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14420"/>
  <workbookPr/>
  <mc:AlternateContent xmlns:mc="http://schemas.openxmlformats.org/markup-compatibility/2006">
    <mc:Choice Requires="x15">
      <x15ac:absPath xmlns:x15ac="http://schemas.microsoft.com/office/spreadsheetml/2010/11/ac" url="C:\Users\MINHNHAT\Desktop\"/>
    </mc:Choice>
  </mc:AlternateContent>
  <bookViews>
    <workbookView xWindow="-120" yWindow="-120" windowWidth="29040" windowHeight="15840" firstSheet="1" activeTab="6"/>
  </bookViews>
  <sheets>
    <sheet name="Contract" sheetId="7" r:id="rId1"/>
    <sheet name="Order" sheetId="3" r:id="rId2"/>
    <sheet name="Oder Filter" sheetId="4" r:id="rId3"/>
    <sheet name="Pivot customer" sheetId="10" r:id="rId4"/>
    <sheet name="Pivot items" sheetId="11" r:id="rId5"/>
    <sheet name="Sheet2" sheetId="13" state="hidden" r:id="rId6"/>
    <sheet name="Customer Contract 2019" sheetId="1" r:id="rId7"/>
    <sheet name="Customer crop 2017" sheetId="14" r:id="rId8"/>
    <sheet name="Date Converter" sheetId="6" r:id="rId9"/>
    <sheet name="Sheet4" sheetId="9" r:id="rId10"/>
    <sheet name="Customer list" sheetId="8" r:id="rId11"/>
  </sheets>
  <definedNames>
    <definedName name="_xlnm._FilterDatabase" localSheetId="6" hidden="1">'Customer Contract 2019'!$A$1:$AK$1904</definedName>
    <definedName name="_xlnm._FilterDatabase" localSheetId="7" hidden="1">'Customer crop 2017'!$A$1:$AJ$1</definedName>
    <definedName name="_xlnm._FilterDatabase" localSheetId="10" hidden="1">'Customer list'!$A$1:$AG$1</definedName>
    <definedName name="_xlnm._FilterDatabase" localSheetId="8" hidden="1">'Date Converter'!$A$3:$AE$3</definedName>
    <definedName name="_xlnm._FilterDatabase" localSheetId="2" hidden="1">'Oder Filter'!$A$5:$M$2047</definedName>
    <definedName name="_xlnm._FilterDatabase" localSheetId="1" hidden="1">Order!$A$11:$J$26</definedName>
    <definedName name="_Hlk530643074" localSheetId="10">'Customer list'!$A$59</definedName>
    <definedName name="_xlnm.Print_Area" localSheetId="0">Contract!$D$2:$K$81</definedName>
    <definedName name="_xlnm.Print_Area" localSheetId="6">'Customer Contract 2019'!$A$1:$S$1854</definedName>
    <definedName name="_xlnm.Print_Area" localSheetId="1">Order!$A$2:$J$55</definedName>
  </definedNames>
  <calcPr calcId="162913"/>
  <pivotCaches>
    <pivotCache cacheId="0" r:id="rId12"/>
    <pivotCache cacheId="1" r:id="rId13"/>
    <pivotCache cacheId="2" r:id="rId14"/>
    <pivotCache cacheId="3" r:id="rId15"/>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N541" i="1" l="1"/>
  <c r="N1545" i="1"/>
  <c r="N1544" i="1"/>
  <c r="N1543" i="1"/>
  <c r="N1699" i="1"/>
  <c r="N447" i="1"/>
  <c r="AH1514" i="1" l="1"/>
  <c r="AI1514" i="1" s="1"/>
  <c r="AH1515" i="1"/>
  <c r="AI1515" i="1" s="1"/>
  <c r="AH1512" i="1"/>
  <c r="AI1512" i="1"/>
  <c r="AH1397" i="1"/>
  <c r="AI1397" i="1" s="1"/>
  <c r="T1397" i="1"/>
  <c r="U1397" i="1" s="1"/>
  <c r="P1397" i="1"/>
  <c r="M1397" i="1"/>
  <c r="F1397" i="1"/>
  <c r="AJ1512" i="1" l="1"/>
  <c r="Q1512" i="1"/>
  <c r="AJ1515" i="1"/>
  <c r="Q1515" i="1"/>
  <c r="AJ1397" i="1"/>
  <c r="Q1397" i="1"/>
  <c r="AJ1514" i="1"/>
  <c r="Q1514" i="1"/>
  <c r="F14" i="3"/>
  <c r="P1515" i="1"/>
  <c r="M1515" i="1"/>
  <c r="P1514" i="1"/>
  <c r="M1514" i="1"/>
  <c r="P1512" i="1"/>
  <c r="M1512" i="1"/>
  <c r="T1514" i="1"/>
  <c r="U1514" i="1" s="1"/>
  <c r="T1515" i="1"/>
  <c r="U1515" i="1" s="1"/>
  <c r="T1512" i="1"/>
  <c r="U1512" i="1" s="1"/>
  <c r="F1514" i="1"/>
  <c r="F1515" i="1"/>
  <c r="F1512" i="1"/>
  <c r="F1513" i="1"/>
  <c r="AH1513" i="1"/>
  <c r="AI1513" i="1" s="1"/>
  <c r="AH1516" i="1"/>
  <c r="AI1516" i="1" s="1"/>
  <c r="P1516" i="1"/>
  <c r="M1516" i="1"/>
  <c r="P1513" i="1"/>
  <c r="T1513" i="1"/>
  <c r="U1513" i="1" s="1"/>
  <c r="T1516" i="1"/>
  <c r="U1516" i="1" s="1"/>
  <c r="M1513" i="1"/>
  <c r="F1516" i="1"/>
  <c r="AH1511" i="1"/>
  <c r="AI1511" i="1" s="1"/>
  <c r="T1511" i="1"/>
  <c r="U1511" i="1" s="1"/>
  <c r="P1511" i="1"/>
  <c r="M1511" i="1"/>
  <c r="F1511" i="1"/>
  <c r="N1483" i="1"/>
  <c r="N1484" i="1"/>
  <c r="N1470" i="1"/>
  <c r="AH1181" i="1"/>
  <c r="AI1181" i="1" s="1"/>
  <c r="T1181" i="1"/>
  <c r="U1181" i="1" s="1"/>
  <c r="P1181" i="1"/>
  <c r="M1181" i="1"/>
  <c r="F1181" i="1"/>
  <c r="AH1640" i="1"/>
  <c r="AI1640" i="1" s="1"/>
  <c r="M1640" i="1"/>
  <c r="F1640" i="1"/>
  <c r="AH501" i="1"/>
  <c r="AI501" i="1" s="1"/>
  <c r="AH502" i="1"/>
  <c r="AI502" i="1" s="1"/>
  <c r="T501" i="1"/>
  <c r="U501" i="1" s="1"/>
  <c r="T502" i="1"/>
  <c r="U502" i="1" s="1"/>
  <c r="P502" i="1"/>
  <c r="P501" i="1"/>
  <c r="M502" i="1"/>
  <c r="M501" i="1"/>
  <c r="F501" i="1"/>
  <c r="F502" i="1"/>
  <c r="AH1409" i="1"/>
  <c r="AI1409" i="1" s="1"/>
  <c r="T1409" i="1"/>
  <c r="U1409" i="1" s="1"/>
  <c r="P1409" i="1"/>
  <c r="M1409" i="1"/>
  <c r="F1409" i="1"/>
  <c r="AJ1516" i="1" l="1"/>
  <c r="Q1516" i="1"/>
  <c r="AJ1513" i="1"/>
  <c r="Q1513" i="1"/>
  <c r="AJ1181" i="1"/>
  <c r="Q1181" i="1"/>
  <c r="AJ1409" i="1"/>
  <c r="Q1409" i="1"/>
  <c r="AJ501" i="1"/>
  <c r="Q501" i="1"/>
  <c r="AJ1511" i="1"/>
  <c r="Q1511" i="1"/>
  <c r="AJ502" i="1"/>
  <c r="Q502" i="1"/>
  <c r="AJ1640" i="1"/>
  <c r="Q1640" i="1"/>
  <c r="AH679" i="1"/>
  <c r="AI679" i="1" s="1"/>
  <c r="AH680" i="1"/>
  <c r="AI680" i="1" s="1"/>
  <c r="T678" i="1"/>
  <c r="U678" i="1" s="1"/>
  <c r="T679" i="1"/>
  <c r="U679" i="1" s="1"/>
  <c r="T680" i="1"/>
  <c r="U680" i="1" s="1"/>
  <c r="M680" i="1"/>
  <c r="P680" i="1"/>
  <c r="AH153" i="1"/>
  <c r="AI153" i="1" s="1"/>
  <c r="T153" i="1"/>
  <c r="U153" i="1" s="1"/>
  <c r="P153" i="1"/>
  <c r="M153" i="1"/>
  <c r="F153" i="1"/>
  <c r="AJ680" i="1" l="1"/>
  <c r="Q680" i="1"/>
  <c r="AJ679" i="1"/>
  <c r="Q679" i="1"/>
  <c r="AJ153" i="1"/>
  <c r="Q153" i="1"/>
  <c r="T1303" i="1"/>
  <c r="U1303" i="1" s="1"/>
  <c r="T1298" i="1"/>
  <c r="U1298" i="1" s="1"/>
  <c r="T1297" i="1"/>
  <c r="U1297" i="1" s="1"/>
  <c r="N737" i="1" l="1"/>
  <c r="N736" i="1"/>
  <c r="N735" i="1"/>
  <c r="AH1518" i="1"/>
  <c r="AI1518" i="1" s="1"/>
  <c r="T1518" i="1"/>
  <c r="U1518" i="1" s="1"/>
  <c r="P1518" i="1"/>
  <c r="M1518" i="1"/>
  <c r="F1518" i="1"/>
  <c r="N1631" i="1"/>
  <c r="N1500" i="1"/>
  <c r="A24" i="3"/>
  <c r="B24" i="3" s="1"/>
  <c r="A25" i="3"/>
  <c r="C25" i="3" s="1"/>
  <c r="A26" i="3"/>
  <c r="D26" i="3" s="1"/>
  <c r="A27" i="3"/>
  <c r="C27" i="3" s="1"/>
  <c r="A28" i="3"/>
  <c r="B28" i="3" s="1"/>
  <c r="A20" i="3"/>
  <c r="B20" i="3" s="1"/>
  <c r="A21" i="3"/>
  <c r="C21" i="3" s="1"/>
  <c r="A22" i="3"/>
  <c r="D22" i="3" s="1"/>
  <c r="A23" i="3"/>
  <c r="B23" i="3" s="1"/>
  <c r="P679" i="1"/>
  <c r="M679" i="1"/>
  <c r="F679" i="1"/>
  <c r="F680" i="1"/>
  <c r="A18" i="3"/>
  <c r="D18" i="3" s="1"/>
  <c r="A19" i="3"/>
  <c r="D19" i="3" s="1"/>
  <c r="AJ1518" i="1" l="1"/>
  <c r="Q1518" i="1"/>
  <c r="G21" i="3"/>
  <c r="J26" i="3"/>
  <c r="G27" i="3"/>
  <c r="E27" i="3"/>
  <c r="I25" i="3"/>
  <c r="J22" i="3"/>
  <c r="J27" i="3"/>
  <c r="D27" i="3"/>
  <c r="E26" i="3"/>
  <c r="G25" i="3"/>
  <c r="C22" i="3"/>
  <c r="E20" i="3"/>
  <c r="I27" i="3"/>
  <c r="B27" i="3"/>
  <c r="C26" i="3"/>
  <c r="B25" i="3"/>
  <c r="E25" i="3"/>
  <c r="J24" i="3"/>
  <c r="H22" i="3"/>
  <c r="J28" i="3"/>
  <c r="E22" i="3"/>
  <c r="E28" i="3"/>
  <c r="H27" i="3"/>
  <c r="H26" i="3"/>
  <c r="J25" i="3"/>
  <c r="D25" i="3"/>
  <c r="E24" i="3"/>
  <c r="J23" i="3"/>
  <c r="E23" i="3"/>
  <c r="I23" i="3"/>
  <c r="D23" i="3"/>
  <c r="E21" i="3"/>
  <c r="J20" i="3"/>
  <c r="I28" i="3"/>
  <c r="D28" i="3"/>
  <c r="G26" i="3"/>
  <c r="B26" i="3"/>
  <c r="H25" i="3"/>
  <c r="I24" i="3"/>
  <c r="D24" i="3"/>
  <c r="J21" i="3"/>
  <c r="D21" i="3"/>
  <c r="H28" i="3"/>
  <c r="C28" i="3"/>
  <c r="H24" i="3"/>
  <c r="C24" i="3"/>
  <c r="H23" i="3"/>
  <c r="C23" i="3"/>
  <c r="G23" i="3"/>
  <c r="I21" i="3"/>
  <c r="B21" i="3"/>
  <c r="G28" i="3"/>
  <c r="I26" i="3"/>
  <c r="G24" i="3"/>
  <c r="G22" i="3"/>
  <c r="B22" i="3"/>
  <c r="H21" i="3"/>
  <c r="I20" i="3"/>
  <c r="D20" i="3"/>
  <c r="H20" i="3"/>
  <c r="C20" i="3"/>
  <c r="I22" i="3"/>
  <c r="G20" i="3"/>
  <c r="H19" i="3"/>
  <c r="C19" i="3"/>
  <c r="H18" i="3"/>
  <c r="C18" i="3"/>
  <c r="G19" i="3"/>
  <c r="B19" i="3"/>
  <c r="G18" i="3"/>
  <c r="B18" i="3"/>
  <c r="J19" i="3"/>
  <c r="E19" i="3"/>
  <c r="J18" i="3"/>
  <c r="E18" i="3"/>
  <c r="I19" i="3"/>
  <c r="I18" i="3"/>
  <c r="A29" i="3"/>
  <c r="C29" i="3" l="1"/>
  <c r="H29" i="3"/>
  <c r="D29" i="3"/>
  <c r="I29" i="3"/>
  <c r="E29" i="3"/>
  <c r="J29" i="3"/>
  <c r="B29" i="3"/>
  <c r="G29" i="3"/>
  <c r="AH1616" i="1" l="1"/>
  <c r="AI1616" i="1" s="1"/>
  <c r="T1616" i="1"/>
  <c r="U1616" i="1" s="1"/>
  <c r="P1616" i="1"/>
  <c r="M1616" i="1"/>
  <c r="F1616" i="1"/>
  <c r="N838" i="1"/>
  <c r="N1161" i="1"/>
  <c r="AH1644" i="1"/>
  <c r="AI1644" i="1" s="1"/>
  <c r="T1644" i="1"/>
  <c r="U1644" i="1" s="1"/>
  <c r="P1644" i="1"/>
  <c r="M1644" i="1"/>
  <c r="F1644" i="1"/>
  <c r="F1645" i="1"/>
  <c r="N1645" i="1"/>
  <c r="M1645" i="1" s="1"/>
  <c r="T1645" i="1"/>
  <c r="U1645" i="1" s="1"/>
  <c r="AH1645" i="1"/>
  <c r="F1646" i="1"/>
  <c r="N1646" i="1"/>
  <c r="P1646" i="1" s="1"/>
  <c r="T1646" i="1"/>
  <c r="U1646" i="1" s="1"/>
  <c r="AH1646" i="1"/>
  <c r="AH765" i="1"/>
  <c r="AI765" i="1" s="1"/>
  <c r="AH766" i="1"/>
  <c r="AI766" i="1" s="1"/>
  <c r="T765" i="1"/>
  <c r="U765" i="1" s="1"/>
  <c r="T766" i="1"/>
  <c r="U766" i="1" s="1"/>
  <c r="P766" i="1"/>
  <c r="P765" i="1"/>
  <c r="M765" i="1"/>
  <c r="M766" i="1"/>
  <c r="F765" i="1"/>
  <c r="F766" i="1"/>
  <c r="AH764" i="1"/>
  <c r="AI764" i="1" s="1"/>
  <c r="T764" i="1"/>
  <c r="U764" i="1" s="1"/>
  <c r="P764" i="1"/>
  <c r="M764" i="1"/>
  <c r="N763" i="1"/>
  <c r="F764" i="1"/>
  <c r="T763" i="1"/>
  <c r="U763" i="1" s="1"/>
  <c r="T767" i="1"/>
  <c r="U767" i="1" s="1"/>
  <c r="AH185" i="1"/>
  <c r="AI185" i="1" s="1"/>
  <c r="T185" i="1"/>
  <c r="U185" i="1" s="1"/>
  <c r="P185" i="1"/>
  <c r="M185" i="1"/>
  <c r="F185" i="1"/>
  <c r="N1747" i="1"/>
  <c r="N1760" i="1"/>
  <c r="T1758" i="1"/>
  <c r="U1758" i="1" s="1"/>
  <c r="T1759" i="1"/>
  <c r="U1759" i="1" s="1"/>
  <c r="N997" i="1"/>
  <c r="AJ185" i="1" l="1"/>
  <c r="Q185" i="1"/>
  <c r="AJ764" i="1"/>
  <c r="Q764" i="1"/>
  <c r="AJ766" i="1"/>
  <c r="Q766" i="1"/>
  <c r="AJ1644" i="1"/>
  <c r="Q1644" i="1"/>
  <c r="AJ765" i="1"/>
  <c r="Q765" i="1"/>
  <c r="AJ1616" i="1"/>
  <c r="Q1616" i="1"/>
  <c r="AI1645" i="1"/>
  <c r="P1645" i="1"/>
  <c r="M1646" i="1"/>
  <c r="AI1646" i="1"/>
  <c r="AJ1646" i="1" l="1"/>
  <c r="Q1646" i="1"/>
  <c r="AJ1645" i="1"/>
  <c r="Q1645" i="1"/>
  <c r="N989" i="1"/>
  <c r="T656" i="1"/>
  <c r="U656" i="1" s="1"/>
  <c r="T654" i="1"/>
  <c r="U654" i="1" s="1"/>
  <c r="T653" i="1"/>
  <c r="U653" i="1" s="1"/>
  <c r="F1001" i="1"/>
  <c r="N1000" i="1"/>
  <c r="T587" i="1" l="1"/>
  <c r="U587" i="1" s="1"/>
  <c r="T586" i="1"/>
  <c r="U586" i="1" s="1"/>
  <c r="T581" i="1"/>
  <c r="U581" i="1" s="1"/>
  <c r="T580" i="1"/>
  <c r="U580" i="1" s="1"/>
  <c r="AH439" i="1" l="1"/>
  <c r="AI439" i="1" s="1"/>
  <c r="T438" i="1"/>
  <c r="U438" i="1" s="1"/>
  <c r="T439" i="1"/>
  <c r="U439" i="1" s="1"/>
  <c r="P439" i="1"/>
  <c r="M439" i="1"/>
  <c r="F439" i="1"/>
  <c r="AH990" i="1"/>
  <c r="AI990" i="1" s="1"/>
  <c r="T990" i="1"/>
  <c r="U990" i="1" s="1"/>
  <c r="P990" i="1"/>
  <c r="M990" i="1"/>
  <c r="F990" i="1"/>
  <c r="P1161" i="1"/>
  <c r="AH1161" i="1"/>
  <c r="AI1161" i="1" s="1"/>
  <c r="T1161" i="1"/>
  <c r="U1161" i="1" s="1"/>
  <c r="M1161" i="1"/>
  <c r="F1161" i="1"/>
  <c r="AH997" i="1"/>
  <c r="AI997" i="1" s="1"/>
  <c r="T997" i="1"/>
  <c r="U997" i="1" s="1"/>
  <c r="P997" i="1"/>
  <c r="M997" i="1"/>
  <c r="F997" i="1"/>
  <c r="N996" i="1"/>
  <c r="A16" i="3"/>
  <c r="C16" i="3" s="1"/>
  <c r="A17" i="3"/>
  <c r="D17" i="3" s="1"/>
  <c r="N9" i="1"/>
  <c r="N8" i="1"/>
  <c r="AJ990" i="1" l="1"/>
  <c r="Q990" i="1"/>
  <c r="AJ997" i="1"/>
  <c r="Q997" i="1"/>
  <c r="AJ1161" i="1"/>
  <c r="Q1161" i="1"/>
  <c r="AJ439" i="1"/>
  <c r="Q439" i="1"/>
  <c r="I17" i="3"/>
  <c r="C17" i="3"/>
  <c r="B16" i="3"/>
  <c r="J17" i="3"/>
  <c r="B17" i="3"/>
  <c r="G17" i="3"/>
  <c r="H16" i="3"/>
  <c r="E17" i="3"/>
  <c r="I16" i="3"/>
  <c r="E16" i="3"/>
  <c r="H17" i="3"/>
  <c r="J16" i="3"/>
  <c r="D16" i="3"/>
  <c r="G16" i="3"/>
  <c r="A15" i="3"/>
  <c r="C15" i="3" s="1"/>
  <c r="G15" i="3" l="1"/>
  <c r="E15" i="3"/>
  <c r="B15" i="3"/>
  <c r="D15" i="3"/>
  <c r="H15" i="3"/>
  <c r="I15" i="3"/>
  <c r="J15" i="3"/>
  <c r="A14" i="3"/>
  <c r="AH1519" i="1"/>
  <c r="AI1519" i="1" s="1"/>
  <c r="T1519" i="1"/>
  <c r="U1519" i="1" s="1"/>
  <c r="P1519" i="1"/>
  <c r="M1519" i="1"/>
  <c r="F1519" i="1"/>
  <c r="N546" i="1"/>
  <c r="A12" i="3"/>
  <c r="A13" i="3"/>
  <c r="N980" i="1"/>
  <c r="AH1413" i="1"/>
  <c r="AI1413" i="1" s="1"/>
  <c r="N1412" i="1"/>
  <c r="T1413" i="1"/>
  <c r="U1413" i="1" s="1"/>
  <c r="P1413" i="1"/>
  <c r="M1413" i="1"/>
  <c r="F1413" i="1"/>
  <c r="N1588" i="1"/>
  <c r="AH21" i="1"/>
  <c r="AI21" i="1" s="1"/>
  <c r="T21" i="1"/>
  <c r="U21" i="1" s="1"/>
  <c r="P21" i="1"/>
  <c r="M21" i="1"/>
  <c r="F21" i="1"/>
  <c r="AJ1413" i="1" l="1"/>
  <c r="Q1413" i="1"/>
  <c r="AJ21" i="1"/>
  <c r="Q21" i="1"/>
  <c r="AJ1519" i="1"/>
  <c r="Q1519" i="1"/>
  <c r="C13" i="3"/>
  <c r="H13" i="3"/>
  <c r="D13" i="3"/>
  <c r="B13" i="3"/>
  <c r="E13" i="3"/>
  <c r="G13" i="3"/>
  <c r="E14" i="3"/>
  <c r="B14" i="3"/>
  <c r="G14" i="3"/>
  <c r="C14" i="3"/>
  <c r="H14" i="3"/>
  <c r="D14" i="3"/>
  <c r="B12" i="3"/>
  <c r="G12" i="3"/>
  <c r="C12" i="3"/>
  <c r="H12" i="3"/>
  <c r="D12" i="3"/>
  <c r="I12" i="3"/>
  <c r="E12" i="3"/>
  <c r="J14" i="3"/>
  <c r="I14" i="3"/>
  <c r="J12" i="3"/>
  <c r="I13" i="3"/>
  <c r="J13" i="3"/>
  <c r="F13" i="3" l="1"/>
  <c r="F12" i="3"/>
  <c r="AH681" i="1" l="1"/>
  <c r="AI681" i="1" s="1"/>
  <c r="T681" i="1"/>
  <c r="U681" i="1" s="1"/>
  <c r="P681" i="1"/>
  <c r="M681" i="1"/>
  <c r="F681" i="1"/>
  <c r="AH548" i="1"/>
  <c r="AI548" i="1" s="1"/>
  <c r="AH549" i="1"/>
  <c r="F548" i="1"/>
  <c r="T548" i="1"/>
  <c r="U548" i="1" s="1"/>
  <c r="P548" i="1"/>
  <c r="N549" i="1"/>
  <c r="M548" i="1"/>
  <c r="N37" i="1"/>
  <c r="N89" i="1"/>
  <c r="N803" i="1"/>
  <c r="N802" i="1"/>
  <c r="N611" i="1"/>
  <c r="N1402" i="1"/>
  <c r="N420" i="1"/>
  <c r="N419" i="1"/>
  <c r="M1887" i="1"/>
  <c r="P1887" i="1"/>
  <c r="AH1886" i="1"/>
  <c r="AI1886" i="1" s="1"/>
  <c r="AH1887" i="1"/>
  <c r="AI1887" i="1" s="1"/>
  <c r="T1886" i="1"/>
  <c r="U1886" i="1" s="1"/>
  <c r="T1887" i="1"/>
  <c r="U1887" i="1" s="1"/>
  <c r="P1886" i="1"/>
  <c r="M1886" i="1"/>
  <c r="F1886" i="1"/>
  <c r="F1887" i="1"/>
  <c r="P1885" i="1"/>
  <c r="AH1885" i="1"/>
  <c r="AI1885" i="1" s="1"/>
  <c r="T1885" i="1"/>
  <c r="U1885" i="1" s="1"/>
  <c r="M1885" i="1"/>
  <c r="F1885" i="1"/>
  <c r="N1294" i="1"/>
  <c r="AH892" i="1"/>
  <c r="AI892" i="1" s="1"/>
  <c r="AH893" i="1"/>
  <c r="AI893" i="1" s="1"/>
  <c r="AH894" i="1"/>
  <c r="AI894" i="1" s="1"/>
  <c r="T892" i="1"/>
  <c r="U892" i="1" s="1"/>
  <c r="T893" i="1"/>
  <c r="U893" i="1" s="1"/>
  <c r="P893" i="1"/>
  <c r="P892" i="1"/>
  <c r="M892" i="1"/>
  <c r="M893" i="1"/>
  <c r="F892" i="1"/>
  <c r="F893" i="1"/>
  <c r="N1351" i="1"/>
  <c r="AH1625" i="1"/>
  <c r="AI1625" i="1" s="1"/>
  <c r="AH1372" i="1"/>
  <c r="AI1372" i="1" s="1"/>
  <c r="AH1371" i="1"/>
  <c r="AI1371" i="1" s="1"/>
  <c r="AH114" i="1"/>
  <c r="AJ1885" i="1" l="1"/>
  <c r="Q1885" i="1"/>
  <c r="AJ1887" i="1"/>
  <c r="Q1887" i="1"/>
  <c r="AJ1371" i="1"/>
  <c r="Q1371" i="1"/>
  <c r="AJ894" i="1"/>
  <c r="Q894" i="1"/>
  <c r="AJ1886" i="1"/>
  <c r="Q1886" i="1"/>
  <c r="AJ1625" i="1"/>
  <c r="Q1625" i="1"/>
  <c r="AJ1372" i="1"/>
  <c r="Q1372" i="1"/>
  <c r="AJ893" i="1"/>
  <c r="Q893" i="1"/>
  <c r="AJ548" i="1"/>
  <c r="Q548" i="1"/>
  <c r="AJ892" i="1"/>
  <c r="Q892" i="1"/>
  <c r="AJ681" i="1"/>
  <c r="Q681" i="1"/>
  <c r="AI549" i="1"/>
  <c r="T1371" i="1"/>
  <c r="U1371" i="1" s="1"/>
  <c r="T1372" i="1"/>
  <c r="U1372" i="1" s="1"/>
  <c r="P1372" i="1"/>
  <c r="P1371" i="1"/>
  <c r="M1372" i="1"/>
  <c r="M1371" i="1"/>
  <c r="F1371" i="1"/>
  <c r="F1372" i="1"/>
  <c r="AJ549" i="1" l="1"/>
  <c r="Q549" i="1"/>
  <c r="M1625" i="1"/>
  <c r="F1625" i="1"/>
  <c r="AH1486" i="1"/>
  <c r="AI1486" i="1" s="1"/>
  <c r="AH1521" i="1"/>
  <c r="T1484" i="1"/>
  <c r="U1484" i="1" s="1"/>
  <c r="T1486" i="1"/>
  <c r="U1486" i="1" s="1"/>
  <c r="P1486" i="1"/>
  <c r="M1486" i="1"/>
  <c r="F1486" i="1"/>
  <c r="AJ1486" i="1" l="1"/>
  <c r="Q1486" i="1"/>
  <c r="AH1688" i="1"/>
  <c r="AI1688" i="1" s="1"/>
  <c r="T1688" i="1"/>
  <c r="U1688" i="1" s="1"/>
  <c r="P1688" i="1"/>
  <c r="M1688" i="1"/>
  <c r="F1688" i="1"/>
  <c r="AJ1688" i="1" l="1"/>
  <c r="Q1688" i="1"/>
  <c r="AH942" i="1"/>
  <c r="AI942" i="1" s="1"/>
  <c r="T942" i="1"/>
  <c r="U942" i="1" s="1"/>
  <c r="P942" i="1"/>
  <c r="M942" i="1"/>
  <c r="F942" i="1"/>
  <c r="AH1356" i="1"/>
  <c r="AI1356" i="1" s="1"/>
  <c r="AH1351" i="1"/>
  <c r="AI1351" i="1" s="1"/>
  <c r="T1356" i="1"/>
  <c r="U1356" i="1" s="1"/>
  <c r="T1351" i="1"/>
  <c r="U1351" i="1" s="1"/>
  <c r="P1356" i="1"/>
  <c r="P1351" i="1"/>
  <c r="M1356" i="1"/>
  <c r="M1351" i="1"/>
  <c r="N1350" i="1"/>
  <c r="F1356" i="1"/>
  <c r="F1351" i="1"/>
  <c r="AH1187" i="1"/>
  <c r="AI1187" i="1" s="1"/>
  <c r="AH1190" i="1"/>
  <c r="AI1190" i="1" s="1"/>
  <c r="AH1186" i="1"/>
  <c r="AI1186" i="1" s="1"/>
  <c r="AH607" i="1"/>
  <c r="AI607" i="1" s="1"/>
  <c r="AH1638" i="1"/>
  <c r="AI1638" i="1" s="1"/>
  <c r="M1638" i="1"/>
  <c r="F1638" i="1"/>
  <c r="N539" i="1"/>
  <c r="AJ1638" i="1" l="1"/>
  <c r="Q1638" i="1"/>
  <c r="AJ1187" i="1"/>
  <c r="Q1187" i="1"/>
  <c r="AJ942" i="1"/>
  <c r="Q942" i="1"/>
  <c r="AJ1190" i="1"/>
  <c r="Q1190" i="1"/>
  <c r="AJ1356" i="1"/>
  <c r="Q1356" i="1"/>
  <c r="AJ607" i="1"/>
  <c r="Q607" i="1"/>
  <c r="AJ1186" i="1"/>
  <c r="Q1186" i="1"/>
  <c r="AJ1351" i="1"/>
  <c r="Q1351" i="1"/>
  <c r="N890" i="1"/>
  <c r="N994" i="1" l="1"/>
  <c r="F275" i="1"/>
  <c r="M275" i="1"/>
  <c r="P275" i="1"/>
  <c r="T275" i="1"/>
  <c r="U275" i="1" s="1"/>
  <c r="AH275" i="1"/>
  <c r="AI275" i="1" s="1"/>
  <c r="N274" i="1"/>
  <c r="N1334" i="1"/>
  <c r="N999" i="1"/>
  <c r="AJ275" i="1" l="1"/>
  <c r="Q275" i="1"/>
  <c r="AC1349" i="1"/>
  <c r="N1349" i="1"/>
  <c r="AH1636" i="1"/>
  <c r="AI1636" i="1" s="1"/>
  <c r="AH1635" i="1"/>
  <c r="AI1635" i="1" s="1"/>
  <c r="AH1637" i="1"/>
  <c r="AI1637" i="1" s="1"/>
  <c r="AH1634" i="1"/>
  <c r="AI1634" i="1" s="1"/>
  <c r="AH1633" i="1"/>
  <c r="AI1633" i="1" s="1"/>
  <c r="AH1632" i="1"/>
  <c r="AI1632" i="1" s="1"/>
  <c r="AH1631" i="1"/>
  <c r="AI1631" i="1" s="1"/>
  <c r="AH1630" i="1"/>
  <c r="AI1630" i="1" s="1"/>
  <c r="AH1629" i="1"/>
  <c r="AI1629" i="1" s="1"/>
  <c r="AH1628" i="1"/>
  <c r="AI1628" i="1" s="1"/>
  <c r="N1517" i="1"/>
  <c r="T607" i="1"/>
  <c r="U607" i="1" s="1"/>
  <c r="P607" i="1"/>
  <c r="M607" i="1"/>
  <c r="F607" i="1"/>
  <c r="N606" i="1"/>
  <c r="AJ1629" i="1" l="1"/>
  <c r="Q1629" i="1"/>
  <c r="AJ1633" i="1"/>
  <c r="Q1633" i="1"/>
  <c r="AJ1636" i="1"/>
  <c r="Q1636" i="1"/>
  <c r="AJ1630" i="1"/>
  <c r="Q1630" i="1"/>
  <c r="AJ1634" i="1"/>
  <c r="Q1634" i="1"/>
  <c r="AJ1631" i="1"/>
  <c r="Q1631" i="1"/>
  <c r="AJ1637" i="1"/>
  <c r="Q1637" i="1"/>
  <c r="AJ1628" i="1"/>
  <c r="Q1628" i="1"/>
  <c r="AJ1632" i="1"/>
  <c r="Q1632" i="1"/>
  <c r="AJ1635" i="1"/>
  <c r="Q1635" i="1"/>
  <c r="F1627" i="1"/>
  <c r="F1628" i="1"/>
  <c r="F1629" i="1"/>
  <c r="F1630" i="1"/>
  <c r="F1631" i="1"/>
  <c r="F1632" i="1"/>
  <c r="F1633" i="1"/>
  <c r="F1634" i="1"/>
  <c r="F1637" i="1"/>
  <c r="F1635" i="1"/>
  <c r="F1636" i="1"/>
  <c r="M1636" i="1"/>
  <c r="M1635" i="1"/>
  <c r="M1637" i="1"/>
  <c r="M1634" i="1"/>
  <c r="M1633" i="1"/>
  <c r="M1632" i="1"/>
  <c r="M1631" i="1"/>
  <c r="M1630" i="1"/>
  <c r="M1627" i="1"/>
  <c r="M1628" i="1"/>
  <c r="M1629" i="1"/>
  <c r="T1186" i="1"/>
  <c r="U1186" i="1" s="1"/>
  <c r="T1190" i="1"/>
  <c r="U1190" i="1" s="1"/>
  <c r="T1187" i="1"/>
  <c r="U1187" i="1" s="1"/>
  <c r="P1186" i="1"/>
  <c r="P1190" i="1"/>
  <c r="P1187" i="1"/>
  <c r="M1186" i="1"/>
  <c r="M1190" i="1"/>
  <c r="M1187" i="1"/>
  <c r="F1190" i="1"/>
  <c r="F1187" i="1"/>
  <c r="F1186" i="1"/>
  <c r="N1468" i="1" l="1"/>
  <c r="N1496" i="1" l="1"/>
  <c r="N748" i="1"/>
  <c r="AH181" i="1" l="1"/>
  <c r="AI181" i="1" s="1"/>
  <c r="T181" i="1"/>
  <c r="U181" i="1" s="1"/>
  <c r="P181" i="1"/>
  <c r="M181" i="1"/>
  <c r="F181" i="1"/>
  <c r="AH1588" i="1"/>
  <c r="AI1588" i="1" s="1"/>
  <c r="AH1593" i="1"/>
  <c r="AI1593" i="1" s="1"/>
  <c r="AH1584" i="1"/>
  <c r="AI1584" i="1" s="1"/>
  <c r="T1588" i="1"/>
  <c r="U1588" i="1" s="1"/>
  <c r="T1593" i="1"/>
  <c r="U1593" i="1" s="1"/>
  <c r="T1584" i="1"/>
  <c r="U1584" i="1" s="1"/>
  <c r="P1588" i="1"/>
  <c r="P1593" i="1"/>
  <c r="P1584" i="1"/>
  <c r="M1588" i="1"/>
  <c r="M1593" i="1"/>
  <c r="M1584" i="1"/>
  <c r="F1584" i="1"/>
  <c r="F1593" i="1"/>
  <c r="F1588" i="1"/>
  <c r="AJ181" i="1" l="1"/>
  <c r="Q181" i="1"/>
  <c r="AJ1584" i="1"/>
  <c r="Q1584" i="1"/>
  <c r="AJ1593" i="1"/>
  <c r="Q1593" i="1"/>
  <c r="AJ1588" i="1"/>
  <c r="Q1588" i="1"/>
  <c r="N1789" i="1"/>
  <c r="AH1877" i="1"/>
  <c r="AI1877" i="1" s="1"/>
  <c r="AH1880" i="1"/>
  <c r="AI1880" i="1" s="1"/>
  <c r="T1877" i="1"/>
  <c r="U1877" i="1" s="1"/>
  <c r="T1880" i="1"/>
  <c r="U1880" i="1" s="1"/>
  <c r="P1877" i="1"/>
  <c r="P1880" i="1"/>
  <c r="M1877" i="1"/>
  <c r="M1880" i="1"/>
  <c r="F1877" i="1"/>
  <c r="F1880" i="1"/>
  <c r="N424" i="1"/>
  <c r="N423" i="1"/>
  <c r="AJ1880" i="1" l="1"/>
  <c r="Q1880" i="1"/>
  <c r="AJ1877" i="1"/>
  <c r="Q1877" i="1"/>
  <c r="N445" i="1"/>
  <c r="N411" i="1"/>
  <c r="N412" i="1"/>
  <c r="AH1658" i="1"/>
  <c r="AI1658" i="1" s="1"/>
  <c r="T1658" i="1"/>
  <c r="U1658" i="1" s="1"/>
  <c r="P1658" i="1"/>
  <c r="M1658" i="1"/>
  <c r="F1658" i="1"/>
  <c r="N1379" i="1"/>
  <c r="AJ1658" i="1" l="1"/>
  <c r="Q1658" i="1"/>
  <c r="AH1380" i="1"/>
  <c r="AI1380" i="1" s="1"/>
  <c r="T1380" i="1"/>
  <c r="U1380" i="1" s="1"/>
  <c r="P1380" i="1"/>
  <c r="M1380" i="1"/>
  <c r="F1380" i="1"/>
  <c r="AJ1380" i="1" l="1"/>
  <c r="Q1380" i="1"/>
  <c r="AH1123" i="1"/>
  <c r="AI1123" i="1" s="1"/>
  <c r="Q1123" i="1" s="1"/>
  <c r="T1123" i="1"/>
  <c r="U1123" i="1" s="1"/>
  <c r="O1122" i="1"/>
  <c r="O1123" i="1"/>
  <c r="P1123" i="1" s="1"/>
  <c r="N1122" i="1"/>
  <c r="M1123" i="1"/>
  <c r="F1123" i="1"/>
  <c r="AH1496" i="1"/>
  <c r="AI1496" i="1" s="1"/>
  <c r="AH1497" i="1"/>
  <c r="AI1497" i="1" s="1"/>
  <c r="AH1477" i="1"/>
  <c r="AI1477" i="1" s="1"/>
  <c r="T1477" i="1"/>
  <c r="U1477" i="1" s="1"/>
  <c r="M1477" i="1"/>
  <c r="P1477" i="1"/>
  <c r="T1497" i="1"/>
  <c r="U1497" i="1" s="1"/>
  <c r="P1497" i="1"/>
  <c r="M1497" i="1"/>
  <c r="P1496" i="1"/>
  <c r="T1496" i="1"/>
  <c r="U1496" i="1" s="1"/>
  <c r="M1496" i="1"/>
  <c r="F1496" i="1"/>
  <c r="F1497" i="1"/>
  <c r="F1477" i="1"/>
  <c r="T1661" i="1"/>
  <c r="U1661" i="1" s="1"/>
  <c r="N751" i="1"/>
  <c r="N741" i="1"/>
  <c r="N740" i="1"/>
  <c r="N750" i="1"/>
  <c r="N749" i="1"/>
  <c r="AJ1477" i="1" l="1"/>
  <c r="Q1477" i="1"/>
  <c r="AJ1497" i="1"/>
  <c r="Q1497" i="1"/>
  <c r="AJ1496" i="1"/>
  <c r="Q1496" i="1"/>
  <c r="AJ1123" i="1"/>
  <c r="N1602" i="1"/>
  <c r="F1626" i="1"/>
  <c r="N693" i="1"/>
  <c r="N102" i="1"/>
  <c r="M1626" i="1"/>
  <c r="N835" i="1"/>
  <c r="N1004" i="1"/>
  <c r="N1568" i="1" l="1"/>
  <c r="N1555" i="1"/>
  <c r="AH278" i="1"/>
  <c r="AI278" i="1" s="1"/>
  <c r="T278" i="1"/>
  <c r="U278" i="1" s="1"/>
  <c r="P278" i="1"/>
  <c r="M278" i="1"/>
  <c r="F278" i="1"/>
  <c r="N265" i="1"/>
  <c r="N264" i="1"/>
  <c r="N269" i="1"/>
  <c r="N268" i="1"/>
  <c r="O268" i="1"/>
  <c r="AJ278" i="1" l="1"/>
  <c r="Q278" i="1"/>
  <c r="T350" i="1"/>
  <c r="U350" i="1" s="1"/>
  <c r="P351" i="1"/>
  <c r="T351" i="1"/>
  <c r="U351" i="1" s="1"/>
  <c r="P350" i="1"/>
  <c r="AH349" i="1"/>
  <c r="AI349" i="1" s="1"/>
  <c r="AH350" i="1"/>
  <c r="AI350" i="1" s="1"/>
  <c r="AH351" i="1"/>
  <c r="AI351" i="1" s="1"/>
  <c r="T349" i="1"/>
  <c r="U349" i="1" s="1"/>
  <c r="T332" i="1"/>
  <c r="U332" i="1" s="1"/>
  <c r="P349" i="1"/>
  <c r="M349" i="1"/>
  <c r="M350" i="1"/>
  <c r="M351" i="1"/>
  <c r="F349" i="1"/>
  <c r="F350" i="1"/>
  <c r="F351" i="1"/>
  <c r="O1551" i="1"/>
  <c r="AH1182" i="1"/>
  <c r="AI1182" i="1" s="1"/>
  <c r="T1182" i="1"/>
  <c r="U1182" i="1" s="1"/>
  <c r="P1182" i="1"/>
  <c r="M1182" i="1"/>
  <c r="F1182" i="1"/>
  <c r="O1654" i="1"/>
  <c r="O1653" i="1"/>
  <c r="P1653" i="1" s="1"/>
  <c r="AJ1182" i="1" l="1"/>
  <c r="Q1182" i="1"/>
  <c r="AJ350" i="1"/>
  <c r="Q350" i="1"/>
  <c r="AJ349" i="1"/>
  <c r="Q349" i="1"/>
  <c r="AJ351" i="1"/>
  <c r="Q351" i="1"/>
  <c r="N1167" i="1"/>
  <c r="N1183" i="1"/>
  <c r="M1184" i="1"/>
  <c r="AH1565" i="1" l="1"/>
  <c r="AI1565" i="1" s="1"/>
  <c r="T1565" i="1"/>
  <c r="U1565" i="1" s="1"/>
  <c r="P1565" i="1"/>
  <c r="M1565" i="1"/>
  <c r="F1565" i="1"/>
  <c r="O1564" i="1"/>
  <c r="AJ1565" i="1" l="1"/>
  <c r="Q1565" i="1"/>
  <c r="T768" i="1"/>
  <c r="U768" i="1" s="1"/>
  <c r="AH762" i="1"/>
  <c r="AI762" i="1" s="1"/>
  <c r="AH763" i="1"/>
  <c r="AI763" i="1" s="1"/>
  <c r="AH767" i="1"/>
  <c r="AI767" i="1" s="1"/>
  <c r="T762" i="1"/>
  <c r="U762" i="1" s="1"/>
  <c r="P762" i="1"/>
  <c r="P763" i="1"/>
  <c r="M762" i="1"/>
  <c r="M763" i="1"/>
  <c r="F762" i="1"/>
  <c r="F763" i="1"/>
  <c r="P767" i="1"/>
  <c r="M767" i="1"/>
  <c r="F767" i="1"/>
  <c r="AJ762" i="1" l="1"/>
  <c r="Q762" i="1"/>
  <c r="AJ767" i="1"/>
  <c r="Q767" i="1"/>
  <c r="AJ763" i="1"/>
  <c r="Q763" i="1"/>
  <c r="P332" i="1"/>
  <c r="AH332" i="1"/>
  <c r="AI332" i="1" s="1"/>
  <c r="M332" i="1"/>
  <c r="F332" i="1"/>
  <c r="AJ332" i="1" l="1"/>
  <c r="Q332" i="1"/>
  <c r="N708" i="1"/>
  <c r="N706" i="1"/>
  <c r="AH1118" i="1"/>
  <c r="AI1118" i="1" s="1"/>
  <c r="T1118" i="1"/>
  <c r="U1118" i="1" s="1"/>
  <c r="P1118" i="1"/>
  <c r="M1118" i="1"/>
  <c r="F1118" i="1"/>
  <c r="T736" i="1"/>
  <c r="U736" i="1" s="1"/>
  <c r="T737" i="1"/>
  <c r="U737" i="1" s="1"/>
  <c r="AH996" i="1"/>
  <c r="AI996" i="1" s="1"/>
  <c r="T996" i="1"/>
  <c r="U996" i="1" s="1"/>
  <c r="P996" i="1"/>
  <c r="M996" i="1"/>
  <c r="F996" i="1"/>
  <c r="AH1861" i="1"/>
  <c r="AI1861" i="1" s="1"/>
  <c r="T1861" i="1"/>
  <c r="U1861" i="1" s="1"/>
  <c r="P1861" i="1"/>
  <c r="M1861" i="1"/>
  <c r="F1861" i="1"/>
  <c r="N378" i="1"/>
  <c r="N520" i="1"/>
  <c r="N517" i="1"/>
  <c r="AH769" i="1"/>
  <c r="AI769" i="1" s="1"/>
  <c r="T769" i="1"/>
  <c r="U769" i="1" s="1"/>
  <c r="P769" i="1"/>
  <c r="M769" i="1"/>
  <c r="F769" i="1"/>
  <c r="AH768" i="1"/>
  <c r="AI768" i="1" s="1"/>
  <c r="P768" i="1"/>
  <c r="M768" i="1"/>
  <c r="F768" i="1"/>
  <c r="N761" i="1"/>
  <c r="T1517" i="1"/>
  <c r="U1517" i="1" s="1"/>
  <c r="AH1517" i="1"/>
  <c r="AI1517" i="1" s="1"/>
  <c r="P1517" i="1"/>
  <c r="M1517" i="1"/>
  <c r="F1517" i="1"/>
  <c r="N1823" i="1"/>
  <c r="N1822" i="1"/>
  <c r="AH1338" i="1"/>
  <c r="AI1338" i="1" s="1"/>
  <c r="T1338" i="1"/>
  <c r="U1338" i="1" s="1"/>
  <c r="P1338" i="1"/>
  <c r="M1338" i="1"/>
  <c r="F1338" i="1"/>
  <c r="AH1340" i="1"/>
  <c r="AI1340" i="1" s="1"/>
  <c r="T1340" i="1"/>
  <c r="U1340" i="1" s="1"/>
  <c r="P1340" i="1"/>
  <c r="M1340" i="1"/>
  <c r="F1340" i="1"/>
  <c r="N1676" i="1"/>
  <c r="N1739" i="1"/>
  <c r="AH1093" i="1"/>
  <c r="AI1093" i="1" s="1"/>
  <c r="T1093" i="1"/>
  <c r="U1093" i="1" s="1"/>
  <c r="P1093" i="1"/>
  <c r="M1093" i="1"/>
  <c r="F1093" i="1"/>
  <c r="AH1736" i="1"/>
  <c r="AI1736" i="1" s="1"/>
  <c r="T1736" i="1"/>
  <c r="U1736" i="1" s="1"/>
  <c r="P1736" i="1"/>
  <c r="M1736" i="1"/>
  <c r="F1736" i="1"/>
  <c r="N1092" i="1"/>
  <c r="P99" i="1"/>
  <c r="P100" i="1"/>
  <c r="AH99" i="1"/>
  <c r="AI99" i="1" s="1"/>
  <c r="AH100" i="1"/>
  <c r="AI100" i="1" s="1"/>
  <c r="T99" i="1"/>
  <c r="U99" i="1" s="1"/>
  <c r="T100" i="1"/>
  <c r="U100" i="1" s="1"/>
  <c r="M99" i="1"/>
  <c r="M100" i="1"/>
  <c r="F99" i="1"/>
  <c r="F100" i="1"/>
  <c r="N1240" i="1"/>
  <c r="AJ100" i="1" l="1"/>
  <c r="Q100" i="1"/>
  <c r="AJ1517" i="1"/>
  <c r="Q1517" i="1"/>
  <c r="AJ996" i="1"/>
  <c r="Q996" i="1"/>
  <c r="AJ99" i="1"/>
  <c r="Q99" i="1"/>
  <c r="AJ1736" i="1"/>
  <c r="Q1736" i="1"/>
  <c r="AJ1340" i="1"/>
  <c r="Q1340" i="1"/>
  <c r="AJ1093" i="1"/>
  <c r="Q1093" i="1"/>
  <c r="AJ1338" i="1"/>
  <c r="Q1338" i="1"/>
  <c r="AJ768" i="1"/>
  <c r="Q768" i="1"/>
  <c r="AJ769" i="1"/>
  <c r="Q769" i="1"/>
  <c r="AJ1861" i="1"/>
  <c r="Q1861" i="1"/>
  <c r="AJ1118" i="1"/>
  <c r="Q1118" i="1"/>
  <c r="AH896" i="1"/>
  <c r="AI896" i="1" s="1"/>
  <c r="AH901" i="1"/>
  <c r="AH898" i="1"/>
  <c r="AI898" i="1" s="1"/>
  <c r="AH902" i="1"/>
  <c r="AI902" i="1" s="1"/>
  <c r="AH886" i="1"/>
  <c r="AI886" i="1" s="1"/>
  <c r="AH887" i="1"/>
  <c r="AH904" i="1"/>
  <c r="AH888" i="1"/>
  <c r="AH897" i="1"/>
  <c r="AH906" i="1"/>
  <c r="AH889" i="1"/>
  <c r="AH890" i="1"/>
  <c r="AH891" i="1"/>
  <c r="AI891" i="1" s="1"/>
  <c r="AH905" i="1"/>
  <c r="AH895" i="1"/>
  <c r="AI895" i="1" s="1"/>
  <c r="AH899" i="1"/>
  <c r="AH912" i="1"/>
  <c r="AH909" i="1"/>
  <c r="AI909" i="1" s="1"/>
  <c r="AH903" i="1"/>
  <c r="AI903" i="1" s="1"/>
  <c r="AH884" i="1"/>
  <c r="AI884" i="1" s="1"/>
  <c r="AH883" i="1"/>
  <c r="AI883" i="1" s="1"/>
  <c r="AH876" i="1"/>
  <c r="AI876" i="1" s="1"/>
  <c r="AH882" i="1"/>
  <c r="AI882" i="1" s="1"/>
  <c r="AH877" i="1"/>
  <c r="AI877" i="1" s="1"/>
  <c r="AH880" i="1"/>
  <c r="AI880" i="1" s="1"/>
  <c r="AH881" i="1"/>
  <c r="AI881" i="1" s="1"/>
  <c r="AH879" i="1"/>
  <c r="AI879" i="1" s="1"/>
  <c r="AH878" i="1"/>
  <c r="AI878" i="1" s="1"/>
  <c r="AH869" i="1"/>
  <c r="AH863" i="1"/>
  <c r="AI863" i="1" s="1"/>
  <c r="Q863" i="1" s="1"/>
  <c r="AH864" i="1"/>
  <c r="AI864" i="1" s="1"/>
  <c r="Q864" i="1" s="1"/>
  <c r="AH875" i="1"/>
  <c r="AI875" i="1" s="1"/>
  <c r="AH870" i="1"/>
  <c r="AI870" i="1" s="1"/>
  <c r="AH871" i="1"/>
  <c r="AI871" i="1" s="1"/>
  <c r="AH867" i="1"/>
  <c r="AI867" i="1" s="1"/>
  <c r="AH866" i="1"/>
  <c r="AH874" i="1"/>
  <c r="AI874" i="1" s="1"/>
  <c r="AH868" i="1"/>
  <c r="AI868" i="1" s="1"/>
  <c r="AH872" i="1"/>
  <c r="AH862" i="1"/>
  <c r="AI862" i="1" s="1"/>
  <c r="AH861" i="1"/>
  <c r="AI861" i="1" s="1"/>
  <c r="AH865" i="1"/>
  <c r="AI865" i="1" s="1"/>
  <c r="AH873" i="1"/>
  <c r="AH812" i="1"/>
  <c r="AH856" i="1"/>
  <c r="AI856" i="1" s="1"/>
  <c r="Q856" i="1" s="1"/>
  <c r="AH839" i="1"/>
  <c r="AI839" i="1" s="1"/>
  <c r="Q839" i="1" s="1"/>
  <c r="AH832" i="1"/>
  <c r="AI832" i="1" s="1"/>
  <c r="Q832" i="1" s="1"/>
  <c r="AH808" i="1"/>
  <c r="AI808" i="1" s="1"/>
  <c r="Q808" i="1" s="1"/>
  <c r="AH842" i="1"/>
  <c r="AH805" i="1"/>
  <c r="AI805" i="1" s="1"/>
  <c r="AH806" i="1"/>
  <c r="AI806" i="1" s="1"/>
  <c r="Q806" i="1" s="1"/>
  <c r="AH822" i="1"/>
  <c r="AH793" i="1"/>
  <c r="AH831" i="1"/>
  <c r="AI831" i="1" s="1"/>
  <c r="AH843" i="1"/>
  <c r="AI843" i="1" s="1"/>
  <c r="AH814" i="1"/>
  <c r="AI814" i="1" s="1"/>
  <c r="AH815" i="1"/>
  <c r="AI815" i="1" s="1"/>
  <c r="AH859" i="1"/>
  <c r="AI859" i="1" s="1"/>
  <c r="AH849" i="1"/>
  <c r="AI849" i="1" s="1"/>
  <c r="AH840" i="1"/>
  <c r="AI840" i="1" s="1"/>
  <c r="AH816" i="1"/>
  <c r="AI816" i="1" s="1"/>
  <c r="AH850" i="1"/>
  <c r="AH860" i="1"/>
  <c r="AI860" i="1" s="1"/>
  <c r="Q860" i="1" s="1"/>
  <c r="AH817" i="1"/>
  <c r="AH802" i="1"/>
  <c r="AI802" i="1" s="1"/>
  <c r="AH803" i="1"/>
  <c r="AI803" i="1" s="1"/>
  <c r="AH807" i="1"/>
  <c r="AI807" i="1" s="1"/>
  <c r="Q807" i="1" s="1"/>
  <c r="AH844" i="1"/>
  <c r="AI844" i="1" s="1"/>
  <c r="AH851" i="1"/>
  <c r="AI851" i="1" s="1"/>
  <c r="Q851" i="1" s="1"/>
  <c r="AH823" i="1"/>
  <c r="AH833" i="1"/>
  <c r="AI833" i="1" s="1"/>
  <c r="Q833" i="1" s="1"/>
  <c r="AH857" i="1"/>
  <c r="AI857" i="1" s="1"/>
  <c r="Q857" i="1" s="1"/>
  <c r="AH824" i="1"/>
  <c r="AI824" i="1" s="1"/>
  <c r="AH804" i="1"/>
  <c r="AH798" i="1"/>
  <c r="AI798" i="1" s="1"/>
  <c r="AH828" i="1"/>
  <c r="AI828" i="1" s="1"/>
  <c r="Q828" i="1" s="1"/>
  <c r="AH794" i="1"/>
  <c r="AI794" i="1" s="1"/>
  <c r="AH787" i="1"/>
  <c r="AI787" i="1" s="1"/>
  <c r="AH855" i="1"/>
  <c r="AI855" i="1" s="1"/>
  <c r="AH834" i="1"/>
  <c r="AI834" i="1" s="1"/>
  <c r="AH818" i="1"/>
  <c r="AI818" i="1" s="1"/>
  <c r="AH809" i="1"/>
  <c r="AI809" i="1" s="1"/>
  <c r="AH799" i="1"/>
  <c r="AI799" i="1" s="1"/>
  <c r="AH795" i="1"/>
  <c r="AI795" i="1" s="1"/>
  <c r="AH825" i="1"/>
  <c r="AI825" i="1" s="1"/>
  <c r="AH788" i="1"/>
  <c r="AI788" i="1" s="1"/>
  <c r="AH845" i="1"/>
  <c r="AI845" i="1" s="1"/>
  <c r="AH835" i="1"/>
  <c r="AH819" i="1"/>
  <c r="AH810" i="1"/>
  <c r="AH836" i="1"/>
  <c r="AI836" i="1" s="1"/>
  <c r="AH820" i="1"/>
  <c r="AI820" i="1" s="1"/>
  <c r="AH811" i="1"/>
  <c r="AI811" i="1" s="1"/>
  <c r="AH838" i="1"/>
  <c r="AI838" i="1" s="1"/>
  <c r="AH800" i="1"/>
  <c r="AI800" i="1" s="1"/>
  <c r="AH829" i="1"/>
  <c r="AI829" i="1" s="1"/>
  <c r="Q829" i="1" s="1"/>
  <c r="AH796" i="1"/>
  <c r="AI796" i="1" s="1"/>
  <c r="AH826" i="1"/>
  <c r="AI826" i="1" s="1"/>
  <c r="AH858" i="1"/>
  <c r="AH789" i="1"/>
  <c r="AI789" i="1" s="1"/>
  <c r="AH846" i="1"/>
  <c r="AI846" i="1" s="1"/>
  <c r="AH847" i="1"/>
  <c r="AI847" i="1" s="1"/>
  <c r="AH852" i="1"/>
  <c r="AI852" i="1" s="1"/>
  <c r="AH841" i="1"/>
  <c r="AH837" i="1"/>
  <c r="AI837" i="1" s="1"/>
  <c r="AH821" i="1"/>
  <c r="AI821" i="1" s="1"/>
  <c r="AH853" i="1"/>
  <c r="AH830" i="1"/>
  <c r="AI830" i="1" s="1"/>
  <c r="AH848" i="1"/>
  <c r="AI848" i="1" s="1"/>
  <c r="AH801" i="1"/>
  <c r="AH797" i="1"/>
  <c r="AI797" i="1" s="1"/>
  <c r="AH827" i="1"/>
  <c r="AI827" i="1" s="1"/>
  <c r="AH790" i="1"/>
  <c r="AI790" i="1" s="1"/>
  <c r="AH792" i="1"/>
  <c r="AI792" i="1" s="1"/>
  <c r="AH786" i="1"/>
  <c r="AI786" i="1" s="1"/>
  <c r="AH783" i="1"/>
  <c r="AI783" i="1" s="1"/>
  <c r="AH785" i="1"/>
  <c r="AI785" i="1" s="1"/>
  <c r="AH781" i="1"/>
  <c r="AI781" i="1" s="1"/>
  <c r="AH784" i="1"/>
  <c r="AI784" i="1" s="1"/>
  <c r="AH782" i="1"/>
  <c r="AI782" i="1" s="1"/>
  <c r="AH779" i="1"/>
  <c r="AI779" i="1" s="1"/>
  <c r="AH780" i="1"/>
  <c r="AI780" i="1" s="1"/>
  <c r="AH778" i="1"/>
  <c r="AI778" i="1" s="1"/>
  <c r="AH776" i="1"/>
  <c r="AI776" i="1" s="1"/>
  <c r="AH770" i="1"/>
  <c r="AI770" i="1" s="1"/>
  <c r="AH752" i="1"/>
  <c r="AI752" i="1" s="1"/>
  <c r="AH753" i="1"/>
  <c r="AI753" i="1" s="1"/>
  <c r="AH771" i="1"/>
  <c r="AI771" i="1" s="1"/>
  <c r="AH754" i="1"/>
  <c r="AI754" i="1" s="1"/>
  <c r="AH772" i="1"/>
  <c r="AI772" i="1" s="1"/>
  <c r="AH755" i="1"/>
  <c r="AH773" i="1"/>
  <c r="AH756" i="1"/>
  <c r="AI756" i="1" s="1"/>
  <c r="AH757" i="1"/>
  <c r="AI757" i="1" s="1"/>
  <c r="AH774" i="1"/>
  <c r="AH758" i="1"/>
  <c r="AH759" i="1"/>
  <c r="AI759" i="1" s="1"/>
  <c r="AH777" i="1"/>
  <c r="AI777" i="1" s="1"/>
  <c r="AH775" i="1"/>
  <c r="AH760" i="1"/>
  <c r="AI760" i="1" s="1"/>
  <c r="AH761" i="1"/>
  <c r="AH742" i="1"/>
  <c r="AH748" i="1"/>
  <c r="AH743" i="1"/>
  <c r="AH749" i="1"/>
  <c r="AH744" i="1"/>
  <c r="AI744" i="1" s="1"/>
  <c r="AH750" i="1"/>
  <c r="AI750" i="1" s="1"/>
  <c r="AH745" i="1"/>
  <c r="AI745" i="1" s="1"/>
  <c r="AH740" i="1"/>
  <c r="AI740" i="1" s="1"/>
  <c r="AH746" i="1"/>
  <c r="AI746" i="1" s="1"/>
  <c r="AH741" i="1"/>
  <c r="AI741" i="1" s="1"/>
  <c r="AH747" i="1"/>
  <c r="AI747" i="1" s="1"/>
  <c r="AH751" i="1"/>
  <c r="AI751" i="1" s="1"/>
  <c r="AH738" i="1"/>
  <c r="AI738" i="1" s="1"/>
  <c r="AH735" i="1"/>
  <c r="AI735" i="1" s="1"/>
  <c r="AH736" i="1"/>
  <c r="AI736" i="1" s="1"/>
  <c r="AH737" i="1"/>
  <c r="AI737" i="1" s="1"/>
  <c r="AH732" i="1"/>
  <c r="AI732" i="1" s="1"/>
  <c r="AH733" i="1"/>
  <c r="AH726" i="1"/>
  <c r="AI726" i="1" s="1"/>
  <c r="AH716" i="1"/>
  <c r="AH734" i="1"/>
  <c r="AI734" i="1" s="1"/>
  <c r="AH717" i="1"/>
  <c r="AH718" i="1"/>
  <c r="AI718" i="1" s="1"/>
  <c r="AH721" i="1"/>
  <c r="AI721" i="1" s="1"/>
  <c r="AH727" i="1"/>
  <c r="AI727" i="1" s="1"/>
  <c r="AH724" i="1"/>
  <c r="AH725" i="1"/>
  <c r="AH719" i="1"/>
  <c r="AI719" i="1" s="1"/>
  <c r="AH722" i="1"/>
  <c r="AI722" i="1" s="1"/>
  <c r="AH728" i="1"/>
  <c r="AI728" i="1" s="1"/>
  <c r="AH723" i="1"/>
  <c r="AI723" i="1" s="1"/>
  <c r="AH720" i="1"/>
  <c r="AI720" i="1" s="1"/>
  <c r="AH729" i="1"/>
  <c r="AI729" i="1" s="1"/>
  <c r="AH730" i="1"/>
  <c r="AH731" i="1"/>
  <c r="AH715" i="1"/>
  <c r="AI715" i="1" s="1"/>
  <c r="AH714" i="1"/>
  <c r="AI714" i="1" s="1"/>
  <c r="AH713" i="1"/>
  <c r="AI713" i="1" s="1"/>
  <c r="AH712" i="1"/>
  <c r="AI712" i="1" s="1"/>
  <c r="AH711" i="1"/>
  <c r="AI711" i="1" s="1"/>
  <c r="AH703" i="1"/>
  <c r="AH704" i="1"/>
  <c r="AH705" i="1"/>
  <c r="AI705" i="1" s="1"/>
  <c r="AH709" i="1"/>
  <c r="AI709" i="1" s="1"/>
  <c r="AH707" i="1"/>
  <c r="AI707" i="1" s="1"/>
  <c r="AH710" i="1"/>
  <c r="AI710" i="1" s="1"/>
  <c r="AH706" i="1"/>
  <c r="AI706" i="1" s="1"/>
  <c r="AH708" i="1"/>
  <c r="AI708" i="1" s="1"/>
  <c r="AH702" i="1"/>
  <c r="AH701" i="1"/>
  <c r="AI701" i="1" s="1"/>
  <c r="AH698" i="1"/>
  <c r="AI698" i="1" s="1"/>
  <c r="AH689" i="1"/>
  <c r="AI689" i="1" s="1"/>
  <c r="AH699" i="1"/>
  <c r="AH677" i="1"/>
  <c r="AI677" i="1" s="1"/>
  <c r="AH671" i="1"/>
  <c r="AH692" i="1"/>
  <c r="AH693" i="1"/>
  <c r="AI693" i="1" s="1"/>
  <c r="AH700" i="1"/>
  <c r="AI700" i="1" s="1"/>
  <c r="AH694" i="1"/>
  <c r="AI694" i="1" s="1"/>
  <c r="AH690" i="1"/>
  <c r="AH678" i="1"/>
  <c r="AI678" i="1" s="1"/>
  <c r="AH688" i="1"/>
  <c r="AI688" i="1" s="1"/>
  <c r="AH675" i="1"/>
  <c r="AI675" i="1" s="1"/>
  <c r="AH682" i="1"/>
  <c r="AI682" i="1" s="1"/>
  <c r="AH672" i="1"/>
  <c r="AH683" i="1"/>
  <c r="AI683" i="1" s="1"/>
  <c r="AH676" i="1"/>
  <c r="AI676" i="1" s="1"/>
  <c r="AH684" i="1"/>
  <c r="AI684" i="1" s="1"/>
  <c r="AH691" i="1"/>
  <c r="AI691" i="1" s="1"/>
  <c r="AH696" i="1"/>
  <c r="AI696" i="1" s="1"/>
  <c r="AH697" i="1"/>
  <c r="AI697" i="1" s="1"/>
  <c r="AH685" i="1"/>
  <c r="AI685" i="1" s="1"/>
  <c r="AH695" i="1"/>
  <c r="AI695" i="1" s="1"/>
  <c r="AH686" i="1"/>
  <c r="AI686" i="1" s="1"/>
  <c r="AH673" i="1"/>
  <c r="AI673" i="1" s="1"/>
  <c r="AH669" i="1"/>
  <c r="AI669" i="1" s="1"/>
  <c r="AH670" i="1"/>
  <c r="AI670" i="1" s="1"/>
  <c r="AH687" i="1"/>
  <c r="AI687" i="1" s="1"/>
  <c r="AH674" i="1"/>
  <c r="AH666" i="1"/>
  <c r="AI666" i="1" s="1"/>
  <c r="AH658" i="1"/>
  <c r="AI658" i="1" s="1"/>
  <c r="AH660" i="1"/>
  <c r="AI660" i="1" s="1"/>
  <c r="AH659" i="1"/>
  <c r="AI659" i="1" s="1"/>
  <c r="AH667" i="1"/>
  <c r="AI667" i="1" s="1"/>
  <c r="AH661" i="1"/>
  <c r="AI661" i="1" s="1"/>
  <c r="AH662" i="1"/>
  <c r="AI662" i="1" s="1"/>
  <c r="AH663" i="1"/>
  <c r="AH668" i="1"/>
  <c r="AI668" i="1" s="1"/>
  <c r="AH664" i="1"/>
  <c r="AI664" i="1" s="1"/>
  <c r="AH665" i="1"/>
  <c r="AI665" i="1" s="1"/>
  <c r="AH652" i="1"/>
  <c r="AH651" i="1"/>
  <c r="AI651" i="1" s="1"/>
  <c r="AH656" i="1"/>
  <c r="AH657" i="1"/>
  <c r="AH655" i="1"/>
  <c r="AH653" i="1"/>
  <c r="AI653" i="1" s="1"/>
  <c r="AH654" i="1"/>
  <c r="AI654" i="1" s="1"/>
  <c r="AH647" i="1"/>
  <c r="AI647" i="1" s="1"/>
  <c r="AH648" i="1"/>
  <c r="AI648" i="1" s="1"/>
  <c r="AH642" i="1"/>
  <c r="AI642" i="1" s="1"/>
  <c r="AH641" i="1"/>
  <c r="AI641" i="1" s="1"/>
  <c r="AH637" i="1"/>
  <c r="AH639" i="1"/>
  <c r="AI639" i="1" s="1"/>
  <c r="Q639" i="1" s="1"/>
  <c r="AH634" i="1"/>
  <c r="AH645" i="1"/>
  <c r="AI645" i="1" s="1"/>
  <c r="AH646" i="1"/>
  <c r="AI646" i="1" s="1"/>
  <c r="AH643" i="1"/>
  <c r="AI643" i="1" s="1"/>
  <c r="AH644" i="1"/>
  <c r="AI644" i="1" s="1"/>
  <c r="AH640" i="1"/>
  <c r="AI640" i="1" s="1"/>
  <c r="AH635" i="1"/>
  <c r="AI635" i="1" s="1"/>
  <c r="AH636" i="1"/>
  <c r="AI636" i="1" s="1"/>
  <c r="AH638" i="1"/>
  <c r="AI638" i="1" s="1"/>
  <c r="AH631" i="1"/>
  <c r="AH632" i="1"/>
  <c r="AH630" i="1"/>
  <c r="AH633" i="1"/>
  <c r="AI633" i="1" s="1"/>
  <c r="AH618" i="1"/>
  <c r="AI618" i="1" s="1"/>
  <c r="AH628" i="1"/>
  <c r="AI628" i="1" s="1"/>
  <c r="AH626" i="1"/>
  <c r="AI626" i="1" s="1"/>
  <c r="AH624" i="1"/>
  <c r="AI624" i="1" s="1"/>
  <c r="AH622" i="1"/>
  <c r="AI622" i="1" s="1"/>
  <c r="AH620" i="1"/>
  <c r="AI620" i="1" s="1"/>
  <c r="AH619" i="1"/>
  <c r="AI619" i="1" s="1"/>
  <c r="AH623" i="1"/>
  <c r="AI623" i="1" s="1"/>
  <c r="AH629" i="1"/>
  <c r="AI629" i="1" s="1"/>
  <c r="AH621" i="1"/>
  <c r="AI621" i="1" s="1"/>
  <c r="AH627" i="1"/>
  <c r="AI627" i="1" s="1"/>
  <c r="AH625" i="1"/>
  <c r="AI625" i="1" s="1"/>
  <c r="AH617" i="1"/>
  <c r="AI617" i="1" s="1"/>
  <c r="AH614" i="1"/>
  <c r="AI614" i="1" s="1"/>
  <c r="AH615" i="1"/>
  <c r="AI615" i="1" s="1"/>
  <c r="AH613" i="1"/>
  <c r="AI613" i="1" s="1"/>
  <c r="AH612" i="1"/>
  <c r="AI612" i="1" s="1"/>
  <c r="AH616" i="1"/>
  <c r="AI616" i="1" s="1"/>
  <c r="AH610" i="1"/>
  <c r="AH611" i="1"/>
  <c r="AH608" i="1"/>
  <c r="AH609" i="1"/>
  <c r="AH604" i="1"/>
  <c r="AI604" i="1" s="1"/>
  <c r="AH600" i="1"/>
  <c r="AI600" i="1" s="1"/>
  <c r="AH601" i="1"/>
  <c r="AI601" i="1" s="1"/>
  <c r="AH599" i="1"/>
  <c r="AI599" i="1" s="1"/>
  <c r="AH602" i="1"/>
  <c r="AI602" i="1" s="1"/>
  <c r="AH605" i="1"/>
  <c r="AI605" i="1" s="1"/>
  <c r="AH606" i="1"/>
  <c r="AI606" i="1" s="1"/>
  <c r="AH603" i="1"/>
  <c r="AI603" i="1" s="1"/>
  <c r="AH598" i="1"/>
  <c r="AI598" i="1" s="1"/>
  <c r="AH593" i="1"/>
  <c r="AH592" i="1"/>
  <c r="AH596" i="1"/>
  <c r="AI596" i="1" s="1"/>
  <c r="AH594" i="1"/>
  <c r="AI594" i="1" s="1"/>
  <c r="AH590" i="1"/>
  <c r="AI590" i="1" s="1"/>
  <c r="AH597" i="1"/>
  <c r="AI597" i="1" s="1"/>
  <c r="AH595" i="1"/>
  <c r="AH591" i="1"/>
  <c r="AI591" i="1" s="1"/>
  <c r="AH589" i="1"/>
  <c r="AI589" i="1" s="1"/>
  <c r="AH588" i="1"/>
  <c r="AI588" i="1" s="1"/>
  <c r="AH584" i="1"/>
  <c r="AH585" i="1"/>
  <c r="AH582" i="1"/>
  <c r="AH583" i="1"/>
  <c r="AH580" i="1"/>
  <c r="AI580" i="1" s="1"/>
  <c r="AH581" i="1"/>
  <c r="AI581" i="1" s="1"/>
  <c r="AH586" i="1"/>
  <c r="AI586" i="1" s="1"/>
  <c r="AH587" i="1"/>
  <c r="AI587" i="1" s="1"/>
  <c r="AH579" i="1"/>
  <c r="AI579" i="1" s="1"/>
  <c r="AH576" i="1"/>
  <c r="AI576" i="1" s="1"/>
  <c r="AH578" i="1"/>
  <c r="AI578" i="1" s="1"/>
  <c r="AH577" i="1"/>
  <c r="AI577" i="1" s="1"/>
  <c r="AH575" i="1"/>
  <c r="AI575" i="1" s="1"/>
  <c r="AH573" i="1"/>
  <c r="AI573" i="1" s="1"/>
  <c r="AH574" i="1"/>
  <c r="AI574" i="1" s="1"/>
  <c r="AH572" i="1"/>
  <c r="AI572" i="1" s="1"/>
  <c r="AH562" i="1"/>
  <c r="AI562" i="1" s="1"/>
  <c r="AH543" i="1"/>
  <c r="AI543" i="1" s="1"/>
  <c r="AH536" i="1"/>
  <c r="AI536" i="1" s="1"/>
  <c r="AH563" i="1"/>
  <c r="AI563" i="1" s="1"/>
  <c r="AH544" i="1"/>
  <c r="AI544" i="1" s="1"/>
  <c r="AH538" i="1"/>
  <c r="AH568" i="1"/>
  <c r="AI568" i="1" s="1"/>
  <c r="AH569" i="1"/>
  <c r="AI569" i="1" s="1"/>
  <c r="AH570" i="1"/>
  <c r="AI570" i="1" s="1"/>
  <c r="AH571" i="1"/>
  <c r="AI571" i="1" s="1"/>
  <c r="AH545" i="1"/>
  <c r="AI545" i="1" s="1"/>
  <c r="AH539" i="1"/>
  <c r="AH540" i="1"/>
  <c r="AI540" i="1" s="1"/>
  <c r="AH546" i="1"/>
  <c r="AI546" i="1" s="1"/>
  <c r="AH541" i="1"/>
  <c r="AI541" i="1" s="1"/>
  <c r="AH547" i="1"/>
  <c r="AI547" i="1" s="1"/>
  <c r="AH565" i="1"/>
  <c r="AH550" i="1"/>
  <c r="AI550" i="1" s="1"/>
  <c r="AH551" i="1"/>
  <c r="AI551" i="1" s="1"/>
  <c r="AH555" i="1"/>
  <c r="AI555" i="1" s="1"/>
  <c r="AH566" i="1"/>
  <c r="AI566" i="1" s="1"/>
  <c r="AH567" i="1"/>
  <c r="AI567" i="1" s="1"/>
  <c r="AH557" i="1"/>
  <c r="AI557" i="1" s="1"/>
  <c r="AH558" i="1"/>
  <c r="AI558" i="1" s="1"/>
  <c r="AH559" i="1"/>
  <c r="AI559" i="1" s="1"/>
  <c r="AH552" i="1"/>
  <c r="AI552" i="1" s="1"/>
  <c r="AH553" i="1"/>
  <c r="AI553" i="1" s="1"/>
  <c r="AH564" i="1"/>
  <c r="AI564" i="1" s="1"/>
  <c r="AH560" i="1"/>
  <c r="AI560" i="1" s="1"/>
  <c r="AH556" i="1"/>
  <c r="AI556" i="1" s="1"/>
  <c r="AH554" i="1"/>
  <c r="AI554" i="1" s="1"/>
  <c r="AH542" i="1"/>
  <c r="AI542" i="1" s="1"/>
  <c r="AH537" i="1"/>
  <c r="AI537" i="1" s="1"/>
  <c r="AH561" i="1"/>
  <c r="AI561" i="1" s="1"/>
  <c r="AH535" i="1"/>
  <c r="AI535" i="1" s="1"/>
  <c r="AH533" i="1"/>
  <c r="AH534" i="1"/>
  <c r="AI534" i="1" s="1"/>
  <c r="AH530" i="1"/>
  <c r="AI530" i="1" s="1"/>
  <c r="AH528" i="1"/>
  <c r="AI528" i="1" s="1"/>
  <c r="AH531" i="1"/>
  <c r="AI531" i="1" s="1"/>
  <c r="AH529" i="1"/>
  <c r="AI529" i="1" s="1"/>
  <c r="AH525" i="1"/>
  <c r="AI525" i="1" s="1"/>
  <c r="AH526" i="1"/>
  <c r="AI526" i="1" s="1"/>
  <c r="AH521" i="1"/>
  <c r="AI521" i="1" s="1"/>
  <c r="AH523" i="1"/>
  <c r="AI523" i="1" s="1"/>
  <c r="AH527" i="1"/>
  <c r="AI527" i="1" s="1"/>
  <c r="AH524" i="1"/>
  <c r="AI524" i="1" s="1"/>
  <c r="AH522" i="1"/>
  <c r="AH532" i="1"/>
  <c r="AH514" i="1"/>
  <c r="AI514" i="1" s="1"/>
  <c r="AH518" i="1"/>
  <c r="AI518" i="1" s="1"/>
  <c r="AH515" i="1"/>
  <c r="AI515" i="1" s="1"/>
  <c r="AH516" i="1"/>
  <c r="AI516" i="1" s="1"/>
  <c r="AH519" i="1"/>
  <c r="AI519" i="1" s="1"/>
  <c r="AH517" i="1"/>
  <c r="AI517" i="1" s="1"/>
  <c r="AH520" i="1"/>
  <c r="AI520" i="1" s="1"/>
  <c r="AH510" i="1"/>
  <c r="AH496" i="1"/>
  <c r="AI496" i="1" s="1"/>
  <c r="AH489" i="1"/>
  <c r="AH486" i="1"/>
  <c r="AI486" i="1" s="1"/>
  <c r="AH506" i="1"/>
  <c r="AH507" i="1"/>
  <c r="AH484" i="1"/>
  <c r="AI484" i="1" s="1"/>
  <c r="AH490" i="1"/>
  <c r="AH494" i="1"/>
  <c r="AH495" i="1"/>
  <c r="AI495" i="1" s="1"/>
  <c r="AH499" i="1"/>
  <c r="AI499" i="1" s="1"/>
  <c r="AH485" i="1"/>
  <c r="AI485" i="1" s="1"/>
  <c r="AH491" i="1"/>
  <c r="AI491" i="1" s="1"/>
  <c r="AH511" i="1"/>
  <c r="AI511" i="1" s="1"/>
  <c r="AH500" i="1"/>
  <c r="AI500" i="1" s="1"/>
  <c r="AH497" i="1"/>
  <c r="AI497" i="1" s="1"/>
  <c r="AH487" i="1"/>
  <c r="AI487" i="1" s="1"/>
  <c r="AH488" i="1"/>
  <c r="AI488" i="1" s="1"/>
  <c r="AH492" i="1"/>
  <c r="AH503" i="1"/>
  <c r="AI503" i="1" s="1"/>
  <c r="AH512" i="1"/>
  <c r="AI512" i="1" s="1"/>
  <c r="AH513" i="1"/>
  <c r="AI513" i="1" s="1"/>
  <c r="AH504" i="1"/>
  <c r="AI504" i="1" s="1"/>
  <c r="AH493" i="1"/>
  <c r="AI493" i="1" s="1"/>
  <c r="AH508" i="1"/>
  <c r="AI508" i="1" s="1"/>
  <c r="AH509" i="1"/>
  <c r="AH505" i="1"/>
  <c r="AI505" i="1" s="1"/>
  <c r="AH498" i="1"/>
  <c r="AI498" i="1" s="1"/>
  <c r="AH481" i="1"/>
  <c r="AH482" i="1"/>
  <c r="AI482" i="1" s="1"/>
  <c r="AH483" i="1"/>
  <c r="AI483" i="1" s="1"/>
  <c r="AH477" i="1"/>
  <c r="AH480" i="1"/>
  <c r="AI480" i="1" s="1"/>
  <c r="AH478" i="1"/>
  <c r="AH479" i="1"/>
  <c r="AH469" i="1"/>
  <c r="AI469" i="1" s="1"/>
  <c r="AH453" i="1"/>
  <c r="AI453" i="1" s="1"/>
  <c r="AH454" i="1"/>
  <c r="AI454" i="1" s="1"/>
  <c r="AH440" i="1"/>
  <c r="AI440" i="1" s="1"/>
  <c r="AH460" i="1"/>
  <c r="AI460" i="1" s="1"/>
  <c r="AH461" i="1"/>
  <c r="AI461" i="1" s="1"/>
  <c r="AH455" i="1"/>
  <c r="AI455" i="1" s="1"/>
  <c r="AH441" i="1"/>
  <c r="AI441" i="1" s="1"/>
  <c r="AH465" i="1"/>
  <c r="AI465" i="1" s="1"/>
  <c r="AH473" i="1"/>
  <c r="AI473" i="1" s="1"/>
  <c r="AH467" i="1"/>
  <c r="AI467" i="1" s="1"/>
  <c r="AH456" i="1"/>
  <c r="AI456" i="1" s="1"/>
  <c r="AH446" i="1"/>
  <c r="AI446" i="1" s="1"/>
  <c r="AH476" i="1"/>
  <c r="AI476" i="1" s="1"/>
  <c r="AH447" i="1"/>
  <c r="AH470" i="1"/>
  <c r="AH464" i="1"/>
  <c r="AI464" i="1" s="1"/>
  <c r="AH448" i="1"/>
  <c r="AI448" i="1" s="1"/>
  <c r="AH457" i="1"/>
  <c r="AH444" i="1"/>
  <c r="AI444" i="1" s="1"/>
  <c r="AH458" i="1"/>
  <c r="AI458" i="1" s="1"/>
  <c r="AH449" i="1"/>
  <c r="AI449" i="1" s="1"/>
  <c r="AH445" i="1"/>
  <c r="AI445" i="1" s="1"/>
  <c r="AH450" i="1"/>
  <c r="AI450" i="1" s="1"/>
  <c r="AH451" i="1"/>
  <c r="AI451" i="1" s="1"/>
  <c r="AH452" i="1"/>
  <c r="AI452" i="1" s="1"/>
  <c r="AH474" i="1"/>
  <c r="AI474" i="1" s="1"/>
  <c r="AH468" i="1"/>
  <c r="AI468" i="1" s="1"/>
  <c r="AH442" i="1"/>
  <c r="AI442" i="1" s="1"/>
  <c r="AH462" i="1"/>
  <c r="AI462" i="1" s="1"/>
  <c r="AH459" i="1"/>
  <c r="AI459" i="1" s="1"/>
  <c r="AH443" i="1"/>
  <c r="AI443" i="1" s="1"/>
  <c r="AH471" i="1"/>
  <c r="AI471" i="1" s="1"/>
  <c r="AH472" i="1"/>
  <c r="AI472" i="1" s="1"/>
  <c r="AH466" i="1"/>
  <c r="AI466" i="1" s="1"/>
  <c r="AH463" i="1"/>
  <c r="AI463" i="1" s="1"/>
  <c r="AH475" i="1"/>
  <c r="AI475" i="1" s="1"/>
  <c r="AH438" i="1"/>
  <c r="AI438" i="1" s="1"/>
  <c r="AH437" i="1"/>
  <c r="AI437" i="1" s="1"/>
  <c r="AH436" i="1"/>
  <c r="AI436" i="1" s="1"/>
  <c r="AH435" i="1"/>
  <c r="AI435" i="1" s="1"/>
  <c r="AH433" i="1"/>
  <c r="AI433" i="1" s="1"/>
  <c r="AH434" i="1"/>
  <c r="AI434" i="1" s="1"/>
  <c r="AH432" i="1"/>
  <c r="AI432" i="1" s="1"/>
  <c r="AH430" i="1"/>
  <c r="AI430" i="1" s="1"/>
  <c r="AH431" i="1"/>
  <c r="AI431" i="1" s="1"/>
  <c r="AH429" i="1"/>
  <c r="AI429" i="1" s="1"/>
  <c r="AH428" i="1"/>
  <c r="AH426" i="1"/>
  <c r="AH427" i="1"/>
  <c r="AH422" i="1"/>
  <c r="AI422" i="1" s="1"/>
  <c r="AH423" i="1"/>
  <c r="AI423" i="1" s="1"/>
  <c r="AH419" i="1"/>
  <c r="AI419" i="1" s="1"/>
  <c r="AH424" i="1"/>
  <c r="AI424" i="1" s="1"/>
  <c r="AH420" i="1"/>
  <c r="AI420" i="1" s="1"/>
  <c r="AH425" i="1"/>
  <c r="AI425" i="1" s="1"/>
  <c r="AH421" i="1"/>
  <c r="AI421" i="1" s="1"/>
  <c r="AH414" i="1"/>
  <c r="AH417" i="1"/>
  <c r="AH418" i="1"/>
  <c r="AH416" i="1"/>
  <c r="AI416" i="1" s="1"/>
  <c r="AH415" i="1"/>
  <c r="AH411" i="1"/>
  <c r="AH412" i="1"/>
  <c r="AI412" i="1" s="1"/>
  <c r="AH406" i="1"/>
  <c r="AI406" i="1" s="1"/>
  <c r="AH403" i="1"/>
  <c r="AI403" i="1" s="1"/>
  <c r="AH402" i="1"/>
  <c r="AI402" i="1" s="1"/>
  <c r="AH390" i="1"/>
  <c r="AI390" i="1" s="1"/>
  <c r="AH391" i="1"/>
  <c r="AI391" i="1" s="1"/>
  <c r="AH408" i="1"/>
  <c r="AI408" i="1" s="1"/>
  <c r="AH392" i="1"/>
  <c r="AI392" i="1" s="1"/>
  <c r="AH393" i="1"/>
  <c r="AI393" i="1" s="1"/>
  <c r="AH407" i="1"/>
  <c r="AI407" i="1" s="1"/>
  <c r="AH399" i="1"/>
  <c r="AH394" i="1"/>
  <c r="AI394" i="1" s="1"/>
  <c r="AH404" i="1"/>
  <c r="AI404" i="1" s="1"/>
  <c r="AH409" i="1"/>
  <c r="AI409" i="1" s="1"/>
  <c r="AH395" i="1"/>
  <c r="AI395" i="1" s="1"/>
  <c r="AH396" i="1"/>
  <c r="AH397" i="1"/>
  <c r="AI397" i="1" s="1"/>
  <c r="AH413" i="1"/>
  <c r="AI413" i="1" s="1"/>
  <c r="AH400" i="1"/>
  <c r="AI400" i="1" s="1"/>
  <c r="AH410" i="1"/>
  <c r="AH405" i="1"/>
  <c r="AI405" i="1" s="1"/>
  <c r="AH401" i="1"/>
  <c r="AI401" i="1" s="1"/>
  <c r="AH398" i="1"/>
  <c r="AI398" i="1" s="1"/>
  <c r="AH387" i="1"/>
  <c r="AI387" i="1" s="1"/>
  <c r="AH388" i="1"/>
  <c r="AI388" i="1" s="1"/>
  <c r="AH389" i="1"/>
  <c r="AI389" i="1" s="1"/>
  <c r="AH376" i="1"/>
  <c r="AI376" i="1" s="1"/>
  <c r="AH377" i="1"/>
  <c r="AI377" i="1" s="1"/>
  <c r="AH378" i="1"/>
  <c r="AI378" i="1" s="1"/>
  <c r="AH373" i="1"/>
  <c r="AI373" i="1" s="1"/>
  <c r="Q373" i="1" s="1"/>
  <c r="AH359" i="1"/>
  <c r="AI359" i="1" s="1"/>
  <c r="AH360" i="1"/>
  <c r="AI360" i="1" s="1"/>
  <c r="AH353" i="1"/>
  <c r="AI353" i="1" s="1"/>
  <c r="Q353" i="1" s="1"/>
  <c r="AH379" i="1"/>
  <c r="AI379" i="1" s="1"/>
  <c r="Q379" i="1" s="1"/>
  <c r="AH361" i="1"/>
  <c r="AI361" i="1" s="1"/>
  <c r="Q361" i="1" s="1"/>
  <c r="AH354" i="1"/>
  <c r="AI354" i="1" s="1"/>
  <c r="Q354" i="1" s="1"/>
  <c r="AH380" i="1"/>
  <c r="AI380" i="1" s="1"/>
  <c r="Q380" i="1" s="1"/>
  <c r="AH362" i="1"/>
  <c r="AI362" i="1" s="1"/>
  <c r="Q362" i="1" s="1"/>
  <c r="AH355" i="1"/>
  <c r="AI355" i="1" s="1"/>
  <c r="Q355" i="1" s="1"/>
  <c r="AH374" i="1"/>
  <c r="AI374" i="1" s="1"/>
  <c r="Q374" i="1" s="1"/>
  <c r="AH363" i="1"/>
  <c r="AI363" i="1" s="1"/>
  <c r="Q363" i="1" s="1"/>
  <c r="AH356" i="1"/>
  <c r="AI356" i="1" s="1"/>
  <c r="Q356" i="1" s="1"/>
  <c r="AH384" i="1"/>
  <c r="AI384" i="1" s="1"/>
  <c r="AH385" i="1"/>
  <c r="AI385" i="1" s="1"/>
  <c r="AH364" i="1"/>
  <c r="AI364" i="1" s="1"/>
  <c r="AH370" i="1"/>
  <c r="AH381" i="1"/>
  <c r="AH382" i="1"/>
  <c r="AH365" i="1"/>
  <c r="AI365" i="1" s="1"/>
  <c r="Q365" i="1" s="1"/>
  <c r="AH383" i="1"/>
  <c r="AI383" i="1" s="1"/>
  <c r="AH371" i="1"/>
  <c r="AI371" i="1" s="1"/>
  <c r="AH357" i="1"/>
  <c r="AI357" i="1" s="1"/>
  <c r="AH366" i="1"/>
  <c r="AI366" i="1" s="1"/>
  <c r="AH367" i="1"/>
  <c r="AH386" i="1"/>
  <c r="AI386" i="1" s="1"/>
  <c r="AH372" i="1"/>
  <c r="AI372" i="1" s="1"/>
  <c r="AH368" i="1"/>
  <c r="AI368" i="1" s="1"/>
  <c r="AH369" i="1"/>
  <c r="AI369" i="1" s="1"/>
  <c r="AH375" i="1"/>
  <c r="AI375" i="1" s="1"/>
  <c r="AH358" i="1"/>
  <c r="AI358" i="1" s="1"/>
  <c r="AH346" i="1"/>
  <c r="AH334" i="1"/>
  <c r="AI334" i="1" s="1"/>
  <c r="Q334" i="1" s="1"/>
  <c r="AH340" i="1"/>
  <c r="AI340" i="1" s="1"/>
  <c r="AH335" i="1"/>
  <c r="AH336" i="1"/>
  <c r="AI336" i="1" s="1"/>
  <c r="AH341" i="1"/>
  <c r="AI341" i="1" s="1"/>
  <c r="AH333" i="1"/>
  <c r="AH337" i="1"/>
  <c r="AI337" i="1" s="1"/>
  <c r="Q337" i="1" s="1"/>
  <c r="AH347" i="1"/>
  <c r="AH342" i="1"/>
  <c r="AH352" i="1"/>
  <c r="AI352" i="1" s="1"/>
  <c r="AH348" i="1"/>
  <c r="AI348" i="1" s="1"/>
  <c r="AH344" i="1"/>
  <c r="AI344" i="1" s="1"/>
  <c r="AH345" i="1"/>
  <c r="AI345" i="1" s="1"/>
  <c r="AH339" i="1"/>
  <c r="AI339" i="1" s="1"/>
  <c r="AH327" i="1"/>
  <c r="AI327" i="1" s="1"/>
  <c r="AH329" i="1"/>
  <c r="AI329" i="1" s="1"/>
  <c r="AH328" i="1"/>
  <c r="AI328" i="1" s="1"/>
  <c r="AH330" i="1"/>
  <c r="AI330" i="1" s="1"/>
  <c r="AH326" i="1"/>
  <c r="AI326" i="1" s="1"/>
  <c r="AH331" i="1"/>
  <c r="AI331" i="1" s="1"/>
  <c r="AH324" i="1"/>
  <c r="AI324" i="1" s="1"/>
  <c r="AH325" i="1"/>
  <c r="AI325" i="1" s="1"/>
  <c r="AH309" i="1"/>
  <c r="AH315" i="1"/>
  <c r="AH318" i="1"/>
  <c r="AH316" i="1"/>
  <c r="AH322" i="1"/>
  <c r="AH319" i="1"/>
  <c r="AH310" i="1"/>
  <c r="AH312" i="1"/>
  <c r="AH311" i="1"/>
  <c r="AH313" i="1"/>
  <c r="AH323" i="1"/>
  <c r="AH320" i="1"/>
  <c r="AH321" i="1"/>
  <c r="AH317" i="1"/>
  <c r="AH314" i="1"/>
  <c r="AH305" i="1"/>
  <c r="AI305" i="1" s="1"/>
  <c r="AH306" i="1"/>
  <c r="AI306" i="1" s="1"/>
  <c r="AH301" i="1"/>
  <c r="AI301" i="1" s="1"/>
  <c r="AH308" i="1"/>
  <c r="AI308" i="1" s="1"/>
  <c r="AH302" i="1"/>
  <c r="AI302" i="1" s="1"/>
  <c r="AH300" i="1"/>
  <c r="AI300" i="1" s="1"/>
  <c r="AH292" i="1"/>
  <c r="AI292" i="1" s="1"/>
  <c r="AH298" i="1"/>
  <c r="AH303" i="1"/>
  <c r="AI303" i="1" s="1"/>
  <c r="AH304" i="1"/>
  <c r="AI304" i="1" s="1"/>
  <c r="AH293" i="1"/>
  <c r="AI293" i="1" s="1"/>
  <c r="AH295" i="1"/>
  <c r="AI295" i="1" s="1"/>
  <c r="AH307" i="1"/>
  <c r="AI307" i="1" s="1"/>
  <c r="AH296" i="1"/>
  <c r="AI296" i="1" s="1"/>
  <c r="AH299" i="1"/>
  <c r="AI299" i="1" s="1"/>
  <c r="AH294" i="1"/>
  <c r="AI294" i="1" s="1"/>
  <c r="AH284" i="1"/>
  <c r="AI284" i="1" s="1"/>
  <c r="AH285" i="1"/>
  <c r="AH282" i="1"/>
  <c r="AI282" i="1" s="1"/>
  <c r="AH271" i="1"/>
  <c r="AI271" i="1" s="1"/>
  <c r="AH264" i="1"/>
  <c r="AI264" i="1" s="1"/>
  <c r="AH265" i="1"/>
  <c r="AI265" i="1" s="1"/>
  <c r="AH263" i="1"/>
  <c r="AI263" i="1" s="1"/>
  <c r="AH283" i="1"/>
  <c r="AI283" i="1" s="1"/>
  <c r="AH286" i="1"/>
  <c r="AI286" i="1" s="1"/>
  <c r="AH287" i="1"/>
  <c r="AI287" i="1" s="1"/>
  <c r="AH272" i="1"/>
  <c r="AI272" i="1" s="1"/>
  <c r="AH288" i="1"/>
  <c r="AI288" i="1" s="1"/>
  <c r="AH266" i="1"/>
  <c r="AH267" i="1"/>
  <c r="AI267" i="1" s="1"/>
  <c r="AH280" i="1"/>
  <c r="AI280" i="1" s="1"/>
  <c r="Q280" i="1" s="1"/>
  <c r="AH281" i="1"/>
  <c r="AH274" i="1"/>
  <c r="AI274" i="1" s="1"/>
  <c r="Q274" i="1" s="1"/>
  <c r="AH268" i="1"/>
  <c r="AH290" i="1"/>
  <c r="AI290" i="1" s="1"/>
  <c r="AH277" i="1"/>
  <c r="AI277" i="1" s="1"/>
  <c r="AH269" i="1"/>
  <c r="AI269" i="1" s="1"/>
  <c r="Q269" i="1" s="1"/>
  <c r="AH276" i="1"/>
  <c r="AH289" i="1"/>
  <c r="AI289" i="1" s="1"/>
  <c r="AH279" i="1"/>
  <c r="AI279" i="1" s="1"/>
  <c r="AH270" i="1"/>
  <c r="AH261" i="1"/>
  <c r="AI261" i="1" s="1"/>
  <c r="AH262" i="1"/>
  <c r="AI262" i="1" s="1"/>
  <c r="AH257" i="1"/>
  <c r="AH260" i="1"/>
  <c r="AH258" i="1"/>
  <c r="AH259" i="1"/>
  <c r="AI259" i="1" s="1"/>
  <c r="AH254" i="1"/>
  <c r="AH256" i="1"/>
  <c r="AI256" i="1" s="1"/>
  <c r="AH253" i="1"/>
  <c r="AI253" i="1" s="1"/>
  <c r="AH255" i="1"/>
  <c r="AI255" i="1" s="1"/>
  <c r="AH251" i="1"/>
  <c r="AI251" i="1" s="1"/>
  <c r="AH252" i="1"/>
  <c r="AI252" i="1" s="1"/>
  <c r="AH242" i="1"/>
  <c r="AI242" i="1" s="1"/>
  <c r="AH234" i="1"/>
  <c r="AI234" i="1" s="1"/>
  <c r="AH235" i="1"/>
  <c r="AI235" i="1" s="1"/>
  <c r="AH223" i="1"/>
  <c r="AI223" i="1" s="1"/>
  <c r="AH225" i="1"/>
  <c r="AI225" i="1" s="1"/>
  <c r="AH215" i="1"/>
  <c r="AI215" i="1" s="1"/>
  <c r="AH224" i="1"/>
  <c r="AI224" i="1" s="1"/>
  <c r="AH246" i="1"/>
  <c r="AI246" i="1" s="1"/>
  <c r="AH240" i="1"/>
  <c r="AI240" i="1" s="1"/>
  <c r="AH243" i="1"/>
  <c r="AI243" i="1" s="1"/>
  <c r="AH226" i="1"/>
  <c r="AI226" i="1" s="1"/>
  <c r="AH216" i="1"/>
  <c r="AI216" i="1" s="1"/>
  <c r="AH217" i="1"/>
  <c r="AI217" i="1" s="1"/>
  <c r="AH208" i="1"/>
  <c r="AI208" i="1" s="1"/>
  <c r="AH249" i="1"/>
  <c r="AI249" i="1" s="1"/>
  <c r="AH230" i="1"/>
  <c r="AI230" i="1" s="1"/>
  <c r="AH233" i="1"/>
  <c r="AH250" i="1"/>
  <c r="AH247" i="1"/>
  <c r="AH248" i="1"/>
  <c r="AI248" i="1" s="1"/>
  <c r="AH244" i="1"/>
  <c r="AI244" i="1" s="1"/>
  <c r="AH231" i="1"/>
  <c r="AH227" i="1"/>
  <c r="AI227" i="1" s="1"/>
  <c r="AH218" i="1"/>
  <c r="AI218" i="1" s="1"/>
  <c r="AH219" i="1"/>
  <c r="AI219" i="1" s="1"/>
  <c r="AH209" i="1"/>
  <c r="AI209" i="1" s="1"/>
  <c r="AH238" i="1"/>
  <c r="AH245" i="1"/>
  <c r="AH220" i="1"/>
  <c r="AH210" i="1"/>
  <c r="AH228" i="1"/>
  <c r="AH221" i="1"/>
  <c r="AI221" i="1" s="1"/>
  <c r="AH211" i="1"/>
  <c r="AI211" i="1" s="1"/>
  <c r="AH212" i="1"/>
  <c r="AI212" i="1" s="1"/>
  <c r="AH236" i="1"/>
  <c r="AI236" i="1" s="1"/>
  <c r="AH239" i="1"/>
  <c r="AI239" i="1" s="1"/>
  <c r="AH241" i="1"/>
  <c r="AI241" i="1" s="1"/>
  <c r="AH232" i="1"/>
  <c r="AI232" i="1" s="1"/>
  <c r="AH213" i="1"/>
  <c r="AI213" i="1" s="1"/>
  <c r="Q213" i="1" s="1"/>
  <c r="AH214" i="1"/>
  <c r="AI214" i="1" s="1"/>
  <c r="AH222" i="1"/>
  <c r="AI222" i="1" s="1"/>
  <c r="AH237" i="1"/>
  <c r="AI237" i="1" s="1"/>
  <c r="AH229" i="1"/>
  <c r="AI229" i="1" s="1"/>
  <c r="AH204" i="1"/>
  <c r="AI204" i="1" s="1"/>
  <c r="AH207" i="1"/>
  <c r="AI207" i="1" s="1"/>
  <c r="AH206" i="1"/>
  <c r="AI206" i="1" s="1"/>
  <c r="AH203" i="1"/>
  <c r="AI203" i="1" s="1"/>
  <c r="AH202" i="1"/>
  <c r="AI202" i="1" s="1"/>
  <c r="AH201" i="1"/>
  <c r="AI201" i="1" s="1"/>
  <c r="AH205" i="1"/>
  <c r="AI205" i="1" s="1"/>
  <c r="AH200" i="1"/>
  <c r="AI200" i="1" s="1"/>
  <c r="AH199" i="1"/>
  <c r="AI199" i="1" s="1"/>
  <c r="AH198" i="1"/>
  <c r="AI198" i="1" s="1"/>
  <c r="AH197" i="1"/>
  <c r="AI197" i="1" s="1"/>
  <c r="AH196" i="1"/>
  <c r="AI196" i="1" s="1"/>
  <c r="AH195" i="1"/>
  <c r="AI195" i="1" s="1"/>
  <c r="AH194" i="1"/>
  <c r="AI194" i="1" s="1"/>
  <c r="AH193" i="1"/>
  <c r="AI193" i="1" s="1"/>
  <c r="AH192" i="1"/>
  <c r="AI192" i="1" s="1"/>
  <c r="AH169" i="1"/>
  <c r="AI169" i="1" s="1"/>
  <c r="AH170" i="1"/>
  <c r="AI170" i="1" s="1"/>
  <c r="AH173" i="1"/>
  <c r="AI173" i="1" s="1"/>
  <c r="AH189" i="1"/>
  <c r="AI189" i="1" s="1"/>
  <c r="AH187" i="1"/>
  <c r="AI187" i="1" s="1"/>
  <c r="AH182" i="1"/>
  <c r="AH178" i="1"/>
  <c r="AI178" i="1" s="1"/>
  <c r="AH176" i="1"/>
  <c r="AI176" i="1" s="1"/>
  <c r="Q176" i="1" s="1"/>
  <c r="AH183" i="1"/>
  <c r="AH171" i="1"/>
  <c r="AI171" i="1" s="1"/>
  <c r="AH172" i="1"/>
  <c r="AI172" i="1" s="1"/>
  <c r="AH180" i="1"/>
  <c r="AI180" i="1" s="1"/>
  <c r="AH191" i="1"/>
  <c r="AI191" i="1" s="1"/>
  <c r="AH184" i="1"/>
  <c r="AI184" i="1" s="1"/>
  <c r="AH190" i="1"/>
  <c r="AH188" i="1"/>
  <c r="AH179" i="1"/>
  <c r="AI179" i="1" s="1"/>
  <c r="AH175" i="1"/>
  <c r="AI175" i="1" s="1"/>
  <c r="AH174" i="1"/>
  <c r="AI174" i="1" s="1"/>
  <c r="AH186" i="1"/>
  <c r="AI186" i="1" s="1"/>
  <c r="AH167" i="1"/>
  <c r="AI167" i="1" s="1"/>
  <c r="AH168" i="1"/>
  <c r="AI168" i="1" s="1"/>
  <c r="AH166" i="1"/>
  <c r="AI166" i="1" s="1"/>
  <c r="AH165" i="1"/>
  <c r="AH163" i="1"/>
  <c r="AI163" i="1" s="1"/>
  <c r="AH164" i="1"/>
  <c r="AI164" i="1" s="1"/>
  <c r="AH161" i="1"/>
  <c r="AI161" i="1" s="1"/>
  <c r="AH162" i="1"/>
  <c r="AI162" i="1" s="1"/>
  <c r="AH160" i="1"/>
  <c r="AI160" i="1" s="1"/>
  <c r="AH159" i="1"/>
  <c r="AI159" i="1" s="1"/>
  <c r="AH158" i="1"/>
  <c r="AI158" i="1" s="1"/>
  <c r="AH157" i="1"/>
  <c r="AI157" i="1" s="1"/>
  <c r="AH156" i="1"/>
  <c r="AI156" i="1" s="1"/>
  <c r="AH155" i="1"/>
  <c r="AI155" i="1" s="1"/>
  <c r="AH154" i="1"/>
  <c r="AI154" i="1" s="1"/>
  <c r="AH145" i="1"/>
  <c r="AI145" i="1" s="1"/>
  <c r="AH143" i="1"/>
  <c r="AI143" i="1" s="1"/>
  <c r="AH141" i="1"/>
  <c r="AI141" i="1" s="1"/>
  <c r="AH139" i="1"/>
  <c r="AI139" i="1" s="1"/>
  <c r="AH137" i="1"/>
  <c r="AI137" i="1" s="1"/>
  <c r="AH146" i="1"/>
  <c r="AI146" i="1" s="1"/>
  <c r="AH134" i="1"/>
  <c r="AI134" i="1" s="1"/>
  <c r="AH147" i="1"/>
  <c r="AI147" i="1" s="1"/>
  <c r="AH144" i="1"/>
  <c r="AH135" i="1"/>
  <c r="AI135" i="1" s="1"/>
  <c r="AH148" i="1"/>
  <c r="AI148" i="1" s="1"/>
  <c r="AH142" i="1"/>
  <c r="AI142" i="1" s="1"/>
  <c r="AH136" i="1"/>
  <c r="AI136" i="1" s="1"/>
  <c r="AH140" i="1"/>
  <c r="AI140" i="1" s="1"/>
  <c r="AH149" i="1"/>
  <c r="AI149" i="1" s="1"/>
  <c r="AH138" i="1"/>
  <c r="AI138" i="1" s="1"/>
  <c r="AH150" i="1"/>
  <c r="AH151" i="1"/>
  <c r="AI151" i="1" s="1"/>
  <c r="AH152" i="1"/>
  <c r="AH126" i="1"/>
  <c r="AH127" i="1"/>
  <c r="AH133" i="1"/>
  <c r="AI133" i="1" s="1"/>
  <c r="AH131" i="1"/>
  <c r="AI131" i="1" s="1"/>
  <c r="AH128" i="1"/>
  <c r="AI128" i="1" s="1"/>
  <c r="AH124" i="1"/>
  <c r="AH125" i="1"/>
  <c r="AH129" i="1"/>
  <c r="AH132" i="1"/>
  <c r="AI132" i="1" s="1"/>
  <c r="AH130" i="1"/>
  <c r="AI130" i="1" s="1"/>
  <c r="AH121" i="1"/>
  <c r="AI121" i="1" s="1"/>
  <c r="AH117" i="1"/>
  <c r="AI117" i="1" s="1"/>
  <c r="AH118" i="1"/>
  <c r="AH115" i="1"/>
  <c r="AI115" i="1" s="1"/>
  <c r="AH119" i="1"/>
  <c r="AH120" i="1"/>
  <c r="AI120" i="1" s="1"/>
  <c r="AH116" i="1"/>
  <c r="AI116" i="1" s="1"/>
  <c r="AH122" i="1"/>
  <c r="AI122" i="1" s="1"/>
  <c r="AH123" i="1"/>
  <c r="AI123" i="1" s="1"/>
  <c r="AH58" i="1"/>
  <c r="AI58" i="1" s="1"/>
  <c r="AH70" i="1"/>
  <c r="AI70" i="1" s="1"/>
  <c r="AH60" i="1"/>
  <c r="AI60" i="1" s="1"/>
  <c r="AI114" i="1"/>
  <c r="AH101" i="1"/>
  <c r="AI101" i="1" s="1"/>
  <c r="AH95" i="1"/>
  <c r="AI95" i="1" s="1"/>
  <c r="AH79" i="1"/>
  <c r="AI79" i="1" s="1"/>
  <c r="AH107" i="1"/>
  <c r="AI107" i="1" s="1"/>
  <c r="AH105" i="1"/>
  <c r="AI105" i="1" s="1"/>
  <c r="AH88" i="1"/>
  <c r="AI88" i="1" s="1"/>
  <c r="AH78" i="1"/>
  <c r="AI78" i="1" s="1"/>
  <c r="AH77" i="1"/>
  <c r="AI77" i="1" s="1"/>
  <c r="AH71" i="1"/>
  <c r="AI71" i="1" s="1"/>
  <c r="AH96" i="1"/>
  <c r="AH83" i="1"/>
  <c r="AH84" i="1"/>
  <c r="AH109" i="1"/>
  <c r="AI109" i="1" s="1"/>
  <c r="AH94" i="1"/>
  <c r="AI94" i="1" s="1"/>
  <c r="AH97" i="1"/>
  <c r="AH64" i="1"/>
  <c r="AI64" i="1" s="1"/>
  <c r="AH66" i="1"/>
  <c r="AI66" i="1" s="1"/>
  <c r="AH102" i="1"/>
  <c r="AI102" i="1" s="1"/>
  <c r="AH110" i="1"/>
  <c r="AI110" i="1" s="1"/>
  <c r="AH73" i="1"/>
  <c r="AI73" i="1" s="1"/>
  <c r="AH111" i="1"/>
  <c r="AI111" i="1" s="1"/>
  <c r="AH98" i="1"/>
  <c r="AI98" i="1" s="1"/>
  <c r="AH57" i="1"/>
  <c r="AI57" i="1" s="1"/>
  <c r="AH76" i="1"/>
  <c r="AI76" i="1" s="1"/>
  <c r="AH89" i="1"/>
  <c r="AI89" i="1" s="1"/>
  <c r="AH113" i="1"/>
  <c r="AI113" i="1" s="1"/>
  <c r="AH67" i="1"/>
  <c r="AI67" i="1" s="1"/>
  <c r="AH80" i="1"/>
  <c r="AI80" i="1" s="1"/>
  <c r="AH81" i="1"/>
  <c r="AI81" i="1" s="1"/>
  <c r="AH85" i="1"/>
  <c r="AH90" i="1"/>
  <c r="AH91" i="1"/>
  <c r="AH92" i="1"/>
  <c r="AI92" i="1" s="1"/>
  <c r="AH59" i="1"/>
  <c r="AI59" i="1" s="1"/>
  <c r="AH82" i="1"/>
  <c r="AI82" i="1" s="1"/>
  <c r="AH86" i="1"/>
  <c r="AI86" i="1" s="1"/>
  <c r="AH74" i="1"/>
  <c r="AI74" i="1" s="1"/>
  <c r="AH68" i="1"/>
  <c r="AH106" i="1"/>
  <c r="AH87" i="1"/>
  <c r="AH103" i="1"/>
  <c r="AH104" i="1"/>
  <c r="AI104" i="1" s="1"/>
  <c r="AH75" i="1"/>
  <c r="AH93" i="1"/>
  <c r="AI93" i="1" s="1"/>
  <c r="AH55" i="1"/>
  <c r="AI55" i="1" s="1"/>
  <c r="AH56" i="1"/>
  <c r="AI56" i="1" s="1"/>
  <c r="AH54" i="1"/>
  <c r="AI54" i="1" s="1"/>
  <c r="AH51" i="1"/>
  <c r="AI51" i="1" s="1"/>
  <c r="AH45" i="1"/>
  <c r="AI45" i="1" s="1"/>
  <c r="AH53" i="1"/>
  <c r="AI53" i="1" s="1"/>
  <c r="AH43" i="1"/>
  <c r="AI43" i="1" s="1"/>
  <c r="AH48" i="1"/>
  <c r="AH50" i="1"/>
  <c r="AH47" i="1"/>
  <c r="AI47" i="1" s="1"/>
  <c r="AH44" i="1"/>
  <c r="AI44" i="1" s="1"/>
  <c r="AH52" i="1"/>
  <c r="AI52" i="1" s="1"/>
  <c r="AH46" i="1"/>
  <c r="AI46" i="1" s="1"/>
  <c r="AH49" i="1"/>
  <c r="AI49" i="1" s="1"/>
  <c r="AH40" i="1"/>
  <c r="AI40" i="1" s="1"/>
  <c r="AH38" i="1"/>
  <c r="AI38" i="1" s="1"/>
  <c r="AH36" i="1"/>
  <c r="AI36" i="1" s="1"/>
  <c r="AH39" i="1"/>
  <c r="AI39" i="1" s="1"/>
  <c r="AH41" i="1"/>
  <c r="AI41" i="1" s="1"/>
  <c r="AH42" i="1"/>
  <c r="AI42" i="1" s="1"/>
  <c r="AH37" i="1"/>
  <c r="AI37" i="1" s="1"/>
  <c r="AH35" i="1"/>
  <c r="AI35" i="1" s="1"/>
  <c r="AH34" i="1"/>
  <c r="AI34" i="1" s="1"/>
  <c r="AH27" i="1"/>
  <c r="AI27" i="1" s="1"/>
  <c r="AH28" i="1"/>
  <c r="AI28" i="1" s="1"/>
  <c r="AH25" i="1"/>
  <c r="AH26" i="1"/>
  <c r="AH29" i="1"/>
  <c r="AH30" i="1"/>
  <c r="AH31" i="1"/>
  <c r="AH32" i="1"/>
  <c r="AH33" i="1"/>
  <c r="AH23" i="1"/>
  <c r="AH24" i="1"/>
  <c r="AH22" i="1"/>
  <c r="AI22" i="1" s="1"/>
  <c r="AH18" i="1"/>
  <c r="AI18" i="1" s="1"/>
  <c r="AH15" i="1"/>
  <c r="AI15" i="1" s="1"/>
  <c r="AH16" i="1"/>
  <c r="AI16" i="1" s="1"/>
  <c r="AH17" i="1"/>
  <c r="AI17" i="1" s="1"/>
  <c r="AH20" i="1"/>
  <c r="AI20" i="1" s="1"/>
  <c r="AH19" i="1"/>
  <c r="AI19" i="1" s="1"/>
  <c r="AH5" i="1"/>
  <c r="AI5" i="1" s="1"/>
  <c r="AH2" i="1"/>
  <c r="AI2" i="1" s="1"/>
  <c r="AH14" i="1"/>
  <c r="AH11" i="1"/>
  <c r="AI11" i="1" s="1"/>
  <c r="AH6" i="1"/>
  <c r="AI6" i="1" s="1"/>
  <c r="Q6" i="1" s="1"/>
  <c r="AH3" i="1"/>
  <c r="AH12" i="1"/>
  <c r="AI12" i="1" s="1"/>
  <c r="AH7" i="1"/>
  <c r="AI7" i="1" s="1"/>
  <c r="AH8" i="1"/>
  <c r="AH9" i="1"/>
  <c r="AH13" i="1"/>
  <c r="AH10" i="1"/>
  <c r="AH4" i="1"/>
  <c r="AI4" i="1" s="1"/>
  <c r="AH1639" i="1"/>
  <c r="AI1639" i="1" s="1"/>
  <c r="AH1626" i="1"/>
  <c r="AI1626" i="1" s="1"/>
  <c r="AH1627" i="1"/>
  <c r="AI1627" i="1" s="1"/>
  <c r="AH920" i="1"/>
  <c r="AI920" i="1" s="1"/>
  <c r="AH929" i="1"/>
  <c r="AI929" i="1" s="1"/>
  <c r="AH916" i="1"/>
  <c r="AI916" i="1" s="1"/>
  <c r="AH925" i="1"/>
  <c r="AI925" i="1" s="1"/>
  <c r="AH885" i="1"/>
  <c r="AH910" i="1"/>
  <c r="AI910" i="1" s="1"/>
  <c r="AH911" i="1"/>
  <c r="AI911" i="1" s="1"/>
  <c r="AH907" i="1"/>
  <c r="AI907" i="1" s="1"/>
  <c r="AH908" i="1"/>
  <c r="AI908" i="1" s="1"/>
  <c r="AH900" i="1"/>
  <c r="AI900" i="1" s="1"/>
  <c r="AH1642" i="1"/>
  <c r="AI1642" i="1" s="1"/>
  <c r="AH1641" i="1"/>
  <c r="AI1641" i="1" s="1"/>
  <c r="AH1621" i="1"/>
  <c r="AI1621" i="1" s="1"/>
  <c r="AH1612" i="1"/>
  <c r="AI1612" i="1" s="1"/>
  <c r="AH1610" i="1"/>
  <c r="AI1610" i="1" s="1"/>
  <c r="AH1624" i="1"/>
  <c r="AI1624" i="1" s="1"/>
  <c r="AH1613" i="1"/>
  <c r="AI1613" i="1" s="1"/>
  <c r="AH1611" i="1"/>
  <c r="AI1611" i="1" s="1"/>
  <c r="AH1622" i="1"/>
  <c r="AI1622" i="1" s="1"/>
  <c r="AH1618" i="1"/>
  <c r="AI1618" i="1" s="1"/>
  <c r="AH1614" i="1"/>
  <c r="AI1614" i="1" s="1"/>
  <c r="AH1615" i="1"/>
  <c r="AI1615" i="1" s="1"/>
  <c r="AH1623" i="1"/>
  <c r="AH1617" i="1"/>
  <c r="AI1617" i="1" s="1"/>
  <c r="AH1619" i="1"/>
  <c r="AI1619" i="1" s="1"/>
  <c r="AH1620" i="1"/>
  <c r="AI1620" i="1" s="1"/>
  <c r="AH1609" i="1"/>
  <c r="AI1609" i="1" s="1"/>
  <c r="AH1603" i="1"/>
  <c r="AI1603" i="1" s="1"/>
  <c r="AH1604" i="1"/>
  <c r="AH1605" i="1"/>
  <c r="AI1605" i="1" s="1"/>
  <c r="AH1606" i="1"/>
  <c r="AI1606" i="1" s="1"/>
  <c r="Q1606" i="1" s="1"/>
  <c r="AH1607" i="1"/>
  <c r="AH1608" i="1"/>
  <c r="AI1608" i="1" s="1"/>
  <c r="AH1600" i="1"/>
  <c r="AI1600" i="1" s="1"/>
  <c r="AH1598" i="1"/>
  <c r="AI1598" i="1" s="1"/>
  <c r="Q1598" i="1" s="1"/>
  <c r="AH1601" i="1"/>
  <c r="AI1601" i="1" s="1"/>
  <c r="AH1599" i="1"/>
  <c r="AI1599" i="1" s="1"/>
  <c r="AH1602" i="1"/>
  <c r="AI1602" i="1" s="1"/>
  <c r="AH1594" i="1"/>
  <c r="AH1595" i="1"/>
  <c r="AI1595" i="1" s="1"/>
  <c r="AH1596" i="1"/>
  <c r="AI1596" i="1" s="1"/>
  <c r="AH1597" i="1"/>
  <c r="AI1597" i="1" s="1"/>
  <c r="AH1591" i="1"/>
  <c r="AI1591" i="1" s="1"/>
  <c r="AH1592" i="1"/>
  <c r="AH1583" i="1"/>
  <c r="AI1583" i="1" s="1"/>
  <c r="AH1590" i="1"/>
  <c r="AI1590" i="1" s="1"/>
  <c r="AH1585" i="1"/>
  <c r="AI1585" i="1" s="1"/>
  <c r="AH1589" i="1"/>
  <c r="AI1589" i="1" s="1"/>
  <c r="AH1586" i="1"/>
  <c r="AH1587" i="1"/>
  <c r="AH1581" i="1"/>
  <c r="AH1571" i="1"/>
  <c r="AI1571" i="1" s="1"/>
  <c r="AH1576" i="1"/>
  <c r="AI1576" i="1" s="1"/>
  <c r="AH1578" i="1"/>
  <c r="AI1578" i="1" s="1"/>
  <c r="AH1572" i="1"/>
  <c r="AI1572" i="1" s="1"/>
  <c r="AH1573" i="1"/>
  <c r="AH1574" i="1"/>
  <c r="AH1575" i="1"/>
  <c r="AH1579" i="1"/>
  <c r="AH1580" i="1"/>
  <c r="AH1582" i="1"/>
  <c r="AH1577" i="1"/>
  <c r="AH1570" i="1"/>
  <c r="AI1570" i="1" s="1"/>
  <c r="AH1557" i="1"/>
  <c r="AI1557" i="1" s="1"/>
  <c r="AH1562" i="1"/>
  <c r="AI1562" i="1" s="1"/>
  <c r="Q1562" i="1" s="1"/>
  <c r="AH1550" i="1"/>
  <c r="AI1550" i="1" s="1"/>
  <c r="Q1550" i="1" s="1"/>
  <c r="AH1558" i="1"/>
  <c r="AI1558" i="1" s="1"/>
  <c r="AH1559" i="1"/>
  <c r="AI1559" i="1" s="1"/>
  <c r="AH1560" i="1"/>
  <c r="AI1560" i="1" s="1"/>
  <c r="AH1549" i="1"/>
  <c r="AI1549" i="1" s="1"/>
  <c r="AH1563" i="1"/>
  <c r="AI1563" i="1" s="1"/>
  <c r="AH1551" i="1"/>
  <c r="AI1551" i="1" s="1"/>
  <c r="AH1564" i="1"/>
  <c r="AI1564" i="1" s="1"/>
  <c r="Q1564" i="1" s="1"/>
  <c r="AH1552" i="1"/>
  <c r="AI1552" i="1" s="1"/>
  <c r="Q1552" i="1" s="1"/>
  <c r="AH1553" i="1"/>
  <c r="AI1553" i="1" s="1"/>
  <c r="AH1566" i="1"/>
  <c r="AI1566" i="1" s="1"/>
  <c r="AH1554" i="1"/>
  <c r="AI1554" i="1" s="1"/>
  <c r="AH1567" i="1"/>
  <c r="AI1567" i="1" s="1"/>
  <c r="AH1568" i="1"/>
  <c r="AI1568" i="1" s="1"/>
  <c r="AH1569" i="1"/>
  <c r="AI1569" i="1" s="1"/>
  <c r="AH1561" i="1"/>
  <c r="AI1561" i="1" s="1"/>
  <c r="AH1555" i="1"/>
  <c r="AI1555" i="1" s="1"/>
  <c r="AH1556" i="1"/>
  <c r="AI1556" i="1" s="1"/>
  <c r="AH1547" i="1"/>
  <c r="AI1547" i="1" s="1"/>
  <c r="AH1548" i="1"/>
  <c r="AI1548" i="1" s="1"/>
  <c r="AH1546" i="1"/>
  <c r="AI1546" i="1" s="1"/>
  <c r="AH1542" i="1"/>
  <c r="AH1540" i="1"/>
  <c r="AH1545" i="1"/>
  <c r="AI1545" i="1" s="1"/>
  <c r="AH1544" i="1"/>
  <c r="AI1544" i="1" s="1"/>
  <c r="AH1543" i="1"/>
  <c r="AH1541" i="1"/>
  <c r="AI1541" i="1" s="1"/>
  <c r="AH1537" i="1"/>
  <c r="AI1537" i="1" s="1"/>
  <c r="AH1534" i="1"/>
  <c r="AI1534" i="1" s="1"/>
  <c r="AH1531" i="1"/>
  <c r="AH1539" i="1"/>
  <c r="AI1539" i="1" s="1"/>
  <c r="AH1532" i="1"/>
  <c r="AI1532" i="1" s="1"/>
  <c r="AH1538" i="1"/>
  <c r="AI1538" i="1" s="1"/>
  <c r="AH1533" i="1"/>
  <c r="AI1533" i="1" s="1"/>
  <c r="AH1535" i="1"/>
  <c r="AH1536" i="1"/>
  <c r="AH1530" i="1"/>
  <c r="AI1530" i="1" s="1"/>
  <c r="AH1529" i="1"/>
  <c r="AI1529" i="1" s="1"/>
  <c r="AH1528" i="1"/>
  <c r="AI1528" i="1" s="1"/>
  <c r="AH1527" i="1"/>
  <c r="AI1527" i="1" s="1"/>
  <c r="AH1526" i="1"/>
  <c r="AI1526" i="1" s="1"/>
  <c r="AH1525" i="1"/>
  <c r="AI1525" i="1" s="1"/>
  <c r="AH1463" i="1"/>
  <c r="AI1463" i="1" s="1"/>
  <c r="AH1505" i="1"/>
  <c r="AI1505" i="1" s="1"/>
  <c r="AH1464" i="1"/>
  <c r="AI1464" i="1" s="1"/>
  <c r="AH1471" i="1"/>
  <c r="AI1471" i="1" s="1"/>
  <c r="AH1478" i="1"/>
  <c r="AI1478" i="1" s="1"/>
  <c r="AH1507" i="1"/>
  <c r="AI1507" i="1" s="1"/>
  <c r="AH1465" i="1"/>
  <c r="AI1465" i="1" s="1"/>
  <c r="AH1508" i="1"/>
  <c r="AI1508" i="1" s="1"/>
  <c r="AH1492" i="1"/>
  <c r="AI1492" i="1" s="1"/>
  <c r="AH1479" i="1"/>
  <c r="AI1479" i="1" s="1"/>
  <c r="AH1472" i="1"/>
  <c r="AI1472" i="1" s="1"/>
  <c r="AH1466" i="1"/>
  <c r="AI1466" i="1" s="1"/>
  <c r="AH1501" i="1"/>
  <c r="AI1501" i="1" s="1"/>
  <c r="AH1509" i="1"/>
  <c r="AI1509" i="1" s="1"/>
  <c r="AH1480" i="1"/>
  <c r="AH1467" i="1"/>
  <c r="AH1473" i="1"/>
  <c r="AI1473" i="1" s="1"/>
  <c r="AH1499" i="1"/>
  <c r="AI1499" i="1" s="1"/>
  <c r="AH1510" i="1"/>
  <c r="AH1476" i="1"/>
  <c r="AI1476" i="1" s="1"/>
  <c r="AH1506" i="1"/>
  <c r="AI1506" i="1" s="1"/>
  <c r="AH1502" i="1"/>
  <c r="AI1502" i="1" s="1"/>
  <c r="AH1500" i="1"/>
  <c r="AI1500" i="1" s="1"/>
  <c r="AH1474" i="1"/>
  <c r="AI1474" i="1" s="1"/>
  <c r="AH1523" i="1"/>
  <c r="AI1523" i="1" s="1"/>
  <c r="AH1481" i="1"/>
  <c r="AI1481" i="1" s="1"/>
  <c r="AH1524" i="1"/>
  <c r="AI1524" i="1" s="1"/>
  <c r="AH1493" i="1"/>
  <c r="AI1493" i="1" s="1"/>
  <c r="AH1490" i="1"/>
  <c r="AI1490" i="1" s="1"/>
  <c r="AH1504" i="1"/>
  <c r="AI1504" i="1" s="1"/>
  <c r="Q1504" i="1" s="1"/>
  <c r="AH1503" i="1"/>
  <c r="AI1503" i="1" s="1"/>
  <c r="AH1494" i="1"/>
  <c r="AH1487" i="1"/>
  <c r="AI1487" i="1" s="1"/>
  <c r="AH1489" i="1"/>
  <c r="AI1489" i="1" s="1"/>
  <c r="AH1482" i="1"/>
  <c r="AH1483" i="1"/>
  <c r="AI1483" i="1" s="1"/>
  <c r="AH1495" i="1"/>
  <c r="AI1495" i="1" s="1"/>
  <c r="AH1520" i="1"/>
  <c r="AH1468" i="1"/>
  <c r="AI1468" i="1" s="1"/>
  <c r="AH1484" i="1"/>
  <c r="AI1484" i="1" s="1"/>
  <c r="AH1469" i="1"/>
  <c r="AH1498" i="1"/>
  <c r="AI1498" i="1" s="1"/>
  <c r="AH1491" i="1"/>
  <c r="AI1491" i="1" s="1"/>
  <c r="AH1475" i="1"/>
  <c r="AI1475" i="1" s="1"/>
  <c r="AH1470" i="1"/>
  <c r="AI1470" i="1" s="1"/>
  <c r="AH1522" i="1"/>
  <c r="AH1485" i="1"/>
  <c r="AI1485" i="1" s="1"/>
  <c r="AH1488" i="1"/>
  <c r="AI1488" i="1" s="1"/>
  <c r="AH1455" i="1"/>
  <c r="AI1455" i="1" s="1"/>
  <c r="AH1456" i="1"/>
  <c r="AI1456" i="1" s="1"/>
  <c r="AH1457" i="1"/>
  <c r="AH1458" i="1"/>
  <c r="AI1458" i="1" s="1"/>
  <c r="AH1454" i="1"/>
  <c r="AI1454" i="1" s="1"/>
  <c r="AH1459" i="1"/>
  <c r="AI1459" i="1" s="1"/>
  <c r="Q1459" i="1" s="1"/>
  <c r="AH1460" i="1"/>
  <c r="AI1460" i="1" s="1"/>
  <c r="AH1451" i="1"/>
  <c r="AH1461" i="1"/>
  <c r="AI1461" i="1" s="1"/>
  <c r="AH1462" i="1"/>
  <c r="AI1462" i="1" s="1"/>
  <c r="AH1453" i="1"/>
  <c r="AI1453" i="1" s="1"/>
  <c r="AH1452" i="1"/>
  <c r="AI1452" i="1" s="1"/>
  <c r="AH1430" i="1"/>
  <c r="AI1430" i="1" s="1"/>
  <c r="AH1431" i="1"/>
  <c r="AI1431" i="1" s="1"/>
  <c r="AH1432" i="1"/>
  <c r="AI1432" i="1" s="1"/>
  <c r="AH1433" i="1"/>
  <c r="AI1433" i="1" s="1"/>
  <c r="AH1446" i="1"/>
  <c r="AI1446" i="1" s="1"/>
  <c r="Q1446" i="1" s="1"/>
  <c r="AH1434" i="1"/>
  <c r="AI1434" i="1" s="1"/>
  <c r="Q1434" i="1" s="1"/>
  <c r="AH1424" i="1"/>
  <c r="AH1443" i="1"/>
  <c r="AI1443" i="1" s="1"/>
  <c r="AH1444" i="1"/>
  <c r="AI1444" i="1" s="1"/>
  <c r="AH1436" i="1"/>
  <c r="AI1436" i="1" s="1"/>
  <c r="AH1425" i="1"/>
  <c r="AI1425" i="1" s="1"/>
  <c r="AH1437" i="1"/>
  <c r="AI1437" i="1" s="1"/>
  <c r="AH1419" i="1"/>
  <c r="AI1419" i="1" s="1"/>
  <c r="AH1450" i="1"/>
  <c r="AH1447" i="1"/>
  <c r="AI1447" i="1" s="1"/>
  <c r="AH1438" i="1"/>
  <c r="AI1438" i="1" s="1"/>
  <c r="AH1426" i="1"/>
  <c r="AI1426" i="1" s="1"/>
  <c r="AH1420" i="1"/>
  <c r="AI1420" i="1" s="1"/>
  <c r="AH1448" i="1"/>
  <c r="AI1448" i="1" s="1"/>
  <c r="AH1439" i="1"/>
  <c r="AI1439" i="1" s="1"/>
  <c r="AH1427" i="1"/>
  <c r="AI1427" i="1" s="1"/>
  <c r="AH1421" i="1"/>
  <c r="AI1421" i="1" s="1"/>
  <c r="AH1440" i="1"/>
  <c r="AI1440" i="1" s="1"/>
  <c r="AH1428" i="1"/>
  <c r="AI1428" i="1" s="1"/>
  <c r="AH1422" i="1"/>
  <c r="AI1422" i="1" s="1"/>
  <c r="AH1449" i="1"/>
  <c r="AI1449" i="1" s="1"/>
  <c r="AH1441" i="1"/>
  <c r="AI1441" i="1" s="1"/>
  <c r="AH1429" i="1"/>
  <c r="AI1429" i="1" s="1"/>
  <c r="AH1423" i="1"/>
  <c r="AI1423" i="1" s="1"/>
  <c r="AH1435" i="1"/>
  <c r="AI1435" i="1" s="1"/>
  <c r="AH1442" i="1"/>
  <c r="AI1442" i="1" s="1"/>
  <c r="AH1445" i="1"/>
  <c r="AI1445" i="1" s="1"/>
  <c r="AH1416" i="1"/>
  <c r="AI1416" i="1" s="1"/>
  <c r="AH1414" i="1"/>
  <c r="AI1414" i="1" s="1"/>
  <c r="AH1412" i="1"/>
  <c r="AI1412" i="1" s="1"/>
  <c r="AH1410" i="1"/>
  <c r="AI1410" i="1" s="1"/>
  <c r="AH1417" i="1"/>
  <c r="AI1417" i="1" s="1"/>
  <c r="AH1415" i="1"/>
  <c r="AI1415" i="1" s="1"/>
  <c r="AH1411" i="1"/>
  <c r="AI1411" i="1" s="1"/>
  <c r="AH1418" i="1"/>
  <c r="AH1402" i="1"/>
  <c r="AI1402" i="1" s="1"/>
  <c r="AH1403" i="1"/>
  <c r="AI1403" i="1" s="1"/>
  <c r="AH1404" i="1"/>
  <c r="AH1407" i="1"/>
  <c r="AH1408" i="1"/>
  <c r="AI1408" i="1" s="1"/>
  <c r="AH1405" i="1"/>
  <c r="AI1405" i="1" s="1"/>
  <c r="AH1406" i="1"/>
  <c r="AH1399" i="1"/>
  <c r="AI1399" i="1" s="1"/>
  <c r="AH1400" i="1"/>
  <c r="AH1401" i="1"/>
  <c r="AI1401" i="1" s="1"/>
  <c r="AH1398" i="1"/>
  <c r="AI1398" i="1" s="1"/>
  <c r="AH1396" i="1"/>
  <c r="AI1396" i="1" s="1"/>
  <c r="AH1394" i="1"/>
  <c r="AI1394" i="1" s="1"/>
  <c r="AH1395" i="1"/>
  <c r="AI1395" i="1" s="1"/>
  <c r="AH1393" i="1"/>
  <c r="AI1393" i="1" s="1"/>
  <c r="AH1392" i="1"/>
  <c r="AI1392" i="1" s="1"/>
  <c r="AH1375" i="1"/>
  <c r="AH1378" i="1"/>
  <c r="AI1378" i="1" s="1"/>
  <c r="AH1389" i="1"/>
  <c r="AI1389" i="1" s="1"/>
  <c r="AH1376" i="1"/>
  <c r="AI1376" i="1" s="1"/>
  <c r="AH1377" i="1"/>
  <c r="AI1377" i="1" s="1"/>
  <c r="AH1384" i="1"/>
  <c r="AI1384" i="1" s="1"/>
  <c r="AH1390" i="1"/>
  <c r="AI1390" i="1" s="1"/>
  <c r="Q1390" i="1" s="1"/>
  <c r="AH1391" i="1"/>
  <c r="AI1391" i="1" s="1"/>
  <c r="Q1391" i="1" s="1"/>
  <c r="AH1379" i="1"/>
  <c r="AH1385" i="1"/>
  <c r="AI1385" i="1" s="1"/>
  <c r="Q1385" i="1" s="1"/>
  <c r="AH1373" i="1"/>
  <c r="AI1373" i="1" s="1"/>
  <c r="AH1386" i="1"/>
  <c r="AH1381" i="1"/>
  <c r="AI1381" i="1" s="1"/>
  <c r="AH1374" i="1"/>
  <c r="AI1374" i="1" s="1"/>
  <c r="AH1382" i="1"/>
  <c r="AH1387" i="1"/>
  <c r="AI1387" i="1" s="1"/>
  <c r="AH1388" i="1"/>
  <c r="AI1388" i="1" s="1"/>
  <c r="AH1383" i="1"/>
  <c r="AH1370" i="1"/>
  <c r="AI1370" i="1" s="1"/>
  <c r="AH1368" i="1"/>
  <c r="AH1367" i="1"/>
  <c r="AI1367" i="1" s="1"/>
  <c r="AH1363" i="1"/>
  <c r="AI1363" i="1" s="1"/>
  <c r="AH1364" i="1"/>
  <c r="AI1364" i="1" s="1"/>
  <c r="AH1365" i="1"/>
  <c r="AI1365" i="1" s="1"/>
  <c r="AH1366" i="1"/>
  <c r="AI1366" i="1" s="1"/>
  <c r="AH1369" i="1"/>
  <c r="AI1369" i="1" s="1"/>
  <c r="AH1348" i="1"/>
  <c r="AH1349" i="1"/>
  <c r="AH1350" i="1"/>
  <c r="AI1350" i="1" s="1"/>
  <c r="AH1361" i="1"/>
  <c r="AH1357" i="1"/>
  <c r="AI1357" i="1" s="1"/>
  <c r="AH1355" i="1"/>
  <c r="AI1355" i="1" s="1"/>
  <c r="AH1352" i="1"/>
  <c r="AI1352" i="1" s="1"/>
  <c r="AH1353" i="1"/>
  <c r="AI1353" i="1" s="1"/>
  <c r="AH1354" i="1"/>
  <c r="AI1354" i="1" s="1"/>
  <c r="AH1360" i="1"/>
  <c r="AI1360" i="1" s="1"/>
  <c r="AH1358" i="1"/>
  <c r="AH1359" i="1"/>
  <c r="AI1359" i="1" s="1"/>
  <c r="AH1362" i="1"/>
  <c r="AI1362" i="1" s="1"/>
  <c r="AH1341" i="1"/>
  <c r="AI1341" i="1" s="1"/>
  <c r="AH1343" i="1"/>
  <c r="AI1343" i="1" s="1"/>
  <c r="AH1344" i="1"/>
  <c r="AI1344" i="1" s="1"/>
  <c r="AH1342" i="1"/>
  <c r="AI1342" i="1" s="1"/>
  <c r="AH1346" i="1"/>
  <c r="AI1346" i="1" s="1"/>
  <c r="AH1345" i="1"/>
  <c r="AI1345" i="1" s="1"/>
  <c r="Q1345" i="1" s="1"/>
  <c r="AH1347" i="1"/>
  <c r="AH1337" i="1"/>
  <c r="AI1337" i="1" s="1"/>
  <c r="AH1339" i="1"/>
  <c r="AI1339" i="1" s="1"/>
  <c r="AH1332" i="1"/>
  <c r="AI1332" i="1" s="1"/>
  <c r="AH1333" i="1"/>
  <c r="AI1333" i="1" s="1"/>
  <c r="AH1328" i="1"/>
  <c r="AI1328" i="1" s="1"/>
  <c r="AH1317" i="1"/>
  <c r="AI1317" i="1" s="1"/>
  <c r="AH1318" i="1"/>
  <c r="AI1318" i="1" s="1"/>
  <c r="AH1315" i="1"/>
  <c r="AI1315" i="1" s="1"/>
  <c r="AH1329" i="1"/>
  <c r="AH1334" i="1"/>
  <c r="AI1334" i="1" s="1"/>
  <c r="AH1324" i="1"/>
  <c r="AH1335" i="1"/>
  <c r="AH1316" i="1"/>
  <c r="AH1319" i="1"/>
  <c r="AH1325" i="1"/>
  <c r="AI1325" i="1" s="1"/>
  <c r="AH1326" i="1"/>
  <c r="AI1326" i="1" s="1"/>
  <c r="AH1320" i="1"/>
  <c r="AH1330" i="1"/>
  <c r="AI1330" i="1" s="1"/>
  <c r="AH1327" i="1"/>
  <c r="AI1327" i="1" s="1"/>
  <c r="AH1322" i="1"/>
  <c r="AI1322" i="1" s="1"/>
  <c r="AH1323" i="1"/>
  <c r="AI1323" i="1" s="1"/>
  <c r="AH1331" i="1"/>
  <c r="AI1331" i="1" s="1"/>
  <c r="AH1336" i="1"/>
  <c r="AI1336" i="1" s="1"/>
  <c r="AH1321" i="1"/>
  <c r="AI1321" i="1" s="1"/>
  <c r="AH1314" i="1"/>
  <c r="AI1314" i="1" s="1"/>
  <c r="AH1313" i="1"/>
  <c r="AI1313" i="1" s="1"/>
  <c r="AH1312" i="1"/>
  <c r="AI1312" i="1" s="1"/>
  <c r="AH1308" i="1"/>
  <c r="AI1308" i="1" s="1"/>
  <c r="AH1305" i="1"/>
  <c r="AH1311" i="1"/>
  <c r="AI1311" i="1" s="1"/>
  <c r="AH1309" i="1"/>
  <c r="AI1309" i="1" s="1"/>
  <c r="AH1306" i="1"/>
  <c r="AI1306" i="1" s="1"/>
  <c r="AH1307" i="1"/>
  <c r="AI1307" i="1" s="1"/>
  <c r="AH1310" i="1"/>
  <c r="AI1310" i="1" s="1"/>
  <c r="AH1304" i="1"/>
  <c r="AI1304" i="1" s="1"/>
  <c r="AH1299" i="1"/>
  <c r="AH1300" i="1"/>
  <c r="AH1297" i="1"/>
  <c r="AI1297" i="1" s="1"/>
  <c r="AH1298" i="1"/>
  <c r="AI1298" i="1" s="1"/>
  <c r="AH1301" i="1"/>
  <c r="AH1302" i="1"/>
  <c r="AH1303" i="1"/>
  <c r="AI1303" i="1" s="1"/>
  <c r="AH1292" i="1"/>
  <c r="AI1292" i="1" s="1"/>
  <c r="AH1283" i="1"/>
  <c r="AI1283" i="1" s="1"/>
  <c r="AH1287" i="1"/>
  <c r="AI1287" i="1" s="1"/>
  <c r="AH1286" i="1"/>
  <c r="AI1286" i="1" s="1"/>
  <c r="AH1284" i="1"/>
  <c r="AI1284" i="1" s="1"/>
  <c r="AH1288" i="1"/>
  <c r="AI1288" i="1" s="1"/>
  <c r="AH1285" i="1"/>
  <c r="AI1285" i="1" s="1"/>
  <c r="AH1295" i="1"/>
  <c r="AI1295" i="1" s="1"/>
  <c r="AH1289" i="1"/>
  <c r="AI1289" i="1" s="1"/>
  <c r="AH1293" i="1"/>
  <c r="AI1293" i="1" s="1"/>
  <c r="AH1294" i="1"/>
  <c r="AI1294" i="1" s="1"/>
  <c r="AH1290" i="1"/>
  <c r="AH1291" i="1"/>
  <c r="AI1291" i="1" s="1"/>
  <c r="AH1296" i="1"/>
  <c r="AI1296" i="1" s="1"/>
  <c r="AH1247" i="1"/>
  <c r="AH1268" i="1"/>
  <c r="AI1268" i="1" s="1"/>
  <c r="AH1246" i="1"/>
  <c r="AI1246" i="1" s="1"/>
  <c r="AH1236" i="1"/>
  <c r="AI1236" i="1" s="1"/>
  <c r="AH1221" i="1"/>
  <c r="AI1221" i="1" s="1"/>
  <c r="AH1210" i="1"/>
  <c r="AI1210" i="1" s="1"/>
  <c r="AH1211" i="1"/>
  <c r="AI1211" i="1" s="1"/>
  <c r="AH1251" i="1"/>
  <c r="AI1251" i="1" s="1"/>
  <c r="AH1237" i="1"/>
  <c r="AI1237" i="1" s="1"/>
  <c r="AH1235" i="1"/>
  <c r="AI1235" i="1" s="1"/>
  <c r="AH1212" i="1"/>
  <c r="AI1212" i="1" s="1"/>
  <c r="AH1218" i="1"/>
  <c r="AI1218" i="1" s="1"/>
  <c r="AH1249" i="1"/>
  <c r="AI1249" i="1" s="1"/>
  <c r="AH1219" i="1"/>
  <c r="AI1219" i="1" s="1"/>
  <c r="AH1276" i="1"/>
  <c r="AH1262" i="1"/>
  <c r="AH1240" i="1"/>
  <c r="AI1240" i="1" s="1"/>
  <c r="AH1263" i="1"/>
  <c r="AH1277" i="1"/>
  <c r="AI1277" i="1" s="1"/>
  <c r="AH1241" i="1"/>
  <c r="AI1241" i="1" s="1"/>
  <c r="AH1213" i="1"/>
  <c r="AI1213" i="1" s="1"/>
  <c r="AH1264" i="1"/>
  <c r="AI1264" i="1" s="1"/>
  <c r="AH1242" i="1"/>
  <c r="AI1242" i="1" s="1"/>
  <c r="AH1278" i="1"/>
  <c r="AI1278" i="1" s="1"/>
  <c r="AH1279" i="1"/>
  <c r="AI1279" i="1" s="1"/>
  <c r="AH1265" i="1"/>
  <c r="AI1265" i="1" s="1"/>
  <c r="AH1229" i="1"/>
  <c r="AH1220" i="1"/>
  <c r="AI1220" i="1" s="1"/>
  <c r="AH1230" i="1"/>
  <c r="AH1243" i="1"/>
  <c r="AH1282" i="1"/>
  <c r="AH1280" i="1"/>
  <c r="AH1231" i="1"/>
  <c r="AH1222" i="1"/>
  <c r="AI1222" i="1" s="1"/>
  <c r="AH1269" i="1"/>
  <c r="AI1269" i="1" s="1"/>
  <c r="AH1270" i="1"/>
  <c r="AI1270" i="1" s="1"/>
  <c r="AH1232" i="1"/>
  <c r="AI1232" i="1" s="1"/>
  <c r="AH1266" i="1"/>
  <c r="AI1266" i="1" s="1"/>
  <c r="AH1254" i="1"/>
  <c r="AH1281" i="1"/>
  <c r="AI1281" i="1" s="1"/>
  <c r="AH1250" i="1"/>
  <c r="AI1250" i="1" s="1"/>
  <c r="AH1215" i="1"/>
  <c r="AI1215" i="1" s="1"/>
  <c r="AH1248" i="1"/>
  <c r="AI1248" i="1" s="1"/>
  <c r="AH1271" i="1"/>
  <c r="AI1271" i="1" s="1"/>
  <c r="AH1233" i="1"/>
  <c r="AI1233" i="1" s="1"/>
  <c r="AH1214" i="1"/>
  <c r="AI1214" i="1" s="1"/>
  <c r="AH1256" i="1"/>
  <c r="AI1256" i="1" s="1"/>
  <c r="AH1245" i="1"/>
  <c r="AI1245" i="1" s="1"/>
  <c r="AH1234" i="1"/>
  <c r="AI1234" i="1" s="1"/>
  <c r="AH1255" i="1"/>
  <c r="AI1255" i="1" s="1"/>
  <c r="AH1252" i="1"/>
  <c r="AI1252" i="1" s="1"/>
  <c r="AH1260" i="1"/>
  <c r="AI1260" i="1" s="1"/>
  <c r="AH1244" i="1"/>
  <c r="AI1244" i="1" s="1"/>
  <c r="AH1261" i="1"/>
  <c r="AI1261" i="1" s="1"/>
  <c r="AH1274" i="1"/>
  <c r="AI1274" i="1" s="1"/>
  <c r="AH1272" i="1"/>
  <c r="AI1272" i="1" s="1"/>
  <c r="AH1273" i="1"/>
  <c r="AI1273" i="1" s="1"/>
  <c r="AH1258" i="1"/>
  <c r="AI1258" i="1" s="1"/>
  <c r="AH1259" i="1"/>
  <c r="AI1259" i="1" s="1"/>
  <c r="AH1257" i="1"/>
  <c r="AI1257" i="1" s="1"/>
  <c r="AH1253" i="1"/>
  <c r="AI1253" i="1" s="1"/>
  <c r="AH1225" i="1"/>
  <c r="AI1225" i="1" s="1"/>
  <c r="AH1267" i="1"/>
  <c r="AI1267" i="1" s="1"/>
  <c r="AH1226" i="1"/>
  <c r="AI1226" i="1" s="1"/>
  <c r="AH1217" i="1"/>
  <c r="AI1217" i="1" s="1"/>
  <c r="AH1227" i="1"/>
  <c r="AI1227" i="1" s="1"/>
  <c r="AH1228" i="1"/>
  <c r="AI1228" i="1" s="1"/>
  <c r="AH1224" i="1"/>
  <c r="AI1224" i="1" s="1"/>
  <c r="AH1216" i="1"/>
  <c r="AI1216" i="1" s="1"/>
  <c r="AH1223" i="1"/>
  <c r="AI1223" i="1" s="1"/>
  <c r="AH1208" i="1"/>
  <c r="AI1208" i="1" s="1"/>
  <c r="AH1209" i="1"/>
  <c r="AI1209" i="1" s="1"/>
  <c r="AH1207" i="1"/>
  <c r="AI1207" i="1" s="1"/>
  <c r="AH1206" i="1"/>
  <c r="AI1206" i="1" s="1"/>
  <c r="AH1205" i="1"/>
  <c r="AI1205" i="1" s="1"/>
  <c r="AH1204" i="1"/>
  <c r="AI1204" i="1" s="1"/>
  <c r="AH1203" i="1"/>
  <c r="AI1203" i="1" s="1"/>
  <c r="AH1193" i="1"/>
  <c r="AI1193" i="1" s="1"/>
  <c r="AH1198" i="1"/>
  <c r="AI1198" i="1" s="1"/>
  <c r="AH1199" i="1"/>
  <c r="AI1199" i="1" s="1"/>
  <c r="AH1200" i="1"/>
  <c r="AH1201" i="1"/>
  <c r="AI1201" i="1" s="1"/>
  <c r="AH1194" i="1"/>
  <c r="AI1194" i="1" s="1"/>
  <c r="AH1195" i="1"/>
  <c r="AI1195" i="1" s="1"/>
  <c r="AH1192" i="1"/>
  <c r="AI1192" i="1" s="1"/>
  <c r="AH1191" i="1"/>
  <c r="AH1196" i="1"/>
  <c r="AI1196" i="1" s="1"/>
  <c r="AH1202" i="1"/>
  <c r="AI1202" i="1" s="1"/>
  <c r="AH1197" i="1"/>
  <c r="AI1197" i="1" s="1"/>
  <c r="AH1185" i="1"/>
  <c r="AH1189" i="1"/>
  <c r="AH1188" i="1"/>
  <c r="AH1156" i="1"/>
  <c r="AI1156" i="1" s="1"/>
  <c r="AH1157" i="1"/>
  <c r="AI1157" i="1" s="1"/>
  <c r="AH1158" i="1"/>
  <c r="AH1173" i="1"/>
  <c r="AI1173" i="1" s="1"/>
  <c r="AH1168" i="1"/>
  <c r="AH1151" i="1"/>
  <c r="AH1152" i="1"/>
  <c r="AH1174" i="1"/>
  <c r="AI1174" i="1" s="1"/>
  <c r="AH1170" i="1"/>
  <c r="AI1170" i="1" s="1"/>
  <c r="AH1175" i="1"/>
  <c r="AI1175" i="1" s="1"/>
  <c r="AH1177" i="1"/>
  <c r="AH1169" i="1"/>
  <c r="AH1159" i="1"/>
  <c r="AH1153" i="1"/>
  <c r="AI1153" i="1" s="1"/>
  <c r="AH1160" i="1"/>
  <c r="AI1160" i="1" s="1"/>
  <c r="AH1178" i="1"/>
  <c r="AH1162" i="1"/>
  <c r="AI1162" i="1" s="1"/>
  <c r="AH1150" i="1"/>
  <c r="AH1154" i="1"/>
  <c r="AI1154" i="1" s="1"/>
  <c r="AH1163" i="1"/>
  <c r="AI1163" i="1" s="1"/>
  <c r="AH1164" i="1"/>
  <c r="AI1164" i="1" s="1"/>
  <c r="AH1176" i="1"/>
  <c r="AI1176" i="1" s="1"/>
  <c r="AH1179" i="1"/>
  <c r="AH1155" i="1"/>
  <c r="AI1155" i="1" s="1"/>
  <c r="AH1165" i="1"/>
  <c r="AI1165" i="1" s="1"/>
  <c r="AH1180" i="1"/>
  <c r="AI1180" i="1" s="1"/>
  <c r="AH1183" i="1"/>
  <c r="AI1183" i="1" s="1"/>
  <c r="AH1166" i="1"/>
  <c r="AH1171" i="1"/>
  <c r="AI1171" i="1" s="1"/>
  <c r="AH1184" i="1"/>
  <c r="AI1184" i="1" s="1"/>
  <c r="AH1172" i="1"/>
  <c r="AI1172" i="1" s="1"/>
  <c r="AH1167" i="1"/>
  <c r="AI1167" i="1" s="1"/>
  <c r="AH1149" i="1"/>
  <c r="AI1149" i="1" s="1"/>
  <c r="AH1148" i="1"/>
  <c r="AI1148" i="1" s="1"/>
  <c r="AH1144" i="1"/>
  <c r="AH1140" i="1"/>
  <c r="AH1136" i="1"/>
  <c r="AH1145" i="1"/>
  <c r="AH1146" i="1"/>
  <c r="AH1147" i="1"/>
  <c r="AH1141" i="1"/>
  <c r="AH1142" i="1"/>
  <c r="AH1143" i="1"/>
  <c r="AH1137" i="1"/>
  <c r="AH1138" i="1"/>
  <c r="AH1139" i="1"/>
  <c r="AH1135" i="1"/>
  <c r="AI1135" i="1" s="1"/>
  <c r="AH1134" i="1"/>
  <c r="AI1134" i="1" s="1"/>
  <c r="AH1115" i="1"/>
  <c r="AI1115" i="1" s="1"/>
  <c r="AH1130" i="1"/>
  <c r="AI1130" i="1" s="1"/>
  <c r="AH1131" i="1"/>
  <c r="AI1131" i="1" s="1"/>
  <c r="AH1132" i="1"/>
  <c r="AI1132" i="1" s="1"/>
  <c r="AH1116" i="1"/>
  <c r="AH1117" i="1"/>
  <c r="AH1121" i="1"/>
  <c r="AH1126" i="1"/>
  <c r="AH1128" i="1"/>
  <c r="AI1128" i="1" s="1"/>
  <c r="AH1133" i="1"/>
  <c r="AH1127" i="1"/>
  <c r="AI1127" i="1" s="1"/>
  <c r="AH1122" i="1"/>
  <c r="AI1122" i="1" s="1"/>
  <c r="AH1119" i="1"/>
  <c r="AH1120" i="1"/>
  <c r="AI1120" i="1" s="1"/>
  <c r="AH1129" i="1"/>
  <c r="AI1129" i="1" s="1"/>
  <c r="AH1125" i="1"/>
  <c r="AI1125" i="1" s="1"/>
  <c r="AH1124" i="1"/>
  <c r="AH1114" i="1"/>
  <c r="AH1111" i="1"/>
  <c r="AI1111" i="1" s="1"/>
  <c r="AH1113" i="1"/>
  <c r="AI1113" i="1" s="1"/>
  <c r="AH1112" i="1"/>
  <c r="AI1112" i="1" s="1"/>
  <c r="AH1104" i="1"/>
  <c r="AI1104" i="1" s="1"/>
  <c r="AH1098" i="1"/>
  <c r="AH1099" i="1"/>
  <c r="AI1099" i="1" s="1"/>
  <c r="AH1092" i="1"/>
  <c r="AI1092" i="1" s="1"/>
  <c r="AH1109" i="1"/>
  <c r="AI1109" i="1" s="1"/>
  <c r="AH1110" i="1"/>
  <c r="AI1110" i="1" s="1"/>
  <c r="AH1100" i="1"/>
  <c r="AI1100" i="1" s="1"/>
  <c r="AH1101" i="1"/>
  <c r="AI1101" i="1" s="1"/>
  <c r="AH1094" i="1"/>
  <c r="AI1094" i="1" s="1"/>
  <c r="AH1095" i="1"/>
  <c r="AI1095" i="1" s="1"/>
  <c r="AH1105" i="1"/>
  <c r="AI1105" i="1" s="1"/>
  <c r="AH1106" i="1"/>
  <c r="AH1102" i="1"/>
  <c r="AI1102" i="1" s="1"/>
  <c r="AH1107" i="1"/>
  <c r="AI1107" i="1" s="1"/>
  <c r="AH1108" i="1"/>
  <c r="AI1108" i="1" s="1"/>
  <c r="AH1089" i="1"/>
  <c r="AH1088" i="1"/>
  <c r="AH1087" i="1"/>
  <c r="AH1078" i="1"/>
  <c r="AH1056" i="1"/>
  <c r="AI1056" i="1" s="1"/>
  <c r="AH1025" i="1"/>
  <c r="AI1025" i="1" s="1"/>
  <c r="AH1085" i="1"/>
  <c r="AI1085" i="1" s="1"/>
  <c r="AH1081" i="1"/>
  <c r="AI1081" i="1" s="1"/>
  <c r="AH1057" i="1"/>
  <c r="AI1057" i="1" s="1"/>
  <c r="AH1048" i="1"/>
  <c r="AI1048" i="1" s="1"/>
  <c r="AH1041" i="1"/>
  <c r="AI1041" i="1" s="1"/>
  <c r="AH1042" i="1"/>
  <c r="AI1042" i="1" s="1"/>
  <c r="AH1026" i="1"/>
  <c r="AI1026" i="1" s="1"/>
  <c r="AH1086" i="1"/>
  <c r="AI1086" i="1" s="1"/>
  <c r="AH1082" i="1"/>
  <c r="AI1082" i="1" s="1"/>
  <c r="AH1079" i="1"/>
  <c r="AI1079" i="1" s="1"/>
  <c r="AH1049" i="1"/>
  <c r="AI1049" i="1" s="1"/>
  <c r="AH1043" i="1"/>
  <c r="AI1043" i="1" s="1"/>
  <c r="AH1044" i="1"/>
  <c r="AI1044" i="1" s="1"/>
  <c r="AH1027" i="1"/>
  <c r="AI1027" i="1" s="1"/>
  <c r="AH1065" i="1"/>
  <c r="AI1065" i="1" s="1"/>
  <c r="Q1065" i="1" s="1"/>
  <c r="AH1050" i="1"/>
  <c r="AI1050" i="1" s="1"/>
  <c r="Q1050" i="1" s="1"/>
  <c r="AH1028" i="1"/>
  <c r="AH1029" i="1"/>
  <c r="AH1058" i="1"/>
  <c r="AI1058" i="1" s="1"/>
  <c r="AH1060" i="1"/>
  <c r="AH1037" i="1"/>
  <c r="AI1037" i="1" s="1"/>
  <c r="AH1083" i="1"/>
  <c r="AI1083" i="1" s="1"/>
  <c r="Q1083" i="1" s="1"/>
  <c r="AH1070" i="1"/>
  <c r="AH1066" i="1"/>
  <c r="AI1066" i="1" s="1"/>
  <c r="AH1045" i="1"/>
  <c r="AI1045" i="1" s="1"/>
  <c r="AH1030" i="1"/>
  <c r="AI1030" i="1" s="1"/>
  <c r="AH1031" i="1"/>
  <c r="AI1031" i="1" s="1"/>
  <c r="AH1040" i="1"/>
  <c r="AI1040" i="1" s="1"/>
  <c r="AH1071" i="1"/>
  <c r="AH1061" i="1"/>
  <c r="AI1061" i="1" s="1"/>
  <c r="AH1032" i="1"/>
  <c r="AI1032" i="1" s="1"/>
  <c r="AH1033" i="1"/>
  <c r="AI1033" i="1" s="1"/>
  <c r="AH1062" i="1"/>
  <c r="AI1062" i="1" s="1"/>
  <c r="AH1051" i="1"/>
  <c r="AH1052" i="1"/>
  <c r="AI1052" i="1" s="1"/>
  <c r="AH1053" i="1"/>
  <c r="AH1038" i="1"/>
  <c r="AI1038" i="1" s="1"/>
  <c r="AH1034" i="1"/>
  <c r="AI1034" i="1" s="1"/>
  <c r="AH1039" i="1"/>
  <c r="AI1039" i="1" s="1"/>
  <c r="AH1084" i="1"/>
  <c r="AI1084" i="1" s="1"/>
  <c r="AH1080" i="1"/>
  <c r="AI1080" i="1" s="1"/>
  <c r="AH1072" i="1"/>
  <c r="AI1072" i="1" s="1"/>
  <c r="AH1073" i="1"/>
  <c r="AI1073" i="1" s="1"/>
  <c r="AH1067" i="1"/>
  <c r="AI1067" i="1" s="1"/>
  <c r="AH1063" i="1"/>
  <c r="AI1063" i="1" s="1"/>
  <c r="AH1064" i="1"/>
  <c r="AI1064" i="1" s="1"/>
  <c r="AH1059" i="1"/>
  <c r="AI1059" i="1" s="1"/>
  <c r="AH1054" i="1"/>
  <c r="AI1054" i="1" s="1"/>
  <c r="AH1055" i="1"/>
  <c r="AI1055" i="1" s="1"/>
  <c r="AH1046" i="1"/>
  <c r="AI1046" i="1" s="1"/>
  <c r="AH1035" i="1"/>
  <c r="AI1035" i="1" s="1"/>
  <c r="AH1074" i="1"/>
  <c r="AI1074" i="1" s="1"/>
  <c r="AH1075" i="1"/>
  <c r="AI1075" i="1" s="1"/>
  <c r="AH1076" i="1"/>
  <c r="AI1076" i="1" s="1"/>
  <c r="AH1077" i="1"/>
  <c r="AI1077" i="1" s="1"/>
  <c r="AH1036" i="1"/>
  <c r="AH1068" i="1"/>
  <c r="AI1068" i="1" s="1"/>
  <c r="AH1069" i="1"/>
  <c r="AI1069" i="1" s="1"/>
  <c r="AH1047" i="1"/>
  <c r="AI1047" i="1" s="1"/>
  <c r="AH1024" i="1"/>
  <c r="AH1021" i="1"/>
  <c r="AH1022" i="1"/>
  <c r="AH1023" i="1"/>
  <c r="AH985" i="1"/>
  <c r="AI985" i="1" s="1"/>
  <c r="AH1005" i="1"/>
  <c r="AH1006" i="1"/>
  <c r="AH986" i="1"/>
  <c r="AH994" i="1"/>
  <c r="AH979" i="1"/>
  <c r="AI979" i="1" s="1"/>
  <c r="AH980" i="1"/>
  <c r="AI980" i="1" s="1"/>
  <c r="AH987" i="1"/>
  <c r="AH981" i="1"/>
  <c r="AI981" i="1" s="1"/>
  <c r="AH1007" i="1"/>
  <c r="AH1008" i="1"/>
  <c r="AI1008" i="1" s="1"/>
  <c r="AH995" i="1"/>
  <c r="AI995" i="1" s="1"/>
  <c r="AH988" i="1"/>
  <c r="AI988" i="1" s="1"/>
  <c r="AH975" i="1"/>
  <c r="AI975" i="1" s="1"/>
  <c r="AH976" i="1"/>
  <c r="AI976" i="1" s="1"/>
  <c r="AH972" i="1"/>
  <c r="AI972" i="1" s="1"/>
  <c r="AH1015" i="1"/>
  <c r="AI1015" i="1" s="1"/>
  <c r="AH989" i="1"/>
  <c r="AI989" i="1" s="1"/>
  <c r="AH973" i="1"/>
  <c r="AH1009" i="1"/>
  <c r="AI1009" i="1" s="1"/>
  <c r="AH982" i="1"/>
  <c r="AI982" i="1" s="1"/>
  <c r="AH991" i="1"/>
  <c r="AI991" i="1" s="1"/>
  <c r="AH1001" i="1"/>
  <c r="AI1001" i="1" s="1"/>
  <c r="AH1010" i="1"/>
  <c r="AH1011" i="1"/>
  <c r="AI1011" i="1" s="1"/>
  <c r="AH1012" i="1"/>
  <c r="AI1012" i="1" s="1"/>
  <c r="AH983" i="1"/>
  <c r="AH1002" i="1"/>
  <c r="AH1016" i="1"/>
  <c r="AI1016" i="1" s="1"/>
  <c r="AH1017" i="1"/>
  <c r="AI1017" i="1" s="1"/>
  <c r="AH1003" i="1"/>
  <c r="AI1003" i="1" s="1"/>
  <c r="AH1018" i="1"/>
  <c r="AI1018" i="1" s="1"/>
  <c r="AH977" i="1"/>
  <c r="AH1013" i="1"/>
  <c r="AH992" i="1"/>
  <c r="AI992" i="1" s="1"/>
  <c r="AH974" i="1"/>
  <c r="AI974" i="1" s="1"/>
  <c r="AH1019" i="1"/>
  <c r="AI1019" i="1" s="1"/>
  <c r="AH984" i="1"/>
  <c r="AH1020" i="1"/>
  <c r="AI1020" i="1" s="1"/>
  <c r="AH1004" i="1"/>
  <c r="AI1004" i="1" s="1"/>
  <c r="AH1000" i="1"/>
  <c r="AI1000" i="1" s="1"/>
  <c r="AH998" i="1"/>
  <c r="AI998" i="1" s="1"/>
  <c r="AH999" i="1"/>
  <c r="AI999" i="1" s="1"/>
  <c r="AH993" i="1"/>
  <c r="AH1014" i="1"/>
  <c r="AI1014" i="1" s="1"/>
  <c r="AH978" i="1"/>
  <c r="AH968" i="1"/>
  <c r="AI968" i="1" s="1"/>
  <c r="AH958" i="1"/>
  <c r="AI958" i="1" s="1"/>
  <c r="AH966" i="1"/>
  <c r="AI966" i="1" s="1"/>
  <c r="AH964" i="1"/>
  <c r="AI964" i="1" s="1"/>
  <c r="AH956" i="1"/>
  <c r="AI956" i="1" s="1"/>
  <c r="AH957" i="1"/>
  <c r="AI957" i="1" s="1"/>
  <c r="AH961" i="1"/>
  <c r="AI961" i="1" s="1"/>
  <c r="AH962" i="1"/>
  <c r="AI962" i="1" s="1"/>
  <c r="AH959" i="1"/>
  <c r="AH960" i="1"/>
  <c r="AI960" i="1" s="1"/>
  <c r="AH971" i="1"/>
  <c r="AI971" i="1" s="1"/>
  <c r="AH967" i="1"/>
  <c r="AI967" i="1" s="1"/>
  <c r="AH965" i="1"/>
  <c r="AI965" i="1" s="1"/>
  <c r="AH963" i="1"/>
  <c r="AH969" i="1"/>
  <c r="AI969" i="1" s="1"/>
  <c r="AH970" i="1"/>
  <c r="AI970" i="1" s="1"/>
  <c r="AH954" i="1"/>
  <c r="AI954" i="1" s="1"/>
  <c r="AH955" i="1"/>
  <c r="AI955" i="1" s="1"/>
  <c r="AH953" i="1"/>
  <c r="AI953" i="1" s="1"/>
  <c r="AH945" i="1"/>
  <c r="AH946" i="1"/>
  <c r="AI946" i="1" s="1"/>
  <c r="AH940" i="1"/>
  <c r="AI940" i="1" s="1"/>
  <c r="Q940" i="1" s="1"/>
  <c r="AH941" i="1"/>
  <c r="AI941" i="1" s="1"/>
  <c r="AH951" i="1"/>
  <c r="AI951" i="1" s="1"/>
  <c r="AH947" i="1"/>
  <c r="AI947" i="1" s="1"/>
  <c r="AH943" i="1"/>
  <c r="AI943" i="1" s="1"/>
  <c r="AH944" i="1"/>
  <c r="AI944" i="1" s="1"/>
  <c r="AH948" i="1"/>
  <c r="AI948" i="1" s="1"/>
  <c r="AH949" i="1"/>
  <c r="AH950" i="1"/>
  <c r="AI950" i="1" s="1"/>
  <c r="AH952" i="1"/>
  <c r="AI952" i="1" s="1"/>
  <c r="AH938" i="1"/>
  <c r="AI938" i="1" s="1"/>
  <c r="AH933" i="1"/>
  <c r="AI933" i="1" s="1"/>
  <c r="AH934" i="1"/>
  <c r="AI934" i="1" s="1"/>
  <c r="AH930" i="1"/>
  <c r="AI930" i="1" s="1"/>
  <c r="AH926" i="1"/>
  <c r="AI926" i="1" s="1"/>
  <c r="AH921" i="1"/>
  <c r="AI921" i="1" s="1"/>
  <c r="AH918" i="1"/>
  <c r="AI918" i="1" s="1"/>
  <c r="AH913" i="1"/>
  <c r="AI913" i="1" s="1"/>
  <c r="AH932" i="1"/>
  <c r="AI932" i="1" s="1"/>
  <c r="AH922" i="1"/>
  <c r="AI922" i="1" s="1"/>
  <c r="AH937" i="1"/>
  <c r="AI937" i="1" s="1"/>
  <c r="AH935" i="1"/>
  <c r="AI935" i="1" s="1"/>
  <c r="AH927" i="1"/>
  <c r="AI927" i="1" s="1"/>
  <c r="AH923" i="1"/>
  <c r="AI923" i="1" s="1"/>
  <c r="AH939" i="1"/>
  <c r="AI939" i="1" s="1"/>
  <c r="AH931" i="1"/>
  <c r="AI931" i="1" s="1"/>
  <c r="AH924" i="1"/>
  <c r="AI924" i="1" s="1"/>
  <c r="AH919" i="1"/>
  <c r="AI919" i="1" s="1"/>
  <c r="AH914" i="1"/>
  <c r="AI914" i="1" s="1"/>
  <c r="AH915" i="1"/>
  <c r="AI915" i="1" s="1"/>
  <c r="AH928" i="1"/>
  <c r="AI928" i="1" s="1"/>
  <c r="AH917" i="1"/>
  <c r="AI917" i="1" s="1"/>
  <c r="AH936" i="1"/>
  <c r="AI936" i="1" s="1"/>
  <c r="AH1655" i="1"/>
  <c r="AI1655" i="1" s="1"/>
  <c r="AH1656" i="1"/>
  <c r="AI1656" i="1" s="1"/>
  <c r="AH1657" i="1"/>
  <c r="AI1657" i="1" s="1"/>
  <c r="AH1661" i="1"/>
  <c r="AI1661" i="1" s="1"/>
  <c r="AH1659" i="1"/>
  <c r="AI1659" i="1" s="1"/>
  <c r="AH1660" i="1"/>
  <c r="AI1660" i="1" s="1"/>
  <c r="AH1647" i="1"/>
  <c r="AI1647" i="1" s="1"/>
  <c r="AH1648" i="1"/>
  <c r="AI1648" i="1" s="1"/>
  <c r="AH1643" i="1"/>
  <c r="AI1643" i="1" s="1"/>
  <c r="AH1716" i="1"/>
  <c r="AI1716" i="1" s="1"/>
  <c r="AH1703" i="1"/>
  <c r="AI1703" i="1" s="1"/>
  <c r="AH1709" i="1"/>
  <c r="AH1704" i="1"/>
  <c r="AI1704" i="1" s="1"/>
  <c r="AH1710" i="1"/>
  <c r="AH1698" i="1"/>
  <c r="AI1698" i="1" s="1"/>
  <c r="AH1699" i="1"/>
  <c r="AH1696" i="1"/>
  <c r="AI1696" i="1" s="1"/>
  <c r="AH1697" i="1"/>
  <c r="AI1697" i="1" s="1"/>
  <c r="AH1700" i="1"/>
  <c r="AI1700" i="1" s="1"/>
  <c r="AH1692" i="1"/>
  <c r="AI1692" i="1" s="1"/>
  <c r="AH1695" i="1"/>
  <c r="AI1695" i="1" s="1"/>
  <c r="AH1693" i="1"/>
  <c r="AI1693" i="1" s="1"/>
  <c r="AH1694" i="1"/>
  <c r="AI1694" i="1" s="1"/>
  <c r="AH1685" i="1"/>
  <c r="AH1676" i="1"/>
  <c r="AI1676" i="1" s="1"/>
  <c r="AH1690" i="1"/>
  <c r="AI1690" i="1" s="1"/>
  <c r="AH1686" i="1"/>
  <c r="AH1687" i="1"/>
  <c r="AH1691" i="1"/>
  <c r="AH1677" i="1"/>
  <c r="AH1682" i="1"/>
  <c r="AI1682" i="1" s="1"/>
  <c r="AH1678" i="1"/>
  <c r="AI1678" i="1" s="1"/>
  <c r="AH1673" i="1"/>
  <c r="AI1673" i="1" s="1"/>
  <c r="AH1679" i="1"/>
  <c r="AI1679" i="1" s="1"/>
  <c r="AH1674" i="1"/>
  <c r="AI1674" i="1" s="1"/>
  <c r="AH1675" i="1"/>
  <c r="AI1675" i="1" s="1"/>
  <c r="AH1680" i="1"/>
  <c r="AI1680" i="1" s="1"/>
  <c r="AH1683" i="1"/>
  <c r="AI1683" i="1" s="1"/>
  <c r="AH1684" i="1"/>
  <c r="AI1684" i="1" s="1"/>
  <c r="AH1681" i="1"/>
  <c r="AI1681" i="1" s="1"/>
  <c r="AH1689" i="1"/>
  <c r="AI1689" i="1" s="1"/>
  <c r="AH1672" i="1"/>
  <c r="AI1672" i="1" s="1"/>
  <c r="AH1666" i="1"/>
  <c r="AI1666" i="1" s="1"/>
  <c r="AH1668" i="1"/>
  <c r="AI1668" i="1" s="1"/>
  <c r="AH1669" i="1"/>
  <c r="AH1670" i="1"/>
  <c r="AI1670" i="1" s="1"/>
  <c r="AH1671" i="1"/>
  <c r="AI1671" i="1" s="1"/>
  <c r="AH1667" i="1"/>
  <c r="AI1667" i="1" s="1"/>
  <c r="AH1664" i="1"/>
  <c r="AI1664" i="1" s="1"/>
  <c r="AH1662" i="1"/>
  <c r="AI1662" i="1" s="1"/>
  <c r="AH1649" i="1"/>
  <c r="AI1649" i="1" s="1"/>
  <c r="AH1650" i="1"/>
  <c r="AI1650" i="1" s="1"/>
  <c r="AH1665" i="1"/>
  <c r="AI1665" i="1" s="1"/>
  <c r="AH1663" i="1"/>
  <c r="AI1663" i="1" s="1"/>
  <c r="AH1651" i="1"/>
  <c r="AH1652" i="1"/>
  <c r="AH1653" i="1"/>
  <c r="AI1653" i="1" s="1"/>
  <c r="Q1653" i="1" s="1"/>
  <c r="AH1654" i="1"/>
  <c r="AI1654" i="1" s="1"/>
  <c r="Q1654" i="1" s="1"/>
  <c r="AH1705" i="1"/>
  <c r="AI1705" i="1" s="1"/>
  <c r="AH1715" i="1"/>
  <c r="AI1715" i="1" s="1"/>
  <c r="AH1707" i="1"/>
  <c r="AI1707" i="1" s="1"/>
  <c r="AH1701" i="1"/>
  <c r="AI1701" i="1" s="1"/>
  <c r="AH1702" i="1"/>
  <c r="AH1708" i="1"/>
  <c r="AH1713" i="1"/>
  <c r="AI1713" i="1" s="1"/>
  <c r="AH1714" i="1"/>
  <c r="AI1714" i="1" s="1"/>
  <c r="AH1900" i="1"/>
  <c r="AI1900" i="1" s="1"/>
  <c r="AH1901" i="1"/>
  <c r="AH1897" i="1"/>
  <c r="AH1895" i="1"/>
  <c r="AI1895" i="1" s="1"/>
  <c r="AH1889" i="1"/>
  <c r="AI1889" i="1" s="1"/>
  <c r="AH1893" i="1"/>
  <c r="AI1893" i="1" s="1"/>
  <c r="AH1898" i="1"/>
  <c r="AI1898" i="1" s="1"/>
  <c r="AH1890" i="1"/>
  <c r="AI1890" i="1" s="1"/>
  <c r="AH1903" i="1"/>
  <c r="AI1903" i="1" s="1"/>
  <c r="AH1894" i="1"/>
  <c r="AI1894" i="1" s="1"/>
  <c r="AH1891" i="1"/>
  <c r="AI1891" i="1" s="1"/>
  <c r="AH1899" i="1"/>
  <c r="AI1899" i="1" s="1"/>
  <c r="AH1904" i="1"/>
  <c r="AI1904" i="1" s="1"/>
  <c r="AH1896" i="1"/>
  <c r="AI1896" i="1" s="1"/>
  <c r="AH1892" i="1"/>
  <c r="AI1892" i="1" s="1"/>
  <c r="AH1888" i="1"/>
  <c r="AI1888" i="1" s="1"/>
  <c r="AH1883" i="1"/>
  <c r="AI1883" i="1" s="1"/>
  <c r="AH1884" i="1"/>
  <c r="AI1884" i="1" s="1"/>
  <c r="AH1881" i="1"/>
  <c r="AH1878" i="1"/>
  <c r="AH1879" i="1"/>
  <c r="AH1882" i="1"/>
  <c r="AH1876" i="1"/>
  <c r="AI1876" i="1" s="1"/>
  <c r="AH1875" i="1"/>
  <c r="AI1875" i="1" s="1"/>
  <c r="AH1873" i="1"/>
  <c r="AH1874" i="1"/>
  <c r="AI1874" i="1" s="1"/>
  <c r="AH1872" i="1"/>
  <c r="AI1872" i="1" s="1"/>
  <c r="AH1870" i="1"/>
  <c r="AI1870" i="1" s="1"/>
  <c r="AH1868" i="1"/>
  <c r="AI1868" i="1" s="1"/>
  <c r="AH1866" i="1"/>
  <c r="AI1866" i="1" s="1"/>
  <c r="AH1867" i="1"/>
  <c r="AI1867" i="1" s="1"/>
  <c r="AH1871" i="1"/>
  <c r="AI1871" i="1" s="1"/>
  <c r="AH1869" i="1"/>
  <c r="AI1869" i="1" s="1"/>
  <c r="AH1864" i="1"/>
  <c r="AI1864" i="1" s="1"/>
  <c r="AH1865" i="1"/>
  <c r="AI1865" i="1" s="1"/>
  <c r="AH1863" i="1"/>
  <c r="AI1863" i="1" s="1"/>
  <c r="AH1862" i="1"/>
  <c r="AI1862" i="1" s="1"/>
  <c r="AH1859" i="1"/>
  <c r="AI1859" i="1" s="1"/>
  <c r="AH1860" i="1"/>
  <c r="AI1860" i="1" s="1"/>
  <c r="AH1857" i="1"/>
  <c r="AI1857" i="1" s="1"/>
  <c r="AH1852" i="1"/>
  <c r="AI1852" i="1" s="1"/>
  <c r="AH1856" i="1"/>
  <c r="AI1856" i="1" s="1"/>
  <c r="AH1853" i="1"/>
  <c r="AI1853" i="1" s="1"/>
  <c r="AH1851" i="1"/>
  <c r="AI1851" i="1" s="1"/>
  <c r="AH1854" i="1"/>
  <c r="AI1854" i="1" s="1"/>
  <c r="AH1855" i="1"/>
  <c r="AI1855" i="1" s="1"/>
  <c r="AH1858" i="1"/>
  <c r="AI1858" i="1" s="1"/>
  <c r="AH1843" i="1"/>
  <c r="AI1843" i="1" s="1"/>
  <c r="AH1848" i="1"/>
  <c r="AI1848" i="1" s="1"/>
  <c r="AH1849" i="1"/>
  <c r="AI1849" i="1" s="1"/>
  <c r="AH1839" i="1"/>
  <c r="AI1839" i="1" s="1"/>
  <c r="AH1845" i="1"/>
  <c r="AI1845" i="1" s="1"/>
  <c r="AH1846" i="1"/>
  <c r="AH1842" i="1"/>
  <c r="AI1842" i="1" s="1"/>
  <c r="AH1850" i="1"/>
  <c r="AH1841" i="1"/>
  <c r="AI1841" i="1" s="1"/>
  <c r="AH1847" i="1"/>
  <c r="AI1847" i="1" s="1"/>
  <c r="AH1840" i="1"/>
  <c r="AI1840" i="1" s="1"/>
  <c r="AH1803" i="1"/>
  <c r="AH1804" i="1"/>
  <c r="AH1820" i="1"/>
  <c r="AH1830" i="1"/>
  <c r="AI1830" i="1" s="1"/>
  <c r="AH1806" i="1"/>
  <c r="AI1806" i="1" s="1"/>
  <c r="AH1831" i="1"/>
  <c r="AH1821" i="1"/>
  <c r="AI1821" i="1" s="1"/>
  <c r="AH1832" i="1"/>
  <c r="AI1832" i="1" s="1"/>
  <c r="AH1822" i="1"/>
  <c r="AI1822" i="1" s="1"/>
  <c r="AH1833" i="1"/>
  <c r="AH1823" i="1"/>
  <c r="AI1823" i="1" s="1"/>
  <c r="AH1819" i="1"/>
  <c r="AI1819" i="1" s="1"/>
  <c r="AH1807" i="1"/>
  <c r="AI1807" i="1" s="1"/>
  <c r="AH1808" i="1"/>
  <c r="AI1808" i="1" s="1"/>
  <c r="AH1824" i="1"/>
  <c r="AI1824" i="1" s="1"/>
  <c r="AH1834" i="1"/>
  <c r="AI1834" i="1" s="1"/>
  <c r="AH1835" i="1"/>
  <c r="AI1835" i="1" s="1"/>
  <c r="AH1825" i="1"/>
  <c r="AI1825" i="1" s="1"/>
  <c r="AH1826" i="1"/>
  <c r="AI1826" i="1" s="1"/>
  <c r="AH1809" i="1"/>
  <c r="AI1809" i="1" s="1"/>
  <c r="AH1815" i="1"/>
  <c r="AI1815" i="1" s="1"/>
  <c r="AH1814" i="1"/>
  <c r="AI1814" i="1" s="1"/>
  <c r="AH1827" i="1"/>
  <c r="AH1836" i="1"/>
  <c r="AI1836" i="1" s="1"/>
  <c r="AH1816" i="1"/>
  <c r="AI1816" i="1" s="1"/>
  <c r="AH1810" i="1"/>
  <c r="AI1810" i="1" s="1"/>
  <c r="AH1805" i="1"/>
  <c r="AI1805" i="1" s="1"/>
  <c r="AH1837" i="1"/>
  <c r="AI1837" i="1" s="1"/>
  <c r="AH1817" i="1"/>
  <c r="AI1817" i="1" s="1"/>
  <c r="AH1811" i="1"/>
  <c r="AI1811" i="1" s="1"/>
  <c r="AH1828" i="1"/>
  <c r="AH1829" i="1"/>
  <c r="AI1829" i="1" s="1"/>
  <c r="AH1838" i="1"/>
  <c r="AI1838" i="1" s="1"/>
  <c r="AH1818" i="1"/>
  <c r="AI1818" i="1" s="1"/>
  <c r="AH1812" i="1"/>
  <c r="AI1812" i="1" s="1"/>
  <c r="AH1813" i="1"/>
  <c r="AI1813" i="1" s="1"/>
  <c r="AH1801" i="1"/>
  <c r="AH1799" i="1"/>
  <c r="AH1802" i="1"/>
  <c r="AH1800" i="1"/>
  <c r="AH1791" i="1"/>
  <c r="AI1791" i="1" s="1"/>
  <c r="AH1786" i="1"/>
  <c r="AI1786" i="1" s="1"/>
  <c r="AH1792" i="1"/>
  <c r="AH1788" i="1"/>
  <c r="AI1788" i="1" s="1"/>
  <c r="AH1793" i="1"/>
  <c r="AI1793" i="1" s="1"/>
  <c r="AH1789" i="1"/>
  <c r="AI1789" i="1" s="1"/>
  <c r="AH1794" i="1"/>
  <c r="AI1794" i="1" s="1"/>
  <c r="AH1795" i="1"/>
  <c r="AH1796" i="1"/>
  <c r="AH1790" i="1"/>
  <c r="AI1790" i="1" s="1"/>
  <c r="AH1797" i="1"/>
  <c r="AI1797" i="1" s="1"/>
  <c r="AH1798" i="1"/>
  <c r="AI1798" i="1" s="1"/>
  <c r="AH1787" i="1"/>
  <c r="AI1787" i="1" s="1"/>
  <c r="AH1785" i="1"/>
  <c r="AI1785" i="1" s="1"/>
  <c r="AH1784" i="1"/>
  <c r="AI1784" i="1" s="1"/>
  <c r="AH1782" i="1"/>
  <c r="AI1782" i="1" s="1"/>
  <c r="AH1783" i="1"/>
  <c r="AI1783" i="1" s="1"/>
  <c r="AH1775" i="1"/>
  <c r="AI1775" i="1" s="1"/>
  <c r="AH1776" i="1"/>
  <c r="AI1776" i="1" s="1"/>
  <c r="AH1768" i="1"/>
  <c r="AI1768" i="1" s="1"/>
  <c r="AH1767" i="1"/>
  <c r="AH1769" i="1"/>
  <c r="AI1769" i="1" s="1"/>
  <c r="AH1777" i="1"/>
  <c r="AI1777" i="1" s="1"/>
  <c r="AH1778" i="1"/>
  <c r="AI1778" i="1" s="1"/>
  <c r="AH1779" i="1"/>
  <c r="AI1779" i="1" s="1"/>
  <c r="AH1781" i="1"/>
  <c r="AI1781" i="1" s="1"/>
  <c r="AH1780" i="1"/>
  <c r="AI1780" i="1" s="1"/>
  <c r="AH1773" i="1"/>
  <c r="AI1773" i="1" s="1"/>
  <c r="AH1770" i="1"/>
  <c r="AI1770" i="1" s="1"/>
  <c r="AH1766" i="1"/>
  <c r="AI1766" i="1" s="1"/>
  <c r="AH1771" i="1"/>
  <c r="AH1774" i="1"/>
  <c r="AI1774" i="1" s="1"/>
  <c r="AH1772" i="1"/>
  <c r="AH1764" i="1"/>
  <c r="AI1764" i="1" s="1"/>
  <c r="AH1763" i="1"/>
  <c r="AI1763" i="1" s="1"/>
  <c r="AH1765" i="1"/>
  <c r="AI1765" i="1" s="1"/>
  <c r="AH1762" i="1"/>
  <c r="AH1761" i="1"/>
  <c r="AI1761" i="1" s="1"/>
  <c r="AH1742" i="1"/>
  <c r="AH1749" i="1"/>
  <c r="AH1732" i="1"/>
  <c r="AI1732" i="1" s="1"/>
  <c r="AH1750" i="1"/>
  <c r="AI1750" i="1" s="1"/>
  <c r="AH1743" i="1"/>
  <c r="AI1743" i="1" s="1"/>
  <c r="AH1744" i="1"/>
  <c r="AI1744" i="1" s="1"/>
  <c r="AH1745" i="1"/>
  <c r="AI1745" i="1" s="1"/>
  <c r="AH1751" i="1"/>
  <c r="AI1751" i="1" s="1"/>
  <c r="AH1733" i="1"/>
  <c r="AI1733" i="1" s="1"/>
  <c r="AH1752" i="1"/>
  <c r="AH1753" i="1"/>
  <c r="AI1753" i="1" s="1"/>
  <c r="AH1734" i="1"/>
  <c r="AI1734" i="1" s="1"/>
  <c r="AH1735" i="1"/>
  <c r="AH1754" i="1"/>
  <c r="AI1754" i="1" s="1"/>
  <c r="AH1746" i="1"/>
  <c r="AI1746" i="1" s="1"/>
  <c r="AH1755" i="1"/>
  <c r="AI1755" i="1" s="1"/>
  <c r="AH1737" i="1"/>
  <c r="AH1756" i="1"/>
  <c r="AI1756" i="1" s="1"/>
  <c r="AH1738" i="1"/>
  <c r="AI1738" i="1" s="1"/>
  <c r="AH1739" i="1"/>
  <c r="AI1739" i="1" s="1"/>
  <c r="AH1760" i="1"/>
  <c r="AH1757" i="1"/>
  <c r="AI1757" i="1" s="1"/>
  <c r="AH1747" i="1"/>
  <c r="AI1747" i="1" s="1"/>
  <c r="AH1748" i="1"/>
  <c r="AI1748" i="1" s="1"/>
  <c r="AH1758" i="1"/>
  <c r="AI1758" i="1" s="1"/>
  <c r="AH1740" i="1"/>
  <c r="AH1759" i="1"/>
  <c r="AH1741" i="1"/>
  <c r="AI1741" i="1" s="1"/>
  <c r="AH1728" i="1"/>
  <c r="AI1728" i="1" s="1"/>
  <c r="AH1724" i="1"/>
  <c r="AH1730" i="1"/>
  <c r="AI1730" i="1" s="1"/>
  <c r="AH1729" i="1"/>
  <c r="AI1729" i="1" s="1"/>
  <c r="Q1729" i="1" s="1"/>
  <c r="AH1726" i="1"/>
  <c r="AI1726" i="1" s="1"/>
  <c r="AH1731" i="1"/>
  <c r="AI1731" i="1" s="1"/>
  <c r="AH1725" i="1"/>
  <c r="AI1725" i="1" s="1"/>
  <c r="AH1727" i="1"/>
  <c r="AI1727" i="1" s="1"/>
  <c r="AH1721" i="1"/>
  <c r="AH1722" i="1"/>
  <c r="AH1719" i="1"/>
  <c r="AH1717" i="1"/>
  <c r="AH1723" i="1"/>
  <c r="AI1723" i="1" s="1"/>
  <c r="AH1718" i="1"/>
  <c r="AH1720" i="1"/>
  <c r="AI1720" i="1" s="1"/>
  <c r="AH1711" i="1"/>
  <c r="AI1711" i="1" s="1"/>
  <c r="AH1712" i="1"/>
  <c r="AI1712" i="1" s="1"/>
  <c r="AH1706" i="1"/>
  <c r="AI1706" i="1" s="1"/>
  <c r="AH1902" i="1"/>
  <c r="T1387" i="1"/>
  <c r="U1387" i="1" s="1"/>
  <c r="P1387" i="1"/>
  <c r="M1387" i="1"/>
  <c r="F1387" i="1"/>
  <c r="T760" i="1"/>
  <c r="U760" i="1" s="1"/>
  <c r="P760" i="1"/>
  <c r="M760" i="1"/>
  <c r="F760" i="1"/>
  <c r="AJ1741" i="1" l="1"/>
  <c r="Q1741" i="1"/>
  <c r="AJ1734" i="1"/>
  <c r="Q1734" i="1"/>
  <c r="AJ1766" i="1"/>
  <c r="Q1766" i="1"/>
  <c r="AJ1785" i="1"/>
  <c r="Q1785" i="1"/>
  <c r="AJ1825" i="1"/>
  <c r="Q1825" i="1"/>
  <c r="AJ1851" i="1"/>
  <c r="Q1851" i="1"/>
  <c r="AJ1683" i="1"/>
  <c r="Q1683" i="1"/>
  <c r="AJ1697" i="1"/>
  <c r="Q1697" i="1"/>
  <c r="AJ1656" i="1"/>
  <c r="Q1656" i="1"/>
  <c r="AJ926" i="1"/>
  <c r="Q926" i="1"/>
  <c r="AJ998" i="1"/>
  <c r="Q998" i="1"/>
  <c r="AJ1012" i="1"/>
  <c r="Q1012" i="1"/>
  <c r="AJ1082" i="1"/>
  <c r="Q1082" i="1"/>
  <c r="AJ1381" i="1"/>
  <c r="Q1381" i="1"/>
  <c r="AJ1377" i="1"/>
  <c r="Q1377" i="1"/>
  <c r="AJ1394" i="1"/>
  <c r="Q1394" i="1"/>
  <c r="AJ1408" i="1"/>
  <c r="Q1408" i="1"/>
  <c r="AJ1402" i="1"/>
  <c r="Q1402" i="1"/>
  <c r="AJ1417" i="1"/>
  <c r="Q1417" i="1"/>
  <c r="AJ1416" i="1"/>
  <c r="Q1416" i="1"/>
  <c r="AJ1423" i="1"/>
  <c r="Q1423" i="1"/>
  <c r="AJ1422" i="1"/>
  <c r="Q1422" i="1"/>
  <c r="AJ1427" i="1"/>
  <c r="Q1427" i="1"/>
  <c r="AJ1426" i="1"/>
  <c r="Q1426" i="1"/>
  <c r="AJ1419" i="1"/>
  <c r="Q1419" i="1"/>
  <c r="AJ1444" i="1"/>
  <c r="Q1444" i="1"/>
  <c r="AJ1430" i="1"/>
  <c r="Q1430" i="1"/>
  <c r="AJ1461" i="1"/>
  <c r="Q1461" i="1"/>
  <c r="AJ1454" i="1"/>
  <c r="Q1454" i="1"/>
  <c r="AJ1455" i="1"/>
  <c r="Q1455" i="1"/>
  <c r="AJ1470" i="1"/>
  <c r="Q1470" i="1"/>
  <c r="AJ1495" i="1"/>
  <c r="Q1495" i="1"/>
  <c r="AJ1487" i="1"/>
  <c r="Q1487" i="1"/>
  <c r="AJ1490" i="1"/>
  <c r="Q1490" i="1"/>
  <c r="AJ1523" i="1"/>
  <c r="Q1523" i="1"/>
  <c r="AJ1506" i="1"/>
  <c r="Q1506" i="1"/>
  <c r="AJ1473" i="1"/>
  <c r="Q1473" i="1"/>
  <c r="AJ1501" i="1"/>
  <c r="Q1501" i="1"/>
  <c r="AJ1492" i="1"/>
  <c r="Q1492" i="1"/>
  <c r="AJ1478" i="1"/>
  <c r="Q1478" i="1"/>
  <c r="AJ1463" i="1"/>
  <c r="Q1463" i="1"/>
  <c r="AJ1528" i="1"/>
  <c r="Q1528" i="1"/>
  <c r="AJ1539" i="1"/>
  <c r="Q1539" i="1"/>
  <c r="AJ1541" i="1"/>
  <c r="Q1541" i="1"/>
  <c r="AJ1547" i="1"/>
  <c r="Q1547" i="1"/>
  <c r="AJ1569" i="1"/>
  <c r="Q1569" i="1"/>
  <c r="AJ1566" i="1"/>
  <c r="Q1566" i="1"/>
  <c r="AJ1551" i="1"/>
  <c r="Q1551" i="1"/>
  <c r="AJ1559" i="1"/>
  <c r="Q1559" i="1"/>
  <c r="AJ1557" i="1"/>
  <c r="Q1557" i="1"/>
  <c r="AJ1571" i="1"/>
  <c r="Q1571" i="1"/>
  <c r="AJ1589" i="1"/>
  <c r="Q1589" i="1"/>
  <c r="AJ1595" i="1"/>
  <c r="Q1595" i="1"/>
  <c r="AJ1601" i="1"/>
  <c r="Q1601" i="1"/>
  <c r="AJ1603" i="1"/>
  <c r="Q1603" i="1"/>
  <c r="AJ1617" i="1"/>
  <c r="Q1617" i="1"/>
  <c r="AJ1618" i="1"/>
  <c r="Q1618" i="1"/>
  <c r="AJ1624" i="1"/>
  <c r="Q1624" i="1"/>
  <c r="AJ1641" i="1"/>
  <c r="Q1641" i="1"/>
  <c r="AJ907" i="1"/>
  <c r="Q907" i="1"/>
  <c r="AJ925" i="1"/>
  <c r="Q925" i="1"/>
  <c r="AJ1627" i="1"/>
  <c r="Q1627" i="1"/>
  <c r="AJ7" i="1"/>
  <c r="Q7" i="1"/>
  <c r="AJ11" i="1"/>
  <c r="Q11" i="1"/>
  <c r="AJ19" i="1"/>
  <c r="Q19" i="1"/>
  <c r="AJ15" i="1"/>
  <c r="Q15" i="1"/>
  <c r="AJ28" i="1"/>
  <c r="Q28" i="1"/>
  <c r="AJ37" i="1"/>
  <c r="Q37" i="1"/>
  <c r="AJ36" i="1"/>
  <c r="Q36" i="1"/>
  <c r="AJ46" i="1"/>
  <c r="Q46" i="1"/>
  <c r="AJ45" i="1"/>
  <c r="Q45" i="1"/>
  <c r="AJ55" i="1"/>
  <c r="Q55" i="1"/>
  <c r="AJ74" i="1"/>
  <c r="Q74" i="1"/>
  <c r="AJ92" i="1"/>
  <c r="Q92" i="1"/>
  <c r="AJ81" i="1"/>
  <c r="Q81" i="1"/>
  <c r="AJ89" i="1"/>
  <c r="Q89" i="1"/>
  <c r="AJ111" i="1"/>
  <c r="Q111" i="1"/>
  <c r="AJ66" i="1"/>
  <c r="Q66" i="1"/>
  <c r="AJ109" i="1"/>
  <c r="Q109" i="1"/>
  <c r="AJ71" i="1"/>
  <c r="Q71" i="1"/>
  <c r="AJ105" i="1"/>
  <c r="Q105" i="1"/>
  <c r="AJ101" i="1"/>
  <c r="Q101" i="1"/>
  <c r="AJ58" i="1"/>
  <c r="Q58" i="1"/>
  <c r="AJ120" i="1"/>
  <c r="Q120" i="1"/>
  <c r="AJ117" i="1"/>
  <c r="Q117" i="1"/>
  <c r="AJ131" i="1"/>
  <c r="Q131" i="1"/>
  <c r="AJ149" i="1"/>
  <c r="Q149" i="1"/>
  <c r="AJ148" i="1"/>
  <c r="Q148" i="1"/>
  <c r="AJ134" i="1"/>
  <c r="Q134" i="1"/>
  <c r="AJ141" i="1"/>
  <c r="Q141" i="1"/>
  <c r="AJ155" i="1"/>
  <c r="Q155" i="1"/>
  <c r="AJ159" i="1"/>
  <c r="Q159" i="1"/>
  <c r="AJ164" i="1"/>
  <c r="Q164" i="1"/>
  <c r="AJ168" i="1"/>
  <c r="Q168" i="1"/>
  <c r="AJ175" i="1"/>
  <c r="Q175" i="1"/>
  <c r="AJ184" i="1"/>
  <c r="Q184" i="1"/>
  <c r="AJ171" i="1"/>
  <c r="Q171" i="1"/>
  <c r="AJ170" i="1"/>
  <c r="Q170" i="1"/>
  <c r="AJ194" i="1"/>
  <c r="Q194" i="1"/>
  <c r="AJ198" i="1"/>
  <c r="Q198" i="1"/>
  <c r="AJ201" i="1"/>
  <c r="Q201" i="1"/>
  <c r="AJ207" i="1"/>
  <c r="Q207" i="1"/>
  <c r="AJ222" i="1"/>
  <c r="Q222" i="1"/>
  <c r="AJ241" i="1"/>
  <c r="Q241" i="1"/>
  <c r="AJ211" i="1"/>
  <c r="Q211" i="1"/>
  <c r="AJ219" i="1"/>
  <c r="Q219" i="1"/>
  <c r="AJ244" i="1"/>
  <c r="Q244" i="1"/>
  <c r="AJ217" i="1"/>
  <c r="Q217" i="1"/>
  <c r="AJ240" i="1"/>
  <c r="Q240" i="1"/>
  <c r="AJ225" i="1"/>
  <c r="Q225" i="1"/>
  <c r="AJ242" i="1"/>
  <c r="Q242" i="1"/>
  <c r="AJ253" i="1"/>
  <c r="Q253" i="1"/>
  <c r="AJ261" i="1"/>
  <c r="Q261" i="1"/>
  <c r="AJ267" i="1"/>
  <c r="Q267" i="1"/>
  <c r="AJ287" i="1"/>
  <c r="Q287" i="1"/>
  <c r="AJ265" i="1"/>
  <c r="Q265" i="1"/>
  <c r="AJ296" i="1"/>
  <c r="Q296" i="1"/>
  <c r="AJ304" i="1"/>
  <c r="Q304" i="1"/>
  <c r="AJ300" i="1"/>
  <c r="Q300" i="1"/>
  <c r="AJ306" i="1"/>
  <c r="Q306" i="1"/>
  <c r="AJ326" i="1"/>
  <c r="Q326" i="1"/>
  <c r="AJ327" i="1"/>
  <c r="Q327" i="1"/>
  <c r="AJ348" i="1"/>
  <c r="Q348" i="1"/>
  <c r="AJ358" i="1"/>
  <c r="Q358" i="1"/>
  <c r="AJ372" i="1"/>
  <c r="Q372" i="1"/>
  <c r="AJ357" i="1"/>
  <c r="Q357" i="1"/>
  <c r="AJ385" i="1"/>
  <c r="Q385" i="1"/>
  <c r="AJ360" i="1"/>
  <c r="Q360" i="1"/>
  <c r="AJ377" i="1"/>
  <c r="Q377" i="1"/>
  <c r="AJ387" i="1"/>
  <c r="Q387" i="1"/>
  <c r="AJ394" i="1"/>
  <c r="Q394" i="1"/>
  <c r="AJ392" i="1"/>
  <c r="Q392" i="1"/>
  <c r="AJ402" i="1"/>
  <c r="Q402" i="1"/>
  <c r="AJ420" i="1"/>
  <c r="Q420" i="1"/>
  <c r="AJ422" i="1"/>
  <c r="Q422" i="1"/>
  <c r="AJ429" i="1"/>
  <c r="Q429" i="1"/>
  <c r="AJ434" i="1"/>
  <c r="Q434" i="1"/>
  <c r="AJ437" i="1"/>
  <c r="Q437" i="1"/>
  <c r="AJ466" i="1"/>
  <c r="Q466" i="1"/>
  <c r="AJ459" i="1"/>
  <c r="Q459" i="1"/>
  <c r="AJ474" i="1"/>
  <c r="Q474" i="1"/>
  <c r="AJ445" i="1"/>
  <c r="Q445" i="1"/>
  <c r="AJ467" i="1"/>
  <c r="Q467" i="1"/>
  <c r="AJ455" i="1"/>
  <c r="Q455" i="1"/>
  <c r="AJ454" i="1"/>
  <c r="Q454" i="1"/>
  <c r="AJ482" i="1"/>
  <c r="Q482" i="1"/>
  <c r="AJ513" i="1"/>
  <c r="Q513" i="1"/>
  <c r="AJ488" i="1"/>
  <c r="Q488" i="1"/>
  <c r="AJ511" i="1"/>
  <c r="Q511" i="1"/>
  <c r="AJ495" i="1"/>
  <c r="Q495" i="1"/>
  <c r="AJ496" i="1"/>
  <c r="Q496" i="1"/>
  <c r="AJ519" i="1"/>
  <c r="Q519" i="1"/>
  <c r="AJ514" i="1"/>
  <c r="Q514" i="1"/>
  <c r="AJ527" i="1"/>
  <c r="Q527" i="1"/>
  <c r="AJ525" i="1"/>
  <c r="Q525" i="1"/>
  <c r="AJ530" i="1"/>
  <c r="Q530" i="1"/>
  <c r="AJ561" i="1"/>
  <c r="Q561" i="1"/>
  <c r="AJ556" i="1"/>
  <c r="Q556" i="1"/>
  <c r="AJ552" i="1"/>
  <c r="Q552" i="1"/>
  <c r="AJ567" i="1"/>
  <c r="Q567" i="1"/>
  <c r="AJ550" i="1"/>
  <c r="Q550" i="1"/>
  <c r="AJ546" i="1"/>
  <c r="Q546" i="1"/>
  <c r="AJ571" i="1"/>
  <c r="Q571" i="1"/>
  <c r="AJ543" i="1"/>
  <c r="Q543" i="1"/>
  <c r="AJ573" i="1"/>
  <c r="Q573" i="1"/>
  <c r="AJ576" i="1"/>
  <c r="Q576" i="1"/>
  <c r="AJ581" i="1"/>
  <c r="Q581" i="1"/>
  <c r="AJ591" i="1"/>
  <c r="Q591" i="1"/>
  <c r="AJ594" i="1"/>
  <c r="Q594" i="1"/>
  <c r="AJ598" i="1"/>
  <c r="Q598" i="1"/>
  <c r="AJ602" i="1"/>
  <c r="Q602" i="1"/>
  <c r="AJ604" i="1"/>
  <c r="Q604" i="1"/>
  <c r="AJ615" i="1"/>
  <c r="Q615" i="1"/>
  <c r="AJ627" i="1"/>
  <c r="Q627" i="1"/>
  <c r="AJ619" i="1"/>
  <c r="Q619" i="1"/>
  <c r="AJ626" i="1"/>
  <c r="Q626" i="1"/>
  <c r="AJ636" i="1"/>
  <c r="Q636" i="1"/>
  <c r="AJ643" i="1"/>
  <c r="Q643" i="1"/>
  <c r="AJ648" i="1"/>
  <c r="Q648" i="1"/>
  <c r="AJ659" i="1"/>
  <c r="Q659" i="1"/>
  <c r="AJ673" i="1"/>
  <c r="Q673" i="1"/>
  <c r="AJ697" i="1"/>
  <c r="Q697" i="1"/>
  <c r="AJ676" i="1"/>
  <c r="Q676" i="1"/>
  <c r="AJ675" i="1"/>
  <c r="Q675" i="1"/>
  <c r="AJ694" i="1"/>
  <c r="Q694" i="1"/>
  <c r="AJ698" i="1"/>
  <c r="Q698" i="1"/>
  <c r="AJ706" i="1"/>
  <c r="Q706" i="1"/>
  <c r="AJ705" i="1"/>
  <c r="Q705" i="1"/>
  <c r="AJ712" i="1"/>
  <c r="Q712" i="1"/>
  <c r="AJ723" i="1"/>
  <c r="Q723" i="1"/>
  <c r="AJ718" i="1"/>
  <c r="Q718" i="1"/>
  <c r="AJ726" i="1"/>
  <c r="Q726" i="1"/>
  <c r="AJ736" i="1"/>
  <c r="Q736" i="1"/>
  <c r="AJ747" i="1"/>
  <c r="Q747" i="1"/>
  <c r="AJ745" i="1"/>
  <c r="Q745" i="1"/>
  <c r="AJ760" i="1"/>
  <c r="Q760" i="1"/>
  <c r="AJ771" i="1"/>
  <c r="Q771" i="1"/>
  <c r="AJ776" i="1"/>
  <c r="Q776" i="1"/>
  <c r="AJ782" i="1"/>
  <c r="Q782" i="1"/>
  <c r="AJ783" i="1"/>
  <c r="Q783" i="1"/>
  <c r="AJ827" i="1"/>
  <c r="Q827" i="1"/>
  <c r="AJ830" i="1"/>
  <c r="Q830" i="1"/>
  <c r="AJ789" i="1"/>
  <c r="Q789" i="1"/>
  <c r="AJ820" i="1"/>
  <c r="Q820" i="1"/>
  <c r="AJ795" i="1"/>
  <c r="Q795" i="1"/>
  <c r="AJ834" i="1"/>
  <c r="Q834" i="1"/>
  <c r="AJ844" i="1"/>
  <c r="Q844" i="1"/>
  <c r="AJ840" i="1"/>
  <c r="Q840" i="1"/>
  <c r="AJ814" i="1"/>
  <c r="Q814" i="1"/>
  <c r="AJ862" i="1"/>
  <c r="Q862" i="1"/>
  <c r="AJ875" i="1"/>
  <c r="Q875" i="1"/>
  <c r="AJ878" i="1"/>
  <c r="Q878" i="1"/>
  <c r="AJ877" i="1"/>
  <c r="Q877" i="1"/>
  <c r="AJ884" i="1"/>
  <c r="Q884" i="1"/>
  <c r="AJ902" i="1"/>
  <c r="Q902" i="1"/>
  <c r="AJ1711" i="1"/>
  <c r="Q1711" i="1"/>
  <c r="AJ1748" i="1"/>
  <c r="Q1748" i="1"/>
  <c r="AJ1751" i="1"/>
  <c r="Q1751" i="1"/>
  <c r="AJ1764" i="1"/>
  <c r="Q1764" i="1"/>
  <c r="AJ1775" i="1"/>
  <c r="Q1775" i="1"/>
  <c r="AJ1786" i="1"/>
  <c r="Q1786" i="1"/>
  <c r="AJ1814" i="1"/>
  <c r="Q1814" i="1"/>
  <c r="AJ1841" i="1"/>
  <c r="Q1841" i="1"/>
  <c r="AJ1857" i="1"/>
  <c r="Q1857" i="1"/>
  <c r="AJ1890" i="1"/>
  <c r="Q1890" i="1"/>
  <c r="AJ1701" i="1"/>
  <c r="Q1701" i="1"/>
  <c r="AJ1670" i="1"/>
  <c r="Q1670" i="1"/>
  <c r="AJ1716" i="1"/>
  <c r="Q1716" i="1"/>
  <c r="AJ927" i="1"/>
  <c r="Q927" i="1"/>
  <c r="AJ948" i="1"/>
  <c r="Q948" i="1"/>
  <c r="AJ967" i="1"/>
  <c r="Q967" i="1"/>
  <c r="AJ975" i="1"/>
  <c r="Q975" i="1"/>
  <c r="AJ1068" i="1"/>
  <c r="Q1068" i="1"/>
  <c r="AJ1080" i="1"/>
  <c r="Q1080" i="1"/>
  <c r="AJ1110" i="1"/>
  <c r="Q1110" i="1"/>
  <c r="AJ1127" i="1"/>
  <c r="Q1127" i="1"/>
  <c r="AJ1135" i="1"/>
  <c r="Q1135" i="1"/>
  <c r="AJ1160" i="1"/>
  <c r="Q1160" i="1"/>
  <c r="AJ1198" i="1"/>
  <c r="Q1198" i="1"/>
  <c r="AJ1259" i="1"/>
  <c r="Q1259" i="1"/>
  <c r="AJ1248" i="1"/>
  <c r="Q1248" i="1"/>
  <c r="AJ1277" i="1"/>
  <c r="Q1277" i="1"/>
  <c r="AJ1211" i="1"/>
  <c r="Q1211" i="1"/>
  <c r="AJ1289" i="1"/>
  <c r="Q1289" i="1"/>
  <c r="AJ1298" i="1"/>
  <c r="Q1298" i="1"/>
  <c r="AJ1312" i="1"/>
  <c r="Q1312" i="1"/>
  <c r="AJ1336" i="1"/>
  <c r="Q1336" i="1"/>
  <c r="AJ1327" i="1"/>
  <c r="Q1327" i="1"/>
  <c r="AJ1325" i="1"/>
  <c r="Q1325" i="1"/>
  <c r="AJ1318" i="1"/>
  <c r="Q1318" i="1"/>
  <c r="AJ1332" i="1"/>
  <c r="Q1332" i="1"/>
  <c r="AJ1343" i="1"/>
  <c r="Q1343" i="1"/>
  <c r="AJ1352" i="1"/>
  <c r="Q1352" i="1"/>
  <c r="AJ1350" i="1"/>
  <c r="Q1350" i="1"/>
  <c r="AJ1388" i="1"/>
  <c r="Q1388" i="1"/>
  <c r="AJ1746" i="1"/>
  <c r="Q1746" i="1"/>
  <c r="AJ1783" i="1"/>
  <c r="Q1783" i="1"/>
  <c r="AJ1793" i="1"/>
  <c r="Q1793" i="1"/>
  <c r="AJ1791" i="1"/>
  <c r="Q1791" i="1"/>
  <c r="AJ1838" i="1"/>
  <c r="Q1838" i="1"/>
  <c r="AJ1817" i="1"/>
  <c r="Q1817" i="1"/>
  <c r="AJ1816" i="1"/>
  <c r="Q1816" i="1"/>
  <c r="AJ1815" i="1"/>
  <c r="Q1815" i="1"/>
  <c r="AJ1835" i="1"/>
  <c r="Q1835" i="1"/>
  <c r="AJ1807" i="1"/>
  <c r="Q1807" i="1"/>
  <c r="AJ1822" i="1"/>
  <c r="Q1822" i="1"/>
  <c r="AJ1806" i="1"/>
  <c r="Q1806" i="1"/>
  <c r="AJ1839" i="1"/>
  <c r="Q1839" i="1"/>
  <c r="AJ1858" i="1"/>
  <c r="Q1858" i="1"/>
  <c r="AJ1853" i="1"/>
  <c r="Q1853" i="1"/>
  <c r="AJ1860" i="1"/>
  <c r="Q1860" i="1"/>
  <c r="AJ1865" i="1"/>
  <c r="Q1865" i="1"/>
  <c r="AJ1867" i="1"/>
  <c r="Q1867" i="1"/>
  <c r="AJ1872" i="1"/>
  <c r="Q1872" i="1"/>
  <c r="AJ1876" i="1"/>
  <c r="Q1876" i="1"/>
  <c r="AJ1892" i="1"/>
  <c r="Q1892" i="1"/>
  <c r="AJ1891" i="1"/>
  <c r="Q1891" i="1"/>
  <c r="AJ1898" i="1"/>
  <c r="Q1898" i="1"/>
  <c r="AJ1713" i="1"/>
  <c r="Q1713" i="1"/>
  <c r="AJ1707" i="1"/>
  <c r="Q1707" i="1"/>
  <c r="AJ1665" i="1"/>
  <c r="Q1665" i="1"/>
  <c r="AJ1664" i="1"/>
  <c r="Q1664" i="1"/>
  <c r="AJ1689" i="1"/>
  <c r="Q1689" i="1"/>
  <c r="AJ1680" i="1"/>
  <c r="Q1680" i="1"/>
  <c r="AJ1673" i="1"/>
  <c r="Q1673" i="1"/>
  <c r="AJ1676" i="1"/>
  <c r="Q1676" i="1"/>
  <c r="AJ1695" i="1"/>
  <c r="Q1695" i="1"/>
  <c r="AJ1696" i="1"/>
  <c r="Q1696" i="1"/>
  <c r="AJ1704" i="1"/>
  <c r="Q1704" i="1"/>
  <c r="AJ1643" i="1"/>
  <c r="Q1643" i="1"/>
  <c r="AJ1659" i="1"/>
  <c r="Q1659" i="1"/>
  <c r="AJ1655" i="1"/>
  <c r="Q1655" i="1"/>
  <c r="AJ915" i="1"/>
  <c r="Q915" i="1"/>
  <c r="AJ931" i="1"/>
  <c r="Q931" i="1"/>
  <c r="AJ935" i="1"/>
  <c r="Q935" i="1"/>
  <c r="AJ913" i="1"/>
  <c r="Q913" i="1"/>
  <c r="AJ930" i="1"/>
  <c r="Q930" i="1"/>
  <c r="AJ952" i="1"/>
  <c r="Q952" i="1"/>
  <c r="AJ944" i="1"/>
  <c r="Q944" i="1"/>
  <c r="AJ941" i="1"/>
  <c r="Q941" i="1"/>
  <c r="AJ953" i="1"/>
  <c r="Q953" i="1"/>
  <c r="AJ969" i="1"/>
  <c r="Q969" i="1"/>
  <c r="AJ971" i="1"/>
  <c r="Q971" i="1"/>
  <c r="AJ961" i="1"/>
  <c r="Q961" i="1"/>
  <c r="AJ966" i="1"/>
  <c r="Q966" i="1"/>
  <c r="AJ1014" i="1"/>
  <c r="Q1014" i="1"/>
  <c r="AJ1000" i="1"/>
  <c r="Q1000" i="1"/>
  <c r="AJ1019" i="1"/>
  <c r="Q1019" i="1"/>
  <c r="AJ1016" i="1"/>
  <c r="Q1016" i="1"/>
  <c r="AJ1011" i="1"/>
  <c r="Q1011" i="1"/>
  <c r="AJ982" i="1"/>
  <c r="Q982" i="1"/>
  <c r="AJ1015" i="1"/>
  <c r="Q1015" i="1"/>
  <c r="AJ988" i="1"/>
  <c r="Q988" i="1"/>
  <c r="AJ981" i="1"/>
  <c r="Q981" i="1"/>
  <c r="AJ985" i="1"/>
  <c r="Q985" i="1"/>
  <c r="AJ1074" i="1"/>
  <c r="Q1074" i="1"/>
  <c r="AJ1054" i="1"/>
  <c r="Q1054" i="1"/>
  <c r="AJ1067" i="1"/>
  <c r="Q1067" i="1"/>
  <c r="AJ1084" i="1"/>
  <c r="Q1084" i="1"/>
  <c r="AJ1033" i="1"/>
  <c r="Q1033" i="1"/>
  <c r="AJ1040" i="1"/>
  <c r="Q1040" i="1"/>
  <c r="AJ1066" i="1"/>
  <c r="Q1066" i="1"/>
  <c r="AJ1043" i="1"/>
  <c r="Q1043" i="1"/>
  <c r="AJ1086" i="1"/>
  <c r="Q1086" i="1"/>
  <c r="AJ1048" i="1"/>
  <c r="Q1048" i="1"/>
  <c r="AJ1025" i="1"/>
  <c r="Q1025" i="1"/>
  <c r="AJ1102" i="1"/>
  <c r="Q1102" i="1"/>
  <c r="AJ1094" i="1"/>
  <c r="Q1094" i="1"/>
  <c r="AJ1109" i="1"/>
  <c r="Q1109" i="1"/>
  <c r="AJ1104" i="1"/>
  <c r="Q1104" i="1"/>
  <c r="AJ1120" i="1"/>
  <c r="Q1120" i="1"/>
  <c r="AJ1130" i="1"/>
  <c r="Q1130" i="1"/>
  <c r="AJ1148" i="1"/>
  <c r="Q1148" i="1"/>
  <c r="AJ1184" i="1"/>
  <c r="Q1184" i="1"/>
  <c r="AJ1180" i="1"/>
  <c r="Q1180" i="1"/>
  <c r="AJ1176" i="1"/>
  <c r="Q1176" i="1"/>
  <c r="AJ1153" i="1"/>
  <c r="Q1153" i="1"/>
  <c r="AJ1175" i="1"/>
  <c r="Q1175" i="1"/>
  <c r="AJ1157" i="1"/>
  <c r="Q1157" i="1"/>
  <c r="AJ1201" i="1"/>
  <c r="Q1201" i="1"/>
  <c r="AJ1193" i="1"/>
  <c r="Q1193" i="1"/>
  <c r="AJ1206" i="1"/>
  <c r="Q1206" i="1"/>
  <c r="AJ1223" i="1"/>
  <c r="Q1223" i="1"/>
  <c r="AJ1227" i="1"/>
  <c r="Q1227" i="1"/>
  <c r="AJ1225" i="1"/>
  <c r="Q1225" i="1"/>
  <c r="AJ1258" i="1"/>
  <c r="Q1258" i="1"/>
  <c r="AJ1261" i="1"/>
  <c r="Q1261" i="1"/>
  <c r="AJ1255" i="1"/>
  <c r="Q1255" i="1"/>
  <c r="AJ1214" i="1"/>
  <c r="Q1214" i="1"/>
  <c r="AJ1215" i="1"/>
  <c r="Q1215" i="1"/>
  <c r="AJ1266" i="1"/>
  <c r="Q1266" i="1"/>
  <c r="AJ1222" i="1"/>
  <c r="Q1222" i="1"/>
  <c r="AJ1265" i="1"/>
  <c r="Q1265" i="1"/>
  <c r="AJ1264" i="1"/>
  <c r="Q1264" i="1"/>
  <c r="AJ1219" i="1"/>
  <c r="Q1219" i="1"/>
  <c r="AJ1235" i="1"/>
  <c r="Q1235" i="1"/>
  <c r="AJ1210" i="1"/>
  <c r="Q1210" i="1"/>
  <c r="AJ1268" i="1"/>
  <c r="Q1268" i="1"/>
  <c r="AJ1295" i="1"/>
  <c r="Q1295" i="1"/>
  <c r="AJ1286" i="1"/>
  <c r="Q1286" i="1"/>
  <c r="AJ1303" i="1"/>
  <c r="Q1303" i="1"/>
  <c r="AJ1297" i="1"/>
  <c r="Q1297" i="1"/>
  <c r="AJ1310" i="1"/>
  <c r="Q1310" i="1"/>
  <c r="AJ1311" i="1"/>
  <c r="Q1311" i="1"/>
  <c r="AJ1313" i="1"/>
  <c r="Q1313" i="1"/>
  <c r="AJ1331" i="1"/>
  <c r="Q1331" i="1"/>
  <c r="AJ1330" i="1"/>
  <c r="Q1330" i="1"/>
  <c r="AJ1334" i="1"/>
  <c r="Q1334" i="1"/>
  <c r="AJ1317" i="1"/>
  <c r="Q1317" i="1"/>
  <c r="AJ1339" i="1"/>
  <c r="Q1339" i="1"/>
  <c r="AJ1346" i="1"/>
  <c r="Q1346" i="1"/>
  <c r="AJ1341" i="1"/>
  <c r="Q1341" i="1"/>
  <c r="AJ1360" i="1"/>
  <c r="Q1360" i="1"/>
  <c r="AJ1355" i="1"/>
  <c r="Q1355" i="1"/>
  <c r="AJ1365" i="1"/>
  <c r="Q1365" i="1"/>
  <c r="AJ1387" i="1"/>
  <c r="Q1387" i="1"/>
  <c r="AJ1376" i="1"/>
  <c r="Q1376" i="1"/>
  <c r="AJ1392" i="1"/>
  <c r="Q1392" i="1"/>
  <c r="AJ1396" i="1"/>
  <c r="Q1396" i="1"/>
  <c r="AJ1399" i="1"/>
  <c r="Q1399" i="1"/>
  <c r="AJ1410" i="1"/>
  <c r="Q1410" i="1"/>
  <c r="AJ1445" i="1"/>
  <c r="Q1445" i="1"/>
  <c r="AJ1429" i="1"/>
  <c r="Q1429" i="1"/>
  <c r="AJ1428" i="1"/>
  <c r="Q1428" i="1"/>
  <c r="AJ1439" i="1"/>
  <c r="Q1439" i="1"/>
  <c r="AJ1438" i="1"/>
  <c r="Q1438" i="1"/>
  <c r="AJ1437" i="1"/>
  <c r="Q1437" i="1"/>
  <c r="AJ1443" i="1"/>
  <c r="Q1443" i="1"/>
  <c r="AJ1433" i="1"/>
  <c r="Q1433" i="1"/>
  <c r="AJ1452" i="1"/>
  <c r="Q1452" i="1"/>
  <c r="AJ1458" i="1"/>
  <c r="Q1458" i="1"/>
  <c r="AJ1488" i="1"/>
  <c r="Q1488" i="1"/>
  <c r="AJ1475" i="1"/>
  <c r="Q1475" i="1"/>
  <c r="AJ1484" i="1"/>
  <c r="Q1484" i="1"/>
  <c r="AJ1483" i="1"/>
  <c r="Q1483" i="1"/>
  <c r="AJ1493" i="1"/>
  <c r="Q1493" i="1"/>
  <c r="AJ1474" i="1"/>
  <c r="Q1474" i="1"/>
  <c r="AJ1476" i="1"/>
  <c r="Q1476" i="1"/>
  <c r="AJ1466" i="1"/>
  <c r="Q1466" i="1"/>
  <c r="AJ1508" i="1"/>
  <c r="Q1508" i="1"/>
  <c r="AJ1471" i="1"/>
  <c r="Q1471" i="1"/>
  <c r="AJ1525" i="1"/>
  <c r="Q1525" i="1"/>
  <c r="AJ1529" i="1"/>
  <c r="Q1529" i="1"/>
  <c r="AJ1533" i="1"/>
  <c r="Q1533" i="1"/>
  <c r="AJ1556" i="1"/>
  <c r="Q1556" i="1"/>
  <c r="AJ1568" i="1"/>
  <c r="Q1568" i="1"/>
  <c r="AJ1553" i="1"/>
  <c r="Q1553" i="1"/>
  <c r="AJ1563" i="1"/>
  <c r="Q1563" i="1"/>
  <c r="AJ1558" i="1"/>
  <c r="Q1558" i="1"/>
  <c r="AJ1570" i="1"/>
  <c r="Q1570" i="1"/>
  <c r="AJ1572" i="1"/>
  <c r="Q1572" i="1"/>
  <c r="AJ1585" i="1"/>
  <c r="Q1585" i="1"/>
  <c r="AJ1591" i="1"/>
  <c r="Q1591" i="1"/>
  <c r="AJ1609" i="1"/>
  <c r="Q1609" i="1"/>
  <c r="AJ1622" i="1"/>
  <c r="Q1622" i="1"/>
  <c r="AJ1610" i="1"/>
  <c r="Q1610" i="1"/>
  <c r="AJ1642" i="1"/>
  <c r="Q1642" i="1"/>
  <c r="AJ911" i="1"/>
  <c r="Q911" i="1"/>
  <c r="AJ916" i="1"/>
  <c r="Q916" i="1"/>
  <c r="AJ1626" i="1"/>
  <c r="Q1626" i="1"/>
  <c r="AJ12" i="1"/>
  <c r="Q12" i="1"/>
  <c r="AJ20" i="1"/>
  <c r="Q20" i="1"/>
  <c r="AJ18" i="1"/>
  <c r="Q18" i="1"/>
  <c r="AJ27" i="1"/>
  <c r="Q27" i="1"/>
  <c r="AJ42" i="1"/>
  <c r="Q42" i="1"/>
  <c r="AJ38" i="1"/>
  <c r="Q38" i="1"/>
  <c r="AJ52" i="1"/>
  <c r="Q52" i="1"/>
  <c r="AJ51" i="1"/>
  <c r="Q51" i="1"/>
  <c r="AJ93" i="1"/>
  <c r="Q93" i="1"/>
  <c r="AJ86" i="1"/>
  <c r="Q86" i="1"/>
  <c r="AJ80" i="1"/>
  <c r="Q80" i="1"/>
  <c r="AJ76" i="1"/>
  <c r="Q76" i="1"/>
  <c r="AJ73" i="1"/>
  <c r="Q73" i="1"/>
  <c r="AJ64" i="1"/>
  <c r="Q64" i="1"/>
  <c r="AJ77" i="1"/>
  <c r="Q77" i="1"/>
  <c r="AJ107" i="1"/>
  <c r="Q107" i="1"/>
  <c r="AJ114" i="1"/>
  <c r="Q114" i="1"/>
  <c r="AJ123" i="1"/>
  <c r="Q123" i="1"/>
  <c r="AJ121" i="1"/>
  <c r="Q121" i="1"/>
  <c r="AJ133" i="1"/>
  <c r="Q133" i="1"/>
  <c r="AJ151" i="1"/>
  <c r="Q151" i="1"/>
  <c r="AJ140" i="1"/>
  <c r="Q140" i="1"/>
  <c r="AJ135" i="1"/>
  <c r="Q135" i="1"/>
  <c r="AJ146" i="1"/>
  <c r="Q146" i="1"/>
  <c r="AJ143" i="1"/>
  <c r="Q143" i="1"/>
  <c r="AJ156" i="1"/>
  <c r="Q156" i="1"/>
  <c r="AJ160" i="1"/>
  <c r="Q160" i="1"/>
  <c r="AJ163" i="1"/>
  <c r="Q163" i="1"/>
  <c r="AJ167" i="1"/>
  <c r="Q167" i="1"/>
  <c r="AJ179" i="1"/>
  <c r="Q179" i="1"/>
  <c r="AJ191" i="1"/>
  <c r="Q191" i="1"/>
  <c r="AJ187" i="1"/>
  <c r="Q187" i="1"/>
  <c r="AJ169" i="1"/>
  <c r="Q169" i="1"/>
  <c r="AJ195" i="1"/>
  <c r="Q195" i="1"/>
  <c r="AJ199" i="1"/>
  <c r="Q199" i="1"/>
  <c r="AJ202" i="1"/>
  <c r="Q202" i="1"/>
  <c r="AJ204" i="1"/>
  <c r="Q204" i="1"/>
  <c r="AJ214" i="1"/>
  <c r="Q214" i="1"/>
  <c r="AJ239" i="1"/>
  <c r="Q239" i="1"/>
  <c r="AJ221" i="1"/>
  <c r="Q221" i="1"/>
  <c r="AJ218" i="1"/>
  <c r="Q218" i="1"/>
  <c r="AJ248" i="1"/>
  <c r="Q248" i="1"/>
  <c r="AJ230" i="1"/>
  <c r="Q230" i="1"/>
  <c r="AJ216" i="1"/>
  <c r="Q216" i="1"/>
  <c r="AJ246" i="1"/>
  <c r="Q246" i="1"/>
  <c r="AJ223" i="1"/>
  <c r="Q223" i="1"/>
  <c r="AJ252" i="1"/>
  <c r="Q252" i="1"/>
  <c r="AJ256" i="1"/>
  <c r="Q256" i="1"/>
  <c r="AJ286" i="1"/>
  <c r="Q286" i="1"/>
  <c r="AJ264" i="1"/>
  <c r="Q264" i="1"/>
  <c r="AJ284" i="1"/>
  <c r="Q284" i="1"/>
  <c r="AJ307" i="1"/>
  <c r="Q307" i="1"/>
  <c r="AJ303" i="1"/>
  <c r="Q303" i="1"/>
  <c r="AJ302" i="1"/>
  <c r="Q302" i="1"/>
  <c r="AJ305" i="1"/>
  <c r="Q305" i="1"/>
  <c r="AJ325" i="1"/>
  <c r="Q325" i="1"/>
  <c r="AJ330" i="1"/>
  <c r="Q330" i="1"/>
  <c r="AJ339" i="1"/>
  <c r="Q339" i="1"/>
  <c r="AJ352" i="1"/>
  <c r="Q352" i="1"/>
  <c r="AJ340" i="1"/>
  <c r="Q340" i="1"/>
  <c r="AJ375" i="1"/>
  <c r="Q375" i="1"/>
  <c r="AJ386" i="1"/>
  <c r="Q386" i="1"/>
  <c r="AJ371" i="1"/>
  <c r="Q371" i="1"/>
  <c r="AJ384" i="1"/>
  <c r="Q384" i="1"/>
  <c r="AJ359" i="1"/>
  <c r="Q359" i="1"/>
  <c r="AJ376" i="1"/>
  <c r="Q376" i="1"/>
  <c r="AJ398" i="1"/>
  <c r="Q398" i="1"/>
  <c r="AJ400" i="1"/>
  <c r="Q400" i="1"/>
  <c r="AJ395" i="1"/>
  <c r="Q395" i="1"/>
  <c r="AJ408" i="1"/>
  <c r="Q408" i="1"/>
  <c r="AJ403" i="1"/>
  <c r="Q403" i="1"/>
  <c r="AJ424" i="1"/>
  <c r="Q424" i="1"/>
  <c r="AJ431" i="1"/>
  <c r="Q431" i="1"/>
  <c r="AJ433" i="1"/>
  <c r="Q433" i="1"/>
  <c r="AJ438" i="1"/>
  <c r="Q438" i="1"/>
  <c r="AJ472" i="1"/>
  <c r="Q472" i="1"/>
  <c r="AJ462" i="1"/>
  <c r="Q462" i="1"/>
  <c r="AJ452" i="1"/>
  <c r="Q452" i="1"/>
  <c r="AJ449" i="1"/>
  <c r="Q449" i="1"/>
  <c r="AJ448" i="1"/>
  <c r="Q448" i="1"/>
  <c r="AJ476" i="1"/>
  <c r="Q476" i="1"/>
  <c r="AJ473" i="1"/>
  <c r="Q473" i="1"/>
  <c r="AJ461" i="1"/>
  <c r="Q461" i="1"/>
  <c r="AJ453" i="1"/>
  <c r="Q453" i="1"/>
  <c r="AJ480" i="1"/>
  <c r="Q480" i="1"/>
  <c r="AJ508" i="1"/>
  <c r="Q508" i="1"/>
  <c r="AJ512" i="1"/>
  <c r="Q512" i="1"/>
  <c r="AJ487" i="1"/>
  <c r="Q487" i="1"/>
  <c r="AJ491" i="1"/>
  <c r="Q491" i="1"/>
  <c r="AJ516" i="1"/>
  <c r="Q516" i="1"/>
  <c r="AJ523" i="1"/>
  <c r="Q523" i="1"/>
  <c r="AJ529" i="1"/>
  <c r="Q529" i="1"/>
  <c r="AJ534" i="1"/>
  <c r="Q534" i="1"/>
  <c r="AJ537" i="1"/>
  <c r="Q537" i="1"/>
  <c r="AJ560" i="1"/>
  <c r="Q560" i="1"/>
  <c r="AJ559" i="1"/>
  <c r="Q559" i="1"/>
  <c r="AJ566" i="1"/>
  <c r="Q566" i="1"/>
  <c r="AJ540" i="1"/>
  <c r="Q540" i="1"/>
  <c r="AJ570" i="1"/>
  <c r="Q570" i="1"/>
  <c r="AJ544" i="1"/>
  <c r="Q544" i="1"/>
  <c r="AJ562" i="1"/>
  <c r="Q562" i="1"/>
  <c r="AJ575" i="1"/>
  <c r="Q575" i="1"/>
  <c r="AJ579" i="1"/>
  <c r="Q579" i="1"/>
  <c r="AJ580" i="1"/>
  <c r="Q580" i="1"/>
  <c r="AJ596" i="1"/>
  <c r="Q596" i="1"/>
  <c r="AJ603" i="1"/>
  <c r="Q603" i="1"/>
  <c r="AJ599" i="1"/>
  <c r="Q599" i="1"/>
  <c r="AJ616" i="1"/>
  <c r="Q616" i="1"/>
  <c r="AJ614" i="1"/>
  <c r="Q614" i="1"/>
  <c r="AJ621" i="1"/>
  <c r="Q621" i="1"/>
  <c r="AJ620" i="1"/>
  <c r="Q620" i="1"/>
  <c r="AJ628" i="1"/>
  <c r="Q628" i="1"/>
  <c r="AJ635" i="1"/>
  <c r="Q635" i="1"/>
  <c r="AJ646" i="1"/>
  <c r="Q646" i="1"/>
  <c r="AJ647" i="1"/>
  <c r="Q647" i="1"/>
  <c r="AJ665" i="1"/>
  <c r="Q665" i="1"/>
  <c r="AJ662" i="1"/>
  <c r="Q662" i="1"/>
  <c r="AJ660" i="1"/>
  <c r="Q660" i="1"/>
  <c r="AJ687" i="1"/>
  <c r="Q687" i="1"/>
  <c r="AJ686" i="1"/>
  <c r="Q686" i="1"/>
  <c r="AJ696" i="1"/>
  <c r="Q696" i="1"/>
  <c r="AJ683" i="1"/>
  <c r="Q683" i="1"/>
  <c r="AJ688" i="1"/>
  <c r="Q688" i="1"/>
  <c r="AJ700" i="1"/>
  <c r="Q700" i="1"/>
  <c r="AJ677" i="1"/>
  <c r="Q677" i="1"/>
  <c r="AJ701" i="1"/>
  <c r="Q701" i="1"/>
  <c r="AJ710" i="1"/>
  <c r="Q710" i="1"/>
  <c r="AJ713" i="1"/>
  <c r="Q713" i="1"/>
  <c r="AJ728" i="1"/>
  <c r="Q728" i="1"/>
  <c r="AJ735" i="1"/>
  <c r="Q735" i="1"/>
  <c r="AJ741" i="1"/>
  <c r="Q741" i="1"/>
  <c r="AJ750" i="1"/>
  <c r="Q750" i="1"/>
  <c r="AJ753" i="1"/>
  <c r="Q753" i="1"/>
  <c r="AJ778" i="1"/>
  <c r="Q778" i="1"/>
  <c r="AJ784" i="1"/>
  <c r="Q784" i="1"/>
  <c r="AJ786" i="1"/>
  <c r="Q786" i="1"/>
  <c r="AJ797" i="1"/>
  <c r="Q797" i="1"/>
  <c r="AJ852" i="1"/>
  <c r="Q852" i="1"/>
  <c r="AJ800" i="1"/>
  <c r="Q800" i="1"/>
  <c r="AJ836" i="1"/>
  <c r="Q836" i="1"/>
  <c r="AJ845" i="1"/>
  <c r="Q845" i="1"/>
  <c r="AJ799" i="1"/>
  <c r="Q799" i="1"/>
  <c r="AJ855" i="1"/>
  <c r="Q855" i="1"/>
  <c r="AJ798" i="1"/>
  <c r="Q798" i="1"/>
  <c r="AJ849" i="1"/>
  <c r="Q849" i="1"/>
  <c r="AJ843" i="1"/>
  <c r="Q843" i="1"/>
  <c r="AJ867" i="1"/>
  <c r="Q867" i="1"/>
  <c r="AJ879" i="1"/>
  <c r="Q879" i="1"/>
  <c r="AJ882" i="1"/>
  <c r="Q882" i="1"/>
  <c r="AJ903" i="1"/>
  <c r="Q903" i="1"/>
  <c r="AJ895" i="1"/>
  <c r="Q895" i="1"/>
  <c r="AJ898" i="1"/>
  <c r="Q898" i="1"/>
  <c r="AJ1755" i="1"/>
  <c r="Q1755" i="1"/>
  <c r="AJ1761" i="1"/>
  <c r="Q1761" i="1"/>
  <c r="AJ1769" i="1"/>
  <c r="Q1769" i="1"/>
  <c r="AJ1789" i="1"/>
  <c r="Q1789" i="1"/>
  <c r="AJ1811" i="1"/>
  <c r="Q1811" i="1"/>
  <c r="AJ1808" i="1"/>
  <c r="Q1808" i="1"/>
  <c r="AJ1843" i="1"/>
  <c r="Q1843" i="1"/>
  <c r="AJ1871" i="1"/>
  <c r="Q1871" i="1"/>
  <c r="AJ1875" i="1"/>
  <c r="Q1875" i="1"/>
  <c r="AJ1899" i="1"/>
  <c r="Q1899" i="1"/>
  <c r="AJ1714" i="1"/>
  <c r="Q1714" i="1"/>
  <c r="AJ1662" i="1"/>
  <c r="Q1662" i="1"/>
  <c r="AJ1672" i="1"/>
  <c r="Q1672" i="1"/>
  <c r="AJ1690" i="1"/>
  <c r="Q1690" i="1"/>
  <c r="AJ928" i="1"/>
  <c r="Q928" i="1"/>
  <c r="AJ932" i="1"/>
  <c r="Q932" i="1"/>
  <c r="AJ951" i="1"/>
  <c r="Q951" i="1"/>
  <c r="AJ962" i="1"/>
  <c r="Q962" i="1"/>
  <c r="AJ1017" i="1"/>
  <c r="Q1017" i="1"/>
  <c r="AJ989" i="1"/>
  <c r="Q989" i="1"/>
  <c r="AJ1055" i="1"/>
  <c r="Q1055" i="1"/>
  <c r="AJ1062" i="1"/>
  <c r="Q1062" i="1"/>
  <c r="AJ1045" i="1"/>
  <c r="Q1045" i="1"/>
  <c r="AJ1044" i="1"/>
  <c r="Q1044" i="1"/>
  <c r="AJ1085" i="1"/>
  <c r="Q1085" i="1"/>
  <c r="AJ1107" i="1"/>
  <c r="Q1107" i="1"/>
  <c r="AJ1129" i="1"/>
  <c r="Q1129" i="1"/>
  <c r="AJ1172" i="1"/>
  <c r="Q1172" i="1"/>
  <c r="AJ1194" i="1"/>
  <c r="Q1194" i="1"/>
  <c r="AJ1208" i="1"/>
  <c r="Q1208" i="1"/>
  <c r="AJ1267" i="1"/>
  <c r="Q1267" i="1"/>
  <c r="AJ1252" i="1"/>
  <c r="Q1252" i="1"/>
  <c r="AJ1242" i="1"/>
  <c r="Q1242" i="1"/>
  <c r="AJ1246" i="1"/>
  <c r="Q1246" i="1"/>
  <c r="AJ1284" i="1"/>
  <c r="Q1284" i="1"/>
  <c r="AJ1309" i="1"/>
  <c r="Q1309" i="1"/>
  <c r="AJ1367" i="1"/>
  <c r="Q1367" i="1"/>
  <c r="AJ1725" i="1"/>
  <c r="Q1725" i="1"/>
  <c r="AJ1738" i="1"/>
  <c r="Q1738" i="1"/>
  <c r="AJ1745" i="1"/>
  <c r="Q1745" i="1"/>
  <c r="AJ1732" i="1"/>
  <c r="Q1732" i="1"/>
  <c r="AJ1779" i="1"/>
  <c r="Q1779" i="1"/>
  <c r="AJ1787" i="1"/>
  <c r="Q1787" i="1"/>
  <c r="AJ1706" i="1"/>
  <c r="Q1706" i="1"/>
  <c r="AJ1731" i="1"/>
  <c r="Q1731" i="1"/>
  <c r="AJ1757" i="1"/>
  <c r="Q1757" i="1"/>
  <c r="AJ1756" i="1"/>
  <c r="Q1756" i="1"/>
  <c r="AJ1754" i="1"/>
  <c r="Q1754" i="1"/>
  <c r="AJ1744" i="1"/>
  <c r="Q1744" i="1"/>
  <c r="AJ1765" i="1"/>
  <c r="Q1765" i="1"/>
  <c r="AJ1774" i="1"/>
  <c r="Q1774" i="1"/>
  <c r="AJ1773" i="1"/>
  <c r="Q1773" i="1"/>
  <c r="AJ1778" i="1"/>
  <c r="Q1778" i="1"/>
  <c r="AJ1768" i="1"/>
  <c r="Q1768" i="1"/>
  <c r="AJ1782" i="1"/>
  <c r="Q1782" i="1"/>
  <c r="AJ1798" i="1"/>
  <c r="Q1798" i="1"/>
  <c r="AJ1788" i="1"/>
  <c r="Q1788" i="1"/>
  <c r="AJ1813" i="1"/>
  <c r="Q1813" i="1"/>
  <c r="AJ1829" i="1"/>
  <c r="Q1829" i="1"/>
  <c r="AJ1837" i="1"/>
  <c r="Q1837" i="1"/>
  <c r="AJ1836" i="1"/>
  <c r="Q1836" i="1"/>
  <c r="AJ1809" i="1"/>
  <c r="Q1809" i="1"/>
  <c r="AJ1834" i="1"/>
  <c r="Q1834" i="1"/>
  <c r="AJ1819" i="1"/>
  <c r="Q1819" i="1"/>
  <c r="AJ1832" i="1"/>
  <c r="Q1832" i="1"/>
  <c r="AJ1830" i="1"/>
  <c r="Q1830" i="1"/>
  <c r="AJ1840" i="1"/>
  <c r="Q1840" i="1"/>
  <c r="AJ1842" i="1"/>
  <c r="Q1842" i="1"/>
  <c r="AJ1849" i="1"/>
  <c r="Q1849" i="1"/>
  <c r="AJ1855" i="1"/>
  <c r="Q1855" i="1"/>
  <c r="AJ1856" i="1"/>
  <c r="Q1856" i="1"/>
  <c r="AJ1859" i="1"/>
  <c r="Q1859" i="1"/>
  <c r="AJ1864" i="1"/>
  <c r="Q1864" i="1"/>
  <c r="AJ1866" i="1"/>
  <c r="Q1866" i="1"/>
  <c r="AJ1874" i="1"/>
  <c r="Q1874" i="1"/>
  <c r="AJ1884" i="1"/>
  <c r="Q1884" i="1"/>
  <c r="AJ1896" i="1"/>
  <c r="Q1896" i="1"/>
  <c r="AJ1894" i="1"/>
  <c r="Q1894" i="1"/>
  <c r="AJ1893" i="1"/>
  <c r="Q1893" i="1"/>
  <c r="AJ1715" i="1"/>
  <c r="Q1715" i="1"/>
  <c r="AJ1650" i="1"/>
  <c r="Q1650" i="1"/>
  <c r="AJ1667" i="1"/>
  <c r="Q1667" i="1"/>
  <c r="AJ1668" i="1"/>
  <c r="Q1668" i="1"/>
  <c r="AJ1681" i="1"/>
  <c r="Q1681" i="1"/>
  <c r="AJ1675" i="1"/>
  <c r="Q1675" i="1"/>
  <c r="AJ1678" i="1"/>
  <c r="Q1678" i="1"/>
  <c r="AJ1692" i="1"/>
  <c r="Q1692" i="1"/>
  <c r="AJ1648" i="1"/>
  <c r="Q1648" i="1"/>
  <c r="AJ1661" i="1"/>
  <c r="Q1661" i="1"/>
  <c r="AJ936" i="1"/>
  <c r="Q936" i="1"/>
  <c r="AJ914" i="1"/>
  <c r="Q914" i="1"/>
  <c r="AJ939" i="1"/>
  <c r="Q939" i="1"/>
  <c r="AJ937" i="1"/>
  <c r="Q937" i="1"/>
  <c r="AJ918" i="1"/>
  <c r="Q918" i="1"/>
  <c r="AJ934" i="1"/>
  <c r="Q934" i="1"/>
  <c r="AJ950" i="1"/>
  <c r="Q950" i="1"/>
  <c r="AJ943" i="1"/>
  <c r="Q943" i="1"/>
  <c r="AJ955" i="1"/>
  <c r="Q955" i="1"/>
  <c r="AJ960" i="1"/>
  <c r="Q960" i="1"/>
  <c r="AJ957" i="1"/>
  <c r="Q957" i="1"/>
  <c r="AJ958" i="1"/>
  <c r="Q958" i="1"/>
  <c r="AJ1004" i="1"/>
  <c r="Q1004" i="1"/>
  <c r="AJ974" i="1"/>
  <c r="Q974" i="1"/>
  <c r="AJ1018" i="1"/>
  <c r="Q1018" i="1"/>
  <c r="AJ1009" i="1"/>
  <c r="Q1009" i="1"/>
  <c r="AJ972" i="1"/>
  <c r="Q972" i="1"/>
  <c r="AJ995" i="1"/>
  <c r="Q995" i="1"/>
  <c r="AJ1047" i="1"/>
  <c r="Q1047" i="1"/>
  <c r="AJ1077" i="1"/>
  <c r="Q1077" i="1"/>
  <c r="AJ1035" i="1"/>
  <c r="Q1035" i="1"/>
  <c r="AJ1059" i="1"/>
  <c r="Q1059" i="1"/>
  <c r="AJ1073" i="1"/>
  <c r="Q1073" i="1"/>
  <c r="AJ1039" i="1"/>
  <c r="Q1039" i="1"/>
  <c r="AJ1052" i="1"/>
  <c r="Q1052" i="1"/>
  <c r="AJ1032" i="1"/>
  <c r="Q1032" i="1"/>
  <c r="AJ1031" i="1"/>
  <c r="Q1031" i="1"/>
  <c r="AJ1058" i="1"/>
  <c r="Q1058" i="1"/>
  <c r="AJ1049" i="1"/>
  <c r="Q1049" i="1"/>
  <c r="AJ1026" i="1"/>
  <c r="Q1026" i="1"/>
  <c r="AJ1057" i="1"/>
  <c r="Q1057" i="1"/>
  <c r="AJ1056" i="1"/>
  <c r="Q1056" i="1"/>
  <c r="AJ1101" i="1"/>
  <c r="Q1101" i="1"/>
  <c r="AJ1092" i="1"/>
  <c r="Q1092" i="1"/>
  <c r="AJ1112" i="1"/>
  <c r="Q1112" i="1"/>
  <c r="AJ1128" i="1"/>
  <c r="Q1128" i="1"/>
  <c r="AJ1115" i="1"/>
  <c r="Q1115" i="1"/>
  <c r="AJ1149" i="1"/>
  <c r="Q1149" i="1"/>
  <c r="AJ1171" i="1"/>
  <c r="Q1171" i="1"/>
  <c r="AJ1165" i="1"/>
  <c r="Q1165" i="1"/>
  <c r="AJ1164" i="1"/>
  <c r="Q1164" i="1"/>
  <c r="AJ1162" i="1"/>
  <c r="Q1162" i="1"/>
  <c r="AJ1170" i="1"/>
  <c r="Q1170" i="1"/>
  <c r="AJ1156" i="1"/>
  <c r="Q1156" i="1"/>
  <c r="AJ1197" i="1"/>
  <c r="Q1197" i="1"/>
  <c r="AJ1192" i="1"/>
  <c r="Q1192" i="1"/>
  <c r="AJ1203" i="1"/>
  <c r="Q1203" i="1"/>
  <c r="AJ1207" i="1"/>
  <c r="Q1207" i="1"/>
  <c r="AJ1216" i="1"/>
  <c r="Q1216" i="1"/>
  <c r="AJ1217" i="1"/>
  <c r="Q1217" i="1"/>
  <c r="AJ1253" i="1"/>
  <c r="Q1253" i="1"/>
  <c r="AJ1273" i="1"/>
  <c r="Q1273" i="1"/>
  <c r="AJ1244" i="1"/>
  <c r="Q1244" i="1"/>
  <c r="AJ1234" i="1"/>
  <c r="Q1234" i="1"/>
  <c r="AJ1233" i="1"/>
  <c r="Q1233" i="1"/>
  <c r="AJ1250" i="1"/>
  <c r="Q1250" i="1"/>
  <c r="AJ1232" i="1"/>
  <c r="Q1232" i="1"/>
  <c r="AJ1279" i="1"/>
  <c r="Q1279" i="1"/>
  <c r="AJ1213" i="1"/>
  <c r="Q1213" i="1"/>
  <c r="AJ1240" i="1"/>
  <c r="Q1240" i="1"/>
  <c r="AJ1249" i="1"/>
  <c r="Q1249" i="1"/>
  <c r="AJ1237" i="1"/>
  <c r="Q1237" i="1"/>
  <c r="AJ1221" i="1"/>
  <c r="Q1221" i="1"/>
  <c r="AJ1294" i="1"/>
  <c r="Q1294" i="1"/>
  <c r="AJ1285" i="1"/>
  <c r="Q1285" i="1"/>
  <c r="AJ1287" i="1"/>
  <c r="Q1287" i="1"/>
  <c r="AJ1307" i="1"/>
  <c r="Q1307" i="1"/>
  <c r="AJ1314" i="1"/>
  <c r="Q1314" i="1"/>
  <c r="AJ1323" i="1"/>
  <c r="Q1323" i="1"/>
  <c r="AJ1328" i="1"/>
  <c r="Q1328" i="1"/>
  <c r="AJ1337" i="1"/>
  <c r="Q1337" i="1"/>
  <c r="AJ1342" i="1"/>
  <c r="Q1342" i="1"/>
  <c r="AJ1362" i="1"/>
  <c r="Q1362" i="1"/>
  <c r="AJ1354" i="1"/>
  <c r="Q1354" i="1"/>
  <c r="AJ1357" i="1"/>
  <c r="Q1357" i="1"/>
  <c r="AJ1364" i="1"/>
  <c r="Q1364" i="1"/>
  <c r="AJ1370" i="1"/>
  <c r="Q1370" i="1"/>
  <c r="AJ1373" i="1"/>
  <c r="Q1373" i="1"/>
  <c r="AJ1389" i="1"/>
  <c r="Q1389" i="1"/>
  <c r="AJ1393" i="1"/>
  <c r="Q1393" i="1"/>
  <c r="AJ1398" i="1"/>
  <c r="Q1398" i="1"/>
  <c r="AJ1411" i="1"/>
  <c r="Q1411" i="1"/>
  <c r="AJ1412" i="1"/>
  <c r="Q1412" i="1"/>
  <c r="AJ1442" i="1"/>
  <c r="Q1442" i="1"/>
  <c r="AJ1441" i="1"/>
  <c r="Q1441" i="1"/>
  <c r="AJ1440" i="1"/>
  <c r="Q1440" i="1"/>
  <c r="AJ1448" i="1"/>
  <c r="Q1448" i="1"/>
  <c r="AJ1447" i="1"/>
  <c r="Q1447" i="1"/>
  <c r="AJ1425" i="1"/>
  <c r="Q1425" i="1"/>
  <c r="AJ1432" i="1"/>
  <c r="Q1432" i="1"/>
  <c r="AJ1453" i="1"/>
  <c r="Q1453" i="1"/>
  <c r="AJ1460" i="1"/>
  <c r="Q1460" i="1"/>
  <c r="AJ1485" i="1"/>
  <c r="Q1485" i="1"/>
  <c r="AJ1491" i="1"/>
  <c r="Q1491" i="1"/>
  <c r="AJ1468" i="1"/>
  <c r="Q1468" i="1"/>
  <c r="AJ1503" i="1"/>
  <c r="Q1503" i="1"/>
  <c r="AJ1524" i="1"/>
  <c r="Q1524" i="1"/>
  <c r="AJ1500" i="1"/>
  <c r="Q1500" i="1"/>
  <c r="AJ1472" i="1"/>
  <c r="Q1472" i="1"/>
  <c r="AJ1465" i="1"/>
  <c r="Q1465" i="1"/>
  <c r="AJ1464" i="1"/>
  <c r="Q1464" i="1"/>
  <c r="AJ1526" i="1"/>
  <c r="Q1526" i="1"/>
  <c r="AJ1530" i="1"/>
  <c r="Q1530" i="1"/>
  <c r="AJ1538" i="1"/>
  <c r="Q1538" i="1"/>
  <c r="AJ1534" i="1"/>
  <c r="Q1534" i="1"/>
  <c r="AJ1544" i="1"/>
  <c r="Q1544" i="1"/>
  <c r="AJ1546" i="1"/>
  <c r="Q1546" i="1"/>
  <c r="AJ1555" i="1"/>
  <c r="Q1555" i="1"/>
  <c r="AJ1567" i="1"/>
  <c r="Q1567" i="1"/>
  <c r="AJ1549" i="1"/>
  <c r="Q1549" i="1"/>
  <c r="AJ1578" i="1"/>
  <c r="Q1578" i="1"/>
  <c r="AJ1590" i="1"/>
  <c r="Q1590" i="1"/>
  <c r="AJ1597" i="1"/>
  <c r="Q1597" i="1"/>
  <c r="AJ1602" i="1"/>
  <c r="Q1602" i="1"/>
  <c r="AJ1600" i="1"/>
  <c r="Q1600" i="1"/>
  <c r="AJ1605" i="1"/>
  <c r="Q1605" i="1"/>
  <c r="AJ1620" i="1"/>
  <c r="Q1620" i="1"/>
  <c r="AJ1615" i="1"/>
  <c r="Q1615" i="1"/>
  <c r="AJ1611" i="1"/>
  <c r="Q1611" i="1"/>
  <c r="AJ1612" i="1"/>
  <c r="Q1612" i="1"/>
  <c r="AJ900" i="1"/>
  <c r="Q900" i="1"/>
  <c r="AJ910" i="1"/>
  <c r="Q910" i="1"/>
  <c r="AJ929" i="1"/>
  <c r="Q929" i="1"/>
  <c r="AJ1639" i="1"/>
  <c r="Q1639" i="1"/>
  <c r="AJ2" i="1"/>
  <c r="Q2" i="1"/>
  <c r="AJ17" i="1"/>
  <c r="Q17" i="1"/>
  <c r="AJ22" i="1"/>
  <c r="Q22" i="1"/>
  <c r="AJ34" i="1"/>
  <c r="Q34" i="1"/>
  <c r="AJ41" i="1"/>
  <c r="Q41" i="1"/>
  <c r="AJ40" i="1"/>
  <c r="Q40" i="1"/>
  <c r="AJ44" i="1"/>
  <c r="Q44" i="1"/>
  <c r="AJ43" i="1"/>
  <c r="Q43" i="1"/>
  <c r="AJ54" i="1"/>
  <c r="Q54" i="1"/>
  <c r="AJ82" i="1"/>
  <c r="Q82" i="1"/>
  <c r="AJ67" i="1"/>
  <c r="Q67" i="1"/>
  <c r="AJ57" i="1"/>
  <c r="Q57" i="1"/>
  <c r="AJ110" i="1"/>
  <c r="Q110" i="1"/>
  <c r="AJ78" i="1"/>
  <c r="Q78" i="1"/>
  <c r="AJ79" i="1"/>
  <c r="Q79" i="1"/>
  <c r="AJ60" i="1"/>
  <c r="Q60" i="1"/>
  <c r="AJ122" i="1"/>
  <c r="Q122" i="1"/>
  <c r="AJ115" i="1"/>
  <c r="Q115" i="1"/>
  <c r="AJ130" i="1"/>
  <c r="Q130" i="1"/>
  <c r="AJ136" i="1"/>
  <c r="Q136" i="1"/>
  <c r="AJ137" i="1"/>
  <c r="Q137" i="1"/>
  <c r="AJ145" i="1"/>
  <c r="Q145" i="1"/>
  <c r="AJ157" i="1"/>
  <c r="Q157" i="1"/>
  <c r="AJ162" i="1"/>
  <c r="Q162" i="1"/>
  <c r="AJ186" i="1"/>
  <c r="Q186" i="1"/>
  <c r="AJ180" i="1"/>
  <c r="Q180" i="1"/>
  <c r="AJ176" i="1"/>
  <c r="AJ189" i="1"/>
  <c r="Q189" i="1"/>
  <c r="AJ192" i="1"/>
  <c r="Q192" i="1"/>
  <c r="AJ196" i="1"/>
  <c r="Q196" i="1"/>
  <c r="AJ200" i="1"/>
  <c r="Q200" i="1"/>
  <c r="AJ203" i="1"/>
  <c r="Q203" i="1"/>
  <c r="AJ229" i="1"/>
  <c r="Q229" i="1"/>
  <c r="AJ236" i="1"/>
  <c r="Q236" i="1"/>
  <c r="AJ227" i="1"/>
  <c r="Q227" i="1"/>
  <c r="AJ249" i="1"/>
  <c r="Q249" i="1"/>
  <c r="AJ226" i="1"/>
  <c r="Q226" i="1"/>
  <c r="AJ224" i="1"/>
  <c r="Q224" i="1"/>
  <c r="AJ235" i="1"/>
  <c r="Q235" i="1"/>
  <c r="AJ251" i="1"/>
  <c r="Q251" i="1"/>
  <c r="AJ279" i="1"/>
  <c r="Q279" i="1"/>
  <c r="AJ277" i="1"/>
  <c r="Q277" i="1"/>
  <c r="AJ288" i="1"/>
  <c r="Q288" i="1"/>
  <c r="AJ283" i="1"/>
  <c r="Q283" i="1"/>
  <c r="AJ271" i="1"/>
  <c r="Q271" i="1"/>
  <c r="AJ294" i="1"/>
  <c r="Q294" i="1"/>
  <c r="AJ295" i="1"/>
  <c r="Q295" i="1"/>
  <c r="AJ308" i="1"/>
  <c r="Q308" i="1"/>
  <c r="AJ324" i="1"/>
  <c r="Q324" i="1"/>
  <c r="AJ328" i="1"/>
  <c r="Q328" i="1"/>
  <c r="AJ345" i="1"/>
  <c r="Q345" i="1"/>
  <c r="AJ341" i="1"/>
  <c r="Q341" i="1"/>
  <c r="AJ369" i="1"/>
  <c r="Q369" i="1"/>
  <c r="AJ383" i="1"/>
  <c r="Q383" i="1"/>
  <c r="AJ389" i="1"/>
  <c r="Q389" i="1"/>
  <c r="AJ401" i="1"/>
  <c r="Q401" i="1"/>
  <c r="AJ413" i="1"/>
  <c r="Q413" i="1"/>
  <c r="AJ409" i="1"/>
  <c r="Q409" i="1"/>
  <c r="AJ407" i="1"/>
  <c r="Q407" i="1"/>
  <c r="AJ391" i="1"/>
  <c r="Q391" i="1"/>
  <c r="AJ406" i="1"/>
  <c r="Q406" i="1"/>
  <c r="AJ416" i="1"/>
  <c r="Q416" i="1"/>
  <c r="AJ421" i="1"/>
  <c r="Q421" i="1"/>
  <c r="AJ419" i="1"/>
  <c r="Q419" i="1"/>
  <c r="AJ430" i="1"/>
  <c r="Q430" i="1"/>
  <c r="AJ435" i="1"/>
  <c r="Q435" i="1"/>
  <c r="AJ475" i="1"/>
  <c r="Q475" i="1"/>
  <c r="AJ471" i="1"/>
  <c r="Q471" i="1"/>
  <c r="AJ442" i="1"/>
  <c r="Q442" i="1"/>
  <c r="AJ451" i="1"/>
  <c r="Q451" i="1"/>
  <c r="AJ458" i="1"/>
  <c r="Q458" i="1"/>
  <c r="AJ464" i="1"/>
  <c r="Q464" i="1"/>
  <c r="AJ446" i="1"/>
  <c r="Q446" i="1"/>
  <c r="AJ465" i="1"/>
  <c r="Q465" i="1"/>
  <c r="AJ460" i="1"/>
  <c r="Q460" i="1"/>
  <c r="AJ469" i="1"/>
  <c r="Q469" i="1"/>
  <c r="AJ498" i="1"/>
  <c r="Q498" i="1"/>
  <c r="AJ493" i="1"/>
  <c r="Q493" i="1"/>
  <c r="AJ503" i="1"/>
  <c r="Q503" i="1"/>
  <c r="AJ497" i="1"/>
  <c r="Q497" i="1"/>
  <c r="AJ485" i="1"/>
  <c r="Q485" i="1"/>
  <c r="AJ486" i="1"/>
  <c r="Q486" i="1"/>
  <c r="AJ520" i="1"/>
  <c r="Q520" i="1"/>
  <c r="AJ515" i="1"/>
  <c r="Q515" i="1"/>
  <c r="AJ521" i="1"/>
  <c r="Q521" i="1"/>
  <c r="AJ531" i="1"/>
  <c r="Q531" i="1"/>
  <c r="AJ542" i="1"/>
  <c r="Q542" i="1"/>
  <c r="AJ564" i="1"/>
  <c r="Q564" i="1"/>
  <c r="AJ558" i="1"/>
  <c r="Q558" i="1"/>
  <c r="AJ555" i="1"/>
  <c r="Q555" i="1"/>
  <c r="AJ547" i="1"/>
  <c r="Q547" i="1"/>
  <c r="AJ569" i="1"/>
  <c r="Q569" i="1"/>
  <c r="AJ563" i="1"/>
  <c r="Q563" i="1"/>
  <c r="AJ572" i="1"/>
  <c r="Q572" i="1"/>
  <c r="AJ577" i="1"/>
  <c r="Q577" i="1"/>
  <c r="AJ587" i="1"/>
  <c r="Q587" i="1"/>
  <c r="AJ588" i="1"/>
  <c r="Q588" i="1"/>
  <c r="AJ597" i="1"/>
  <c r="Q597" i="1"/>
  <c r="AJ606" i="1"/>
  <c r="Q606" i="1"/>
  <c r="AJ601" i="1"/>
  <c r="Q601" i="1"/>
  <c r="AJ612" i="1"/>
  <c r="Q612" i="1"/>
  <c r="AJ617" i="1"/>
  <c r="Q617" i="1"/>
  <c r="AJ629" i="1"/>
  <c r="Q629" i="1"/>
  <c r="AJ622" i="1"/>
  <c r="Q622" i="1"/>
  <c r="AJ618" i="1"/>
  <c r="Q618" i="1"/>
  <c r="AJ640" i="1"/>
  <c r="Q640" i="1"/>
  <c r="AJ645" i="1"/>
  <c r="Q645" i="1"/>
  <c r="AJ641" i="1"/>
  <c r="Q641" i="1"/>
  <c r="AJ654" i="1"/>
  <c r="Q654" i="1"/>
  <c r="AJ664" i="1"/>
  <c r="Q664" i="1"/>
  <c r="AJ661" i="1"/>
  <c r="Q661" i="1"/>
  <c r="AJ658" i="1"/>
  <c r="Q658" i="1"/>
  <c r="AJ670" i="1"/>
  <c r="Q670" i="1"/>
  <c r="AJ695" i="1"/>
  <c r="Q695" i="1"/>
  <c r="AJ691" i="1"/>
  <c r="Q691" i="1"/>
  <c r="AJ678" i="1"/>
  <c r="Q678" i="1"/>
  <c r="AJ693" i="1"/>
  <c r="Q693" i="1"/>
  <c r="AJ707" i="1"/>
  <c r="Q707" i="1"/>
  <c r="AJ714" i="1"/>
  <c r="Q714" i="1"/>
  <c r="AJ729" i="1"/>
  <c r="Q729" i="1"/>
  <c r="AJ722" i="1"/>
  <c r="Q722" i="1"/>
  <c r="AJ727" i="1"/>
  <c r="Q727" i="1"/>
  <c r="AJ734" i="1"/>
  <c r="Q734" i="1"/>
  <c r="AJ732" i="1"/>
  <c r="Q732" i="1"/>
  <c r="AJ738" i="1"/>
  <c r="Q738" i="1"/>
  <c r="AJ746" i="1"/>
  <c r="Q746" i="1"/>
  <c r="AJ744" i="1"/>
  <c r="Q744" i="1"/>
  <c r="AJ777" i="1"/>
  <c r="Q777" i="1"/>
  <c r="AJ757" i="1"/>
  <c r="Q757" i="1"/>
  <c r="AJ772" i="1"/>
  <c r="Q772" i="1"/>
  <c r="AJ752" i="1"/>
  <c r="Q752" i="1"/>
  <c r="AJ780" i="1"/>
  <c r="Q780" i="1"/>
  <c r="AJ781" i="1"/>
  <c r="Q781" i="1"/>
  <c r="AJ792" i="1"/>
  <c r="Q792" i="1"/>
  <c r="AJ821" i="1"/>
  <c r="Q821" i="1"/>
  <c r="AJ847" i="1"/>
  <c r="Q847" i="1"/>
  <c r="AJ826" i="1"/>
  <c r="Q826" i="1"/>
  <c r="AJ838" i="1"/>
  <c r="Q838" i="1"/>
  <c r="AJ788" i="1"/>
  <c r="Q788" i="1"/>
  <c r="AJ809" i="1"/>
  <c r="Q809" i="1"/>
  <c r="AJ787" i="1"/>
  <c r="Q787" i="1"/>
  <c r="AJ803" i="1"/>
  <c r="Q803" i="1"/>
  <c r="AJ859" i="1"/>
  <c r="Q859" i="1"/>
  <c r="AJ831" i="1"/>
  <c r="Q831" i="1"/>
  <c r="AJ805" i="1"/>
  <c r="Q805" i="1"/>
  <c r="AJ865" i="1"/>
  <c r="Q865" i="1"/>
  <c r="AJ868" i="1"/>
  <c r="Q868" i="1"/>
  <c r="AJ871" i="1"/>
  <c r="Q871" i="1"/>
  <c r="AJ881" i="1"/>
  <c r="Q881" i="1"/>
  <c r="AJ876" i="1"/>
  <c r="Q876" i="1"/>
  <c r="AJ909" i="1"/>
  <c r="Q909" i="1"/>
  <c r="AJ1727" i="1"/>
  <c r="Q1727" i="1"/>
  <c r="AJ1739" i="1"/>
  <c r="Q1739" i="1"/>
  <c r="AJ1750" i="1"/>
  <c r="Q1750" i="1"/>
  <c r="AJ1781" i="1"/>
  <c r="Q1781" i="1"/>
  <c r="AJ1790" i="1"/>
  <c r="Q1790" i="1"/>
  <c r="AJ1818" i="1"/>
  <c r="Q1818" i="1"/>
  <c r="AJ1810" i="1"/>
  <c r="Q1810" i="1"/>
  <c r="AJ1845" i="1"/>
  <c r="Q1845" i="1"/>
  <c r="AJ1863" i="1"/>
  <c r="Q1863" i="1"/>
  <c r="AJ1870" i="1"/>
  <c r="Q1870" i="1"/>
  <c r="AJ1888" i="1"/>
  <c r="Q1888" i="1"/>
  <c r="AJ1895" i="1"/>
  <c r="Q1895" i="1"/>
  <c r="AJ1663" i="1"/>
  <c r="Q1663" i="1"/>
  <c r="AJ1679" i="1"/>
  <c r="Q1679" i="1"/>
  <c r="AJ1693" i="1"/>
  <c r="Q1693" i="1"/>
  <c r="AJ1660" i="1"/>
  <c r="Q1660" i="1"/>
  <c r="AJ924" i="1"/>
  <c r="Q924" i="1"/>
  <c r="AJ938" i="1"/>
  <c r="Q938" i="1"/>
  <c r="AJ970" i="1"/>
  <c r="Q970" i="1"/>
  <c r="AJ964" i="1"/>
  <c r="Q964" i="1"/>
  <c r="AJ991" i="1"/>
  <c r="Q991" i="1"/>
  <c r="AJ979" i="1"/>
  <c r="Q979" i="1"/>
  <c r="AJ1075" i="1"/>
  <c r="Q1075" i="1"/>
  <c r="AJ1063" i="1"/>
  <c r="Q1063" i="1"/>
  <c r="AJ1038" i="1"/>
  <c r="Q1038" i="1"/>
  <c r="AJ1037" i="1"/>
  <c r="Q1037" i="1"/>
  <c r="AJ1041" i="1"/>
  <c r="Q1041" i="1"/>
  <c r="AJ1095" i="1"/>
  <c r="Q1095" i="1"/>
  <c r="AJ1111" i="1"/>
  <c r="Q1111" i="1"/>
  <c r="AJ1131" i="1"/>
  <c r="Q1131" i="1"/>
  <c r="AJ1183" i="1"/>
  <c r="Q1183" i="1"/>
  <c r="AJ1154" i="1"/>
  <c r="Q1154" i="1"/>
  <c r="AJ1196" i="1"/>
  <c r="Q1196" i="1"/>
  <c r="AJ1205" i="1"/>
  <c r="Q1205" i="1"/>
  <c r="AJ1228" i="1"/>
  <c r="Q1228" i="1"/>
  <c r="AJ1274" i="1"/>
  <c r="Q1274" i="1"/>
  <c r="AJ1256" i="1"/>
  <c r="Q1256" i="1"/>
  <c r="AJ1269" i="1"/>
  <c r="Q1269" i="1"/>
  <c r="AJ1212" i="1"/>
  <c r="Q1212" i="1"/>
  <c r="AJ1291" i="1"/>
  <c r="Q1291" i="1"/>
  <c r="AJ1292" i="1"/>
  <c r="Q1292" i="1"/>
  <c r="AJ1304" i="1"/>
  <c r="Q1304" i="1"/>
  <c r="AJ1366" i="1"/>
  <c r="Q1366" i="1"/>
  <c r="AJ1720" i="1"/>
  <c r="Q1720" i="1"/>
  <c r="AJ1730" i="1"/>
  <c r="Q1730" i="1"/>
  <c r="AJ1747" i="1"/>
  <c r="Q1747" i="1"/>
  <c r="AJ1753" i="1"/>
  <c r="Q1753" i="1"/>
  <c r="AJ1770" i="1"/>
  <c r="Q1770" i="1"/>
  <c r="AJ1712" i="1"/>
  <c r="Q1712" i="1"/>
  <c r="AJ1723" i="1"/>
  <c r="Q1723" i="1"/>
  <c r="AJ1726" i="1"/>
  <c r="Q1726" i="1"/>
  <c r="AJ1728" i="1"/>
  <c r="Q1728" i="1"/>
  <c r="AJ1758" i="1"/>
  <c r="Q1758" i="1"/>
  <c r="AJ1733" i="1"/>
  <c r="Q1733" i="1"/>
  <c r="AJ1743" i="1"/>
  <c r="Q1743" i="1"/>
  <c r="AJ1763" i="1"/>
  <c r="Q1763" i="1"/>
  <c r="AJ1780" i="1"/>
  <c r="Q1780" i="1"/>
  <c r="AJ1777" i="1"/>
  <c r="Q1777" i="1"/>
  <c r="AJ1776" i="1"/>
  <c r="Q1776" i="1"/>
  <c r="AJ1784" i="1"/>
  <c r="Q1784" i="1"/>
  <c r="AJ1797" i="1"/>
  <c r="Q1797" i="1"/>
  <c r="AJ1794" i="1"/>
  <c r="Q1794" i="1"/>
  <c r="AJ1812" i="1"/>
  <c r="Q1812" i="1"/>
  <c r="AJ1805" i="1"/>
  <c r="Q1805" i="1"/>
  <c r="AJ1826" i="1"/>
  <c r="Q1826" i="1"/>
  <c r="AJ1824" i="1"/>
  <c r="Q1824" i="1"/>
  <c r="AJ1823" i="1"/>
  <c r="Q1823" i="1"/>
  <c r="AJ1821" i="1"/>
  <c r="Q1821" i="1"/>
  <c r="AJ1847" i="1"/>
  <c r="Q1847" i="1"/>
  <c r="AJ1848" i="1"/>
  <c r="Q1848" i="1"/>
  <c r="AJ1854" i="1"/>
  <c r="Q1854" i="1"/>
  <c r="AJ1852" i="1"/>
  <c r="Q1852" i="1"/>
  <c r="AJ1862" i="1"/>
  <c r="Q1862" i="1"/>
  <c r="AJ1869" i="1"/>
  <c r="Q1869" i="1"/>
  <c r="AJ1868" i="1"/>
  <c r="Q1868" i="1"/>
  <c r="AJ1883" i="1"/>
  <c r="Q1883" i="1"/>
  <c r="AJ1904" i="1"/>
  <c r="Q1904" i="1"/>
  <c r="AJ1903" i="1"/>
  <c r="Q1903" i="1"/>
  <c r="AJ1889" i="1"/>
  <c r="Q1889" i="1"/>
  <c r="AJ1900" i="1"/>
  <c r="Q1900" i="1"/>
  <c r="AJ1705" i="1"/>
  <c r="Q1705" i="1"/>
  <c r="AJ1649" i="1"/>
  <c r="Q1649" i="1"/>
  <c r="AJ1671" i="1"/>
  <c r="Q1671" i="1"/>
  <c r="AJ1666" i="1"/>
  <c r="Q1666" i="1"/>
  <c r="AJ1684" i="1"/>
  <c r="Q1684" i="1"/>
  <c r="AJ1674" i="1"/>
  <c r="Q1674" i="1"/>
  <c r="AJ1682" i="1"/>
  <c r="Q1682" i="1"/>
  <c r="AJ1694" i="1"/>
  <c r="Q1694" i="1"/>
  <c r="AJ1700" i="1"/>
  <c r="Q1700" i="1"/>
  <c r="AJ1698" i="1"/>
  <c r="Q1698" i="1"/>
  <c r="AJ1703" i="1"/>
  <c r="Q1703" i="1"/>
  <c r="AJ1647" i="1"/>
  <c r="Q1647" i="1"/>
  <c r="AJ1657" i="1"/>
  <c r="Q1657" i="1"/>
  <c r="AJ917" i="1"/>
  <c r="Q917" i="1"/>
  <c r="AJ919" i="1"/>
  <c r="Q919" i="1"/>
  <c r="AJ923" i="1"/>
  <c r="Q923" i="1"/>
  <c r="AJ922" i="1"/>
  <c r="Q922" i="1"/>
  <c r="AJ921" i="1"/>
  <c r="Q921" i="1"/>
  <c r="AJ933" i="1"/>
  <c r="Q933" i="1"/>
  <c r="AJ947" i="1"/>
  <c r="Q947" i="1"/>
  <c r="AJ946" i="1"/>
  <c r="Q946" i="1"/>
  <c r="AJ954" i="1"/>
  <c r="Q954" i="1"/>
  <c r="AJ965" i="1"/>
  <c r="Q965" i="1"/>
  <c r="AJ956" i="1"/>
  <c r="Q956" i="1"/>
  <c r="AJ968" i="1"/>
  <c r="Q968" i="1"/>
  <c r="AJ999" i="1"/>
  <c r="Q999" i="1"/>
  <c r="AJ1020" i="1"/>
  <c r="Q1020" i="1"/>
  <c r="AJ992" i="1"/>
  <c r="Q992" i="1"/>
  <c r="AJ1003" i="1"/>
  <c r="Q1003" i="1"/>
  <c r="AJ1001" i="1"/>
  <c r="Q1001" i="1"/>
  <c r="AJ976" i="1"/>
  <c r="Q976" i="1"/>
  <c r="AJ1008" i="1"/>
  <c r="Q1008" i="1"/>
  <c r="AJ980" i="1"/>
  <c r="Q980" i="1"/>
  <c r="AJ1069" i="1"/>
  <c r="Q1069" i="1"/>
  <c r="AJ1076" i="1"/>
  <c r="Q1076" i="1"/>
  <c r="AJ1046" i="1"/>
  <c r="Q1046" i="1"/>
  <c r="AJ1064" i="1"/>
  <c r="Q1064" i="1"/>
  <c r="AJ1072" i="1"/>
  <c r="Q1072" i="1"/>
  <c r="AJ1034" i="1"/>
  <c r="Q1034" i="1"/>
  <c r="AJ1061" i="1"/>
  <c r="Q1061" i="1"/>
  <c r="AJ1030" i="1"/>
  <c r="Q1030" i="1"/>
  <c r="AJ1027" i="1"/>
  <c r="Q1027" i="1"/>
  <c r="AJ1079" i="1"/>
  <c r="Q1079" i="1"/>
  <c r="AJ1042" i="1"/>
  <c r="Q1042" i="1"/>
  <c r="AJ1081" i="1"/>
  <c r="Q1081" i="1"/>
  <c r="AJ1108" i="1"/>
  <c r="Q1108" i="1"/>
  <c r="AJ1105" i="1"/>
  <c r="Q1105" i="1"/>
  <c r="AJ1100" i="1"/>
  <c r="Q1100" i="1"/>
  <c r="AJ1099" i="1"/>
  <c r="Q1099" i="1"/>
  <c r="AJ1113" i="1"/>
  <c r="Q1113" i="1"/>
  <c r="AJ1125" i="1"/>
  <c r="Q1125" i="1"/>
  <c r="AJ1122" i="1"/>
  <c r="Q1122" i="1"/>
  <c r="AJ1132" i="1"/>
  <c r="Q1132" i="1"/>
  <c r="AJ1134" i="1"/>
  <c r="Q1134" i="1"/>
  <c r="AJ1167" i="1"/>
  <c r="Q1167" i="1"/>
  <c r="AJ1155" i="1"/>
  <c r="Q1155" i="1"/>
  <c r="AJ1163" i="1"/>
  <c r="Q1163" i="1"/>
  <c r="AJ1174" i="1"/>
  <c r="Q1174" i="1"/>
  <c r="AJ1173" i="1"/>
  <c r="Q1173" i="1"/>
  <c r="AJ1202" i="1"/>
  <c r="Q1202" i="1"/>
  <c r="AJ1195" i="1"/>
  <c r="Q1195" i="1"/>
  <c r="AJ1199" i="1"/>
  <c r="Q1199" i="1"/>
  <c r="AJ1204" i="1"/>
  <c r="Q1204" i="1"/>
  <c r="AJ1209" i="1"/>
  <c r="Q1209" i="1"/>
  <c r="AJ1224" i="1"/>
  <c r="Q1224" i="1"/>
  <c r="AJ1226" i="1"/>
  <c r="Q1226" i="1"/>
  <c r="AJ1257" i="1"/>
  <c r="Q1257" i="1"/>
  <c r="AJ1272" i="1"/>
  <c r="Q1272" i="1"/>
  <c r="AJ1260" i="1"/>
  <c r="Q1260" i="1"/>
  <c r="AJ1245" i="1"/>
  <c r="Q1245" i="1"/>
  <c r="AJ1271" i="1"/>
  <c r="Q1271" i="1"/>
  <c r="AJ1281" i="1"/>
  <c r="Q1281" i="1"/>
  <c r="AJ1270" i="1"/>
  <c r="Q1270" i="1"/>
  <c r="AJ1220" i="1"/>
  <c r="Q1220" i="1"/>
  <c r="AJ1278" i="1"/>
  <c r="Q1278" i="1"/>
  <c r="AJ1241" i="1"/>
  <c r="Q1241" i="1"/>
  <c r="AJ1218" i="1"/>
  <c r="Q1218" i="1"/>
  <c r="AJ1251" i="1"/>
  <c r="Q1251" i="1"/>
  <c r="AJ1236" i="1"/>
  <c r="Q1236" i="1"/>
  <c r="AJ1296" i="1"/>
  <c r="Q1296" i="1"/>
  <c r="AJ1293" i="1"/>
  <c r="Q1293" i="1"/>
  <c r="AJ1288" i="1"/>
  <c r="Q1288" i="1"/>
  <c r="AJ1283" i="1"/>
  <c r="Q1283" i="1"/>
  <c r="AJ1306" i="1"/>
  <c r="Q1306" i="1"/>
  <c r="AJ1308" i="1"/>
  <c r="Q1308" i="1"/>
  <c r="AJ1321" i="1"/>
  <c r="Q1321" i="1"/>
  <c r="AJ1322" i="1"/>
  <c r="Q1322" i="1"/>
  <c r="AJ1326" i="1"/>
  <c r="Q1326" i="1"/>
  <c r="AJ1315" i="1"/>
  <c r="Q1315" i="1"/>
  <c r="AJ1333" i="1"/>
  <c r="Q1333" i="1"/>
  <c r="AJ1344" i="1"/>
  <c r="Q1344" i="1"/>
  <c r="AJ1359" i="1"/>
  <c r="Q1359" i="1"/>
  <c r="AJ1353" i="1"/>
  <c r="Q1353" i="1"/>
  <c r="AJ1369" i="1"/>
  <c r="Q1369" i="1"/>
  <c r="AJ1363" i="1"/>
  <c r="Q1363" i="1"/>
  <c r="AJ1374" i="1"/>
  <c r="Q1374" i="1"/>
  <c r="AJ1384" i="1"/>
  <c r="Q1384" i="1"/>
  <c r="AJ1378" i="1"/>
  <c r="Q1378" i="1"/>
  <c r="AJ1395" i="1"/>
  <c r="Q1395" i="1"/>
  <c r="AJ1401" i="1"/>
  <c r="Q1401" i="1"/>
  <c r="AJ1405" i="1"/>
  <c r="Q1405" i="1"/>
  <c r="AJ1403" i="1"/>
  <c r="Q1403" i="1"/>
  <c r="AJ1415" i="1"/>
  <c r="Q1415" i="1"/>
  <c r="AJ1414" i="1"/>
  <c r="Q1414" i="1"/>
  <c r="AJ1435" i="1"/>
  <c r="Q1435" i="1"/>
  <c r="AJ1449" i="1"/>
  <c r="Q1449" i="1"/>
  <c r="AJ1421" i="1"/>
  <c r="Q1421" i="1"/>
  <c r="AJ1420" i="1"/>
  <c r="Q1420" i="1"/>
  <c r="AJ1436" i="1"/>
  <c r="Q1436" i="1"/>
  <c r="AJ1431" i="1"/>
  <c r="Q1431" i="1"/>
  <c r="AJ1462" i="1"/>
  <c r="Q1462" i="1"/>
  <c r="AJ1456" i="1"/>
  <c r="Q1456" i="1"/>
  <c r="AJ1498" i="1"/>
  <c r="Q1498" i="1"/>
  <c r="AJ1489" i="1"/>
  <c r="Q1489" i="1"/>
  <c r="AJ1481" i="1"/>
  <c r="Q1481" i="1"/>
  <c r="AJ1502" i="1"/>
  <c r="Q1502" i="1"/>
  <c r="AJ1499" i="1"/>
  <c r="Q1499" i="1"/>
  <c r="AJ1509" i="1"/>
  <c r="Q1509" i="1"/>
  <c r="AJ1479" i="1"/>
  <c r="Q1479" i="1"/>
  <c r="AJ1507" i="1"/>
  <c r="Q1507" i="1"/>
  <c r="AJ1505" i="1"/>
  <c r="Q1505" i="1"/>
  <c r="AJ1527" i="1"/>
  <c r="Q1527" i="1"/>
  <c r="AJ1532" i="1"/>
  <c r="Q1532" i="1"/>
  <c r="AJ1537" i="1"/>
  <c r="Q1537" i="1"/>
  <c r="AJ1545" i="1"/>
  <c r="Q1545" i="1"/>
  <c r="AJ1548" i="1"/>
  <c r="Q1548" i="1"/>
  <c r="AJ1561" i="1"/>
  <c r="Q1561" i="1"/>
  <c r="AJ1554" i="1"/>
  <c r="Q1554" i="1"/>
  <c r="AJ1560" i="1"/>
  <c r="Q1560" i="1"/>
  <c r="AJ1576" i="1"/>
  <c r="Q1576" i="1"/>
  <c r="AJ1583" i="1"/>
  <c r="Q1583" i="1"/>
  <c r="AJ1596" i="1"/>
  <c r="Q1596" i="1"/>
  <c r="AJ1599" i="1"/>
  <c r="Q1599" i="1"/>
  <c r="AJ1608" i="1"/>
  <c r="Q1608" i="1"/>
  <c r="AJ1619" i="1"/>
  <c r="Q1619" i="1"/>
  <c r="AJ1614" i="1"/>
  <c r="Q1614" i="1"/>
  <c r="AJ1613" i="1"/>
  <c r="Q1613" i="1"/>
  <c r="AJ1621" i="1"/>
  <c r="Q1621" i="1"/>
  <c r="AJ908" i="1"/>
  <c r="Q908" i="1"/>
  <c r="AJ920" i="1"/>
  <c r="Q920" i="1"/>
  <c r="AJ4" i="1"/>
  <c r="Q4" i="1"/>
  <c r="AJ5" i="1"/>
  <c r="Q5" i="1"/>
  <c r="AJ16" i="1"/>
  <c r="Q16" i="1"/>
  <c r="AJ35" i="1"/>
  <c r="Q35" i="1"/>
  <c r="AJ39" i="1"/>
  <c r="Q39" i="1"/>
  <c r="AJ49" i="1"/>
  <c r="Q49" i="1"/>
  <c r="AJ47" i="1"/>
  <c r="Q47" i="1"/>
  <c r="AJ53" i="1"/>
  <c r="Q53" i="1"/>
  <c r="AJ56" i="1"/>
  <c r="Q56" i="1"/>
  <c r="AJ104" i="1"/>
  <c r="Q104" i="1"/>
  <c r="AJ59" i="1"/>
  <c r="Q59" i="1"/>
  <c r="AJ113" i="1"/>
  <c r="Q113" i="1"/>
  <c r="AJ98" i="1"/>
  <c r="Q98" i="1"/>
  <c r="AJ102" i="1"/>
  <c r="Q102" i="1"/>
  <c r="AJ94" i="1"/>
  <c r="Q94" i="1"/>
  <c r="AJ88" i="1"/>
  <c r="Q88" i="1"/>
  <c r="AJ95" i="1"/>
  <c r="Q95" i="1"/>
  <c r="AJ70" i="1"/>
  <c r="Q70" i="1"/>
  <c r="AJ116" i="1"/>
  <c r="Q116" i="1"/>
  <c r="AJ132" i="1"/>
  <c r="Q132" i="1"/>
  <c r="AJ128" i="1"/>
  <c r="Q128" i="1"/>
  <c r="AJ138" i="1"/>
  <c r="Q138" i="1"/>
  <c r="AJ142" i="1"/>
  <c r="Q142" i="1"/>
  <c r="AJ147" i="1"/>
  <c r="Q147" i="1"/>
  <c r="AJ139" i="1"/>
  <c r="Q139" i="1"/>
  <c r="AJ154" i="1"/>
  <c r="Q154" i="1"/>
  <c r="AJ158" i="1"/>
  <c r="Q158" i="1"/>
  <c r="AJ161" i="1"/>
  <c r="Q161" i="1"/>
  <c r="AJ166" i="1"/>
  <c r="Q166" i="1"/>
  <c r="AJ174" i="1"/>
  <c r="Q174" i="1"/>
  <c r="AJ172" i="1"/>
  <c r="Q172" i="1"/>
  <c r="AJ178" i="1"/>
  <c r="Q178" i="1"/>
  <c r="AJ173" i="1"/>
  <c r="Q173" i="1"/>
  <c r="AJ193" i="1"/>
  <c r="Q193" i="1"/>
  <c r="AJ197" i="1"/>
  <c r="Q197" i="1"/>
  <c r="AJ205" i="1"/>
  <c r="Q205" i="1"/>
  <c r="AJ206" i="1"/>
  <c r="Q206" i="1"/>
  <c r="AJ237" i="1"/>
  <c r="Q237" i="1"/>
  <c r="AJ232" i="1"/>
  <c r="Q232" i="1"/>
  <c r="AJ212" i="1"/>
  <c r="Q212" i="1"/>
  <c r="AJ209" i="1"/>
  <c r="Q209" i="1"/>
  <c r="AJ208" i="1"/>
  <c r="Q208" i="1"/>
  <c r="AJ243" i="1"/>
  <c r="Q243" i="1"/>
  <c r="AJ215" i="1"/>
  <c r="Q215" i="1"/>
  <c r="AJ234" i="1"/>
  <c r="Q234" i="1"/>
  <c r="AJ255" i="1"/>
  <c r="Q255" i="1"/>
  <c r="AJ259" i="1"/>
  <c r="Q259" i="1"/>
  <c r="AJ262" i="1"/>
  <c r="Q262" i="1"/>
  <c r="AJ289" i="1"/>
  <c r="Q289" i="1"/>
  <c r="AJ290" i="1"/>
  <c r="Q290" i="1"/>
  <c r="AJ272" i="1"/>
  <c r="Q272" i="1"/>
  <c r="AJ263" i="1"/>
  <c r="Q263" i="1"/>
  <c r="AJ282" i="1"/>
  <c r="Q282" i="1"/>
  <c r="AJ299" i="1"/>
  <c r="Q299" i="1"/>
  <c r="AJ293" i="1"/>
  <c r="Q293" i="1"/>
  <c r="AJ292" i="1"/>
  <c r="Q292" i="1"/>
  <c r="AJ301" i="1"/>
  <c r="Q301" i="1"/>
  <c r="AJ331" i="1"/>
  <c r="Q331" i="1"/>
  <c r="AJ329" i="1"/>
  <c r="Q329" i="1"/>
  <c r="AJ344" i="1"/>
  <c r="Q344" i="1"/>
  <c r="AJ336" i="1"/>
  <c r="Q336" i="1"/>
  <c r="AJ368" i="1"/>
  <c r="Q368" i="1"/>
  <c r="AJ366" i="1"/>
  <c r="Q366" i="1"/>
  <c r="AJ364" i="1"/>
  <c r="Q364" i="1"/>
  <c r="AJ378" i="1"/>
  <c r="Q378" i="1"/>
  <c r="AJ388" i="1"/>
  <c r="Q388" i="1"/>
  <c r="AJ405" i="1"/>
  <c r="Q405" i="1"/>
  <c r="AJ397" i="1"/>
  <c r="Q397" i="1"/>
  <c r="AJ404" i="1"/>
  <c r="Q404" i="1"/>
  <c r="AJ393" i="1"/>
  <c r="Q393" i="1"/>
  <c r="AJ390" i="1"/>
  <c r="Q390" i="1"/>
  <c r="AJ412" i="1"/>
  <c r="Q412" i="1"/>
  <c r="AJ425" i="1"/>
  <c r="Q425" i="1"/>
  <c r="AJ423" i="1"/>
  <c r="Q423" i="1"/>
  <c r="AJ432" i="1"/>
  <c r="Q432" i="1"/>
  <c r="AJ436" i="1"/>
  <c r="Q436" i="1"/>
  <c r="AJ463" i="1"/>
  <c r="Q463" i="1"/>
  <c r="AJ443" i="1"/>
  <c r="Q443" i="1"/>
  <c r="AJ468" i="1"/>
  <c r="Q468" i="1"/>
  <c r="AJ450" i="1"/>
  <c r="Q450" i="1"/>
  <c r="AJ444" i="1"/>
  <c r="Q444" i="1"/>
  <c r="AJ456" i="1"/>
  <c r="Q456" i="1"/>
  <c r="AJ441" i="1"/>
  <c r="Q441" i="1"/>
  <c r="AJ440" i="1"/>
  <c r="Q440" i="1"/>
  <c r="AJ483" i="1"/>
  <c r="Q483" i="1"/>
  <c r="AJ505" i="1"/>
  <c r="Q505" i="1"/>
  <c r="AJ504" i="1"/>
  <c r="Q504" i="1"/>
  <c r="AJ500" i="1"/>
  <c r="Q500" i="1"/>
  <c r="AJ499" i="1"/>
  <c r="Q499" i="1"/>
  <c r="AJ484" i="1"/>
  <c r="Q484" i="1"/>
  <c r="AJ517" i="1"/>
  <c r="Q517" i="1"/>
  <c r="AJ518" i="1"/>
  <c r="Q518" i="1"/>
  <c r="AJ524" i="1"/>
  <c r="Q524" i="1"/>
  <c r="AJ526" i="1"/>
  <c r="Q526" i="1"/>
  <c r="AJ528" i="1"/>
  <c r="Q528" i="1"/>
  <c r="AJ535" i="1"/>
  <c r="Q535" i="1"/>
  <c r="AJ554" i="1"/>
  <c r="Q554" i="1"/>
  <c r="AJ553" i="1"/>
  <c r="Q553" i="1"/>
  <c r="AJ557" i="1"/>
  <c r="Q557" i="1"/>
  <c r="AJ551" i="1"/>
  <c r="Q551" i="1"/>
  <c r="AJ541" i="1"/>
  <c r="Q541" i="1"/>
  <c r="AJ545" i="1"/>
  <c r="Q545" i="1"/>
  <c r="AJ568" i="1"/>
  <c r="Q568" i="1"/>
  <c r="AJ536" i="1"/>
  <c r="Q536" i="1"/>
  <c r="AJ574" i="1"/>
  <c r="Q574" i="1"/>
  <c r="AJ578" i="1"/>
  <c r="Q578" i="1"/>
  <c r="AJ586" i="1"/>
  <c r="Q586" i="1"/>
  <c r="AJ589" i="1"/>
  <c r="Q589" i="1"/>
  <c r="AJ590" i="1"/>
  <c r="Q590" i="1"/>
  <c r="AJ605" i="1"/>
  <c r="Q605" i="1"/>
  <c r="AJ600" i="1"/>
  <c r="Q600" i="1"/>
  <c r="AJ613" i="1"/>
  <c r="Q613" i="1"/>
  <c r="AJ625" i="1"/>
  <c r="Q625" i="1"/>
  <c r="AJ623" i="1"/>
  <c r="Q623" i="1"/>
  <c r="AJ624" i="1"/>
  <c r="Q624" i="1"/>
  <c r="AJ633" i="1"/>
  <c r="Q633" i="1"/>
  <c r="AJ638" i="1"/>
  <c r="Q638" i="1"/>
  <c r="AJ644" i="1"/>
  <c r="Q644" i="1"/>
  <c r="AJ642" i="1"/>
  <c r="Q642" i="1"/>
  <c r="AJ653" i="1"/>
  <c r="Q653" i="1"/>
  <c r="AJ651" i="1"/>
  <c r="Q651" i="1"/>
  <c r="AJ668" i="1"/>
  <c r="Q668" i="1"/>
  <c r="AJ667" i="1"/>
  <c r="Q667" i="1"/>
  <c r="AJ666" i="1"/>
  <c r="Q666" i="1"/>
  <c r="AJ669" i="1"/>
  <c r="Q669" i="1"/>
  <c r="AJ685" i="1"/>
  <c r="Q685" i="1"/>
  <c r="AJ684" i="1"/>
  <c r="Q684" i="1"/>
  <c r="AJ682" i="1"/>
  <c r="Q682" i="1"/>
  <c r="AJ689" i="1"/>
  <c r="Q689" i="1"/>
  <c r="AJ708" i="1"/>
  <c r="Q708" i="1"/>
  <c r="AJ709" i="1"/>
  <c r="Q709" i="1"/>
  <c r="AJ711" i="1"/>
  <c r="Q711" i="1"/>
  <c r="AJ715" i="1"/>
  <c r="Q715" i="1"/>
  <c r="AJ720" i="1"/>
  <c r="Q720" i="1"/>
  <c r="AJ719" i="1"/>
  <c r="Q719" i="1"/>
  <c r="AJ721" i="1"/>
  <c r="Q721" i="1"/>
  <c r="AJ737" i="1"/>
  <c r="Q737" i="1"/>
  <c r="AJ751" i="1"/>
  <c r="Q751" i="1"/>
  <c r="AJ740" i="1"/>
  <c r="Q740" i="1"/>
  <c r="AJ759" i="1"/>
  <c r="Q759" i="1"/>
  <c r="AJ756" i="1"/>
  <c r="Q756" i="1"/>
  <c r="AJ754" i="1"/>
  <c r="Q754" i="1"/>
  <c r="AJ770" i="1"/>
  <c r="Q770" i="1"/>
  <c r="AJ779" i="1"/>
  <c r="Q779" i="1"/>
  <c r="AJ785" i="1"/>
  <c r="Q785" i="1"/>
  <c r="AJ790" i="1"/>
  <c r="Q790" i="1"/>
  <c r="AJ848" i="1"/>
  <c r="Q848" i="1"/>
  <c r="AJ837" i="1"/>
  <c r="Q837" i="1"/>
  <c r="AJ846" i="1"/>
  <c r="Q846" i="1"/>
  <c r="AJ796" i="1"/>
  <c r="Q796" i="1"/>
  <c r="AJ811" i="1"/>
  <c r="Q811" i="1"/>
  <c r="AJ825" i="1"/>
  <c r="Q825" i="1"/>
  <c r="AJ818" i="1"/>
  <c r="Q818" i="1"/>
  <c r="AJ794" i="1"/>
  <c r="Q794" i="1"/>
  <c r="AJ824" i="1"/>
  <c r="Q824" i="1"/>
  <c r="AJ802" i="1"/>
  <c r="Q802" i="1"/>
  <c r="AJ816" i="1"/>
  <c r="Q816" i="1"/>
  <c r="AJ815" i="1"/>
  <c r="Q815" i="1"/>
  <c r="AJ861" i="1"/>
  <c r="Q861" i="1"/>
  <c r="AJ874" i="1"/>
  <c r="Q874" i="1"/>
  <c r="AJ870" i="1"/>
  <c r="Q870" i="1"/>
  <c r="AJ880" i="1"/>
  <c r="Q880" i="1"/>
  <c r="AJ883" i="1"/>
  <c r="Q883" i="1"/>
  <c r="AJ891" i="1"/>
  <c r="Q891" i="1"/>
  <c r="AJ886" i="1"/>
  <c r="Q886" i="1"/>
  <c r="AJ896" i="1"/>
  <c r="Q896" i="1"/>
  <c r="T1350" i="1"/>
  <c r="U1350" i="1" s="1"/>
  <c r="P1350" i="1"/>
  <c r="M1350" i="1"/>
  <c r="AI1349" i="1"/>
  <c r="F1350" i="1"/>
  <c r="AJ1349" i="1" l="1"/>
  <c r="Q1349" i="1"/>
  <c r="P49" i="1"/>
  <c r="M49" i="1"/>
  <c r="P46" i="1"/>
  <c r="M46" i="1"/>
  <c r="P52" i="1"/>
  <c r="T52" i="1"/>
  <c r="U52" i="1" s="1"/>
  <c r="T46" i="1"/>
  <c r="U46" i="1" s="1"/>
  <c r="T49" i="1"/>
  <c r="U49" i="1" s="1"/>
  <c r="M52" i="1"/>
  <c r="F52" i="1"/>
  <c r="F46" i="1"/>
  <c r="F49" i="1"/>
  <c r="N1010" i="1"/>
  <c r="AI1010" i="1" s="1"/>
  <c r="T1326" i="1"/>
  <c r="U1326" i="1" s="1"/>
  <c r="P1326" i="1"/>
  <c r="M1326" i="1"/>
  <c r="F1326" i="1"/>
  <c r="AJ1010" i="1" l="1"/>
  <c r="Q1010" i="1"/>
  <c r="T1325" i="1"/>
  <c r="U1325" i="1" s="1"/>
  <c r="P1325" i="1"/>
  <c r="M1325" i="1"/>
  <c r="F1325" i="1"/>
  <c r="T1265" i="1"/>
  <c r="U1265" i="1" s="1"/>
  <c r="P1265" i="1"/>
  <c r="M1265" i="1"/>
  <c r="F1265" i="1"/>
  <c r="P1661" i="1" l="1"/>
  <c r="M1661" i="1"/>
  <c r="F1661" i="1"/>
  <c r="T1705" i="1" l="1"/>
  <c r="U1705" i="1" s="1"/>
  <c r="T1715" i="1"/>
  <c r="U1715" i="1" s="1"/>
  <c r="T1707" i="1"/>
  <c r="U1707" i="1" s="1"/>
  <c r="P1707" i="1"/>
  <c r="P1715" i="1"/>
  <c r="P1705" i="1"/>
  <c r="M1705" i="1"/>
  <c r="M1715" i="1"/>
  <c r="M1707" i="1"/>
  <c r="F1705" i="1"/>
  <c r="F1715" i="1"/>
  <c r="F1707" i="1"/>
  <c r="T925" i="1"/>
  <c r="U925" i="1" s="1"/>
  <c r="P925" i="1"/>
  <c r="T916" i="1"/>
  <c r="U916" i="1" s="1"/>
  <c r="P916" i="1"/>
  <c r="T929" i="1"/>
  <c r="U929" i="1" s="1"/>
  <c r="P929" i="1"/>
  <c r="T920" i="1"/>
  <c r="U920" i="1" s="1"/>
  <c r="P920" i="1"/>
  <c r="M920" i="1"/>
  <c r="M929" i="1"/>
  <c r="M916" i="1"/>
  <c r="M925" i="1"/>
  <c r="F920" i="1"/>
  <c r="F929" i="1"/>
  <c r="F916" i="1"/>
  <c r="F925" i="1"/>
  <c r="F1099" i="1"/>
  <c r="T1647" i="1"/>
  <c r="U1647" i="1" s="1"/>
  <c r="P1647" i="1"/>
  <c r="F1647" i="1"/>
  <c r="M1647" i="1"/>
  <c r="O274" i="1"/>
  <c r="AJ274" i="1" s="1"/>
  <c r="O280" i="1"/>
  <c r="AJ280" i="1" s="1"/>
  <c r="O281" i="1"/>
  <c r="P1532" i="1" l="1"/>
  <c r="T1532" i="1"/>
  <c r="U1532" i="1" s="1"/>
  <c r="M1532" i="1"/>
  <c r="F1532" i="1"/>
  <c r="N725" i="1"/>
  <c r="T728" i="1"/>
  <c r="U728" i="1" s="1"/>
  <c r="T722" i="1"/>
  <c r="U722" i="1" s="1"/>
  <c r="P722" i="1"/>
  <c r="P728" i="1"/>
  <c r="M722" i="1"/>
  <c r="M728" i="1"/>
  <c r="F722" i="1"/>
  <c r="F728" i="1"/>
  <c r="N724" i="1"/>
  <c r="AI724" i="1" s="1"/>
  <c r="P719" i="1"/>
  <c r="T719" i="1"/>
  <c r="U719" i="1" s="1"/>
  <c r="M719" i="1"/>
  <c r="F719" i="1"/>
  <c r="T725" i="1"/>
  <c r="U725" i="1" s="1"/>
  <c r="F725" i="1"/>
  <c r="AJ724" i="1" l="1"/>
  <c r="Q724" i="1"/>
  <c r="P725" i="1"/>
  <c r="AI725" i="1"/>
  <c r="M725" i="1"/>
  <c r="AJ725" i="1" l="1"/>
  <c r="Q725" i="1"/>
  <c r="T1657" i="1"/>
  <c r="U1657" i="1" s="1"/>
  <c r="P1657" i="1"/>
  <c r="M1657" i="1"/>
  <c r="F1657" i="1"/>
  <c r="T1656" i="1"/>
  <c r="U1656" i="1" s="1"/>
  <c r="T1655" i="1"/>
  <c r="U1655" i="1" s="1"/>
  <c r="P1655" i="1"/>
  <c r="P1656" i="1"/>
  <c r="M1655" i="1"/>
  <c r="M1656" i="1"/>
  <c r="F1655" i="1"/>
  <c r="F1656" i="1"/>
  <c r="T1291" i="1" l="1"/>
  <c r="U1291" i="1" s="1"/>
  <c r="P1291" i="1"/>
  <c r="N1290" i="1"/>
  <c r="AI1290" i="1" s="1"/>
  <c r="M1291" i="1"/>
  <c r="F1291" i="1"/>
  <c r="AI9" i="1"/>
  <c r="AI8" i="1"/>
  <c r="N1319" i="1"/>
  <c r="AI1319" i="1" s="1"/>
  <c r="AJ1319" i="1" l="1"/>
  <c r="Q1319" i="1"/>
  <c r="AJ8" i="1"/>
  <c r="Q8" i="1"/>
  <c r="AJ1290" i="1"/>
  <c r="Q1290" i="1"/>
  <c r="AJ9" i="1"/>
  <c r="Q9" i="1"/>
  <c r="T1296" i="1"/>
  <c r="U1296" i="1" s="1"/>
  <c r="P1296" i="1"/>
  <c r="T1290" i="1"/>
  <c r="U1290" i="1" s="1"/>
  <c r="P1290" i="1"/>
  <c r="M1290" i="1"/>
  <c r="M1296" i="1"/>
  <c r="F1290" i="1"/>
  <c r="F1296" i="1"/>
  <c r="N1469" i="1"/>
  <c r="AI1469" i="1" s="1"/>
  <c r="T1370" i="1"/>
  <c r="U1370" i="1" s="1"/>
  <c r="N1418" i="1"/>
  <c r="AI1418" i="1" s="1"/>
  <c r="AJ1418" i="1" l="1"/>
  <c r="Q1418" i="1"/>
  <c r="AJ1469" i="1"/>
  <c r="Q1469" i="1"/>
  <c r="AI1902" i="1"/>
  <c r="P1167" i="1"/>
  <c r="M1167" i="1"/>
  <c r="T1167" i="1"/>
  <c r="U1167" i="1" s="1"/>
  <c r="P1172" i="1"/>
  <c r="M1172" i="1"/>
  <c r="T1172" i="1"/>
  <c r="U1172" i="1" s="1"/>
  <c r="T1184" i="1"/>
  <c r="U1184" i="1" s="1"/>
  <c r="P1184" i="1"/>
  <c r="F1184" i="1"/>
  <c r="F1172" i="1"/>
  <c r="F1167" i="1"/>
  <c r="T73" i="1"/>
  <c r="U73" i="1" s="1"/>
  <c r="P73" i="1"/>
  <c r="M73" i="1"/>
  <c r="F73" i="1"/>
  <c r="T1293" i="1"/>
  <c r="U1293" i="1" s="1"/>
  <c r="T1294" i="1"/>
  <c r="U1294" i="1" s="1"/>
  <c r="P1294" i="1"/>
  <c r="P1293" i="1"/>
  <c r="M1294" i="1"/>
  <c r="M1293" i="1"/>
  <c r="F1293" i="1"/>
  <c r="F1294" i="1"/>
  <c r="P737" i="1"/>
  <c r="P736" i="1"/>
  <c r="M736" i="1"/>
  <c r="M737" i="1"/>
  <c r="F736" i="1"/>
  <c r="F737" i="1"/>
  <c r="T735" i="1"/>
  <c r="U735" i="1" s="1"/>
  <c r="P735" i="1"/>
  <c r="M735" i="1"/>
  <c r="F735" i="1"/>
  <c r="AJ1902" i="1" l="1"/>
  <c r="Q1902" i="1"/>
  <c r="N1179" i="1"/>
  <c r="AI1179" i="1" s="1"/>
  <c r="T1163" i="1"/>
  <c r="U1163" i="1" s="1"/>
  <c r="P1163" i="1"/>
  <c r="M1163" i="1"/>
  <c r="F1163" i="1"/>
  <c r="T1154" i="1"/>
  <c r="U1154" i="1" s="1"/>
  <c r="P1154" i="1"/>
  <c r="M1154" i="1"/>
  <c r="F1154" i="1"/>
  <c r="N1159" i="1"/>
  <c r="AI1159" i="1" s="1"/>
  <c r="AJ1159" i="1" l="1"/>
  <c r="Q1159" i="1"/>
  <c r="AJ1179" i="1"/>
  <c r="Q1179" i="1"/>
  <c r="N1510" i="1"/>
  <c r="AI1510" i="1" s="1"/>
  <c r="P1370" i="1"/>
  <c r="M1370" i="1"/>
  <c r="F1370" i="1"/>
  <c r="P588" i="1"/>
  <c r="M588" i="1"/>
  <c r="T589" i="1"/>
  <c r="U589" i="1" s="1"/>
  <c r="T588" i="1"/>
  <c r="U588" i="1" s="1"/>
  <c r="P589" i="1"/>
  <c r="M589" i="1"/>
  <c r="F589" i="1"/>
  <c r="F588" i="1"/>
  <c r="T1160" i="1"/>
  <c r="U1160" i="1" s="1"/>
  <c r="P1160" i="1"/>
  <c r="M1160" i="1"/>
  <c r="F1160" i="1"/>
  <c r="N1178" i="1"/>
  <c r="AI1178" i="1" s="1"/>
  <c r="P1162" i="1"/>
  <c r="M1162" i="1"/>
  <c r="T1162" i="1"/>
  <c r="U1162" i="1" s="1"/>
  <c r="F1162" i="1"/>
  <c r="N1177" i="1"/>
  <c r="AI1177" i="1" s="1"/>
  <c r="F602" i="1"/>
  <c r="F605" i="1"/>
  <c r="P605" i="1"/>
  <c r="M605" i="1"/>
  <c r="T575" i="1"/>
  <c r="U575" i="1" s="1"/>
  <c r="P575" i="1"/>
  <c r="M575" i="1"/>
  <c r="F575" i="1"/>
  <c r="T1242" i="1"/>
  <c r="U1242" i="1" s="1"/>
  <c r="P1242" i="1"/>
  <c r="M1242" i="1"/>
  <c r="F1242" i="1"/>
  <c r="AJ1177" i="1" l="1"/>
  <c r="Q1177" i="1"/>
  <c r="AJ1178" i="1"/>
  <c r="Q1178" i="1"/>
  <c r="AJ1510" i="1"/>
  <c r="Q1510" i="1"/>
  <c r="P93" i="1"/>
  <c r="M93" i="1"/>
  <c r="F93" i="1"/>
  <c r="T395" i="1"/>
  <c r="U395" i="1" s="1"/>
  <c r="P395" i="1"/>
  <c r="M395" i="1"/>
  <c r="F395" i="1"/>
  <c r="AJ1654" i="1" l="1"/>
  <c r="AJ1653" i="1"/>
  <c r="P336" i="1"/>
  <c r="T336" i="1"/>
  <c r="U336" i="1" s="1"/>
  <c r="N335" i="1"/>
  <c r="AI335" i="1" s="1"/>
  <c r="Q335" i="1" s="1"/>
  <c r="F336" i="1"/>
  <c r="M336" i="1"/>
  <c r="F1013" i="1"/>
  <c r="N993" i="1"/>
  <c r="AI993" i="1" s="1"/>
  <c r="N1827" i="1"/>
  <c r="AI1827" i="1" s="1"/>
  <c r="T1823" i="1"/>
  <c r="U1823" i="1" s="1"/>
  <c r="P1823" i="1"/>
  <c r="M1823" i="1"/>
  <c r="F1823" i="1"/>
  <c r="N1833" i="1"/>
  <c r="AI1833" i="1" s="1"/>
  <c r="T1738" i="1"/>
  <c r="U1738" i="1" s="1"/>
  <c r="P1738" i="1"/>
  <c r="M1738" i="1"/>
  <c r="F1738" i="1"/>
  <c r="AI1580" i="1"/>
  <c r="AI1579" i="1"/>
  <c r="AJ1580" i="1" l="1"/>
  <c r="Q1580" i="1"/>
  <c r="AJ1833" i="1"/>
  <c r="Q1833" i="1"/>
  <c r="AJ1827" i="1"/>
  <c r="Q1827" i="1"/>
  <c r="AJ1579" i="1"/>
  <c r="Q1579" i="1"/>
  <c r="AJ993" i="1"/>
  <c r="Q993" i="1"/>
  <c r="P953" i="1"/>
  <c r="P955" i="1"/>
  <c r="T954" i="1"/>
  <c r="U954" i="1" s="1"/>
  <c r="T955" i="1"/>
  <c r="U955" i="1" s="1"/>
  <c r="T953" i="1"/>
  <c r="U953" i="1" s="1"/>
  <c r="T1639" i="1"/>
  <c r="U1639" i="1" s="1"/>
  <c r="T1626" i="1"/>
  <c r="U1626" i="1" s="1"/>
  <c r="T1627" i="1"/>
  <c r="U1627" i="1" s="1"/>
  <c r="P954" i="1"/>
  <c r="M954" i="1"/>
  <c r="M955" i="1"/>
  <c r="M953" i="1"/>
  <c r="F954" i="1"/>
  <c r="F955" i="1"/>
  <c r="F953" i="1"/>
  <c r="T1470" i="1"/>
  <c r="U1470" i="1" s="1"/>
  <c r="P1470" i="1"/>
  <c r="M1470" i="1"/>
  <c r="F1470" i="1"/>
  <c r="T1495" i="1"/>
  <c r="U1495" i="1" s="1"/>
  <c r="P1495" i="1"/>
  <c r="M1495" i="1"/>
  <c r="F1495" i="1"/>
  <c r="T1034" i="1"/>
  <c r="U1034" i="1" s="1"/>
  <c r="P1034" i="1"/>
  <c r="M1034" i="1"/>
  <c r="F1034" i="1"/>
  <c r="P1010" i="1"/>
  <c r="T1001" i="1"/>
  <c r="U1001" i="1" s="1"/>
  <c r="P1001" i="1"/>
  <c r="T991" i="1"/>
  <c r="U991" i="1" s="1"/>
  <c r="T1010" i="1"/>
  <c r="U1010" i="1" s="1"/>
  <c r="P991" i="1"/>
  <c r="M991" i="1"/>
  <c r="M1001" i="1"/>
  <c r="M1010" i="1"/>
  <c r="M1011" i="1"/>
  <c r="F991" i="1"/>
  <c r="F1010" i="1"/>
  <c r="N690" i="1"/>
  <c r="AI690" i="1" s="1"/>
  <c r="N152" i="1"/>
  <c r="AI152" i="1" s="1"/>
  <c r="AJ152" i="1" l="1"/>
  <c r="Q152" i="1"/>
  <c r="AJ690" i="1"/>
  <c r="Q690" i="1"/>
  <c r="P678" i="1"/>
  <c r="M678" i="1"/>
  <c r="F678" i="1"/>
  <c r="T1075" i="1"/>
  <c r="U1075" i="1" s="1"/>
  <c r="T1076" i="1"/>
  <c r="U1076" i="1" s="1"/>
  <c r="T1077" i="1"/>
  <c r="U1077" i="1" s="1"/>
  <c r="P1077" i="1"/>
  <c r="P1076" i="1"/>
  <c r="P1075" i="1"/>
  <c r="M1076" i="1"/>
  <c r="M1077" i="1"/>
  <c r="M1075" i="1"/>
  <c r="F1075" i="1"/>
  <c r="F1076" i="1"/>
  <c r="F1077" i="1"/>
  <c r="T1069" i="1"/>
  <c r="U1069" i="1" s="1"/>
  <c r="T1036" i="1"/>
  <c r="U1036" i="1" s="1"/>
  <c r="T1074" i="1"/>
  <c r="U1074" i="1" s="1"/>
  <c r="P1074" i="1"/>
  <c r="M1074" i="1"/>
  <c r="F1074" i="1"/>
  <c r="P1392" i="1"/>
  <c r="M1392" i="1"/>
  <c r="T1393" i="1"/>
  <c r="U1393" i="1" s="1"/>
  <c r="T1392" i="1"/>
  <c r="U1392" i="1" s="1"/>
  <c r="P1393" i="1"/>
  <c r="M1393" i="1"/>
  <c r="F1393" i="1"/>
  <c r="F1392" i="1"/>
  <c r="F1783" i="1"/>
  <c r="P780" i="1"/>
  <c r="P779" i="1"/>
  <c r="P782" i="1"/>
  <c r="T784" i="1"/>
  <c r="U784" i="1" s="1"/>
  <c r="T782" i="1"/>
  <c r="U782" i="1" s="1"/>
  <c r="T779" i="1"/>
  <c r="U779" i="1" s="1"/>
  <c r="T780" i="1"/>
  <c r="U780" i="1" s="1"/>
  <c r="P784" i="1"/>
  <c r="M782" i="1"/>
  <c r="M779" i="1"/>
  <c r="M780" i="1"/>
  <c r="M784" i="1"/>
  <c r="F784" i="1"/>
  <c r="F782" i="1"/>
  <c r="F779" i="1"/>
  <c r="F780" i="1"/>
  <c r="T407" i="1"/>
  <c r="U407" i="1" s="1"/>
  <c r="P407" i="1"/>
  <c r="M407" i="1"/>
  <c r="F407" i="1"/>
  <c r="T1418" i="1"/>
  <c r="U1418" i="1" s="1"/>
  <c r="P1418" i="1"/>
  <c r="M1418" i="1"/>
  <c r="F1418" i="1"/>
  <c r="F971" i="1"/>
  <c r="M971" i="1"/>
  <c r="P971" i="1"/>
  <c r="T971" i="1"/>
  <c r="U971" i="1" s="1"/>
  <c r="F967" i="1"/>
  <c r="M967" i="1"/>
  <c r="P967" i="1"/>
  <c r="T967" i="1"/>
  <c r="U967" i="1" s="1"/>
  <c r="F965" i="1"/>
  <c r="M965" i="1"/>
  <c r="P965" i="1"/>
  <c r="T965" i="1"/>
  <c r="U965" i="1" s="1"/>
  <c r="P960" i="1"/>
  <c r="T960" i="1"/>
  <c r="U960" i="1" s="1"/>
  <c r="M960" i="1"/>
  <c r="F960" i="1"/>
  <c r="P1783" i="1"/>
  <c r="M1783" i="1"/>
  <c r="T1782" i="1"/>
  <c r="U1782" i="1" s="1"/>
  <c r="T1783" i="1"/>
  <c r="U1783" i="1" s="1"/>
  <c r="P1782" i="1"/>
  <c r="T1784" i="1"/>
  <c r="U1784" i="1" s="1"/>
  <c r="P1784" i="1"/>
  <c r="M1784" i="1"/>
  <c r="M1782" i="1"/>
  <c r="F1784" i="1"/>
  <c r="F1782" i="1"/>
  <c r="T1904" i="1"/>
  <c r="U1904" i="1" s="1"/>
  <c r="P1904" i="1"/>
  <c r="M1904" i="1"/>
  <c r="F1904" i="1"/>
  <c r="T1522" i="1"/>
  <c r="U1522" i="1" s="1"/>
  <c r="T1485" i="1"/>
  <c r="U1485" i="1" s="1"/>
  <c r="T1488" i="1"/>
  <c r="U1488" i="1" s="1"/>
  <c r="T1526" i="1"/>
  <c r="U1526" i="1" s="1"/>
  <c r="T1525" i="1"/>
  <c r="U1525" i="1" s="1"/>
  <c r="T1530" i="1"/>
  <c r="U1530" i="1" s="1"/>
  <c r="T1529" i="1"/>
  <c r="U1529" i="1" s="1"/>
  <c r="T1528" i="1"/>
  <c r="U1528" i="1" s="1"/>
  <c r="T1527" i="1"/>
  <c r="U1527" i="1" s="1"/>
  <c r="T1537" i="1"/>
  <c r="U1537" i="1" s="1"/>
  <c r="T1534" i="1"/>
  <c r="U1534" i="1" s="1"/>
  <c r="T1531" i="1"/>
  <c r="U1531" i="1" s="1"/>
  <c r="T1539" i="1"/>
  <c r="U1539" i="1" s="1"/>
  <c r="T1538" i="1"/>
  <c r="U1538" i="1" s="1"/>
  <c r="T1533" i="1"/>
  <c r="U1533" i="1" s="1"/>
  <c r="T1535" i="1"/>
  <c r="U1535" i="1" s="1"/>
  <c r="T1536" i="1"/>
  <c r="U1536" i="1" s="1"/>
  <c r="T1542" i="1"/>
  <c r="U1542" i="1" s="1"/>
  <c r="T1540" i="1"/>
  <c r="U1540" i="1" s="1"/>
  <c r="T1545" i="1"/>
  <c r="U1545" i="1" s="1"/>
  <c r="T1544" i="1"/>
  <c r="U1544" i="1" s="1"/>
  <c r="T1543" i="1"/>
  <c r="U1543" i="1" s="1"/>
  <c r="T1541" i="1"/>
  <c r="U1541" i="1" s="1"/>
  <c r="T1547" i="1"/>
  <c r="U1547" i="1" s="1"/>
  <c r="T1548" i="1"/>
  <c r="U1548" i="1" s="1"/>
  <c r="T1546" i="1"/>
  <c r="U1546" i="1" s="1"/>
  <c r="T1570" i="1"/>
  <c r="U1570" i="1" s="1"/>
  <c r="T1557" i="1"/>
  <c r="U1557" i="1" s="1"/>
  <c r="T1562" i="1"/>
  <c r="U1562" i="1" s="1"/>
  <c r="T1550" i="1"/>
  <c r="U1550" i="1" s="1"/>
  <c r="T1558" i="1"/>
  <c r="U1558" i="1" s="1"/>
  <c r="T1559" i="1"/>
  <c r="U1559" i="1" s="1"/>
  <c r="T1560" i="1"/>
  <c r="U1560" i="1" s="1"/>
  <c r="T1549" i="1"/>
  <c r="U1549" i="1" s="1"/>
  <c r="T1563" i="1"/>
  <c r="U1563" i="1" s="1"/>
  <c r="T1551" i="1"/>
  <c r="U1551" i="1" s="1"/>
  <c r="T1564" i="1"/>
  <c r="U1564" i="1" s="1"/>
  <c r="T1552" i="1"/>
  <c r="U1552" i="1" s="1"/>
  <c r="T1553" i="1"/>
  <c r="U1553" i="1" s="1"/>
  <c r="T1566" i="1"/>
  <c r="U1566" i="1" s="1"/>
  <c r="T1554" i="1"/>
  <c r="U1554" i="1" s="1"/>
  <c r="T1567" i="1"/>
  <c r="U1567" i="1" s="1"/>
  <c r="T1568" i="1"/>
  <c r="U1568" i="1" s="1"/>
  <c r="T1569" i="1"/>
  <c r="U1569" i="1" s="1"/>
  <c r="T1561" i="1"/>
  <c r="U1561" i="1" s="1"/>
  <c r="T1555" i="1"/>
  <c r="U1555" i="1" s="1"/>
  <c r="T1556" i="1"/>
  <c r="U1556" i="1" s="1"/>
  <c r="T1581" i="1"/>
  <c r="U1581" i="1" s="1"/>
  <c r="T1571" i="1"/>
  <c r="U1571" i="1" s="1"/>
  <c r="T1576" i="1"/>
  <c r="U1576" i="1" s="1"/>
  <c r="T1578" i="1"/>
  <c r="U1578" i="1" s="1"/>
  <c r="T1572" i="1"/>
  <c r="U1572" i="1" s="1"/>
  <c r="T1573" i="1"/>
  <c r="U1573" i="1" s="1"/>
  <c r="T1574" i="1"/>
  <c r="U1574" i="1" s="1"/>
  <c r="T1575" i="1"/>
  <c r="U1575" i="1" s="1"/>
  <c r="T1579" i="1"/>
  <c r="U1579" i="1" s="1"/>
  <c r="T1580" i="1"/>
  <c r="U1580" i="1" s="1"/>
  <c r="T1582" i="1"/>
  <c r="U1582" i="1" s="1"/>
  <c r="T1577" i="1"/>
  <c r="U1577" i="1" s="1"/>
  <c r="T1591" i="1"/>
  <c r="U1591" i="1" s="1"/>
  <c r="T1592" i="1"/>
  <c r="U1592" i="1" s="1"/>
  <c r="T1583" i="1"/>
  <c r="U1583" i="1" s="1"/>
  <c r="T1590" i="1"/>
  <c r="U1590" i="1" s="1"/>
  <c r="T1585" i="1"/>
  <c r="U1585" i="1" s="1"/>
  <c r="T1589" i="1"/>
  <c r="U1589" i="1" s="1"/>
  <c r="T1586" i="1"/>
  <c r="U1586" i="1" s="1"/>
  <c r="T1587" i="1"/>
  <c r="U1587" i="1" s="1"/>
  <c r="T1594" i="1"/>
  <c r="U1594" i="1" s="1"/>
  <c r="T1595" i="1"/>
  <c r="U1595" i="1" s="1"/>
  <c r="T1596" i="1"/>
  <c r="U1596" i="1" s="1"/>
  <c r="T1597" i="1"/>
  <c r="U1597" i="1" s="1"/>
  <c r="T1600" i="1"/>
  <c r="U1600" i="1" s="1"/>
  <c r="T1598" i="1"/>
  <c r="U1598" i="1" s="1"/>
  <c r="T1601" i="1"/>
  <c r="U1601" i="1" s="1"/>
  <c r="T1599" i="1"/>
  <c r="U1599" i="1" s="1"/>
  <c r="T1602" i="1"/>
  <c r="U1602" i="1" s="1"/>
  <c r="T1609" i="1"/>
  <c r="U1609" i="1" s="1"/>
  <c r="T1603" i="1"/>
  <c r="U1603" i="1" s="1"/>
  <c r="T1604" i="1"/>
  <c r="U1604" i="1" s="1"/>
  <c r="T1605" i="1"/>
  <c r="U1605" i="1" s="1"/>
  <c r="T1606" i="1"/>
  <c r="U1606" i="1" s="1"/>
  <c r="T1607" i="1"/>
  <c r="U1607" i="1" s="1"/>
  <c r="T1608" i="1"/>
  <c r="U1608" i="1" s="1"/>
  <c r="T1621" i="1"/>
  <c r="U1621" i="1" s="1"/>
  <c r="T1612" i="1"/>
  <c r="U1612" i="1" s="1"/>
  <c r="T1610" i="1"/>
  <c r="U1610" i="1" s="1"/>
  <c r="T1624" i="1"/>
  <c r="U1624" i="1" s="1"/>
  <c r="T1613" i="1"/>
  <c r="U1613" i="1" s="1"/>
  <c r="T1611" i="1"/>
  <c r="U1611" i="1" s="1"/>
  <c r="T1622" i="1"/>
  <c r="U1622" i="1" s="1"/>
  <c r="T1618" i="1"/>
  <c r="U1618" i="1" s="1"/>
  <c r="T1614" i="1"/>
  <c r="U1614" i="1" s="1"/>
  <c r="T1615" i="1"/>
  <c r="U1615" i="1" s="1"/>
  <c r="T1623" i="1"/>
  <c r="U1623" i="1" s="1"/>
  <c r="T1617" i="1"/>
  <c r="U1617" i="1" s="1"/>
  <c r="T1619" i="1"/>
  <c r="U1619" i="1" s="1"/>
  <c r="T1620" i="1"/>
  <c r="U1620" i="1" s="1"/>
  <c r="T1642" i="1"/>
  <c r="U1642" i="1" s="1"/>
  <c r="T1641" i="1"/>
  <c r="U1641" i="1" s="1"/>
  <c r="T1643" i="1"/>
  <c r="U1643" i="1" s="1"/>
  <c r="T1664" i="1"/>
  <c r="U1664" i="1" s="1"/>
  <c r="T1662" i="1"/>
  <c r="U1662" i="1" s="1"/>
  <c r="T1649" i="1"/>
  <c r="U1649" i="1" s="1"/>
  <c r="T1650" i="1"/>
  <c r="U1650" i="1" s="1"/>
  <c r="T1665" i="1"/>
  <c r="U1665" i="1" s="1"/>
  <c r="T1663" i="1"/>
  <c r="U1663" i="1" s="1"/>
  <c r="T1651" i="1"/>
  <c r="U1651" i="1" s="1"/>
  <c r="T1652" i="1"/>
  <c r="U1652" i="1" s="1"/>
  <c r="T1653" i="1"/>
  <c r="U1653" i="1" s="1"/>
  <c r="T1654" i="1"/>
  <c r="U1654" i="1" s="1"/>
  <c r="T1659" i="1"/>
  <c r="U1659" i="1" s="1"/>
  <c r="T1660" i="1"/>
  <c r="U1660" i="1" s="1"/>
  <c r="T1648" i="1"/>
  <c r="U1648" i="1" s="1"/>
  <c r="T1672" i="1"/>
  <c r="U1672" i="1" s="1"/>
  <c r="T1666" i="1"/>
  <c r="U1666" i="1" s="1"/>
  <c r="T1668" i="1"/>
  <c r="U1668" i="1" s="1"/>
  <c r="T1669" i="1"/>
  <c r="U1669" i="1" s="1"/>
  <c r="T1670" i="1"/>
  <c r="U1670" i="1" s="1"/>
  <c r="T1671" i="1"/>
  <c r="U1671" i="1" s="1"/>
  <c r="T1667" i="1"/>
  <c r="U1667" i="1" s="1"/>
  <c r="T1685" i="1"/>
  <c r="U1685" i="1" s="1"/>
  <c r="T1676" i="1"/>
  <c r="U1676" i="1" s="1"/>
  <c r="T1690" i="1"/>
  <c r="U1690" i="1" s="1"/>
  <c r="T1686" i="1"/>
  <c r="U1686" i="1" s="1"/>
  <c r="T1687" i="1"/>
  <c r="U1687" i="1" s="1"/>
  <c r="T1691" i="1"/>
  <c r="U1691" i="1" s="1"/>
  <c r="T1677" i="1"/>
  <c r="U1677" i="1" s="1"/>
  <c r="T1682" i="1"/>
  <c r="U1682" i="1" s="1"/>
  <c r="T1678" i="1"/>
  <c r="U1678" i="1" s="1"/>
  <c r="T1673" i="1"/>
  <c r="U1673" i="1" s="1"/>
  <c r="T1679" i="1"/>
  <c r="U1679" i="1" s="1"/>
  <c r="T1674" i="1"/>
  <c r="U1674" i="1" s="1"/>
  <c r="T1675" i="1"/>
  <c r="U1675" i="1" s="1"/>
  <c r="T1680" i="1"/>
  <c r="U1680" i="1" s="1"/>
  <c r="T1683" i="1"/>
  <c r="U1683" i="1" s="1"/>
  <c r="T1684" i="1"/>
  <c r="U1684" i="1" s="1"/>
  <c r="T1681" i="1"/>
  <c r="U1681" i="1" s="1"/>
  <c r="T1689" i="1"/>
  <c r="U1689" i="1" s="1"/>
  <c r="T1692" i="1"/>
  <c r="U1692" i="1" s="1"/>
  <c r="T1695" i="1"/>
  <c r="U1695" i="1" s="1"/>
  <c r="T1693" i="1"/>
  <c r="U1693" i="1" s="1"/>
  <c r="T1694" i="1"/>
  <c r="U1694" i="1" s="1"/>
  <c r="T1698" i="1"/>
  <c r="U1698" i="1" s="1"/>
  <c r="T1699" i="1"/>
  <c r="U1699" i="1" s="1"/>
  <c r="T1696" i="1"/>
  <c r="U1696" i="1" s="1"/>
  <c r="T1697" i="1"/>
  <c r="U1697" i="1" s="1"/>
  <c r="T1700" i="1"/>
  <c r="U1700" i="1" s="1"/>
  <c r="T1711" i="1"/>
  <c r="U1711" i="1" s="1"/>
  <c r="T1712" i="1"/>
  <c r="U1712" i="1" s="1"/>
  <c r="T1706" i="1"/>
  <c r="U1706" i="1" s="1"/>
  <c r="T1701" i="1"/>
  <c r="U1701" i="1" s="1"/>
  <c r="T1702" i="1"/>
  <c r="U1702" i="1" s="1"/>
  <c r="T1708" i="1"/>
  <c r="U1708" i="1" s="1"/>
  <c r="T1713" i="1"/>
  <c r="U1713" i="1" s="1"/>
  <c r="T1714" i="1"/>
  <c r="U1714" i="1" s="1"/>
  <c r="T1716" i="1"/>
  <c r="U1716" i="1" s="1"/>
  <c r="T1703" i="1"/>
  <c r="U1703" i="1" s="1"/>
  <c r="T1709" i="1"/>
  <c r="U1709" i="1" s="1"/>
  <c r="T1704" i="1"/>
  <c r="U1704" i="1" s="1"/>
  <c r="T1710" i="1"/>
  <c r="U1710" i="1" s="1"/>
  <c r="T1721" i="1"/>
  <c r="U1721" i="1" s="1"/>
  <c r="T1722" i="1"/>
  <c r="U1722" i="1" s="1"/>
  <c r="T1719" i="1"/>
  <c r="U1719" i="1" s="1"/>
  <c r="T1717" i="1"/>
  <c r="U1717" i="1" s="1"/>
  <c r="T1723" i="1"/>
  <c r="U1723" i="1" s="1"/>
  <c r="T1718" i="1"/>
  <c r="U1718" i="1" s="1"/>
  <c r="T1720" i="1"/>
  <c r="U1720" i="1" s="1"/>
  <c r="T1728" i="1"/>
  <c r="U1728" i="1" s="1"/>
  <c r="T1724" i="1"/>
  <c r="U1724" i="1" s="1"/>
  <c r="T1730" i="1"/>
  <c r="U1730" i="1" s="1"/>
  <c r="T1729" i="1"/>
  <c r="U1729" i="1" s="1"/>
  <c r="T1726" i="1"/>
  <c r="U1726" i="1" s="1"/>
  <c r="T1731" i="1"/>
  <c r="U1731" i="1" s="1"/>
  <c r="T1725" i="1"/>
  <c r="U1725" i="1" s="1"/>
  <c r="T1727" i="1"/>
  <c r="U1727" i="1" s="1"/>
  <c r="T1742" i="1"/>
  <c r="U1742" i="1" s="1"/>
  <c r="T1749" i="1"/>
  <c r="U1749" i="1" s="1"/>
  <c r="T1732" i="1"/>
  <c r="U1732" i="1" s="1"/>
  <c r="T1750" i="1"/>
  <c r="U1750" i="1" s="1"/>
  <c r="T1743" i="1"/>
  <c r="U1743" i="1" s="1"/>
  <c r="T1744" i="1"/>
  <c r="U1744" i="1" s="1"/>
  <c r="T1745" i="1"/>
  <c r="U1745" i="1" s="1"/>
  <c r="T1751" i="1"/>
  <c r="U1751" i="1" s="1"/>
  <c r="T1733" i="1"/>
  <c r="U1733" i="1" s="1"/>
  <c r="T1752" i="1"/>
  <c r="U1752" i="1" s="1"/>
  <c r="T1753" i="1"/>
  <c r="U1753" i="1" s="1"/>
  <c r="T1734" i="1"/>
  <c r="U1734" i="1" s="1"/>
  <c r="T1735" i="1"/>
  <c r="U1735" i="1" s="1"/>
  <c r="T1754" i="1"/>
  <c r="U1754" i="1" s="1"/>
  <c r="T1746" i="1"/>
  <c r="U1746" i="1" s="1"/>
  <c r="T1755" i="1"/>
  <c r="U1755" i="1" s="1"/>
  <c r="T1737" i="1"/>
  <c r="U1737" i="1" s="1"/>
  <c r="T1756" i="1"/>
  <c r="U1756" i="1" s="1"/>
  <c r="T1739" i="1"/>
  <c r="U1739" i="1" s="1"/>
  <c r="T1760" i="1"/>
  <c r="U1760" i="1" s="1"/>
  <c r="T1757" i="1"/>
  <c r="U1757" i="1" s="1"/>
  <c r="T1747" i="1"/>
  <c r="U1747" i="1" s="1"/>
  <c r="T1748" i="1"/>
  <c r="U1748" i="1" s="1"/>
  <c r="T1740" i="1"/>
  <c r="U1740" i="1" s="1"/>
  <c r="T1741" i="1"/>
  <c r="U1741" i="1" s="1"/>
  <c r="T1762" i="1"/>
  <c r="U1762" i="1" s="1"/>
  <c r="T1761" i="1"/>
  <c r="U1761" i="1" s="1"/>
  <c r="T1764" i="1"/>
  <c r="U1764" i="1" s="1"/>
  <c r="T1763" i="1"/>
  <c r="U1763" i="1" s="1"/>
  <c r="T1765" i="1"/>
  <c r="U1765" i="1" s="1"/>
  <c r="T1775" i="1"/>
  <c r="U1775" i="1" s="1"/>
  <c r="T1776" i="1"/>
  <c r="U1776" i="1" s="1"/>
  <c r="T1768" i="1"/>
  <c r="U1768" i="1" s="1"/>
  <c r="T1767" i="1"/>
  <c r="U1767" i="1" s="1"/>
  <c r="T1769" i="1"/>
  <c r="U1769" i="1" s="1"/>
  <c r="T1777" i="1"/>
  <c r="U1777" i="1" s="1"/>
  <c r="T1778" i="1"/>
  <c r="U1778" i="1" s="1"/>
  <c r="T1779" i="1"/>
  <c r="U1779" i="1" s="1"/>
  <c r="T1781" i="1"/>
  <c r="U1781" i="1" s="1"/>
  <c r="T1780" i="1"/>
  <c r="U1780" i="1" s="1"/>
  <c r="T1773" i="1"/>
  <c r="U1773" i="1" s="1"/>
  <c r="T1770" i="1"/>
  <c r="U1770" i="1" s="1"/>
  <c r="T1766" i="1"/>
  <c r="U1766" i="1" s="1"/>
  <c r="T1771" i="1"/>
  <c r="U1771" i="1" s="1"/>
  <c r="T1774" i="1"/>
  <c r="U1774" i="1" s="1"/>
  <c r="T1772" i="1"/>
  <c r="U1772" i="1" s="1"/>
  <c r="T1791" i="1"/>
  <c r="U1791" i="1" s="1"/>
  <c r="T1786" i="1"/>
  <c r="U1786" i="1" s="1"/>
  <c r="T1792" i="1"/>
  <c r="U1792" i="1" s="1"/>
  <c r="T1788" i="1"/>
  <c r="U1788" i="1" s="1"/>
  <c r="T1793" i="1"/>
  <c r="U1793" i="1" s="1"/>
  <c r="T1789" i="1"/>
  <c r="U1789" i="1" s="1"/>
  <c r="T1794" i="1"/>
  <c r="U1794" i="1" s="1"/>
  <c r="T1795" i="1"/>
  <c r="U1795" i="1" s="1"/>
  <c r="T1796" i="1"/>
  <c r="U1796" i="1" s="1"/>
  <c r="T1790" i="1"/>
  <c r="U1790" i="1" s="1"/>
  <c r="T1797" i="1"/>
  <c r="U1797" i="1" s="1"/>
  <c r="T1798" i="1"/>
  <c r="U1798" i="1" s="1"/>
  <c r="T1787" i="1"/>
  <c r="U1787" i="1" s="1"/>
  <c r="T1785" i="1"/>
  <c r="U1785" i="1" s="1"/>
  <c r="T1801" i="1"/>
  <c r="U1801" i="1" s="1"/>
  <c r="T1799" i="1"/>
  <c r="U1799" i="1" s="1"/>
  <c r="T1802" i="1"/>
  <c r="U1802" i="1" s="1"/>
  <c r="T1800" i="1"/>
  <c r="U1800" i="1" s="1"/>
  <c r="T1803" i="1"/>
  <c r="U1803" i="1" s="1"/>
  <c r="T1804" i="1"/>
  <c r="U1804" i="1" s="1"/>
  <c r="T1820" i="1"/>
  <c r="U1820" i="1" s="1"/>
  <c r="T1830" i="1"/>
  <c r="U1830" i="1" s="1"/>
  <c r="T1806" i="1"/>
  <c r="U1806" i="1" s="1"/>
  <c r="T1831" i="1"/>
  <c r="U1831" i="1" s="1"/>
  <c r="T1821" i="1"/>
  <c r="U1821" i="1" s="1"/>
  <c r="T1832" i="1"/>
  <c r="U1832" i="1" s="1"/>
  <c r="T1822" i="1"/>
  <c r="U1822" i="1" s="1"/>
  <c r="T1833" i="1"/>
  <c r="U1833" i="1" s="1"/>
  <c r="T1819" i="1"/>
  <c r="U1819" i="1" s="1"/>
  <c r="T1807" i="1"/>
  <c r="U1807" i="1" s="1"/>
  <c r="T1808" i="1"/>
  <c r="U1808" i="1" s="1"/>
  <c r="T1824" i="1"/>
  <c r="U1824" i="1" s="1"/>
  <c r="T1834" i="1"/>
  <c r="U1834" i="1" s="1"/>
  <c r="T1835" i="1"/>
  <c r="U1835" i="1" s="1"/>
  <c r="T1825" i="1"/>
  <c r="U1825" i="1" s="1"/>
  <c r="T1826" i="1"/>
  <c r="U1826" i="1" s="1"/>
  <c r="T1809" i="1"/>
  <c r="U1809" i="1" s="1"/>
  <c r="T1815" i="1"/>
  <c r="U1815" i="1" s="1"/>
  <c r="T1814" i="1"/>
  <c r="U1814" i="1" s="1"/>
  <c r="T1827" i="1"/>
  <c r="U1827" i="1" s="1"/>
  <c r="T1836" i="1"/>
  <c r="U1836" i="1" s="1"/>
  <c r="T1816" i="1"/>
  <c r="U1816" i="1" s="1"/>
  <c r="T1810" i="1"/>
  <c r="U1810" i="1" s="1"/>
  <c r="T1805" i="1"/>
  <c r="U1805" i="1" s="1"/>
  <c r="T1837" i="1"/>
  <c r="U1837" i="1" s="1"/>
  <c r="T1817" i="1"/>
  <c r="U1817" i="1" s="1"/>
  <c r="T1811" i="1"/>
  <c r="U1811" i="1" s="1"/>
  <c r="T1828" i="1"/>
  <c r="U1828" i="1" s="1"/>
  <c r="T1829" i="1"/>
  <c r="U1829" i="1" s="1"/>
  <c r="T1838" i="1"/>
  <c r="U1838" i="1" s="1"/>
  <c r="T1818" i="1"/>
  <c r="U1818" i="1" s="1"/>
  <c r="T1812" i="1"/>
  <c r="U1812" i="1" s="1"/>
  <c r="T1813" i="1"/>
  <c r="U1813" i="1" s="1"/>
  <c r="T1843" i="1"/>
  <c r="U1843" i="1" s="1"/>
  <c r="T1848" i="1"/>
  <c r="U1848" i="1" s="1"/>
  <c r="T1849" i="1"/>
  <c r="U1849" i="1" s="1"/>
  <c r="T1839" i="1"/>
  <c r="U1839" i="1" s="1"/>
  <c r="T1844" i="1"/>
  <c r="U1844" i="1" s="1"/>
  <c r="T1845" i="1"/>
  <c r="U1845" i="1" s="1"/>
  <c r="T1846" i="1"/>
  <c r="U1846" i="1" s="1"/>
  <c r="T1842" i="1"/>
  <c r="U1842" i="1" s="1"/>
  <c r="T1850" i="1"/>
  <c r="U1850" i="1" s="1"/>
  <c r="T1841" i="1"/>
  <c r="U1841" i="1" s="1"/>
  <c r="T1847" i="1"/>
  <c r="U1847" i="1" s="1"/>
  <c r="T1840" i="1"/>
  <c r="U1840" i="1" s="1"/>
  <c r="T1857" i="1"/>
  <c r="U1857" i="1" s="1"/>
  <c r="T1852" i="1"/>
  <c r="U1852" i="1" s="1"/>
  <c r="T1856" i="1"/>
  <c r="U1856" i="1" s="1"/>
  <c r="T1853" i="1"/>
  <c r="U1853" i="1" s="1"/>
  <c r="T1851" i="1"/>
  <c r="U1851" i="1" s="1"/>
  <c r="T1854" i="1"/>
  <c r="U1854" i="1" s="1"/>
  <c r="T1855" i="1"/>
  <c r="U1855" i="1" s="1"/>
  <c r="T1858" i="1"/>
  <c r="U1858" i="1" s="1"/>
  <c r="T1864" i="1"/>
  <c r="U1864" i="1" s="1"/>
  <c r="T1865" i="1"/>
  <c r="U1865" i="1" s="1"/>
  <c r="T1863" i="1"/>
  <c r="U1863" i="1" s="1"/>
  <c r="T1862" i="1"/>
  <c r="U1862" i="1" s="1"/>
  <c r="T1859" i="1"/>
  <c r="U1859" i="1" s="1"/>
  <c r="T1860" i="1"/>
  <c r="U1860" i="1" s="1"/>
  <c r="T1870" i="1"/>
  <c r="U1870" i="1" s="1"/>
  <c r="T1868" i="1"/>
  <c r="U1868" i="1" s="1"/>
  <c r="T1866" i="1"/>
  <c r="U1866" i="1" s="1"/>
  <c r="T1867" i="1"/>
  <c r="U1867" i="1" s="1"/>
  <c r="T1871" i="1"/>
  <c r="U1871" i="1" s="1"/>
  <c r="T1869" i="1"/>
  <c r="U1869" i="1" s="1"/>
  <c r="T1873" i="1"/>
  <c r="U1873" i="1" s="1"/>
  <c r="T1874" i="1"/>
  <c r="U1874" i="1" s="1"/>
  <c r="T1872" i="1"/>
  <c r="U1872" i="1" s="1"/>
  <c r="T1876" i="1"/>
  <c r="U1876" i="1" s="1"/>
  <c r="T1875" i="1"/>
  <c r="U1875" i="1" s="1"/>
  <c r="T1881" i="1"/>
  <c r="U1881" i="1" s="1"/>
  <c r="T1878" i="1"/>
  <c r="U1878" i="1" s="1"/>
  <c r="T1879" i="1"/>
  <c r="U1879" i="1" s="1"/>
  <c r="T1882" i="1"/>
  <c r="U1882" i="1" s="1"/>
  <c r="T1888" i="1"/>
  <c r="U1888" i="1" s="1"/>
  <c r="T1883" i="1"/>
  <c r="U1883" i="1" s="1"/>
  <c r="T1884" i="1"/>
  <c r="U1884" i="1" s="1"/>
  <c r="T1902" i="1"/>
  <c r="U1902" i="1" s="1"/>
  <c r="T1900" i="1"/>
  <c r="U1900" i="1" s="1"/>
  <c r="T1901" i="1"/>
  <c r="U1901" i="1" s="1"/>
  <c r="T1897" i="1"/>
  <c r="U1897" i="1" s="1"/>
  <c r="T1895" i="1"/>
  <c r="U1895" i="1" s="1"/>
  <c r="T1889" i="1"/>
  <c r="U1889" i="1" s="1"/>
  <c r="T1893" i="1"/>
  <c r="U1893" i="1" s="1"/>
  <c r="T1898" i="1"/>
  <c r="U1898" i="1" s="1"/>
  <c r="T1890" i="1"/>
  <c r="U1890" i="1" s="1"/>
  <c r="T1903" i="1"/>
  <c r="U1903" i="1" s="1"/>
  <c r="T1894" i="1"/>
  <c r="U1894" i="1" s="1"/>
  <c r="T1891" i="1"/>
  <c r="U1891" i="1" s="1"/>
  <c r="T1899" i="1"/>
  <c r="U1899" i="1" s="1"/>
  <c r="T1896" i="1"/>
  <c r="U1896" i="1" s="1"/>
  <c r="T1892" i="1"/>
  <c r="U1892" i="1" s="1"/>
  <c r="T1337" i="1"/>
  <c r="U1337" i="1" s="1"/>
  <c r="T1339" i="1"/>
  <c r="U1339" i="1" s="1"/>
  <c r="T1498" i="1"/>
  <c r="U1498" i="1" s="1"/>
  <c r="T1491" i="1"/>
  <c r="U1491" i="1" s="1"/>
  <c r="T1475" i="1"/>
  <c r="U1475" i="1" s="1"/>
  <c r="T1521" i="1"/>
  <c r="U1521" i="1" s="1"/>
  <c r="T1469" i="1"/>
  <c r="U1469" i="1" s="1"/>
  <c r="P1498" i="1"/>
  <c r="P1491" i="1"/>
  <c r="P1475" i="1"/>
  <c r="M1498" i="1"/>
  <c r="M1491" i="1"/>
  <c r="M1475" i="1"/>
  <c r="F1498" i="1"/>
  <c r="F1491" i="1"/>
  <c r="F1475" i="1"/>
  <c r="T1199" i="1" l="1"/>
  <c r="U1199" i="1" s="1"/>
  <c r="P1199" i="1"/>
  <c r="F1199" i="1"/>
  <c r="M1199" i="1"/>
  <c r="P1069" i="1" l="1"/>
  <c r="M1069" i="1"/>
  <c r="F1069" i="1"/>
  <c r="T1039" i="1"/>
  <c r="U1039" i="1" s="1"/>
  <c r="P1039" i="1"/>
  <c r="M1039" i="1"/>
  <c r="F1039" i="1"/>
  <c r="T690" i="1"/>
  <c r="U690" i="1" s="1"/>
  <c r="P690" i="1"/>
  <c r="M690" i="1"/>
  <c r="F690" i="1"/>
  <c r="T694" i="1"/>
  <c r="U694" i="1" s="1"/>
  <c r="T688" i="1"/>
  <c r="U688" i="1" s="1"/>
  <c r="P694" i="1"/>
  <c r="M694" i="1"/>
  <c r="F694" i="1"/>
  <c r="P724" i="1" l="1"/>
  <c r="P727" i="1"/>
  <c r="T721" i="1"/>
  <c r="U721" i="1" s="1"/>
  <c r="T727" i="1"/>
  <c r="U727" i="1" s="1"/>
  <c r="T724" i="1"/>
  <c r="U724" i="1" s="1"/>
  <c r="T723" i="1"/>
  <c r="U723" i="1" s="1"/>
  <c r="P721" i="1"/>
  <c r="M721" i="1"/>
  <c r="M727" i="1"/>
  <c r="M724" i="1"/>
  <c r="F721" i="1"/>
  <c r="F727" i="1"/>
  <c r="F724" i="1"/>
  <c r="N717" i="1"/>
  <c r="AI717" i="1" s="1"/>
  <c r="T1014" i="1"/>
  <c r="U1014" i="1" s="1"/>
  <c r="P1014" i="1"/>
  <c r="M1014" i="1"/>
  <c r="F1014" i="1"/>
  <c r="T993" i="1"/>
  <c r="U993" i="1" s="1"/>
  <c r="P993" i="1"/>
  <c r="M993" i="1"/>
  <c r="F993" i="1"/>
  <c r="F999" i="1"/>
  <c r="T999" i="1"/>
  <c r="U999" i="1" s="1"/>
  <c r="P999" i="1"/>
  <c r="M999" i="1"/>
  <c r="T998" i="1"/>
  <c r="U998" i="1" s="1"/>
  <c r="T978" i="1"/>
  <c r="U978" i="1" s="1"/>
  <c r="P998" i="1"/>
  <c r="M998" i="1"/>
  <c r="F998" i="1"/>
  <c r="T1004" i="1"/>
  <c r="U1004" i="1" s="1"/>
  <c r="T1000" i="1"/>
  <c r="U1000" i="1" s="1"/>
  <c r="P1000" i="1"/>
  <c r="M1000" i="1"/>
  <c r="F1000" i="1"/>
  <c r="T1011" i="1"/>
  <c r="U1011" i="1" s="1"/>
  <c r="P1011" i="1"/>
  <c r="F1011" i="1"/>
  <c r="T110" i="1"/>
  <c r="U110" i="1" s="1"/>
  <c r="P110" i="1"/>
  <c r="M110" i="1"/>
  <c r="F110" i="1"/>
  <c r="AJ717" i="1" l="1"/>
  <c r="Q717" i="1"/>
  <c r="F1788" i="1"/>
  <c r="F1793" i="1"/>
  <c r="F1789" i="1"/>
  <c r="F1794" i="1"/>
  <c r="F1795" i="1"/>
  <c r="F1796" i="1"/>
  <c r="F1790" i="1"/>
  <c r="N1796" i="1"/>
  <c r="AI1796" i="1" s="1"/>
  <c r="N1795" i="1"/>
  <c r="AI1795" i="1" s="1"/>
  <c r="AJ1795" i="1" l="1"/>
  <c r="Q1795" i="1"/>
  <c r="AJ1796" i="1"/>
  <c r="Q1796" i="1"/>
  <c r="P1196" i="1"/>
  <c r="T1196" i="1"/>
  <c r="U1196" i="1" s="1"/>
  <c r="N1191" i="1"/>
  <c r="AI1191" i="1" s="1"/>
  <c r="T1191" i="1"/>
  <c r="U1191" i="1" s="1"/>
  <c r="T1192" i="1"/>
  <c r="U1192" i="1" s="1"/>
  <c r="P1192" i="1"/>
  <c r="M1192" i="1"/>
  <c r="M1196" i="1"/>
  <c r="F1191" i="1"/>
  <c r="F1196" i="1"/>
  <c r="F1192" i="1"/>
  <c r="N509" i="1"/>
  <c r="AI509" i="1" s="1"/>
  <c r="T491" i="1"/>
  <c r="U491" i="1" s="1"/>
  <c r="T511" i="1"/>
  <c r="U511" i="1" s="1"/>
  <c r="T500" i="1"/>
  <c r="U500" i="1" s="1"/>
  <c r="T499" i="1"/>
  <c r="U499" i="1" s="1"/>
  <c r="T485" i="1"/>
  <c r="U485" i="1" s="1"/>
  <c r="P500" i="1"/>
  <c r="P511" i="1"/>
  <c r="M511" i="1"/>
  <c r="F511" i="1"/>
  <c r="F500" i="1"/>
  <c r="P491" i="1"/>
  <c r="P485" i="1"/>
  <c r="P499" i="1"/>
  <c r="M499" i="1"/>
  <c r="M485" i="1"/>
  <c r="M491" i="1"/>
  <c r="M500" i="1"/>
  <c r="N507" i="1"/>
  <c r="AI507" i="1" s="1"/>
  <c r="Q507" i="1" s="1"/>
  <c r="F499" i="1"/>
  <c r="F485" i="1"/>
  <c r="F491" i="1"/>
  <c r="P191" i="1"/>
  <c r="M191" i="1"/>
  <c r="T180" i="1"/>
  <c r="U180" i="1" s="1"/>
  <c r="T191" i="1"/>
  <c r="U191" i="1" s="1"/>
  <c r="P180" i="1"/>
  <c r="M180" i="1"/>
  <c r="F180" i="1"/>
  <c r="F191" i="1"/>
  <c r="AJ509" i="1" l="1"/>
  <c r="Q509" i="1"/>
  <c r="AJ1191" i="1"/>
  <c r="Q1191" i="1"/>
  <c r="M1191" i="1"/>
  <c r="P1191" i="1"/>
  <c r="P1765" i="1"/>
  <c r="M1765" i="1"/>
  <c r="F1765" i="1"/>
  <c r="N1400" i="1"/>
  <c r="AI1400" i="1" s="1"/>
  <c r="T213" i="1"/>
  <c r="U213" i="1" s="1"/>
  <c r="T214" i="1"/>
  <c r="U214" i="1" s="1"/>
  <c r="T222" i="1"/>
  <c r="U222" i="1" s="1"/>
  <c r="T237" i="1"/>
  <c r="U237" i="1" s="1"/>
  <c r="T229" i="1"/>
  <c r="U229" i="1" s="1"/>
  <c r="P229" i="1"/>
  <c r="M229" i="1"/>
  <c r="P237" i="1"/>
  <c r="M237" i="1"/>
  <c r="P222" i="1"/>
  <c r="M222" i="1"/>
  <c r="F222" i="1"/>
  <c r="F237" i="1"/>
  <c r="F229" i="1"/>
  <c r="O213" i="1"/>
  <c r="AJ213" i="1" s="1"/>
  <c r="M214" i="1"/>
  <c r="M213" i="1"/>
  <c r="T221" i="1"/>
  <c r="U221" i="1" s="1"/>
  <c r="T211" i="1"/>
  <c r="U211" i="1" s="1"/>
  <c r="T212" i="1"/>
  <c r="U212" i="1" s="1"/>
  <c r="T236" i="1"/>
  <c r="U236" i="1" s="1"/>
  <c r="T239" i="1"/>
  <c r="U239" i="1" s="1"/>
  <c r="T241" i="1"/>
  <c r="U241" i="1" s="1"/>
  <c r="T232" i="1"/>
  <c r="U232" i="1" s="1"/>
  <c r="P221" i="1"/>
  <c r="P211" i="1"/>
  <c r="P212" i="1"/>
  <c r="P236" i="1"/>
  <c r="P239" i="1"/>
  <c r="P241" i="1"/>
  <c r="P232" i="1"/>
  <c r="P214" i="1"/>
  <c r="M221" i="1"/>
  <c r="M211" i="1"/>
  <c r="M212" i="1"/>
  <c r="M236" i="1"/>
  <c r="M239" i="1"/>
  <c r="M241" i="1"/>
  <c r="M232" i="1"/>
  <c r="F228" i="1"/>
  <c r="F221" i="1"/>
  <c r="F211" i="1"/>
  <c r="F212" i="1"/>
  <c r="F236" i="1"/>
  <c r="F239" i="1"/>
  <c r="F241" i="1"/>
  <c r="F232" i="1"/>
  <c r="F213" i="1"/>
  <c r="F214" i="1"/>
  <c r="AJ1400" i="1" l="1"/>
  <c r="Q1400" i="1"/>
  <c r="P213" i="1"/>
  <c r="N1382" i="1"/>
  <c r="AI1382" i="1" s="1"/>
  <c r="T1374" i="1"/>
  <c r="U1374" i="1" s="1"/>
  <c r="P1374" i="1"/>
  <c r="M1374" i="1"/>
  <c r="F1374" i="1"/>
  <c r="N1386" i="1"/>
  <c r="AI1386" i="1" s="1"/>
  <c r="Q1386" i="1" s="1"/>
  <c r="P1373" i="1"/>
  <c r="T1373" i="1"/>
  <c r="U1373" i="1" s="1"/>
  <c r="M1373" i="1"/>
  <c r="F1373" i="1"/>
  <c r="N1383" i="1"/>
  <c r="AI1383" i="1" s="1"/>
  <c r="N1482" i="1"/>
  <c r="AI1482" i="1" s="1"/>
  <c r="T527" i="1"/>
  <c r="U527" i="1" s="1"/>
  <c r="T524" i="1"/>
  <c r="U524" i="1" s="1"/>
  <c r="P524" i="1"/>
  <c r="P527" i="1"/>
  <c r="M527" i="1"/>
  <c r="M524" i="1"/>
  <c r="T523" i="1"/>
  <c r="U523" i="1" s="1"/>
  <c r="P523" i="1"/>
  <c r="M523" i="1"/>
  <c r="F523" i="1"/>
  <c r="F527" i="1"/>
  <c r="F524" i="1"/>
  <c r="N522" i="1"/>
  <c r="AI522" i="1" s="1"/>
  <c r="AJ522" i="1" l="1"/>
  <c r="Q522" i="1"/>
  <c r="AJ1382" i="1"/>
  <c r="Q1382" i="1"/>
  <c r="AJ1482" i="1"/>
  <c r="Q1482" i="1"/>
  <c r="AJ1383" i="1"/>
  <c r="Q1383" i="1"/>
  <c r="P1716" i="1"/>
  <c r="P1714" i="1"/>
  <c r="F1714" i="1"/>
  <c r="M1714" i="1"/>
  <c r="F1716" i="1"/>
  <c r="M1716" i="1"/>
  <c r="N1335" i="1" l="1"/>
  <c r="AI1335" i="1" s="1"/>
  <c r="T1264" i="1"/>
  <c r="U1264" i="1" s="1"/>
  <c r="P1278" i="1"/>
  <c r="M1278" i="1"/>
  <c r="P1264" i="1"/>
  <c r="M1264" i="1"/>
  <c r="F1264" i="1"/>
  <c r="P1213" i="1"/>
  <c r="M1213" i="1"/>
  <c r="P1241" i="1"/>
  <c r="M1241" i="1"/>
  <c r="T1277" i="1"/>
  <c r="U1277" i="1" s="1"/>
  <c r="T1241" i="1"/>
  <c r="U1241" i="1" s="1"/>
  <c r="T1213" i="1"/>
  <c r="U1213" i="1" s="1"/>
  <c r="T1278" i="1"/>
  <c r="U1278" i="1" s="1"/>
  <c r="P1277" i="1"/>
  <c r="M1277" i="1"/>
  <c r="T1263" i="1"/>
  <c r="U1263" i="1" s="1"/>
  <c r="N1263" i="1"/>
  <c r="AI1263" i="1" s="1"/>
  <c r="F1263" i="1"/>
  <c r="F1277" i="1"/>
  <c r="F1241" i="1"/>
  <c r="F1213" i="1"/>
  <c r="F1278" i="1"/>
  <c r="O507" i="1"/>
  <c r="AJ507" i="1" s="1"/>
  <c r="AJ1263" i="1" l="1"/>
  <c r="Q1263" i="1"/>
  <c r="AJ1335" i="1"/>
  <c r="Q1335" i="1"/>
  <c r="P1263" i="1"/>
  <c r="M1263" i="1"/>
  <c r="T1279" i="1"/>
  <c r="U1279" i="1" s="1"/>
  <c r="P1279" i="1"/>
  <c r="M1279" i="1"/>
  <c r="F1279" i="1"/>
  <c r="F63" i="1"/>
  <c r="T113" i="1"/>
  <c r="U113" i="1" s="1"/>
  <c r="P113" i="1"/>
  <c r="M113" i="1"/>
  <c r="F113" i="1"/>
  <c r="T409" i="1"/>
  <c r="U409" i="1" s="1"/>
  <c r="M409" i="1"/>
  <c r="T404" i="1"/>
  <c r="U404" i="1" s="1"/>
  <c r="M404" i="1"/>
  <c r="T394" i="1"/>
  <c r="U394" i="1" s="1"/>
  <c r="P394" i="1"/>
  <c r="P404" i="1"/>
  <c r="P409" i="1"/>
  <c r="M394" i="1"/>
  <c r="F404" i="1"/>
  <c r="F409" i="1"/>
  <c r="F394" i="1"/>
  <c r="AE63" i="1" l="1"/>
  <c r="AH63" i="1" s="1"/>
  <c r="AI63" i="1" s="1"/>
  <c r="N494" i="1"/>
  <c r="AI494" i="1" s="1"/>
  <c r="N1158" i="1"/>
  <c r="AI1158" i="1" s="1"/>
  <c r="AJ1158" i="1" l="1"/>
  <c r="Q1158" i="1"/>
  <c r="AJ494" i="1"/>
  <c r="Q494" i="1"/>
  <c r="AJ63" i="1"/>
  <c r="Q63" i="1"/>
  <c r="N1324" i="1"/>
  <c r="AI1324" i="1" s="1"/>
  <c r="O829" i="1"/>
  <c r="AJ829" i="1" s="1"/>
  <c r="P1774" i="1"/>
  <c r="M1774" i="1"/>
  <c r="F1774" i="1"/>
  <c r="P377" i="1"/>
  <c r="T377" i="1"/>
  <c r="U377" i="1" s="1"/>
  <c r="M377" i="1"/>
  <c r="F377" i="1"/>
  <c r="T378" i="1"/>
  <c r="U378" i="1" s="1"/>
  <c r="P378" i="1"/>
  <c r="M378" i="1"/>
  <c r="F378" i="1"/>
  <c r="P1460" i="1"/>
  <c r="M1460" i="1"/>
  <c r="F1460" i="1"/>
  <c r="N1451" i="1"/>
  <c r="AI1451" i="1" s="1"/>
  <c r="P1824" i="1"/>
  <c r="M1824" i="1"/>
  <c r="F1824" i="1"/>
  <c r="P1808" i="1"/>
  <c r="F1808" i="1"/>
  <c r="M1808" i="1"/>
  <c r="P1807" i="1"/>
  <c r="M1807" i="1"/>
  <c r="F1807" i="1"/>
  <c r="P1819" i="1"/>
  <c r="M1819" i="1"/>
  <c r="F1819" i="1"/>
  <c r="N801" i="1"/>
  <c r="AI801" i="1" s="1"/>
  <c r="P1654" i="1"/>
  <c r="AJ1451" i="1" l="1"/>
  <c r="Q1451" i="1"/>
  <c r="AJ1324" i="1"/>
  <c r="Q1324" i="1"/>
  <c r="AJ801" i="1"/>
  <c r="Q801" i="1"/>
  <c r="N983" i="1"/>
  <c r="AI983" i="1" s="1"/>
  <c r="P1730" i="1"/>
  <c r="M1730" i="1"/>
  <c r="F1730" i="1"/>
  <c r="N188" i="1"/>
  <c r="AI188" i="1" s="1"/>
  <c r="P1789" i="1"/>
  <c r="M1789" i="1"/>
  <c r="P1796" i="1"/>
  <c r="P1795" i="1"/>
  <c r="M1795" i="1"/>
  <c r="M1796" i="1"/>
  <c r="AJ188" i="1" l="1"/>
  <c r="Q188" i="1"/>
  <c r="AJ983" i="1"/>
  <c r="Q983" i="1"/>
  <c r="N285" i="1"/>
  <c r="AI285" i="1" s="1"/>
  <c r="T282" i="1"/>
  <c r="U282" i="1" s="1"/>
  <c r="P282" i="1"/>
  <c r="M282" i="1"/>
  <c r="F282" i="1"/>
  <c r="P654" i="1"/>
  <c r="M654" i="1"/>
  <c r="F654" i="1"/>
  <c r="P653" i="1"/>
  <c r="M653" i="1"/>
  <c r="F653" i="1"/>
  <c r="T655" i="1"/>
  <c r="U655" i="1" s="1"/>
  <c r="N655" i="1"/>
  <c r="AI655" i="1" s="1"/>
  <c r="F655" i="1"/>
  <c r="T657" i="1"/>
  <c r="U657" i="1" s="1"/>
  <c r="N657" i="1"/>
  <c r="AI657" i="1" s="1"/>
  <c r="F657" i="1"/>
  <c r="N656" i="1"/>
  <c r="AI656" i="1" s="1"/>
  <c r="F656" i="1"/>
  <c r="T651" i="1"/>
  <c r="U651" i="1" s="1"/>
  <c r="P651" i="1"/>
  <c r="M651" i="1"/>
  <c r="F651" i="1"/>
  <c r="T652" i="1"/>
  <c r="U652" i="1" s="1"/>
  <c r="N652" i="1"/>
  <c r="AI652" i="1" s="1"/>
  <c r="F652" i="1"/>
  <c r="P587" i="1"/>
  <c r="M587" i="1"/>
  <c r="F587" i="1"/>
  <c r="P586" i="1"/>
  <c r="M586" i="1"/>
  <c r="F586" i="1"/>
  <c r="P581" i="1"/>
  <c r="M581" i="1"/>
  <c r="F581" i="1"/>
  <c r="P580" i="1"/>
  <c r="M580" i="1"/>
  <c r="F580" i="1"/>
  <c r="T583" i="1"/>
  <c r="U583" i="1" s="1"/>
  <c r="N583" i="1"/>
  <c r="AI583" i="1" s="1"/>
  <c r="F583" i="1"/>
  <c r="T582" i="1"/>
  <c r="U582" i="1" s="1"/>
  <c r="N582" i="1"/>
  <c r="AI582" i="1" s="1"/>
  <c r="F582" i="1"/>
  <c r="T585" i="1"/>
  <c r="U585" i="1" s="1"/>
  <c r="N585" i="1"/>
  <c r="AI585" i="1" s="1"/>
  <c r="F585" i="1"/>
  <c r="T584" i="1"/>
  <c r="U584" i="1" s="1"/>
  <c r="N584" i="1"/>
  <c r="AI584" i="1" s="1"/>
  <c r="F584" i="1"/>
  <c r="P1303" i="1"/>
  <c r="M1303" i="1"/>
  <c r="F1303" i="1"/>
  <c r="T1302" i="1"/>
  <c r="U1302" i="1" s="1"/>
  <c r="N1302" i="1"/>
  <c r="AI1302" i="1" s="1"/>
  <c r="F1302" i="1"/>
  <c r="T1301" i="1"/>
  <c r="U1301" i="1" s="1"/>
  <c r="N1301" i="1"/>
  <c r="AI1301" i="1" s="1"/>
  <c r="F1301" i="1"/>
  <c r="P1298" i="1"/>
  <c r="M1298" i="1"/>
  <c r="F1298" i="1"/>
  <c r="P1297" i="1"/>
  <c r="M1297" i="1"/>
  <c r="F1297" i="1"/>
  <c r="T1300" i="1"/>
  <c r="U1300" i="1" s="1"/>
  <c r="N1300" i="1"/>
  <c r="AI1300" i="1" s="1"/>
  <c r="F1300" i="1"/>
  <c r="T1299" i="1"/>
  <c r="U1299" i="1" s="1"/>
  <c r="N1299" i="1"/>
  <c r="AI1299" i="1" s="1"/>
  <c r="F1299" i="1"/>
  <c r="AJ583" i="1" l="1"/>
  <c r="Q583" i="1"/>
  <c r="AJ657" i="1"/>
  <c r="Q657" i="1"/>
  <c r="AJ1300" i="1"/>
  <c r="Q1300" i="1"/>
  <c r="AJ1302" i="1"/>
  <c r="Q1302" i="1"/>
  <c r="AJ582" i="1"/>
  <c r="Q582" i="1"/>
  <c r="AJ1299" i="1"/>
  <c r="Q1299" i="1"/>
  <c r="AJ1301" i="1"/>
  <c r="Q1301" i="1"/>
  <c r="AJ585" i="1"/>
  <c r="Q585" i="1"/>
  <c r="AJ656" i="1"/>
  <c r="Q656" i="1"/>
  <c r="AJ584" i="1"/>
  <c r="Q584" i="1"/>
  <c r="AJ652" i="1"/>
  <c r="Q652" i="1"/>
  <c r="AJ655" i="1"/>
  <c r="Q655" i="1"/>
  <c r="AJ285" i="1"/>
  <c r="Q285" i="1"/>
  <c r="M652" i="1"/>
  <c r="P1300" i="1"/>
  <c r="M1301" i="1"/>
  <c r="M582" i="1"/>
  <c r="M657" i="1"/>
  <c r="M585" i="1"/>
  <c r="M656" i="1"/>
  <c r="P585" i="1"/>
  <c r="P652" i="1"/>
  <c r="P656" i="1"/>
  <c r="M655" i="1"/>
  <c r="P655" i="1"/>
  <c r="P657" i="1"/>
  <c r="M1300" i="1"/>
  <c r="M583" i="1"/>
  <c r="M584" i="1"/>
  <c r="P582" i="1"/>
  <c r="P583" i="1"/>
  <c r="P584" i="1"/>
  <c r="M1302" i="1"/>
  <c r="M1299" i="1"/>
  <c r="P1301" i="1"/>
  <c r="P1302" i="1"/>
  <c r="P1299" i="1"/>
  <c r="T1105" i="1"/>
  <c r="U1105" i="1" s="1"/>
  <c r="P1105" i="1"/>
  <c r="T1094" i="1"/>
  <c r="U1094" i="1" s="1"/>
  <c r="P1095" i="1"/>
  <c r="M1095" i="1"/>
  <c r="T1095" i="1"/>
  <c r="U1095" i="1" s="1"/>
  <c r="P1094" i="1"/>
  <c r="M1094" i="1"/>
  <c r="M1105" i="1"/>
  <c r="F1094" i="1"/>
  <c r="F1095" i="1"/>
  <c r="F1105" i="1"/>
  <c r="N1106" i="1"/>
  <c r="AI1106" i="1" s="1"/>
  <c r="AJ1106" i="1" l="1"/>
  <c r="Q1106" i="1"/>
  <c r="N1450" i="1"/>
  <c r="AI1450" i="1" s="1"/>
  <c r="T1425" i="1"/>
  <c r="U1425" i="1" s="1"/>
  <c r="P1425" i="1"/>
  <c r="M1425" i="1"/>
  <c r="F1425" i="1"/>
  <c r="AJ1450" i="1" l="1"/>
  <c r="Q1450" i="1"/>
  <c r="N1882" i="1"/>
  <c r="AI1882" i="1" s="1"/>
  <c r="N1879" i="1"/>
  <c r="AI1879" i="1" s="1"/>
  <c r="AJ1879" i="1" l="1"/>
  <c r="Q1879" i="1"/>
  <c r="AJ1882" i="1"/>
  <c r="Q1882" i="1"/>
  <c r="N65" i="1"/>
  <c r="P393" i="1" l="1"/>
  <c r="T392" i="1"/>
  <c r="U392" i="1" s="1"/>
  <c r="T393" i="1"/>
  <c r="U393" i="1" s="1"/>
  <c r="P392" i="1"/>
  <c r="M392" i="1"/>
  <c r="M393" i="1"/>
  <c r="F392" i="1"/>
  <c r="F393" i="1"/>
  <c r="F399" i="1"/>
  <c r="T115" i="1"/>
  <c r="U115" i="1" s="1"/>
  <c r="P115" i="1"/>
  <c r="M115" i="1"/>
  <c r="F115" i="1"/>
  <c r="N703" i="1" l="1"/>
  <c r="AI703" i="1" s="1"/>
  <c r="N129" i="1"/>
  <c r="AI129" i="1" s="1"/>
  <c r="T422" i="1"/>
  <c r="U422" i="1" s="1"/>
  <c r="P422" i="1"/>
  <c r="M422" i="1"/>
  <c r="F422" i="1"/>
  <c r="N427" i="1"/>
  <c r="AI427" i="1" s="1"/>
  <c r="N1316" i="1"/>
  <c r="AI1316" i="1" s="1"/>
  <c r="AJ703" i="1" l="1"/>
  <c r="Q703" i="1"/>
  <c r="AJ1316" i="1"/>
  <c r="Q1316" i="1"/>
  <c r="AJ427" i="1"/>
  <c r="Q427" i="1"/>
  <c r="AJ129" i="1"/>
  <c r="Q129" i="1"/>
  <c r="AA112" i="1"/>
  <c r="AH112" i="1" s="1"/>
  <c r="AA65" i="1"/>
  <c r="AH65" i="1" s="1"/>
  <c r="AI65" i="1" s="1"/>
  <c r="F82" i="1"/>
  <c r="N671" i="1"/>
  <c r="AI671" i="1" s="1"/>
  <c r="N699" i="1"/>
  <c r="AI699" i="1" s="1"/>
  <c r="N112" i="1"/>
  <c r="AJ65" i="1" l="1"/>
  <c r="Q65" i="1"/>
  <c r="AJ671" i="1"/>
  <c r="Q671" i="1"/>
  <c r="AJ699" i="1"/>
  <c r="Q699" i="1"/>
  <c r="AI112" i="1"/>
  <c r="AJ112" i="1" l="1"/>
  <c r="Q112" i="1"/>
  <c r="N1407" i="1"/>
  <c r="AI1407" i="1" s="1"/>
  <c r="AJ1407" i="1" l="1"/>
  <c r="Q1407" i="1"/>
  <c r="M1639" i="1"/>
  <c r="F1639" i="1"/>
  <c r="T718" i="1" l="1"/>
  <c r="U718" i="1" s="1"/>
  <c r="M718" i="1"/>
  <c r="F718" i="1"/>
  <c r="N1581" i="1"/>
  <c r="AI1581" i="1" s="1"/>
  <c r="AJ1581" i="1" l="1"/>
  <c r="Q1581" i="1"/>
  <c r="P718" i="1"/>
  <c r="AE1275" i="1" l="1"/>
  <c r="AE1844" i="1"/>
  <c r="AH1844" i="1" s="1"/>
  <c r="AI1844" i="1" s="1"/>
  <c r="N716" i="1"/>
  <c r="AI716" i="1" s="1"/>
  <c r="AJ716" i="1" l="1"/>
  <c r="Q716" i="1"/>
  <c r="AJ1844" i="1"/>
  <c r="Q1844" i="1"/>
  <c r="P1339" i="1"/>
  <c r="M1339" i="1"/>
  <c r="F1339" i="1"/>
  <c r="P1171" i="1"/>
  <c r="T1171" i="1"/>
  <c r="U1171" i="1" s="1"/>
  <c r="N1166" i="1"/>
  <c r="AI1166" i="1" s="1"/>
  <c r="M1171" i="1"/>
  <c r="F1171" i="1"/>
  <c r="T1177" i="1"/>
  <c r="U1177" i="1" s="1"/>
  <c r="P1177" i="1"/>
  <c r="M1177" i="1"/>
  <c r="F1177" i="1"/>
  <c r="T1175" i="1"/>
  <c r="U1175" i="1" s="1"/>
  <c r="P1175" i="1"/>
  <c r="M1175" i="1"/>
  <c r="F1175" i="1"/>
  <c r="N1169" i="1"/>
  <c r="AI1169" i="1" s="1"/>
  <c r="N1152" i="1"/>
  <c r="AI1152" i="1" s="1"/>
  <c r="N1168" i="1"/>
  <c r="AI1168" i="1" s="1"/>
  <c r="P1337" i="1"/>
  <c r="M1337" i="1"/>
  <c r="F1337" i="1"/>
  <c r="AJ1169" i="1" l="1"/>
  <c r="Q1169" i="1"/>
  <c r="AJ1168" i="1"/>
  <c r="Q1168" i="1"/>
  <c r="AJ1152" i="1"/>
  <c r="Q1152" i="1"/>
  <c r="AJ1166" i="1"/>
  <c r="Q1166" i="1"/>
  <c r="O1391" i="1"/>
  <c r="AJ1391" i="1" s="1"/>
  <c r="O1390" i="1"/>
  <c r="AJ1390" i="1" s="1"/>
  <c r="AI890" i="1"/>
  <c r="N889" i="1"/>
  <c r="AI889" i="1" s="1"/>
  <c r="AJ889" i="1" l="1"/>
  <c r="Q889" i="1"/>
  <c r="AJ890" i="1"/>
  <c r="Q890" i="1"/>
  <c r="P1608" i="1"/>
  <c r="T1382" i="1"/>
  <c r="U1382" i="1" s="1"/>
  <c r="P1382" i="1"/>
  <c r="F1382" i="1"/>
  <c r="M1382" i="1"/>
  <c r="T1381" i="1"/>
  <c r="U1381" i="1" s="1"/>
  <c r="P1381" i="1"/>
  <c r="M1381" i="1"/>
  <c r="F1381" i="1"/>
  <c r="AI1379" i="1"/>
  <c r="T9" i="1"/>
  <c r="U9" i="1" s="1"/>
  <c r="P9" i="1"/>
  <c r="F9" i="1"/>
  <c r="M9" i="1"/>
  <c r="AJ1379" i="1" l="1"/>
  <c r="Q1379" i="1"/>
  <c r="P1689" i="1"/>
  <c r="M1689" i="1"/>
  <c r="P1681" i="1"/>
  <c r="M1681" i="1"/>
  <c r="F1681" i="1"/>
  <c r="F1689" i="1"/>
  <c r="N1006" i="1" l="1"/>
  <c r="AI1006" i="1" s="1"/>
  <c r="AJ1006" i="1" l="1"/>
  <c r="Q1006" i="1"/>
  <c r="N1687" i="1"/>
  <c r="AI1687" i="1" s="1"/>
  <c r="N1685" i="1"/>
  <c r="AI1685" i="1" s="1"/>
  <c r="AJ1685" i="1" l="1"/>
  <c r="Q1685" i="1"/>
  <c r="AJ1687" i="1"/>
  <c r="Q1687" i="1"/>
  <c r="P1794" i="1"/>
  <c r="M1794" i="1"/>
  <c r="T1523" i="1"/>
  <c r="U1523" i="1" s="1"/>
  <c r="P1523" i="1"/>
  <c r="M1523" i="1"/>
  <c r="F1523" i="1"/>
  <c r="N1582" i="1"/>
  <c r="AI1582" i="1" s="1"/>
  <c r="N1607" i="1"/>
  <c r="AI1607" i="1" s="1"/>
  <c r="N1604" i="1"/>
  <c r="AI1604" i="1" s="1"/>
  <c r="F1608" i="1"/>
  <c r="M1608" i="1"/>
  <c r="N1792" i="1"/>
  <c r="AI1792" i="1" s="1"/>
  <c r="AJ1582" i="1" l="1"/>
  <c r="Q1582" i="1"/>
  <c r="AJ1792" i="1"/>
  <c r="Q1792" i="1"/>
  <c r="AJ1607" i="1"/>
  <c r="Q1607" i="1"/>
  <c r="AJ1604" i="1"/>
  <c r="Q1604" i="1"/>
  <c r="T1308" i="1"/>
  <c r="U1308" i="1" s="1"/>
  <c r="P1308" i="1"/>
  <c r="M1308" i="1"/>
  <c r="F1308" i="1"/>
  <c r="N905" i="1"/>
  <c r="AI905" i="1" s="1"/>
  <c r="AJ905" i="1" l="1"/>
  <c r="Q905" i="1"/>
  <c r="T494" i="1"/>
  <c r="U494" i="1" s="1"/>
  <c r="T495" i="1"/>
  <c r="U495" i="1" s="1"/>
  <c r="P494" i="1"/>
  <c r="P495" i="1"/>
  <c r="M494" i="1"/>
  <c r="M495" i="1"/>
  <c r="F494" i="1"/>
  <c r="F495" i="1"/>
  <c r="N1358" i="1"/>
  <c r="AI1358" i="1" s="1"/>
  <c r="N490" i="1"/>
  <c r="AI490" i="1" s="1"/>
  <c r="AJ490" i="1" l="1"/>
  <c r="Q490" i="1"/>
  <c r="AJ1358" i="1"/>
  <c r="Q1358" i="1"/>
  <c r="N987" i="1"/>
  <c r="AI987" i="1" s="1"/>
  <c r="T1319" i="1"/>
  <c r="U1319" i="1" s="1"/>
  <c r="P1319" i="1"/>
  <c r="M1319" i="1"/>
  <c r="F1319" i="1"/>
  <c r="T1316" i="1"/>
  <c r="U1316" i="1" s="1"/>
  <c r="P1316" i="1"/>
  <c r="M1316" i="1"/>
  <c r="F1316" i="1"/>
  <c r="AJ987" i="1" l="1"/>
  <c r="Q987" i="1"/>
  <c r="P1693" i="1"/>
  <c r="M1693" i="1"/>
  <c r="F1693" i="1"/>
  <c r="N1404" i="1"/>
  <c r="AI1404" i="1" s="1"/>
  <c r="P132" i="1"/>
  <c r="T132" i="1"/>
  <c r="U132" i="1" s="1"/>
  <c r="M132" i="1"/>
  <c r="F132" i="1"/>
  <c r="T1404" i="1"/>
  <c r="U1404" i="1" s="1"/>
  <c r="F1404" i="1"/>
  <c r="T102" i="1"/>
  <c r="U102" i="1" s="1"/>
  <c r="P102" i="1"/>
  <c r="M102" i="1"/>
  <c r="F102" i="1"/>
  <c r="T792" i="1"/>
  <c r="U792" i="1" s="1"/>
  <c r="P792" i="1"/>
  <c r="M792" i="1"/>
  <c r="F792" i="1"/>
  <c r="AJ1404" i="1" l="1"/>
  <c r="Q1404" i="1"/>
  <c r="M1404" i="1"/>
  <c r="P1404" i="1"/>
  <c r="T1474" i="1"/>
  <c r="U1474" i="1" s="1"/>
  <c r="P1474" i="1"/>
  <c r="M1474" i="1"/>
  <c r="F1474" i="1"/>
  <c r="N333" i="1"/>
  <c r="AI333" i="1" s="1"/>
  <c r="T1476" i="1"/>
  <c r="U1476" i="1" s="1"/>
  <c r="P1476" i="1"/>
  <c r="M1476" i="1"/>
  <c r="F1476" i="1"/>
  <c r="F1510" i="1"/>
  <c r="N26" i="1"/>
  <c r="AI26" i="1" s="1"/>
  <c r="AJ26" i="1" l="1"/>
  <c r="Q26" i="1"/>
  <c r="AJ333" i="1"/>
  <c r="Q333" i="1"/>
  <c r="O1386" i="1"/>
  <c r="AJ1386" i="1" s="1"/>
  <c r="O1385" i="1"/>
  <c r="AJ1385" i="1" s="1"/>
  <c r="N33" i="1" l="1"/>
  <c r="AI33" i="1" s="1"/>
  <c r="N32" i="1"/>
  <c r="AI32" i="1" s="1"/>
  <c r="N31" i="1"/>
  <c r="AI31" i="1" s="1"/>
  <c r="N30" i="1"/>
  <c r="AI30" i="1" s="1"/>
  <c r="AJ33" i="1" l="1"/>
  <c r="Q33" i="1"/>
  <c r="AJ30" i="1"/>
  <c r="Q30" i="1"/>
  <c r="AJ31" i="1"/>
  <c r="Q31" i="1"/>
  <c r="AJ32" i="1"/>
  <c r="Q32" i="1"/>
  <c r="N506" i="1"/>
  <c r="AI506" i="1" s="1"/>
  <c r="N1686" i="1"/>
  <c r="AI1686" i="1" s="1"/>
  <c r="N906" i="1"/>
  <c r="AI906" i="1" s="1"/>
  <c r="T956" i="1"/>
  <c r="U956" i="1" s="1"/>
  <c r="P956" i="1"/>
  <c r="M956" i="1"/>
  <c r="F956" i="1"/>
  <c r="N1846" i="1"/>
  <c r="AI1846" i="1" s="1"/>
  <c r="P1842" i="1"/>
  <c r="M1842" i="1"/>
  <c r="F1842" i="1"/>
  <c r="N1151" i="1"/>
  <c r="AI1151" i="1" s="1"/>
  <c r="T1152" i="1"/>
  <c r="U1152" i="1" s="1"/>
  <c r="P1152" i="1"/>
  <c r="M1152" i="1"/>
  <c r="F1152" i="1"/>
  <c r="P1713" i="1"/>
  <c r="M1713" i="1"/>
  <c r="F1713" i="1"/>
  <c r="N1347" i="1"/>
  <c r="AI1347" i="1" s="1"/>
  <c r="N1897" i="1"/>
  <c r="AI1897" i="1" s="1"/>
  <c r="N1901" i="1"/>
  <c r="AI1901" i="1" s="1"/>
  <c r="AJ1347" i="1" l="1"/>
  <c r="Q1347" i="1"/>
  <c r="AJ1151" i="1"/>
  <c r="Q1151" i="1"/>
  <c r="AJ1846" i="1"/>
  <c r="Q1846" i="1"/>
  <c r="AJ1897" i="1"/>
  <c r="Q1897" i="1"/>
  <c r="AJ906" i="1"/>
  <c r="Q906" i="1"/>
  <c r="AJ1901" i="1"/>
  <c r="Q1901" i="1"/>
  <c r="AJ1686" i="1"/>
  <c r="Q1686" i="1"/>
  <c r="AJ506" i="1"/>
  <c r="Q506" i="1"/>
  <c r="T943" i="1"/>
  <c r="U943" i="1" s="1"/>
  <c r="P943" i="1"/>
  <c r="M943" i="1"/>
  <c r="F943" i="1"/>
  <c r="N949" i="1"/>
  <c r="AI949" i="1" s="1"/>
  <c r="N118" i="1"/>
  <c r="AI118" i="1" s="1"/>
  <c r="P1676" i="1"/>
  <c r="M1676" i="1"/>
  <c r="F1676" i="1"/>
  <c r="T936" i="1"/>
  <c r="U936" i="1" s="1"/>
  <c r="P936" i="1"/>
  <c r="M936" i="1"/>
  <c r="F936" i="1"/>
  <c r="T1500" i="1"/>
  <c r="U1500" i="1" s="1"/>
  <c r="P1500" i="1"/>
  <c r="M1500" i="1"/>
  <c r="F1500" i="1"/>
  <c r="AJ949" i="1" l="1"/>
  <c r="Q949" i="1"/>
  <c r="AJ118" i="1"/>
  <c r="Q118" i="1"/>
  <c r="N1247" i="1"/>
  <c r="AI1247" i="1" s="1"/>
  <c r="N489" i="1"/>
  <c r="AI489" i="1" s="1"/>
  <c r="N492" i="1"/>
  <c r="AI492" i="1" s="1"/>
  <c r="N150" i="1"/>
  <c r="AI150" i="1" s="1"/>
  <c r="T641" i="1"/>
  <c r="U641" i="1" s="1"/>
  <c r="P641" i="1"/>
  <c r="M641" i="1"/>
  <c r="F641" i="1"/>
  <c r="N1361" i="1"/>
  <c r="AI1361" i="1" s="1"/>
  <c r="N704" i="1"/>
  <c r="AI704" i="1" s="1"/>
  <c r="T1033" i="1"/>
  <c r="U1033" i="1" s="1"/>
  <c r="P1033" i="1"/>
  <c r="M1033" i="1"/>
  <c r="F1033" i="1"/>
  <c r="T1112" i="1"/>
  <c r="U1112" i="1" s="1"/>
  <c r="P1112" i="1"/>
  <c r="M1112" i="1"/>
  <c r="F1112" i="1"/>
  <c r="N1320" i="1"/>
  <c r="AI1320" i="1" s="1"/>
  <c r="T518" i="1"/>
  <c r="U518" i="1" s="1"/>
  <c r="P518" i="1"/>
  <c r="M518" i="1"/>
  <c r="F518" i="1"/>
  <c r="T1032" i="1"/>
  <c r="U1032" i="1" s="1"/>
  <c r="P1032" i="1"/>
  <c r="M1032" i="1"/>
  <c r="F1032" i="1"/>
  <c r="O1060" i="1"/>
  <c r="N1060" i="1"/>
  <c r="AI1060" i="1" s="1"/>
  <c r="Q1060" i="1" s="1"/>
  <c r="AJ150" i="1" l="1"/>
  <c r="Q150" i="1"/>
  <c r="AJ1320" i="1"/>
  <c r="Q1320" i="1"/>
  <c r="AJ492" i="1"/>
  <c r="Q492" i="1"/>
  <c r="AJ704" i="1"/>
  <c r="Q704" i="1"/>
  <c r="AJ489" i="1"/>
  <c r="Q489" i="1"/>
  <c r="AJ1361" i="1"/>
  <c r="Q1361" i="1"/>
  <c r="AJ1247" i="1"/>
  <c r="Q1247" i="1"/>
  <c r="AJ1060" i="1"/>
  <c r="T889" i="1"/>
  <c r="U889" i="1" s="1"/>
  <c r="P889" i="1"/>
  <c r="M889" i="1"/>
  <c r="F889" i="1"/>
  <c r="T1359" i="1" l="1"/>
  <c r="U1359" i="1" s="1"/>
  <c r="T1362" i="1"/>
  <c r="U1362" i="1" s="1"/>
  <c r="P1359" i="1"/>
  <c r="P1362" i="1"/>
  <c r="M1359" i="1"/>
  <c r="M1362" i="1"/>
  <c r="F1359" i="1"/>
  <c r="F1362" i="1"/>
  <c r="P577" i="1"/>
  <c r="T578" i="1"/>
  <c r="U578" i="1" s="1"/>
  <c r="T577" i="1"/>
  <c r="U577" i="1" s="1"/>
  <c r="P578" i="1"/>
  <c r="M578" i="1"/>
  <c r="M577" i="1"/>
  <c r="F578" i="1"/>
  <c r="F577" i="1"/>
  <c r="N637" i="1" l="1"/>
  <c r="AI637" i="1" s="1"/>
  <c r="N592" i="1"/>
  <c r="AI592" i="1" s="1"/>
  <c r="N593" i="1"/>
  <c r="AI593" i="1" s="1"/>
  <c r="AJ637" i="1" l="1"/>
  <c r="Q637" i="1"/>
  <c r="AJ593" i="1"/>
  <c r="Q593" i="1"/>
  <c r="AJ592" i="1"/>
  <c r="Q592" i="1"/>
  <c r="T689" i="1"/>
  <c r="U689" i="1" s="1"/>
  <c r="T699" i="1"/>
  <c r="U699" i="1" s="1"/>
  <c r="P689" i="1"/>
  <c r="M689" i="1"/>
  <c r="P699" i="1"/>
  <c r="M699" i="1"/>
  <c r="F699" i="1"/>
  <c r="F689" i="1"/>
  <c r="N1586" i="1"/>
  <c r="AI1586" i="1" s="1"/>
  <c r="N1708" i="1"/>
  <c r="AI1708" i="1" s="1"/>
  <c r="F1586" i="1"/>
  <c r="N1587" i="1"/>
  <c r="AI1587" i="1" s="1"/>
  <c r="T1006" i="1"/>
  <c r="U1006" i="1" s="1"/>
  <c r="P1006" i="1"/>
  <c r="M1006" i="1"/>
  <c r="F1006" i="1"/>
  <c r="AJ1708" i="1" l="1"/>
  <c r="Q1708" i="1"/>
  <c r="AJ1586" i="1"/>
  <c r="Q1586" i="1"/>
  <c r="AJ1587" i="1"/>
  <c r="Q1587" i="1"/>
  <c r="P1586" i="1"/>
  <c r="M1586" i="1"/>
  <c r="N1531" i="1"/>
  <c r="AI1531" i="1" s="1"/>
  <c r="T517" i="1"/>
  <c r="U517" i="1" s="1"/>
  <c r="T520" i="1"/>
  <c r="U520" i="1" s="1"/>
  <c r="P520" i="1"/>
  <c r="M520" i="1"/>
  <c r="P517" i="1"/>
  <c r="M517" i="1"/>
  <c r="F517" i="1"/>
  <c r="F520" i="1"/>
  <c r="AJ1531" i="1" l="1"/>
  <c r="Q1531" i="1"/>
  <c r="P519" i="1"/>
  <c r="M519" i="1"/>
  <c r="T516" i="1"/>
  <c r="U516" i="1" s="1"/>
  <c r="T519" i="1"/>
  <c r="U519" i="1" s="1"/>
  <c r="P516" i="1"/>
  <c r="M516" i="1"/>
  <c r="F516" i="1"/>
  <c r="F519" i="1"/>
  <c r="T515" i="1"/>
  <c r="U515" i="1" s="1"/>
  <c r="P515" i="1"/>
  <c r="M515" i="1"/>
  <c r="F515" i="1"/>
  <c r="T662" i="1" l="1"/>
  <c r="U662" i="1" s="1"/>
  <c r="P662" i="1"/>
  <c r="M662" i="1"/>
  <c r="F662" i="1"/>
  <c r="N775" i="1"/>
  <c r="AI775" i="1" s="1"/>
  <c r="T547" i="1"/>
  <c r="U547" i="1" s="1"/>
  <c r="P547" i="1"/>
  <c r="M547" i="1"/>
  <c r="F547" i="1"/>
  <c r="N399" i="1"/>
  <c r="AI399" i="1" s="1"/>
  <c r="N1071" i="1"/>
  <c r="AI1071" i="1" s="1"/>
  <c r="Q1071" i="1" s="1"/>
  <c r="AJ399" i="1" l="1"/>
  <c r="Q399" i="1"/>
  <c r="AJ775" i="1"/>
  <c r="Q775" i="1"/>
  <c r="N1053" i="1"/>
  <c r="AI1053" i="1" s="1"/>
  <c r="N1051" i="1"/>
  <c r="AI1051" i="1" s="1"/>
  <c r="P360" i="1"/>
  <c r="T360" i="1"/>
  <c r="U360" i="1" s="1"/>
  <c r="M359" i="1"/>
  <c r="M360" i="1"/>
  <c r="F360" i="1"/>
  <c r="T151" i="1"/>
  <c r="U151" i="1" s="1"/>
  <c r="P151" i="1"/>
  <c r="F151" i="1"/>
  <c r="M151" i="1"/>
  <c r="T130" i="1"/>
  <c r="U130" i="1" s="1"/>
  <c r="P130" i="1"/>
  <c r="M130" i="1"/>
  <c r="F130" i="1"/>
  <c r="N1677" i="1"/>
  <c r="AI1677" i="1" s="1"/>
  <c r="T980" i="1"/>
  <c r="U980" i="1" s="1"/>
  <c r="P980" i="1"/>
  <c r="M980" i="1"/>
  <c r="F980" i="1"/>
  <c r="T89" i="1"/>
  <c r="U89" i="1" s="1"/>
  <c r="P89" i="1"/>
  <c r="M89" i="1"/>
  <c r="F89" i="1"/>
  <c r="N1282" i="1"/>
  <c r="AI1282" i="1" s="1"/>
  <c r="N1243" i="1"/>
  <c r="AI1243" i="1" s="1"/>
  <c r="N1230" i="1"/>
  <c r="AI1230" i="1" s="1"/>
  <c r="N1276" i="1"/>
  <c r="AI1276" i="1" s="1"/>
  <c r="Q1276" i="1" s="1"/>
  <c r="N1275" i="1"/>
  <c r="N1262" i="1"/>
  <c r="AI1262" i="1" s="1"/>
  <c r="N382" i="1"/>
  <c r="AI382" i="1" s="1"/>
  <c r="N819" i="1"/>
  <c r="AI819" i="1" s="1"/>
  <c r="AJ1282" i="1" l="1"/>
  <c r="Q1282" i="1"/>
  <c r="AJ819" i="1"/>
  <c r="Q819" i="1"/>
  <c r="AJ382" i="1"/>
  <c r="Q382" i="1"/>
  <c r="AJ1230" i="1"/>
  <c r="Q1230" i="1"/>
  <c r="AJ1677" i="1"/>
  <c r="Q1677" i="1"/>
  <c r="AJ1262" i="1"/>
  <c r="Q1262" i="1"/>
  <c r="AJ1243" i="1"/>
  <c r="Q1243" i="1"/>
  <c r="AJ1051" i="1"/>
  <c r="Q1051" i="1"/>
  <c r="AJ1053" i="1"/>
  <c r="Q1053" i="1"/>
  <c r="T1450" i="1"/>
  <c r="U1450" i="1" s="1"/>
  <c r="P1450" i="1"/>
  <c r="M1450" i="1"/>
  <c r="F1450" i="1"/>
  <c r="N1424" i="1"/>
  <c r="AI1424" i="1" s="1"/>
  <c r="Q1424" i="1" s="1"/>
  <c r="P572" i="1"/>
  <c r="T574" i="1"/>
  <c r="U574" i="1" s="1"/>
  <c r="T572" i="1"/>
  <c r="U572" i="1" s="1"/>
  <c r="P574" i="1"/>
  <c r="M574" i="1"/>
  <c r="M572" i="1"/>
  <c r="F574" i="1"/>
  <c r="F572" i="1"/>
  <c r="T573" i="1"/>
  <c r="U573" i="1" s="1"/>
  <c r="P573" i="1"/>
  <c r="M573" i="1"/>
  <c r="F573" i="1"/>
  <c r="O639" i="1"/>
  <c r="AJ639" i="1" s="1"/>
  <c r="N25" i="1"/>
  <c r="AI25" i="1" s="1"/>
  <c r="N1737" i="1"/>
  <c r="AI1737" i="1" s="1"/>
  <c r="T484" i="1"/>
  <c r="U484" i="1" s="1"/>
  <c r="P484" i="1"/>
  <c r="M484" i="1"/>
  <c r="F484" i="1"/>
  <c r="F1407" i="1"/>
  <c r="M1407" i="1"/>
  <c r="F1408" i="1"/>
  <c r="M1408" i="1"/>
  <c r="F1405" i="1"/>
  <c r="M1405" i="1"/>
  <c r="F1403" i="1"/>
  <c r="AJ1737" i="1" l="1"/>
  <c r="Q1737" i="1"/>
  <c r="AJ25" i="1"/>
  <c r="Q25" i="1"/>
  <c r="N1850" i="1"/>
  <c r="AI1850" i="1" s="1"/>
  <c r="N1280" i="1"/>
  <c r="AI1280" i="1" s="1"/>
  <c r="AJ1280" i="1" l="1"/>
  <c r="Q1280" i="1"/>
  <c r="AJ1850" i="1"/>
  <c r="Q1850" i="1"/>
  <c r="T1483" i="1"/>
  <c r="U1483" i="1" s="1"/>
  <c r="P1483" i="1"/>
  <c r="M1483" i="1"/>
  <c r="F1483" i="1"/>
  <c r="P796" i="1"/>
  <c r="T796" i="1"/>
  <c r="U796" i="1" s="1"/>
  <c r="P826" i="1"/>
  <c r="T826" i="1"/>
  <c r="U826" i="1" s="1"/>
  <c r="M789" i="1"/>
  <c r="M826" i="1"/>
  <c r="M796" i="1"/>
  <c r="M800" i="1"/>
  <c r="P800" i="1"/>
  <c r="T800" i="1"/>
  <c r="U800" i="1" s="1"/>
  <c r="P789" i="1"/>
  <c r="T789" i="1"/>
  <c r="U789" i="1" s="1"/>
  <c r="F796" i="1"/>
  <c r="F826" i="1"/>
  <c r="N810" i="1"/>
  <c r="AI810" i="1" s="1"/>
  <c r="AI835" i="1"/>
  <c r="M811" i="1"/>
  <c r="M820" i="1"/>
  <c r="T820" i="1"/>
  <c r="U820" i="1" s="1"/>
  <c r="T811" i="1"/>
  <c r="U811" i="1" s="1"/>
  <c r="T838" i="1"/>
  <c r="U838" i="1" s="1"/>
  <c r="T836" i="1"/>
  <c r="U836" i="1" s="1"/>
  <c r="M836" i="1"/>
  <c r="F811" i="1"/>
  <c r="F838" i="1"/>
  <c r="M838" i="1"/>
  <c r="P838" i="1"/>
  <c r="F800" i="1"/>
  <c r="T788" i="1"/>
  <c r="U788" i="1" s="1"/>
  <c r="M790" i="1"/>
  <c r="F790" i="1"/>
  <c r="T795" i="1"/>
  <c r="U795" i="1" s="1"/>
  <c r="T825" i="1"/>
  <c r="U825" i="1" s="1"/>
  <c r="M825" i="1"/>
  <c r="M795" i="1"/>
  <c r="M799" i="1"/>
  <c r="M801" i="1"/>
  <c r="M797" i="1"/>
  <c r="M827" i="1"/>
  <c r="F801" i="1"/>
  <c r="F797" i="1"/>
  <c r="F827" i="1"/>
  <c r="T834" i="1"/>
  <c r="U834" i="1" s="1"/>
  <c r="T818" i="1"/>
  <c r="U818" i="1" s="1"/>
  <c r="T809" i="1"/>
  <c r="U809" i="1" s="1"/>
  <c r="T799" i="1"/>
  <c r="U799" i="1" s="1"/>
  <c r="P799" i="1"/>
  <c r="P795" i="1"/>
  <c r="P825" i="1"/>
  <c r="P788" i="1"/>
  <c r="M834" i="1"/>
  <c r="M818" i="1"/>
  <c r="M809" i="1"/>
  <c r="M788" i="1"/>
  <c r="T1401" i="1"/>
  <c r="U1401" i="1" s="1"/>
  <c r="P1401" i="1"/>
  <c r="M1401" i="1"/>
  <c r="F1401" i="1"/>
  <c r="F788" i="1"/>
  <c r="F836" i="1"/>
  <c r="F820" i="1"/>
  <c r="F818" i="1"/>
  <c r="F809" i="1"/>
  <c r="F799" i="1"/>
  <c r="F795" i="1"/>
  <c r="F825" i="1"/>
  <c r="F789" i="1"/>
  <c r="F834" i="1"/>
  <c r="AJ835" i="1" l="1"/>
  <c r="Q835" i="1"/>
  <c r="AJ810" i="1"/>
  <c r="Q810" i="1"/>
  <c r="T793" i="1"/>
  <c r="U793" i="1" s="1"/>
  <c r="N793" i="1"/>
  <c r="AI793" i="1" s="1"/>
  <c r="F793" i="1"/>
  <c r="AJ793" i="1" l="1"/>
  <c r="Q793" i="1"/>
  <c r="P793" i="1"/>
  <c r="M793" i="1"/>
  <c r="P1785" i="1"/>
  <c r="P1787" i="1"/>
  <c r="M1787" i="1"/>
  <c r="M1785" i="1"/>
  <c r="F1787" i="1"/>
  <c r="F1785" i="1"/>
  <c r="P1798" i="1"/>
  <c r="M1798" i="1"/>
  <c r="P1797" i="1"/>
  <c r="P1790" i="1"/>
  <c r="F1797" i="1"/>
  <c r="F1798" i="1"/>
  <c r="P1793" i="1"/>
  <c r="M1793" i="1"/>
  <c r="M1790" i="1"/>
  <c r="M1797" i="1"/>
  <c r="P1788" i="1"/>
  <c r="M1788" i="1"/>
  <c r="T1403" i="1" l="1"/>
  <c r="U1403" i="1" s="1"/>
  <c r="P1403" i="1"/>
  <c r="M1403" i="1"/>
  <c r="F829" i="1" l="1"/>
  <c r="M829" i="1"/>
  <c r="P829" i="1"/>
  <c r="T829" i="1"/>
  <c r="U829" i="1" s="1"/>
  <c r="T1400" i="1"/>
  <c r="U1400" i="1" s="1"/>
  <c r="P1400" i="1"/>
  <c r="M1400" i="1"/>
  <c r="F1400" i="1"/>
  <c r="P1587" i="1"/>
  <c r="M1587" i="1"/>
  <c r="F1587" i="1"/>
  <c r="P1704" i="1"/>
  <c r="N1710" i="1"/>
  <c r="AI1710" i="1" s="1"/>
  <c r="F1710" i="1"/>
  <c r="M1704" i="1"/>
  <c r="F1704" i="1"/>
  <c r="N1709" i="1"/>
  <c r="AI1709" i="1" s="1"/>
  <c r="N1702" i="1"/>
  <c r="AI1702" i="1" s="1"/>
  <c r="T1366" i="1"/>
  <c r="U1366" i="1" s="1"/>
  <c r="P1366" i="1"/>
  <c r="M1366" i="1"/>
  <c r="F1366" i="1"/>
  <c r="P1695" i="1"/>
  <c r="M1695" i="1"/>
  <c r="F1695" i="1"/>
  <c r="P1692" i="1"/>
  <c r="M1692" i="1"/>
  <c r="F1692" i="1"/>
  <c r="T2" i="1"/>
  <c r="U2" i="1" s="1"/>
  <c r="T14" i="1"/>
  <c r="U14" i="1" s="1"/>
  <c r="T11" i="1"/>
  <c r="U11" i="1" s="1"/>
  <c r="T6" i="1"/>
  <c r="U6" i="1" s="1"/>
  <c r="T3" i="1"/>
  <c r="U3" i="1" s="1"/>
  <c r="T12" i="1"/>
  <c r="U12" i="1" s="1"/>
  <c r="T7" i="1"/>
  <c r="U7" i="1" s="1"/>
  <c r="T8" i="1"/>
  <c r="U8" i="1" s="1"/>
  <c r="T4" i="1"/>
  <c r="U4" i="1" s="1"/>
  <c r="T13" i="1"/>
  <c r="U13" i="1" s="1"/>
  <c r="T10" i="1"/>
  <c r="U10" i="1" s="1"/>
  <c r="T35" i="1"/>
  <c r="U35" i="1" s="1"/>
  <c r="T34" i="1"/>
  <c r="U34" i="1" s="1"/>
  <c r="T40" i="1"/>
  <c r="U40" i="1" s="1"/>
  <c r="T38" i="1"/>
  <c r="U38" i="1" s="1"/>
  <c r="T36" i="1"/>
  <c r="U36" i="1" s="1"/>
  <c r="T39" i="1"/>
  <c r="U39" i="1" s="1"/>
  <c r="T41" i="1"/>
  <c r="U41" i="1" s="1"/>
  <c r="T42" i="1"/>
  <c r="U42" i="1" s="1"/>
  <c r="T37" i="1"/>
  <c r="U37" i="1" s="1"/>
  <c r="T51" i="1"/>
  <c r="U51" i="1" s="1"/>
  <c r="T45" i="1"/>
  <c r="U45" i="1" s="1"/>
  <c r="T53" i="1"/>
  <c r="U53" i="1" s="1"/>
  <c r="T43" i="1"/>
  <c r="U43" i="1" s="1"/>
  <c r="T48" i="1"/>
  <c r="U48" i="1" s="1"/>
  <c r="T50" i="1"/>
  <c r="U50" i="1" s="1"/>
  <c r="T47" i="1"/>
  <c r="U47" i="1" s="1"/>
  <c r="T44" i="1"/>
  <c r="U44" i="1" s="1"/>
  <c r="T55" i="1"/>
  <c r="U55" i="1" s="1"/>
  <c r="T56" i="1"/>
  <c r="U56" i="1" s="1"/>
  <c r="T54" i="1"/>
  <c r="U54" i="1" s="1"/>
  <c r="T126" i="1"/>
  <c r="U126" i="1" s="1"/>
  <c r="T127" i="1"/>
  <c r="U127" i="1" s="1"/>
  <c r="T133" i="1"/>
  <c r="U133" i="1" s="1"/>
  <c r="T131" i="1"/>
  <c r="U131" i="1" s="1"/>
  <c r="T128" i="1"/>
  <c r="U128" i="1" s="1"/>
  <c r="T124" i="1"/>
  <c r="U124" i="1" s="1"/>
  <c r="T125" i="1"/>
  <c r="U125" i="1" s="1"/>
  <c r="T129" i="1"/>
  <c r="U129" i="1" s="1"/>
  <c r="T145" i="1"/>
  <c r="U145" i="1" s="1"/>
  <c r="T143" i="1"/>
  <c r="U143" i="1" s="1"/>
  <c r="T141" i="1"/>
  <c r="U141" i="1" s="1"/>
  <c r="T139" i="1"/>
  <c r="U139" i="1" s="1"/>
  <c r="T137" i="1"/>
  <c r="U137" i="1" s="1"/>
  <c r="T146" i="1"/>
  <c r="U146" i="1" s="1"/>
  <c r="T134" i="1"/>
  <c r="U134" i="1" s="1"/>
  <c r="T147" i="1"/>
  <c r="U147" i="1" s="1"/>
  <c r="T144" i="1"/>
  <c r="U144" i="1" s="1"/>
  <c r="T135" i="1"/>
  <c r="U135" i="1" s="1"/>
  <c r="T148" i="1"/>
  <c r="U148" i="1" s="1"/>
  <c r="T142" i="1"/>
  <c r="U142" i="1" s="1"/>
  <c r="T136" i="1"/>
  <c r="U136" i="1" s="1"/>
  <c r="T140" i="1"/>
  <c r="U140" i="1" s="1"/>
  <c r="T149" i="1"/>
  <c r="U149" i="1" s="1"/>
  <c r="T138" i="1"/>
  <c r="U138" i="1" s="1"/>
  <c r="T150" i="1"/>
  <c r="U150" i="1" s="1"/>
  <c r="T152" i="1"/>
  <c r="U152" i="1" s="1"/>
  <c r="T157" i="1"/>
  <c r="U157" i="1" s="1"/>
  <c r="T156" i="1"/>
  <c r="U156" i="1" s="1"/>
  <c r="T155" i="1"/>
  <c r="U155" i="1" s="1"/>
  <c r="T154" i="1"/>
  <c r="U154" i="1" s="1"/>
  <c r="T160" i="1"/>
  <c r="U160" i="1" s="1"/>
  <c r="T159" i="1"/>
  <c r="U159" i="1" s="1"/>
  <c r="T158" i="1"/>
  <c r="U158" i="1" s="1"/>
  <c r="T195" i="1"/>
  <c r="U195" i="1" s="1"/>
  <c r="T194" i="1"/>
  <c r="U194" i="1" s="1"/>
  <c r="T193" i="1"/>
  <c r="U193" i="1" s="1"/>
  <c r="T192" i="1"/>
  <c r="U192" i="1" s="1"/>
  <c r="T200" i="1"/>
  <c r="U200" i="1" s="1"/>
  <c r="T199" i="1"/>
  <c r="U199" i="1" s="1"/>
  <c r="T198" i="1"/>
  <c r="U198" i="1" s="1"/>
  <c r="T197" i="1"/>
  <c r="U197" i="1" s="1"/>
  <c r="T196" i="1"/>
  <c r="U196" i="1" s="1"/>
  <c r="T204" i="1"/>
  <c r="U204" i="1" s="1"/>
  <c r="T207" i="1"/>
  <c r="U207" i="1" s="1"/>
  <c r="T206" i="1"/>
  <c r="U206" i="1" s="1"/>
  <c r="T203" i="1"/>
  <c r="U203" i="1" s="1"/>
  <c r="T202" i="1"/>
  <c r="U202" i="1" s="1"/>
  <c r="T201" i="1"/>
  <c r="U201" i="1" s="1"/>
  <c r="T205" i="1"/>
  <c r="U205" i="1" s="1"/>
  <c r="T242" i="1"/>
  <c r="U242" i="1" s="1"/>
  <c r="T234" i="1"/>
  <c r="U234" i="1" s="1"/>
  <c r="T235" i="1"/>
  <c r="U235" i="1" s="1"/>
  <c r="T223" i="1"/>
  <c r="U223" i="1" s="1"/>
  <c r="T225" i="1"/>
  <c r="U225" i="1" s="1"/>
  <c r="T215" i="1"/>
  <c r="U215" i="1" s="1"/>
  <c r="T224" i="1"/>
  <c r="U224" i="1" s="1"/>
  <c r="T246" i="1"/>
  <c r="U246" i="1" s="1"/>
  <c r="T240" i="1"/>
  <c r="U240" i="1" s="1"/>
  <c r="T243" i="1"/>
  <c r="U243" i="1" s="1"/>
  <c r="T226" i="1"/>
  <c r="U226" i="1" s="1"/>
  <c r="T216" i="1"/>
  <c r="U216" i="1" s="1"/>
  <c r="T217" i="1"/>
  <c r="U217" i="1" s="1"/>
  <c r="T208" i="1"/>
  <c r="U208" i="1" s="1"/>
  <c r="T249" i="1"/>
  <c r="U249" i="1" s="1"/>
  <c r="T230" i="1"/>
  <c r="U230" i="1" s="1"/>
  <c r="T233" i="1"/>
  <c r="U233" i="1" s="1"/>
  <c r="T250" i="1"/>
  <c r="U250" i="1" s="1"/>
  <c r="T247" i="1"/>
  <c r="U247" i="1" s="1"/>
  <c r="T248" i="1"/>
  <c r="U248" i="1" s="1"/>
  <c r="T244" i="1"/>
  <c r="U244" i="1" s="1"/>
  <c r="T231" i="1"/>
  <c r="U231" i="1" s="1"/>
  <c r="T227" i="1"/>
  <c r="U227" i="1" s="1"/>
  <c r="T218" i="1"/>
  <c r="U218" i="1" s="1"/>
  <c r="T219" i="1"/>
  <c r="U219" i="1" s="1"/>
  <c r="T209" i="1"/>
  <c r="U209" i="1" s="1"/>
  <c r="T238" i="1"/>
  <c r="U238" i="1" s="1"/>
  <c r="T245" i="1"/>
  <c r="U245" i="1" s="1"/>
  <c r="T220" i="1"/>
  <c r="U220" i="1" s="1"/>
  <c r="T210" i="1"/>
  <c r="U210" i="1" s="1"/>
  <c r="T228" i="1"/>
  <c r="U228" i="1" s="1"/>
  <c r="T254" i="1"/>
  <c r="U254" i="1" s="1"/>
  <c r="T256" i="1"/>
  <c r="U256" i="1" s="1"/>
  <c r="T253" i="1"/>
  <c r="U253" i="1" s="1"/>
  <c r="T255" i="1"/>
  <c r="U255" i="1" s="1"/>
  <c r="T251" i="1"/>
  <c r="U251" i="1" s="1"/>
  <c r="T252" i="1"/>
  <c r="U252" i="1" s="1"/>
  <c r="T261" i="1"/>
  <c r="U261" i="1" s="1"/>
  <c r="T262" i="1"/>
  <c r="U262" i="1" s="1"/>
  <c r="T257" i="1"/>
  <c r="U257" i="1" s="1"/>
  <c r="T260" i="1"/>
  <c r="U260" i="1" s="1"/>
  <c r="T258" i="1"/>
  <c r="U258" i="1" s="1"/>
  <c r="T259" i="1"/>
  <c r="U259" i="1" s="1"/>
  <c r="T284" i="1"/>
  <c r="U284" i="1" s="1"/>
  <c r="T285" i="1"/>
  <c r="U285" i="1" s="1"/>
  <c r="T271" i="1"/>
  <c r="U271" i="1" s="1"/>
  <c r="T264" i="1"/>
  <c r="U264" i="1" s="1"/>
  <c r="T265" i="1"/>
  <c r="U265" i="1" s="1"/>
  <c r="T263" i="1"/>
  <c r="U263" i="1" s="1"/>
  <c r="T283" i="1"/>
  <c r="U283" i="1" s="1"/>
  <c r="T286" i="1"/>
  <c r="U286" i="1" s="1"/>
  <c r="T287" i="1"/>
  <c r="U287" i="1" s="1"/>
  <c r="T272" i="1"/>
  <c r="U272" i="1" s="1"/>
  <c r="T273" i="1"/>
  <c r="U273" i="1" s="1"/>
  <c r="T288" i="1"/>
  <c r="U288" i="1" s="1"/>
  <c r="T266" i="1"/>
  <c r="U266" i="1" s="1"/>
  <c r="T267" i="1"/>
  <c r="U267" i="1" s="1"/>
  <c r="T280" i="1"/>
  <c r="U280" i="1" s="1"/>
  <c r="T281" i="1"/>
  <c r="U281" i="1" s="1"/>
  <c r="T274" i="1"/>
  <c r="U274" i="1" s="1"/>
  <c r="T268" i="1"/>
  <c r="U268" i="1" s="1"/>
  <c r="T290" i="1"/>
  <c r="U290" i="1" s="1"/>
  <c r="T277" i="1"/>
  <c r="U277" i="1" s="1"/>
  <c r="T269" i="1"/>
  <c r="U269" i="1" s="1"/>
  <c r="T276" i="1"/>
  <c r="U276" i="1" s="1"/>
  <c r="T289" i="1"/>
  <c r="U289" i="1" s="1"/>
  <c r="T279" i="1"/>
  <c r="U279" i="1" s="1"/>
  <c r="T270" i="1"/>
  <c r="U270" i="1" s="1"/>
  <c r="T309" i="1"/>
  <c r="U309" i="1" s="1"/>
  <c r="T315" i="1"/>
  <c r="U315" i="1" s="1"/>
  <c r="T318" i="1"/>
  <c r="U318" i="1" s="1"/>
  <c r="T316" i="1"/>
  <c r="U316" i="1" s="1"/>
  <c r="T322" i="1"/>
  <c r="U322" i="1" s="1"/>
  <c r="T319" i="1"/>
  <c r="U319" i="1" s="1"/>
  <c r="T310" i="1"/>
  <c r="U310" i="1" s="1"/>
  <c r="T312" i="1"/>
  <c r="U312" i="1" s="1"/>
  <c r="T311" i="1"/>
  <c r="U311" i="1" s="1"/>
  <c r="T313" i="1"/>
  <c r="U313" i="1" s="1"/>
  <c r="T323" i="1"/>
  <c r="U323" i="1" s="1"/>
  <c r="T320" i="1"/>
  <c r="U320" i="1" s="1"/>
  <c r="T321" i="1"/>
  <c r="U321" i="1" s="1"/>
  <c r="T317" i="1"/>
  <c r="U317" i="1" s="1"/>
  <c r="T314" i="1"/>
  <c r="U314" i="1" s="1"/>
  <c r="T376" i="1"/>
  <c r="U376" i="1" s="1"/>
  <c r="T373" i="1"/>
  <c r="U373" i="1" s="1"/>
  <c r="T359" i="1"/>
  <c r="U359" i="1" s="1"/>
  <c r="T353" i="1"/>
  <c r="U353" i="1" s="1"/>
  <c r="T379" i="1"/>
  <c r="U379" i="1" s="1"/>
  <c r="T361" i="1"/>
  <c r="U361" i="1" s="1"/>
  <c r="T354" i="1"/>
  <c r="U354" i="1" s="1"/>
  <c r="T380" i="1"/>
  <c r="U380" i="1" s="1"/>
  <c r="T362" i="1"/>
  <c r="U362" i="1" s="1"/>
  <c r="T355" i="1"/>
  <c r="U355" i="1" s="1"/>
  <c r="T374" i="1"/>
  <c r="U374" i="1" s="1"/>
  <c r="T363" i="1"/>
  <c r="U363" i="1" s="1"/>
  <c r="T356" i="1"/>
  <c r="U356" i="1" s="1"/>
  <c r="T384" i="1"/>
  <c r="U384" i="1" s="1"/>
  <c r="T385" i="1"/>
  <c r="U385" i="1" s="1"/>
  <c r="T364" i="1"/>
  <c r="U364" i="1" s="1"/>
  <c r="T358" i="1"/>
  <c r="U358" i="1" s="1"/>
  <c r="T370" i="1"/>
  <c r="U370" i="1" s="1"/>
  <c r="T381" i="1"/>
  <c r="U381" i="1" s="1"/>
  <c r="T382" i="1"/>
  <c r="U382" i="1" s="1"/>
  <c r="T365" i="1"/>
  <c r="U365" i="1" s="1"/>
  <c r="T383" i="1"/>
  <c r="U383" i="1" s="1"/>
  <c r="T371" i="1"/>
  <c r="U371" i="1" s="1"/>
  <c r="T357" i="1"/>
  <c r="U357" i="1" s="1"/>
  <c r="T366" i="1"/>
  <c r="U366" i="1" s="1"/>
  <c r="T367" i="1"/>
  <c r="U367" i="1" s="1"/>
  <c r="T386" i="1"/>
  <c r="U386" i="1" s="1"/>
  <c r="T372" i="1"/>
  <c r="U372" i="1" s="1"/>
  <c r="T368" i="1"/>
  <c r="U368" i="1" s="1"/>
  <c r="T369" i="1"/>
  <c r="U369" i="1" s="1"/>
  <c r="T375" i="1"/>
  <c r="U375" i="1" s="1"/>
  <c r="T411" i="1"/>
  <c r="U411" i="1" s="1"/>
  <c r="T412" i="1"/>
  <c r="U412" i="1" s="1"/>
  <c r="T406" i="1"/>
  <c r="U406" i="1" s="1"/>
  <c r="T403" i="1"/>
  <c r="U403" i="1" s="1"/>
  <c r="T402" i="1"/>
  <c r="U402" i="1" s="1"/>
  <c r="T390" i="1"/>
  <c r="U390" i="1" s="1"/>
  <c r="T391" i="1"/>
  <c r="U391" i="1" s="1"/>
  <c r="T408" i="1"/>
  <c r="U408" i="1" s="1"/>
  <c r="T399" i="1"/>
  <c r="U399" i="1" s="1"/>
  <c r="T396" i="1"/>
  <c r="U396" i="1" s="1"/>
  <c r="T397" i="1"/>
  <c r="U397" i="1" s="1"/>
  <c r="T413" i="1"/>
  <c r="U413" i="1" s="1"/>
  <c r="T400" i="1"/>
  <c r="U400" i="1" s="1"/>
  <c r="T410" i="1"/>
  <c r="U410" i="1" s="1"/>
  <c r="T405" i="1"/>
  <c r="U405" i="1" s="1"/>
  <c r="T401" i="1"/>
  <c r="U401" i="1" s="1"/>
  <c r="T398" i="1"/>
  <c r="U398" i="1" s="1"/>
  <c r="T428" i="1"/>
  <c r="U428" i="1" s="1"/>
  <c r="T426" i="1"/>
  <c r="U426" i="1" s="1"/>
  <c r="T427" i="1"/>
  <c r="U427" i="1" s="1"/>
  <c r="T423" i="1"/>
  <c r="U423" i="1" s="1"/>
  <c r="T419" i="1"/>
  <c r="U419" i="1" s="1"/>
  <c r="T424" i="1"/>
  <c r="U424" i="1" s="1"/>
  <c r="T420" i="1"/>
  <c r="U420" i="1" s="1"/>
  <c r="T425" i="1"/>
  <c r="U425" i="1" s="1"/>
  <c r="T421" i="1"/>
  <c r="U421" i="1" s="1"/>
  <c r="T437" i="1"/>
  <c r="U437" i="1" s="1"/>
  <c r="T436" i="1"/>
  <c r="U436" i="1" s="1"/>
  <c r="T469" i="1"/>
  <c r="U469" i="1" s="1"/>
  <c r="T453" i="1"/>
  <c r="U453" i="1" s="1"/>
  <c r="T454" i="1"/>
  <c r="U454" i="1" s="1"/>
  <c r="T440" i="1"/>
  <c r="U440" i="1" s="1"/>
  <c r="T460" i="1"/>
  <c r="U460" i="1" s="1"/>
  <c r="T461" i="1"/>
  <c r="U461" i="1" s="1"/>
  <c r="T455" i="1"/>
  <c r="U455" i="1" s="1"/>
  <c r="T441" i="1"/>
  <c r="U441" i="1" s="1"/>
  <c r="T465" i="1"/>
  <c r="U465" i="1" s="1"/>
  <c r="T473" i="1"/>
  <c r="U473" i="1" s="1"/>
  <c r="T467" i="1"/>
  <c r="U467" i="1" s="1"/>
  <c r="T456" i="1"/>
  <c r="U456" i="1" s="1"/>
  <c r="T446" i="1"/>
  <c r="U446" i="1" s="1"/>
  <c r="T476" i="1"/>
  <c r="U476" i="1" s="1"/>
  <c r="T447" i="1"/>
  <c r="U447" i="1" s="1"/>
  <c r="T470" i="1"/>
  <c r="U470" i="1" s="1"/>
  <c r="T464" i="1"/>
  <c r="U464" i="1" s="1"/>
  <c r="T448" i="1"/>
  <c r="U448" i="1" s="1"/>
  <c r="T457" i="1"/>
  <c r="U457" i="1" s="1"/>
  <c r="T444" i="1"/>
  <c r="U444" i="1" s="1"/>
  <c r="T458" i="1"/>
  <c r="U458" i="1" s="1"/>
  <c r="T449" i="1"/>
  <c r="U449" i="1" s="1"/>
  <c r="T445" i="1"/>
  <c r="U445" i="1" s="1"/>
  <c r="T450" i="1"/>
  <c r="U450" i="1" s="1"/>
  <c r="T451" i="1"/>
  <c r="U451" i="1" s="1"/>
  <c r="T452" i="1"/>
  <c r="U452" i="1" s="1"/>
  <c r="T474" i="1"/>
  <c r="U474" i="1" s="1"/>
  <c r="T468" i="1"/>
  <c r="U468" i="1" s="1"/>
  <c r="T442" i="1"/>
  <c r="U442" i="1" s="1"/>
  <c r="T462" i="1"/>
  <c r="U462" i="1" s="1"/>
  <c r="T459" i="1"/>
  <c r="U459" i="1" s="1"/>
  <c r="T443" i="1"/>
  <c r="U443" i="1" s="1"/>
  <c r="T471" i="1"/>
  <c r="U471" i="1" s="1"/>
  <c r="T472" i="1"/>
  <c r="U472" i="1" s="1"/>
  <c r="T466" i="1"/>
  <c r="U466" i="1" s="1"/>
  <c r="T463" i="1"/>
  <c r="U463" i="1" s="1"/>
  <c r="T475" i="1"/>
  <c r="U475" i="1" s="1"/>
  <c r="T477" i="1"/>
  <c r="U477" i="1" s="1"/>
  <c r="T480" i="1"/>
  <c r="U480" i="1" s="1"/>
  <c r="T478" i="1"/>
  <c r="U478" i="1" s="1"/>
  <c r="T479" i="1"/>
  <c r="U479" i="1" s="1"/>
  <c r="T481" i="1"/>
  <c r="U481" i="1" s="1"/>
  <c r="T482" i="1"/>
  <c r="U482" i="1" s="1"/>
  <c r="T483" i="1"/>
  <c r="U483" i="1" s="1"/>
  <c r="T525" i="1"/>
  <c r="U525" i="1" s="1"/>
  <c r="T526" i="1"/>
  <c r="U526" i="1" s="1"/>
  <c r="T521" i="1"/>
  <c r="U521" i="1" s="1"/>
  <c r="T522" i="1"/>
  <c r="U522" i="1" s="1"/>
  <c r="T532" i="1"/>
  <c r="U532" i="1" s="1"/>
  <c r="T530" i="1"/>
  <c r="U530" i="1" s="1"/>
  <c r="T528" i="1"/>
  <c r="U528" i="1" s="1"/>
  <c r="T531" i="1"/>
  <c r="U531" i="1" s="1"/>
  <c r="T529" i="1"/>
  <c r="U529" i="1" s="1"/>
  <c r="T562" i="1"/>
  <c r="U562" i="1" s="1"/>
  <c r="T543" i="1"/>
  <c r="U543" i="1" s="1"/>
  <c r="T536" i="1"/>
  <c r="U536" i="1" s="1"/>
  <c r="T563" i="1"/>
  <c r="U563" i="1" s="1"/>
  <c r="T544" i="1"/>
  <c r="U544" i="1" s="1"/>
  <c r="T538" i="1"/>
  <c r="U538" i="1" s="1"/>
  <c r="T568" i="1"/>
  <c r="U568" i="1" s="1"/>
  <c r="T569" i="1"/>
  <c r="U569" i="1" s="1"/>
  <c r="T570" i="1"/>
  <c r="U570" i="1" s="1"/>
  <c r="T571" i="1"/>
  <c r="U571" i="1" s="1"/>
  <c r="T545" i="1"/>
  <c r="U545" i="1" s="1"/>
  <c r="T539" i="1"/>
  <c r="U539" i="1" s="1"/>
  <c r="T540" i="1"/>
  <c r="U540" i="1" s="1"/>
  <c r="T546" i="1"/>
  <c r="U546" i="1" s="1"/>
  <c r="T541" i="1"/>
  <c r="U541" i="1" s="1"/>
  <c r="T549" i="1"/>
  <c r="U549" i="1" s="1"/>
  <c r="T565" i="1"/>
  <c r="U565" i="1" s="1"/>
  <c r="T550" i="1"/>
  <c r="U550" i="1" s="1"/>
  <c r="T551" i="1"/>
  <c r="U551" i="1" s="1"/>
  <c r="T555" i="1"/>
  <c r="U555" i="1" s="1"/>
  <c r="T566" i="1"/>
  <c r="U566" i="1" s="1"/>
  <c r="T567" i="1"/>
  <c r="U567" i="1" s="1"/>
  <c r="T557" i="1"/>
  <c r="U557" i="1" s="1"/>
  <c r="T558" i="1"/>
  <c r="U558" i="1" s="1"/>
  <c r="T559" i="1"/>
  <c r="U559" i="1" s="1"/>
  <c r="T552" i="1"/>
  <c r="U552" i="1" s="1"/>
  <c r="T553" i="1"/>
  <c r="U553" i="1" s="1"/>
  <c r="T564" i="1"/>
  <c r="U564" i="1" s="1"/>
  <c r="T560" i="1"/>
  <c r="U560" i="1" s="1"/>
  <c r="T556" i="1"/>
  <c r="U556" i="1" s="1"/>
  <c r="T554" i="1"/>
  <c r="U554" i="1" s="1"/>
  <c r="T542" i="1"/>
  <c r="U542" i="1" s="1"/>
  <c r="T537" i="1"/>
  <c r="U537" i="1" s="1"/>
  <c r="T561" i="1"/>
  <c r="U561" i="1" s="1"/>
  <c r="T579" i="1"/>
  <c r="U579" i="1" s="1"/>
  <c r="T576" i="1"/>
  <c r="U576" i="1" s="1"/>
  <c r="T593" i="1"/>
  <c r="U593" i="1" s="1"/>
  <c r="T592" i="1"/>
  <c r="U592" i="1" s="1"/>
  <c r="T596" i="1"/>
  <c r="U596" i="1" s="1"/>
  <c r="T594" i="1"/>
  <c r="U594" i="1" s="1"/>
  <c r="T590" i="1"/>
  <c r="U590" i="1" s="1"/>
  <c r="T597" i="1"/>
  <c r="U597" i="1" s="1"/>
  <c r="T595" i="1"/>
  <c r="U595" i="1" s="1"/>
  <c r="T591" i="1"/>
  <c r="U591" i="1" s="1"/>
  <c r="T617" i="1"/>
  <c r="U617" i="1" s="1"/>
  <c r="T614" i="1"/>
  <c r="U614" i="1" s="1"/>
  <c r="T615" i="1"/>
  <c r="U615" i="1" s="1"/>
  <c r="T613" i="1"/>
  <c r="U613" i="1" s="1"/>
  <c r="T612" i="1"/>
  <c r="U612" i="1" s="1"/>
  <c r="T616" i="1"/>
  <c r="U616" i="1" s="1"/>
  <c r="T610" i="1"/>
  <c r="U610" i="1" s="1"/>
  <c r="T611" i="1"/>
  <c r="U611" i="1" s="1"/>
  <c r="T625" i="1"/>
  <c r="U625" i="1" s="1"/>
  <c r="T618" i="1"/>
  <c r="U618" i="1" s="1"/>
  <c r="T628" i="1"/>
  <c r="U628" i="1" s="1"/>
  <c r="T626" i="1"/>
  <c r="U626" i="1" s="1"/>
  <c r="T624" i="1"/>
  <c r="U624" i="1" s="1"/>
  <c r="T622" i="1"/>
  <c r="U622" i="1" s="1"/>
  <c r="T620" i="1"/>
  <c r="U620" i="1" s="1"/>
  <c r="T619" i="1"/>
  <c r="U619" i="1" s="1"/>
  <c r="T623" i="1"/>
  <c r="U623" i="1" s="1"/>
  <c r="T629" i="1"/>
  <c r="U629" i="1" s="1"/>
  <c r="T621" i="1"/>
  <c r="U621" i="1" s="1"/>
  <c r="T627" i="1"/>
  <c r="U627" i="1" s="1"/>
  <c r="T631" i="1"/>
  <c r="U631" i="1" s="1"/>
  <c r="T632" i="1"/>
  <c r="U632" i="1" s="1"/>
  <c r="T630" i="1"/>
  <c r="U630" i="1" s="1"/>
  <c r="T633" i="1"/>
  <c r="U633" i="1" s="1"/>
  <c r="T642" i="1"/>
  <c r="U642" i="1" s="1"/>
  <c r="T637" i="1"/>
  <c r="U637" i="1" s="1"/>
  <c r="T639" i="1"/>
  <c r="U639" i="1" s="1"/>
  <c r="T634" i="1"/>
  <c r="U634" i="1" s="1"/>
  <c r="T645" i="1"/>
  <c r="U645" i="1" s="1"/>
  <c r="T646" i="1"/>
  <c r="U646" i="1" s="1"/>
  <c r="T643" i="1"/>
  <c r="U643" i="1" s="1"/>
  <c r="T644" i="1"/>
  <c r="U644" i="1" s="1"/>
  <c r="T640" i="1"/>
  <c r="U640" i="1" s="1"/>
  <c r="T638" i="1"/>
  <c r="U638" i="1" s="1"/>
  <c r="T635" i="1"/>
  <c r="U635" i="1" s="1"/>
  <c r="T636" i="1"/>
  <c r="U636" i="1" s="1"/>
  <c r="T666" i="1"/>
  <c r="U666" i="1" s="1"/>
  <c r="T658" i="1"/>
  <c r="U658" i="1" s="1"/>
  <c r="T660" i="1"/>
  <c r="U660" i="1" s="1"/>
  <c r="T659" i="1"/>
  <c r="U659" i="1" s="1"/>
  <c r="T667" i="1"/>
  <c r="U667" i="1" s="1"/>
  <c r="T661" i="1"/>
  <c r="U661" i="1" s="1"/>
  <c r="T663" i="1"/>
  <c r="U663" i="1" s="1"/>
  <c r="T668" i="1"/>
  <c r="U668" i="1" s="1"/>
  <c r="T664" i="1"/>
  <c r="U664" i="1" s="1"/>
  <c r="T665" i="1"/>
  <c r="U665" i="1" s="1"/>
  <c r="T675" i="1"/>
  <c r="U675" i="1" s="1"/>
  <c r="T676" i="1"/>
  <c r="U676" i="1" s="1"/>
  <c r="T684" i="1"/>
  <c r="U684" i="1" s="1"/>
  <c r="T691" i="1"/>
  <c r="U691" i="1" s="1"/>
  <c r="T696" i="1"/>
  <c r="U696" i="1" s="1"/>
  <c r="T697" i="1"/>
  <c r="U697" i="1" s="1"/>
  <c r="T682" i="1"/>
  <c r="U682" i="1" s="1"/>
  <c r="T672" i="1"/>
  <c r="U672" i="1" s="1"/>
  <c r="T683" i="1"/>
  <c r="U683" i="1" s="1"/>
  <c r="T677" i="1"/>
  <c r="U677" i="1" s="1"/>
  <c r="T671" i="1"/>
  <c r="U671" i="1" s="1"/>
  <c r="T692" i="1"/>
  <c r="U692" i="1" s="1"/>
  <c r="T698" i="1"/>
  <c r="U698" i="1" s="1"/>
  <c r="T693" i="1"/>
  <c r="U693" i="1" s="1"/>
  <c r="T700" i="1"/>
  <c r="U700" i="1" s="1"/>
  <c r="T685" i="1"/>
  <c r="U685" i="1" s="1"/>
  <c r="T695" i="1"/>
  <c r="U695" i="1" s="1"/>
  <c r="T686" i="1"/>
  <c r="U686" i="1" s="1"/>
  <c r="T673" i="1"/>
  <c r="U673" i="1" s="1"/>
  <c r="T669" i="1"/>
  <c r="U669" i="1" s="1"/>
  <c r="T670" i="1"/>
  <c r="U670" i="1" s="1"/>
  <c r="T687" i="1"/>
  <c r="U687" i="1" s="1"/>
  <c r="T674" i="1"/>
  <c r="U674" i="1" s="1"/>
  <c r="T702" i="1"/>
  <c r="U702" i="1" s="1"/>
  <c r="T701" i="1"/>
  <c r="U701" i="1" s="1"/>
  <c r="T703" i="1"/>
  <c r="U703" i="1" s="1"/>
  <c r="T704" i="1"/>
  <c r="U704" i="1" s="1"/>
  <c r="T705" i="1"/>
  <c r="U705" i="1" s="1"/>
  <c r="T709" i="1"/>
  <c r="U709" i="1" s="1"/>
  <c r="T707" i="1"/>
  <c r="U707" i="1" s="1"/>
  <c r="T710" i="1"/>
  <c r="U710" i="1" s="1"/>
  <c r="T706" i="1"/>
  <c r="U706" i="1" s="1"/>
  <c r="T708" i="1"/>
  <c r="U708" i="1" s="1"/>
  <c r="T712" i="1"/>
  <c r="U712" i="1" s="1"/>
  <c r="T711" i="1"/>
  <c r="U711" i="1" s="1"/>
  <c r="T715" i="1"/>
  <c r="U715" i="1" s="1"/>
  <c r="T714" i="1"/>
  <c r="U714" i="1" s="1"/>
  <c r="T713" i="1"/>
  <c r="U713" i="1" s="1"/>
  <c r="T742" i="1"/>
  <c r="U742" i="1" s="1"/>
  <c r="T748" i="1"/>
  <c r="U748" i="1" s="1"/>
  <c r="T743" i="1"/>
  <c r="U743" i="1" s="1"/>
  <c r="T749" i="1"/>
  <c r="U749" i="1" s="1"/>
  <c r="T744" i="1"/>
  <c r="U744" i="1" s="1"/>
  <c r="T750" i="1"/>
  <c r="U750" i="1" s="1"/>
  <c r="T745" i="1"/>
  <c r="U745" i="1" s="1"/>
  <c r="T740" i="1"/>
  <c r="U740" i="1" s="1"/>
  <c r="T746" i="1"/>
  <c r="U746" i="1" s="1"/>
  <c r="T741" i="1"/>
  <c r="U741" i="1" s="1"/>
  <c r="T747" i="1"/>
  <c r="U747" i="1" s="1"/>
  <c r="T751" i="1"/>
  <c r="U751" i="1" s="1"/>
  <c r="T778" i="1"/>
  <c r="U778" i="1" s="1"/>
  <c r="T776" i="1"/>
  <c r="U776" i="1" s="1"/>
  <c r="T770" i="1"/>
  <c r="U770" i="1" s="1"/>
  <c r="T752" i="1"/>
  <c r="U752" i="1" s="1"/>
  <c r="T753" i="1"/>
  <c r="U753" i="1" s="1"/>
  <c r="T771" i="1"/>
  <c r="U771" i="1" s="1"/>
  <c r="T754" i="1"/>
  <c r="U754" i="1" s="1"/>
  <c r="T772" i="1"/>
  <c r="U772" i="1" s="1"/>
  <c r="T755" i="1"/>
  <c r="U755" i="1" s="1"/>
  <c r="T773" i="1"/>
  <c r="U773" i="1" s="1"/>
  <c r="T756" i="1"/>
  <c r="U756" i="1" s="1"/>
  <c r="T757" i="1"/>
  <c r="U757" i="1" s="1"/>
  <c r="T774" i="1"/>
  <c r="U774" i="1" s="1"/>
  <c r="T758" i="1"/>
  <c r="U758" i="1" s="1"/>
  <c r="T759" i="1"/>
  <c r="U759" i="1" s="1"/>
  <c r="T777" i="1"/>
  <c r="U777" i="1" s="1"/>
  <c r="T775" i="1"/>
  <c r="U775" i="1" s="1"/>
  <c r="T761" i="1"/>
  <c r="U761" i="1" s="1"/>
  <c r="T786" i="1"/>
  <c r="U786" i="1" s="1"/>
  <c r="T783" i="1"/>
  <c r="U783" i="1" s="1"/>
  <c r="T785" i="1"/>
  <c r="U785" i="1" s="1"/>
  <c r="T781" i="1"/>
  <c r="U781" i="1" s="1"/>
  <c r="T812" i="1"/>
  <c r="U812" i="1" s="1"/>
  <c r="T856" i="1"/>
  <c r="U856" i="1" s="1"/>
  <c r="T839" i="1"/>
  <c r="U839" i="1" s="1"/>
  <c r="T832" i="1"/>
  <c r="U832" i="1" s="1"/>
  <c r="T808" i="1"/>
  <c r="U808" i="1" s="1"/>
  <c r="T813" i="1"/>
  <c r="U813" i="1" s="1"/>
  <c r="T842" i="1"/>
  <c r="U842" i="1" s="1"/>
  <c r="T805" i="1"/>
  <c r="U805" i="1" s="1"/>
  <c r="T806" i="1"/>
  <c r="U806" i="1" s="1"/>
  <c r="T822" i="1"/>
  <c r="U822" i="1" s="1"/>
  <c r="T831" i="1"/>
  <c r="U831" i="1" s="1"/>
  <c r="T843" i="1"/>
  <c r="U843" i="1" s="1"/>
  <c r="T814" i="1"/>
  <c r="U814" i="1" s="1"/>
  <c r="T815" i="1"/>
  <c r="U815" i="1" s="1"/>
  <c r="T859" i="1"/>
  <c r="U859" i="1" s="1"/>
  <c r="T854" i="1"/>
  <c r="U854" i="1" s="1"/>
  <c r="T849" i="1"/>
  <c r="U849" i="1" s="1"/>
  <c r="T840" i="1"/>
  <c r="U840" i="1" s="1"/>
  <c r="T816" i="1"/>
  <c r="U816" i="1" s="1"/>
  <c r="T850" i="1"/>
  <c r="U850" i="1" s="1"/>
  <c r="T860" i="1"/>
  <c r="U860" i="1" s="1"/>
  <c r="T817" i="1"/>
  <c r="U817" i="1" s="1"/>
  <c r="T802" i="1"/>
  <c r="U802" i="1" s="1"/>
  <c r="T803" i="1"/>
  <c r="U803" i="1" s="1"/>
  <c r="T807" i="1"/>
  <c r="U807" i="1" s="1"/>
  <c r="T844" i="1"/>
  <c r="U844" i="1" s="1"/>
  <c r="T851" i="1"/>
  <c r="U851" i="1" s="1"/>
  <c r="T823" i="1"/>
  <c r="U823" i="1" s="1"/>
  <c r="T833" i="1"/>
  <c r="U833" i="1" s="1"/>
  <c r="T857" i="1"/>
  <c r="U857" i="1" s="1"/>
  <c r="T824" i="1"/>
  <c r="U824" i="1" s="1"/>
  <c r="T804" i="1"/>
  <c r="U804" i="1" s="1"/>
  <c r="T798" i="1"/>
  <c r="U798" i="1" s="1"/>
  <c r="T828" i="1"/>
  <c r="U828" i="1" s="1"/>
  <c r="T794" i="1"/>
  <c r="U794" i="1" s="1"/>
  <c r="T787" i="1"/>
  <c r="U787" i="1" s="1"/>
  <c r="T855" i="1"/>
  <c r="U855" i="1" s="1"/>
  <c r="T835" i="1"/>
  <c r="U835" i="1" s="1"/>
  <c r="T819" i="1"/>
  <c r="U819" i="1" s="1"/>
  <c r="T810" i="1"/>
  <c r="U810" i="1" s="1"/>
  <c r="T858" i="1"/>
  <c r="U858" i="1" s="1"/>
  <c r="T845" i="1"/>
  <c r="U845" i="1" s="1"/>
  <c r="T846" i="1"/>
  <c r="U846" i="1" s="1"/>
  <c r="T847" i="1"/>
  <c r="U847" i="1" s="1"/>
  <c r="T853" i="1"/>
  <c r="U853" i="1" s="1"/>
  <c r="T830" i="1"/>
  <c r="U830" i="1" s="1"/>
  <c r="T852" i="1"/>
  <c r="U852" i="1" s="1"/>
  <c r="T841" i="1"/>
  <c r="U841" i="1" s="1"/>
  <c r="T837" i="1"/>
  <c r="U837" i="1" s="1"/>
  <c r="T821" i="1"/>
  <c r="U821" i="1" s="1"/>
  <c r="T848" i="1"/>
  <c r="U848" i="1" s="1"/>
  <c r="T791" i="1"/>
  <c r="U791" i="1" s="1"/>
  <c r="T869" i="1"/>
  <c r="U869" i="1" s="1"/>
  <c r="T863" i="1"/>
  <c r="U863" i="1" s="1"/>
  <c r="T864" i="1"/>
  <c r="U864" i="1" s="1"/>
  <c r="T875" i="1"/>
  <c r="U875" i="1" s="1"/>
  <c r="T870" i="1"/>
  <c r="U870" i="1" s="1"/>
  <c r="T871" i="1"/>
  <c r="U871" i="1" s="1"/>
  <c r="T867" i="1"/>
  <c r="U867" i="1" s="1"/>
  <c r="T866" i="1"/>
  <c r="U866" i="1" s="1"/>
  <c r="T874" i="1"/>
  <c r="U874" i="1" s="1"/>
  <c r="T868" i="1"/>
  <c r="U868" i="1" s="1"/>
  <c r="T872" i="1"/>
  <c r="U872" i="1" s="1"/>
  <c r="T862" i="1"/>
  <c r="U862" i="1" s="1"/>
  <c r="T861" i="1"/>
  <c r="U861" i="1" s="1"/>
  <c r="T865" i="1"/>
  <c r="U865" i="1" s="1"/>
  <c r="T873" i="1"/>
  <c r="U873" i="1" s="1"/>
  <c r="T876" i="1"/>
  <c r="U876" i="1" s="1"/>
  <c r="T882" i="1"/>
  <c r="U882" i="1" s="1"/>
  <c r="T877" i="1"/>
  <c r="U877" i="1" s="1"/>
  <c r="T880" i="1"/>
  <c r="U880" i="1" s="1"/>
  <c r="T881" i="1"/>
  <c r="U881" i="1" s="1"/>
  <c r="T879" i="1"/>
  <c r="U879" i="1" s="1"/>
  <c r="T878" i="1"/>
  <c r="U878" i="1" s="1"/>
  <c r="T884" i="1"/>
  <c r="U884" i="1" s="1"/>
  <c r="T883" i="1"/>
  <c r="U883" i="1" s="1"/>
  <c r="T938" i="1"/>
  <c r="U938" i="1" s="1"/>
  <c r="T933" i="1"/>
  <c r="U933" i="1" s="1"/>
  <c r="T934" i="1"/>
  <c r="U934" i="1" s="1"/>
  <c r="T930" i="1"/>
  <c r="U930" i="1" s="1"/>
  <c r="T926" i="1"/>
  <c r="U926" i="1" s="1"/>
  <c r="T921" i="1"/>
  <c r="U921" i="1" s="1"/>
  <c r="T918" i="1"/>
  <c r="U918" i="1" s="1"/>
  <c r="T913" i="1"/>
  <c r="U913" i="1" s="1"/>
  <c r="T932" i="1"/>
  <c r="U932" i="1" s="1"/>
  <c r="T922" i="1"/>
  <c r="U922" i="1" s="1"/>
  <c r="T937" i="1"/>
  <c r="U937" i="1" s="1"/>
  <c r="T935" i="1"/>
  <c r="U935" i="1" s="1"/>
  <c r="T927" i="1"/>
  <c r="U927" i="1" s="1"/>
  <c r="T923" i="1"/>
  <c r="U923" i="1" s="1"/>
  <c r="T939" i="1"/>
  <c r="U939" i="1" s="1"/>
  <c r="T931" i="1"/>
  <c r="U931" i="1" s="1"/>
  <c r="T924" i="1"/>
  <c r="U924" i="1" s="1"/>
  <c r="T919" i="1"/>
  <c r="U919" i="1" s="1"/>
  <c r="T914" i="1"/>
  <c r="U914" i="1" s="1"/>
  <c r="T915" i="1"/>
  <c r="U915" i="1" s="1"/>
  <c r="T928" i="1"/>
  <c r="U928" i="1" s="1"/>
  <c r="T917" i="1"/>
  <c r="U917" i="1" s="1"/>
  <c r="T945" i="1"/>
  <c r="U945" i="1" s="1"/>
  <c r="T946" i="1"/>
  <c r="U946" i="1" s="1"/>
  <c r="T940" i="1"/>
  <c r="U940" i="1" s="1"/>
  <c r="T941" i="1"/>
  <c r="U941" i="1" s="1"/>
  <c r="T951" i="1"/>
  <c r="U951" i="1" s="1"/>
  <c r="T947" i="1"/>
  <c r="U947" i="1" s="1"/>
  <c r="T944" i="1"/>
  <c r="U944" i="1" s="1"/>
  <c r="T948" i="1"/>
  <c r="U948" i="1" s="1"/>
  <c r="T949" i="1"/>
  <c r="U949" i="1" s="1"/>
  <c r="T950" i="1"/>
  <c r="U950" i="1" s="1"/>
  <c r="T952" i="1"/>
  <c r="U952" i="1" s="1"/>
  <c r="T968" i="1"/>
  <c r="U968" i="1" s="1"/>
  <c r="T958" i="1"/>
  <c r="U958" i="1" s="1"/>
  <c r="T966" i="1"/>
  <c r="U966" i="1" s="1"/>
  <c r="T964" i="1"/>
  <c r="U964" i="1" s="1"/>
  <c r="T957" i="1"/>
  <c r="U957" i="1" s="1"/>
  <c r="T961" i="1"/>
  <c r="U961" i="1" s="1"/>
  <c r="T962" i="1"/>
  <c r="U962" i="1" s="1"/>
  <c r="T959" i="1"/>
  <c r="U959" i="1" s="1"/>
  <c r="T963" i="1"/>
  <c r="U963" i="1" s="1"/>
  <c r="T969" i="1"/>
  <c r="U969" i="1" s="1"/>
  <c r="T970" i="1"/>
  <c r="U970" i="1" s="1"/>
  <c r="T1016" i="1"/>
  <c r="U1016" i="1" s="1"/>
  <c r="T1017" i="1"/>
  <c r="U1017" i="1" s="1"/>
  <c r="T1018" i="1"/>
  <c r="U1018" i="1" s="1"/>
  <c r="T1013" i="1"/>
  <c r="U1013" i="1" s="1"/>
  <c r="T992" i="1"/>
  <c r="U992" i="1" s="1"/>
  <c r="T974" i="1"/>
  <c r="U974" i="1" s="1"/>
  <c r="T1019" i="1"/>
  <c r="U1019" i="1" s="1"/>
  <c r="T1007" i="1"/>
  <c r="U1007" i="1" s="1"/>
  <c r="T1008" i="1"/>
  <c r="U1008" i="1" s="1"/>
  <c r="T995" i="1"/>
  <c r="U995" i="1" s="1"/>
  <c r="T988" i="1"/>
  <c r="U988" i="1" s="1"/>
  <c r="T975" i="1"/>
  <c r="U975" i="1" s="1"/>
  <c r="T976" i="1"/>
  <c r="U976" i="1" s="1"/>
  <c r="T972" i="1"/>
  <c r="U972" i="1" s="1"/>
  <c r="T1015" i="1"/>
  <c r="U1015" i="1" s="1"/>
  <c r="T985" i="1"/>
  <c r="U985" i="1" s="1"/>
  <c r="T973" i="1"/>
  <c r="U973" i="1" s="1"/>
  <c r="T1009" i="1"/>
  <c r="U1009" i="1" s="1"/>
  <c r="T1005" i="1"/>
  <c r="U1005" i="1" s="1"/>
  <c r="T1012" i="1"/>
  <c r="U1012" i="1" s="1"/>
  <c r="T986" i="1"/>
  <c r="U986" i="1" s="1"/>
  <c r="T1002" i="1"/>
  <c r="U1002" i="1" s="1"/>
  <c r="T994" i="1"/>
  <c r="U994" i="1" s="1"/>
  <c r="T979" i="1"/>
  <c r="U979" i="1" s="1"/>
  <c r="T1003" i="1"/>
  <c r="U1003" i="1" s="1"/>
  <c r="T987" i="1"/>
  <c r="U987" i="1" s="1"/>
  <c r="T977" i="1"/>
  <c r="U977" i="1" s="1"/>
  <c r="T981" i="1"/>
  <c r="U981" i="1" s="1"/>
  <c r="T982" i="1"/>
  <c r="U982" i="1" s="1"/>
  <c r="T983" i="1"/>
  <c r="U983" i="1" s="1"/>
  <c r="T989" i="1"/>
  <c r="U989" i="1" s="1"/>
  <c r="T984" i="1"/>
  <c r="U984" i="1" s="1"/>
  <c r="T1020" i="1"/>
  <c r="U1020" i="1" s="1"/>
  <c r="T1024" i="1"/>
  <c r="U1024" i="1" s="1"/>
  <c r="T1021" i="1"/>
  <c r="U1021" i="1" s="1"/>
  <c r="T1022" i="1"/>
  <c r="U1022" i="1" s="1"/>
  <c r="T1023" i="1"/>
  <c r="U1023" i="1" s="1"/>
  <c r="T1135" i="1"/>
  <c r="U1135" i="1" s="1"/>
  <c r="T1134" i="1"/>
  <c r="U1134" i="1" s="1"/>
  <c r="T1144" i="1"/>
  <c r="U1144" i="1" s="1"/>
  <c r="T1140" i="1"/>
  <c r="U1140" i="1" s="1"/>
  <c r="T1136" i="1"/>
  <c r="U1136" i="1" s="1"/>
  <c r="T1145" i="1"/>
  <c r="U1145" i="1" s="1"/>
  <c r="T1146" i="1"/>
  <c r="U1146" i="1" s="1"/>
  <c r="T1147" i="1"/>
  <c r="U1147" i="1" s="1"/>
  <c r="T1141" i="1"/>
  <c r="U1141" i="1" s="1"/>
  <c r="T1142" i="1"/>
  <c r="U1142" i="1" s="1"/>
  <c r="T1143" i="1"/>
  <c r="U1143" i="1" s="1"/>
  <c r="T1137" i="1"/>
  <c r="U1137" i="1" s="1"/>
  <c r="T1138" i="1"/>
  <c r="U1138" i="1" s="1"/>
  <c r="T1139" i="1"/>
  <c r="U1139" i="1" s="1"/>
  <c r="T1149" i="1"/>
  <c r="U1149" i="1" s="1"/>
  <c r="T1148" i="1"/>
  <c r="U1148" i="1" s="1"/>
  <c r="T1156" i="1"/>
  <c r="U1156" i="1" s="1"/>
  <c r="T1157" i="1"/>
  <c r="U1157" i="1" s="1"/>
  <c r="T1158" i="1"/>
  <c r="U1158" i="1" s="1"/>
  <c r="T1173" i="1"/>
  <c r="U1173" i="1" s="1"/>
  <c r="T1168" i="1"/>
  <c r="U1168" i="1" s="1"/>
  <c r="T1151" i="1"/>
  <c r="U1151" i="1" s="1"/>
  <c r="T1174" i="1"/>
  <c r="U1174" i="1" s="1"/>
  <c r="T1170" i="1"/>
  <c r="U1170" i="1" s="1"/>
  <c r="T1169" i="1"/>
  <c r="U1169" i="1" s="1"/>
  <c r="T1159" i="1"/>
  <c r="U1159" i="1" s="1"/>
  <c r="T1153" i="1"/>
  <c r="U1153" i="1" s="1"/>
  <c r="T1178" i="1"/>
  <c r="U1178" i="1" s="1"/>
  <c r="T1150" i="1"/>
  <c r="U1150" i="1" s="1"/>
  <c r="T1164" i="1"/>
  <c r="U1164" i="1" s="1"/>
  <c r="T1176" i="1"/>
  <c r="U1176" i="1" s="1"/>
  <c r="T1179" i="1"/>
  <c r="U1179" i="1" s="1"/>
  <c r="T1155" i="1"/>
  <c r="U1155" i="1" s="1"/>
  <c r="T1165" i="1"/>
  <c r="U1165" i="1" s="1"/>
  <c r="T1180" i="1"/>
  <c r="U1180" i="1" s="1"/>
  <c r="T1183" i="1"/>
  <c r="U1183" i="1" s="1"/>
  <c r="T1166" i="1"/>
  <c r="U1166" i="1" s="1"/>
  <c r="T1193" i="1"/>
  <c r="U1193" i="1" s="1"/>
  <c r="T1198" i="1"/>
  <c r="U1198" i="1" s="1"/>
  <c r="T1200" i="1"/>
  <c r="U1200" i="1" s="1"/>
  <c r="T1201" i="1"/>
  <c r="U1201" i="1" s="1"/>
  <c r="T1194" i="1"/>
  <c r="U1194" i="1" s="1"/>
  <c r="T1195" i="1"/>
  <c r="U1195" i="1" s="1"/>
  <c r="T1202" i="1"/>
  <c r="U1202" i="1" s="1"/>
  <c r="T1197" i="1"/>
  <c r="U1197" i="1" s="1"/>
  <c r="T1292" i="1"/>
  <c r="U1292" i="1" s="1"/>
  <c r="T1283" i="1"/>
  <c r="U1283" i="1" s="1"/>
  <c r="T1287" i="1"/>
  <c r="U1287" i="1" s="1"/>
  <c r="T1286" i="1"/>
  <c r="U1286" i="1" s="1"/>
  <c r="T1284" i="1"/>
  <c r="U1284" i="1" s="1"/>
  <c r="T1288" i="1"/>
  <c r="U1288" i="1" s="1"/>
  <c r="T1285" i="1"/>
  <c r="U1285" i="1" s="1"/>
  <c r="T1295" i="1"/>
  <c r="U1295" i="1" s="1"/>
  <c r="T1289" i="1"/>
  <c r="U1289" i="1" s="1"/>
  <c r="T1305" i="1"/>
  <c r="U1305" i="1" s="1"/>
  <c r="T1311" i="1"/>
  <c r="U1311" i="1" s="1"/>
  <c r="T1309" i="1"/>
  <c r="U1309" i="1" s="1"/>
  <c r="T1306" i="1"/>
  <c r="U1306" i="1" s="1"/>
  <c r="T1307" i="1"/>
  <c r="U1307" i="1" s="1"/>
  <c r="T1310" i="1"/>
  <c r="U1310" i="1" s="1"/>
  <c r="T1312" i="1"/>
  <c r="U1312" i="1" s="1"/>
  <c r="T1304" i="1"/>
  <c r="U1304" i="1" s="1"/>
  <c r="T1313" i="1"/>
  <c r="U1313" i="1" s="1"/>
  <c r="T1314" i="1"/>
  <c r="U1314" i="1" s="1"/>
  <c r="T1348" i="1"/>
  <c r="U1348" i="1" s="1"/>
  <c r="T1349" i="1"/>
  <c r="U1349" i="1" s="1"/>
  <c r="T1361" i="1"/>
  <c r="U1361" i="1" s="1"/>
  <c r="T1357" i="1"/>
  <c r="U1357" i="1" s="1"/>
  <c r="T1355" i="1"/>
  <c r="U1355" i="1" s="1"/>
  <c r="T1352" i="1"/>
  <c r="U1352" i="1" s="1"/>
  <c r="T1353" i="1"/>
  <c r="U1353" i="1" s="1"/>
  <c r="T1354" i="1"/>
  <c r="U1354" i="1" s="1"/>
  <c r="T1360" i="1"/>
  <c r="U1360" i="1" s="1"/>
  <c r="T1358" i="1"/>
  <c r="U1358" i="1" s="1"/>
  <c r="T1375" i="1"/>
  <c r="U1375" i="1" s="1"/>
  <c r="T1378" i="1"/>
  <c r="U1378" i="1" s="1"/>
  <c r="T1389" i="1"/>
  <c r="U1389" i="1" s="1"/>
  <c r="T1390" i="1"/>
  <c r="U1390" i="1" s="1"/>
  <c r="T1391" i="1"/>
  <c r="U1391" i="1" s="1"/>
  <c r="T1384" i="1"/>
  <c r="U1384" i="1" s="1"/>
  <c r="T1385" i="1"/>
  <c r="U1385" i="1" s="1"/>
  <c r="T1386" i="1"/>
  <c r="U1386" i="1" s="1"/>
  <c r="T1379" i="1"/>
  <c r="U1379" i="1" s="1"/>
  <c r="T1376" i="1"/>
  <c r="U1376" i="1" s="1"/>
  <c r="T1377" i="1"/>
  <c r="U1377" i="1" s="1"/>
  <c r="T1388" i="1"/>
  <c r="U1388" i="1" s="1"/>
  <c r="T1383" i="1"/>
  <c r="U1383" i="1" s="1"/>
  <c r="T1402" i="1"/>
  <c r="U1402" i="1" s="1"/>
  <c r="T1407" i="1"/>
  <c r="U1407" i="1" s="1"/>
  <c r="T1408" i="1"/>
  <c r="U1408" i="1" s="1"/>
  <c r="T1405" i="1"/>
  <c r="U1405" i="1" s="1"/>
  <c r="T1406" i="1"/>
  <c r="U1406" i="1" s="1"/>
  <c r="T1416" i="1"/>
  <c r="U1416" i="1" s="1"/>
  <c r="T1414" i="1"/>
  <c r="U1414" i="1" s="1"/>
  <c r="T1412" i="1"/>
  <c r="U1412" i="1" s="1"/>
  <c r="T1410" i="1"/>
  <c r="U1410" i="1" s="1"/>
  <c r="T1417" i="1"/>
  <c r="U1417" i="1" s="1"/>
  <c r="T1415" i="1"/>
  <c r="U1415" i="1" s="1"/>
  <c r="T1411" i="1"/>
  <c r="U1411" i="1" s="1"/>
  <c r="T1398" i="1"/>
  <c r="U1398" i="1" s="1"/>
  <c r="T58" i="1"/>
  <c r="U58" i="1" s="1"/>
  <c r="T1399" i="1"/>
  <c r="U1399" i="1" s="1"/>
  <c r="T514" i="1"/>
  <c r="U514" i="1" s="1"/>
  <c r="T1208" i="1"/>
  <c r="U1208" i="1" s="1"/>
  <c r="T1209" i="1"/>
  <c r="U1209" i="1" s="1"/>
  <c r="T1207" i="1"/>
  <c r="U1207" i="1" s="1"/>
  <c r="T18" i="1"/>
  <c r="U18" i="1" s="1"/>
  <c r="T15" i="1"/>
  <c r="U15" i="1" s="1"/>
  <c r="T16" i="1"/>
  <c r="U16" i="1" s="1"/>
  <c r="T17" i="1"/>
  <c r="U17" i="1" s="1"/>
  <c r="T20" i="1"/>
  <c r="U20" i="1" s="1"/>
  <c r="T19" i="1"/>
  <c r="U19" i="1" s="1"/>
  <c r="T23" i="1"/>
  <c r="U23" i="1" s="1"/>
  <c r="T24" i="1"/>
  <c r="U24" i="1" s="1"/>
  <c r="T22" i="1"/>
  <c r="U22" i="1" s="1"/>
  <c r="T27" i="1"/>
  <c r="U27" i="1" s="1"/>
  <c r="T28" i="1"/>
  <c r="U28" i="1" s="1"/>
  <c r="T25" i="1"/>
  <c r="U25" i="1" s="1"/>
  <c r="T26" i="1"/>
  <c r="U26" i="1" s="1"/>
  <c r="T29" i="1"/>
  <c r="U29" i="1" s="1"/>
  <c r="T30" i="1"/>
  <c r="U30" i="1" s="1"/>
  <c r="T31" i="1"/>
  <c r="U31" i="1" s="1"/>
  <c r="T32" i="1"/>
  <c r="U32" i="1" s="1"/>
  <c r="T33" i="1"/>
  <c r="U33" i="1" s="1"/>
  <c r="T70" i="1"/>
  <c r="U70" i="1" s="1"/>
  <c r="T60" i="1"/>
  <c r="U60" i="1" s="1"/>
  <c r="T114" i="1"/>
  <c r="U114" i="1" s="1"/>
  <c r="T101" i="1"/>
  <c r="U101" i="1" s="1"/>
  <c r="T95" i="1"/>
  <c r="U95" i="1" s="1"/>
  <c r="T79" i="1"/>
  <c r="U79" i="1" s="1"/>
  <c r="T107" i="1"/>
  <c r="U107" i="1" s="1"/>
  <c r="T108" i="1"/>
  <c r="U108" i="1" s="1"/>
  <c r="T105" i="1"/>
  <c r="U105" i="1" s="1"/>
  <c r="T88" i="1"/>
  <c r="U88" i="1" s="1"/>
  <c r="T78" i="1"/>
  <c r="U78" i="1" s="1"/>
  <c r="T77" i="1"/>
  <c r="U77" i="1" s="1"/>
  <c r="T71" i="1"/>
  <c r="U71" i="1" s="1"/>
  <c r="T61" i="1"/>
  <c r="U61" i="1" s="1"/>
  <c r="T62" i="1"/>
  <c r="U62" i="1" s="1"/>
  <c r="T96" i="1"/>
  <c r="U96" i="1" s="1"/>
  <c r="T83" i="1"/>
  <c r="U83" i="1" s="1"/>
  <c r="T84" i="1"/>
  <c r="U84" i="1" s="1"/>
  <c r="T109" i="1"/>
  <c r="U109" i="1" s="1"/>
  <c r="T94" i="1"/>
  <c r="U94" i="1" s="1"/>
  <c r="T97" i="1"/>
  <c r="U97" i="1" s="1"/>
  <c r="T63" i="1"/>
  <c r="U63" i="1" s="1"/>
  <c r="T64" i="1"/>
  <c r="U64" i="1" s="1"/>
  <c r="T72" i="1"/>
  <c r="U72" i="1" s="1"/>
  <c r="T65" i="1"/>
  <c r="U65" i="1" s="1"/>
  <c r="T66" i="1"/>
  <c r="U66" i="1" s="1"/>
  <c r="T111" i="1"/>
  <c r="U111" i="1" s="1"/>
  <c r="T112" i="1"/>
  <c r="U112" i="1" s="1"/>
  <c r="T98" i="1"/>
  <c r="U98" i="1" s="1"/>
  <c r="T57" i="1"/>
  <c r="U57" i="1" s="1"/>
  <c r="T76" i="1"/>
  <c r="U76" i="1" s="1"/>
  <c r="T75" i="1"/>
  <c r="U75" i="1" s="1"/>
  <c r="T67" i="1"/>
  <c r="U67" i="1" s="1"/>
  <c r="T80" i="1"/>
  <c r="U80" i="1" s="1"/>
  <c r="T81" i="1"/>
  <c r="U81" i="1" s="1"/>
  <c r="T85" i="1"/>
  <c r="U85" i="1" s="1"/>
  <c r="T90" i="1"/>
  <c r="U90" i="1" s="1"/>
  <c r="T91" i="1"/>
  <c r="U91" i="1" s="1"/>
  <c r="T92" i="1"/>
  <c r="U92" i="1" s="1"/>
  <c r="T59" i="1"/>
  <c r="U59" i="1" s="1"/>
  <c r="T82" i="1"/>
  <c r="U82" i="1" s="1"/>
  <c r="T86" i="1"/>
  <c r="U86" i="1" s="1"/>
  <c r="T74" i="1"/>
  <c r="U74" i="1" s="1"/>
  <c r="T68" i="1"/>
  <c r="U68" i="1" s="1"/>
  <c r="T106" i="1"/>
  <c r="U106" i="1" s="1"/>
  <c r="T87" i="1"/>
  <c r="U87" i="1" s="1"/>
  <c r="T103" i="1"/>
  <c r="U103" i="1" s="1"/>
  <c r="T104" i="1"/>
  <c r="U104" i="1" s="1"/>
  <c r="T69" i="1"/>
  <c r="U69" i="1" s="1"/>
  <c r="T121" i="1"/>
  <c r="U121" i="1" s="1"/>
  <c r="T117" i="1"/>
  <c r="U117" i="1" s="1"/>
  <c r="T118" i="1"/>
  <c r="U118" i="1" s="1"/>
  <c r="T119" i="1"/>
  <c r="U119" i="1" s="1"/>
  <c r="T120" i="1"/>
  <c r="U120" i="1" s="1"/>
  <c r="T116" i="1"/>
  <c r="U116" i="1" s="1"/>
  <c r="T122" i="1"/>
  <c r="U122" i="1" s="1"/>
  <c r="T123" i="1"/>
  <c r="U123" i="1" s="1"/>
  <c r="T167" i="1"/>
  <c r="U167" i="1" s="1"/>
  <c r="T168" i="1"/>
  <c r="U168" i="1" s="1"/>
  <c r="T166" i="1"/>
  <c r="U166" i="1" s="1"/>
  <c r="T165" i="1"/>
  <c r="U165" i="1" s="1"/>
  <c r="T163" i="1"/>
  <c r="U163" i="1" s="1"/>
  <c r="T164" i="1"/>
  <c r="U164" i="1" s="1"/>
  <c r="T162" i="1"/>
  <c r="U162" i="1" s="1"/>
  <c r="T161" i="1"/>
  <c r="U161" i="1" s="1"/>
  <c r="T169" i="1"/>
  <c r="U169" i="1" s="1"/>
  <c r="T170" i="1"/>
  <c r="U170" i="1" s="1"/>
  <c r="T173" i="1"/>
  <c r="U173" i="1" s="1"/>
  <c r="T189" i="1"/>
  <c r="U189" i="1" s="1"/>
  <c r="T187" i="1"/>
  <c r="U187" i="1" s="1"/>
  <c r="T182" i="1"/>
  <c r="U182" i="1" s="1"/>
  <c r="T178" i="1"/>
  <c r="U178" i="1" s="1"/>
  <c r="T176" i="1"/>
  <c r="U176" i="1" s="1"/>
  <c r="T183" i="1"/>
  <c r="U183" i="1" s="1"/>
  <c r="T171" i="1"/>
  <c r="U171" i="1" s="1"/>
  <c r="T172" i="1"/>
  <c r="U172" i="1" s="1"/>
  <c r="T184" i="1"/>
  <c r="U184" i="1" s="1"/>
  <c r="T190" i="1"/>
  <c r="U190" i="1" s="1"/>
  <c r="T188" i="1"/>
  <c r="U188" i="1" s="1"/>
  <c r="T179" i="1"/>
  <c r="U179" i="1" s="1"/>
  <c r="T177" i="1"/>
  <c r="U177" i="1" s="1"/>
  <c r="T175" i="1"/>
  <c r="U175" i="1" s="1"/>
  <c r="T174" i="1"/>
  <c r="U174" i="1" s="1"/>
  <c r="T186" i="1"/>
  <c r="U186" i="1" s="1"/>
  <c r="T305" i="1"/>
  <c r="U305" i="1" s="1"/>
  <c r="T306" i="1"/>
  <c r="U306" i="1" s="1"/>
  <c r="T297" i="1"/>
  <c r="U297" i="1" s="1"/>
  <c r="T291" i="1"/>
  <c r="U291" i="1" s="1"/>
  <c r="T301" i="1"/>
  <c r="U301" i="1" s="1"/>
  <c r="T308" i="1"/>
  <c r="U308" i="1" s="1"/>
  <c r="T302" i="1"/>
  <c r="U302" i="1" s="1"/>
  <c r="T300" i="1"/>
  <c r="U300" i="1" s="1"/>
  <c r="T292" i="1"/>
  <c r="U292" i="1" s="1"/>
  <c r="T298" i="1"/>
  <c r="U298" i="1" s="1"/>
  <c r="T303" i="1"/>
  <c r="U303" i="1" s="1"/>
  <c r="T304" i="1"/>
  <c r="U304" i="1" s="1"/>
  <c r="T293" i="1"/>
  <c r="U293" i="1" s="1"/>
  <c r="T295" i="1"/>
  <c r="U295" i="1" s="1"/>
  <c r="T307" i="1"/>
  <c r="U307" i="1" s="1"/>
  <c r="T296" i="1"/>
  <c r="U296" i="1" s="1"/>
  <c r="T299" i="1"/>
  <c r="U299" i="1" s="1"/>
  <c r="T294" i="1"/>
  <c r="U294" i="1" s="1"/>
  <c r="T346" i="1"/>
  <c r="U346" i="1" s="1"/>
  <c r="T343" i="1"/>
  <c r="U343" i="1" s="1"/>
  <c r="T334" i="1"/>
  <c r="U334" i="1" s="1"/>
  <c r="T340" i="1"/>
  <c r="U340" i="1" s="1"/>
  <c r="T335" i="1"/>
  <c r="U335" i="1" s="1"/>
  <c r="T341" i="1"/>
  <c r="U341" i="1" s="1"/>
  <c r="T333" i="1"/>
  <c r="U333" i="1" s="1"/>
  <c r="T337" i="1"/>
  <c r="U337" i="1" s="1"/>
  <c r="T347" i="1"/>
  <c r="U347" i="1" s="1"/>
  <c r="T338" i="1"/>
  <c r="U338" i="1" s="1"/>
  <c r="T342" i="1"/>
  <c r="U342" i="1" s="1"/>
  <c r="T352" i="1"/>
  <c r="U352" i="1" s="1"/>
  <c r="T348" i="1"/>
  <c r="U348" i="1" s="1"/>
  <c r="T344" i="1"/>
  <c r="U344" i="1" s="1"/>
  <c r="T345" i="1"/>
  <c r="U345" i="1" s="1"/>
  <c r="T339" i="1"/>
  <c r="U339" i="1" s="1"/>
  <c r="T387" i="1"/>
  <c r="U387" i="1" s="1"/>
  <c r="T388" i="1"/>
  <c r="U388" i="1" s="1"/>
  <c r="T389" i="1"/>
  <c r="U389" i="1" s="1"/>
  <c r="T414" i="1"/>
  <c r="U414" i="1" s="1"/>
  <c r="T417" i="1"/>
  <c r="U417" i="1" s="1"/>
  <c r="T418" i="1"/>
  <c r="U418" i="1" s="1"/>
  <c r="T416" i="1"/>
  <c r="U416" i="1" s="1"/>
  <c r="T415" i="1"/>
  <c r="U415" i="1" s="1"/>
  <c r="T430" i="1"/>
  <c r="U430" i="1" s="1"/>
  <c r="T431" i="1"/>
  <c r="U431" i="1" s="1"/>
  <c r="T429" i="1"/>
  <c r="U429" i="1" s="1"/>
  <c r="T435" i="1"/>
  <c r="U435" i="1" s="1"/>
  <c r="T433" i="1"/>
  <c r="U433" i="1" s="1"/>
  <c r="T434" i="1"/>
  <c r="U434" i="1" s="1"/>
  <c r="T432" i="1"/>
  <c r="U432" i="1" s="1"/>
  <c r="T510" i="1"/>
  <c r="U510" i="1" s="1"/>
  <c r="T496" i="1"/>
  <c r="U496" i="1" s="1"/>
  <c r="T489" i="1"/>
  <c r="U489" i="1" s="1"/>
  <c r="T486" i="1"/>
  <c r="U486" i="1" s="1"/>
  <c r="T506" i="1"/>
  <c r="U506" i="1" s="1"/>
  <c r="T507" i="1"/>
  <c r="U507" i="1" s="1"/>
  <c r="T490" i="1"/>
  <c r="U490" i="1" s="1"/>
  <c r="T497" i="1"/>
  <c r="U497" i="1" s="1"/>
  <c r="T487" i="1"/>
  <c r="U487" i="1" s="1"/>
  <c r="T488" i="1"/>
  <c r="U488" i="1" s="1"/>
  <c r="T492" i="1"/>
  <c r="U492" i="1" s="1"/>
  <c r="T503" i="1"/>
  <c r="U503" i="1" s="1"/>
  <c r="T512" i="1"/>
  <c r="U512" i="1" s="1"/>
  <c r="T513" i="1"/>
  <c r="U513" i="1" s="1"/>
  <c r="T504" i="1"/>
  <c r="U504" i="1" s="1"/>
  <c r="T493" i="1"/>
  <c r="U493" i="1" s="1"/>
  <c r="T508" i="1"/>
  <c r="U508" i="1" s="1"/>
  <c r="T509" i="1"/>
  <c r="U509" i="1" s="1"/>
  <c r="T505" i="1"/>
  <c r="U505" i="1" s="1"/>
  <c r="T498" i="1"/>
  <c r="U498" i="1" s="1"/>
  <c r="T535" i="1"/>
  <c r="U535" i="1" s="1"/>
  <c r="T533" i="1"/>
  <c r="U533" i="1" s="1"/>
  <c r="T534" i="1"/>
  <c r="U534" i="1" s="1"/>
  <c r="T608" i="1"/>
  <c r="U608" i="1" s="1"/>
  <c r="T609" i="1"/>
  <c r="U609" i="1" s="1"/>
  <c r="T604" i="1"/>
  <c r="U604" i="1" s="1"/>
  <c r="T600" i="1"/>
  <c r="U600" i="1" s="1"/>
  <c r="T601" i="1"/>
  <c r="U601" i="1" s="1"/>
  <c r="T599" i="1"/>
  <c r="U599" i="1" s="1"/>
  <c r="T602" i="1"/>
  <c r="U602" i="1" s="1"/>
  <c r="T606" i="1"/>
  <c r="U606" i="1" s="1"/>
  <c r="T603" i="1"/>
  <c r="U603" i="1" s="1"/>
  <c r="T598" i="1"/>
  <c r="U598" i="1" s="1"/>
  <c r="T649" i="1"/>
  <c r="U649" i="1" s="1"/>
  <c r="T650" i="1"/>
  <c r="U650" i="1" s="1"/>
  <c r="T647" i="1"/>
  <c r="U647" i="1" s="1"/>
  <c r="T648" i="1"/>
  <c r="U648" i="1" s="1"/>
  <c r="T732" i="1"/>
  <c r="U732" i="1" s="1"/>
  <c r="T733" i="1"/>
  <c r="U733" i="1" s="1"/>
  <c r="T726" i="1"/>
  <c r="U726" i="1" s="1"/>
  <c r="T716" i="1"/>
  <c r="U716" i="1" s="1"/>
  <c r="T734" i="1"/>
  <c r="U734" i="1" s="1"/>
  <c r="T717" i="1"/>
  <c r="U717" i="1" s="1"/>
  <c r="T720" i="1"/>
  <c r="U720" i="1" s="1"/>
  <c r="T729" i="1"/>
  <c r="U729" i="1" s="1"/>
  <c r="T730" i="1"/>
  <c r="U730" i="1" s="1"/>
  <c r="T731" i="1"/>
  <c r="U731" i="1" s="1"/>
  <c r="T739" i="1"/>
  <c r="U739" i="1" s="1"/>
  <c r="T738" i="1"/>
  <c r="U738" i="1" s="1"/>
  <c r="T885" i="1"/>
  <c r="U885" i="1" s="1"/>
  <c r="T910" i="1"/>
  <c r="U910" i="1" s="1"/>
  <c r="T911" i="1"/>
  <c r="U911" i="1" s="1"/>
  <c r="T907" i="1"/>
  <c r="U907" i="1" s="1"/>
  <c r="T908" i="1"/>
  <c r="U908" i="1" s="1"/>
  <c r="T900" i="1"/>
  <c r="U900" i="1" s="1"/>
  <c r="T896" i="1"/>
  <c r="U896" i="1" s="1"/>
  <c r="T901" i="1"/>
  <c r="U901" i="1" s="1"/>
  <c r="T898" i="1"/>
  <c r="U898" i="1" s="1"/>
  <c r="T902" i="1"/>
  <c r="U902" i="1" s="1"/>
  <c r="T886" i="1"/>
  <c r="U886" i="1" s="1"/>
  <c r="T887" i="1"/>
  <c r="U887" i="1" s="1"/>
  <c r="T904" i="1"/>
  <c r="U904" i="1" s="1"/>
  <c r="T888" i="1"/>
  <c r="U888" i="1" s="1"/>
  <c r="T897" i="1"/>
  <c r="U897" i="1" s="1"/>
  <c r="T891" i="1"/>
  <c r="U891" i="1" s="1"/>
  <c r="T905" i="1"/>
  <c r="U905" i="1" s="1"/>
  <c r="T906" i="1"/>
  <c r="U906" i="1" s="1"/>
  <c r="T890" i="1"/>
  <c r="U890" i="1" s="1"/>
  <c r="T894" i="1"/>
  <c r="U894" i="1" s="1"/>
  <c r="T895" i="1"/>
  <c r="U895" i="1" s="1"/>
  <c r="T899" i="1"/>
  <c r="U899" i="1" s="1"/>
  <c r="T912" i="1"/>
  <c r="U912" i="1" s="1"/>
  <c r="T909" i="1"/>
  <c r="U909" i="1" s="1"/>
  <c r="T903" i="1"/>
  <c r="U903" i="1" s="1"/>
  <c r="T1078" i="1"/>
  <c r="U1078" i="1" s="1"/>
  <c r="T1056" i="1"/>
  <c r="U1056" i="1" s="1"/>
  <c r="T1025" i="1"/>
  <c r="U1025" i="1" s="1"/>
  <c r="T1085" i="1"/>
  <c r="U1085" i="1" s="1"/>
  <c r="T1081" i="1"/>
  <c r="U1081" i="1" s="1"/>
  <c r="T1057" i="1"/>
  <c r="U1057" i="1" s="1"/>
  <c r="T1048" i="1"/>
  <c r="U1048" i="1" s="1"/>
  <c r="T1041" i="1"/>
  <c r="U1041" i="1" s="1"/>
  <c r="T1042" i="1"/>
  <c r="U1042" i="1" s="1"/>
  <c r="T1026" i="1"/>
  <c r="U1026" i="1" s="1"/>
  <c r="T1086" i="1"/>
  <c r="U1086" i="1" s="1"/>
  <c r="T1082" i="1"/>
  <c r="U1082" i="1" s="1"/>
  <c r="T1079" i="1"/>
  <c r="U1079" i="1" s="1"/>
  <c r="T1049" i="1"/>
  <c r="U1049" i="1" s="1"/>
  <c r="T1043" i="1"/>
  <c r="U1043" i="1" s="1"/>
  <c r="T1044" i="1"/>
  <c r="U1044" i="1" s="1"/>
  <c r="T1027" i="1"/>
  <c r="U1027" i="1" s="1"/>
  <c r="T1065" i="1"/>
  <c r="U1065" i="1" s="1"/>
  <c r="T1050" i="1"/>
  <c r="U1050" i="1" s="1"/>
  <c r="T1028" i="1"/>
  <c r="U1028" i="1" s="1"/>
  <c r="T1029" i="1"/>
  <c r="U1029" i="1" s="1"/>
  <c r="T1058" i="1"/>
  <c r="U1058" i="1" s="1"/>
  <c r="T1060" i="1"/>
  <c r="U1060" i="1" s="1"/>
  <c r="T1037" i="1"/>
  <c r="U1037" i="1" s="1"/>
  <c r="T1083" i="1"/>
  <c r="U1083" i="1" s="1"/>
  <c r="T1070" i="1"/>
  <c r="U1070" i="1" s="1"/>
  <c r="T1066" i="1"/>
  <c r="U1066" i="1" s="1"/>
  <c r="T1045" i="1"/>
  <c r="U1045" i="1" s="1"/>
  <c r="T1030" i="1"/>
  <c r="U1030" i="1" s="1"/>
  <c r="T1031" i="1"/>
  <c r="U1031" i="1" s="1"/>
  <c r="T1040" i="1"/>
  <c r="U1040" i="1" s="1"/>
  <c r="T1071" i="1"/>
  <c r="U1071" i="1" s="1"/>
  <c r="T1061" i="1"/>
  <c r="U1061" i="1" s="1"/>
  <c r="T1062" i="1"/>
  <c r="U1062" i="1" s="1"/>
  <c r="T1051" i="1"/>
  <c r="U1051" i="1" s="1"/>
  <c r="T1052" i="1"/>
  <c r="U1052" i="1" s="1"/>
  <c r="T1053" i="1"/>
  <c r="U1053" i="1" s="1"/>
  <c r="T1038" i="1"/>
  <c r="U1038" i="1" s="1"/>
  <c r="T1084" i="1"/>
  <c r="U1084" i="1" s="1"/>
  <c r="T1080" i="1"/>
  <c r="U1080" i="1" s="1"/>
  <c r="T1072" i="1"/>
  <c r="U1072" i="1" s="1"/>
  <c r="T1073" i="1"/>
  <c r="U1073" i="1" s="1"/>
  <c r="T1067" i="1"/>
  <c r="U1067" i="1" s="1"/>
  <c r="T1063" i="1"/>
  <c r="U1063" i="1" s="1"/>
  <c r="T1064" i="1"/>
  <c r="U1064" i="1" s="1"/>
  <c r="T1059" i="1"/>
  <c r="U1059" i="1" s="1"/>
  <c r="T1054" i="1"/>
  <c r="U1054" i="1" s="1"/>
  <c r="T1055" i="1"/>
  <c r="U1055" i="1" s="1"/>
  <c r="T1047" i="1"/>
  <c r="U1047" i="1" s="1"/>
  <c r="T1046" i="1"/>
  <c r="U1046" i="1" s="1"/>
  <c r="T1035" i="1"/>
  <c r="U1035" i="1" s="1"/>
  <c r="T1068" i="1"/>
  <c r="U1068" i="1" s="1"/>
  <c r="T1089" i="1"/>
  <c r="U1089" i="1" s="1"/>
  <c r="T1088" i="1"/>
  <c r="U1088" i="1" s="1"/>
  <c r="T1087" i="1"/>
  <c r="U1087" i="1" s="1"/>
  <c r="T1090" i="1"/>
  <c r="U1090" i="1" s="1"/>
  <c r="T1103" i="1"/>
  <c r="U1103" i="1" s="1"/>
  <c r="T1104" i="1"/>
  <c r="U1104" i="1" s="1"/>
  <c r="T1097" i="1"/>
  <c r="U1097" i="1" s="1"/>
  <c r="T1098" i="1"/>
  <c r="U1098" i="1" s="1"/>
  <c r="T1096" i="1"/>
  <c r="U1096" i="1" s="1"/>
  <c r="T1091" i="1"/>
  <c r="U1091" i="1" s="1"/>
  <c r="T1099" i="1"/>
  <c r="U1099" i="1" s="1"/>
  <c r="T1092" i="1"/>
  <c r="U1092" i="1" s="1"/>
  <c r="T1109" i="1"/>
  <c r="U1109" i="1" s="1"/>
  <c r="T1110" i="1"/>
  <c r="U1110" i="1" s="1"/>
  <c r="T1100" i="1"/>
  <c r="U1100" i="1" s="1"/>
  <c r="T1101" i="1"/>
  <c r="U1101" i="1" s="1"/>
  <c r="T1106" i="1"/>
  <c r="U1106" i="1" s="1"/>
  <c r="T1102" i="1"/>
  <c r="U1102" i="1" s="1"/>
  <c r="T1107" i="1"/>
  <c r="U1107" i="1" s="1"/>
  <c r="T1108" i="1"/>
  <c r="U1108" i="1" s="1"/>
  <c r="T1114" i="1"/>
  <c r="U1114" i="1" s="1"/>
  <c r="T1111" i="1"/>
  <c r="U1111" i="1" s="1"/>
  <c r="T1113" i="1"/>
  <c r="U1113" i="1" s="1"/>
  <c r="T1115" i="1"/>
  <c r="U1115" i="1" s="1"/>
  <c r="T1130" i="1"/>
  <c r="U1130" i="1" s="1"/>
  <c r="T1131" i="1"/>
  <c r="U1131" i="1" s="1"/>
  <c r="T1132" i="1"/>
  <c r="U1132" i="1" s="1"/>
  <c r="T1116" i="1"/>
  <c r="U1116" i="1" s="1"/>
  <c r="T1117" i="1"/>
  <c r="U1117" i="1" s="1"/>
  <c r="T1121" i="1"/>
  <c r="U1121" i="1" s="1"/>
  <c r="T1126" i="1"/>
  <c r="U1126" i="1" s="1"/>
  <c r="T1128" i="1"/>
  <c r="U1128" i="1" s="1"/>
  <c r="T1133" i="1"/>
  <c r="U1133" i="1" s="1"/>
  <c r="T1127" i="1"/>
  <c r="U1127" i="1" s="1"/>
  <c r="T1122" i="1"/>
  <c r="U1122" i="1" s="1"/>
  <c r="T1119" i="1"/>
  <c r="U1119" i="1" s="1"/>
  <c r="T1120" i="1"/>
  <c r="U1120" i="1" s="1"/>
  <c r="T1129" i="1"/>
  <c r="U1129" i="1" s="1"/>
  <c r="T1125" i="1"/>
  <c r="U1125" i="1" s="1"/>
  <c r="T1124" i="1"/>
  <c r="U1124" i="1" s="1"/>
  <c r="T1185" i="1"/>
  <c r="U1185" i="1" s="1"/>
  <c r="T1189" i="1"/>
  <c r="U1189" i="1" s="1"/>
  <c r="T1188" i="1"/>
  <c r="U1188" i="1" s="1"/>
  <c r="T1206" i="1"/>
  <c r="U1206" i="1" s="1"/>
  <c r="T1205" i="1"/>
  <c r="U1205" i="1" s="1"/>
  <c r="T1204" i="1"/>
  <c r="U1204" i="1" s="1"/>
  <c r="T1203" i="1"/>
  <c r="U1203" i="1" s="1"/>
  <c r="T1268" i="1"/>
  <c r="U1268" i="1" s="1"/>
  <c r="T1246" i="1"/>
  <c r="U1246" i="1" s="1"/>
  <c r="T1236" i="1"/>
  <c r="U1236" i="1" s="1"/>
  <c r="T1221" i="1"/>
  <c r="U1221" i="1" s="1"/>
  <c r="T1210" i="1"/>
  <c r="U1210" i="1" s="1"/>
  <c r="T1211" i="1"/>
  <c r="U1211" i="1" s="1"/>
  <c r="T1251" i="1"/>
  <c r="U1251" i="1" s="1"/>
  <c r="T1237" i="1"/>
  <c r="U1237" i="1" s="1"/>
  <c r="T1235" i="1"/>
  <c r="U1235" i="1" s="1"/>
  <c r="T1212" i="1"/>
  <c r="U1212" i="1" s="1"/>
  <c r="T1275" i="1"/>
  <c r="U1275" i="1" s="1"/>
  <c r="T1238" i="1"/>
  <c r="U1238" i="1" s="1"/>
  <c r="T1218" i="1"/>
  <c r="U1218" i="1" s="1"/>
  <c r="T1249" i="1"/>
  <c r="U1249" i="1" s="1"/>
  <c r="T1239" i="1"/>
  <c r="U1239" i="1" s="1"/>
  <c r="T1219" i="1"/>
  <c r="U1219" i="1" s="1"/>
  <c r="T1276" i="1"/>
  <c r="U1276" i="1" s="1"/>
  <c r="T1262" i="1"/>
  <c r="U1262" i="1" s="1"/>
  <c r="T1247" i="1"/>
  <c r="U1247" i="1" s="1"/>
  <c r="T1240" i="1"/>
  <c r="U1240" i="1" s="1"/>
  <c r="T1229" i="1"/>
  <c r="U1229" i="1" s="1"/>
  <c r="T1220" i="1"/>
  <c r="U1220" i="1" s="1"/>
  <c r="T1230" i="1"/>
  <c r="U1230" i="1" s="1"/>
  <c r="T1243" i="1"/>
  <c r="U1243" i="1" s="1"/>
  <c r="T1282" i="1"/>
  <c r="U1282" i="1" s="1"/>
  <c r="T1280" i="1"/>
  <c r="U1280" i="1" s="1"/>
  <c r="T1231" i="1"/>
  <c r="U1231" i="1" s="1"/>
  <c r="T1222" i="1"/>
  <c r="U1222" i="1" s="1"/>
  <c r="T1269" i="1"/>
  <c r="U1269" i="1" s="1"/>
  <c r="T1270" i="1"/>
  <c r="U1270" i="1" s="1"/>
  <c r="T1232" i="1"/>
  <c r="U1232" i="1" s="1"/>
  <c r="T1266" i="1"/>
  <c r="U1266" i="1" s="1"/>
  <c r="T1254" i="1"/>
  <c r="U1254" i="1" s="1"/>
  <c r="T1281" i="1"/>
  <c r="U1281" i="1" s="1"/>
  <c r="T1250" i="1"/>
  <c r="U1250" i="1" s="1"/>
  <c r="T1223" i="1"/>
  <c r="U1223" i="1" s="1"/>
  <c r="T1215" i="1"/>
  <c r="U1215" i="1" s="1"/>
  <c r="T1248" i="1"/>
  <c r="U1248" i="1" s="1"/>
  <c r="T1271" i="1"/>
  <c r="U1271" i="1" s="1"/>
  <c r="T1233" i="1"/>
  <c r="U1233" i="1" s="1"/>
  <c r="T1214" i="1"/>
  <c r="U1214" i="1" s="1"/>
  <c r="T1256" i="1"/>
  <c r="U1256" i="1" s="1"/>
  <c r="T1245" i="1"/>
  <c r="U1245" i="1" s="1"/>
  <c r="T1234" i="1"/>
  <c r="U1234" i="1" s="1"/>
  <c r="T1255" i="1"/>
  <c r="U1255" i="1" s="1"/>
  <c r="T1252" i="1"/>
  <c r="U1252" i="1" s="1"/>
  <c r="T1260" i="1"/>
  <c r="U1260" i="1" s="1"/>
  <c r="T1244" i="1"/>
  <c r="U1244" i="1" s="1"/>
  <c r="T1261" i="1"/>
  <c r="U1261" i="1" s="1"/>
  <c r="T1274" i="1"/>
  <c r="U1274" i="1" s="1"/>
  <c r="T1272" i="1"/>
  <c r="U1272" i="1" s="1"/>
  <c r="T1273" i="1"/>
  <c r="U1273" i="1" s="1"/>
  <c r="T1258" i="1"/>
  <c r="U1258" i="1" s="1"/>
  <c r="T1259" i="1"/>
  <c r="U1259" i="1" s="1"/>
  <c r="T1257" i="1"/>
  <c r="U1257" i="1" s="1"/>
  <c r="T1253" i="1"/>
  <c r="U1253" i="1" s="1"/>
  <c r="T1225" i="1"/>
  <c r="U1225" i="1" s="1"/>
  <c r="T1267" i="1"/>
  <c r="U1267" i="1" s="1"/>
  <c r="T1226" i="1"/>
  <c r="U1226" i="1" s="1"/>
  <c r="T1217" i="1"/>
  <c r="U1217" i="1" s="1"/>
  <c r="T1227" i="1"/>
  <c r="U1227" i="1" s="1"/>
  <c r="T1228" i="1"/>
  <c r="U1228" i="1" s="1"/>
  <c r="T1224" i="1"/>
  <c r="U1224" i="1" s="1"/>
  <c r="T1216" i="1"/>
  <c r="U1216" i="1" s="1"/>
  <c r="T1332" i="1"/>
  <c r="U1332" i="1" s="1"/>
  <c r="T1333" i="1"/>
  <c r="U1333" i="1" s="1"/>
  <c r="T1328" i="1"/>
  <c r="U1328" i="1" s="1"/>
  <c r="T1317" i="1"/>
  <c r="U1317" i="1" s="1"/>
  <c r="T1318" i="1"/>
  <c r="U1318" i="1" s="1"/>
  <c r="T1315" i="1"/>
  <c r="U1315" i="1" s="1"/>
  <c r="T1329" i="1"/>
  <c r="U1329" i="1" s="1"/>
  <c r="T1330" i="1"/>
  <c r="U1330" i="1" s="1"/>
  <c r="T1334" i="1"/>
  <c r="U1334" i="1" s="1"/>
  <c r="T1323" i="1"/>
  <c r="U1323" i="1" s="1"/>
  <c r="T1331" i="1"/>
  <c r="U1331" i="1" s="1"/>
  <c r="T1336" i="1"/>
  <c r="U1336" i="1" s="1"/>
  <c r="T1321" i="1"/>
  <c r="U1321" i="1" s="1"/>
  <c r="T1327" i="1"/>
  <c r="U1327" i="1" s="1"/>
  <c r="T1322" i="1"/>
  <c r="U1322" i="1" s="1"/>
  <c r="T1324" i="1"/>
  <c r="U1324" i="1" s="1"/>
  <c r="T1335" i="1"/>
  <c r="U1335" i="1" s="1"/>
  <c r="T1320" i="1"/>
  <c r="U1320" i="1" s="1"/>
  <c r="T1341" i="1"/>
  <c r="U1341" i="1" s="1"/>
  <c r="T1343" i="1"/>
  <c r="U1343" i="1" s="1"/>
  <c r="T1344" i="1"/>
  <c r="U1344" i="1" s="1"/>
  <c r="T1342" i="1"/>
  <c r="U1342" i="1" s="1"/>
  <c r="T1346" i="1"/>
  <c r="U1346" i="1" s="1"/>
  <c r="T1345" i="1"/>
  <c r="U1345" i="1" s="1"/>
  <c r="T1347" i="1"/>
  <c r="U1347" i="1" s="1"/>
  <c r="T1368" i="1"/>
  <c r="U1368" i="1" s="1"/>
  <c r="T1367" i="1"/>
  <c r="U1367" i="1" s="1"/>
  <c r="T1363" i="1"/>
  <c r="U1363" i="1" s="1"/>
  <c r="T1364" i="1"/>
  <c r="U1364" i="1" s="1"/>
  <c r="T1365" i="1"/>
  <c r="U1365" i="1" s="1"/>
  <c r="T1369" i="1"/>
  <c r="U1369" i="1" s="1"/>
  <c r="T1396" i="1"/>
  <c r="U1396" i="1" s="1"/>
  <c r="T1394" i="1"/>
  <c r="U1394" i="1" s="1"/>
  <c r="T1395" i="1"/>
  <c r="U1395" i="1" s="1"/>
  <c r="T1446" i="1"/>
  <c r="U1446" i="1" s="1"/>
  <c r="T1434" i="1"/>
  <c r="U1434" i="1" s="1"/>
  <c r="T1424" i="1"/>
  <c r="U1424" i="1" s="1"/>
  <c r="T1443" i="1"/>
  <c r="U1443" i="1" s="1"/>
  <c r="T1444" i="1"/>
  <c r="U1444" i="1" s="1"/>
  <c r="T1436" i="1"/>
  <c r="U1436" i="1" s="1"/>
  <c r="T1437" i="1"/>
  <c r="U1437" i="1" s="1"/>
  <c r="T1419" i="1"/>
  <c r="U1419" i="1" s="1"/>
  <c r="T1447" i="1"/>
  <c r="U1447" i="1" s="1"/>
  <c r="T1430" i="1"/>
  <c r="U1430" i="1" s="1"/>
  <c r="T1438" i="1"/>
  <c r="U1438" i="1" s="1"/>
  <c r="T1426" i="1"/>
  <c r="U1426" i="1" s="1"/>
  <c r="T1420" i="1"/>
  <c r="U1420" i="1" s="1"/>
  <c r="T1448" i="1"/>
  <c r="U1448" i="1" s="1"/>
  <c r="T1431" i="1"/>
  <c r="U1431" i="1" s="1"/>
  <c r="T1439" i="1"/>
  <c r="U1439" i="1" s="1"/>
  <c r="T1427" i="1"/>
  <c r="U1427" i="1" s="1"/>
  <c r="T1421" i="1"/>
  <c r="U1421" i="1" s="1"/>
  <c r="T1432" i="1"/>
  <c r="U1432" i="1" s="1"/>
  <c r="T1440" i="1"/>
  <c r="U1440" i="1" s="1"/>
  <c r="T1428" i="1"/>
  <c r="U1428" i="1" s="1"/>
  <c r="T1422" i="1"/>
  <c r="U1422" i="1" s="1"/>
  <c r="T1449" i="1"/>
  <c r="U1449" i="1" s="1"/>
  <c r="T1433" i="1"/>
  <c r="U1433" i="1" s="1"/>
  <c r="T1441" i="1"/>
  <c r="U1441" i="1" s="1"/>
  <c r="T1429" i="1"/>
  <c r="U1429" i="1" s="1"/>
  <c r="T1423" i="1"/>
  <c r="U1423" i="1" s="1"/>
  <c r="T1435" i="1"/>
  <c r="U1435" i="1" s="1"/>
  <c r="T1442" i="1"/>
  <c r="U1442" i="1" s="1"/>
  <c r="T1445" i="1"/>
  <c r="U1445" i="1" s="1"/>
  <c r="T1455" i="1"/>
  <c r="U1455" i="1" s="1"/>
  <c r="T1456" i="1"/>
  <c r="U1456" i="1" s="1"/>
  <c r="T1457" i="1"/>
  <c r="U1457" i="1" s="1"/>
  <c r="T1458" i="1"/>
  <c r="U1458" i="1" s="1"/>
  <c r="T1454" i="1"/>
  <c r="U1454" i="1" s="1"/>
  <c r="T1459" i="1"/>
  <c r="U1459" i="1" s="1"/>
  <c r="T1451" i="1"/>
  <c r="U1451" i="1" s="1"/>
  <c r="T1461" i="1"/>
  <c r="U1461" i="1" s="1"/>
  <c r="T1462" i="1"/>
  <c r="U1462" i="1" s="1"/>
  <c r="T1453" i="1"/>
  <c r="U1453" i="1" s="1"/>
  <c r="T1452" i="1"/>
  <c r="U1452" i="1" s="1"/>
  <c r="T1463" i="1"/>
  <c r="U1463" i="1" s="1"/>
  <c r="T1505" i="1"/>
  <c r="U1505" i="1" s="1"/>
  <c r="T1464" i="1"/>
  <c r="U1464" i="1" s="1"/>
  <c r="T1471" i="1"/>
  <c r="U1471" i="1" s="1"/>
  <c r="T1478" i="1"/>
  <c r="U1478" i="1" s="1"/>
  <c r="T1507" i="1"/>
  <c r="U1507" i="1" s="1"/>
  <c r="T1465" i="1"/>
  <c r="U1465" i="1" s="1"/>
  <c r="T1508" i="1"/>
  <c r="U1508" i="1" s="1"/>
  <c r="T1492" i="1"/>
  <c r="U1492" i="1" s="1"/>
  <c r="T1479" i="1"/>
  <c r="U1479" i="1" s="1"/>
  <c r="T1472" i="1"/>
  <c r="U1472" i="1" s="1"/>
  <c r="T1466" i="1"/>
  <c r="U1466" i="1" s="1"/>
  <c r="T1501" i="1"/>
  <c r="U1501" i="1" s="1"/>
  <c r="T1509" i="1"/>
  <c r="U1509" i="1" s="1"/>
  <c r="T1480" i="1"/>
  <c r="U1480" i="1" s="1"/>
  <c r="T1467" i="1"/>
  <c r="U1467" i="1" s="1"/>
  <c r="T1473" i="1"/>
  <c r="U1473" i="1" s="1"/>
  <c r="T1499" i="1"/>
  <c r="U1499" i="1" s="1"/>
  <c r="T1510" i="1"/>
  <c r="U1510" i="1" s="1"/>
  <c r="T1506" i="1"/>
  <c r="U1506" i="1" s="1"/>
  <c r="T1502" i="1"/>
  <c r="U1502" i="1" s="1"/>
  <c r="T1481" i="1"/>
  <c r="U1481" i="1" s="1"/>
  <c r="T1524" i="1"/>
  <c r="U1524" i="1" s="1"/>
  <c r="T1493" i="1"/>
  <c r="U1493" i="1" s="1"/>
  <c r="T1490" i="1"/>
  <c r="U1490" i="1" s="1"/>
  <c r="T1504" i="1"/>
  <c r="U1504" i="1" s="1"/>
  <c r="T1503" i="1"/>
  <c r="U1503" i="1" s="1"/>
  <c r="T1494" i="1"/>
  <c r="U1494" i="1" s="1"/>
  <c r="T1487" i="1"/>
  <c r="U1487" i="1" s="1"/>
  <c r="T1489" i="1"/>
  <c r="U1489" i="1" s="1"/>
  <c r="T1482" i="1"/>
  <c r="U1482" i="1" s="1"/>
  <c r="T1520" i="1"/>
  <c r="U1520" i="1" s="1"/>
  <c r="T1468" i="1"/>
  <c r="U1468" i="1" s="1"/>
  <c r="T324" i="1"/>
  <c r="U324" i="1" s="1"/>
  <c r="T325" i="1"/>
  <c r="U325" i="1" s="1"/>
  <c r="T327" i="1"/>
  <c r="U327" i="1" s="1"/>
  <c r="T329" i="1"/>
  <c r="U329" i="1" s="1"/>
  <c r="T328" i="1"/>
  <c r="U328" i="1" s="1"/>
  <c r="T330" i="1"/>
  <c r="U330" i="1" s="1"/>
  <c r="T326" i="1"/>
  <c r="U326" i="1" s="1"/>
  <c r="T331" i="1"/>
  <c r="U331" i="1" s="1"/>
  <c r="P331" i="1"/>
  <c r="M331" i="1"/>
  <c r="F331" i="1"/>
  <c r="AJ1702" i="1" l="1"/>
  <c r="Q1702" i="1"/>
  <c r="AJ1709" i="1"/>
  <c r="Q1709" i="1"/>
  <c r="AJ1710" i="1"/>
  <c r="Q1710" i="1"/>
  <c r="M1710" i="1"/>
  <c r="P1710" i="1"/>
  <c r="N457" i="1" l="1"/>
  <c r="AI457" i="1" s="1"/>
  <c r="AJ457" i="1" l="1"/>
  <c r="Q457" i="1"/>
  <c r="P1897" i="1"/>
  <c r="M1897" i="1"/>
  <c r="F1897" i="1"/>
  <c r="P1901" i="1"/>
  <c r="F1901" i="1"/>
  <c r="M1901" i="1"/>
  <c r="P326" i="1"/>
  <c r="P330" i="1"/>
  <c r="P328" i="1"/>
  <c r="P329" i="1"/>
  <c r="P327" i="1"/>
  <c r="M327" i="1"/>
  <c r="M329" i="1"/>
  <c r="M328" i="1"/>
  <c r="M330" i="1"/>
  <c r="M326" i="1"/>
  <c r="F329" i="1"/>
  <c r="F328" i="1"/>
  <c r="F330" i="1"/>
  <c r="F326" i="1"/>
  <c r="F327" i="1"/>
  <c r="P325" i="1"/>
  <c r="M325" i="1"/>
  <c r="F325" i="1"/>
  <c r="P324" i="1"/>
  <c r="M324" i="1"/>
  <c r="F324" i="1"/>
  <c r="P1875" i="1"/>
  <c r="M1875" i="1"/>
  <c r="F1875" i="1"/>
  <c r="P1876" i="1"/>
  <c r="M1876" i="1"/>
  <c r="F1876" i="1"/>
  <c r="P1840" i="1"/>
  <c r="M1840" i="1"/>
  <c r="F1840" i="1"/>
  <c r="P1847" i="1"/>
  <c r="M1847" i="1"/>
  <c r="F1847" i="1"/>
  <c r="P1841" i="1"/>
  <c r="M1841" i="1"/>
  <c r="F1841" i="1"/>
  <c r="P1850" i="1"/>
  <c r="M1850" i="1"/>
  <c r="F1850" i="1"/>
  <c r="F1846" i="1"/>
  <c r="P1845" i="1"/>
  <c r="M1845" i="1"/>
  <c r="F1845" i="1"/>
  <c r="P1844" i="1"/>
  <c r="M1844" i="1"/>
  <c r="F1844" i="1"/>
  <c r="P1839" i="1"/>
  <c r="M1839" i="1"/>
  <c r="F1839" i="1"/>
  <c r="P1849" i="1"/>
  <c r="M1849" i="1"/>
  <c r="F1849" i="1"/>
  <c r="P1848" i="1"/>
  <c r="M1848" i="1"/>
  <c r="F1848" i="1"/>
  <c r="P1843" i="1"/>
  <c r="M1843" i="1"/>
  <c r="F1843" i="1"/>
  <c r="P1741" i="1"/>
  <c r="M1741" i="1"/>
  <c r="F1741" i="1"/>
  <c r="N1759" i="1"/>
  <c r="AI1759" i="1" s="1"/>
  <c r="F1759" i="1"/>
  <c r="N1740" i="1"/>
  <c r="AI1740" i="1" s="1"/>
  <c r="F1740" i="1"/>
  <c r="P1747" i="1"/>
  <c r="M1747" i="1"/>
  <c r="F1747" i="1"/>
  <c r="P1757" i="1"/>
  <c r="M1757" i="1"/>
  <c r="F1757" i="1"/>
  <c r="AI1760" i="1"/>
  <c r="F1760" i="1"/>
  <c r="P1739" i="1"/>
  <c r="M1739" i="1"/>
  <c r="F1739" i="1"/>
  <c r="P1758" i="1"/>
  <c r="M1758" i="1"/>
  <c r="F1758" i="1"/>
  <c r="P1756" i="1"/>
  <c r="M1756" i="1"/>
  <c r="F1756" i="1"/>
  <c r="P1737" i="1"/>
  <c r="M1737" i="1"/>
  <c r="F1737" i="1"/>
  <c r="P1754" i="1"/>
  <c r="M1754" i="1"/>
  <c r="F1754" i="1"/>
  <c r="P1755" i="1"/>
  <c r="M1755" i="1"/>
  <c r="F1755" i="1"/>
  <c r="P1746" i="1"/>
  <c r="M1746" i="1"/>
  <c r="F1746" i="1"/>
  <c r="P1748" i="1"/>
  <c r="M1748" i="1"/>
  <c r="F1748" i="1"/>
  <c r="N1735" i="1"/>
  <c r="AI1735" i="1" s="1"/>
  <c r="F1735" i="1"/>
  <c r="P1734" i="1"/>
  <c r="M1734" i="1"/>
  <c r="F1734" i="1"/>
  <c r="P1753" i="1"/>
  <c r="M1753" i="1"/>
  <c r="F1753" i="1"/>
  <c r="N1752" i="1"/>
  <c r="AI1752" i="1" s="1"/>
  <c r="F1752" i="1"/>
  <c r="P1733" i="1"/>
  <c r="M1733" i="1"/>
  <c r="F1733" i="1"/>
  <c r="P1751" i="1"/>
  <c r="M1751" i="1"/>
  <c r="F1751" i="1"/>
  <c r="P1745" i="1"/>
  <c r="M1745" i="1"/>
  <c r="F1745" i="1"/>
  <c r="P1744" i="1"/>
  <c r="M1744" i="1"/>
  <c r="F1744" i="1"/>
  <c r="P1743" i="1"/>
  <c r="M1743" i="1"/>
  <c r="F1743" i="1"/>
  <c r="P1750" i="1"/>
  <c r="M1750" i="1"/>
  <c r="F1750" i="1"/>
  <c r="P1732" i="1"/>
  <c r="M1732" i="1"/>
  <c r="F1732" i="1"/>
  <c r="N1749" i="1"/>
  <c r="AI1749" i="1" s="1"/>
  <c r="F1749" i="1"/>
  <c r="N1742" i="1"/>
  <c r="AI1742" i="1" s="1"/>
  <c r="F1742" i="1"/>
  <c r="P1727" i="1"/>
  <c r="M1727" i="1"/>
  <c r="F1727" i="1"/>
  <c r="P1725" i="1"/>
  <c r="M1725" i="1"/>
  <c r="F1725" i="1"/>
  <c r="P1731" i="1"/>
  <c r="M1731" i="1"/>
  <c r="F1731" i="1"/>
  <c r="P1726" i="1"/>
  <c r="M1726" i="1"/>
  <c r="F1726" i="1"/>
  <c r="O1729" i="1"/>
  <c r="AJ1729" i="1" s="1"/>
  <c r="M1729" i="1"/>
  <c r="F1729" i="1"/>
  <c r="N1724" i="1"/>
  <c r="AI1724" i="1" s="1"/>
  <c r="F1724" i="1"/>
  <c r="P1728" i="1"/>
  <c r="M1728" i="1"/>
  <c r="F1728" i="1"/>
  <c r="P1700" i="1"/>
  <c r="M1700" i="1"/>
  <c r="F1700" i="1"/>
  <c r="P1697" i="1"/>
  <c r="M1697" i="1"/>
  <c r="F1697" i="1"/>
  <c r="P1696" i="1"/>
  <c r="M1696" i="1"/>
  <c r="F1696" i="1"/>
  <c r="AI1699" i="1"/>
  <c r="F1699" i="1"/>
  <c r="P1698" i="1"/>
  <c r="M1698" i="1"/>
  <c r="F1698" i="1"/>
  <c r="P1648" i="1"/>
  <c r="M1648" i="1"/>
  <c r="F1648" i="1"/>
  <c r="P1660" i="1"/>
  <c r="M1660" i="1"/>
  <c r="F1660" i="1"/>
  <c r="P1659" i="1"/>
  <c r="M1659" i="1"/>
  <c r="F1659" i="1"/>
  <c r="M1654" i="1"/>
  <c r="F1654" i="1"/>
  <c r="M1653" i="1"/>
  <c r="F1653" i="1"/>
  <c r="O1652" i="1"/>
  <c r="N1652" i="1"/>
  <c r="AI1652" i="1" s="1"/>
  <c r="Q1652" i="1" s="1"/>
  <c r="F1652" i="1"/>
  <c r="N1651" i="1"/>
  <c r="AI1651" i="1" s="1"/>
  <c r="F1651" i="1"/>
  <c r="P1663" i="1"/>
  <c r="M1663" i="1"/>
  <c r="F1663" i="1"/>
  <c r="P1665" i="1"/>
  <c r="M1665" i="1"/>
  <c r="F1665" i="1"/>
  <c r="P1650" i="1"/>
  <c r="M1650" i="1"/>
  <c r="F1650" i="1"/>
  <c r="P1649" i="1"/>
  <c r="M1649" i="1"/>
  <c r="F1649" i="1"/>
  <c r="P1662" i="1"/>
  <c r="M1662" i="1"/>
  <c r="F1662" i="1"/>
  <c r="P1664" i="1"/>
  <c r="M1664" i="1"/>
  <c r="F1664" i="1"/>
  <c r="P1620" i="1"/>
  <c r="M1620" i="1"/>
  <c r="F1620" i="1"/>
  <c r="P1619" i="1"/>
  <c r="M1619" i="1"/>
  <c r="F1619" i="1"/>
  <c r="P1617" i="1"/>
  <c r="M1617" i="1"/>
  <c r="F1617" i="1"/>
  <c r="N1623" i="1"/>
  <c r="AI1623" i="1" s="1"/>
  <c r="F1623" i="1"/>
  <c r="P1615" i="1"/>
  <c r="M1615" i="1"/>
  <c r="F1615" i="1"/>
  <c r="P1614" i="1"/>
  <c r="M1614" i="1"/>
  <c r="F1614" i="1"/>
  <c r="P1618" i="1"/>
  <c r="M1618" i="1"/>
  <c r="F1618" i="1"/>
  <c r="P1622" i="1"/>
  <c r="M1622" i="1"/>
  <c r="F1622" i="1"/>
  <c r="P1611" i="1"/>
  <c r="M1611" i="1"/>
  <c r="F1611" i="1"/>
  <c r="P1613" i="1"/>
  <c r="M1613" i="1"/>
  <c r="F1613" i="1"/>
  <c r="P1624" i="1"/>
  <c r="M1624" i="1"/>
  <c r="F1624" i="1"/>
  <c r="P1610" i="1"/>
  <c r="M1610" i="1"/>
  <c r="F1610" i="1"/>
  <c r="P1612" i="1"/>
  <c r="M1612" i="1"/>
  <c r="F1612" i="1"/>
  <c r="P1621" i="1"/>
  <c r="M1621" i="1"/>
  <c r="F1621" i="1"/>
  <c r="P1589" i="1"/>
  <c r="M1589" i="1"/>
  <c r="F1589" i="1"/>
  <c r="P1585" i="1"/>
  <c r="M1585" i="1"/>
  <c r="F1585" i="1"/>
  <c r="P1590" i="1"/>
  <c r="M1590" i="1"/>
  <c r="F1590" i="1"/>
  <c r="P1583" i="1"/>
  <c r="M1583" i="1"/>
  <c r="F1583" i="1"/>
  <c r="N1592" i="1"/>
  <c r="AI1592" i="1" s="1"/>
  <c r="F1592" i="1"/>
  <c r="P1591" i="1"/>
  <c r="M1591" i="1"/>
  <c r="F1591" i="1"/>
  <c r="N1577" i="1"/>
  <c r="AI1577" i="1" s="1"/>
  <c r="F1577" i="1"/>
  <c r="P1582" i="1"/>
  <c r="M1582" i="1"/>
  <c r="F1582" i="1"/>
  <c r="P1580" i="1"/>
  <c r="M1580" i="1"/>
  <c r="F1580" i="1"/>
  <c r="F1579" i="1"/>
  <c r="N1575" i="1"/>
  <c r="AI1575" i="1" s="1"/>
  <c r="F1575" i="1"/>
  <c r="N1574" i="1"/>
  <c r="AI1574" i="1" s="1"/>
  <c r="F1574" i="1"/>
  <c r="N1573" i="1"/>
  <c r="AI1573" i="1" s="1"/>
  <c r="F1573" i="1"/>
  <c r="P1572" i="1"/>
  <c r="M1572" i="1"/>
  <c r="F1572" i="1"/>
  <c r="P1578" i="1"/>
  <c r="M1578" i="1"/>
  <c r="F1578" i="1"/>
  <c r="P1576" i="1"/>
  <c r="M1576" i="1"/>
  <c r="F1576" i="1"/>
  <c r="P1571" i="1"/>
  <c r="M1571" i="1"/>
  <c r="F1571" i="1"/>
  <c r="P1581" i="1"/>
  <c r="M1581" i="1"/>
  <c r="F1581" i="1"/>
  <c r="P1488" i="1"/>
  <c r="M1488" i="1"/>
  <c r="F1488" i="1"/>
  <c r="P1485" i="1"/>
  <c r="M1485" i="1"/>
  <c r="F1485" i="1"/>
  <c r="N1522" i="1"/>
  <c r="AI1522" i="1" s="1"/>
  <c r="F1522" i="1"/>
  <c r="F1469" i="1"/>
  <c r="N1521" i="1"/>
  <c r="AI1521" i="1" s="1"/>
  <c r="F1521" i="1"/>
  <c r="P1484" i="1"/>
  <c r="M1484" i="1"/>
  <c r="F1484" i="1"/>
  <c r="P1468" i="1"/>
  <c r="M1468" i="1"/>
  <c r="F1468" i="1"/>
  <c r="N1520" i="1"/>
  <c r="AI1520" i="1" s="1"/>
  <c r="F1520" i="1"/>
  <c r="P1482" i="1"/>
  <c r="M1482" i="1"/>
  <c r="F1482" i="1"/>
  <c r="P1489" i="1"/>
  <c r="M1489" i="1"/>
  <c r="F1489" i="1"/>
  <c r="P1487" i="1"/>
  <c r="M1487" i="1"/>
  <c r="F1487" i="1"/>
  <c r="N1494" i="1"/>
  <c r="AI1494" i="1" s="1"/>
  <c r="F1494" i="1"/>
  <c r="P1503" i="1"/>
  <c r="M1503" i="1"/>
  <c r="F1503" i="1"/>
  <c r="O1504" i="1"/>
  <c r="AJ1504" i="1" s="1"/>
  <c r="M1504" i="1"/>
  <c r="F1504" i="1"/>
  <c r="P1490" i="1"/>
  <c r="M1490" i="1"/>
  <c r="F1490" i="1"/>
  <c r="P1493" i="1"/>
  <c r="M1493" i="1"/>
  <c r="F1493" i="1"/>
  <c r="P1524" i="1"/>
  <c r="M1524" i="1"/>
  <c r="F1524" i="1"/>
  <c r="P1481" i="1"/>
  <c r="M1481" i="1"/>
  <c r="F1481" i="1"/>
  <c r="P1502" i="1"/>
  <c r="M1502" i="1"/>
  <c r="F1502" i="1"/>
  <c r="P1506" i="1"/>
  <c r="M1506" i="1"/>
  <c r="F1506" i="1"/>
  <c r="P1510" i="1"/>
  <c r="M1510" i="1"/>
  <c r="P1499" i="1"/>
  <c r="M1499" i="1"/>
  <c r="F1499" i="1"/>
  <c r="P1473" i="1"/>
  <c r="M1473" i="1"/>
  <c r="F1473" i="1"/>
  <c r="N1467" i="1"/>
  <c r="AI1467" i="1" s="1"/>
  <c r="F1467" i="1"/>
  <c r="N1480" i="1"/>
  <c r="AI1480" i="1" s="1"/>
  <c r="F1480" i="1"/>
  <c r="P1509" i="1"/>
  <c r="M1509" i="1"/>
  <c r="F1509" i="1"/>
  <c r="P1501" i="1"/>
  <c r="M1501" i="1"/>
  <c r="F1501" i="1"/>
  <c r="P1466" i="1"/>
  <c r="M1466" i="1"/>
  <c r="F1466" i="1"/>
  <c r="P1472" i="1"/>
  <c r="M1472" i="1"/>
  <c r="F1472" i="1"/>
  <c r="P1479" i="1"/>
  <c r="M1479" i="1"/>
  <c r="F1479" i="1"/>
  <c r="P1492" i="1"/>
  <c r="M1492" i="1"/>
  <c r="F1492" i="1"/>
  <c r="P1508" i="1"/>
  <c r="M1508" i="1"/>
  <c r="F1508" i="1"/>
  <c r="P1465" i="1"/>
  <c r="M1465" i="1"/>
  <c r="F1465" i="1"/>
  <c r="P1507" i="1"/>
  <c r="M1507" i="1"/>
  <c r="F1507" i="1"/>
  <c r="P1478" i="1"/>
  <c r="M1478" i="1"/>
  <c r="F1478" i="1"/>
  <c r="P1471" i="1"/>
  <c r="M1471" i="1"/>
  <c r="F1471" i="1"/>
  <c r="P1464" i="1"/>
  <c r="M1464" i="1"/>
  <c r="F1464" i="1"/>
  <c r="P1505" i="1"/>
  <c r="M1505" i="1"/>
  <c r="F1505" i="1"/>
  <c r="P1463" i="1"/>
  <c r="M1463" i="1"/>
  <c r="F1463" i="1"/>
  <c r="P1452" i="1"/>
  <c r="M1452" i="1"/>
  <c r="F1452" i="1"/>
  <c r="P1453" i="1"/>
  <c r="M1453" i="1"/>
  <c r="F1453" i="1"/>
  <c r="P1462" i="1"/>
  <c r="M1462" i="1"/>
  <c r="F1462" i="1"/>
  <c r="P1461" i="1"/>
  <c r="M1461" i="1"/>
  <c r="F1461" i="1"/>
  <c r="P1451" i="1"/>
  <c r="M1451" i="1"/>
  <c r="F1451" i="1"/>
  <c r="O1459" i="1"/>
  <c r="AJ1459" i="1" s="1"/>
  <c r="M1459" i="1"/>
  <c r="F1459" i="1"/>
  <c r="P1454" i="1"/>
  <c r="M1454" i="1"/>
  <c r="F1454" i="1"/>
  <c r="P1458" i="1"/>
  <c r="M1458" i="1"/>
  <c r="F1458" i="1"/>
  <c r="N1457" i="1"/>
  <c r="AI1457" i="1" s="1"/>
  <c r="F1457" i="1"/>
  <c r="P1456" i="1"/>
  <c r="M1456" i="1"/>
  <c r="F1456" i="1"/>
  <c r="P1455" i="1"/>
  <c r="M1455" i="1"/>
  <c r="F1455" i="1"/>
  <c r="P1445" i="1"/>
  <c r="M1445" i="1"/>
  <c r="F1445" i="1"/>
  <c r="P1442" i="1"/>
  <c r="M1442" i="1"/>
  <c r="F1442" i="1"/>
  <c r="P1435" i="1"/>
  <c r="M1435" i="1"/>
  <c r="F1435" i="1"/>
  <c r="P1423" i="1"/>
  <c r="M1423" i="1"/>
  <c r="F1423" i="1"/>
  <c r="P1429" i="1"/>
  <c r="M1429" i="1"/>
  <c r="F1429" i="1"/>
  <c r="P1441" i="1"/>
  <c r="M1441" i="1"/>
  <c r="F1441" i="1"/>
  <c r="P1433" i="1"/>
  <c r="M1433" i="1"/>
  <c r="F1433" i="1"/>
  <c r="P1449" i="1"/>
  <c r="M1449" i="1"/>
  <c r="F1449" i="1"/>
  <c r="P1422" i="1"/>
  <c r="M1422" i="1"/>
  <c r="F1422" i="1"/>
  <c r="P1428" i="1"/>
  <c r="M1428" i="1"/>
  <c r="F1428" i="1"/>
  <c r="P1440" i="1"/>
  <c r="M1440" i="1"/>
  <c r="F1440" i="1"/>
  <c r="P1432" i="1"/>
  <c r="M1432" i="1"/>
  <c r="F1432" i="1"/>
  <c r="P1421" i="1"/>
  <c r="M1421" i="1"/>
  <c r="F1421" i="1"/>
  <c r="P1427" i="1"/>
  <c r="M1427" i="1"/>
  <c r="F1427" i="1"/>
  <c r="P1439" i="1"/>
  <c r="M1439" i="1"/>
  <c r="F1439" i="1"/>
  <c r="P1431" i="1"/>
  <c r="M1431" i="1"/>
  <c r="F1431" i="1"/>
  <c r="P1448" i="1"/>
  <c r="M1448" i="1"/>
  <c r="F1448" i="1"/>
  <c r="P1420" i="1"/>
  <c r="M1420" i="1"/>
  <c r="F1420" i="1"/>
  <c r="P1426" i="1"/>
  <c r="M1426" i="1"/>
  <c r="F1426" i="1"/>
  <c r="P1438" i="1"/>
  <c r="M1438" i="1"/>
  <c r="F1438" i="1"/>
  <c r="P1430" i="1"/>
  <c r="M1430" i="1"/>
  <c r="F1430" i="1"/>
  <c r="P1447" i="1"/>
  <c r="M1447" i="1"/>
  <c r="F1447" i="1"/>
  <c r="P1419" i="1"/>
  <c r="M1419" i="1"/>
  <c r="F1419" i="1"/>
  <c r="P1437" i="1"/>
  <c r="M1437" i="1"/>
  <c r="F1437" i="1"/>
  <c r="P1436" i="1"/>
  <c r="M1436" i="1"/>
  <c r="F1436" i="1"/>
  <c r="P1444" i="1"/>
  <c r="M1444" i="1"/>
  <c r="F1444" i="1"/>
  <c r="P1443" i="1"/>
  <c r="M1443" i="1"/>
  <c r="F1443" i="1"/>
  <c r="O1424" i="1"/>
  <c r="AJ1424" i="1" s="1"/>
  <c r="M1424" i="1"/>
  <c r="F1424" i="1"/>
  <c r="O1434" i="1"/>
  <c r="AJ1434" i="1" s="1"/>
  <c r="M1434" i="1"/>
  <c r="F1434" i="1"/>
  <c r="O1446" i="1"/>
  <c r="AJ1446" i="1" s="1"/>
  <c r="M1446" i="1"/>
  <c r="F1446" i="1"/>
  <c r="P1395" i="1"/>
  <c r="M1395" i="1"/>
  <c r="F1395" i="1"/>
  <c r="P1394" i="1"/>
  <c r="M1394" i="1"/>
  <c r="F1394" i="1"/>
  <c r="P1396" i="1"/>
  <c r="M1396" i="1"/>
  <c r="F1396" i="1"/>
  <c r="P1369" i="1"/>
  <c r="M1369" i="1"/>
  <c r="F1369" i="1"/>
  <c r="P1365" i="1"/>
  <c r="M1365" i="1"/>
  <c r="F1365" i="1"/>
  <c r="P1364" i="1"/>
  <c r="M1364" i="1"/>
  <c r="F1364" i="1"/>
  <c r="P1363" i="1"/>
  <c r="M1363" i="1"/>
  <c r="F1363" i="1"/>
  <c r="P1367" i="1"/>
  <c r="M1367" i="1"/>
  <c r="F1367" i="1"/>
  <c r="N1368" i="1"/>
  <c r="AI1368" i="1" s="1"/>
  <c r="F1368" i="1"/>
  <c r="P1347" i="1"/>
  <c r="M1347" i="1"/>
  <c r="F1347" i="1"/>
  <c r="O1345" i="1"/>
  <c r="AJ1345" i="1" s="1"/>
  <c r="M1345" i="1"/>
  <c r="F1345" i="1"/>
  <c r="P1346" i="1"/>
  <c r="M1346" i="1"/>
  <c r="F1346" i="1"/>
  <c r="P1342" i="1"/>
  <c r="M1342" i="1"/>
  <c r="F1342" i="1"/>
  <c r="P1344" i="1"/>
  <c r="M1344" i="1"/>
  <c r="F1344" i="1"/>
  <c r="P1343" i="1"/>
  <c r="M1343" i="1"/>
  <c r="F1343" i="1"/>
  <c r="P1341" i="1"/>
  <c r="M1341" i="1"/>
  <c r="F1341" i="1"/>
  <c r="P1320" i="1"/>
  <c r="M1320" i="1"/>
  <c r="F1320" i="1"/>
  <c r="F1335" i="1"/>
  <c r="P1324" i="1"/>
  <c r="M1324" i="1"/>
  <c r="F1324" i="1"/>
  <c r="P1322" i="1"/>
  <c r="M1322" i="1"/>
  <c r="F1322" i="1"/>
  <c r="P1327" i="1"/>
  <c r="M1327" i="1"/>
  <c r="F1327" i="1"/>
  <c r="P1321" i="1"/>
  <c r="M1321" i="1"/>
  <c r="F1321" i="1"/>
  <c r="P1336" i="1"/>
  <c r="M1336" i="1"/>
  <c r="F1336" i="1"/>
  <c r="P1331" i="1"/>
  <c r="M1331" i="1"/>
  <c r="F1331" i="1"/>
  <c r="P1323" i="1"/>
  <c r="M1323" i="1"/>
  <c r="F1323" i="1"/>
  <c r="P1334" i="1"/>
  <c r="M1334" i="1"/>
  <c r="F1334" i="1"/>
  <c r="P1330" i="1"/>
  <c r="M1330" i="1"/>
  <c r="F1330" i="1"/>
  <c r="N1329" i="1"/>
  <c r="AI1329" i="1" s="1"/>
  <c r="F1329" i="1"/>
  <c r="P1315" i="1"/>
  <c r="M1315" i="1"/>
  <c r="F1315" i="1"/>
  <c r="P1318" i="1"/>
  <c r="M1318" i="1"/>
  <c r="F1318" i="1"/>
  <c r="P1317" i="1"/>
  <c r="M1317" i="1"/>
  <c r="F1317" i="1"/>
  <c r="P1328" i="1"/>
  <c r="M1328" i="1"/>
  <c r="F1328" i="1"/>
  <c r="P1333" i="1"/>
  <c r="M1333" i="1"/>
  <c r="F1333" i="1"/>
  <c r="P1332" i="1"/>
  <c r="M1332" i="1"/>
  <c r="F1332" i="1"/>
  <c r="P1216" i="1"/>
  <c r="M1216" i="1"/>
  <c r="F1216" i="1"/>
  <c r="P1224" i="1"/>
  <c r="M1224" i="1"/>
  <c r="F1224" i="1"/>
  <c r="P1228" i="1"/>
  <c r="M1228" i="1"/>
  <c r="F1228" i="1"/>
  <c r="P1227" i="1"/>
  <c r="M1227" i="1"/>
  <c r="F1227" i="1"/>
  <c r="P1217" i="1"/>
  <c r="M1217" i="1"/>
  <c r="F1217" i="1"/>
  <c r="P1226" i="1"/>
  <c r="M1226" i="1"/>
  <c r="F1226" i="1"/>
  <c r="P1267" i="1"/>
  <c r="M1267" i="1"/>
  <c r="F1267" i="1"/>
  <c r="P1225" i="1"/>
  <c r="M1225" i="1"/>
  <c r="F1225" i="1"/>
  <c r="P1253" i="1"/>
  <c r="M1253" i="1"/>
  <c r="F1253" i="1"/>
  <c r="P1257" i="1"/>
  <c r="M1257" i="1"/>
  <c r="F1257" i="1"/>
  <c r="P1259" i="1"/>
  <c r="M1259" i="1"/>
  <c r="F1259" i="1"/>
  <c r="P1258" i="1"/>
  <c r="M1258" i="1"/>
  <c r="F1258" i="1"/>
  <c r="P1273" i="1"/>
  <c r="M1273" i="1"/>
  <c r="F1273" i="1"/>
  <c r="P1272" i="1"/>
  <c r="M1272" i="1"/>
  <c r="F1272" i="1"/>
  <c r="P1274" i="1"/>
  <c r="M1274" i="1"/>
  <c r="F1274" i="1"/>
  <c r="P1261" i="1"/>
  <c r="M1261" i="1"/>
  <c r="F1261" i="1"/>
  <c r="P1244" i="1"/>
  <c r="M1244" i="1"/>
  <c r="F1244" i="1"/>
  <c r="P1260" i="1"/>
  <c r="M1260" i="1"/>
  <c r="F1260" i="1"/>
  <c r="P1252" i="1"/>
  <c r="M1252" i="1"/>
  <c r="F1252" i="1"/>
  <c r="P1255" i="1"/>
  <c r="M1255" i="1"/>
  <c r="F1255" i="1"/>
  <c r="P1234" i="1"/>
  <c r="M1234" i="1"/>
  <c r="F1234" i="1"/>
  <c r="P1245" i="1"/>
  <c r="M1245" i="1"/>
  <c r="F1245" i="1"/>
  <c r="P1256" i="1"/>
  <c r="M1256" i="1"/>
  <c r="F1256" i="1"/>
  <c r="P1214" i="1"/>
  <c r="M1214" i="1"/>
  <c r="F1214" i="1"/>
  <c r="P1233" i="1"/>
  <c r="M1233" i="1"/>
  <c r="F1233" i="1"/>
  <c r="P1271" i="1"/>
  <c r="M1271" i="1"/>
  <c r="F1271" i="1"/>
  <c r="P1248" i="1"/>
  <c r="M1248" i="1"/>
  <c r="F1248" i="1"/>
  <c r="P1215" i="1"/>
  <c r="M1215" i="1"/>
  <c r="F1215" i="1"/>
  <c r="P1223" i="1"/>
  <c r="M1223" i="1"/>
  <c r="F1223" i="1"/>
  <c r="P1250" i="1"/>
  <c r="M1250" i="1"/>
  <c r="F1250" i="1"/>
  <c r="P1281" i="1"/>
  <c r="M1281" i="1"/>
  <c r="F1281" i="1"/>
  <c r="N1254" i="1"/>
  <c r="AI1254" i="1" s="1"/>
  <c r="F1254" i="1"/>
  <c r="P1266" i="1"/>
  <c r="M1266" i="1"/>
  <c r="F1266" i="1"/>
  <c r="P1232" i="1"/>
  <c r="M1232" i="1"/>
  <c r="F1232" i="1"/>
  <c r="P1270" i="1"/>
  <c r="M1270" i="1"/>
  <c r="F1270" i="1"/>
  <c r="P1269" i="1"/>
  <c r="M1269" i="1"/>
  <c r="F1269" i="1"/>
  <c r="P1222" i="1"/>
  <c r="M1222" i="1"/>
  <c r="F1222" i="1"/>
  <c r="N1231" i="1"/>
  <c r="AI1231" i="1" s="1"/>
  <c r="F1231" i="1"/>
  <c r="P1280" i="1"/>
  <c r="M1280" i="1"/>
  <c r="F1280" i="1"/>
  <c r="P1282" i="1"/>
  <c r="M1282" i="1"/>
  <c r="F1282" i="1"/>
  <c r="P1243" i="1"/>
  <c r="M1243" i="1"/>
  <c r="F1243" i="1"/>
  <c r="P1230" i="1"/>
  <c r="M1230" i="1"/>
  <c r="F1230" i="1"/>
  <c r="P1220" i="1"/>
  <c r="M1220" i="1"/>
  <c r="F1220" i="1"/>
  <c r="N1229" i="1"/>
  <c r="AI1229" i="1" s="1"/>
  <c r="F1229" i="1"/>
  <c r="P1240" i="1"/>
  <c r="M1240" i="1"/>
  <c r="F1240" i="1"/>
  <c r="P1247" i="1"/>
  <c r="F1247" i="1"/>
  <c r="P1262" i="1"/>
  <c r="M1262" i="1"/>
  <c r="F1262" i="1"/>
  <c r="O1276" i="1"/>
  <c r="AJ1276" i="1" s="1"/>
  <c r="F1276" i="1"/>
  <c r="P1219" i="1"/>
  <c r="M1219" i="1"/>
  <c r="F1219" i="1"/>
  <c r="AC1239" i="1"/>
  <c r="AA1239" i="1"/>
  <c r="P1239" i="1"/>
  <c r="M1239" i="1"/>
  <c r="F1239" i="1"/>
  <c r="P1249" i="1"/>
  <c r="M1249" i="1"/>
  <c r="F1249" i="1"/>
  <c r="P1218" i="1"/>
  <c r="M1218" i="1"/>
  <c r="F1218" i="1"/>
  <c r="AA1238" i="1"/>
  <c r="AH1238" i="1" s="1"/>
  <c r="AI1238" i="1" s="1"/>
  <c r="P1238" i="1"/>
  <c r="M1238" i="1"/>
  <c r="F1238" i="1"/>
  <c r="AA1275" i="1"/>
  <c r="AH1275" i="1" s="1"/>
  <c r="AI1275" i="1" s="1"/>
  <c r="P1275" i="1"/>
  <c r="M1275" i="1"/>
  <c r="F1275" i="1"/>
  <c r="P1212" i="1"/>
  <c r="M1212" i="1"/>
  <c r="F1212" i="1"/>
  <c r="P1235" i="1"/>
  <c r="M1235" i="1"/>
  <c r="F1235" i="1"/>
  <c r="P1237" i="1"/>
  <c r="M1237" i="1"/>
  <c r="F1237" i="1"/>
  <c r="P1251" i="1"/>
  <c r="M1251" i="1"/>
  <c r="F1251" i="1"/>
  <c r="P1211" i="1"/>
  <c r="M1211" i="1"/>
  <c r="F1211" i="1"/>
  <c r="P1210" i="1"/>
  <c r="M1210" i="1"/>
  <c r="F1210" i="1"/>
  <c r="P1221" i="1"/>
  <c r="M1221" i="1"/>
  <c r="F1221" i="1"/>
  <c r="P1236" i="1"/>
  <c r="M1236" i="1"/>
  <c r="F1236" i="1"/>
  <c r="P1246" i="1"/>
  <c r="M1246" i="1"/>
  <c r="F1246" i="1"/>
  <c r="P1268" i="1"/>
  <c r="M1268" i="1"/>
  <c r="F1268" i="1"/>
  <c r="P1203" i="1"/>
  <c r="M1203" i="1"/>
  <c r="F1203" i="1"/>
  <c r="P1204" i="1"/>
  <c r="M1204" i="1"/>
  <c r="F1204" i="1"/>
  <c r="P1205" i="1"/>
  <c r="M1205" i="1"/>
  <c r="F1205" i="1"/>
  <c r="P1206" i="1"/>
  <c r="M1206" i="1"/>
  <c r="F1206" i="1"/>
  <c r="N1188" i="1"/>
  <c r="AI1188" i="1" s="1"/>
  <c r="F1188" i="1"/>
  <c r="N1189" i="1"/>
  <c r="AI1189" i="1" s="1"/>
  <c r="F1189" i="1"/>
  <c r="N1185" i="1"/>
  <c r="AI1185" i="1" s="1"/>
  <c r="F1185" i="1"/>
  <c r="N1124" i="1"/>
  <c r="AI1124" i="1" s="1"/>
  <c r="F1124" i="1"/>
  <c r="P1125" i="1"/>
  <c r="M1125" i="1"/>
  <c r="F1125" i="1"/>
  <c r="P1129" i="1"/>
  <c r="M1129" i="1"/>
  <c r="F1129" i="1"/>
  <c r="P1120" i="1"/>
  <c r="M1120" i="1"/>
  <c r="F1120" i="1"/>
  <c r="N1119" i="1"/>
  <c r="AI1119" i="1" s="1"/>
  <c r="F1119" i="1"/>
  <c r="P1122" i="1"/>
  <c r="M1122" i="1"/>
  <c r="F1122" i="1"/>
  <c r="P1127" i="1"/>
  <c r="M1127" i="1"/>
  <c r="F1127" i="1"/>
  <c r="N1133" i="1"/>
  <c r="AI1133" i="1" s="1"/>
  <c r="F1133" i="1"/>
  <c r="P1128" i="1"/>
  <c r="M1128" i="1"/>
  <c r="F1128" i="1"/>
  <c r="N1126" i="1"/>
  <c r="AI1126" i="1" s="1"/>
  <c r="F1126" i="1"/>
  <c r="N1121" i="1"/>
  <c r="AI1121" i="1" s="1"/>
  <c r="F1121" i="1"/>
  <c r="N1117" i="1"/>
  <c r="AI1117" i="1" s="1"/>
  <c r="F1117" i="1"/>
  <c r="N1116" i="1"/>
  <c r="AI1116" i="1" s="1"/>
  <c r="F1116" i="1"/>
  <c r="P1132" i="1"/>
  <c r="M1132" i="1"/>
  <c r="F1132" i="1"/>
  <c r="P1131" i="1"/>
  <c r="M1131" i="1"/>
  <c r="F1131" i="1"/>
  <c r="P1130" i="1"/>
  <c r="M1130" i="1"/>
  <c r="F1130" i="1"/>
  <c r="P1115" i="1"/>
  <c r="M1115" i="1"/>
  <c r="F1115" i="1"/>
  <c r="P1113" i="1"/>
  <c r="M1113" i="1"/>
  <c r="F1113" i="1"/>
  <c r="P1111" i="1"/>
  <c r="M1111" i="1"/>
  <c r="F1111" i="1"/>
  <c r="N1114" i="1"/>
  <c r="AI1114" i="1" s="1"/>
  <c r="F1114" i="1"/>
  <c r="P1108" i="1"/>
  <c r="M1108" i="1"/>
  <c r="F1108" i="1"/>
  <c r="P1107" i="1"/>
  <c r="M1107" i="1"/>
  <c r="F1107" i="1"/>
  <c r="P1102" i="1"/>
  <c r="M1102" i="1"/>
  <c r="F1102" i="1"/>
  <c r="P1106" i="1"/>
  <c r="M1106" i="1"/>
  <c r="F1106" i="1"/>
  <c r="P1101" i="1"/>
  <c r="M1101" i="1"/>
  <c r="F1101" i="1"/>
  <c r="P1100" i="1"/>
  <c r="M1100" i="1"/>
  <c r="F1100" i="1"/>
  <c r="P1110" i="1"/>
  <c r="M1110" i="1"/>
  <c r="F1110" i="1"/>
  <c r="P1109" i="1"/>
  <c r="M1109" i="1"/>
  <c r="F1109" i="1"/>
  <c r="P1092" i="1"/>
  <c r="M1092" i="1"/>
  <c r="F1092" i="1"/>
  <c r="P1099" i="1"/>
  <c r="M1099" i="1"/>
  <c r="AA1091" i="1"/>
  <c r="AH1091" i="1" s="1"/>
  <c r="AI1091" i="1" s="1"/>
  <c r="P1091" i="1"/>
  <c r="M1091" i="1"/>
  <c r="F1091" i="1"/>
  <c r="AA1096" i="1"/>
  <c r="AH1096" i="1" s="1"/>
  <c r="AI1096" i="1" s="1"/>
  <c r="P1096" i="1"/>
  <c r="M1096" i="1"/>
  <c r="F1096" i="1"/>
  <c r="N1098" i="1"/>
  <c r="AI1098" i="1" s="1"/>
  <c r="F1098" i="1"/>
  <c r="AA1097" i="1"/>
  <c r="AH1097" i="1" s="1"/>
  <c r="N1097" i="1"/>
  <c r="F1097" i="1"/>
  <c r="P1104" i="1"/>
  <c r="M1104" i="1"/>
  <c r="F1104" i="1"/>
  <c r="AC1103" i="1"/>
  <c r="AA1103" i="1"/>
  <c r="N1103" i="1"/>
  <c r="F1103" i="1"/>
  <c r="AA1090" i="1"/>
  <c r="AH1090" i="1" s="1"/>
  <c r="AI1090" i="1" s="1"/>
  <c r="P1090" i="1"/>
  <c r="M1090" i="1"/>
  <c r="F1090" i="1"/>
  <c r="N1087" i="1"/>
  <c r="AI1087" i="1" s="1"/>
  <c r="F1087" i="1"/>
  <c r="N1088" i="1"/>
  <c r="AI1088" i="1" s="1"/>
  <c r="F1088" i="1"/>
  <c r="N1089" i="1"/>
  <c r="AI1089" i="1" s="1"/>
  <c r="F1089" i="1"/>
  <c r="P1068" i="1"/>
  <c r="M1068" i="1"/>
  <c r="F1068" i="1"/>
  <c r="N1036" i="1"/>
  <c r="AI1036" i="1" s="1"/>
  <c r="F1036" i="1"/>
  <c r="P1035" i="1"/>
  <c r="M1035" i="1"/>
  <c r="F1035" i="1"/>
  <c r="P1046" i="1"/>
  <c r="M1046" i="1"/>
  <c r="F1046" i="1"/>
  <c r="P1047" i="1"/>
  <c r="M1047" i="1"/>
  <c r="F1047" i="1"/>
  <c r="P1055" i="1"/>
  <c r="M1055" i="1"/>
  <c r="F1055" i="1"/>
  <c r="P1054" i="1"/>
  <c r="M1054" i="1"/>
  <c r="F1054" i="1"/>
  <c r="P1059" i="1"/>
  <c r="M1059" i="1"/>
  <c r="F1059" i="1"/>
  <c r="P1064" i="1"/>
  <c r="M1064" i="1"/>
  <c r="F1064" i="1"/>
  <c r="P1063" i="1"/>
  <c r="M1063" i="1"/>
  <c r="F1063" i="1"/>
  <c r="P1067" i="1"/>
  <c r="M1067" i="1"/>
  <c r="F1067" i="1"/>
  <c r="P1073" i="1"/>
  <c r="M1073" i="1"/>
  <c r="F1073" i="1"/>
  <c r="P1072" i="1"/>
  <c r="M1072" i="1"/>
  <c r="F1072" i="1"/>
  <c r="P1080" i="1"/>
  <c r="M1080" i="1"/>
  <c r="F1080" i="1"/>
  <c r="P1084" i="1"/>
  <c r="M1084" i="1"/>
  <c r="F1084" i="1"/>
  <c r="P1038" i="1"/>
  <c r="M1038" i="1"/>
  <c r="F1038" i="1"/>
  <c r="P1053" i="1"/>
  <c r="M1053" i="1"/>
  <c r="F1053" i="1"/>
  <c r="P1052" i="1"/>
  <c r="M1052" i="1"/>
  <c r="F1052" i="1"/>
  <c r="P1051" i="1"/>
  <c r="M1051" i="1"/>
  <c r="F1051" i="1"/>
  <c r="P1062" i="1"/>
  <c r="M1062" i="1"/>
  <c r="F1062" i="1"/>
  <c r="P1061" i="1"/>
  <c r="M1061" i="1"/>
  <c r="F1061" i="1"/>
  <c r="O1071" i="1"/>
  <c r="AJ1071" i="1" s="1"/>
  <c r="M1071" i="1"/>
  <c r="F1071" i="1"/>
  <c r="P1040" i="1"/>
  <c r="M1040" i="1"/>
  <c r="F1040" i="1"/>
  <c r="P1031" i="1"/>
  <c r="M1031" i="1"/>
  <c r="F1031" i="1"/>
  <c r="P1030" i="1"/>
  <c r="M1030" i="1"/>
  <c r="F1030" i="1"/>
  <c r="P1045" i="1"/>
  <c r="M1045" i="1"/>
  <c r="F1045" i="1"/>
  <c r="P1066" i="1"/>
  <c r="M1066" i="1"/>
  <c r="F1066" i="1"/>
  <c r="O1070" i="1"/>
  <c r="N1070" i="1"/>
  <c r="AI1070" i="1" s="1"/>
  <c r="Q1070" i="1" s="1"/>
  <c r="F1070" i="1"/>
  <c r="O1083" i="1"/>
  <c r="AJ1083" i="1" s="1"/>
  <c r="M1083" i="1"/>
  <c r="F1083" i="1"/>
  <c r="P1037" i="1"/>
  <c r="M1037" i="1"/>
  <c r="F1037" i="1"/>
  <c r="P1060" i="1"/>
  <c r="M1060" i="1"/>
  <c r="F1060" i="1"/>
  <c r="P1058" i="1"/>
  <c r="M1058" i="1"/>
  <c r="F1058" i="1"/>
  <c r="N1029" i="1"/>
  <c r="AI1029" i="1" s="1"/>
  <c r="F1029" i="1"/>
  <c r="N1028" i="1"/>
  <c r="AI1028" i="1" s="1"/>
  <c r="F1028" i="1"/>
  <c r="O1050" i="1"/>
  <c r="AJ1050" i="1" s="1"/>
  <c r="M1050" i="1"/>
  <c r="F1050" i="1"/>
  <c r="O1065" i="1"/>
  <c r="AJ1065" i="1" s="1"/>
  <c r="M1065" i="1"/>
  <c r="F1065" i="1"/>
  <c r="P1027" i="1"/>
  <c r="M1027" i="1"/>
  <c r="F1027" i="1"/>
  <c r="P1044" i="1"/>
  <c r="M1044" i="1"/>
  <c r="F1044" i="1"/>
  <c r="P1043" i="1"/>
  <c r="M1043" i="1"/>
  <c r="F1043" i="1"/>
  <c r="P1049" i="1"/>
  <c r="M1049" i="1"/>
  <c r="F1049" i="1"/>
  <c r="P1079" i="1"/>
  <c r="M1079" i="1"/>
  <c r="F1079" i="1"/>
  <c r="P1082" i="1"/>
  <c r="M1082" i="1"/>
  <c r="F1082" i="1"/>
  <c r="P1086" i="1"/>
  <c r="M1086" i="1"/>
  <c r="F1086" i="1"/>
  <c r="P1026" i="1"/>
  <c r="M1026" i="1"/>
  <c r="F1026" i="1"/>
  <c r="P1042" i="1"/>
  <c r="M1042" i="1"/>
  <c r="F1042" i="1"/>
  <c r="P1041" i="1"/>
  <c r="M1041" i="1"/>
  <c r="F1041" i="1"/>
  <c r="P1048" i="1"/>
  <c r="M1048" i="1"/>
  <c r="F1048" i="1"/>
  <c r="P1057" i="1"/>
  <c r="M1057" i="1"/>
  <c r="F1057" i="1"/>
  <c r="P1081" i="1"/>
  <c r="M1081" i="1"/>
  <c r="F1081" i="1"/>
  <c r="P1085" i="1"/>
  <c r="M1085" i="1"/>
  <c r="F1085" i="1"/>
  <c r="P1025" i="1"/>
  <c r="M1025" i="1"/>
  <c r="F1025" i="1"/>
  <c r="P1056" i="1"/>
  <c r="M1056" i="1"/>
  <c r="F1056" i="1"/>
  <c r="N1078" i="1"/>
  <c r="AI1078" i="1" s="1"/>
  <c r="F1078" i="1"/>
  <c r="P903" i="1"/>
  <c r="M903" i="1"/>
  <c r="F903" i="1"/>
  <c r="P909" i="1"/>
  <c r="M909" i="1"/>
  <c r="F909" i="1"/>
  <c r="N912" i="1"/>
  <c r="AI912" i="1" s="1"/>
  <c r="F912" i="1"/>
  <c r="N899" i="1"/>
  <c r="AI899" i="1" s="1"/>
  <c r="F899" i="1"/>
  <c r="P895" i="1"/>
  <c r="M895" i="1"/>
  <c r="F895" i="1"/>
  <c r="P894" i="1"/>
  <c r="M894" i="1"/>
  <c r="F894" i="1"/>
  <c r="P890" i="1"/>
  <c r="M890" i="1"/>
  <c r="F890" i="1"/>
  <c r="P906" i="1"/>
  <c r="M906" i="1"/>
  <c r="F906" i="1"/>
  <c r="P905" i="1"/>
  <c r="M905" i="1"/>
  <c r="F905" i="1"/>
  <c r="P891" i="1"/>
  <c r="M891" i="1"/>
  <c r="F891" i="1"/>
  <c r="N897" i="1"/>
  <c r="AI897" i="1" s="1"/>
  <c r="F897" i="1"/>
  <c r="N888" i="1"/>
  <c r="AI888" i="1" s="1"/>
  <c r="F888" i="1"/>
  <c r="N904" i="1"/>
  <c r="AI904" i="1" s="1"/>
  <c r="F904" i="1"/>
  <c r="N887" i="1"/>
  <c r="AI887" i="1" s="1"/>
  <c r="F887" i="1"/>
  <c r="P886" i="1"/>
  <c r="M886" i="1"/>
  <c r="F886" i="1"/>
  <c r="P902" i="1"/>
  <c r="M902" i="1"/>
  <c r="F902" i="1"/>
  <c r="P898" i="1"/>
  <c r="M898" i="1"/>
  <c r="F898" i="1"/>
  <c r="N901" i="1"/>
  <c r="AI901" i="1" s="1"/>
  <c r="F901" i="1"/>
  <c r="P896" i="1"/>
  <c r="M896" i="1"/>
  <c r="F896" i="1"/>
  <c r="P900" i="1"/>
  <c r="M900" i="1"/>
  <c r="F900" i="1"/>
  <c r="P908" i="1"/>
  <c r="M908" i="1"/>
  <c r="F908" i="1"/>
  <c r="P907" i="1"/>
  <c r="M907" i="1"/>
  <c r="F907" i="1"/>
  <c r="P911" i="1"/>
  <c r="M911" i="1"/>
  <c r="F911" i="1"/>
  <c r="P910" i="1"/>
  <c r="M910" i="1"/>
  <c r="F910" i="1"/>
  <c r="N885" i="1"/>
  <c r="AI885" i="1" s="1"/>
  <c r="F885" i="1"/>
  <c r="P738" i="1"/>
  <c r="M738" i="1"/>
  <c r="F738" i="1"/>
  <c r="AC739" i="1"/>
  <c r="AA739" i="1"/>
  <c r="P739" i="1"/>
  <c r="M739" i="1"/>
  <c r="F739" i="1"/>
  <c r="N731" i="1"/>
  <c r="AI731" i="1" s="1"/>
  <c r="F731" i="1"/>
  <c r="N730" i="1"/>
  <c r="AI730" i="1" s="1"/>
  <c r="F730" i="1"/>
  <c r="P729" i="1"/>
  <c r="M729" i="1"/>
  <c r="F729" i="1"/>
  <c r="P720" i="1"/>
  <c r="M720" i="1"/>
  <c r="F720" i="1"/>
  <c r="P723" i="1"/>
  <c r="M723" i="1"/>
  <c r="F723" i="1"/>
  <c r="F717" i="1"/>
  <c r="P734" i="1"/>
  <c r="M734" i="1"/>
  <c r="F734" i="1"/>
  <c r="F716" i="1"/>
  <c r="P726" i="1"/>
  <c r="M726" i="1"/>
  <c r="F726" i="1"/>
  <c r="N733" i="1"/>
  <c r="AI733" i="1" s="1"/>
  <c r="F733" i="1"/>
  <c r="P732" i="1"/>
  <c r="M732" i="1"/>
  <c r="F732" i="1"/>
  <c r="P648" i="1"/>
  <c r="M648" i="1"/>
  <c r="F648" i="1"/>
  <c r="P647" i="1"/>
  <c r="M647" i="1"/>
  <c r="F647" i="1"/>
  <c r="AA650" i="1"/>
  <c r="AH650" i="1" s="1"/>
  <c r="N650" i="1"/>
  <c r="F650" i="1"/>
  <c r="AA649" i="1"/>
  <c r="AH649" i="1" s="1"/>
  <c r="N649" i="1"/>
  <c r="P649" i="1" s="1"/>
  <c r="F649" i="1"/>
  <c r="P598" i="1"/>
  <c r="M598" i="1"/>
  <c r="F598" i="1"/>
  <c r="P603" i="1"/>
  <c r="M603" i="1"/>
  <c r="F603" i="1"/>
  <c r="P606" i="1"/>
  <c r="M606" i="1"/>
  <c r="F606" i="1"/>
  <c r="P602" i="1"/>
  <c r="M602" i="1"/>
  <c r="P599" i="1"/>
  <c r="M599" i="1"/>
  <c r="F599" i="1"/>
  <c r="P601" i="1"/>
  <c r="M601" i="1"/>
  <c r="F601" i="1"/>
  <c r="P600" i="1"/>
  <c r="M600" i="1"/>
  <c r="F600" i="1"/>
  <c r="P604" i="1"/>
  <c r="M604" i="1"/>
  <c r="F604" i="1"/>
  <c r="N609" i="1"/>
  <c r="AI609" i="1" s="1"/>
  <c r="F609" i="1"/>
  <c r="N608" i="1"/>
  <c r="AI608" i="1" s="1"/>
  <c r="F608" i="1"/>
  <c r="P534" i="1"/>
  <c r="M534" i="1"/>
  <c r="F534" i="1"/>
  <c r="N533" i="1"/>
  <c r="AI533" i="1" s="1"/>
  <c r="F533" i="1"/>
  <c r="P535" i="1"/>
  <c r="M535" i="1"/>
  <c r="F535" i="1"/>
  <c r="P498" i="1"/>
  <c r="M498" i="1"/>
  <c r="F498" i="1"/>
  <c r="P505" i="1"/>
  <c r="M505" i="1"/>
  <c r="F505" i="1"/>
  <c r="P509" i="1"/>
  <c r="M509" i="1"/>
  <c r="F509" i="1"/>
  <c r="P508" i="1"/>
  <c r="M508" i="1"/>
  <c r="F508" i="1"/>
  <c r="P493" i="1"/>
  <c r="M493" i="1"/>
  <c r="F493" i="1"/>
  <c r="P504" i="1"/>
  <c r="M504" i="1"/>
  <c r="F504" i="1"/>
  <c r="P513" i="1"/>
  <c r="M513" i="1"/>
  <c r="F513" i="1"/>
  <c r="P512" i="1"/>
  <c r="M512" i="1"/>
  <c r="F512" i="1"/>
  <c r="P503" i="1"/>
  <c r="M503" i="1"/>
  <c r="F503" i="1"/>
  <c r="F492" i="1"/>
  <c r="P488" i="1"/>
  <c r="M488" i="1"/>
  <c r="F488" i="1"/>
  <c r="P487" i="1"/>
  <c r="M487" i="1"/>
  <c r="F487" i="1"/>
  <c r="P497" i="1"/>
  <c r="M497" i="1"/>
  <c r="F497" i="1"/>
  <c r="P490" i="1"/>
  <c r="M490" i="1"/>
  <c r="F490" i="1"/>
  <c r="F507" i="1"/>
  <c r="P506" i="1"/>
  <c r="M506" i="1"/>
  <c r="F506" i="1"/>
  <c r="P486" i="1"/>
  <c r="M486" i="1"/>
  <c r="F486" i="1"/>
  <c r="F489" i="1"/>
  <c r="P496" i="1"/>
  <c r="M496" i="1"/>
  <c r="F496" i="1"/>
  <c r="N510" i="1"/>
  <c r="AI510" i="1" s="1"/>
  <c r="F510" i="1"/>
  <c r="P432" i="1"/>
  <c r="M432" i="1"/>
  <c r="F432" i="1"/>
  <c r="P434" i="1"/>
  <c r="M434" i="1"/>
  <c r="F434" i="1"/>
  <c r="P433" i="1"/>
  <c r="M433" i="1"/>
  <c r="F433" i="1"/>
  <c r="P435" i="1"/>
  <c r="M435" i="1"/>
  <c r="F435" i="1"/>
  <c r="P429" i="1"/>
  <c r="M429" i="1"/>
  <c r="F429" i="1"/>
  <c r="P431" i="1"/>
  <c r="M431" i="1"/>
  <c r="F431" i="1"/>
  <c r="P430" i="1"/>
  <c r="M430" i="1"/>
  <c r="F430" i="1"/>
  <c r="N415" i="1"/>
  <c r="AI415" i="1" s="1"/>
  <c r="F415" i="1"/>
  <c r="P416" i="1"/>
  <c r="M416" i="1"/>
  <c r="F416" i="1"/>
  <c r="N418" i="1"/>
  <c r="AI418" i="1" s="1"/>
  <c r="F418" i="1"/>
  <c r="N417" i="1"/>
  <c r="AI417" i="1" s="1"/>
  <c r="F417" i="1"/>
  <c r="N414" i="1"/>
  <c r="AI414" i="1" s="1"/>
  <c r="F414" i="1"/>
  <c r="P389" i="1"/>
  <c r="M389" i="1"/>
  <c r="F389" i="1"/>
  <c r="P388" i="1"/>
  <c r="M388" i="1"/>
  <c r="F388" i="1"/>
  <c r="P387" i="1"/>
  <c r="M387" i="1"/>
  <c r="F387" i="1"/>
  <c r="P339" i="1"/>
  <c r="M339" i="1"/>
  <c r="F339" i="1"/>
  <c r="P345" i="1"/>
  <c r="M345" i="1"/>
  <c r="F345" i="1"/>
  <c r="P344" i="1"/>
  <c r="M344" i="1"/>
  <c r="F344" i="1"/>
  <c r="P348" i="1"/>
  <c r="M348" i="1"/>
  <c r="F348" i="1"/>
  <c r="P352" i="1"/>
  <c r="M352" i="1"/>
  <c r="F352" i="1"/>
  <c r="N342" i="1"/>
  <c r="AI342" i="1" s="1"/>
  <c r="F342" i="1"/>
  <c r="AA338" i="1"/>
  <c r="AH338" i="1" s="1"/>
  <c r="N338" i="1"/>
  <c r="P338" i="1" s="1"/>
  <c r="F338" i="1"/>
  <c r="N347" i="1"/>
  <c r="AI347" i="1" s="1"/>
  <c r="F347" i="1"/>
  <c r="O337" i="1"/>
  <c r="AJ337" i="1" s="1"/>
  <c r="M337" i="1"/>
  <c r="F337" i="1"/>
  <c r="P333" i="1"/>
  <c r="M333" i="1"/>
  <c r="F333" i="1"/>
  <c r="P341" i="1"/>
  <c r="M341" i="1"/>
  <c r="F341" i="1"/>
  <c r="O335" i="1"/>
  <c r="AJ335" i="1" s="1"/>
  <c r="M335" i="1"/>
  <c r="F335" i="1"/>
  <c r="P340" i="1"/>
  <c r="M340" i="1"/>
  <c r="F340" i="1"/>
  <c r="O334" i="1"/>
  <c r="AJ334" i="1" s="1"/>
  <c r="M334" i="1"/>
  <c r="F334" i="1"/>
  <c r="AC343" i="1"/>
  <c r="AA343" i="1"/>
  <c r="P343" i="1"/>
  <c r="M343" i="1"/>
  <c r="F343" i="1"/>
  <c r="N346" i="1"/>
  <c r="AI346" i="1" s="1"/>
  <c r="F346" i="1"/>
  <c r="P294" i="1"/>
  <c r="M294" i="1"/>
  <c r="F294" i="1"/>
  <c r="P299" i="1"/>
  <c r="M299" i="1"/>
  <c r="F299" i="1"/>
  <c r="P296" i="1"/>
  <c r="M296" i="1"/>
  <c r="F296" i="1"/>
  <c r="P307" i="1"/>
  <c r="M307" i="1"/>
  <c r="F307" i="1"/>
  <c r="P295" i="1"/>
  <c r="M295" i="1"/>
  <c r="F295" i="1"/>
  <c r="P293" i="1"/>
  <c r="M293" i="1"/>
  <c r="F293" i="1"/>
  <c r="P304" i="1"/>
  <c r="M304" i="1"/>
  <c r="F304" i="1"/>
  <c r="P303" i="1"/>
  <c r="M303" i="1"/>
  <c r="F303" i="1"/>
  <c r="N298" i="1"/>
  <c r="AI298" i="1" s="1"/>
  <c r="F298" i="1"/>
  <c r="P292" i="1"/>
  <c r="M292" i="1"/>
  <c r="F292" i="1"/>
  <c r="P300" i="1"/>
  <c r="M300" i="1"/>
  <c r="F300" i="1"/>
  <c r="P302" i="1"/>
  <c r="M302" i="1"/>
  <c r="F302" i="1"/>
  <c r="P308" i="1"/>
  <c r="M308" i="1"/>
  <c r="F308" i="1"/>
  <c r="P301" i="1"/>
  <c r="M301" i="1"/>
  <c r="F301" i="1"/>
  <c r="AA291" i="1"/>
  <c r="AH291" i="1" s="1"/>
  <c r="AI291" i="1" s="1"/>
  <c r="P291" i="1"/>
  <c r="M291" i="1"/>
  <c r="F291" i="1"/>
  <c r="AA297" i="1"/>
  <c r="AH297" i="1" s="1"/>
  <c r="AI297" i="1" s="1"/>
  <c r="P297" i="1"/>
  <c r="M297" i="1"/>
  <c r="F297" i="1"/>
  <c r="P306" i="1"/>
  <c r="M306" i="1"/>
  <c r="F306" i="1"/>
  <c r="P305" i="1"/>
  <c r="M305" i="1"/>
  <c r="F305" i="1"/>
  <c r="P186" i="1"/>
  <c r="M186" i="1"/>
  <c r="F186" i="1"/>
  <c r="P174" i="1"/>
  <c r="M174" i="1"/>
  <c r="F174" i="1"/>
  <c r="P175" i="1"/>
  <c r="M175" i="1"/>
  <c r="F175" i="1"/>
  <c r="AA177" i="1"/>
  <c r="AH177" i="1" s="1"/>
  <c r="AI177" i="1" s="1"/>
  <c r="P177" i="1"/>
  <c r="M177" i="1"/>
  <c r="F177" i="1"/>
  <c r="P179" i="1"/>
  <c r="M179" i="1"/>
  <c r="F179" i="1"/>
  <c r="P188" i="1"/>
  <c r="M188" i="1"/>
  <c r="F188" i="1"/>
  <c r="N190" i="1"/>
  <c r="AI190" i="1" s="1"/>
  <c r="F190" i="1"/>
  <c r="P184" i="1"/>
  <c r="M184" i="1"/>
  <c r="F184" i="1"/>
  <c r="P172" i="1"/>
  <c r="M172" i="1"/>
  <c r="F172" i="1"/>
  <c r="P171" i="1"/>
  <c r="M171" i="1"/>
  <c r="F171" i="1"/>
  <c r="N183" i="1"/>
  <c r="AI183" i="1" s="1"/>
  <c r="F183" i="1"/>
  <c r="P176" i="1"/>
  <c r="M176" i="1"/>
  <c r="F176" i="1"/>
  <c r="P178" i="1"/>
  <c r="M178" i="1"/>
  <c r="F178" i="1"/>
  <c r="N182" i="1"/>
  <c r="AI182" i="1" s="1"/>
  <c r="F182" i="1"/>
  <c r="P187" i="1"/>
  <c r="M187" i="1"/>
  <c r="F187" i="1"/>
  <c r="P189" i="1"/>
  <c r="M189" i="1"/>
  <c r="F189" i="1"/>
  <c r="P173" i="1"/>
  <c r="M173" i="1"/>
  <c r="F173" i="1"/>
  <c r="P170" i="1"/>
  <c r="M170" i="1"/>
  <c r="F170" i="1"/>
  <c r="P169" i="1"/>
  <c r="M169" i="1"/>
  <c r="F169" i="1"/>
  <c r="P161" i="1"/>
  <c r="M161" i="1"/>
  <c r="F161" i="1"/>
  <c r="P162" i="1"/>
  <c r="M162" i="1"/>
  <c r="F162" i="1"/>
  <c r="P164" i="1"/>
  <c r="M164" i="1"/>
  <c r="F164" i="1"/>
  <c r="P163" i="1"/>
  <c r="M163" i="1"/>
  <c r="F163" i="1"/>
  <c r="N165" i="1"/>
  <c r="AI165" i="1" s="1"/>
  <c r="F165" i="1"/>
  <c r="P166" i="1"/>
  <c r="M166" i="1"/>
  <c r="F166" i="1"/>
  <c r="P168" i="1"/>
  <c r="M168" i="1"/>
  <c r="F168" i="1"/>
  <c r="P167" i="1"/>
  <c r="M167" i="1"/>
  <c r="F167" i="1"/>
  <c r="P123" i="1"/>
  <c r="M123" i="1"/>
  <c r="F123" i="1"/>
  <c r="P122" i="1"/>
  <c r="M122" i="1"/>
  <c r="F122" i="1"/>
  <c r="P116" i="1"/>
  <c r="M116" i="1"/>
  <c r="F116" i="1"/>
  <c r="P120" i="1"/>
  <c r="M120" i="1"/>
  <c r="F120" i="1"/>
  <c r="N119" i="1"/>
  <c r="AI119" i="1" s="1"/>
  <c r="F119" i="1"/>
  <c r="P118" i="1"/>
  <c r="M118" i="1"/>
  <c r="F118" i="1"/>
  <c r="P117" i="1"/>
  <c r="M117" i="1"/>
  <c r="F117" i="1"/>
  <c r="P121" i="1"/>
  <c r="M121" i="1"/>
  <c r="F121" i="1"/>
  <c r="AA69" i="1"/>
  <c r="AH69" i="1" s="1"/>
  <c r="N69" i="1"/>
  <c r="F69" i="1"/>
  <c r="P104" i="1"/>
  <c r="M104" i="1"/>
  <c r="F104" i="1"/>
  <c r="N103" i="1"/>
  <c r="AI103" i="1" s="1"/>
  <c r="F103" i="1"/>
  <c r="N87" i="1"/>
  <c r="AI87" i="1" s="1"/>
  <c r="F87" i="1"/>
  <c r="N106" i="1"/>
  <c r="AI106" i="1" s="1"/>
  <c r="F106" i="1"/>
  <c r="N68" i="1"/>
  <c r="AI68" i="1" s="1"/>
  <c r="F68" i="1"/>
  <c r="P74" i="1"/>
  <c r="M74" i="1"/>
  <c r="F74" i="1"/>
  <c r="P86" i="1"/>
  <c r="M86" i="1"/>
  <c r="F86" i="1"/>
  <c r="P82" i="1"/>
  <c r="M82" i="1"/>
  <c r="P59" i="1"/>
  <c r="M59" i="1"/>
  <c r="F59" i="1"/>
  <c r="P92" i="1"/>
  <c r="M92" i="1"/>
  <c r="F92" i="1"/>
  <c r="N91" i="1"/>
  <c r="AI91" i="1" s="1"/>
  <c r="F91" i="1"/>
  <c r="N90" i="1"/>
  <c r="AI90" i="1" s="1"/>
  <c r="F90" i="1"/>
  <c r="N85" i="1"/>
  <c r="AI85" i="1" s="1"/>
  <c r="F85" i="1"/>
  <c r="P81" i="1"/>
  <c r="M81" i="1"/>
  <c r="F81" i="1"/>
  <c r="P80" i="1"/>
  <c r="M80" i="1"/>
  <c r="F80" i="1"/>
  <c r="P67" i="1"/>
  <c r="M67" i="1"/>
  <c r="F67" i="1"/>
  <c r="N75" i="1"/>
  <c r="AI75" i="1" s="1"/>
  <c r="F75" i="1"/>
  <c r="P76" i="1"/>
  <c r="M76" i="1"/>
  <c r="F76" i="1"/>
  <c r="P57" i="1"/>
  <c r="M57" i="1"/>
  <c r="F57" i="1"/>
  <c r="P98" i="1"/>
  <c r="M98" i="1"/>
  <c r="F98" i="1"/>
  <c r="P112" i="1"/>
  <c r="M112" i="1"/>
  <c r="F112" i="1"/>
  <c r="P111" i="1"/>
  <c r="M111" i="1"/>
  <c r="F111" i="1"/>
  <c r="P66" i="1"/>
  <c r="M66" i="1"/>
  <c r="F66" i="1"/>
  <c r="P65" i="1"/>
  <c r="M65" i="1"/>
  <c r="F65" i="1"/>
  <c r="AA72" i="1"/>
  <c r="AH72" i="1" s="1"/>
  <c r="AI72" i="1" s="1"/>
  <c r="P72" i="1"/>
  <c r="M72" i="1"/>
  <c r="F72" i="1"/>
  <c r="P64" i="1"/>
  <c r="M64" i="1"/>
  <c r="F64" i="1"/>
  <c r="P63" i="1"/>
  <c r="M63" i="1"/>
  <c r="N97" i="1"/>
  <c r="AI97" i="1" s="1"/>
  <c r="F97" i="1"/>
  <c r="P94" i="1"/>
  <c r="M94" i="1"/>
  <c r="F94" i="1"/>
  <c r="P109" i="1"/>
  <c r="M109" i="1"/>
  <c r="F109" i="1"/>
  <c r="N84" i="1"/>
  <c r="AI84" i="1" s="1"/>
  <c r="F84" i="1"/>
  <c r="N83" i="1"/>
  <c r="AI83" i="1" s="1"/>
  <c r="F83" i="1"/>
  <c r="N96" i="1"/>
  <c r="AI96" i="1" s="1"/>
  <c r="F96" i="1"/>
  <c r="AC62" i="1"/>
  <c r="AA62" i="1"/>
  <c r="P62" i="1"/>
  <c r="M62" i="1"/>
  <c r="F62" i="1"/>
  <c r="AC61" i="1"/>
  <c r="AH61" i="1" s="1"/>
  <c r="N61" i="1"/>
  <c r="F61" i="1"/>
  <c r="P71" i="1"/>
  <c r="M71" i="1"/>
  <c r="F71" i="1"/>
  <c r="P77" i="1"/>
  <c r="M77" i="1"/>
  <c r="F77" i="1"/>
  <c r="P78" i="1"/>
  <c r="M78" i="1"/>
  <c r="F78" i="1"/>
  <c r="P88" i="1"/>
  <c r="M88" i="1"/>
  <c r="F88" i="1"/>
  <c r="P105" i="1"/>
  <c r="M105" i="1"/>
  <c r="F105" i="1"/>
  <c r="AA108" i="1"/>
  <c r="AH108" i="1" s="1"/>
  <c r="AI108" i="1" s="1"/>
  <c r="P108" i="1"/>
  <c r="M108" i="1"/>
  <c r="F108" i="1"/>
  <c r="P107" i="1"/>
  <c r="M107" i="1"/>
  <c r="F107" i="1"/>
  <c r="P79" i="1"/>
  <c r="M79" i="1"/>
  <c r="F79" i="1"/>
  <c r="P95" i="1"/>
  <c r="M95" i="1"/>
  <c r="F95" i="1"/>
  <c r="P101" i="1"/>
  <c r="M101" i="1"/>
  <c r="F101" i="1"/>
  <c r="P114" i="1"/>
  <c r="M114" i="1"/>
  <c r="F114" i="1"/>
  <c r="P60" i="1"/>
  <c r="M60" i="1"/>
  <c r="F60" i="1"/>
  <c r="P70" i="1"/>
  <c r="M70" i="1"/>
  <c r="F70" i="1"/>
  <c r="P33" i="1"/>
  <c r="M33" i="1"/>
  <c r="F33" i="1"/>
  <c r="P32" i="1"/>
  <c r="M32" i="1"/>
  <c r="F32" i="1"/>
  <c r="P31" i="1"/>
  <c r="M31" i="1"/>
  <c r="F31" i="1"/>
  <c r="P30" i="1"/>
  <c r="M30" i="1"/>
  <c r="F30" i="1"/>
  <c r="N29" i="1"/>
  <c r="AI29" i="1" s="1"/>
  <c r="F29" i="1"/>
  <c r="P26" i="1"/>
  <c r="M26" i="1"/>
  <c r="F26" i="1"/>
  <c r="P25" i="1"/>
  <c r="M25" i="1"/>
  <c r="F25" i="1"/>
  <c r="P28" i="1"/>
  <c r="M28" i="1"/>
  <c r="F28" i="1"/>
  <c r="P27" i="1"/>
  <c r="M27" i="1"/>
  <c r="F27" i="1"/>
  <c r="P22" i="1"/>
  <c r="M22" i="1"/>
  <c r="F22" i="1"/>
  <c r="N24" i="1"/>
  <c r="AI24" i="1" s="1"/>
  <c r="F24" i="1"/>
  <c r="N23" i="1"/>
  <c r="AI23" i="1" s="1"/>
  <c r="F23" i="1"/>
  <c r="P19" i="1"/>
  <c r="M19" i="1"/>
  <c r="F19" i="1"/>
  <c r="P20" i="1"/>
  <c r="M20" i="1"/>
  <c r="F20" i="1"/>
  <c r="P17" i="1"/>
  <c r="M17" i="1"/>
  <c r="F17" i="1"/>
  <c r="P16" i="1"/>
  <c r="M16" i="1"/>
  <c r="F16" i="1"/>
  <c r="P15" i="1"/>
  <c r="M15" i="1"/>
  <c r="F15" i="1"/>
  <c r="P18" i="1"/>
  <c r="M18" i="1"/>
  <c r="F18" i="1"/>
  <c r="AJ23" i="1" l="1"/>
  <c r="Q23" i="1"/>
  <c r="AJ24" i="1"/>
  <c r="Q24" i="1"/>
  <c r="AJ29" i="1"/>
  <c r="Q29" i="1"/>
  <c r="AJ83" i="1"/>
  <c r="Q83" i="1"/>
  <c r="AJ119" i="1"/>
  <c r="Q119" i="1"/>
  <c r="AJ182" i="1"/>
  <c r="Q182" i="1"/>
  <c r="AJ183" i="1"/>
  <c r="Q183" i="1"/>
  <c r="AJ297" i="1"/>
  <c r="Q297" i="1"/>
  <c r="AJ291" i="1"/>
  <c r="Q291" i="1"/>
  <c r="AJ347" i="1"/>
  <c r="Q347" i="1"/>
  <c r="AJ415" i="1"/>
  <c r="Q415" i="1"/>
  <c r="AJ608" i="1"/>
  <c r="Q608" i="1"/>
  <c r="AJ887" i="1"/>
  <c r="Q887" i="1"/>
  <c r="AJ888" i="1"/>
  <c r="Q888" i="1"/>
  <c r="AJ912" i="1"/>
  <c r="Q912" i="1"/>
  <c r="AJ1078" i="1"/>
  <c r="Q1078" i="1"/>
  <c r="AJ1028" i="1"/>
  <c r="Q1028" i="1"/>
  <c r="AJ1117" i="1"/>
  <c r="Q1117" i="1"/>
  <c r="AJ1126" i="1"/>
  <c r="Q1126" i="1"/>
  <c r="AJ1124" i="1"/>
  <c r="Q1124" i="1"/>
  <c r="AJ1189" i="1"/>
  <c r="Q1189" i="1"/>
  <c r="AJ1275" i="1"/>
  <c r="Q1275" i="1"/>
  <c r="AJ1238" i="1"/>
  <c r="Q1238" i="1"/>
  <c r="AJ1254" i="1"/>
  <c r="Q1254" i="1"/>
  <c r="AJ1520" i="1"/>
  <c r="Q1520" i="1"/>
  <c r="AJ1521" i="1"/>
  <c r="Q1521" i="1"/>
  <c r="AJ1574" i="1"/>
  <c r="Q1574" i="1"/>
  <c r="AJ1592" i="1"/>
  <c r="Q1592" i="1"/>
  <c r="AJ1623" i="1"/>
  <c r="Q1623" i="1"/>
  <c r="AJ1724" i="1"/>
  <c r="Q1724" i="1"/>
  <c r="AJ1760" i="1"/>
  <c r="Q1760" i="1"/>
  <c r="AJ1740" i="1"/>
  <c r="Q1740" i="1"/>
  <c r="AJ85" i="1"/>
  <c r="Q85" i="1"/>
  <c r="AJ91" i="1"/>
  <c r="Q91" i="1"/>
  <c r="AJ68" i="1"/>
  <c r="Q68" i="1"/>
  <c r="AJ87" i="1"/>
  <c r="Q87" i="1"/>
  <c r="AJ177" i="1"/>
  <c r="Q177" i="1"/>
  <c r="AJ298" i="1"/>
  <c r="Q298" i="1"/>
  <c r="AJ342" i="1"/>
  <c r="Q342" i="1"/>
  <c r="AJ417" i="1"/>
  <c r="Q417" i="1"/>
  <c r="AJ730" i="1"/>
  <c r="Q730" i="1"/>
  <c r="AJ885" i="1"/>
  <c r="Q885" i="1"/>
  <c r="AJ901" i="1"/>
  <c r="Q901" i="1"/>
  <c r="AJ1088" i="1"/>
  <c r="Q1088" i="1"/>
  <c r="AJ1133" i="1"/>
  <c r="Q1133" i="1"/>
  <c r="AJ1119" i="1"/>
  <c r="Q1119" i="1"/>
  <c r="AJ1329" i="1"/>
  <c r="Q1329" i="1"/>
  <c r="AJ1457" i="1"/>
  <c r="Q1457" i="1"/>
  <c r="AJ1480" i="1"/>
  <c r="Q1480" i="1"/>
  <c r="AJ1494" i="1"/>
  <c r="Q1494" i="1"/>
  <c r="AJ1651" i="1"/>
  <c r="Q1651" i="1"/>
  <c r="AJ1742" i="1"/>
  <c r="Q1742" i="1"/>
  <c r="AJ108" i="1"/>
  <c r="Q108" i="1"/>
  <c r="AJ96" i="1"/>
  <c r="Q96" i="1"/>
  <c r="AJ84" i="1"/>
  <c r="Q84" i="1"/>
  <c r="AJ97" i="1"/>
  <c r="Q97" i="1"/>
  <c r="AJ75" i="1"/>
  <c r="Q75" i="1"/>
  <c r="AJ609" i="1"/>
  <c r="Q609" i="1"/>
  <c r="AJ733" i="1"/>
  <c r="Q733" i="1"/>
  <c r="AJ904" i="1"/>
  <c r="Q904" i="1"/>
  <c r="AJ897" i="1"/>
  <c r="Q897" i="1"/>
  <c r="AJ899" i="1"/>
  <c r="Q899" i="1"/>
  <c r="AJ1029" i="1"/>
  <c r="Q1029" i="1"/>
  <c r="AJ1036" i="1"/>
  <c r="Q1036" i="1"/>
  <c r="AJ1114" i="1"/>
  <c r="Q1114" i="1"/>
  <c r="AJ1116" i="1"/>
  <c r="Q1116" i="1"/>
  <c r="AJ1121" i="1"/>
  <c r="Q1121" i="1"/>
  <c r="AJ1185" i="1"/>
  <c r="Q1185" i="1"/>
  <c r="AJ1188" i="1"/>
  <c r="Q1188" i="1"/>
  <c r="AJ1229" i="1"/>
  <c r="Q1229" i="1"/>
  <c r="AJ1573" i="1"/>
  <c r="Q1573" i="1"/>
  <c r="AJ1575" i="1"/>
  <c r="Q1575" i="1"/>
  <c r="AJ1699" i="1"/>
  <c r="Q1699" i="1"/>
  <c r="AJ1752" i="1"/>
  <c r="Q1752" i="1"/>
  <c r="AJ1735" i="1"/>
  <c r="Q1735" i="1"/>
  <c r="AJ1759" i="1"/>
  <c r="Q1759" i="1"/>
  <c r="AJ72" i="1"/>
  <c r="Q72" i="1"/>
  <c r="AJ90" i="1"/>
  <c r="Q90" i="1"/>
  <c r="AJ106" i="1"/>
  <c r="Q106" i="1"/>
  <c r="AJ103" i="1"/>
  <c r="Q103" i="1"/>
  <c r="AJ165" i="1"/>
  <c r="Q165" i="1"/>
  <c r="AJ190" i="1"/>
  <c r="Q190" i="1"/>
  <c r="AJ346" i="1"/>
  <c r="Q346" i="1"/>
  <c r="AJ414" i="1"/>
  <c r="Q414" i="1"/>
  <c r="AJ418" i="1"/>
  <c r="Q418" i="1"/>
  <c r="AJ510" i="1"/>
  <c r="Q510" i="1"/>
  <c r="AJ533" i="1"/>
  <c r="Q533" i="1"/>
  <c r="AJ731" i="1"/>
  <c r="Q731" i="1"/>
  <c r="AJ1089" i="1"/>
  <c r="Q1089" i="1"/>
  <c r="AJ1087" i="1"/>
  <c r="Q1087" i="1"/>
  <c r="AJ1090" i="1"/>
  <c r="Q1090" i="1"/>
  <c r="AJ1098" i="1"/>
  <c r="Q1098" i="1"/>
  <c r="AJ1096" i="1"/>
  <c r="Q1096" i="1"/>
  <c r="AJ1091" i="1"/>
  <c r="Q1091" i="1"/>
  <c r="AJ1231" i="1"/>
  <c r="Q1231" i="1"/>
  <c r="AJ1368" i="1"/>
  <c r="Q1368" i="1"/>
  <c r="AJ1467" i="1"/>
  <c r="Q1467" i="1"/>
  <c r="AJ1522" i="1"/>
  <c r="Q1522" i="1"/>
  <c r="AJ1577" i="1"/>
  <c r="Q1577" i="1"/>
  <c r="AJ1749" i="1"/>
  <c r="Q1749" i="1"/>
  <c r="AJ1652" i="1"/>
  <c r="AH343" i="1"/>
  <c r="AI343" i="1" s="1"/>
  <c r="AI338" i="1"/>
  <c r="AI650" i="1"/>
  <c r="AJ1070" i="1"/>
  <c r="AI61" i="1"/>
  <c r="AH739" i="1"/>
  <c r="AI739" i="1" s="1"/>
  <c r="AH1103" i="1"/>
  <c r="AI1103" i="1" s="1"/>
  <c r="AH62" i="1"/>
  <c r="AI62" i="1" s="1"/>
  <c r="AH1239" i="1"/>
  <c r="AI1239" i="1" s="1"/>
  <c r="AI69" i="1"/>
  <c r="AI649" i="1"/>
  <c r="AI1097" i="1"/>
  <c r="P1036" i="1"/>
  <c r="M1036" i="1"/>
  <c r="M1078" i="1"/>
  <c r="P1078" i="1"/>
  <c r="P1097" i="1"/>
  <c r="P69" i="1"/>
  <c r="P1424" i="1"/>
  <c r="P335" i="1"/>
  <c r="P1434" i="1"/>
  <c r="P337" i="1"/>
  <c r="P1050" i="1"/>
  <c r="P1083" i="1"/>
  <c r="P1446" i="1"/>
  <c r="P1504" i="1"/>
  <c r="P1729" i="1"/>
  <c r="P334" i="1"/>
  <c r="P1065" i="1"/>
  <c r="P1071" i="1"/>
  <c r="P1345" i="1"/>
  <c r="P1459" i="1"/>
  <c r="M1651" i="1"/>
  <c r="P1651" i="1"/>
  <c r="M899" i="1"/>
  <c r="P899" i="1"/>
  <c r="M84" i="1"/>
  <c r="P84" i="1"/>
  <c r="M1740" i="1"/>
  <c r="P1740" i="1"/>
  <c r="M1119" i="1"/>
  <c r="P1119" i="1"/>
  <c r="M23" i="1"/>
  <c r="P23" i="1"/>
  <c r="P24" i="1"/>
  <c r="M75" i="1"/>
  <c r="P75" i="1"/>
  <c r="M68" i="1"/>
  <c r="P68" i="1"/>
  <c r="P106" i="1"/>
  <c r="M87" i="1"/>
  <c r="P87" i="1"/>
  <c r="P103" i="1"/>
  <c r="M165" i="1"/>
  <c r="P165" i="1"/>
  <c r="P347" i="1"/>
  <c r="M492" i="1"/>
  <c r="P492" i="1"/>
  <c r="P533" i="1"/>
  <c r="M733" i="1"/>
  <c r="P733" i="1"/>
  <c r="M717" i="1"/>
  <c r="P717" i="1"/>
  <c r="M885" i="1"/>
  <c r="P885" i="1"/>
  <c r="P901" i="1"/>
  <c r="M1188" i="1"/>
  <c r="P1188" i="1"/>
  <c r="P1231" i="1"/>
  <c r="P1329" i="1"/>
  <c r="P1457" i="1"/>
  <c r="P1520" i="1"/>
  <c r="P1521" i="1"/>
  <c r="P1469" i="1"/>
  <c r="P1522" i="1"/>
  <c r="P1592" i="1"/>
  <c r="P97" i="1"/>
  <c r="P190" i="1"/>
  <c r="P298" i="1"/>
  <c r="P346" i="1"/>
  <c r="P510" i="1"/>
  <c r="P897" i="1"/>
  <c r="P912" i="1"/>
  <c r="P1028" i="1"/>
  <c r="P1029" i="1"/>
  <c r="P1133" i="1"/>
  <c r="P1494" i="1"/>
  <c r="P1752" i="1"/>
  <c r="P1735" i="1"/>
  <c r="P1760" i="1"/>
  <c r="P1759" i="1"/>
  <c r="M298" i="1"/>
  <c r="M347" i="1"/>
  <c r="M912" i="1"/>
  <c r="M1029" i="1"/>
  <c r="M1133" i="1"/>
  <c r="M1247" i="1"/>
  <c r="M1231" i="1"/>
  <c r="M1494" i="1"/>
  <c r="M1521" i="1"/>
  <c r="M1522" i="1"/>
  <c r="M1735" i="1"/>
  <c r="M24" i="1"/>
  <c r="M97" i="1"/>
  <c r="M106" i="1"/>
  <c r="M103" i="1"/>
  <c r="M190" i="1"/>
  <c r="M346" i="1"/>
  <c r="M338" i="1"/>
  <c r="M415" i="1"/>
  <c r="P415" i="1"/>
  <c r="M510" i="1"/>
  <c r="M533" i="1"/>
  <c r="M649" i="1"/>
  <c r="M901" i="1"/>
  <c r="M1028" i="1"/>
  <c r="M1097" i="1"/>
  <c r="M1276" i="1"/>
  <c r="P1276" i="1"/>
  <c r="M1329" i="1"/>
  <c r="M1457" i="1"/>
  <c r="M1520" i="1"/>
  <c r="M1469" i="1"/>
  <c r="M1592" i="1"/>
  <c r="M1652" i="1"/>
  <c r="P1652" i="1"/>
  <c r="M1752" i="1"/>
  <c r="M1760" i="1"/>
  <c r="M1759" i="1"/>
  <c r="M29" i="1"/>
  <c r="P29" i="1"/>
  <c r="M61" i="1"/>
  <c r="P61" i="1"/>
  <c r="M96" i="1"/>
  <c r="P96" i="1"/>
  <c r="M83" i="1"/>
  <c r="P83" i="1"/>
  <c r="P716" i="1"/>
  <c r="M716" i="1"/>
  <c r="M85" i="1"/>
  <c r="P85" i="1"/>
  <c r="M90" i="1"/>
  <c r="P90" i="1"/>
  <c r="M91" i="1"/>
  <c r="P91" i="1"/>
  <c r="M69" i="1"/>
  <c r="M119" i="1"/>
  <c r="P119" i="1"/>
  <c r="M182" i="1"/>
  <c r="P182" i="1"/>
  <c r="M183" i="1"/>
  <c r="P183" i="1"/>
  <c r="M342" i="1"/>
  <c r="P342" i="1"/>
  <c r="M414" i="1"/>
  <c r="P414" i="1"/>
  <c r="M417" i="1"/>
  <c r="P417" i="1"/>
  <c r="M418" i="1"/>
  <c r="P418" i="1"/>
  <c r="M489" i="1"/>
  <c r="P489" i="1"/>
  <c r="M507" i="1"/>
  <c r="P507" i="1"/>
  <c r="M608" i="1"/>
  <c r="P608" i="1"/>
  <c r="M609" i="1"/>
  <c r="P609" i="1"/>
  <c r="P650" i="1"/>
  <c r="M650" i="1"/>
  <c r="M730" i="1"/>
  <c r="P730" i="1"/>
  <c r="M731" i="1"/>
  <c r="P731" i="1"/>
  <c r="M887" i="1"/>
  <c r="P887" i="1"/>
  <c r="M904" i="1"/>
  <c r="P904" i="1"/>
  <c r="M888" i="1"/>
  <c r="P888" i="1"/>
  <c r="M897" i="1"/>
  <c r="M1070" i="1"/>
  <c r="M1089" i="1"/>
  <c r="P1089" i="1"/>
  <c r="M1088" i="1"/>
  <c r="P1088" i="1"/>
  <c r="M1087" i="1"/>
  <c r="P1087" i="1"/>
  <c r="M1103" i="1"/>
  <c r="P1103" i="1"/>
  <c r="M1098" i="1"/>
  <c r="P1098" i="1"/>
  <c r="M1114" i="1"/>
  <c r="P1114" i="1"/>
  <c r="M1116" i="1"/>
  <c r="P1116" i="1"/>
  <c r="M1117" i="1"/>
  <c r="P1117" i="1"/>
  <c r="M1121" i="1"/>
  <c r="P1121" i="1"/>
  <c r="M1126" i="1"/>
  <c r="P1126" i="1"/>
  <c r="M1124" i="1"/>
  <c r="P1124" i="1"/>
  <c r="M1185" i="1"/>
  <c r="P1185" i="1"/>
  <c r="M1189" i="1"/>
  <c r="P1189" i="1"/>
  <c r="M1229" i="1"/>
  <c r="P1229" i="1"/>
  <c r="M1254" i="1"/>
  <c r="P1254" i="1"/>
  <c r="P1070" i="1"/>
  <c r="M1335" i="1"/>
  <c r="P1335" i="1"/>
  <c r="M1368" i="1"/>
  <c r="P1368" i="1"/>
  <c r="M1480" i="1"/>
  <c r="P1480" i="1"/>
  <c r="M1467" i="1"/>
  <c r="P1467" i="1"/>
  <c r="P1574" i="1"/>
  <c r="M1574" i="1"/>
  <c r="P1579" i="1"/>
  <c r="M1579" i="1"/>
  <c r="P1577" i="1"/>
  <c r="M1577" i="1"/>
  <c r="P1573" i="1"/>
  <c r="M1573" i="1"/>
  <c r="P1575" i="1"/>
  <c r="M1575" i="1"/>
  <c r="P1623" i="1"/>
  <c r="M1623" i="1"/>
  <c r="M1699" i="1"/>
  <c r="P1699" i="1"/>
  <c r="M1724" i="1"/>
  <c r="P1724" i="1"/>
  <c r="M1742" i="1"/>
  <c r="P1742" i="1"/>
  <c r="M1749" i="1"/>
  <c r="P1749" i="1"/>
  <c r="M1846" i="1"/>
  <c r="P1846" i="1"/>
  <c r="AJ649" i="1" l="1"/>
  <c r="Q649" i="1"/>
  <c r="AJ1103" i="1"/>
  <c r="Q1103" i="1"/>
  <c r="AJ650" i="1"/>
  <c r="Q650" i="1"/>
  <c r="AJ69" i="1"/>
  <c r="Q69" i="1"/>
  <c r="AJ739" i="1"/>
  <c r="Q739" i="1"/>
  <c r="AJ338" i="1"/>
  <c r="Q338" i="1"/>
  <c r="AJ1239" i="1"/>
  <c r="Q1239" i="1"/>
  <c r="AJ61" i="1"/>
  <c r="Q61" i="1"/>
  <c r="AJ343" i="1"/>
  <c r="Q343" i="1"/>
  <c r="AJ1097" i="1"/>
  <c r="Q1097" i="1"/>
  <c r="AJ62" i="1"/>
  <c r="Q62" i="1"/>
  <c r="N538" i="1"/>
  <c r="AI538" i="1" s="1"/>
  <c r="AI539" i="1"/>
  <c r="N791" i="1"/>
  <c r="AA791" i="1"/>
  <c r="AH791" i="1" s="1"/>
  <c r="N1141" i="1"/>
  <c r="AI1141" i="1" s="1"/>
  <c r="N1137" i="1"/>
  <c r="AI1137" i="1" s="1"/>
  <c r="P1207" i="1"/>
  <c r="M1207" i="1"/>
  <c r="P1209" i="1"/>
  <c r="M1209" i="1"/>
  <c r="P1208" i="1"/>
  <c r="M1208" i="1"/>
  <c r="F1209" i="1"/>
  <c r="F1207" i="1"/>
  <c r="F1208" i="1"/>
  <c r="P949" i="1"/>
  <c r="M949" i="1"/>
  <c r="F949" i="1"/>
  <c r="P1690" i="1"/>
  <c r="M1690" i="1"/>
  <c r="F1690" i="1"/>
  <c r="P1312" i="1"/>
  <c r="M1312" i="1"/>
  <c r="F1312" i="1"/>
  <c r="P1792" i="1"/>
  <c r="M1792" i="1"/>
  <c r="F1792" i="1"/>
  <c r="AJ1137" i="1" l="1"/>
  <c r="Q1137" i="1"/>
  <c r="AJ539" i="1"/>
  <c r="Q539" i="1"/>
  <c r="AJ1141" i="1"/>
  <c r="Q1141" i="1"/>
  <c r="AJ538" i="1"/>
  <c r="Q538" i="1"/>
  <c r="AI791" i="1"/>
  <c r="N1005" i="1"/>
  <c r="AI1005" i="1" s="1"/>
  <c r="P514" i="1"/>
  <c r="M514" i="1"/>
  <c r="F514" i="1"/>
  <c r="P1399" i="1"/>
  <c r="F1399" i="1"/>
  <c r="M1399" i="1"/>
  <c r="P775" i="1"/>
  <c r="M775" i="1"/>
  <c r="F775" i="1"/>
  <c r="P700" i="1"/>
  <c r="M700" i="1"/>
  <c r="F700" i="1"/>
  <c r="F983" i="1"/>
  <c r="N984" i="1"/>
  <c r="AI984" i="1" s="1"/>
  <c r="AJ791" i="1" l="1"/>
  <c r="Q791" i="1"/>
  <c r="AJ984" i="1"/>
  <c r="Q984" i="1"/>
  <c r="AJ1005" i="1"/>
  <c r="Q1005" i="1"/>
  <c r="P983" i="1"/>
  <c r="M983" i="1"/>
  <c r="N978" i="1"/>
  <c r="AI978" i="1" s="1"/>
  <c r="AJ978" i="1" l="1"/>
  <c r="Q978" i="1"/>
  <c r="AE813" i="1"/>
  <c r="AH813" i="1" s="1"/>
  <c r="N977" i="1" l="1"/>
  <c r="AI977" i="1" s="1"/>
  <c r="N1147" i="1"/>
  <c r="AI1147" i="1" s="1"/>
  <c r="N1146" i="1"/>
  <c r="AI1146" i="1" s="1"/>
  <c r="N1145" i="1"/>
  <c r="AI1145" i="1" s="1"/>
  <c r="P1863" i="1"/>
  <c r="M1863" i="1"/>
  <c r="F1863" i="1"/>
  <c r="AJ977" i="1" l="1"/>
  <c r="Q977" i="1"/>
  <c r="AJ1145" i="1"/>
  <c r="Q1145" i="1"/>
  <c r="AJ1146" i="1"/>
  <c r="Q1146" i="1"/>
  <c r="AJ1147" i="1"/>
  <c r="Q1147" i="1"/>
  <c r="P693" i="1"/>
  <c r="M693" i="1"/>
  <c r="F693" i="1"/>
  <c r="P636" i="1"/>
  <c r="M636" i="1"/>
  <c r="F636" i="1"/>
  <c r="P638" i="1" l="1"/>
  <c r="P640" i="1"/>
  <c r="M640" i="1"/>
  <c r="M638" i="1"/>
  <c r="F638" i="1"/>
  <c r="F640" i="1"/>
  <c r="P645" i="1"/>
  <c r="P646" i="1"/>
  <c r="P643" i="1"/>
  <c r="P644" i="1"/>
  <c r="P635" i="1"/>
  <c r="P666" i="1"/>
  <c r="M645" i="1"/>
  <c r="M646" i="1"/>
  <c r="M643" i="1"/>
  <c r="M644" i="1"/>
  <c r="M635" i="1"/>
  <c r="F645" i="1"/>
  <c r="F646" i="1"/>
  <c r="F643" i="1"/>
  <c r="F644" i="1"/>
  <c r="F635" i="1"/>
  <c r="F639" i="1"/>
  <c r="O1606" i="1" l="1"/>
  <c r="AJ1606" i="1" s="1"/>
  <c r="P58" i="1" l="1"/>
  <c r="P1398" i="1"/>
  <c r="M1398" i="1"/>
  <c r="M58" i="1"/>
  <c r="F58" i="1"/>
  <c r="F1398" i="1"/>
  <c r="N281" i="1"/>
  <c r="AI281" i="1" s="1"/>
  <c r="P570" i="1"/>
  <c r="M570" i="1"/>
  <c r="F570" i="1"/>
  <c r="AJ281" i="1" l="1"/>
  <c r="Q281" i="1"/>
  <c r="P37" i="1"/>
  <c r="M37" i="1"/>
  <c r="F37" i="1"/>
  <c r="N634" i="1" l="1"/>
  <c r="AI634" i="1" s="1"/>
  <c r="AJ634" i="1" l="1"/>
  <c r="Q634" i="1"/>
  <c r="P1384" i="1"/>
  <c r="M1384" i="1"/>
  <c r="F1384" i="1"/>
  <c r="AE273" i="1" l="1"/>
  <c r="AH273" i="1" s="1"/>
  <c r="N822" i="1" l="1"/>
  <c r="AI822" i="1" s="1"/>
  <c r="AJ822" i="1" l="1"/>
  <c r="Q822" i="1"/>
  <c r="P483" i="1"/>
  <c r="P482" i="1"/>
  <c r="M482" i="1"/>
  <c r="M483" i="1"/>
  <c r="M525" i="1"/>
  <c r="F482" i="1"/>
  <c r="F483" i="1"/>
  <c r="P1677" i="1"/>
  <c r="M1677" i="1"/>
  <c r="F1677" i="1"/>
  <c r="N674" i="1" l="1"/>
  <c r="AI674" i="1" s="1"/>
  <c r="N1718" i="1"/>
  <c r="AI1718" i="1" s="1"/>
  <c r="N823" i="1"/>
  <c r="AI823" i="1" s="1"/>
  <c r="N850" i="1"/>
  <c r="AI850" i="1" s="1"/>
  <c r="AJ850" i="1" l="1"/>
  <c r="Q850" i="1"/>
  <c r="AJ823" i="1"/>
  <c r="Q823" i="1"/>
  <c r="AJ1718" i="1"/>
  <c r="Q1718" i="1"/>
  <c r="AJ674" i="1"/>
  <c r="Q674" i="1"/>
  <c r="N758" i="1"/>
  <c r="AI758" i="1" s="1"/>
  <c r="AE854" i="1"/>
  <c r="AH854" i="1" s="1"/>
  <c r="AI854" i="1" s="1"/>
  <c r="AJ758" i="1" l="1"/>
  <c r="Q758" i="1"/>
  <c r="AJ854" i="1"/>
  <c r="Q854" i="1"/>
  <c r="N986" i="1"/>
  <c r="AI986" i="1" s="1"/>
  <c r="P277" i="1"/>
  <c r="P290" i="1"/>
  <c r="M290" i="1"/>
  <c r="M277" i="1"/>
  <c r="F290" i="1"/>
  <c r="F277" i="1"/>
  <c r="P979" i="1"/>
  <c r="M979" i="1"/>
  <c r="F979" i="1"/>
  <c r="P1180" i="1"/>
  <c r="P1165" i="1"/>
  <c r="M1165" i="1"/>
  <c r="F1165" i="1"/>
  <c r="P1155" i="1"/>
  <c r="M1155" i="1"/>
  <c r="M1180" i="1"/>
  <c r="F1155" i="1"/>
  <c r="F1180" i="1"/>
  <c r="P1166" i="1"/>
  <c r="P1183" i="1"/>
  <c r="M1183" i="1"/>
  <c r="M1166" i="1"/>
  <c r="F1183" i="1"/>
  <c r="F1166" i="1"/>
  <c r="AJ986" i="1" l="1"/>
  <c r="Q986" i="1"/>
  <c r="P1539" i="1"/>
  <c r="M1539" i="1"/>
  <c r="F1539" i="1"/>
  <c r="N869" i="1" l="1"/>
  <c r="AI869" i="1" s="1"/>
  <c r="Q869" i="1" s="1"/>
  <c r="P1310" i="1"/>
  <c r="M1310" i="1"/>
  <c r="F1310" i="1"/>
  <c r="N1771" i="1"/>
  <c r="AI1771" i="1" s="1"/>
  <c r="AJ1771" i="1" l="1"/>
  <c r="Q1771" i="1"/>
  <c r="N470" i="1"/>
  <c r="AI470" i="1" s="1"/>
  <c r="AI447" i="1"/>
  <c r="AJ470" i="1" l="1"/>
  <c r="Q470" i="1"/>
  <c r="AJ447" i="1"/>
  <c r="Q447" i="1"/>
  <c r="P874" i="1"/>
  <c r="P1553" i="1" l="1"/>
  <c r="M1553" i="1"/>
  <c r="F1553" i="1"/>
  <c r="P1559" i="1" l="1"/>
  <c r="M1559" i="1"/>
  <c r="F1559" i="1"/>
  <c r="P1558" i="1"/>
  <c r="M1558" i="1"/>
  <c r="F1558" i="1"/>
  <c r="AI761" i="1" l="1"/>
  <c r="AJ761" i="1" l="1"/>
  <c r="Q761" i="1"/>
  <c r="AI268" i="1"/>
  <c r="N812" i="1"/>
  <c r="AI812" i="1" s="1"/>
  <c r="P1709" i="1"/>
  <c r="M1709" i="1"/>
  <c r="P1708" i="1"/>
  <c r="M1708" i="1"/>
  <c r="F1708" i="1"/>
  <c r="F1709" i="1"/>
  <c r="AJ812" i="1" l="1"/>
  <c r="Q812" i="1"/>
  <c r="AJ268" i="1"/>
  <c r="Q268" i="1"/>
  <c r="AI994" i="1"/>
  <c r="N1200" i="1"/>
  <c r="AI1200" i="1" s="1"/>
  <c r="P1201" i="1"/>
  <c r="M1201" i="1"/>
  <c r="F1201" i="1"/>
  <c r="AJ994" i="1" l="1"/>
  <c r="Q994" i="1"/>
  <c r="AJ1200" i="1"/>
  <c r="Q1200" i="1"/>
  <c r="P1860" i="1"/>
  <c r="M1860" i="1"/>
  <c r="F1860" i="1"/>
  <c r="P1859" i="1"/>
  <c r="M1859" i="1"/>
  <c r="F1859" i="1"/>
  <c r="P1862" i="1"/>
  <c r="P1865" i="1"/>
  <c r="M1862" i="1"/>
  <c r="M1865" i="1"/>
  <c r="F1865" i="1"/>
  <c r="F1862" i="1"/>
  <c r="P240" i="1"/>
  <c r="P246" i="1"/>
  <c r="M246" i="1"/>
  <c r="M240" i="1"/>
  <c r="F246" i="1"/>
  <c r="F240" i="1"/>
  <c r="P1874" i="1" l="1"/>
  <c r="P1872" i="1"/>
  <c r="M1874" i="1"/>
  <c r="M1872" i="1"/>
  <c r="F1874" i="1"/>
  <c r="F1872" i="1"/>
  <c r="P1703" i="1" l="1"/>
  <c r="M1703" i="1"/>
  <c r="F1703" i="1"/>
  <c r="P1179" i="1" l="1"/>
  <c r="M1179" i="1"/>
  <c r="F1179" i="1"/>
  <c r="P1178" i="1"/>
  <c r="M1178" i="1"/>
  <c r="N1150" i="1"/>
  <c r="AI1150" i="1" s="1"/>
  <c r="F1178" i="1"/>
  <c r="AJ1150" i="1" l="1"/>
  <c r="Q1150" i="1"/>
  <c r="P1720" i="1"/>
  <c r="M1720" i="1"/>
  <c r="F1720" i="1"/>
  <c r="P812" i="1" l="1"/>
  <c r="M812" i="1"/>
  <c r="F812" i="1"/>
  <c r="P1003" i="1"/>
  <c r="M1003" i="1"/>
  <c r="F1003" i="1"/>
  <c r="N1002" i="1"/>
  <c r="AI1002" i="1" s="1"/>
  <c r="P986" i="1"/>
  <c r="AJ1002" i="1" l="1"/>
  <c r="Q1002" i="1"/>
  <c r="P831" i="1"/>
  <c r="M831" i="1"/>
  <c r="F831" i="1"/>
  <c r="P1769" i="1" l="1"/>
  <c r="M1769" i="1"/>
  <c r="F1769" i="1"/>
  <c r="N1767" i="1"/>
  <c r="AI1767" i="1" s="1"/>
  <c r="AJ1767" i="1" l="1"/>
  <c r="Q1767" i="1"/>
  <c r="P44" i="1"/>
  <c r="M44" i="1"/>
  <c r="F44" i="1"/>
  <c r="P47" i="1"/>
  <c r="M47" i="1"/>
  <c r="N50" i="1"/>
  <c r="AI50" i="1" s="1"/>
  <c r="F47" i="1"/>
  <c r="M571" i="1"/>
  <c r="P571" i="1"/>
  <c r="F571" i="1"/>
  <c r="P569" i="1"/>
  <c r="P568" i="1"/>
  <c r="M568" i="1"/>
  <c r="M569" i="1"/>
  <c r="F568" i="1"/>
  <c r="F569" i="1"/>
  <c r="AJ50" i="1" l="1"/>
  <c r="Q50" i="1"/>
  <c r="P1176" i="1"/>
  <c r="P1164" i="1"/>
  <c r="P1153" i="1"/>
  <c r="P1150" i="1"/>
  <c r="P1159" i="1"/>
  <c r="M1150" i="1"/>
  <c r="M1153" i="1"/>
  <c r="M1164" i="1"/>
  <c r="M1176" i="1"/>
  <c r="F1153" i="1"/>
  <c r="F1164" i="1"/>
  <c r="F1176" i="1"/>
  <c r="P1169" i="1"/>
  <c r="P1170" i="1"/>
  <c r="P1174" i="1"/>
  <c r="M1170" i="1"/>
  <c r="M1169" i="1"/>
  <c r="M1159" i="1"/>
  <c r="F1170" i="1"/>
  <c r="F1169" i="1"/>
  <c r="F1159" i="1"/>
  <c r="F1150" i="1"/>
  <c r="P1157" i="1"/>
  <c r="P1151" i="1"/>
  <c r="P1168" i="1"/>
  <c r="P1173" i="1"/>
  <c r="P1156" i="1"/>
  <c r="P1158" i="1"/>
  <c r="M1158" i="1"/>
  <c r="M1156" i="1"/>
  <c r="M1173" i="1"/>
  <c r="M1168" i="1"/>
  <c r="M1151" i="1"/>
  <c r="M1157" i="1"/>
  <c r="M1174" i="1"/>
  <c r="F1158" i="1"/>
  <c r="F1156" i="1"/>
  <c r="F1173" i="1"/>
  <c r="F1168" i="1"/>
  <c r="F1151" i="1"/>
  <c r="F1157" i="1"/>
  <c r="F1174" i="1"/>
  <c r="P1864" i="1" l="1"/>
  <c r="M1864" i="1"/>
  <c r="F1864" i="1"/>
  <c r="P464" i="1" l="1"/>
  <c r="P470" i="1"/>
  <c r="P447" i="1"/>
  <c r="P476" i="1"/>
  <c r="P465" i="1"/>
  <c r="P441" i="1"/>
  <c r="P455" i="1"/>
  <c r="P1596" i="1"/>
  <c r="F1596" i="1"/>
  <c r="M1596" i="1"/>
  <c r="N1594" i="1"/>
  <c r="AI1594" i="1" s="1"/>
  <c r="AJ1594" i="1" l="1"/>
  <c r="Q1594" i="1"/>
  <c r="N1142" i="1"/>
  <c r="AI1142" i="1" s="1"/>
  <c r="N1143" i="1"/>
  <c r="AI1143" i="1" s="1"/>
  <c r="N1139" i="1"/>
  <c r="AI1139" i="1" s="1"/>
  <c r="N1138" i="1"/>
  <c r="AI1138" i="1" s="1"/>
  <c r="N1305" i="1"/>
  <c r="AI1305" i="1" s="1"/>
  <c r="N1536" i="1"/>
  <c r="AI1536" i="1" s="1"/>
  <c r="F1536" i="1"/>
  <c r="N1535" i="1"/>
  <c r="AI1535" i="1" s="1"/>
  <c r="AJ1139" i="1" l="1"/>
  <c r="Q1139" i="1"/>
  <c r="AJ1536" i="1"/>
  <c r="Q1536" i="1"/>
  <c r="AJ1143" i="1"/>
  <c r="Q1143" i="1"/>
  <c r="AJ1305" i="1"/>
  <c r="Q1305" i="1"/>
  <c r="AJ1142" i="1"/>
  <c r="Q1142" i="1"/>
  <c r="AJ1535" i="1"/>
  <c r="Q1535" i="1"/>
  <c r="AJ1138" i="1"/>
  <c r="Q1138" i="1"/>
  <c r="M1536" i="1"/>
  <c r="P1536" i="1"/>
  <c r="P1361" i="1" l="1"/>
  <c r="M1361" i="1"/>
  <c r="F1361" i="1"/>
  <c r="N3" i="1" l="1"/>
  <c r="AI3" i="1" s="1"/>
  <c r="Q3" i="1" s="1"/>
  <c r="P1702" i="1"/>
  <c r="M1702" i="1"/>
  <c r="F1702" i="1"/>
  <c r="P1701" i="1"/>
  <c r="P1706" i="1"/>
  <c r="P1712" i="1"/>
  <c r="P1711" i="1"/>
  <c r="M1711" i="1"/>
  <c r="M1712" i="1"/>
  <c r="M1706" i="1"/>
  <c r="M1701" i="1"/>
  <c r="F1712" i="1"/>
  <c r="F1706" i="1"/>
  <c r="F1701" i="1"/>
  <c r="F1711" i="1"/>
  <c r="O3" i="1"/>
  <c r="O6" i="1"/>
  <c r="AJ6" i="1" s="1"/>
  <c r="AJ3" i="1" l="1"/>
  <c r="P1019" i="1"/>
  <c r="M1019" i="1"/>
  <c r="F1019" i="1"/>
  <c r="N1013" i="1"/>
  <c r="AI1013" i="1" s="1"/>
  <c r="P1017" i="1"/>
  <c r="M1017" i="1"/>
  <c r="F1017" i="1"/>
  <c r="P982" i="1"/>
  <c r="M982" i="1"/>
  <c r="F982" i="1"/>
  <c r="P150" i="1"/>
  <c r="M150" i="1"/>
  <c r="F150" i="1"/>
  <c r="P152" i="1"/>
  <c r="M152" i="1"/>
  <c r="F152" i="1"/>
  <c r="N595" i="1"/>
  <c r="AI595" i="1" s="1"/>
  <c r="AJ595" i="1" l="1"/>
  <c r="Q595" i="1"/>
  <c r="AJ1013" i="1"/>
  <c r="Q1013" i="1"/>
  <c r="P196" i="1"/>
  <c r="M196" i="1"/>
  <c r="F196" i="1"/>
  <c r="P944" i="1" l="1"/>
  <c r="P844" i="1" l="1"/>
  <c r="N842" i="1"/>
  <c r="AI842" i="1" s="1"/>
  <c r="M844" i="1"/>
  <c r="F844" i="1"/>
  <c r="AJ842" i="1" l="1"/>
  <c r="Q842" i="1"/>
  <c r="P994" i="1"/>
  <c r="M994" i="1"/>
  <c r="F994" i="1"/>
  <c r="P1597" i="1" l="1"/>
  <c r="F1597" i="1"/>
  <c r="M1597" i="1"/>
  <c r="N663" i="1"/>
  <c r="AI663" i="1" s="1"/>
  <c r="AJ663" i="1" l="1"/>
  <c r="Q663" i="1"/>
  <c r="P424" i="1"/>
  <c r="M420" i="1"/>
  <c r="F420" i="1"/>
  <c r="M424" i="1"/>
  <c r="F424" i="1"/>
  <c r="M419" i="1"/>
  <c r="M423" i="1"/>
  <c r="P427" i="1"/>
  <c r="P423" i="1"/>
  <c r="P419" i="1"/>
  <c r="P420" i="1"/>
  <c r="F427" i="1"/>
  <c r="F423" i="1"/>
  <c r="F419" i="1"/>
  <c r="M427" i="1"/>
  <c r="N426" i="1"/>
  <c r="AI426" i="1" s="1"/>
  <c r="Q426" i="1" s="1"/>
  <c r="N428" i="1"/>
  <c r="AI428" i="1" s="1"/>
  <c r="Q428" i="1" s="1"/>
  <c r="P777" i="1" l="1"/>
  <c r="M777" i="1"/>
  <c r="F777" i="1"/>
  <c r="P946" i="1" l="1"/>
  <c r="M946" i="1"/>
  <c r="F946" i="1"/>
  <c r="P964" i="1"/>
  <c r="M964" i="1"/>
  <c r="P966" i="1"/>
  <c r="M966" i="1"/>
  <c r="F966" i="1"/>
  <c r="F964" i="1"/>
  <c r="P522" i="1" l="1"/>
  <c r="F522" i="1"/>
  <c r="M522" i="1"/>
  <c r="P140" i="1" l="1"/>
  <c r="M140" i="1"/>
  <c r="F140" i="1"/>
  <c r="P136" i="1"/>
  <c r="M136" i="1"/>
  <c r="F136" i="1"/>
  <c r="P1412" i="1"/>
  <c r="M1412" i="1"/>
  <c r="F1412" i="1"/>
  <c r="N774" i="1"/>
  <c r="AI774" i="1" s="1"/>
  <c r="Q774" i="1" s="1"/>
  <c r="N773" i="1"/>
  <c r="AI773" i="1" s="1"/>
  <c r="AJ773" i="1" l="1"/>
  <c r="Q773" i="1"/>
  <c r="P1307" i="1"/>
  <c r="P1306" i="1"/>
  <c r="M1307" i="1"/>
  <c r="F1307" i="1"/>
  <c r="M1306" i="1"/>
  <c r="F1306" i="1"/>
  <c r="P855" i="1" l="1"/>
  <c r="M855" i="1"/>
  <c r="F855" i="1"/>
  <c r="P787" i="1" l="1"/>
  <c r="M787" i="1"/>
  <c r="F787" i="1"/>
  <c r="N565" i="1"/>
  <c r="AI565" i="1" s="1"/>
  <c r="N1136" i="1"/>
  <c r="AI1136" i="1" s="1"/>
  <c r="N1140" i="1"/>
  <c r="AI1140" i="1" s="1"/>
  <c r="N1144" i="1"/>
  <c r="AI1144" i="1" s="1"/>
  <c r="P698" i="1"/>
  <c r="N692" i="1"/>
  <c r="AI692" i="1" s="1"/>
  <c r="N672" i="1"/>
  <c r="AI672" i="1" s="1"/>
  <c r="N1540" i="1"/>
  <c r="AI1540" i="1" s="1"/>
  <c r="N1542" i="1"/>
  <c r="AI1542" i="1" s="1"/>
  <c r="P1602" i="1"/>
  <c r="M1602" i="1"/>
  <c r="F1602" i="1"/>
  <c r="P1599" i="1"/>
  <c r="M1599" i="1"/>
  <c r="F1599" i="1"/>
  <c r="AJ692" i="1" l="1"/>
  <c r="Q692" i="1"/>
  <c r="AJ1136" i="1"/>
  <c r="Q1136" i="1"/>
  <c r="AJ1542" i="1"/>
  <c r="Q1542" i="1"/>
  <c r="AJ565" i="1"/>
  <c r="Q565" i="1"/>
  <c r="AJ1540" i="1"/>
  <c r="Q1540" i="1"/>
  <c r="AJ1144" i="1"/>
  <c r="Q1144" i="1"/>
  <c r="AJ672" i="1"/>
  <c r="Q672" i="1"/>
  <c r="AJ1140" i="1"/>
  <c r="Q1140" i="1"/>
  <c r="P692" i="1"/>
  <c r="N238" i="1"/>
  <c r="AI238" i="1" s="1"/>
  <c r="N220" i="1"/>
  <c r="AI220" i="1" s="1"/>
  <c r="N228" i="1"/>
  <c r="AI228" i="1" s="1"/>
  <c r="N245" i="1"/>
  <c r="AI245" i="1" s="1"/>
  <c r="N210" i="1"/>
  <c r="AI210" i="1" s="1"/>
  <c r="AJ245" i="1" l="1"/>
  <c r="Q245" i="1"/>
  <c r="AJ228" i="1"/>
  <c r="Q228" i="1"/>
  <c r="AJ220" i="1"/>
  <c r="Q220" i="1"/>
  <c r="AJ210" i="1"/>
  <c r="Q210" i="1"/>
  <c r="AJ238" i="1"/>
  <c r="Q238" i="1"/>
  <c r="P1549" i="1"/>
  <c r="M1549" i="1"/>
  <c r="F1549" i="1"/>
  <c r="O1550" i="1"/>
  <c r="AJ1550" i="1" s="1"/>
  <c r="O1562" i="1"/>
  <c r="AJ1562" i="1" s="1"/>
  <c r="P1407" i="1"/>
  <c r="P1408" i="1"/>
  <c r="M698" i="1"/>
  <c r="F698" i="1"/>
  <c r="P280" i="1" l="1"/>
  <c r="M280" i="1"/>
  <c r="F280" i="1"/>
  <c r="AI749" i="1" l="1"/>
  <c r="N743" i="1"/>
  <c r="AI743" i="1" s="1"/>
  <c r="AI748" i="1"/>
  <c r="N742" i="1"/>
  <c r="AI742" i="1" s="1"/>
  <c r="AJ749" i="1" l="1"/>
  <c r="Q749" i="1"/>
  <c r="AJ742" i="1"/>
  <c r="Q742" i="1"/>
  <c r="AJ748" i="1"/>
  <c r="Q748" i="1"/>
  <c r="AJ743" i="1"/>
  <c r="Q743" i="1"/>
  <c r="P1641" i="1"/>
  <c r="M1641" i="1"/>
  <c r="F1641" i="1"/>
  <c r="P740" i="1"/>
  <c r="M740" i="1"/>
  <c r="P745" i="1"/>
  <c r="M745" i="1"/>
  <c r="F745" i="1"/>
  <c r="F740" i="1"/>
  <c r="P1893" i="1" l="1"/>
  <c r="M1893" i="1"/>
  <c r="F1893" i="1"/>
  <c r="P1900" i="1"/>
  <c r="M1900" i="1"/>
  <c r="F1900" i="1"/>
  <c r="P1304" i="1" l="1"/>
  <c r="P1309" i="1"/>
  <c r="M1309" i="1"/>
  <c r="F1309" i="1"/>
  <c r="P1763" i="1"/>
  <c r="M1763" i="1"/>
  <c r="F1763" i="1"/>
  <c r="O269" i="1" l="1"/>
  <c r="AJ269" i="1" s="1"/>
  <c r="M269" i="1"/>
  <c r="F269" i="1"/>
  <c r="P989" i="1"/>
  <c r="M989" i="1"/>
  <c r="F989" i="1"/>
  <c r="P546" i="1"/>
  <c r="P540" i="1"/>
  <c r="M546" i="1"/>
  <c r="M540" i="1"/>
  <c r="F540" i="1"/>
  <c r="F546" i="1"/>
  <c r="P1642" i="1"/>
  <c r="M1642" i="1"/>
  <c r="F1642" i="1"/>
  <c r="P269" i="1" l="1"/>
  <c r="P449" i="1"/>
  <c r="M449" i="1"/>
  <c r="F449" i="1"/>
  <c r="P981" i="1" l="1"/>
  <c r="M981" i="1"/>
  <c r="F981" i="1"/>
  <c r="N276" i="1"/>
  <c r="AI276" i="1" s="1"/>
  <c r="N817" i="1"/>
  <c r="AI817" i="1" s="1"/>
  <c r="Q817" i="1" s="1"/>
  <c r="AJ276" i="1" l="1"/>
  <c r="Q276" i="1"/>
  <c r="N1881" i="1"/>
  <c r="AI1881" i="1" s="1"/>
  <c r="AJ1881" i="1" l="1"/>
  <c r="Q1881" i="1"/>
  <c r="P1882" i="1"/>
  <c r="P1879" i="1"/>
  <c r="M1882" i="1"/>
  <c r="M1879" i="1"/>
  <c r="F1879" i="1"/>
  <c r="F1882" i="1"/>
  <c r="N1669" i="1" l="1"/>
  <c r="AI1669" i="1" s="1"/>
  <c r="P1667" i="1"/>
  <c r="M1667" i="1"/>
  <c r="AJ1669" i="1" l="1"/>
  <c r="Q1669" i="1"/>
  <c r="F1671" i="1"/>
  <c r="F1667" i="1"/>
  <c r="P984" i="1" l="1"/>
  <c r="M984" i="1"/>
  <c r="F984" i="1"/>
  <c r="P977" i="1"/>
  <c r="M977" i="1"/>
  <c r="P987" i="1"/>
  <c r="M987" i="1"/>
  <c r="F987" i="1"/>
  <c r="F977" i="1"/>
  <c r="P1002" i="1" l="1"/>
  <c r="M1002" i="1"/>
  <c r="F1002" i="1"/>
  <c r="M986" i="1"/>
  <c r="F986" i="1"/>
  <c r="P1012" i="1"/>
  <c r="F1012" i="1"/>
  <c r="M1012" i="1"/>
  <c r="P1777" i="1"/>
  <c r="P1778" i="1"/>
  <c r="M1778" i="1"/>
  <c r="F1778" i="1"/>
  <c r="M1777" i="1"/>
  <c r="F1777" i="1"/>
  <c r="P1767" i="1"/>
  <c r="M1767" i="1"/>
  <c r="F1767" i="1"/>
  <c r="P1771" i="1"/>
  <c r="M1771" i="1"/>
  <c r="F1771" i="1"/>
  <c r="N1772" i="1" l="1"/>
  <c r="AI1772" i="1" s="1"/>
  <c r="P683" i="1"/>
  <c r="M683" i="1"/>
  <c r="F683" i="1"/>
  <c r="AJ1772" i="1" l="1"/>
  <c r="Q1772" i="1"/>
  <c r="O426" i="1"/>
  <c r="AJ426" i="1" s="1"/>
  <c r="O428" i="1"/>
  <c r="AJ428" i="1" s="1"/>
  <c r="O1598" i="1"/>
  <c r="AJ1598" i="1" s="1"/>
  <c r="O1552" i="1"/>
  <c r="AJ1552" i="1" s="1"/>
  <c r="AJ1564" i="1"/>
  <c r="O774" i="1"/>
  <c r="AJ774" i="1" s="1"/>
  <c r="P452" i="1" l="1"/>
  <c r="P451" i="1"/>
  <c r="F452" i="1"/>
  <c r="M452" i="1"/>
  <c r="M451" i="1"/>
  <c r="F451" i="1"/>
  <c r="P761" i="1"/>
  <c r="P759" i="1"/>
  <c r="F759" i="1"/>
  <c r="M759" i="1"/>
  <c r="F761" i="1"/>
  <c r="M761" i="1"/>
  <c r="AI1543" i="1" l="1"/>
  <c r="P1776" i="1"/>
  <c r="M1776" i="1"/>
  <c r="F1776" i="1"/>
  <c r="N963" i="1"/>
  <c r="AI963" i="1" s="1"/>
  <c r="P962" i="1"/>
  <c r="M962" i="1"/>
  <c r="F962" i="1"/>
  <c r="AJ963" i="1" l="1"/>
  <c r="Q963" i="1"/>
  <c r="AJ1543" i="1"/>
  <c r="Q1543" i="1"/>
  <c r="P1772" i="1"/>
  <c r="M1772" i="1"/>
  <c r="F1772" i="1"/>
  <c r="P1358" i="1"/>
  <c r="P1360" i="1"/>
  <c r="M1360" i="1"/>
  <c r="M1358" i="1"/>
  <c r="F1360" i="1"/>
  <c r="F1358" i="1"/>
  <c r="P747" i="1" l="1"/>
  <c r="M747" i="1"/>
  <c r="F747" i="1"/>
  <c r="O940" i="1" l="1"/>
  <c r="AJ940" i="1" s="1"/>
  <c r="N945" i="1"/>
  <c r="AI945" i="1" s="1"/>
  <c r="Q945" i="1" s="1"/>
  <c r="P948" i="1"/>
  <c r="M948" i="1"/>
  <c r="M940" i="1"/>
  <c r="F948" i="1"/>
  <c r="O365" i="1"/>
  <c r="AJ365" i="1" s="1"/>
  <c r="O945" i="1"/>
  <c r="P781" i="1"/>
  <c r="M781" i="1"/>
  <c r="F781" i="1"/>
  <c r="AJ945" i="1" l="1"/>
  <c r="N381" i="1"/>
  <c r="AI381" i="1" s="1"/>
  <c r="P1902" i="1"/>
  <c r="P1779" i="1"/>
  <c r="P1768" i="1"/>
  <c r="P1775" i="1"/>
  <c r="P1680" i="1"/>
  <c r="AJ381" i="1" l="1"/>
  <c r="Q381" i="1"/>
  <c r="N1721" i="1"/>
  <c r="AI1721" i="1" s="1"/>
  <c r="P750" i="1"/>
  <c r="P744" i="1"/>
  <c r="M744" i="1"/>
  <c r="M750" i="1"/>
  <c r="F750" i="1"/>
  <c r="P749" i="1"/>
  <c r="P743" i="1"/>
  <c r="F744" i="1"/>
  <c r="M749" i="1"/>
  <c r="M743" i="1"/>
  <c r="F749" i="1"/>
  <c r="F743" i="1"/>
  <c r="AJ1721" i="1" l="1"/>
  <c r="Q1721" i="1"/>
  <c r="M1680" i="1"/>
  <c r="F1680" i="1"/>
  <c r="P397" i="1" l="1"/>
  <c r="M397" i="1"/>
  <c r="F397" i="1"/>
  <c r="M1383" i="1" l="1"/>
  <c r="F1383" i="1"/>
  <c r="M1388" i="1"/>
  <c r="P1379" i="1"/>
  <c r="M1379" i="1"/>
  <c r="F1385" i="1"/>
  <c r="F1386" i="1"/>
  <c r="F1379" i="1"/>
  <c r="F1388" i="1"/>
  <c r="P1378" i="1"/>
  <c r="P1385" i="1"/>
  <c r="P1386" i="1"/>
  <c r="M1378" i="1"/>
  <c r="M1385" i="1"/>
  <c r="M1386" i="1"/>
  <c r="N396" i="1"/>
  <c r="AI396" i="1" s="1"/>
  <c r="F1375" i="1"/>
  <c r="F1378" i="1"/>
  <c r="AJ396" i="1" l="1"/>
  <c r="Q396" i="1"/>
  <c r="P1313" i="1"/>
  <c r="M1313" i="1"/>
  <c r="F1313" i="1"/>
  <c r="P751" i="1" l="1"/>
  <c r="F751" i="1"/>
  <c r="M741" i="1"/>
  <c r="M751" i="1"/>
  <c r="M746" i="1"/>
  <c r="P746" i="1"/>
  <c r="P741" i="1"/>
  <c r="F746" i="1"/>
  <c r="F741" i="1"/>
  <c r="P748" i="1"/>
  <c r="P742" i="1"/>
  <c r="M748" i="1"/>
  <c r="N266" i="1"/>
  <c r="AI266" i="1" s="1"/>
  <c r="N973" i="1"/>
  <c r="AI973" i="1" s="1"/>
  <c r="N478" i="1"/>
  <c r="AI478" i="1" s="1"/>
  <c r="F748" i="1"/>
  <c r="F742" i="1"/>
  <c r="M1775" i="1"/>
  <c r="M1768" i="1"/>
  <c r="M1779" i="1"/>
  <c r="F1775" i="1"/>
  <c r="F1768" i="1"/>
  <c r="F1779" i="1"/>
  <c r="AJ266" i="1" l="1"/>
  <c r="Q266" i="1"/>
  <c r="AJ478" i="1"/>
  <c r="Q478" i="1"/>
  <c r="AJ973" i="1"/>
  <c r="Q973" i="1"/>
  <c r="M742" i="1"/>
  <c r="P758" i="1"/>
  <c r="M758" i="1"/>
  <c r="F758" i="1"/>
  <c r="N1878" i="1"/>
  <c r="AI1878" i="1" s="1"/>
  <c r="N813" i="1"/>
  <c r="AI813" i="1" s="1"/>
  <c r="AJ813" i="1" l="1"/>
  <c r="Q813" i="1"/>
  <c r="AJ1878" i="1"/>
  <c r="Q1878" i="1"/>
  <c r="P1005" i="1"/>
  <c r="M1005" i="1"/>
  <c r="F1005" i="1"/>
  <c r="P709" i="1"/>
  <c r="M709" i="1"/>
  <c r="F709" i="1"/>
  <c r="P1764" i="1" l="1"/>
  <c r="M1764" i="1"/>
  <c r="F1764" i="1"/>
  <c r="N273" i="1" l="1"/>
  <c r="AI273" i="1" s="1"/>
  <c r="N314" i="1"/>
  <c r="AI314" i="1" s="1"/>
  <c r="N317" i="1"/>
  <c r="AI317" i="1" s="1"/>
  <c r="N321" i="1"/>
  <c r="AI321" i="1" s="1"/>
  <c r="N320" i="1"/>
  <c r="AI320" i="1" s="1"/>
  <c r="N323" i="1"/>
  <c r="AI323" i="1" s="1"/>
  <c r="N313" i="1"/>
  <c r="AI313" i="1" s="1"/>
  <c r="N311" i="1"/>
  <c r="AI311" i="1" s="1"/>
  <c r="N312" i="1"/>
  <c r="AI312" i="1" s="1"/>
  <c r="N310" i="1"/>
  <c r="AI310" i="1" s="1"/>
  <c r="N319" i="1"/>
  <c r="AI319" i="1" s="1"/>
  <c r="N322" i="1"/>
  <c r="AI322" i="1" s="1"/>
  <c r="N316" i="1"/>
  <c r="AI316" i="1" s="1"/>
  <c r="N318" i="1"/>
  <c r="AI318" i="1" s="1"/>
  <c r="N315" i="1"/>
  <c r="AI315" i="1" s="1"/>
  <c r="N309" i="1"/>
  <c r="AI309" i="1" s="1"/>
  <c r="M1411" i="1"/>
  <c r="M1415" i="1"/>
  <c r="P1881" i="1"/>
  <c r="P1878" i="1"/>
  <c r="M1881" i="1"/>
  <c r="M1878" i="1"/>
  <c r="F1881" i="1"/>
  <c r="F1878" i="1"/>
  <c r="AJ309" i="1" l="1"/>
  <c r="Q309" i="1"/>
  <c r="AJ322" i="1"/>
  <c r="Q322" i="1"/>
  <c r="AJ311" i="1"/>
  <c r="Q311" i="1"/>
  <c r="AJ321" i="1"/>
  <c r="Q321" i="1"/>
  <c r="AJ315" i="1"/>
  <c r="Q315" i="1"/>
  <c r="AJ319" i="1"/>
  <c r="Q319" i="1"/>
  <c r="AJ313" i="1"/>
  <c r="Q313" i="1"/>
  <c r="AJ317" i="1"/>
  <c r="Q317" i="1"/>
  <c r="AJ318" i="1"/>
  <c r="Q318" i="1"/>
  <c r="AJ310" i="1"/>
  <c r="Q310" i="1"/>
  <c r="AJ323" i="1"/>
  <c r="Q323" i="1"/>
  <c r="AJ314" i="1"/>
  <c r="Q314" i="1"/>
  <c r="AJ316" i="1"/>
  <c r="Q316" i="1"/>
  <c r="AJ312" i="1"/>
  <c r="Q312" i="1"/>
  <c r="AJ320" i="1"/>
  <c r="Q320" i="1"/>
  <c r="AJ273" i="1"/>
  <c r="Q273" i="1"/>
  <c r="P309" i="1"/>
  <c r="P315" i="1"/>
  <c r="P670" i="1"/>
  <c r="M670" i="1"/>
  <c r="F670" i="1"/>
  <c r="P1560" i="1" l="1"/>
  <c r="M1560" i="1"/>
  <c r="F1560" i="1"/>
  <c r="M314" i="1" l="1"/>
  <c r="F314" i="1"/>
  <c r="M311" i="1" l="1"/>
  <c r="P312" i="1"/>
  <c r="F313" i="1"/>
  <c r="M313" i="1"/>
  <c r="P313" i="1"/>
  <c r="F323" i="1"/>
  <c r="M323" i="1"/>
  <c r="P323" i="1"/>
  <c r="F320" i="1"/>
  <c r="M320" i="1"/>
  <c r="P320" i="1"/>
  <c r="F321" i="1"/>
  <c r="M321" i="1"/>
  <c r="P321" i="1"/>
  <c r="F317" i="1"/>
  <c r="M317" i="1"/>
  <c r="P317" i="1"/>
  <c r="M310" i="1"/>
  <c r="P318" i="1"/>
  <c r="P316" i="1"/>
  <c r="P322" i="1"/>
  <c r="P319" i="1"/>
  <c r="P310" i="1"/>
  <c r="P311" i="1"/>
  <c r="M309" i="1"/>
  <c r="M315" i="1"/>
  <c r="M318" i="1"/>
  <c r="M316" i="1"/>
  <c r="M322" i="1"/>
  <c r="M319" i="1"/>
  <c r="F315" i="1"/>
  <c r="F318" i="1"/>
  <c r="F316" i="1"/>
  <c r="F322" i="1"/>
  <c r="F319" i="1"/>
  <c r="F310" i="1"/>
  <c r="F312" i="1"/>
  <c r="F311" i="1"/>
  <c r="F309" i="1"/>
  <c r="M312" i="1" l="1"/>
  <c r="N477" i="1" l="1"/>
  <c r="AI477" i="1" s="1"/>
  <c r="M1902" i="1"/>
  <c r="F1902" i="1"/>
  <c r="AJ477" i="1" l="1"/>
  <c r="Q477" i="1"/>
  <c r="P848" i="1"/>
  <c r="M848" i="1"/>
  <c r="F848" i="1"/>
  <c r="P847" i="1"/>
  <c r="M847" i="1"/>
  <c r="F847" i="1"/>
  <c r="P846" i="1"/>
  <c r="M846" i="1"/>
  <c r="F846" i="1"/>
  <c r="P845" i="1"/>
  <c r="M845" i="1"/>
  <c r="F845" i="1"/>
  <c r="P461" i="1" l="1"/>
  <c r="F461" i="1"/>
  <c r="M461" i="1"/>
  <c r="P252" i="1" l="1"/>
  <c r="M252" i="1"/>
  <c r="F252" i="1"/>
  <c r="N1719" i="1" l="1"/>
  <c r="AI1719" i="1" s="1"/>
  <c r="AJ1719" i="1" l="1"/>
  <c r="Q1719" i="1"/>
  <c r="N1348" i="1"/>
  <c r="AI1348" i="1" s="1"/>
  <c r="AJ1348" i="1" l="1"/>
  <c r="Q1348" i="1"/>
  <c r="P1858" i="1"/>
  <c r="M1858" i="1"/>
  <c r="P1855" i="1"/>
  <c r="M1855" i="1"/>
  <c r="F1855" i="1"/>
  <c r="F1858" i="1"/>
  <c r="F1856" i="1"/>
  <c r="P1538" i="1"/>
  <c r="M1538" i="1"/>
  <c r="F1538" i="1"/>
  <c r="N270" i="1" l="1"/>
  <c r="AI270" i="1" s="1"/>
  <c r="P475" i="1"/>
  <c r="M475" i="1"/>
  <c r="F475" i="1"/>
  <c r="P445" i="1"/>
  <c r="M445" i="1"/>
  <c r="F445" i="1"/>
  <c r="P444" i="1"/>
  <c r="M444" i="1"/>
  <c r="P460" i="1"/>
  <c r="M460" i="1"/>
  <c r="F444" i="1"/>
  <c r="F460" i="1"/>
  <c r="M464" i="1"/>
  <c r="F464" i="1"/>
  <c r="AJ270" i="1" l="1"/>
  <c r="Q270" i="1"/>
  <c r="N124" i="1"/>
  <c r="AI124" i="1" s="1"/>
  <c r="N125" i="1"/>
  <c r="AI125" i="1" s="1"/>
  <c r="AJ125" i="1" l="1"/>
  <c r="Q125" i="1"/>
  <c r="AJ124" i="1"/>
  <c r="Q124" i="1"/>
  <c r="P274" i="1"/>
  <c r="M274" i="1"/>
  <c r="F274" i="1"/>
  <c r="M867" i="1"/>
  <c r="M874" i="1"/>
  <c r="M863" i="1"/>
  <c r="F874" i="1"/>
  <c r="M798" i="1" l="1"/>
  <c r="P798" i="1"/>
  <c r="M794" i="1"/>
  <c r="P794" i="1"/>
  <c r="P824" i="1"/>
  <c r="M824" i="1"/>
  <c r="F824" i="1"/>
  <c r="F794" i="1"/>
  <c r="F798" i="1"/>
  <c r="M822" i="1"/>
  <c r="P822" i="1"/>
  <c r="P823" i="1"/>
  <c r="M823" i="1"/>
  <c r="F823" i="1"/>
  <c r="F822" i="1"/>
  <c r="N858" i="1"/>
  <c r="AI858" i="1" s="1"/>
  <c r="O857" i="1"/>
  <c r="AJ857" i="1" s="1"/>
  <c r="O833" i="1"/>
  <c r="AJ833" i="1" s="1"/>
  <c r="O851" i="1"/>
  <c r="AJ851" i="1" s="1"/>
  <c r="O807" i="1"/>
  <c r="AJ807" i="1" s="1"/>
  <c r="O817" i="1"/>
  <c r="AJ817" i="1" s="1"/>
  <c r="M817" i="1"/>
  <c r="M807" i="1"/>
  <c r="M851" i="1"/>
  <c r="M833" i="1"/>
  <c r="M857" i="1"/>
  <c r="F817" i="1"/>
  <c r="F807" i="1"/>
  <c r="F851" i="1"/>
  <c r="F833" i="1"/>
  <c r="F857" i="1"/>
  <c r="P539" i="1"/>
  <c r="P545" i="1"/>
  <c r="M539" i="1"/>
  <c r="M545" i="1"/>
  <c r="F545" i="1"/>
  <c r="F539" i="1"/>
  <c r="AJ858" i="1" l="1"/>
  <c r="Q858" i="1"/>
  <c r="P807" i="1"/>
  <c r="P851" i="1"/>
  <c r="P833" i="1"/>
  <c r="P817" i="1"/>
  <c r="P857" i="1"/>
  <c r="P952" i="1"/>
  <c r="M952" i="1"/>
  <c r="P950" i="1"/>
  <c r="M950" i="1"/>
  <c r="M944" i="1"/>
  <c r="F950" i="1"/>
  <c r="F952" i="1"/>
  <c r="F944" i="1"/>
  <c r="F1595" i="1"/>
  <c r="N1375" i="1"/>
  <c r="AI1375" i="1" s="1"/>
  <c r="AJ1375" i="1" l="1"/>
  <c r="Q1375" i="1"/>
  <c r="O806" i="1"/>
  <c r="AJ806" i="1" s="1"/>
  <c r="O828" i="1"/>
  <c r="AJ828" i="1" s="1"/>
  <c r="O860" i="1"/>
  <c r="AJ860" i="1" s="1"/>
  <c r="O808" i="1"/>
  <c r="AJ808" i="1" s="1"/>
  <c r="O856" i="1"/>
  <c r="AJ856" i="1" s="1"/>
  <c r="O839" i="1"/>
  <c r="AJ839" i="1" s="1"/>
  <c r="O832" i="1"/>
  <c r="AJ832" i="1" s="1"/>
  <c r="P408" i="1"/>
  <c r="P396" i="1"/>
  <c r="P399" i="1" l="1"/>
  <c r="M399" i="1"/>
  <c r="M396" i="1"/>
  <c r="M408" i="1"/>
  <c r="F396" i="1"/>
  <c r="F408" i="1"/>
  <c r="N804" i="1"/>
  <c r="AI804" i="1" s="1"/>
  <c r="P391" i="1"/>
  <c r="M391" i="1"/>
  <c r="P390" i="1"/>
  <c r="M390" i="1"/>
  <c r="P402" i="1"/>
  <c r="M402" i="1"/>
  <c r="F391" i="1"/>
  <c r="F390" i="1"/>
  <c r="F402" i="1"/>
  <c r="AJ804" i="1" l="1"/>
  <c r="Q804" i="1"/>
  <c r="O869" i="1"/>
  <c r="AJ869" i="1" s="1"/>
  <c r="O863" i="1"/>
  <c r="AJ863" i="1" s="1"/>
  <c r="N872" i="1"/>
  <c r="AI872" i="1" s="1"/>
  <c r="M869" i="1"/>
  <c r="N873" i="1"/>
  <c r="AI873" i="1" s="1"/>
  <c r="AJ872" i="1" l="1"/>
  <c r="Q872" i="1"/>
  <c r="AJ873" i="1"/>
  <c r="Q873" i="1"/>
  <c r="P863" i="1"/>
  <c r="P872" i="1"/>
  <c r="M872" i="1"/>
  <c r="P869" i="1"/>
  <c r="N1831" i="1"/>
  <c r="AI1831" i="1" s="1"/>
  <c r="AJ1831" i="1" l="1"/>
  <c r="Q1831" i="1"/>
  <c r="N1722" i="1"/>
  <c r="AI1722" i="1" s="1"/>
  <c r="AJ1722" i="1" l="1"/>
  <c r="Q1722" i="1"/>
  <c r="P637" i="1"/>
  <c r="P642" i="1"/>
  <c r="P634" i="1"/>
  <c r="P639" i="1"/>
  <c r="M639" i="1"/>
  <c r="M634" i="1"/>
  <c r="M642" i="1"/>
  <c r="M637" i="1"/>
  <c r="F634" i="1"/>
  <c r="F642" i="1"/>
  <c r="F637" i="1"/>
  <c r="N1691" i="1" l="1"/>
  <c r="AI1691" i="1" s="1"/>
  <c r="P785" i="1"/>
  <c r="M785" i="1"/>
  <c r="F785" i="1"/>
  <c r="N410" i="1"/>
  <c r="AI410" i="1" s="1"/>
  <c r="AJ410" i="1" l="1"/>
  <c r="Q410" i="1"/>
  <c r="AJ1691" i="1"/>
  <c r="Q1691" i="1"/>
  <c r="N1717" i="1"/>
  <c r="AI1717" i="1" s="1"/>
  <c r="N853" i="1"/>
  <c r="AI853" i="1" s="1"/>
  <c r="F872" i="1"/>
  <c r="AJ1717" i="1" l="1"/>
  <c r="Q1717" i="1"/>
  <c r="AJ853" i="1"/>
  <c r="Q853" i="1"/>
  <c r="P1415" i="1"/>
  <c r="P1411" i="1"/>
  <c r="P1526" i="1"/>
  <c r="F1415" i="1"/>
  <c r="F1411" i="1"/>
  <c r="P1305" i="1"/>
  <c r="M1305" i="1"/>
  <c r="M1304" i="1"/>
  <c r="F1305" i="1"/>
  <c r="F1304" i="1"/>
  <c r="N479" i="1" l="1"/>
  <c r="AI479" i="1" s="1"/>
  <c r="AJ479" i="1" l="1"/>
  <c r="Q479" i="1"/>
  <c r="P458" i="1"/>
  <c r="M458" i="1"/>
  <c r="F458" i="1"/>
  <c r="P450" i="1" l="1"/>
  <c r="M450" i="1"/>
  <c r="F450" i="1"/>
  <c r="P457" i="1"/>
  <c r="M457" i="1"/>
  <c r="F457" i="1"/>
  <c r="P448" i="1"/>
  <c r="M448" i="1"/>
  <c r="F448" i="1"/>
  <c r="N1873" i="1" l="1"/>
  <c r="AI1873" i="1" s="1"/>
  <c r="AJ1873" i="1" l="1"/>
  <c r="Q1873" i="1"/>
  <c r="P381" i="1"/>
  <c r="M381" i="1"/>
  <c r="F381" i="1"/>
  <c r="N1007" i="1" l="1"/>
  <c r="AI1007" i="1" s="1"/>
  <c r="AJ1007" i="1" l="1"/>
  <c r="Q1007" i="1"/>
  <c r="P259" i="1"/>
  <c r="M259" i="1"/>
  <c r="F259" i="1"/>
  <c r="N258" i="1"/>
  <c r="AI258" i="1" s="1"/>
  <c r="AJ258" i="1" l="1"/>
  <c r="Q258" i="1"/>
  <c r="P224" i="1"/>
  <c r="M224" i="1"/>
  <c r="F224" i="1"/>
  <c r="N254" i="1"/>
  <c r="AI254" i="1" s="1"/>
  <c r="N260" i="1"/>
  <c r="AI260" i="1" s="1"/>
  <c r="N257" i="1"/>
  <c r="AI257" i="1" s="1"/>
  <c r="AJ257" i="1" l="1"/>
  <c r="Q257" i="1"/>
  <c r="AJ260" i="1"/>
  <c r="Q260" i="1"/>
  <c r="AJ254" i="1"/>
  <c r="Q254" i="1"/>
  <c r="P1417" i="1"/>
  <c r="M1417" i="1"/>
  <c r="F1417" i="1"/>
  <c r="N10" i="1" l="1"/>
  <c r="AI10" i="1" s="1"/>
  <c r="N13" i="1"/>
  <c r="AI13" i="1" s="1"/>
  <c r="P1671" i="1"/>
  <c r="P1670" i="1"/>
  <c r="M1670" i="1"/>
  <c r="M1671" i="1"/>
  <c r="F1670" i="1"/>
  <c r="P1669" i="1"/>
  <c r="P1668" i="1"/>
  <c r="P1666" i="1"/>
  <c r="P1672" i="1"/>
  <c r="M1672" i="1"/>
  <c r="M1666" i="1"/>
  <c r="M1668" i="1"/>
  <c r="M1669" i="1"/>
  <c r="F1672" i="1"/>
  <c r="F1666" i="1"/>
  <c r="F1668" i="1"/>
  <c r="F1669" i="1"/>
  <c r="AJ13" i="1" l="1"/>
  <c r="Q13" i="1"/>
  <c r="AJ10" i="1"/>
  <c r="Q10" i="1"/>
  <c r="P806" i="1"/>
  <c r="M806" i="1"/>
  <c r="F806" i="1"/>
  <c r="N632" i="1"/>
  <c r="AI632" i="1" s="1"/>
  <c r="N630" i="1"/>
  <c r="AI630" i="1" s="1"/>
  <c r="AJ632" i="1" l="1"/>
  <c r="Q632" i="1"/>
  <c r="AJ630" i="1"/>
  <c r="Q630" i="1"/>
  <c r="AI611" i="1"/>
  <c r="N610" i="1"/>
  <c r="AI610" i="1" s="1"/>
  <c r="P255" i="1"/>
  <c r="P251" i="1"/>
  <c r="M255" i="1"/>
  <c r="M251" i="1"/>
  <c r="F255" i="1"/>
  <c r="F251" i="1"/>
  <c r="P254" i="1"/>
  <c r="P256" i="1"/>
  <c r="P253" i="1"/>
  <c r="M256" i="1"/>
  <c r="M253" i="1"/>
  <c r="F256" i="1"/>
  <c r="F253" i="1"/>
  <c r="AJ610" i="1" l="1"/>
  <c r="Q610" i="1"/>
  <c r="AJ611" i="1"/>
  <c r="Q611" i="1"/>
  <c r="P258" i="1"/>
  <c r="P260" i="1"/>
  <c r="P257" i="1"/>
  <c r="P262" i="1"/>
  <c r="P261" i="1"/>
  <c r="P235" i="1"/>
  <c r="M235" i="1"/>
  <c r="F235" i="1"/>
  <c r="N126" i="1" l="1"/>
  <c r="AI126" i="1" s="1"/>
  <c r="AJ126" i="1" l="1"/>
  <c r="Q126" i="1"/>
  <c r="N1804" i="1"/>
  <c r="AI1804" i="1" s="1"/>
  <c r="F1822" i="1"/>
  <c r="P1835" i="1"/>
  <c r="M1835" i="1"/>
  <c r="F1835" i="1"/>
  <c r="P1833" i="1"/>
  <c r="M1833" i="1"/>
  <c r="F1833" i="1"/>
  <c r="P1832" i="1"/>
  <c r="M1832" i="1"/>
  <c r="F1832" i="1"/>
  <c r="P1814" i="1"/>
  <c r="M1814" i="1"/>
  <c r="F1814" i="1"/>
  <c r="P1815" i="1"/>
  <c r="M1815" i="1"/>
  <c r="F1815" i="1"/>
  <c r="P1831" i="1"/>
  <c r="N1803" i="1"/>
  <c r="AI1803" i="1" s="1"/>
  <c r="P215" i="1"/>
  <c r="P225" i="1"/>
  <c r="P223" i="1"/>
  <c r="P234" i="1"/>
  <c r="M234" i="1"/>
  <c r="M223" i="1"/>
  <c r="M225" i="1"/>
  <c r="M215" i="1"/>
  <c r="M261" i="1"/>
  <c r="M262" i="1"/>
  <c r="M257" i="1"/>
  <c r="M260" i="1"/>
  <c r="M258" i="1"/>
  <c r="M254" i="1"/>
  <c r="F234" i="1"/>
  <c r="F223" i="1"/>
  <c r="F225" i="1"/>
  <c r="F215" i="1"/>
  <c r="F261" i="1"/>
  <c r="F262" i="1"/>
  <c r="F257" i="1"/>
  <c r="F260" i="1"/>
  <c r="F258" i="1"/>
  <c r="F254" i="1"/>
  <c r="P242" i="1"/>
  <c r="M242" i="1"/>
  <c r="F242" i="1"/>
  <c r="AJ1804" i="1" l="1"/>
  <c r="Q1804" i="1"/>
  <c r="AJ1803" i="1"/>
  <c r="Q1803" i="1"/>
  <c r="M1822" i="1"/>
  <c r="P1822" i="1"/>
  <c r="N631" i="1" l="1"/>
  <c r="AI631" i="1" s="1"/>
  <c r="M1831" i="1"/>
  <c r="F1831" i="1"/>
  <c r="AJ631" i="1" l="1"/>
  <c r="Q631" i="1"/>
  <c r="P696" i="1"/>
  <c r="P697" i="1"/>
  <c r="M696" i="1"/>
  <c r="M697" i="1"/>
  <c r="F696" i="1"/>
  <c r="F697" i="1"/>
  <c r="F702" i="1"/>
  <c r="P669" i="1"/>
  <c r="M669" i="1"/>
  <c r="F669" i="1"/>
  <c r="N959" i="1" l="1"/>
  <c r="AI959" i="1" s="1"/>
  <c r="AJ959" i="1" l="1"/>
  <c r="Q959" i="1"/>
  <c r="P10" i="1"/>
  <c r="P550" i="1"/>
  <c r="M550" i="1"/>
  <c r="F550" i="1"/>
  <c r="N48" i="1" l="1"/>
  <c r="AI48" i="1" s="1"/>
  <c r="AJ48" i="1" l="1"/>
  <c r="Q48" i="1"/>
  <c r="P1804" i="1"/>
  <c r="M1804" i="1"/>
  <c r="F1804" i="1"/>
  <c r="P1821" i="1"/>
  <c r="N1820" i="1"/>
  <c r="AI1820" i="1" s="1"/>
  <c r="M1821" i="1"/>
  <c r="F1821" i="1"/>
  <c r="AJ1820" i="1" l="1"/>
  <c r="Q1820" i="1"/>
  <c r="P937" i="1"/>
  <c r="M937" i="1"/>
  <c r="P922" i="1"/>
  <c r="P932" i="1"/>
  <c r="M932" i="1"/>
  <c r="M922" i="1"/>
  <c r="F932" i="1"/>
  <c r="F922" i="1"/>
  <c r="F937" i="1"/>
  <c r="N1800" i="1" l="1"/>
  <c r="AI1800" i="1" s="1"/>
  <c r="N1802" i="1"/>
  <c r="AI1802" i="1" s="1"/>
  <c r="AJ1800" i="1" l="1"/>
  <c r="Q1800" i="1"/>
  <c r="AJ1802" i="1"/>
  <c r="Q1802" i="1"/>
  <c r="P138" i="1"/>
  <c r="M138" i="1"/>
  <c r="F138" i="1"/>
  <c r="M10" i="1" l="1"/>
  <c r="F10" i="1"/>
  <c r="P13" i="1"/>
  <c r="P4" i="1"/>
  <c r="M4" i="1"/>
  <c r="M13" i="1"/>
  <c r="F13" i="1"/>
  <c r="F4" i="1"/>
  <c r="P8" i="1"/>
  <c r="M8" i="1"/>
  <c r="F8" i="1"/>
  <c r="P551" i="1" l="1"/>
  <c r="P633" i="1" l="1"/>
  <c r="M633" i="1"/>
  <c r="P630" i="1"/>
  <c r="M630" i="1"/>
  <c r="P632" i="1"/>
  <c r="M632" i="1"/>
  <c r="P631" i="1"/>
  <c r="M631" i="1"/>
  <c r="F631" i="1"/>
  <c r="F632" i="1"/>
  <c r="F630" i="1"/>
  <c r="F633" i="1"/>
  <c r="P579" i="1"/>
  <c r="M579" i="1"/>
  <c r="F579" i="1"/>
  <c r="N370" i="1"/>
  <c r="AI370" i="1" s="1"/>
  <c r="AJ370" i="1" l="1"/>
  <c r="Q370" i="1"/>
  <c r="P783" i="1"/>
  <c r="M783" i="1"/>
  <c r="F783" i="1"/>
  <c r="P786" i="1"/>
  <c r="M786" i="1"/>
  <c r="F786" i="1"/>
  <c r="N127" i="1" l="1"/>
  <c r="AI127" i="1" s="1"/>
  <c r="F856" i="1"/>
  <c r="P1195" i="1"/>
  <c r="M1195" i="1"/>
  <c r="F1195" i="1"/>
  <c r="AJ127" i="1" l="1"/>
  <c r="Q127" i="1"/>
  <c r="P1535" i="1"/>
  <c r="M1535" i="1"/>
  <c r="F1535" i="1"/>
  <c r="P710" i="1" l="1"/>
  <c r="M710" i="1"/>
  <c r="P707" i="1"/>
  <c r="M707" i="1"/>
  <c r="F707" i="1"/>
  <c r="F710" i="1"/>
  <c r="P959" i="1"/>
  <c r="M959" i="1"/>
  <c r="F959" i="1"/>
  <c r="N1799" i="1" l="1"/>
  <c r="AI1799" i="1" s="1"/>
  <c r="N1801" i="1"/>
  <c r="AI1801" i="1" s="1"/>
  <c r="AJ1799" i="1" l="1"/>
  <c r="Q1799" i="1"/>
  <c r="AJ1801" i="1"/>
  <c r="Q1801" i="1"/>
  <c r="F1563" i="1"/>
  <c r="M1563" i="1"/>
  <c r="P1563" i="1"/>
  <c r="F1551" i="1"/>
  <c r="M1551" i="1"/>
  <c r="P1551" i="1"/>
  <c r="P1557" i="1"/>
  <c r="P1570" i="1"/>
  <c r="M1570" i="1"/>
  <c r="M1557" i="1"/>
  <c r="F1570" i="1"/>
  <c r="F1557" i="1"/>
  <c r="P54" i="1"/>
  <c r="P56" i="1"/>
  <c r="P55" i="1"/>
  <c r="M55" i="1"/>
  <c r="M56" i="1"/>
  <c r="M54" i="1"/>
  <c r="F56" i="1"/>
  <c r="F54" i="1"/>
  <c r="F55" i="1"/>
  <c r="F2" i="1" l="1"/>
  <c r="F14" i="1"/>
  <c r="F11" i="1"/>
  <c r="F6" i="1"/>
  <c r="F3" i="1"/>
  <c r="F12" i="1"/>
  <c r="F7" i="1"/>
  <c r="F35" i="1"/>
  <c r="F34" i="1"/>
  <c r="F40" i="1"/>
  <c r="F38" i="1"/>
  <c r="F36" i="1"/>
  <c r="F39" i="1"/>
  <c r="F41" i="1"/>
  <c r="F42" i="1"/>
  <c r="F53" i="1"/>
  <c r="F51" i="1"/>
  <c r="F50" i="1"/>
  <c r="F48" i="1"/>
  <c r="F45" i="1"/>
  <c r="F43" i="1"/>
  <c r="F126" i="1"/>
  <c r="F127" i="1"/>
  <c r="F129" i="1"/>
  <c r="F133" i="1"/>
  <c r="F131" i="1"/>
  <c r="F128" i="1"/>
  <c r="F124" i="1"/>
  <c r="F125" i="1"/>
  <c r="F146" i="1"/>
  <c r="F134" i="1"/>
  <c r="F147" i="1"/>
  <c r="F144" i="1"/>
  <c r="F149" i="1"/>
  <c r="F142" i="1"/>
  <c r="F145" i="1"/>
  <c r="F143" i="1"/>
  <c r="F141" i="1"/>
  <c r="F139" i="1"/>
  <c r="F137" i="1"/>
  <c r="F135" i="1"/>
  <c r="F148" i="1"/>
  <c r="F157" i="1"/>
  <c r="F156" i="1"/>
  <c r="F155" i="1"/>
  <c r="F154" i="1"/>
  <c r="F160" i="1"/>
  <c r="F159" i="1"/>
  <c r="F158" i="1"/>
  <c r="F195" i="1"/>
  <c r="F194" i="1"/>
  <c r="F193" i="1"/>
  <c r="F192" i="1"/>
  <c r="F200" i="1"/>
  <c r="F199" i="1"/>
  <c r="F198" i="1"/>
  <c r="F197" i="1"/>
  <c r="F204" i="1"/>
  <c r="F207" i="1"/>
  <c r="F206" i="1"/>
  <c r="F203" i="1"/>
  <c r="F202" i="1"/>
  <c r="F201" i="1"/>
  <c r="F205" i="1"/>
  <c r="F243" i="1"/>
  <c r="F226" i="1"/>
  <c r="F216" i="1"/>
  <c r="F217" i="1"/>
  <c r="F208" i="1"/>
  <c r="F249" i="1"/>
  <c r="F230" i="1"/>
  <c r="F233" i="1"/>
  <c r="F250" i="1"/>
  <c r="F247" i="1"/>
  <c r="F248" i="1"/>
  <c r="F244" i="1"/>
  <c r="F231" i="1"/>
  <c r="F227" i="1"/>
  <c r="F218" i="1"/>
  <c r="F219" i="1"/>
  <c r="F209" i="1"/>
  <c r="F238" i="1"/>
  <c r="F245" i="1"/>
  <c r="F220" i="1"/>
  <c r="F210" i="1"/>
  <c r="F283" i="1"/>
  <c r="F286" i="1"/>
  <c r="F287" i="1"/>
  <c r="F272" i="1"/>
  <c r="F273" i="1"/>
  <c r="F288" i="1"/>
  <c r="F281" i="1"/>
  <c r="F276" i="1"/>
  <c r="F266" i="1"/>
  <c r="F268" i="1"/>
  <c r="F267" i="1"/>
  <c r="F284" i="1"/>
  <c r="F285" i="1"/>
  <c r="F271" i="1"/>
  <c r="F264" i="1"/>
  <c r="F265" i="1"/>
  <c r="F263" i="1"/>
  <c r="F289" i="1"/>
  <c r="F279" i="1"/>
  <c r="F270" i="1"/>
  <c r="F383" i="1"/>
  <c r="F371" i="1"/>
  <c r="F357" i="1"/>
  <c r="F366" i="1"/>
  <c r="F367" i="1"/>
  <c r="F386" i="1"/>
  <c r="F372" i="1"/>
  <c r="F368" i="1"/>
  <c r="F369" i="1"/>
  <c r="F382" i="1"/>
  <c r="F365" i="1"/>
  <c r="F376" i="1"/>
  <c r="F373" i="1"/>
  <c r="F359" i="1"/>
  <c r="F353" i="1"/>
  <c r="F379" i="1"/>
  <c r="F361" i="1"/>
  <c r="F354" i="1"/>
  <c r="F380" i="1"/>
  <c r="F362" i="1"/>
  <c r="F355" i="1"/>
  <c r="F374" i="1"/>
  <c r="F363" i="1"/>
  <c r="F384" i="1"/>
  <c r="F385" i="1"/>
  <c r="F364" i="1"/>
  <c r="F358" i="1"/>
  <c r="F356" i="1"/>
  <c r="F375" i="1"/>
  <c r="F370" i="1"/>
  <c r="F413" i="1"/>
  <c r="F400" i="1"/>
  <c r="F411" i="1"/>
  <c r="F412" i="1"/>
  <c r="F406" i="1"/>
  <c r="F403" i="1"/>
  <c r="F410" i="1"/>
  <c r="F405" i="1"/>
  <c r="F401" i="1"/>
  <c r="F398" i="1"/>
  <c r="F428" i="1"/>
  <c r="F426" i="1"/>
  <c r="F425" i="1"/>
  <c r="F421" i="1"/>
  <c r="F437" i="1"/>
  <c r="F436" i="1"/>
  <c r="F438" i="1"/>
  <c r="F474" i="1"/>
  <c r="F468" i="1"/>
  <c r="F442" i="1"/>
  <c r="F462" i="1"/>
  <c r="F459" i="1"/>
  <c r="F443" i="1"/>
  <c r="F469" i="1"/>
  <c r="F453" i="1"/>
  <c r="F454" i="1"/>
  <c r="F440" i="1"/>
  <c r="F465" i="1"/>
  <c r="F455" i="1"/>
  <c r="F441" i="1"/>
  <c r="F447" i="1"/>
  <c r="F470" i="1"/>
  <c r="F476" i="1"/>
  <c r="F471" i="1"/>
  <c r="F472" i="1"/>
  <c r="F466" i="1"/>
  <c r="F463" i="1"/>
  <c r="F473" i="1"/>
  <c r="F467" i="1"/>
  <c r="F456" i="1"/>
  <c r="F446" i="1"/>
  <c r="F480" i="1"/>
  <c r="F478" i="1"/>
  <c r="F479" i="1"/>
  <c r="F477" i="1"/>
  <c r="F481" i="1"/>
  <c r="F525" i="1"/>
  <c r="F526" i="1"/>
  <c r="F521" i="1"/>
  <c r="F532" i="1"/>
  <c r="F531" i="1"/>
  <c r="F530" i="1"/>
  <c r="F528" i="1"/>
  <c r="F529" i="1"/>
  <c r="F543" i="1"/>
  <c r="F563" i="1"/>
  <c r="F536" i="1"/>
  <c r="F544" i="1"/>
  <c r="F538" i="1"/>
  <c r="F541" i="1"/>
  <c r="F549" i="1"/>
  <c r="F566" i="1"/>
  <c r="F567" i="1"/>
  <c r="F557" i="1"/>
  <c r="F558" i="1"/>
  <c r="F559" i="1"/>
  <c r="F552" i="1"/>
  <c r="F553" i="1"/>
  <c r="F565" i="1"/>
  <c r="F551" i="1"/>
  <c r="F555" i="1"/>
  <c r="F564" i="1"/>
  <c r="F560" i="1"/>
  <c r="F561" i="1"/>
  <c r="F556" i="1"/>
  <c r="F554" i="1"/>
  <c r="F542" i="1"/>
  <c r="F537" i="1"/>
  <c r="F562" i="1"/>
  <c r="F576" i="1"/>
  <c r="F596" i="1"/>
  <c r="F594" i="1"/>
  <c r="F590" i="1"/>
  <c r="F597" i="1"/>
  <c r="F595" i="1"/>
  <c r="F591" i="1"/>
  <c r="F593" i="1"/>
  <c r="F592" i="1"/>
  <c r="F616" i="1"/>
  <c r="F612" i="1"/>
  <c r="F610" i="1"/>
  <c r="F611" i="1"/>
  <c r="F617" i="1"/>
  <c r="F614" i="1"/>
  <c r="F615" i="1"/>
  <c r="F613" i="1"/>
  <c r="F625" i="1"/>
  <c r="F618" i="1"/>
  <c r="F628" i="1"/>
  <c r="F626" i="1"/>
  <c r="F624" i="1"/>
  <c r="F622" i="1"/>
  <c r="F620" i="1"/>
  <c r="F619" i="1"/>
  <c r="F623" i="1"/>
  <c r="F629" i="1"/>
  <c r="F621" i="1"/>
  <c r="F627" i="1"/>
  <c r="F658" i="1"/>
  <c r="F660" i="1"/>
  <c r="F659" i="1"/>
  <c r="F661" i="1"/>
  <c r="F663" i="1"/>
  <c r="F666" i="1"/>
  <c r="F668" i="1"/>
  <c r="F667" i="1"/>
  <c r="F664" i="1"/>
  <c r="F665" i="1"/>
  <c r="F685" i="1"/>
  <c r="F695" i="1"/>
  <c r="F686" i="1"/>
  <c r="F673" i="1"/>
  <c r="F687" i="1"/>
  <c r="F674" i="1"/>
  <c r="F682" i="1"/>
  <c r="F672" i="1"/>
  <c r="F677" i="1"/>
  <c r="F692" i="1"/>
  <c r="F671" i="1"/>
  <c r="F688" i="1"/>
  <c r="F675" i="1"/>
  <c r="F676" i="1"/>
  <c r="F684" i="1"/>
  <c r="F691" i="1"/>
  <c r="F701" i="1"/>
  <c r="F703" i="1"/>
  <c r="F704" i="1"/>
  <c r="F705" i="1"/>
  <c r="F706" i="1"/>
  <c r="F708" i="1"/>
  <c r="F712" i="1"/>
  <c r="F711" i="1"/>
  <c r="F715" i="1"/>
  <c r="F714" i="1"/>
  <c r="F713" i="1"/>
  <c r="F772" i="1"/>
  <c r="F755" i="1"/>
  <c r="F771" i="1"/>
  <c r="F773" i="1"/>
  <c r="F756" i="1"/>
  <c r="F757" i="1"/>
  <c r="F774" i="1"/>
  <c r="F752" i="1"/>
  <c r="F753" i="1"/>
  <c r="F754" i="1"/>
  <c r="F778" i="1"/>
  <c r="F776" i="1"/>
  <c r="F770" i="1"/>
  <c r="F843" i="1"/>
  <c r="F814" i="1"/>
  <c r="F815" i="1"/>
  <c r="F859" i="1"/>
  <c r="F854" i="1"/>
  <c r="F849" i="1"/>
  <c r="F840" i="1"/>
  <c r="F816" i="1"/>
  <c r="F828" i="1"/>
  <c r="F850" i="1"/>
  <c r="F813" i="1"/>
  <c r="F805" i="1"/>
  <c r="F802" i="1"/>
  <c r="F803" i="1"/>
  <c r="F839" i="1"/>
  <c r="F832" i="1"/>
  <c r="F808" i="1"/>
  <c r="F860" i="1"/>
  <c r="F842" i="1"/>
  <c r="F835" i="1"/>
  <c r="F819" i="1"/>
  <c r="F810" i="1"/>
  <c r="F804" i="1"/>
  <c r="F858" i="1"/>
  <c r="F852" i="1"/>
  <c r="F841" i="1"/>
  <c r="F837" i="1"/>
  <c r="F821" i="1"/>
  <c r="F853" i="1"/>
  <c r="F830" i="1"/>
  <c r="F791" i="1"/>
  <c r="F875" i="1"/>
  <c r="F870" i="1"/>
  <c r="F871" i="1"/>
  <c r="F867" i="1"/>
  <c r="F866" i="1"/>
  <c r="F869" i="1"/>
  <c r="F863" i="1"/>
  <c r="F864" i="1"/>
  <c r="F868" i="1"/>
  <c r="F862" i="1"/>
  <c r="F861" i="1"/>
  <c r="F865" i="1"/>
  <c r="F873" i="1"/>
  <c r="F884" i="1"/>
  <c r="F883" i="1"/>
  <c r="F935" i="1"/>
  <c r="F927" i="1"/>
  <c r="F923" i="1"/>
  <c r="F939" i="1"/>
  <c r="F931" i="1"/>
  <c r="F924" i="1"/>
  <c r="F919" i="1"/>
  <c r="F914" i="1"/>
  <c r="F915" i="1"/>
  <c r="F938" i="1"/>
  <c r="F933" i="1"/>
  <c r="F934" i="1"/>
  <c r="F930" i="1"/>
  <c r="F926" i="1"/>
  <c r="F921" i="1"/>
  <c r="F918" i="1"/>
  <c r="F913" i="1"/>
  <c r="F928" i="1"/>
  <c r="F917" i="1"/>
  <c r="F941" i="1"/>
  <c r="F951" i="1"/>
  <c r="F945" i="1"/>
  <c r="F940" i="1"/>
  <c r="F947" i="1"/>
  <c r="F969" i="1"/>
  <c r="F970" i="1"/>
  <c r="F968" i="1"/>
  <c r="F958" i="1"/>
  <c r="F957" i="1"/>
  <c r="F961" i="1"/>
  <c r="F963" i="1"/>
  <c r="F1007" i="1"/>
  <c r="F1008" i="1"/>
  <c r="F995" i="1"/>
  <c r="F988" i="1"/>
  <c r="F975" i="1"/>
  <c r="F976" i="1"/>
  <c r="F972" i="1"/>
  <c r="F1015" i="1"/>
  <c r="F985" i="1"/>
  <c r="F973" i="1"/>
  <c r="F1009" i="1"/>
  <c r="F1016" i="1"/>
  <c r="F1018" i="1"/>
  <c r="F992" i="1"/>
  <c r="F974" i="1"/>
  <c r="F1020" i="1"/>
  <c r="F1004" i="1"/>
  <c r="F978" i="1"/>
  <c r="F1024" i="1"/>
  <c r="F1021" i="1"/>
  <c r="F1022" i="1"/>
  <c r="F1023" i="1"/>
  <c r="F1135" i="1"/>
  <c r="F1134" i="1"/>
  <c r="F1144" i="1"/>
  <c r="F1145" i="1"/>
  <c r="F1146" i="1"/>
  <c r="F1147" i="1"/>
  <c r="F1140" i="1"/>
  <c r="F1141" i="1"/>
  <c r="F1142" i="1"/>
  <c r="F1143" i="1"/>
  <c r="F1136" i="1"/>
  <c r="F1137" i="1"/>
  <c r="F1138" i="1"/>
  <c r="F1139" i="1"/>
  <c r="F1149" i="1"/>
  <c r="F1148" i="1"/>
  <c r="F1198" i="1"/>
  <c r="F1193" i="1"/>
  <c r="F1200" i="1"/>
  <c r="F1194" i="1"/>
  <c r="F1202" i="1"/>
  <c r="F1197" i="1"/>
  <c r="F1292" i="1"/>
  <c r="F1283" i="1"/>
  <c r="F1287" i="1"/>
  <c r="F1286" i="1"/>
  <c r="F1284" i="1"/>
  <c r="F1288" i="1"/>
  <c r="F1285" i="1"/>
  <c r="F1295" i="1"/>
  <c r="F1289" i="1"/>
  <c r="F1314" i="1"/>
  <c r="F1348" i="1"/>
  <c r="F1349" i="1"/>
  <c r="F1357" i="1"/>
  <c r="F1355" i="1"/>
  <c r="F1352" i="1"/>
  <c r="F1353" i="1"/>
  <c r="F1354" i="1"/>
  <c r="F1390" i="1"/>
  <c r="F1391" i="1"/>
  <c r="F1389" i="1"/>
  <c r="F1376" i="1"/>
  <c r="F1377" i="1"/>
  <c r="F1406" i="1"/>
  <c r="F1402" i="1"/>
  <c r="F1416" i="1"/>
  <c r="F1414" i="1"/>
  <c r="F1410" i="1"/>
  <c r="F1526" i="1"/>
  <c r="F1525" i="1"/>
  <c r="F1530" i="1"/>
  <c r="F1529" i="1"/>
  <c r="F1528" i="1"/>
  <c r="F1527" i="1"/>
  <c r="F1537" i="1"/>
  <c r="F1534" i="1"/>
  <c r="F1531" i="1"/>
  <c r="F1533" i="1"/>
  <c r="F1545" i="1"/>
  <c r="F1544" i="1"/>
  <c r="F1543" i="1"/>
  <c r="F1542" i="1"/>
  <c r="F1541" i="1"/>
  <c r="F1540" i="1"/>
  <c r="F1547" i="1"/>
  <c r="F1548" i="1"/>
  <c r="F1546" i="1"/>
  <c r="F1562" i="1"/>
  <c r="F1550" i="1"/>
  <c r="F1564" i="1"/>
  <c r="F1552" i="1"/>
  <c r="F1567" i="1"/>
  <c r="F1568" i="1"/>
  <c r="F1569" i="1"/>
  <c r="F1561" i="1"/>
  <c r="F1555" i="1"/>
  <c r="F1556" i="1"/>
  <c r="F1566" i="1"/>
  <c r="F1554" i="1"/>
  <c r="F1594" i="1"/>
  <c r="F1600" i="1"/>
  <c r="F1598" i="1"/>
  <c r="F1601" i="1"/>
  <c r="F1604" i="1"/>
  <c r="F1605" i="1"/>
  <c r="F1606" i="1"/>
  <c r="F1607" i="1"/>
  <c r="F1609" i="1"/>
  <c r="F1603" i="1"/>
  <c r="F1643" i="1"/>
  <c r="F1691" i="1"/>
  <c r="F1679" i="1"/>
  <c r="F1685" i="1"/>
  <c r="F1686" i="1"/>
  <c r="F1687" i="1"/>
  <c r="F1682" i="1"/>
  <c r="F1675" i="1"/>
  <c r="F1683" i="1"/>
  <c r="F1684" i="1"/>
  <c r="F1678" i="1"/>
  <c r="F1673" i="1"/>
  <c r="F1674" i="1"/>
  <c r="F1694" i="1"/>
  <c r="F1723" i="1"/>
  <c r="F1721" i="1"/>
  <c r="F1718" i="1"/>
  <c r="F1722" i="1"/>
  <c r="F1719" i="1"/>
  <c r="F1717" i="1"/>
  <c r="F1762" i="1"/>
  <c r="F1761" i="1"/>
  <c r="F1781" i="1"/>
  <c r="F1780" i="1"/>
  <c r="F1773" i="1"/>
  <c r="F1770" i="1"/>
  <c r="F1766" i="1"/>
  <c r="F1791" i="1"/>
  <c r="F1786" i="1"/>
  <c r="F1801" i="1"/>
  <c r="F1799" i="1"/>
  <c r="F1802" i="1"/>
  <c r="F1800" i="1"/>
  <c r="F1836" i="1"/>
  <c r="F1816" i="1"/>
  <c r="F1810" i="1"/>
  <c r="F1805" i="1"/>
  <c r="F1837" i="1"/>
  <c r="F1817" i="1"/>
  <c r="F1811" i="1"/>
  <c r="F1838" i="1"/>
  <c r="F1828" i="1"/>
  <c r="F1829" i="1"/>
  <c r="F1818" i="1"/>
  <c r="F1812" i="1"/>
  <c r="F1813" i="1"/>
  <c r="F1820" i="1"/>
  <c r="F1830" i="1"/>
  <c r="F1803" i="1"/>
  <c r="F1806" i="1"/>
  <c r="F1834" i="1"/>
  <c r="F1825" i="1"/>
  <c r="F1826" i="1"/>
  <c r="F1809" i="1"/>
  <c r="F1827" i="1"/>
  <c r="F1857" i="1"/>
  <c r="F1851" i="1"/>
  <c r="F1852" i="1"/>
  <c r="F1853" i="1"/>
  <c r="F1854" i="1"/>
  <c r="F1870" i="1"/>
  <c r="F1868" i="1"/>
  <c r="F1866" i="1"/>
  <c r="F1867" i="1"/>
  <c r="F1871" i="1"/>
  <c r="F1869" i="1"/>
  <c r="F1873" i="1"/>
  <c r="F1888" i="1"/>
  <c r="F1883" i="1"/>
  <c r="F1884" i="1"/>
  <c r="F1895" i="1"/>
  <c r="F1889" i="1"/>
  <c r="F1898" i="1"/>
  <c r="F1890" i="1"/>
  <c r="F1896" i="1"/>
  <c r="F1892" i="1"/>
  <c r="F1903" i="1"/>
  <c r="F1894" i="1"/>
  <c r="F1891" i="1"/>
  <c r="F1899" i="1"/>
  <c r="F876" i="1"/>
  <c r="F882" i="1"/>
  <c r="F877" i="1"/>
  <c r="F880" i="1"/>
  <c r="F881" i="1"/>
  <c r="F879" i="1"/>
  <c r="F878" i="1"/>
  <c r="F1311" i="1"/>
  <c r="P479" i="1" l="1"/>
  <c r="M479" i="1"/>
  <c r="P1402" i="1" l="1"/>
  <c r="P1405" i="1"/>
  <c r="M1402" i="1"/>
  <c r="P149" i="1" l="1"/>
  <c r="M149" i="1"/>
  <c r="P370" i="1" l="1"/>
  <c r="M370" i="1"/>
  <c r="N231" i="1"/>
  <c r="AI231" i="1" s="1"/>
  <c r="N250" i="1"/>
  <c r="AI250" i="1" s="1"/>
  <c r="N233" i="1"/>
  <c r="AI233" i="1" s="1"/>
  <c r="N1828" i="1"/>
  <c r="AI1828" i="1" s="1"/>
  <c r="P1829" i="1"/>
  <c r="M1829" i="1"/>
  <c r="P561" i="1"/>
  <c r="M561" i="1"/>
  <c r="AJ233" i="1" l="1"/>
  <c r="Q233" i="1"/>
  <c r="AJ250" i="1"/>
  <c r="Q250" i="1"/>
  <c r="AJ231" i="1"/>
  <c r="Q231" i="1"/>
  <c r="AJ1828" i="1"/>
  <c r="Q1828" i="1"/>
  <c r="P1311" i="1"/>
  <c r="M1311" i="1"/>
  <c r="P878" i="1"/>
  <c r="M878" i="1"/>
  <c r="P879" i="1"/>
  <c r="P881" i="1"/>
  <c r="P880" i="1"/>
  <c r="P877" i="1"/>
  <c r="P882" i="1"/>
  <c r="P876" i="1"/>
  <c r="M879" i="1"/>
  <c r="M876" i="1"/>
  <c r="M882" i="1"/>
  <c r="M877" i="1"/>
  <c r="M880" i="1"/>
  <c r="M881" i="1"/>
  <c r="N1023" i="1"/>
  <c r="AI1023" i="1" s="1"/>
  <c r="N1024" i="1"/>
  <c r="AI1024" i="1" s="1"/>
  <c r="AJ1023" i="1" l="1"/>
  <c r="Q1023" i="1"/>
  <c r="AJ1024" i="1"/>
  <c r="Q1024" i="1"/>
  <c r="M685" i="1"/>
  <c r="M692" i="1" l="1"/>
  <c r="P672" i="1"/>
  <c r="M672" i="1"/>
  <c r="P791" i="1" l="1"/>
  <c r="M791" i="1"/>
  <c r="P963" i="1" l="1"/>
  <c r="P961" i="1"/>
  <c r="M963" i="1"/>
  <c r="P957" i="1"/>
  <c r="P958" i="1"/>
  <c r="M958" i="1"/>
  <c r="M957" i="1"/>
  <c r="M961" i="1"/>
  <c r="N14" i="1" l="1"/>
  <c r="AI14" i="1" s="1"/>
  <c r="AJ14" i="1" l="1"/>
  <c r="Q14" i="1"/>
  <c r="P1603" i="1"/>
  <c r="P1609" i="1"/>
  <c r="M1609" i="1"/>
  <c r="M1603" i="1"/>
  <c r="P1348" i="1" l="1"/>
  <c r="M1348" i="1"/>
  <c r="P667" i="1"/>
  <c r="M667" i="1"/>
  <c r="P268" i="1"/>
  <c r="M268" i="1"/>
  <c r="P129" i="1" l="1"/>
  <c r="M129" i="1"/>
  <c r="P1899" i="1" l="1"/>
  <c r="P1891" i="1"/>
  <c r="P1894" i="1"/>
  <c r="P1903" i="1"/>
  <c r="M1903" i="1"/>
  <c r="M1894" i="1"/>
  <c r="M1891" i="1"/>
  <c r="M1899" i="1"/>
  <c r="P1643" i="1"/>
  <c r="M1643" i="1"/>
  <c r="P627" i="1" l="1"/>
  <c r="M627" i="1"/>
  <c r="P621" i="1"/>
  <c r="P629" i="1"/>
  <c r="P623" i="1"/>
  <c r="M623" i="1"/>
  <c r="M629" i="1"/>
  <c r="M621" i="1"/>
  <c r="P708" i="1" l="1"/>
  <c r="M708" i="1"/>
  <c r="P706" i="1"/>
  <c r="M706" i="1"/>
  <c r="P705" i="1"/>
  <c r="M705" i="1"/>
  <c r="P704" i="1"/>
  <c r="P703" i="1"/>
  <c r="M703" i="1"/>
  <c r="M704" i="1"/>
  <c r="P1525" i="1" l="1"/>
  <c r="M1525" i="1"/>
  <c r="M1526" i="1"/>
  <c r="P42" i="1"/>
  <c r="M42" i="1"/>
  <c r="P41" i="1"/>
  <c r="P39" i="1"/>
  <c r="M39" i="1"/>
  <c r="M41" i="1"/>
  <c r="P438" i="1" l="1"/>
  <c r="M438" i="1"/>
  <c r="T5" i="1" l="1"/>
  <c r="U5" i="1" s="1"/>
  <c r="P555" i="1" l="1"/>
  <c r="M555" i="1"/>
  <c r="M551" i="1" l="1"/>
  <c r="P565" i="1"/>
  <c r="M565" i="1"/>
  <c r="M531" i="1"/>
  <c r="P531" i="1"/>
  <c r="N532" i="1"/>
  <c r="AI532" i="1" s="1"/>
  <c r="AJ532" i="1" l="1"/>
  <c r="Q532" i="1"/>
  <c r="P529" i="1"/>
  <c r="M529" i="1"/>
  <c r="P541" i="1" l="1"/>
  <c r="P538" i="1"/>
  <c r="M538" i="1"/>
  <c r="M541" i="1"/>
  <c r="M549" i="1"/>
  <c r="P1009" i="1" l="1"/>
  <c r="M1009" i="1"/>
  <c r="P1806" i="1"/>
  <c r="P1803" i="1"/>
  <c r="P1830" i="1"/>
  <c r="M1830" i="1"/>
  <c r="M1803" i="1"/>
  <c r="M1806" i="1"/>
  <c r="P135" i="1"/>
  <c r="M135" i="1"/>
  <c r="P803" i="1"/>
  <c r="M803" i="1"/>
  <c r="P544" i="1" l="1"/>
  <c r="M544" i="1"/>
  <c r="P536" i="1"/>
  <c r="M536" i="1"/>
  <c r="M421" i="1" l="1"/>
  <c r="M470" i="1" l="1"/>
  <c r="M476" i="1"/>
  <c r="P671" i="1" l="1"/>
  <c r="P677" i="1"/>
  <c r="M671" i="1"/>
  <c r="M677" i="1"/>
  <c r="P142" i="1"/>
  <c r="M142" i="1"/>
  <c r="N144" i="1"/>
  <c r="AI144" i="1" s="1"/>
  <c r="M447" i="1"/>
  <c r="AJ144" i="1" l="1"/>
  <c r="Q144" i="1"/>
  <c r="M144" i="1"/>
  <c r="P1816" i="1"/>
  <c r="M1816" i="1"/>
  <c r="P1836" i="1"/>
  <c r="M1836" i="1"/>
  <c r="M14" i="1"/>
  <c r="M11" i="1"/>
  <c r="M6" i="1"/>
  <c r="M5" i="1"/>
  <c r="M2" i="1"/>
  <c r="M12" i="1"/>
  <c r="M7" i="1"/>
  <c r="M40" i="1"/>
  <c r="M38" i="1"/>
  <c r="M36" i="1"/>
  <c r="M53" i="1"/>
  <c r="M51" i="1"/>
  <c r="M50" i="1"/>
  <c r="M48" i="1"/>
  <c r="M45" i="1"/>
  <c r="M43" i="1"/>
  <c r="M126" i="1"/>
  <c r="M127" i="1"/>
  <c r="M133" i="1"/>
  <c r="M131" i="1"/>
  <c r="M128" i="1"/>
  <c r="M124" i="1"/>
  <c r="M125" i="1"/>
  <c r="M146" i="1"/>
  <c r="M134" i="1"/>
  <c r="M147" i="1"/>
  <c r="M145" i="1"/>
  <c r="M143" i="1"/>
  <c r="M141" i="1"/>
  <c r="M139" i="1"/>
  <c r="M137" i="1"/>
  <c r="M157" i="1"/>
  <c r="M156" i="1"/>
  <c r="M155" i="1"/>
  <c r="M154" i="1"/>
  <c r="M148" i="1"/>
  <c r="M195" i="1"/>
  <c r="M194" i="1"/>
  <c r="M193" i="1"/>
  <c r="M192" i="1"/>
  <c r="M200" i="1"/>
  <c r="M199" i="1"/>
  <c r="M198" i="1"/>
  <c r="M197" i="1"/>
  <c r="M207" i="1"/>
  <c r="M206" i="1"/>
  <c r="M205" i="1"/>
  <c r="M204" i="1"/>
  <c r="M203" i="1"/>
  <c r="M202" i="1"/>
  <c r="M201" i="1"/>
  <c r="M243" i="1"/>
  <c r="M226" i="1"/>
  <c r="M216" i="1"/>
  <c r="M217" i="1"/>
  <c r="M208" i="1"/>
  <c r="M249" i="1"/>
  <c r="M230" i="1"/>
  <c r="M233" i="1"/>
  <c r="M250" i="1"/>
  <c r="M248" i="1"/>
  <c r="M244" i="1"/>
  <c r="M231" i="1"/>
  <c r="M227" i="1"/>
  <c r="M218" i="1"/>
  <c r="M219" i="1"/>
  <c r="M209" i="1"/>
  <c r="M245" i="1"/>
  <c r="M286" i="1"/>
  <c r="M287" i="1"/>
  <c r="M288" i="1"/>
  <c r="M284" i="1"/>
  <c r="M285" i="1"/>
  <c r="M289" i="1"/>
  <c r="M283" i="1"/>
  <c r="M281" i="1"/>
  <c r="M279" i="1"/>
  <c r="M272" i="1"/>
  <c r="M273" i="1"/>
  <c r="M276" i="1"/>
  <c r="M271" i="1"/>
  <c r="M266" i="1"/>
  <c r="M267" i="1"/>
  <c r="M264" i="1"/>
  <c r="M265" i="1"/>
  <c r="M270" i="1"/>
  <c r="M263" i="1"/>
  <c r="M383" i="1"/>
  <c r="M371" i="1"/>
  <c r="M357" i="1"/>
  <c r="M366" i="1"/>
  <c r="M386" i="1"/>
  <c r="M372" i="1"/>
  <c r="M368" i="1"/>
  <c r="M369" i="1"/>
  <c r="M382" i="1"/>
  <c r="M365" i="1"/>
  <c r="M376" i="1"/>
  <c r="M373" i="1"/>
  <c r="M353" i="1"/>
  <c r="M379" i="1"/>
  <c r="M361" i="1"/>
  <c r="M354" i="1"/>
  <c r="M380" i="1"/>
  <c r="M362" i="1"/>
  <c r="M355" i="1"/>
  <c r="M374" i="1"/>
  <c r="M363" i="1"/>
  <c r="M384" i="1"/>
  <c r="M385" i="1"/>
  <c r="M364" i="1"/>
  <c r="M358" i="1"/>
  <c r="M356" i="1"/>
  <c r="M375" i="1"/>
  <c r="M413" i="1"/>
  <c r="M400" i="1"/>
  <c r="M412" i="1"/>
  <c r="M406" i="1"/>
  <c r="M403" i="1"/>
  <c r="M410" i="1"/>
  <c r="M405" i="1"/>
  <c r="M401" i="1"/>
  <c r="M398" i="1"/>
  <c r="M428" i="1"/>
  <c r="M426" i="1"/>
  <c r="M425" i="1"/>
  <c r="M437" i="1"/>
  <c r="M436" i="1"/>
  <c r="M474" i="1"/>
  <c r="M468" i="1"/>
  <c r="M442" i="1"/>
  <c r="M462" i="1"/>
  <c r="M459" i="1"/>
  <c r="M443" i="1"/>
  <c r="M469" i="1"/>
  <c r="M453" i="1"/>
  <c r="M454" i="1"/>
  <c r="M440" i="1"/>
  <c r="M465" i="1"/>
  <c r="M455" i="1"/>
  <c r="M441" i="1"/>
  <c r="M471" i="1"/>
  <c r="M472" i="1"/>
  <c r="M466" i="1"/>
  <c r="M463" i="1"/>
  <c r="M473" i="1"/>
  <c r="M467" i="1"/>
  <c r="M456" i="1"/>
  <c r="M446" i="1"/>
  <c r="M480" i="1"/>
  <c r="M478" i="1"/>
  <c r="M477" i="1"/>
  <c r="M526" i="1"/>
  <c r="M521" i="1"/>
  <c r="M532" i="1"/>
  <c r="M530" i="1"/>
  <c r="M528" i="1"/>
  <c r="M543" i="1"/>
  <c r="M563" i="1"/>
  <c r="M566" i="1"/>
  <c r="M567" i="1"/>
  <c r="M557" i="1"/>
  <c r="M558" i="1"/>
  <c r="M559" i="1"/>
  <c r="M552" i="1"/>
  <c r="M553" i="1"/>
  <c r="M564" i="1"/>
  <c r="M560" i="1"/>
  <c r="M556" i="1"/>
  <c r="M554" i="1"/>
  <c r="M542" i="1"/>
  <c r="M537" i="1"/>
  <c r="M562" i="1"/>
  <c r="M576" i="1"/>
  <c r="M596" i="1"/>
  <c r="M597" i="1"/>
  <c r="M594" i="1"/>
  <c r="M593" i="1"/>
  <c r="M595" i="1"/>
  <c r="M592" i="1"/>
  <c r="M590" i="1"/>
  <c r="M591" i="1"/>
  <c r="M617" i="1"/>
  <c r="M616" i="1"/>
  <c r="M614" i="1"/>
  <c r="M615" i="1"/>
  <c r="M613" i="1"/>
  <c r="M612" i="1"/>
  <c r="M610" i="1"/>
  <c r="M611" i="1"/>
  <c r="M628" i="1"/>
  <c r="M626" i="1"/>
  <c r="M625" i="1"/>
  <c r="M624" i="1"/>
  <c r="M622" i="1"/>
  <c r="M620" i="1"/>
  <c r="M618" i="1"/>
  <c r="M619" i="1"/>
  <c r="M658" i="1"/>
  <c r="M660" i="1"/>
  <c r="M659" i="1"/>
  <c r="M661" i="1"/>
  <c r="M663" i="1"/>
  <c r="M666" i="1"/>
  <c r="M668" i="1"/>
  <c r="M664" i="1"/>
  <c r="M665" i="1"/>
  <c r="M712" i="1"/>
  <c r="M711" i="1"/>
  <c r="M715" i="1"/>
  <c r="M714" i="1"/>
  <c r="M713" i="1"/>
  <c r="M778" i="1"/>
  <c r="M776" i="1"/>
  <c r="M771" i="1"/>
  <c r="M772" i="1"/>
  <c r="M773" i="1"/>
  <c r="M770" i="1"/>
  <c r="M752" i="1"/>
  <c r="M753" i="1"/>
  <c r="M754" i="1"/>
  <c r="M774" i="1"/>
  <c r="M756" i="1"/>
  <c r="M757" i="1"/>
  <c r="M843" i="1"/>
  <c r="M814" i="1"/>
  <c r="M815" i="1"/>
  <c r="M859" i="1"/>
  <c r="M854" i="1"/>
  <c r="M849" i="1"/>
  <c r="M840" i="1"/>
  <c r="M816" i="1"/>
  <c r="M828" i="1"/>
  <c r="M850" i="1"/>
  <c r="M813" i="1"/>
  <c r="M805" i="1"/>
  <c r="M802" i="1"/>
  <c r="M856" i="1"/>
  <c r="M839" i="1"/>
  <c r="M832" i="1"/>
  <c r="M808" i="1"/>
  <c r="M860" i="1"/>
  <c r="M842" i="1"/>
  <c r="M835" i="1"/>
  <c r="M819" i="1"/>
  <c r="M858" i="1"/>
  <c r="M852" i="1"/>
  <c r="M837" i="1"/>
  <c r="M821" i="1"/>
  <c r="M853" i="1"/>
  <c r="M830" i="1"/>
  <c r="M875" i="1"/>
  <c r="M868" i="1"/>
  <c r="M870" i="1"/>
  <c r="M871" i="1"/>
  <c r="M864" i="1"/>
  <c r="M862" i="1"/>
  <c r="M861" i="1"/>
  <c r="M865" i="1"/>
  <c r="M935" i="1"/>
  <c r="M927" i="1"/>
  <c r="M923" i="1"/>
  <c r="M939" i="1"/>
  <c r="M931" i="1"/>
  <c r="M924" i="1"/>
  <c r="M919" i="1"/>
  <c r="M914" i="1"/>
  <c r="M915" i="1"/>
  <c r="M938" i="1"/>
  <c r="M933" i="1"/>
  <c r="M934" i="1"/>
  <c r="M930" i="1"/>
  <c r="M926" i="1"/>
  <c r="M921" i="1"/>
  <c r="M918" i="1"/>
  <c r="M913" i="1"/>
  <c r="M928" i="1"/>
  <c r="M917" i="1"/>
  <c r="M941" i="1"/>
  <c r="M951" i="1"/>
  <c r="M945" i="1"/>
  <c r="M947" i="1"/>
  <c r="M969" i="1"/>
  <c r="M970" i="1"/>
  <c r="M968" i="1"/>
  <c r="M1020" i="1"/>
  <c r="M1015" i="1"/>
  <c r="M1016" i="1"/>
  <c r="M1018" i="1"/>
  <c r="M1008" i="1"/>
  <c r="M1013" i="1"/>
  <c r="M1004" i="1"/>
  <c r="M995" i="1"/>
  <c r="M988" i="1"/>
  <c r="M985" i="1"/>
  <c r="M992" i="1"/>
  <c r="M975" i="1"/>
  <c r="M976" i="1"/>
  <c r="M974" i="1"/>
  <c r="M978" i="1"/>
  <c r="M972" i="1"/>
  <c r="M973" i="1"/>
  <c r="M1023" i="1"/>
  <c r="M695" i="1"/>
  <c r="M686" i="1"/>
  <c r="M673" i="1"/>
  <c r="M687" i="1"/>
  <c r="M674" i="1"/>
  <c r="M682" i="1"/>
  <c r="M688" i="1"/>
  <c r="M675" i="1"/>
  <c r="M676" i="1"/>
  <c r="M684" i="1"/>
  <c r="M691" i="1"/>
  <c r="M1135" i="1"/>
  <c r="M1134" i="1"/>
  <c r="M1144" i="1"/>
  <c r="M1145" i="1"/>
  <c r="M1146" i="1"/>
  <c r="M1147" i="1"/>
  <c r="M1140" i="1"/>
  <c r="M1141" i="1"/>
  <c r="M1142" i="1"/>
  <c r="M1143" i="1"/>
  <c r="M1136" i="1"/>
  <c r="M1137" i="1"/>
  <c r="M1138" i="1"/>
  <c r="M1139" i="1"/>
  <c r="M1149" i="1"/>
  <c r="M1148" i="1"/>
  <c r="M1198" i="1"/>
  <c r="M1193" i="1"/>
  <c r="M1200" i="1"/>
  <c r="M1194" i="1"/>
  <c r="M1202" i="1"/>
  <c r="M1197" i="1"/>
  <c r="M1292" i="1"/>
  <c r="M1283" i="1"/>
  <c r="M1287" i="1"/>
  <c r="M1286" i="1"/>
  <c r="M1284" i="1"/>
  <c r="M1288" i="1"/>
  <c r="M1285" i="1"/>
  <c r="M1295" i="1"/>
  <c r="M1289" i="1"/>
  <c r="M1314" i="1"/>
  <c r="M1357" i="1"/>
  <c r="M1355" i="1"/>
  <c r="M1352" i="1"/>
  <c r="M1353" i="1"/>
  <c r="M1354" i="1"/>
  <c r="M1349" i="1"/>
  <c r="M1390" i="1"/>
  <c r="M1391" i="1"/>
  <c r="M1389" i="1"/>
  <c r="M1376" i="1"/>
  <c r="M1377" i="1"/>
  <c r="M1375" i="1"/>
  <c r="M1416" i="1"/>
  <c r="M1414" i="1"/>
  <c r="M1410" i="1"/>
  <c r="M1530" i="1"/>
  <c r="M1529" i="1"/>
  <c r="M1528" i="1"/>
  <c r="M1527" i="1"/>
  <c r="M1537" i="1"/>
  <c r="M1534" i="1"/>
  <c r="M1531" i="1"/>
  <c r="M1533" i="1"/>
  <c r="M1545" i="1"/>
  <c r="M1544" i="1"/>
  <c r="M1543" i="1"/>
  <c r="M1542" i="1"/>
  <c r="M1541" i="1"/>
  <c r="M1540" i="1"/>
  <c r="M1562" i="1"/>
  <c r="M1550" i="1"/>
  <c r="M1564" i="1"/>
  <c r="M1552" i="1"/>
  <c r="M1567" i="1"/>
  <c r="M1568" i="1"/>
  <c r="M1569" i="1"/>
  <c r="M1561" i="1"/>
  <c r="M1555" i="1"/>
  <c r="M1556" i="1"/>
  <c r="M1566" i="1"/>
  <c r="M1554" i="1"/>
  <c r="M1594" i="1"/>
  <c r="M1600" i="1"/>
  <c r="M1598" i="1"/>
  <c r="M1601" i="1"/>
  <c r="M1604" i="1"/>
  <c r="M1605" i="1"/>
  <c r="M1606" i="1"/>
  <c r="M1607" i="1"/>
  <c r="M1691" i="1"/>
  <c r="M1679" i="1"/>
  <c r="M1686" i="1"/>
  <c r="M1687" i="1"/>
  <c r="M1682" i="1"/>
  <c r="M1675" i="1"/>
  <c r="M1683" i="1"/>
  <c r="M1684" i="1"/>
  <c r="M1678" i="1"/>
  <c r="M1673" i="1"/>
  <c r="M1674" i="1"/>
  <c r="M1694" i="1"/>
  <c r="M1723" i="1"/>
  <c r="M1721" i="1"/>
  <c r="M1722" i="1"/>
  <c r="M1719" i="1"/>
  <c r="M1718" i="1"/>
  <c r="M1717" i="1"/>
  <c r="M1761" i="1"/>
  <c r="M1781" i="1"/>
  <c r="M1780" i="1"/>
  <c r="M1773" i="1"/>
  <c r="M1770" i="1"/>
  <c r="M1766" i="1"/>
  <c r="M1791" i="1"/>
  <c r="M1786" i="1"/>
  <c r="M1801" i="1"/>
  <c r="M1799" i="1"/>
  <c r="M1802" i="1"/>
  <c r="M1800" i="1"/>
  <c r="M1810" i="1"/>
  <c r="M1805" i="1"/>
  <c r="M1837" i="1"/>
  <c r="M1817" i="1"/>
  <c r="M1811" i="1"/>
  <c r="M1838" i="1"/>
  <c r="M1828" i="1"/>
  <c r="M1818" i="1"/>
  <c r="M1812" i="1"/>
  <c r="M1813" i="1"/>
  <c r="M1820" i="1"/>
  <c r="M35" i="1"/>
  <c r="M34" i="1"/>
  <c r="M1834" i="1"/>
  <c r="M1825" i="1"/>
  <c r="M1826" i="1"/>
  <c r="M1809" i="1"/>
  <c r="M1857" i="1"/>
  <c r="M1856" i="1"/>
  <c r="M1851" i="1"/>
  <c r="M1852" i="1"/>
  <c r="M1853" i="1"/>
  <c r="M1854" i="1"/>
  <c r="M1870" i="1"/>
  <c r="M1868" i="1"/>
  <c r="M1866" i="1"/>
  <c r="M1867" i="1"/>
  <c r="M1871" i="1"/>
  <c r="M1869" i="1"/>
  <c r="M1873" i="1"/>
  <c r="M1888" i="1"/>
  <c r="M1883" i="1"/>
  <c r="M1884" i="1"/>
  <c r="M1895" i="1"/>
  <c r="M1889" i="1"/>
  <c r="M1898" i="1"/>
  <c r="M1890" i="1"/>
  <c r="M1896" i="1"/>
  <c r="M1892" i="1"/>
  <c r="M160" i="1"/>
  <c r="M159" i="1"/>
  <c r="M158" i="1"/>
  <c r="M884" i="1"/>
  <c r="M883" i="1"/>
  <c r="M1547" i="1"/>
  <c r="M1548" i="1"/>
  <c r="M1546" i="1"/>
  <c r="P1800" i="1" l="1"/>
  <c r="P1802" i="1"/>
  <c r="P947" i="1"/>
  <c r="P12" i="1" l="1"/>
  <c r="P7" i="1"/>
  <c r="N1022" i="1"/>
  <c r="AI1022" i="1" s="1"/>
  <c r="N1021" i="1"/>
  <c r="AI1021" i="1" s="1"/>
  <c r="M1024" i="1"/>
  <c r="P970" i="1"/>
  <c r="M701" i="1"/>
  <c r="N702" i="1"/>
  <c r="AI702" i="1" s="1"/>
  <c r="AJ702" i="1" l="1"/>
  <c r="Q702" i="1"/>
  <c r="AJ1021" i="1"/>
  <c r="Q1021" i="1"/>
  <c r="AJ1022" i="1"/>
  <c r="Q1022" i="1"/>
  <c r="M1022" i="1"/>
  <c r="M1021" i="1"/>
  <c r="M702" i="1"/>
  <c r="P968" i="1"/>
  <c r="P682" i="1"/>
  <c r="M1827" i="1" l="1"/>
  <c r="P1820" i="1"/>
  <c r="P842" i="1" l="1"/>
  <c r="P1349" i="1" l="1"/>
  <c r="P245" i="1" l="1"/>
  <c r="M238" i="1" l="1"/>
  <c r="M210" i="1"/>
  <c r="M228" i="1"/>
  <c r="P228" i="1"/>
  <c r="P220" i="1"/>
  <c r="M220" i="1"/>
  <c r="P210" i="1"/>
  <c r="P238" i="1"/>
  <c r="N247" i="1"/>
  <c r="AI247" i="1" s="1"/>
  <c r="AJ247" i="1" l="1"/>
  <c r="Q247" i="1"/>
  <c r="M247" i="1"/>
  <c r="P884" i="1"/>
  <c r="P883" i="1"/>
  <c r="P1547" i="1"/>
  <c r="P1548" i="1"/>
  <c r="P1546" i="1"/>
  <c r="P158" i="1" l="1"/>
  <c r="P159" i="1"/>
  <c r="P160" i="1"/>
  <c r="P685" i="1" l="1"/>
  <c r="P695" i="1"/>
  <c r="P686" i="1"/>
  <c r="P673" i="1"/>
  <c r="P687" i="1"/>
  <c r="P674" i="1"/>
  <c r="P688" i="1"/>
  <c r="P675" i="1"/>
  <c r="P676" i="1"/>
  <c r="P684" i="1"/>
  <c r="P691" i="1"/>
  <c r="P940" i="1" l="1"/>
  <c r="P828" i="1" l="1"/>
  <c r="P1601" i="1" l="1"/>
  <c r="P1598" i="1"/>
  <c r="N755" i="1" l="1"/>
  <c r="AI755" i="1" s="1"/>
  <c r="AJ755" i="1" l="1"/>
  <c r="Q755" i="1"/>
  <c r="M755" i="1"/>
  <c r="P850" i="1" l="1"/>
  <c r="N1762" i="1" l="1"/>
  <c r="AI1762" i="1" s="1"/>
  <c r="N841" i="1"/>
  <c r="AI841" i="1" s="1"/>
  <c r="AJ1762" i="1" l="1"/>
  <c r="Q1762" i="1"/>
  <c r="AJ841" i="1"/>
  <c r="Q841" i="1"/>
  <c r="M841" i="1"/>
  <c r="M1762" i="1"/>
  <c r="C8" i="3"/>
  <c r="D7" i="7" s="1"/>
  <c r="G30" i="3" l="1"/>
  <c r="I30" i="3"/>
  <c r="I39" i="3" s="1"/>
  <c r="F30" i="3" l="1"/>
  <c r="M3" i="1"/>
  <c r="P1813" i="1"/>
  <c r="B4" i="6" l="1"/>
  <c r="E4" i="6"/>
  <c r="F4" i="6"/>
  <c r="I4" i="6" s="1"/>
  <c r="H4" i="6"/>
  <c r="V4" i="6"/>
  <c r="Y4" i="6"/>
  <c r="Z4" i="6"/>
  <c r="B5" i="6"/>
  <c r="E5" i="6"/>
  <c r="F5" i="6"/>
  <c r="I5" i="6" s="1"/>
  <c r="H5" i="6"/>
  <c r="V5" i="6"/>
  <c r="Y5" i="6"/>
  <c r="Z5" i="6"/>
  <c r="B6" i="6"/>
  <c r="E6" i="6"/>
  <c r="F6" i="6"/>
  <c r="I6" i="6" s="1"/>
  <c r="H6" i="6"/>
  <c r="V6" i="6"/>
  <c r="Y6" i="6"/>
  <c r="Z6" i="6"/>
  <c r="B7" i="6"/>
  <c r="E7" i="6"/>
  <c r="F7" i="6"/>
  <c r="H7" i="6"/>
  <c r="I7" i="6"/>
  <c r="V7" i="6"/>
  <c r="Y7" i="6"/>
  <c r="Z7" i="6"/>
  <c r="B8" i="6"/>
  <c r="E8" i="6"/>
  <c r="F8" i="6"/>
  <c r="I8" i="6" s="1"/>
  <c r="H8" i="6"/>
  <c r="V8" i="6"/>
  <c r="Y8" i="6"/>
  <c r="Z8" i="6"/>
  <c r="B9" i="6"/>
  <c r="E9" i="6"/>
  <c r="F9" i="6"/>
  <c r="I9" i="6" s="1"/>
  <c r="H9" i="6"/>
  <c r="V9" i="6"/>
  <c r="Y9" i="6"/>
  <c r="Z9" i="6"/>
  <c r="B10" i="6"/>
  <c r="E10" i="6"/>
  <c r="F10" i="6"/>
  <c r="I10" i="6" s="1"/>
  <c r="H10" i="6"/>
  <c r="V10" i="6"/>
  <c r="Y10" i="6"/>
  <c r="Z10" i="6"/>
  <c r="B11" i="6"/>
  <c r="E11" i="6"/>
  <c r="F11" i="6"/>
  <c r="I11" i="6" s="1"/>
  <c r="H11" i="6"/>
  <c r="V11" i="6"/>
  <c r="Y11" i="6"/>
  <c r="Z11" i="6"/>
  <c r="B12" i="6"/>
  <c r="E12" i="6"/>
  <c r="F12" i="6"/>
  <c r="I12" i="6" s="1"/>
  <c r="H12" i="6"/>
  <c r="V12" i="6"/>
  <c r="Y12" i="6"/>
  <c r="Z12" i="6"/>
  <c r="B13" i="6"/>
  <c r="E13" i="6"/>
  <c r="F13" i="6"/>
  <c r="I13" i="6" s="1"/>
  <c r="H13" i="6"/>
  <c r="B14" i="6"/>
  <c r="E14" i="6"/>
  <c r="F14" i="6"/>
  <c r="H14" i="6"/>
  <c r="I14" i="6"/>
  <c r="B15" i="6"/>
  <c r="E15" i="6"/>
  <c r="F15" i="6"/>
  <c r="I15" i="6" s="1"/>
  <c r="H15" i="6"/>
  <c r="B16" i="6"/>
  <c r="E16" i="6"/>
  <c r="F16" i="6"/>
  <c r="I16" i="6" s="1"/>
  <c r="H16" i="6"/>
  <c r="B17" i="6"/>
  <c r="E17" i="6"/>
  <c r="F17" i="6"/>
  <c r="H17" i="6"/>
  <c r="I17" i="6"/>
  <c r="B18" i="6"/>
  <c r="E18" i="6"/>
  <c r="F18" i="6"/>
  <c r="I18" i="6" s="1"/>
  <c r="H18" i="6"/>
  <c r="B19" i="6"/>
  <c r="E19" i="6"/>
  <c r="F19" i="6"/>
  <c r="H19" i="6"/>
  <c r="I19" i="6"/>
  <c r="B20" i="6"/>
  <c r="E20" i="6"/>
  <c r="F20" i="6"/>
  <c r="H20" i="6"/>
  <c r="I20" i="6"/>
  <c r="B21" i="6"/>
  <c r="E21" i="6"/>
  <c r="F21" i="6"/>
  <c r="I21" i="6" s="1"/>
  <c r="H21" i="6"/>
  <c r="B22" i="6"/>
  <c r="E22" i="6"/>
  <c r="F22" i="6"/>
  <c r="H22" i="6"/>
  <c r="I22" i="6"/>
  <c r="B23" i="6"/>
  <c r="E23" i="6"/>
  <c r="F23" i="6"/>
  <c r="I23" i="6" s="1"/>
  <c r="H23" i="6"/>
  <c r="B24" i="6"/>
  <c r="E24" i="6"/>
  <c r="F24" i="6"/>
  <c r="I24" i="6" s="1"/>
  <c r="H24" i="6"/>
  <c r="B25" i="6"/>
  <c r="E25" i="6"/>
  <c r="F25" i="6"/>
  <c r="H25" i="6"/>
  <c r="I25" i="6"/>
  <c r="B26" i="6"/>
  <c r="E26" i="6"/>
  <c r="F26" i="6"/>
  <c r="I26" i="6" s="1"/>
  <c r="H26" i="6"/>
  <c r="B27" i="6"/>
  <c r="E27" i="6"/>
  <c r="F27" i="6"/>
  <c r="H27" i="6"/>
  <c r="I27" i="6"/>
  <c r="B28" i="6"/>
  <c r="E28" i="6"/>
  <c r="F28" i="6"/>
  <c r="H28" i="6"/>
  <c r="I28" i="6"/>
  <c r="B29" i="6"/>
  <c r="E29" i="6"/>
  <c r="F29" i="6"/>
  <c r="I29" i="6" s="1"/>
  <c r="H29" i="6"/>
  <c r="B30" i="6"/>
  <c r="E30" i="6"/>
  <c r="F30" i="6"/>
  <c r="H30" i="6"/>
  <c r="I30" i="6"/>
  <c r="B31" i="6"/>
  <c r="E31" i="6"/>
  <c r="F31" i="6"/>
  <c r="I31" i="6" s="1"/>
  <c r="H31" i="6"/>
  <c r="B32" i="6"/>
  <c r="E32" i="6"/>
  <c r="F32" i="6"/>
  <c r="I32" i="6" s="1"/>
  <c r="H32" i="6"/>
  <c r="B33" i="6"/>
  <c r="E33" i="6"/>
  <c r="F33" i="6"/>
  <c r="H33" i="6"/>
  <c r="I33" i="6"/>
  <c r="B34" i="6"/>
  <c r="E34" i="6"/>
  <c r="F34" i="6"/>
  <c r="I34" i="6" s="1"/>
  <c r="X5" i="6" s="1"/>
  <c r="H34" i="6"/>
  <c r="B35" i="6"/>
  <c r="E35" i="6"/>
  <c r="F35" i="6"/>
  <c r="H35" i="6"/>
  <c r="I35" i="6"/>
  <c r="B36" i="6"/>
  <c r="E36" i="6"/>
  <c r="F36" i="6"/>
  <c r="I36" i="6" s="1"/>
  <c r="H36" i="6"/>
  <c r="B37" i="6"/>
  <c r="E37" i="6"/>
  <c r="F37" i="6"/>
  <c r="I37" i="6" s="1"/>
  <c r="H37" i="6"/>
  <c r="B38" i="6"/>
  <c r="E38" i="6"/>
  <c r="F38" i="6"/>
  <c r="I38" i="6" s="1"/>
  <c r="H38" i="6"/>
  <c r="B39" i="6"/>
  <c r="E39" i="6"/>
  <c r="F39" i="6"/>
  <c r="I39" i="6" s="1"/>
  <c r="H39" i="6"/>
  <c r="B40" i="6"/>
  <c r="E40" i="6"/>
  <c r="F40" i="6"/>
  <c r="I40" i="6" s="1"/>
  <c r="H40" i="6"/>
  <c r="B41" i="6"/>
  <c r="E41" i="6"/>
  <c r="F41" i="6"/>
  <c r="H41" i="6"/>
  <c r="B42" i="6"/>
  <c r="E42" i="6"/>
  <c r="F42" i="6"/>
  <c r="H42" i="6"/>
  <c r="B43" i="6"/>
  <c r="E43" i="6"/>
  <c r="F43" i="6"/>
  <c r="I43" i="6" s="1"/>
  <c r="H43" i="6"/>
  <c r="B44" i="6"/>
  <c r="E44" i="6"/>
  <c r="F44" i="6"/>
  <c r="I44" i="6" s="1"/>
  <c r="H44" i="6"/>
  <c r="B45" i="6"/>
  <c r="E45" i="6"/>
  <c r="F45" i="6"/>
  <c r="H45" i="6"/>
  <c r="B46" i="6"/>
  <c r="E46" i="6"/>
  <c r="F46" i="6"/>
  <c r="H46" i="6"/>
  <c r="B47" i="6"/>
  <c r="E47" i="6"/>
  <c r="F47" i="6"/>
  <c r="I47" i="6" s="1"/>
  <c r="H47" i="6"/>
  <c r="B48" i="6"/>
  <c r="E48" i="6"/>
  <c r="F48" i="6"/>
  <c r="I48" i="6" s="1"/>
  <c r="H48" i="6"/>
  <c r="B49" i="6"/>
  <c r="E49" i="6"/>
  <c r="F49" i="6"/>
  <c r="H49" i="6"/>
  <c r="B50" i="6"/>
  <c r="E50" i="6"/>
  <c r="F50" i="6"/>
  <c r="H50" i="6"/>
  <c r="B51" i="6"/>
  <c r="E51" i="6"/>
  <c r="F51" i="6"/>
  <c r="I51" i="6" s="1"/>
  <c r="H51" i="6"/>
  <c r="B52" i="6"/>
  <c r="E52" i="6"/>
  <c r="F52" i="6"/>
  <c r="I52" i="6" s="1"/>
  <c r="H52" i="6"/>
  <c r="B53" i="6"/>
  <c r="E53" i="6"/>
  <c r="F53" i="6"/>
  <c r="H53" i="6"/>
  <c r="B54" i="6"/>
  <c r="E54" i="6"/>
  <c r="F54" i="6"/>
  <c r="H54" i="6"/>
  <c r="B55" i="6"/>
  <c r="E55" i="6"/>
  <c r="F55" i="6"/>
  <c r="I55" i="6" s="1"/>
  <c r="H55" i="6"/>
  <c r="B56" i="6"/>
  <c r="E56" i="6"/>
  <c r="F56" i="6"/>
  <c r="I56" i="6" s="1"/>
  <c r="H56" i="6"/>
  <c r="B57" i="6"/>
  <c r="E57" i="6"/>
  <c r="F57" i="6"/>
  <c r="H57" i="6"/>
  <c r="B58" i="6"/>
  <c r="E58" i="6"/>
  <c r="F58" i="6"/>
  <c r="H58" i="6"/>
  <c r="B59" i="6"/>
  <c r="E59" i="6"/>
  <c r="F59" i="6"/>
  <c r="H59" i="6"/>
  <c r="B60" i="6"/>
  <c r="E60" i="6"/>
  <c r="F60" i="6"/>
  <c r="I60" i="6" s="1"/>
  <c r="H60" i="6"/>
  <c r="B61" i="6"/>
  <c r="E61" i="6"/>
  <c r="F61" i="6"/>
  <c r="H61" i="6"/>
  <c r="B62" i="6"/>
  <c r="E62" i="6"/>
  <c r="F62" i="6"/>
  <c r="H62" i="6"/>
  <c r="B63" i="6"/>
  <c r="E63" i="6"/>
  <c r="F63" i="6"/>
  <c r="I63" i="6" s="1"/>
  <c r="H63" i="6"/>
  <c r="B64" i="6"/>
  <c r="E64" i="6"/>
  <c r="F64" i="6"/>
  <c r="H64" i="6"/>
  <c r="I64" i="6"/>
  <c r="B65" i="6"/>
  <c r="E65" i="6"/>
  <c r="F65" i="6"/>
  <c r="H65" i="6"/>
  <c r="I65" i="6"/>
  <c r="B66" i="6"/>
  <c r="E66" i="6"/>
  <c r="F66" i="6"/>
  <c r="I66" i="6" s="1"/>
  <c r="H66" i="6"/>
  <c r="B67" i="6"/>
  <c r="E67" i="6"/>
  <c r="F67" i="6"/>
  <c r="I67" i="6" s="1"/>
  <c r="H67" i="6"/>
  <c r="B68" i="6"/>
  <c r="E68" i="6"/>
  <c r="F68" i="6"/>
  <c r="H68" i="6"/>
  <c r="I68" i="6"/>
  <c r="B69" i="6"/>
  <c r="E69" i="6"/>
  <c r="F69" i="6"/>
  <c r="H69" i="6"/>
  <c r="I69" i="6"/>
  <c r="B70" i="6"/>
  <c r="E70" i="6"/>
  <c r="F70" i="6"/>
  <c r="I70" i="6" s="1"/>
  <c r="H70" i="6"/>
  <c r="B71" i="6"/>
  <c r="E71" i="6"/>
  <c r="F71" i="6"/>
  <c r="I71" i="6" s="1"/>
  <c r="H71" i="6"/>
  <c r="B72" i="6"/>
  <c r="E72" i="6"/>
  <c r="F72" i="6"/>
  <c r="I72" i="6" s="1"/>
  <c r="H72" i="6"/>
  <c r="B73" i="6"/>
  <c r="E73" i="6"/>
  <c r="F73" i="6"/>
  <c r="H73" i="6"/>
  <c r="B74" i="6"/>
  <c r="E74" i="6"/>
  <c r="F74" i="6"/>
  <c r="H74" i="6"/>
  <c r="B75" i="6"/>
  <c r="E75" i="6"/>
  <c r="F75" i="6"/>
  <c r="I75" i="6" s="1"/>
  <c r="H75" i="6"/>
  <c r="B76" i="6"/>
  <c r="E76" i="6"/>
  <c r="F76" i="6"/>
  <c r="I76" i="6" s="1"/>
  <c r="H76" i="6"/>
  <c r="B77" i="6"/>
  <c r="E77" i="6"/>
  <c r="F77" i="6"/>
  <c r="H77" i="6"/>
  <c r="B78" i="6"/>
  <c r="E78" i="6"/>
  <c r="F78" i="6"/>
  <c r="H78" i="6"/>
  <c r="B79" i="6"/>
  <c r="E79" i="6"/>
  <c r="F79" i="6"/>
  <c r="I79" i="6" s="1"/>
  <c r="H79" i="6"/>
  <c r="B80" i="6"/>
  <c r="E80" i="6"/>
  <c r="F80" i="6"/>
  <c r="I80" i="6" s="1"/>
  <c r="H80" i="6"/>
  <c r="B81" i="6"/>
  <c r="E81" i="6"/>
  <c r="F81" i="6"/>
  <c r="H81" i="6"/>
  <c r="B82" i="6"/>
  <c r="E82" i="6"/>
  <c r="F82" i="6"/>
  <c r="H82" i="6"/>
  <c r="B83" i="6"/>
  <c r="E83" i="6"/>
  <c r="F83" i="6"/>
  <c r="I83" i="6" s="1"/>
  <c r="H83" i="6"/>
  <c r="B84" i="6"/>
  <c r="E84" i="6"/>
  <c r="F84" i="6"/>
  <c r="I84" i="6" s="1"/>
  <c r="H84" i="6"/>
  <c r="B85" i="6"/>
  <c r="E85" i="6"/>
  <c r="F85" i="6"/>
  <c r="H85" i="6"/>
  <c r="B86" i="6"/>
  <c r="E86" i="6"/>
  <c r="F86" i="6"/>
  <c r="H86" i="6"/>
  <c r="B87" i="6"/>
  <c r="E87" i="6"/>
  <c r="F87" i="6"/>
  <c r="I87" i="6" s="1"/>
  <c r="H87" i="6"/>
  <c r="B88" i="6"/>
  <c r="E88" i="6"/>
  <c r="F88" i="6"/>
  <c r="I88" i="6" s="1"/>
  <c r="H88" i="6"/>
  <c r="B89" i="6"/>
  <c r="E89" i="6"/>
  <c r="F89" i="6"/>
  <c r="H89" i="6"/>
  <c r="B90" i="6"/>
  <c r="E90" i="6"/>
  <c r="F90" i="6"/>
  <c r="H90" i="6"/>
  <c r="B91" i="6"/>
  <c r="E91" i="6"/>
  <c r="F91" i="6"/>
  <c r="I91" i="6" s="1"/>
  <c r="H91" i="6"/>
  <c r="B92" i="6"/>
  <c r="E92" i="6"/>
  <c r="F92" i="6"/>
  <c r="I92" i="6" s="1"/>
  <c r="H92" i="6"/>
  <c r="B93" i="6"/>
  <c r="E93" i="6"/>
  <c r="F93" i="6"/>
  <c r="H93" i="6"/>
  <c r="B94" i="6"/>
  <c r="E94" i="6"/>
  <c r="F94" i="6"/>
  <c r="H94" i="6"/>
  <c r="B95" i="6"/>
  <c r="E95" i="6"/>
  <c r="F95" i="6"/>
  <c r="I95" i="6" s="1"/>
  <c r="H95" i="6"/>
  <c r="B96" i="6"/>
  <c r="E96" i="6"/>
  <c r="F96" i="6"/>
  <c r="I96" i="6" s="1"/>
  <c r="H96" i="6"/>
  <c r="B97" i="6"/>
  <c r="E97" i="6"/>
  <c r="F97" i="6"/>
  <c r="H97" i="6"/>
  <c r="B98" i="6"/>
  <c r="E98" i="6"/>
  <c r="F98" i="6"/>
  <c r="H98" i="6"/>
  <c r="B99" i="6"/>
  <c r="E99" i="6"/>
  <c r="F99" i="6"/>
  <c r="I99" i="6" s="1"/>
  <c r="H99" i="6"/>
  <c r="B100" i="6"/>
  <c r="E100" i="6"/>
  <c r="F100" i="6"/>
  <c r="I100" i="6" s="1"/>
  <c r="H100" i="6"/>
  <c r="B101" i="6"/>
  <c r="E101" i="6"/>
  <c r="F101" i="6"/>
  <c r="I101" i="6" s="1"/>
  <c r="H101" i="6"/>
  <c r="B102" i="6"/>
  <c r="E102" i="6"/>
  <c r="F102" i="6"/>
  <c r="I102" i="6" s="1"/>
  <c r="H102" i="6"/>
  <c r="B103" i="6"/>
  <c r="E103" i="6"/>
  <c r="F103" i="6"/>
  <c r="I103" i="6" s="1"/>
  <c r="H103" i="6"/>
  <c r="B104" i="6"/>
  <c r="E104" i="6"/>
  <c r="F104" i="6"/>
  <c r="I104" i="6" s="1"/>
  <c r="H104" i="6"/>
  <c r="B105" i="6"/>
  <c r="E105" i="6"/>
  <c r="F105" i="6"/>
  <c r="I105" i="6" s="1"/>
  <c r="H105" i="6"/>
  <c r="B106" i="6"/>
  <c r="E106" i="6"/>
  <c r="F106" i="6"/>
  <c r="H106" i="6"/>
  <c r="B107" i="6"/>
  <c r="E107" i="6"/>
  <c r="F107" i="6"/>
  <c r="H107" i="6"/>
  <c r="B108" i="6"/>
  <c r="E108" i="6"/>
  <c r="F108" i="6"/>
  <c r="I108" i="6" s="1"/>
  <c r="H108" i="6"/>
  <c r="B109" i="6"/>
  <c r="E109" i="6"/>
  <c r="F109" i="6"/>
  <c r="I109" i="6" s="1"/>
  <c r="H109" i="6"/>
  <c r="B110" i="6"/>
  <c r="E110" i="6"/>
  <c r="F110" i="6"/>
  <c r="H110" i="6"/>
  <c r="B111" i="6"/>
  <c r="E111" i="6"/>
  <c r="F111" i="6"/>
  <c r="H111" i="6"/>
  <c r="B112" i="6"/>
  <c r="E112" i="6"/>
  <c r="F112" i="6"/>
  <c r="I112" i="6" s="1"/>
  <c r="H112" i="6"/>
  <c r="B113" i="6"/>
  <c r="E113" i="6"/>
  <c r="F113" i="6"/>
  <c r="I113" i="6" s="1"/>
  <c r="H113" i="6"/>
  <c r="B114" i="6"/>
  <c r="E114" i="6"/>
  <c r="F114" i="6"/>
  <c r="H114" i="6"/>
  <c r="B115" i="6"/>
  <c r="E115" i="6"/>
  <c r="F115" i="6"/>
  <c r="H115" i="6"/>
  <c r="B116" i="6"/>
  <c r="E116" i="6"/>
  <c r="F116" i="6"/>
  <c r="I116" i="6" s="1"/>
  <c r="H116" i="6"/>
  <c r="B117" i="6"/>
  <c r="E117" i="6"/>
  <c r="F117" i="6"/>
  <c r="I117" i="6" s="1"/>
  <c r="H117" i="6"/>
  <c r="B118" i="6"/>
  <c r="E118" i="6"/>
  <c r="F118" i="6"/>
  <c r="H118" i="6"/>
  <c r="B119" i="6"/>
  <c r="E119" i="6"/>
  <c r="F119" i="6"/>
  <c r="H119" i="6"/>
  <c r="B120" i="6"/>
  <c r="E120" i="6"/>
  <c r="F120" i="6"/>
  <c r="I120" i="6" s="1"/>
  <c r="H120" i="6"/>
  <c r="B121" i="6"/>
  <c r="E121" i="6"/>
  <c r="F121" i="6"/>
  <c r="H121" i="6"/>
  <c r="B122" i="6"/>
  <c r="E122" i="6"/>
  <c r="F122" i="6"/>
  <c r="I122" i="6" s="1"/>
  <c r="H122" i="6"/>
  <c r="B123" i="6"/>
  <c r="E123" i="6"/>
  <c r="F123" i="6"/>
  <c r="I123" i="6" s="1"/>
  <c r="H123" i="6"/>
  <c r="B124" i="6"/>
  <c r="E124" i="6"/>
  <c r="F124" i="6"/>
  <c r="H124" i="6"/>
  <c r="B125" i="6"/>
  <c r="E125" i="6"/>
  <c r="F125" i="6"/>
  <c r="H125" i="6"/>
  <c r="B126" i="6"/>
  <c r="E126" i="6"/>
  <c r="F126" i="6"/>
  <c r="I126" i="6" s="1"/>
  <c r="H126" i="6"/>
  <c r="B127" i="6"/>
  <c r="E127" i="6"/>
  <c r="F127" i="6"/>
  <c r="I127" i="6" s="1"/>
  <c r="H127" i="6"/>
  <c r="B128" i="6"/>
  <c r="E128" i="6"/>
  <c r="F128" i="6"/>
  <c r="H128" i="6"/>
  <c r="B129" i="6"/>
  <c r="E129" i="6"/>
  <c r="F129" i="6"/>
  <c r="H129" i="6"/>
  <c r="B130" i="6"/>
  <c r="E130" i="6"/>
  <c r="F130" i="6"/>
  <c r="I130" i="6" s="1"/>
  <c r="H130" i="6"/>
  <c r="B131" i="6"/>
  <c r="E131" i="6"/>
  <c r="F131" i="6"/>
  <c r="I131" i="6" s="1"/>
  <c r="H131" i="6"/>
  <c r="B132" i="6"/>
  <c r="E132" i="6"/>
  <c r="F132" i="6"/>
  <c r="H132" i="6"/>
  <c r="B133" i="6"/>
  <c r="E133" i="6"/>
  <c r="F133" i="6"/>
  <c r="H133" i="6"/>
  <c r="I133" i="6"/>
  <c r="B134" i="6"/>
  <c r="E134" i="6"/>
  <c r="F134" i="6"/>
  <c r="H134" i="6"/>
  <c r="I134" i="6"/>
  <c r="B135" i="6"/>
  <c r="E135" i="6"/>
  <c r="F135" i="6"/>
  <c r="H135" i="6"/>
  <c r="I135" i="6"/>
  <c r="B136" i="6"/>
  <c r="E136" i="6"/>
  <c r="F136" i="6"/>
  <c r="H136" i="6"/>
  <c r="I136" i="6"/>
  <c r="B137" i="6"/>
  <c r="E137" i="6"/>
  <c r="F137" i="6"/>
  <c r="H137" i="6"/>
  <c r="I137" i="6"/>
  <c r="B138" i="6"/>
  <c r="E138" i="6"/>
  <c r="F138" i="6"/>
  <c r="H138" i="6"/>
  <c r="I138" i="6"/>
  <c r="B139" i="6"/>
  <c r="E139" i="6"/>
  <c r="F139" i="6"/>
  <c r="H139" i="6"/>
  <c r="I139" i="6"/>
  <c r="B140" i="6"/>
  <c r="E140" i="6"/>
  <c r="F140" i="6"/>
  <c r="H140" i="6"/>
  <c r="B141" i="6"/>
  <c r="E141" i="6"/>
  <c r="F141" i="6"/>
  <c r="I141" i="6" s="1"/>
  <c r="H141" i="6"/>
  <c r="B142" i="6"/>
  <c r="E142" i="6"/>
  <c r="F142" i="6"/>
  <c r="H142" i="6"/>
  <c r="B143" i="6"/>
  <c r="E143" i="6"/>
  <c r="F143" i="6"/>
  <c r="I143" i="6" s="1"/>
  <c r="H143" i="6"/>
  <c r="B144" i="6"/>
  <c r="E144" i="6"/>
  <c r="F144" i="6"/>
  <c r="H144" i="6"/>
  <c r="B145" i="6"/>
  <c r="E145" i="6"/>
  <c r="F145" i="6"/>
  <c r="I145" i="6" s="1"/>
  <c r="H145" i="6"/>
  <c r="B146" i="6"/>
  <c r="E146" i="6"/>
  <c r="F146" i="6"/>
  <c r="H146" i="6"/>
  <c r="B147" i="6"/>
  <c r="E147" i="6"/>
  <c r="F147" i="6"/>
  <c r="I147" i="6" s="1"/>
  <c r="H147" i="6"/>
  <c r="B148" i="6"/>
  <c r="E148" i="6"/>
  <c r="F148" i="6"/>
  <c r="H148" i="6"/>
  <c r="B149" i="6"/>
  <c r="E149" i="6"/>
  <c r="F149" i="6"/>
  <c r="I149" i="6" s="1"/>
  <c r="H149" i="6"/>
  <c r="B150" i="6"/>
  <c r="E150" i="6"/>
  <c r="F150" i="6"/>
  <c r="H150" i="6"/>
  <c r="B151" i="6"/>
  <c r="E151" i="6"/>
  <c r="F151" i="6"/>
  <c r="I151" i="6" s="1"/>
  <c r="H151" i="6"/>
  <c r="B152" i="6"/>
  <c r="E152" i="6"/>
  <c r="F152" i="6"/>
  <c r="H152" i="6"/>
  <c r="B153" i="6"/>
  <c r="E153" i="6"/>
  <c r="F153" i="6"/>
  <c r="I153" i="6" s="1"/>
  <c r="H153" i="6"/>
  <c r="B154" i="6"/>
  <c r="E154" i="6"/>
  <c r="F154" i="6"/>
  <c r="I154" i="6" s="1"/>
  <c r="H154" i="6"/>
  <c r="B155" i="6"/>
  <c r="E155" i="6"/>
  <c r="F155" i="6"/>
  <c r="H155" i="6"/>
  <c r="B156" i="6"/>
  <c r="E156" i="6"/>
  <c r="F156" i="6"/>
  <c r="H156" i="6"/>
  <c r="B157" i="6"/>
  <c r="E157" i="6"/>
  <c r="F157" i="6"/>
  <c r="I157" i="6" s="1"/>
  <c r="H157" i="6"/>
  <c r="B158" i="6"/>
  <c r="E158" i="6"/>
  <c r="F158" i="6"/>
  <c r="I158" i="6" s="1"/>
  <c r="H158" i="6"/>
  <c r="B159" i="6"/>
  <c r="E159" i="6"/>
  <c r="F159" i="6"/>
  <c r="H159" i="6"/>
  <c r="B160" i="6"/>
  <c r="E160" i="6"/>
  <c r="F160" i="6"/>
  <c r="H160" i="6"/>
  <c r="B161" i="6"/>
  <c r="E161" i="6"/>
  <c r="F161" i="6"/>
  <c r="I161" i="6" s="1"/>
  <c r="H161" i="6"/>
  <c r="B162" i="6"/>
  <c r="E162" i="6"/>
  <c r="F162" i="6"/>
  <c r="I162" i="6" s="1"/>
  <c r="H162" i="6"/>
  <c r="B163" i="6"/>
  <c r="E163" i="6"/>
  <c r="F163" i="6"/>
  <c r="H163" i="6"/>
  <c r="B164" i="6"/>
  <c r="E164" i="6"/>
  <c r="F164" i="6"/>
  <c r="H164" i="6"/>
  <c r="B165" i="6"/>
  <c r="E165" i="6"/>
  <c r="F165" i="6"/>
  <c r="I165" i="6" s="1"/>
  <c r="H165" i="6"/>
  <c r="B166" i="6"/>
  <c r="E166" i="6"/>
  <c r="F166" i="6"/>
  <c r="I166" i="6" s="1"/>
  <c r="H166" i="6"/>
  <c r="B167" i="6"/>
  <c r="E167" i="6"/>
  <c r="F167" i="6"/>
  <c r="H167" i="6"/>
  <c r="I167" i="6"/>
  <c r="B168" i="6"/>
  <c r="E168" i="6"/>
  <c r="F168" i="6"/>
  <c r="H168" i="6"/>
  <c r="I168" i="6"/>
  <c r="B169" i="6"/>
  <c r="E169" i="6"/>
  <c r="F169" i="6"/>
  <c r="H169" i="6"/>
  <c r="I169" i="6"/>
  <c r="B170" i="6"/>
  <c r="E170" i="6"/>
  <c r="F170" i="6"/>
  <c r="H170" i="6"/>
  <c r="I170" i="6"/>
  <c r="B171" i="6"/>
  <c r="E171" i="6"/>
  <c r="F171" i="6"/>
  <c r="H171" i="6"/>
  <c r="I171" i="6"/>
  <c r="B172" i="6"/>
  <c r="E172" i="6"/>
  <c r="F172" i="6"/>
  <c r="H172" i="6"/>
  <c r="I172" i="6"/>
  <c r="B173" i="6"/>
  <c r="E173" i="6"/>
  <c r="F173" i="6"/>
  <c r="H173" i="6"/>
  <c r="I173" i="6"/>
  <c r="B174" i="6"/>
  <c r="E174" i="6"/>
  <c r="F174" i="6"/>
  <c r="H174" i="6"/>
  <c r="B175" i="6"/>
  <c r="E175" i="6"/>
  <c r="F175" i="6"/>
  <c r="H175" i="6"/>
  <c r="B176" i="6"/>
  <c r="E176" i="6"/>
  <c r="F176" i="6"/>
  <c r="I176" i="6" s="1"/>
  <c r="H176" i="6"/>
  <c r="B177" i="6"/>
  <c r="E177" i="6"/>
  <c r="F177" i="6"/>
  <c r="I177" i="6" s="1"/>
  <c r="H177" i="6"/>
  <c r="B178" i="6"/>
  <c r="E178" i="6"/>
  <c r="F178" i="6"/>
  <c r="H178" i="6"/>
  <c r="B179" i="6"/>
  <c r="E179" i="6"/>
  <c r="F179" i="6"/>
  <c r="H179" i="6"/>
  <c r="B180" i="6"/>
  <c r="E180" i="6"/>
  <c r="F180" i="6"/>
  <c r="I180" i="6" s="1"/>
  <c r="H180" i="6"/>
  <c r="B181" i="6"/>
  <c r="E181" i="6"/>
  <c r="F181" i="6"/>
  <c r="I181" i="6" s="1"/>
  <c r="H181" i="6"/>
  <c r="B182" i="6"/>
  <c r="E182" i="6"/>
  <c r="F182" i="6"/>
  <c r="H182" i="6"/>
  <c r="B183" i="6"/>
  <c r="E183" i="6"/>
  <c r="F183" i="6"/>
  <c r="H183" i="6"/>
  <c r="B184" i="6"/>
  <c r="E184" i="6"/>
  <c r="F184" i="6"/>
  <c r="I184" i="6" s="1"/>
  <c r="H184" i="6"/>
  <c r="B185" i="6"/>
  <c r="E185" i="6"/>
  <c r="F185" i="6"/>
  <c r="I185" i="6" s="1"/>
  <c r="H185" i="6"/>
  <c r="B186" i="6"/>
  <c r="E186" i="6"/>
  <c r="F186" i="6"/>
  <c r="H186" i="6"/>
  <c r="B187" i="6"/>
  <c r="E187" i="6"/>
  <c r="F187" i="6"/>
  <c r="H187" i="6"/>
  <c r="B188" i="6"/>
  <c r="E188" i="6"/>
  <c r="F188" i="6"/>
  <c r="I188" i="6" s="1"/>
  <c r="H188" i="6"/>
  <c r="B189" i="6"/>
  <c r="E189" i="6"/>
  <c r="F189" i="6"/>
  <c r="I189" i="6" s="1"/>
  <c r="H189" i="6"/>
  <c r="B190" i="6"/>
  <c r="E190" i="6"/>
  <c r="F190" i="6"/>
  <c r="H190" i="6"/>
  <c r="B191" i="6"/>
  <c r="E191" i="6"/>
  <c r="F191" i="6"/>
  <c r="H191" i="6"/>
  <c r="B192" i="6"/>
  <c r="E192" i="6"/>
  <c r="F192" i="6"/>
  <c r="I192" i="6" s="1"/>
  <c r="H192" i="6"/>
  <c r="B193" i="6"/>
  <c r="E193" i="6"/>
  <c r="F193" i="6"/>
  <c r="I193" i="6" s="1"/>
  <c r="H193" i="6"/>
  <c r="B194" i="6"/>
  <c r="E194" i="6"/>
  <c r="F194" i="6"/>
  <c r="H194" i="6"/>
  <c r="B195" i="6"/>
  <c r="E195" i="6"/>
  <c r="F195" i="6"/>
  <c r="H195" i="6"/>
  <c r="B196" i="6"/>
  <c r="E196" i="6"/>
  <c r="F196" i="6"/>
  <c r="I196" i="6" s="1"/>
  <c r="H196" i="6"/>
  <c r="B197" i="6"/>
  <c r="E197" i="6"/>
  <c r="F197" i="6"/>
  <c r="I197" i="6" s="1"/>
  <c r="H197" i="6"/>
  <c r="B198" i="6"/>
  <c r="E198" i="6"/>
  <c r="F198" i="6"/>
  <c r="H198" i="6"/>
  <c r="B199" i="6"/>
  <c r="E199" i="6"/>
  <c r="F199" i="6"/>
  <c r="H199" i="6"/>
  <c r="B200" i="6"/>
  <c r="E200" i="6"/>
  <c r="F200" i="6"/>
  <c r="I200" i="6" s="1"/>
  <c r="H200" i="6"/>
  <c r="B201" i="6"/>
  <c r="E201" i="6"/>
  <c r="F201" i="6"/>
  <c r="I201" i="6" s="1"/>
  <c r="H201" i="6"/>
  <c r="B202" i="6"/>
  <c r="E202" i="6"/>
  <c r="F202" i="6"/>
  <c r="I202" i="6" s="1"/>
  <c r="H202" i="6"/>
  <c r="B203" i="6"/>
  <c r="E203" i="6"/>
  <c r="F203" i="6"/>
  <c r="H203" i="6"/>
  <c r="I203" i="6"/>
  <c r="B204" i="6"/>
  <c r="E204" i="6"/>
  <c r="F204" i="6"/>
  <c r="H204" i="6"/>
  <c r="I204" i="6"/>
  <c r="B205" i="6"/>
  <c r="E205" i="6"/>
  <c r="F205" i="6"/>
  <c r="I205" i="6" s="1"/>
  <c r="H205" i="6"/>
  <c r="B206" i="6"/>
  <c r="E206" i="6"/>
  <c r="F206" i="6"/>
  <c r="I206" i="6" s="1"/>
  <c r="H206" i="6"/>
  <c r="B207" i="6"/>
  <c r="E207" i="6"/>
  <c r="F207" i="6"/>
  <c r="H207" i="6"/>
  <c r="I207" i="6"/>
  <c r="B208" i="6"/>
  <c r="E208" i="6"/>
  <c r="F208" i="6"/>
  <c r="H208" i="6"/>
  <c r="B209" i="6"/>
  <c r="E209" i="6"/>
  <c r="F209" i="6"/>
  <c r="I209" i="6" s="1"/>
  <c r="H209" i="6"/>
  <c r="B210" i="6"/>
  <c r="E210" i="6"/>
  <c r="F210" i="6"/>
  <c r="I210" i="6" s="1"/>
  <c r="H210" i="6"/>
  <c r="B211" i="6"/>
  <c r="E211" i="6"/>
  <c r="F211" i="6"/>
  <c r="I211" i="6" s="1"/>
  <c r="H211" i="6"/>
  <c r="B212" i="6"/>
  <c r="E212" i="6"/>
  <c r="F212" i="6"/>
  <c r="H212" i="6"/>
  <c r="B213" i="6"/>
  <c r="E213" i="6"/>
  <c r="F213" i="6"/>
  <c r="I213" i="6" s="1"/>
  <c r="H213" i="6"/>
  <c r="B214" i="6"/>
  <c r="E214" i="6"/>
  <c r="F214" i="6"/>
  <c r="I214" i="6" s="1"/>
  <c r="H214" i="6"/>
  <c r="B215" i="6"/>
  <c r="E215" i="6"/>
  <c r="F215" i="6"/>
  <c r="I215" i="6" s="1"/>
  <c r="H215" i="6"/>
  <c r="B216" i="6"/>
  <c r="E216" i="6"/>
  <c r="F216" i="6"/>
  <c r="H216" i="6"/>
  <c r="B217" i="6"/>
  <c r="E217" i="6"/>
  <c r="F217" i="6"/>
  <c r="I217" i="6" s="1"/>
  <c r="H217" i="6"/>
  <c r="B218" i="6"/>
  <c r="E218" i="6"/>
  <c r="F218" i="6"/>
  <c r="I218" i="6" s="1"/>
  <c r="H218" i="6"/>
  <c r="B219" i="6"/>
  <c r="E219" i="6"/>
  <c r="F219" i="6"/>
  <c r="H219" i="6"/>
  <c r="B220" i="6"/>
  <c r="E220" i="6"/>
  <c r="F220" i="6"/>
  <c r="I220" i="6" s="1"/>
  <c r="H220" i="6"/>
  <c r="B221" i="6"/>
  <c r="E221" i="6"/>
  <c r="F221" i="6"/>
  <c r="I221" i="6" s="1"/>
  <c r="H221" i="6"/>
  <c r="B222" i="6"/>
  <c r="E222" i="6"/>
  <c r="F222" i="6"/>
  <c r="I222" i="6" s="1"/>
  <c r="H222" i="6"/>
  <c r="B223" i="6"/>
  <c r="E223" i="6"/>
  <c r="F223" i="6"/>
  <c r="H223" i="6"/>
  <c r="I223" i="6"/>
  <c r="B224" i="6"/>
  <c r="E224" i="6"/>
  <c r="F224" i="6"/>
  <c r="I224" i="6" s="1"/>
  <c r="H224" i="6"/>
  <c r="B225" i="6"/>
  <c r="E225" i="6"/>
  <c r="F225" i="6"/>
  <c r="I225" i="6" s="1"/>
  <c r="H225" i="6"/>
  <c r="B226" i="6"/>
  <c r="E226" i="6"/>
  <c r="F226" i="6"/>
  <c r="I226" i="6" s="1"/>
  <c r="H226" i="6"/>
  <c r="B227" i="6"/>
  <c r="E227" i="6"/>
  <c r="F227" i="6"/>
  <c r="H227" i="6"/>
  <c r="I227" i="6"/>
  <c r="B228" i="6"/>
  <c r="E228" i="6"/>
  <c r="F228" i="6"/>
  <c r="I228" i="6" s="1"/>
  <c r="H228" i="6"/>
  <c r="B229" i="6"/>
  <c r="E229" i="6"/>
  <c r="F229" i="6"/>
  <c r="I229" i="6" s="1"/>
  <c r="H229" i="6"/>
  <c r="B230" i="6"/>
  <c r="E230" i="6"/>
  <c r="F230" i="6"/>
  <c r="I230" i="6" s="1"/>
  <c r="H230" i="6"/>
  <c r="B231" i="6"/>
  <c r="E231" i="6"/>
  <c r="F231" i="6"/>
  <c r="H231" i="6"/>
  <c r="I231" i="6"/>
  <c r="B232" i="6"/>
  <c r="E232" i="6"/>
  <c r="F232" i="6"/>
  <c r="H232" i="6"/>
  <c r="I232" i="6"/>
  <c r="B233" i="6"/>
  <c r="E233" i="6"/>
  <c r="F233" i="6"/>
  <c r="I233" i="6" s="1"/>
  <c r="H233" i="6"/>
  <c r="B234" i="6"/>
  <c r="E234" i="6"/>
  <c r="F234" i="6"/>
  <c r="H234" i="6"/>
  <c r="I234" i="6"/>
  <c r="B235" i="6"/>
  <c r="E235" i="6"/>
  <c r="F235" i="6"/>
  <c r="I235" i="6" s="1"/>
  <c r="H235" i="6"/>
  <c r="B236" i="6"/>
  <c r="E236" i="6"/>
  <c r="F236" i="6"/>
  <c r="H236" i="6"/>
  <c r="I236" i="6"/>
  <c r="B237" i="6"/>
  <c r="E237" i="6"/>
  <c r="F237" i="6"/>
  <c r="I237" i="6" s="1"/>
  <c r="H237" i="6"/>
  <c r="B238" i="6"/>
  <c r="E238" i="6"/>
  <c r="F238" i="6"/>
  <c r="H238" i="6"/>
  <c r="I238" i="6"/>
  <c r="B239" i="6"/>
  <c r="E239" i="6"/>
  <c r="F239" i="6"/>
  <c r="I239" i="6" s="1"/>
  <c r="H239" i="6"/>
  <c r="B240" i="6"/>
  <c r="E240" i="6"/>
  <c r="F240" i="6"/>
  <c r="H240" i="6"/>
  <c r="I240" i="6"/>
  <c r="B241" i="6"/>
  <c r="E241" i="6"/>
  <c r="F241" i="6"/>
  <c r="I241" i="6" s="1"/>
  <c r="H241" i="6"/>
  <c r="B242" i="6"/>
  <c r="E242" i="6"/>
  <c r="F242" i="6"/>
  <c r="H242" i="6"/>
  <c r="I242" i="6"/>
  <c r="B243" i="6"/>
  <c r="E243" i="6"/>
  <c r="F243" i="6"/>
  <c r="I243" i="6" s="1"/>
  <c r="H243" i="6"/>
  <c r="B244" i="6"/>
  <c r="E244" i="6"/>
  <c r="F244" i="6"/>
  <c r="H244" i="6"/>
  <c r="I244" i="6"/>
  <c r="B245" i="6"/>
  <c r="E245" i="6"/>
  <c r="F245" i="6"/>
  <c r="I245" i="6" s="1"/>
  <c r="H245" i="6"/>
  <c r="B246" i="6"/>
  <c r="E246" i="6"/>
  <c r="F246" i="6"/>
  <c r="H246" i="6"/>
  <c r="I246" i="6"/>
  <c r="B247" i="6"/>
  <c r="E247" i="6"/>
  <c r="F247" i="6"/>
  <c r="I247" i="6" s="1"/>
  <c r="H247" i="6"/>
  <c r="B248" i="6"/>
  <c r="E248" i="6"/>
  <c r="F248" i="6"/>
  <c r="H248" i="6"/>
  <c r="I248" i="6"/>
  <c r="B249" i="6"/>
  <c r="E249" i="6"/>
  <c r="F249" i="6"/>
  <c r="H249" i="6"/>
  <c r="I249" i="6"/>
  <c r="B250" i="6"/>
  <c r="E250" i="6"/>
  <c r="F250" i="6"/>
  <c r="H250" i="6"/>
  <c r="I250" i="6"/>
  <c r="B251" i="6"/>
  <c r="E251" i="6"/>
  <c r="F251" i="6"/>
  <c r="H251" i="6"/>
  <c r="I251" i="6"/>
  <c r="B252" i="6"/>
  <c r="E252" i="6"/>
  <c r="F252" i="6"/>
  <c r="H252" i="6"/>
  <c r="I252" i="6"/>
  <c r="B253" i="6"/>
  <c r="E253" i="6"/>
  <c r="F253" i="6"/>
  <c r="H253" i="6"/>
  <c r="I253" i="6"/>
  <c r="B254" i="6"/>
  <c r="E254" i="6"/>
  <c r="F254" i="6"/>
  <c r="H254" i="6"/>
  <c r="I254" i="6"/>
  <c r="B255" i="6"/>
  <c r="E255" i="6"/>
  <c r="F255" i="6"/>
  <c r="H255" i="6"/>
  <c r="I255" i="6"/>
  <c r="B256" i="6"/>
  <c r="E256" i="6"/>
  <c r="F256" i="6"/>
  <c r="H256" i="6"/>
  <c r="I256" i="6"/>
  <c r="B257" i="6"/>
  <c r="E257" i="6"/>
  <c r="F257" i="6"/>
  <c r="H257" i="6"/>
  <c r="I257" i="6"/>
  <c r="B258" i="6"/>
  <c r="E258" i="6"/>
  <c r="F258" i="6"/>
  <c r="H258" i="6"/>
  <c r="I258" i="6"/>
  <c r="B259" i="6"/>
  <c r="E259" i="6"/>
  <c r="F259" i="6"/>
  <c r="H259" i="6"/>
  <c r="I259" i="6"/>
  <c r="B260" i="6"/>
  <c r="E260" i="6"/>
  <c r="F260" i="6"/>
  <c r="H260" i="6"/>
  <c r="I260" i="6"/>
  <c r="B261" i="6"/>
  <c r="E261" i="6"/>
  <c r="F261" i="6"/>
  <c r="H261" i="6"/>
  <c r="I261" i="6"/>
  <c r="B262" i="6"/>
  <c r="E262" i="6"/>
  <c r="F262" i="6"/>
  <c r="H262" i="6"/>
  <c r="I262" i="6"/>
  <c r="B263" i="6"/>
  <c r="E263" i="6"/>
  <c r="F263" i="6"/>
  <c r="H263" i="6"/>
  <c r="I263" i="6"/>
  <c r="B264" i="6"/>
  <c r="E264" i="6"/>
  <c r="F264" i="6"/>
  <c r="H264" i="6"/>
  <c r="I264" i="6"/>
  <c r="B265" i="6"/>
  <c r="E265" i="6"/>
  <c r="F265" i="6"/>
  <c r="H265" i="6"/>
  <c r="I265" i="6"/>
  <c r="B266" i="6"/>
  <c r="E266" i="6"/>
  <c r="F266" i="6"/>
  <c r="I266" i="6" s="1"/>
  <c r="H266" i="6"/>
  <c r="B267" i="6"/>
  <c r="E267" i="6"/>
  <c r="F267" i="6"/>
  <c r="I267" i="6" s="1"/>
  <c r="H267" i="6"/>
  <c r="B268" i="6"/>
  <c r="E268" i="6"/>
  <c r="F268" i="6"/>
  <c r="I268" i="6" s="1"/>
  <c r="H268" i="6"/>
  <c r="B269" i="6"/>
  <c r="E269" i="6"/>
  <c r="F269" i="6"/>
  <c r="I269" i="6" s="1"/>
  <c r="H269" i="6"/>
  <c r="B270" i="6"/>
  <c r="E270" i="6"/>
  <c r="F270" i="6"/>
  <c r="I270" i="6" s="1"/>
  <c r="H270" i="6"/>
  <c r="B271" i="6"/>
  <c r="E271" i="6"/>
  <c r="F271" i="6"/>
  <c r="I271" i="6" s="1"/>
  <c r="H271" i="6"/>
  <c r="B272" i="6"/>
  <c r="E272" i="6"/>
  <c r="F272" i="6"/>
  <c r="I272" i="6" s="1"/>
  <c r="H272" i="6"/>
  <c r="B273" i="6"/>
  <c r="E273" i="6"/>
  <c r="F273" i="6"/>
  <c r="I273" i="6" s="1"/>
  <c r="H273" i="6"/>
  <c r="B274" i="6"/>
  <c r="E274" i="6"/>
  <c r="F274" i="6"/>
  <c r="I274" i="6" s="1"/>
  <c r="H274" i="6"/>
  <c r="B275" i="6"/>
  <c r="E275" i="6"/>
  <c r="F275" i="6"/>
  <c r="I275" i="6" s="1"/>
  <c r="H275" i="6"/>
  <c r="B276" i="6"/>
  <c r="E276" i="6"/>
  <c r="F276" i="6"/>
  <c r="I276" i="6" s="1"/>
  <c r="H276" i="6"/>
  <c r="B277" i="6"/>
  <c r="E277" i="6"/>
  <c r="F277" i="6"/>
  <c r="I277" i="6" s="1"/>
  <c r="H277" i="6"/>
  <c r="B278" i="6"/>
  <c r="E278" i="6"/>
  <c r="F278" i="6"/>
  <c r="I278" i="6" s="1"/>
  <c r="H278" i="6"/>
  <c r="B279" i="6"/>
  <c r="E279" i="6"/>
  <c r="F279" i="6"/>
  <c r="I279" i="6" s="1"/>
  <c r="H279" i="6"/>
  <c r="B280" i="6"/>
  <c r="E280" i="6"/>
  <c r="F280" i="6"/>
  <c r="I280" i="6" s="1"/>
  <c r="H280" i="6"/>
  <c r="B281" i="6"/>
  <c r="E281" i="6"/>
  <c r="F281" i="6"/>
  <c r="I281" i="6" s="1"/>
  <c r="H281" i="6"/>
  <c r="B282" i="6"/>
  <c r="E282" i="6"/>
  <c r="F282" i="6"/>
  <c r="I282" i="6" s="1"/>
  <c r="H282" i="6"/>
  <c r="B283" i="6"/>
  <c r="E283" i="6"/>
  <c r="F283" i="6"/>
  <c r="H283" i="6"/>
  <c r="B284" i="6"/>
  <c r="E284" i="6"/>
  <c r="F284" i="6"/>
  <c r="H284" i="6"/>
  <c r="I284" i="6"/>
  <c r="B285" i="6"/>
  <c r="E285" i="6"/>
  <c r="F285" i="6"/>
  <c r="H285" i="6"/>
  <c r="B286" i="6"/>
  <c r="E286" i="6"/>
  <c r="F286" i="6"/>
  <c r="H286" i="6"/>
  <c r="B287" i="6"/>
  <c r="E287" i="6"/>
  <c r="F287" i="6"/>
  <c r="I287" i="6" s="1"/>
  <c r="H287" i="6"/>
  <c r="B288" i="6"/>
  <c r="E288" i="6"/>
  <c r="F288" i="6"/>
  <c r="I288" i="6" s="1"/>
  <c r="H288" i="6"/>
  <c r="B289" i="6"/>
  <c r="E289" i="6"/>
  <c r="F289" i="6"/>
  <c r="H289" i="6"/>
  <c r="B290" i="6"/>
  <c r="E290" i="6"/>
  <c r="F290" i="6"/>
  <c r="H290" i="6"/>
  <c r="B291" i="6"/>
  <c r="E291" i="6"/>
  <c r="F291" i="6"/>
  <c r="I291" i="6" s="1"/>
  <c r="H291" i="6"/>
  <c r="B292" i="6"/>
  <c r="E292" i="6"/>
  <c r="F292" i="6"/>
  <c r="I292" i="6" s="1"/>
  <c r="H292" i="6"/>
  <c r="B293" i="6"/>
  <c r="E293" i="6"/>
  <c r="F293" i="6"/>
  <c r="H293" i="6"/>
  <c r="B294" i="6"/>
  <c r="E294" i="6"/>
  <c r="F294" i="6"/>
  <c r="H294" i="6"/>
  <c r="B295" i="6"/>
  <c r="E295" i="6"/>
  <c r="F295" i="6"/>
  <c r="I295" i="6" s="1"/>
  <c r="H295" i="6"/>
  <c r="B296" i="6"/>
  <c r="E296" i="6"/>
  <c r="F296" i="6"/>
  <c r="I296" i="6" s="1"/>
  <c r="H296" i="6"/>
  <c r="B297" i="6"/>
  <c r="E297" i="6"/>
  <c r="F297" i="6"/>
  <c r="H297" i="6"/>
  <c r="B298" i="6"/>
  <c r="E298" i="6"/>
  <c r="F298" i="6"/>
  <c r="H298" i="6"/>
  <c r="B299" i="6"/>
  <c r="E299" i="6"/>
  <c r="F299" i="6"/>
  <c r="I299" i="6" s="1"/>
  <c r="H299" i="6"/>
  <c r="B300" i="6"/>
  <c r="E300" i="6"/>
  <c r="F300" i="6"/>
  <c r="I300" i="6" s="1"/>
  <c r="H300" i="6"/>
  <c r="B301" i="6"/>
  <c r="E301" i="6"/>
  <c r="F301" i="6"/>
  <c r="H301" i="6"/>
  <c r="B302" i="6"/>
  <c r="E302" i="6"/>
  <c r="F302" i="6"/>
  <c r="H302" i="6"/>
  <c r="B303" i="6"/>
  <c r="E303" i="6"/>
  <c r="F303" i="6"/>
  <c r="I303" i="6" s="1"/>
  <c r="H303" i="6"/>
  <c r="B304" i="6"/>
  <c r="E304" i="6"/>
  <c r="F304" i="6"/>
  <c r="I304" i="6" s="1"/>
  <c r="H304" i="6"/>
  <c r="B305" i="6"/>
  <c r="E305" i="6"/>
  <c r="F305" i="6"/>
  <c r="H305" i="6"/>
  <c r="B306" i="6"/>
  <c r="E306" i="6"/>
  <c r="F306" i="6"/>
  <c r="H306" i="6"/>
  <c r="B307" i="6"/>
  <c r="E307" i="6"/>
  <c r="F307" i="6"/>
  <c r="I307" i="6" s="1"/>
  <c r="H307" i="6"/>
  <c r="B308" i="6"/>
  <c r="E308" i="6"/>
  <c r="F308" i="6"/>
  <c r="I308" i="6" s="1"/>
  <c r="H308" i="6"/>
  <c r="B309" i="6"/>
  <c r="E309" i="6"/>
  <c r="F309" i="6"/>
  <c r="H309" i="6"/>
  <c r="B310" i="6"/>
  <c r="E310" i="6"/>
  <c r="F310" i="6"/>
  <c r="H310" i="6"/>
  <c r="B311" i="6"/>
  <c r="E311" i="6"/>
  <c r="F311" i="6"/>
  <c r="I311" i="6" s="1"/>
  <c r="H311" i="6"/>
  <c r="B312" i="6"/>
  <c r="E312" i="6"/>
  <c r="F312" i="6"/>
  <c r="I312" i="6" s="1"/>
  <c r="H312" i="6"/>
  <c r="B313" i="6"/>
  <c r="E313" i="6"/>
  <c r="F313" i="6"/>
  <c r="H313" i="6"/>
  <c r="B314" i="6"/>
  <c r="E314" i="6"/>
  <c r="F314" i="6"/>
  <c r="H314" i="6"/>
  <c r="B315" i="6"/>
  <c r="E315" i="6"/>
  <c r="F315" i="6"/>
  <c r="I315" i="6" s="1"/>
  <c r="H315" i="6"/>
  <c r="B316" i="6"/>
  <c r="E316" i="6"/>
  <c r="F316" i="6"/>
  <c r="I316" i="6" s="1"/>
  <c r="H316" i="6"/>
  <c r="B317" i="6"/>
  <c r="E317" i="6"/>
  <c r="F317" i="6"/>
  <c r="H317" i="6"/>
  <c r="B318" i="6"/>
  <c r="E318" i="6"/>
  <c r="F318" i="6"/>
  <c r="H318" i="6"/>
  <c r="B319" i="6"/>
  <c r="E319" i="6"/>
  <c r="F319" i="6"/>
  <c r="I319" i="6" s="1"/>
  <c r="H319" i="6"/>
  <c r="B320" i="6"/>
  <c r="E320" i="6"/>
  <c r="F320" i="6"/>
  <c r="I320" i="6" s="1"/>
  <c r="H320" i="6"/>
  <c r="B321" i="6"/>
  <c r="E321" i="6"/>
  <c r="F321" i="6"/>
  <c r="H321" i="6"/>
  <c r="B322" i="6"/>
  <c r="E322" i="6"/>
  <c r="F322" i="6"/>
  <c r="H322" i="6"/>
  <c r="B323" i="6"/>
  <c r="E323" i="6"/>
  <c r="F323" i="6"/>
  <c r="I323" i="6" s="1"/>
  <c r="H323" i="6"/>
  <c r="B324" i="6"/>
  <c r="E324" i="6"/>
  <c r="F324" i="6"/>
  <c r="I324" i="6" s="1"/>
  <c r="H324" i="6"/>
  <c r="B325" i="6"/>
  <c r="E325" i="6"/>
  <c r="F325" i="6"/>
  <c r="H325" i="6"/>
  <c r="B326" i="6"/>
  <c r="E326" i="6"/>
  <c r="F326" i="6"/>
  <c r="I326" i="6" s="1"/>
  <c r="H326" i="6"/>
  <c r="B327" i="6"/>
  <c r="E327" i="6"/>
  <c r="F327" i="6"/>
  <c r="H327" i="6"/>
  <c r="B328" i="6"/>
  <c r="E328" i="6"/>
  <c r="F328" i="6"/>
  <c r="I328" i="6" s="1"/>
  <c r="H328" i="6"/>
  <c r="B329" i="6"/>
  <c r="E329" i="6"/>
  <c r="F329" i="6"/>
  <c r="H329" i="6"/>
  <c r="B330" i="6"/>
  <c r="E330" i="6"/>
  <c r="F330" i="6"/>
  <c r="H330" i="6"/>
  <c r="B331" i="6"/>
  <c r="E331" i="6"/>
  <c r="F331" i="6"/>
  <c r="H331" i="6"/>
  <c r="B332" i="6"/>
  <c r="E332" i="6"/>
  <c r="F332" i="6"/>
  <c r="H332" i="6"/>
  <c r="B333" i="6"/>
  <c r="E333" i="6"/>
  <c r="F333" i="6"/>
  <c r="H333" i="6"/>
  <c r="B334" i="6"/>
  <c r="E334" i="6"/>
  <c r="F334" i="6"/>
  <c r="H334" i="6"/>
  <c r="B335" i="6"/>
  <c r="E335" i="6"/>
  <c r="F335" i="6"/>
  <c r="H335" i="6"/>
  <c r="B336" i="6"/>
  <c r="E336" i="6"/>
  <c r="F336" i="6"/>
  <c r="H336" i="6"/>
  <c r="B337" i="6"/>
  <c r="E337" i="6"/>
  <c r="F337" i="6"/>
  <c r="H337" i="6"/>
  <c r="B338" i="6"/>
  <c r="E338" i="6"/>
  <c r="F338" i="6"/>
  <c r="H338" i="6"/>
  <c r="B339" i="6"/>
  <c r="E339" i="6"/>
  <c r="F339" i="6"/>
  <c r="H339" i="6"/>
  <c r="B340" i="6"/>
  <c r="E340" i="6"/>
  <c r="F340" i="6"/>
  <c r="H340" i="6"/>
  <c r="B341" i="6"/>
  <c r="E341" i="6"/>
  <c r="F341" i="6"/>
  <c r="H341" i="6"/>
  <c r="B342" i="6"/>
  <c r="E342" i="6"/>
  <c r="F342" i="6"/>
  <c r="H342" i="6"/>
  <c r="B343" i="6"/>
  <c r="E343" i="6"/>
  <c r="F343" i="6"/>
  <c r="H343" i="6"/>
  <c r="B344" i="6"/>
  <c r="E344" i="6"/>
  <c r="F344" i="6"/>
  <c r="H344" i="6"/>
  <c r="B345" i="6"/>
  <c r="E345" i="6"/>
  <c r="F345" i="6"/>
  <c r="H345" i="6"/>
  <c r="B346" i="6"/>
  <c r="E346" i="6"/>
  <c r="F346" i="6"/>
  <c r="H346" i="6"/>
  <c r="B347" i="6"/>
  <c r="E347" i="6"/>
  <c r="F347" i="6"/>
  <c r="H347" i="6"/>
  <c r="B348" i="6"/>
  <c r="E348" i="6"/>
  <c r="F348" i="6"/>
  <c r="H348" i="6"/>
  <c r="B349" i="6"/>
  <c r="E349" i="6"/>
  <c r="F349" i="6"/>
  <c r="H349" i="6"/>
  <c r="B350" i="6"/>
  <c r="E350" i="6"/>
  <c r="F350" i="6"/>
  <c r="H350" i="6"/>
  <c r="B351" i="6"/>
  <c r="E351" i="6"/>
  <c r="F351" i="6"/>
  <c r="H351" i="6"/>
  <c r="B352" i="6"/>
  <c r="E352" i="6"/>
  <c r="F352" i="6"/>
  <c r="H352" i="6"/>
  <c r="B353" i="6"/>
  <c r="E353" i="6"/>
  <c r="F353" i="6"/>
  <c r="H353" i="6"/>
  <c r="B354" i="6"/>
  <c r="E354" i="6"/>
  <c r="F354" i="6"/>
  <c r="H354" i="6"/>
  <c r="B355" i="6"/>
  <c r="E355" i="6"/>
  <c r="F355" i="6"/>
  <c r="H355" i="6"/>
  <c r="B356" i="6"/>
  <c r="E356" i="6"/>
  <c r="F356" i="6"/>
  <c r="H356" i="6"/>
  <c r="B357" i="6"/>
  <c r="E357" i="6"/>
  <c r="F357" i="6"/>
  <c r="H357" i="6"/>
  <c r="B358" i="6"/>
  <c r="E358" i="6"/>
  <c r="F358" i="6"/>
  <c r="H358" i="6"/>
  <c r="B359" i="6"/>
  <c r="E359" i="6"/>
  <c r="F359" i="6"/>
  <c r="H359" i="6"/>
  <c r="B360" i="6"/>
  <c r="E360" i="6"/>
  <c r="F360" i="6"/>
  <c r="H360" i="6"/>
  <c r="B361" i="6"/>
  <c r="E361" i="6"/>
  <c r="F361" i="6"/>
  <c r="H361" i="6"/>
  <c r="B362" i="6"/>
  <c r="E362" i="6"/>
  <c r="F362" i="6"/>
  <c r="H362" i="6"/>
  <c r="B363" i="6"/>
  <c r="E363" i="6"/>
  <c r="F363" i="6"/>
  <c r="H363" i="6"/>
  <c r="B364" i="6"/>
  <c r="E364" i="6"/>
  <c r="F364" i="6"/>
  <c r="H364" i="6"/>
  <c r="B365" i="6"/>
  <c r="E365" i="6"/>
  <c r="F365" i="6"/>
  <c r="H365" i="6"/>
  <c r="B366" i="6"/>
  <c r="E366" i="6"/>
  <c r="F366" i="6"/>
  <c r="I366" i="6" s="1"/>
  <c r="H366" i="6"/>
  <c r="B367" i="6"/>
  <c r="E367" i="6"/>
  <c r="F367" i="6"/>
  <c r="I367" i="6" s="1"/>
  <c r="H367" i="6"/>
  <c r="B368" i="6"/>
  <c r="E368" i="6"/>
  <c r="F368" i="6"/>
  <c r="I368" i="6" s="1"/>
  <c r="H368" i="6"/>
  <c r="K368" i="6" l="1"/>
  <c r="M368" i="6"/>
  <c r="O368" i="6"/>
  <c r="J368" i="6"/>
  <c r="L368" i="6"/>
  <c r="N368" i="6"/>
  <c r="P368" i="6"/>
  <c r="K366" i="6"/>
  <c r="M366" i="6"/>
  <c r="O366" i="6"/>
  <c r="J366" i="6"/>
  <c r="L366" i="6"/>
  <c r="N366" i="6"/>
  <c r="P366" i="6"/>
  <c r="J365" i="6"/>
  <c r="L365" i="6"/>
  <c r="N365" i="6"/>
  <c r="P365" i="6"/>
  <c r="K365" i="6"/>
  <c r="M365" i="6"/>
  <c r="O365" i="6"/>
  <c r="J363" i="6"/>
  <c r="L363" i="6"/>
  <c r="N363" i="6"/>
  <c r="P363" i="6"/>
  <c r="K363" i="6"/>
  <c r="M363" i="6"/>
  <c r="O363" i="6"/>
  <c r="J361" i="6"/>
  <c r="L361" i="6"/>
  <c r="N361" i="6"/>
  <c r="P361" i="6"/>
  <c r="K361" i="6"/>
  <c r="M361" i="6"/>
  <c r="O361" i="6"/>
  <c r="J359" i="6"/>
  <c r="L359" i="6"/>
  <c r="N359" i="6"/>
  <c r="P359" i="6"/>
  <c r="K359" i="6"/>
  <c r="M359" i="6"/>
  <c r="O359" i="6"/>
  <c r="K356" i="6"/>
  <c r="M356" i="6"/>
  <c r="O356" i="6"/>
  <c r="J356" i="6"/>
  <c r="L356" i="6"/>
  <c r="N356" i="6"/>
  <c r="P356" i="6"/>
  <c r="K354" i="6"/>
  <c r="M354" i="6"/>
  <c r="O354" i="6"/>
  <c r="J354" i="6"/>
  <c r="L354" i="6"/>
  <c r="N354" i="6"/>
  <c r="P354" i="6"/>
  <c r="K352" i="6"/>
  <c r="M352" i="6"/>
  <c r="O352" i="6"/>
  <c r="J352" i="6"/>
  <c r="L352" i="6"/>
  <c r="N352" i="6"/>
  <c r="P352" i="6"/>
  <c r="K350" i="6"/>
  <c r="M350" i="6"/>
  <c r="O350" i="6"/>
  <c r="J350" i="6"/>
  <c r="L350" i="6"/>
  <c r="N350" i="6"/>
  <c r="P350" i="6"/>
  <c r="J347" i="6"/>
  <c r="L347" i="6"/>
  <c r="N347" i="6"/>
  <c r="P347" i="6"/>
  <c r="K347" i="6"/>
  <c r="M347" i="6"/>
  <c r="O347" i="6"/>
  <c r="J345" i="6"/>
  <c r="L345" i="6"/>
  <c r="N345" i="6"/>
  <c r="P345" i="6"/>
  <c r="K345" i="6"/>
  <c r="M345" i="6"/>
  <c r="O345" i="6"/>
  <c r="J343" i="6"/>
  <c r="L343" i="6"/>
  <c r="N343" i="6"/>
  <c r="K343" i="6"/>
  <c r="M343" i="6"/>
  <c r="O343" i="6"/>
  <c r="P343" i="6"/>
  <c r="K340" i="6"/>
  <c r="M340" i="6"/>
  <c r="O340" i="6"/>
  <c r="J340" i="6"/>
  <c r="L340" i="6"/>
  <c r="N340" i="6"/>
  <c r="P340" i="6"/>
  <c r="K338" i="6"/>
  <c r="M338" i="6"/>
  <c r="O338" i="6"/>
  <c r="J338" i="6"/>
  <c r="L338" i="6"/>
  <c r="N338" i="6"/>
  <c r="P338" i="6"/>
  <c r="K336" i="6"/>
  <c r="M336" i="6"/>
  <c r="O336" i="6"/>
  <c r="J336" i="6"/>
  <c r="L336" i="6"/>
  <c r="N336" i="6"/>
  <c r="P336" i="6"/>
  <c r="J333" i="6"/>
  <c r="L333" i="6"/>
  <c r="N333" i="6"/>
  <c r="P333" i="6"/>
  <c r="K333" i="6"/>
  <c r="M333" i="6"/>
  <c r="O333" i="6"/>
  <c r="J331" i="6"/>
  <c r="L331" i="6"/>
  <c r="N331" i="6"/>
  <c r="P331" i="6"/>
  <c r="K331" i="6"/>
  <c r="M331" i="6"/>
  <c r="O331" i="6"/>
  <c r="J329" i="6"/>
  <c r="L329" i="6"/>
  <c r="N329" i="6"/>
  <c r="P329" i="6"/>
  <c r="K329" i="6"/>
  <c r="M329" i="6"/>
  <c r="O329" i="6"/>
  <c r="J327" i="6"/>
  <c r="L327" i="6"/>
  <c r="N327" i="6"/>
  <c r="P327" i="6"/>
  <c r="K327" i="6"/>
  <c r="M327" i="6"/>
  <c r="O327" i="6"/>
  <c r="J325" i="6"/>
  <c r="L325" i="6"/>
  <c r="N325" i="6"/>
  <c r="P325" i="6"/>
  <c r="K325" i="6"/>
  <c r="M325" i="6"/>
  <c r="O325" i="6"/>
  <c r="J323" i="6"/>
  <c r="L323" i="6"/>
  <c r="N323" i="6"/>
  <c r="P323" i="6"/>
  <c r="K323" i="6"/>
  <c r="M323" i="6"/>
  <c r="O323" i="6"/>
  <c r="K320" i="6"/>
  <c r="M320" i="6"/>
  <c r="O320" i="6"/>
  <c r="J320" i="6"/>
  <c r="L320" i="6"/>
  <c r="N320" i="6"/>
  <c r="P320" i="6"/>
  <c r="K318" i="6"/>
  <c r="M318" i="6"/>
  <c r="O318" i="6"/>
  <c r="J318" i="6"/>
  <c r="L318" i="6"/>
  <c r="N318" i="6"/>
  <c r="P318" i="6"/>
  <c r="K316" i="6"/>
  <c r="M316" i="6"/>
  <c r="O316" i="6"/>
  <c r="J316" i="6"/>
  <c r="L316" i="6"/>
  <c r="N316" i="6"/>
  <c r="P316" i="6"/>
  <c r="K314" i="6"/>
  <c r="M314" i="6"/>
  <c r="O314" i="6"/>
  <c r="J314" i="6"/>
  <c r="L314" i="6"/>
  <c r="N314" i="6"/>
  <c r="P314" i="6"/>
  <c r="J311" i="6"/>
  <c r="L311" i="6"/>
  <c r="N311" i="6"/>
  <c r="P311" i="6"/>
  <c r="K311" i="6"/>
  <c r="M311" i="6"/>
  <c r="O311" i="6"/>
  <c r="K310" i="6"/>
  <c r="M310" i="6"/>
  <c r="O310" i="6"/>
  <c r="J310" i="6"/>
  <c r="L310" i="6"/>
  <c r="N310" i="6"/>
  <c r="P310" i="6"/>
  <c r="K308" i="6"/>
  <c r="M308" i="6"/>
  <c r="O308" i="6"/>
  <c r="J308" i="6"/>
  <c r="L308" i="6"/>
  <c r="N308" i="6"/>
  <c r="P308" i="6"/>
  <c r="J307" i="6"/>
  <c r="L307" i="6"/>
  <c r="N307" i="6"/>
  <c r="P307" i="6"/>
  <c r="K307" i="6"/>
  <c r="M307" i="6"/>
  <c r="O307" i="6"/>
  <c r="K304" i="6"/>
  <c r="M304" i="6"/>
  <c r="O304" i="6"/>
  <c r="J304" i="6"/>
  <c r="L304" i="6"/>
  <c r="N304" i="6"/>
  <c r="P304" i="6"/>
  <c r="K284" i="6"/>
  <c r="M284" i="6"/>
  <c r="O284" i="6"/>
  <c r="J284" i="6"/>
  <c r="L284" i="6"/>
  <c r="N284" i="6"/>
  <c r="P284" i="6"/>
  <c r="J283" i="6"/>
  <c r="L283" i="6"/>
  <c r="N283" i="6"/>
  <c r="P283" i="6"/>
  <c r="K283" i="6"/>
  <c r="M283" i="6"/>
  <c r="O283" i="6"/>
  <c r="K282" i="6"/>
  <c r="M282" i="6"/>
  <c r="O282" i="6"/>
  <c r="J282" i="6"/>
  <c r="L282" i="6"/>
  <c r="N282" i="6"/>
  <c r="P282" i="6"/>
  <c r="J281" i="6"/>
  <c r="L281" i="6"/>
  <c r="N281" i="6"/>
  <c r="P281" i="6"/>
  <c r="K281" i="6"/>
  <c r="M281" i="6"/>
  <c r="O281" i="6"/>
  <c r="K280" i="6"/>
  <c r="M280" i="6"/>
  <c r="O280" i="6"/>
  <c r="J280" i="6"/>
  <c r="L280" i="6"/>
  <c r="N280" i="6"/>
  <c r="P280" i="6"/>
  <c r="J279" i="6"/>
  <c r="L279" i="6"/>
  <c r="N279" i="6"/>
  <c r="P279" i="6"/>
  <c r="K279" i="6"/>
  <c r="M279" i="6"/>
  <c r="O279" i="6"/>
  <c r="K278" i="6"/>
  <c r="M278" i="6"/>
  <c r="O278" i="6"/>
  <c r="J278" i="6"/>
  <c r="L278" i="6"/>
  <c r="N278" i="6"/>
  <c r="P278" i="6"/>
  <c r="J277" i="6"/>
  <c r="L277" i="6"/>
  <c r="N277" i="6"/>
  <c r="P277" i="6"/>
  <c r="K277" i="6"/>
  <c r="M277" i="6"/>
  <c r="O277" i="6"/>
  <c r="K276" i="6"/>
  <c r="M276" i="6"/>
  <c r="O276" i="6"/>
  <c r="J276" i="6"/>
  <c r="L276" i="6"/>
  <c r="N276" i="6"/>
  <c r="P276" i="6"/>
  <c r="J275" i="6"/>
  <c r="L275" i="6"/>
  <c r="N275" i="6"/>
  <c r="P275" i="6"/>
  <c r="K275" i="6"/>
  <c r="M275" i="6"/>
  <c r="O275" i="6"/>
  <c r="K274" i="6"/>
  <c r="M274" i="6"/>
  <c r="O274" i="6"/>
  <c r="J274" i="6"/>
  <c r="L274" i="6"/>
  <c r="N274" i="6"/>
  <c r="P274" i="6"/>
  <c r="J273" i="6"/>
  <c r="L273" i="6"/>
  <c r="N273" i="6"/>
  <c r="P273" i="6"/>
  <c r="K273" i="6"/>
  <c r="M273" i="6"/>
  <c r="O273" i="6"/>
  <c r="K272" i="6"/>
  <c r="M272" i="6"/>
  <c r="O272" i="6"/>
  <c r="J272" i="6"/>
  <c r="L272" i="6"/>
  <c r="N272" i="6"/>
  <c r="P272" i="6"/>
  <c r="J271" i="6"/>
  <c r="L271" i="6"/>
  <c r="N271" i="6"/>
  <c r="P271" i="6"/>
  <c r="K271" i="6"/>
  <c r="M271" i="6"/>
  <c r="O271" i="6"/>
  <c r="K270" i="6"/>
  <c r="M270" i="6"/>
  <c r="O270" i="6"/>
  <c r="J270" i="6"/>
  <c r="L270" i="6"/>
  <c r="N270" i="6"/>
  <c r="P270" i="6"/>
  <c r="J269" i="6"/>
  <c r="L269" i="6"/>
  <c r="N269" i="6"/>
  <c r="P269" i="6"/>
  <c r="K269" i="6"/>
  <c r="M269" i="6"/>
  <c r="O269" i="6"/>
  <c r="K268" i="6"/>
  <c r="M268" i="6"/>
  <c r="O268" i="6"/>
  <c r="J268" i="6"/>
  <c r="L268" i="6"/>
  <c r="N268" i="6"/>
  <c r="P268" i="6"/>
  <c r="J267" i="6"/>
  <c r="L267" i="6"/>
  <c r="N267" i="6"/>
  <c r="P267" i="6"/>
  <c r="K267" i="6"/>
  <c r="M267" i="6"/>
  <c r="O267" i="6"/>
  <c r="K266" i="6"/>
  <c r="M266" i="6"/>
  <c r="O266" i="6"/>
  <c r="J266" i="6"/>
  <c r="L266" i="6"/>
  <c r="N266" i="6"/>
  <c r="P266" i="6"/>
  <c r="K264" i="6"/>
  <c r="M264" i="6"/>
  <c r="O264" i="6"/>
  <c r="J264" i="6"/>
  <c r="L264" i="6"/>
  <c r="N264" i="6"/>
  <c r="P264" i="6"/>
  <c r="K262" i="6"/>
  <c r="M262" i="6"/>
  <c r="O262" i="6"/>
  <c r="J262" i="6"/>
  <c r="L262" i="6"/>
  <c r="N262" i="6"/>
  <c r="P262" i="6"/>
  <c r="K260" i="6"/>
  <c r="M260" i="6"/>
  <c r="O260" i="6"/>
  <c r="J260" i="6"/>
  <c r="L260" i="6"/>
  <c r="N260" i="6"/>
  <c r="P260" i="6"/>
  <c r="K258" i="6"/>
  <c r="M258" i="6"/>
  <c r="O258" i="6"/>
  <c r="J258" i="6"/>
  <c r="L258" i="6"/>
  <c r="N258" i="6"/>
  <c r="P258" i="6"/>
  <c r="K256" i="6"/>
  <c r="M256" i="6"/>
  <c r="O256" i="6"/>
  <c r="J256" i="6"/>
  <c r="L256" i="6"/>
  <c r="N256" i="6"/>
  <c r="P256" i="6"/>
  <c r="K254" i="6"/>
  <c r="M254" i="6"/>
  <c r="O254" i="6"/>
  <c r="J254" i="6"/>
  <c r="L254" i="6"/>
  <c r="N254" i="6"/>
  <c r="P254" i="6"/>
  <c r="K252" i="6"/>
  <c r="M252" i="6"/>
  <c r="O252" i="6"/>
  <c r="J252" i="6"/>
  <c r="L252" i="6"/>
  <c r="N252" i="6"/>
  <c r="P252" i="6"/>
  <c r="K250" i="6"/>
  <c r="M250" i="6"/>
  <c r="O250" i="6"/>
  <c r="J250" i="6"/>
  <c r="L250" i="6"/>
  <c r="N250" i="6"/>
  <c r="P250" i="6"/>
  <c r="K248" i="6"/>
  <c r="M248" i="6"/>
  <c r="O248" i="6"/>
  <c r="J248" i="6"/>
  <c r="L248" i="6"/>
  <c r="N248" i="6"/>
  <c r="P248" i="6"/>
  <c r="J247" i="6"/>
  <c r="L247" i="6"/>
  <c r="N247" i="6"/>
  <c r="P247" i="6"/>
  <c r="K247" i="6"/>
  <c r="M247" i="6"/>
  <c r="O247" i="6"/>
  <c r="J244" i="6"/>
  <c r="L244" i="6"/>
  <c r="N244" i="6"/>
  <c r="P244" i="6"/>
  <c r="K244" i="6"/>
  <c r="M244" i="6"/>
  <c r="O244" i="6"/>
  <c r="K243" i="6"/>
  <c r="M243" i="6"/>
  <c r="O243" i="6"/>
  <c r="J243" i="6"/>
  <c r="L243" i="6"/>
  <c r="N243" i="6"/>
  <c r="P243" i="6"/>
  <c r="J240" i="6"/>
  <c r="L240" i="6"/>
  <c r="N240" i="6"/>
  <c r="P240" i="6"/>
  <c r="K240" i="6"/>
  <c r="M240" i="6"/>
  <c r="O240" i="6"/>
  <c r="K239" i="6"/>
  <c r="M239" i="6"/>
  <c r="O239" i="6"/>
  <c r="J239" i="6"/>
  <c r="L239" i="6"/>
  <c r="N239" i="6"/>
  <c r="P239" i="6"/>
  <c r="J236" i="6"/>
  <c r="L236" i="6"/>
  <c r="N236" i="6"/>
  <c r="P236" i="6"/>
  <c r="K236" i="6"/>
  <c r="M236" i="6"/>
  <c r="O236" i="6"/>
  <c r="K235" i="6"/>
  <c r="M235" i="6"/>
  <c r="O235" i="6"/>
  <c r="J235" i="6"/>
  <c r="L235" i="6"/>
  <c r="N235" i="6"/>
  <c r="P235" i="6"/>
  <c r="J232" i="6"/>
  <c r="L232" i="6"/>
  <c r="N232" i="6"/>
  <c r="P232" i="6"/>
  <c r="K232" i="6"/>
  <c r="M232" i="6"/>
  <c r="O232" i="6"/>
  <c r="K227" i="6"/>
  <c r="M227" i="6"/>
  <c r="O227" i="6"/>
  <c r="J227" i="6"/>
  <c r="L227" i="6"/>
  <c r="N227" i="6"/>
  <c r="P227" i="6"/>
  <c r="J226" i="6"/>
  <c r="L226" i="6"/>
  <c r="N226" i="6"/>
  <c r="P226" i="6"/>
  <c r="K226" i="6"/>
  <c r="M226" i="6"/>
  <c r="O226" i="6"/>
  <c r="K225" i="6"/>
  <c r="M225" i="6"/>
  <c r="O225" i="6"/>
  <c r="J225" i="6"/>
  <c r="L225" i="6"/>
  <c r="N225" i="6"/>
  <c r="P225" i="6"/>
  <c r="J224" i="6"/>
  <c r="L224" i="6"/>
  <c r="N224" i="6"/>
  <c r="P224" i="6"/>
  <c r="K224" i="6"/>
  <c r="M224" i="6"/>
  <c r="O224" i="6"/>
  <c r="K207" i="6"/>
  <c r="M207" i="6"/>
  <c r="O207" i="6"/>
  <c r="J207" i="6"/>
  <c r="L207" i="6"/>
  <c r="N207" i="6"/>
  <c r="P207" i="6"/>
  <c r="J206" i="6"/>
  <c r="L206" i="6"/>
  <c r="N206" i="6"/>
  <c r="P206" i="6"/>
  <c r="K206" i="6"/>
  <c r="M206" i="6"/>
  <c r="O206" i="6"/>
  <c r="K205" i="6"/>
  <c r="M205" i="6"/>
  <c r="O205" i="6"/>
  <c r="J205" i="6"/>
  <c r="L205" i="6"/>
  <c r="N205" i="6"/>
  <c r="P205" i="6"/>
  <c r="K203" i="6"/>
  <c r="M203" i="6"/>
  <c r="O203" i="6"/>
  <c r="J203" i="6"/>
  <c r="L203" i="6"/>
  <c r="N203" i="6"/>
  <c r="P203" i="6"/>
  <c r="J202" i="6"/>
  <c r="L202" i="6"/>
  <c r="N202" i="6"/>
  <c r="P202" i="6"/>
  <c r="K202" i="6"/>
  <c r="M202" i="6"/>
  <c r="O202" i="6"/>
  <c r="K201" i="6"/>
  <c r="M201" i="6"/>
  <c r="O201" i="6"/>
  <c r="J201" i="6"/>
  <c r="L201" i="6"/>
  <c r="N201" i="6"/>
  <c r="P201" i="6"/>
  <c r="J200" i="6"/>
  <c r="L200" i="6"/>
  <c r="N200" i="6"/>
  <c r="P200" i="6"/>
  <c r="K200" i="6"/>
  <c r="M200" i="6"/>
  <c r="O200" i="6"/>
  <c r="K199" i="6"/>
  <c r="M199" i="6"/>
  <c r="O199" i="6"/>
  <c r="J199" i="6"/>
  <c r="L199" i="6"/>
  <c r="N199" i="6"/>
  <c r="P199" i="6"/>
  <c r="J198" i="6"/>
  <c r="L198" i="6"/>
  <c r="N198" i="6"/>
  <c r="P198" i="6"/>
  <c r="K198" i="6"/>
  <c r="M198" i="6"/>
  <c r="O198" i="6"/>
  <c r="K197" i="6"/>
  <c r="M197" i="6"/>
  <c r="O197" i="6"/>
  <c r="J197" i="6"/>
  <c r="L197" i="6"/>
  <c r="N197" i="6"/>
  <c r="P197" i="6"/>
  <c r="J196" i="6"/>
  <c r="L196" i="6"/>
  <c r="N196" i="6"/>
  <c r="P196" i="6"/>
  <c r="K196" i="6"/>
  <c r="M196" i="6"/>
  <c r="O196" i="6"/>
  <c r="K195" i="6"/>
  <c r="M195" i="6"/>
  <c r="O195" i="6"/>
  <c r="J195" i="6"/>
  <c r="L195" i="6"/>
  <c r="N195" i="6"/>
  <c r="P195" i="6"/>
  <c r="J194" i="6"/>
  <c r="L194" i="6"/>
  <c r="N194" i="6"/>
  <c r="P194" i="6"/>
  <c r="K194" i="6"/>
  <c r="M194" i="6"/>
  <c r="O194" i="6"/>
  <c r="K193" i="6"/>
  <c r="M193" i="6"/>
  <c r="O193" i="6"/>
  <c r="J193" i="6"/>
  <c r="L193" i="6"/>
  <c r="N193" i="6"/>
  <c r="P193" i="6"/>
  <c r="J192" i="6"/>
  <c r="L192" i="6"/>
  <c r="N192" i="6"/>
  <c r="P192" i="6"/>
  <c r="K192" i="6"/>
  <c r="M192" i="6"/>
  <c r="O192" i="6"/>
  <c r="K191" i="6"/>
  <c r="M191" i="6"/>
  <c r="O191" i="6"/>
  <c r="J191" i="6"/>
  <c r="L191" i="6"/>
  <c r="N191" i="6"/>
  <c r="P191" i="6"/>
  <c r="J190" i="6"/>
  <c r="L190" i="6"/>
  <c r="N190" i="6"/>
  <c r="P190" i="6"/>
  <c r="K190" i="6"/>
  <c r="M190" i="6"/>
  <c r="O190" i="6"/>
  <c r="K189" i="6"/>
  <c r="M189" i="6"/>
  <c r="O189" i="6"/>
  <c r="J189" i="6"/>
  <c r="L189" i="6"/>
  <c r="N189" i="6"/>
  <c r="P189" i="6"/>
  <c r="J188" i="6"/>
  <c r="L188" i="6"/>
  <c r="N188" i="6"/>
  <c r="P188" i="6"/>
  <c r="K188" i="6"/>
  <c r="M188" i="6"/>
  <c r="O188" i="6"/>
  <c r="K187" i="6"/>
  <c r="M187" i="6"/>
  <c r="O187" i="6"/>
  <c r="J187" i="6"/>
  <c r="L187" i="6"/>
  <c r="N187" i="6"/>
  <c r="P187" i="6"/>
  <c r="J186" i="6"/>
  <c r="L186" i="6"/>
  <c r="N186" i="6"/>
  <c r="P186" i="6"/>
  <c r="K186" i="6"/>
  <c r="M186" i="6"/>
  <c r="O186" i="6"/>
  <c r="K185" i="6"/>
  <c r="M185" i="6"/>
  <c r="O185" i="6"/>
  <c r="J185" i="6"/>
  <c r="L185" i="6"/>
  <c r="N185" i="6"/>
  <c r="P185" i="6"/>
  <c r="J184" i="6"/>
  <c r="L184" i="6"/>
  <c r="N184" i="6"/>
  <c r="P184" i="6"/>
  <c r="K184" i="6"/>
  <c r="M184" i="6"/>
  <c r="O184" i="6"/>
  <c r="K183" i="6"/>
  <c r="M183" i="6"/>
  <c r="O183" i="6"/>
  <c r="J183" i="6"/>
  <c r="L183" i="6"/>
  <c r="N183" i="6"/>
  <c r="P183" i="6"/>
  <c r="J182" i="6"/>
  <c r="L182" i="6"/>
  <c r="N182" i="6"/>
  <c r="P182" i="6"/>
  <c r="K182" i="6"/>
  <c r="M182" i="6"/>
  <c r="O182" i="6"/>
  <c r="K181" i="6"/>
  <c r="M181" i="6"/>
  <c r="O181" i="6"/>
  <c r="J181" i="6"/>
  <c r="L181" i="6"/>
  <c r="N181" i="6"/>
  <c r="P181" i="6"/>
  <c r="J180" i="6"/>
  <c r="L180" i="6"/>
  <c r="N180" i="6"/>
  <c r="P180" i="6"/>
  <c r="K180" i="6"/>
  <c r="M180" i="6"/>
  <c r="O180" i="6"/>
  <c r="K179" i="6"/>
  <c r="M179" i="6"/>
  <c r="O179" i="6"/>
  <c r="J179" i="6"/>
  <c r="L179" i="6"/>
  <c r="N179" i="6"/>
  <c r="P179" i="6"/>
  <c r="J178" i="6"/>
  <c r="L178" i="6"/>
  <c r="N178" i="6"/>
  <c r="P178" i="6"/>
  <c r="K178" i="6"/>
  <c r="M178" i="6"/>
  <c r="O178" i="6"/>
  <c r="K177" i="6"/>
  <c r="M177" i="6"/>
  <c r="O177" i="6"/>
  <c r="J177" i="6"/>
  <c r="L177" i="6"/>
  <c r="N177" i="6"/>
  <c r="P177" i="6"/>
  <c r="J176" i="6"/>
  <c r="L176" i="6"/>
  <c r="N176" i="6"/>
  <c r="P176" i="6"/>
  <c r="K176" i="6"/>
  <c r="M176" i="6"/>
  <c r="O176" i="6"/>
  <c r="K175" i="6"/>
  <c r="M175" i="6"/>
  <c r="O175" i="6"/>
  <c r="J175" i="6"/>
  <c r="L175" i="6"/>
  <c r="N175" i="6"/>
  <c r="P175" i="6"/>
  <c r="J174" i="6"/>
  <c r="L174" i="6"/>
  <c r="N174" i="6"/>
  <c r="P174" i="6"/>
  <c r="K174" i="6"/>
  <c r="M174" i="6"/>
  <c r="O174" i="6"/>
  <c r="J172" i="6"/>
  <c r="L172" i="6"/>
  <c r="N172" i="6"/>
  <c r="P172" i="6"/>
  <c r="K172" i="6"/>
  <c r="M172" i="6"/>
  <c r="O172" i="6"/>
  <c r="J170" i="6"/>
  <c r="L170" i="6"/>
  <c r="N170" i="6"/>
  <c r="P170" i="6"/>
  <c r="K170" i="6"/>
  <c r="M170" i="6"/>
  <c r="O170" i="6"/>
  <c r="J168" i="6"/>
  <c r="L168" i="6"/>
  <c r="N168" i="6"/>
  <c r="P168" i="6"/>
  <c r="K168" i="6"/>
  <c r="M168" i="6"/>
  <c r="O168" i="6"/>
  <c r="J139" i="6"/>
  <c r="L139" i="6"/>
  <c r="N139" i="6"/>
  <c r="P139" i="6"/>
  <c r="K139" i="6"/>
  <c r="M139" i="6"/>
  <c r="O139" i="6"/>
  <c r="J137" i="6"/>
  <c r="L137" i="6"/>
  <c r="N137" i="6"/>
  <c r="P137" i="6"/>
  <c r="K137" i="6"/>
  <c r="M137" i="6"/>
  <c r="O137" i="6"/>
  <c r="J135" i="6"/>
  <c r="L135" i="6"/>
  <c r="N135" i="6"/>
  <c r="P135" i="6"/>
  <c r="K135" i="6"/>
  <c r="M135" i="6"/>
  <c r="O135" i="6"/>
  <c r="J133" i="6"/>
  <c r="L133" i="6"/>
  <c r="N133" i="6"/>
  <c r="P133" i="6"/>
  <c r="K133" i="6"/>
  <c r="M133" i="6"/>
  <c r="O133" i="6"/>
  <c r="K132" i="6"/>
  <c r="M132" i="6"/>
  <c r="O132" i="6"/>
  <c r="J132" i="6"/>
  <c r="L132" i="6"/>
  <c r="N132" i="6"/>
  <c r="P132" i="6"/>
  <c r="J131" i="6"/>
  <c r="L131" i="6"/>
  <c r="N131" i="6"/>
  <c r="P131" i="6"/>
  <c r="K131" i="6"/>
  <c r="M131" i="6"/>
  <c r="O131" i="6"/>
  <c r="K130" i="6"/>
  <c r="M130" i="6"/>
  <c r="O130" i="6"/>
  <c r="J130" i="6"/>
  <c r="L130" i="6"/>
  <c r="N130" i="6"/>
  <c r="P130" i="6"/>
  <c r="J129" i="6"/>
  <c r="L129" i="6"/>
  <c r="N129" i="6"/>
  <c r="P129" i="6"/>
  <c r="K129" i="6"/>
  <c r="M129" i="6"/>
  <c r="O129" i="6"/>
  <c r="K128" i="6"/>
  <c r="M128" i="6"/>
  <c r="O128" i="6"/>
  <c r="J128" i="6"/>
  <c r="L128" i="6"/>
  <c r="N128" i="6"/>
  <c r="P128" i="6"/>
  <c r="J127" i="6"/>
  <c r="L127" i="6"/>
  <c r="N127" i="6"/>
  <c r="P127" i="6"/>
  <c r="K127" i="6"/>
  <c r="M127" i="6"/>
  <c r="O127" i="6"/>
  <c r="K126" i="6"/>
  <c r="M126" i="6"/>
  <c r="O126" i="6"/>
  <c r="J126" i="6"/>
  <c r="L126" i="6"/>
  <c r="N126" i="6"/>
  <c r="P126" i="6"/>
  <c r="J125" i="6"/>
  <c r="L125" i="6"/>
  <c r="N125" i="6"/>
  <c r="P125" i="6"/>
  <c r="K125" i="6"/>
  <c r="M125" i="6"/>
  <c r="O125" i="6"/>
  <c r="K124" i="6"/>
  <c r="M124" i="6"/>
  <c r="O124" i="6"/>
  <c r="J124" i="6"/>
  <c r="L124" i="6"/>
  <c r="N124" i="6"/>
  <c r="P124" i="6"/>
  <c r="J123" i="6"/>
  <c r="L123" i="6"/>
  <c r="N123" i="6"/>
  <c r="P123" i="6"/>
  <c r="K123" i="6"/>
  <c r="M123" i="6"/>
  <c r="O123" i="6"/>
  <c r="K122" i="6"/>
  <c r="M122" i="6"/>
  <c r="O122" i="6"/>
  <c r="J122" i="6"/>
  <c r="L122" i="6"/>
  <c r="N122" i="6"/>
  <c r="P122" i="6"/>
  <c r="J121" i="6"/>
  <c r="L121" i="6"/>
  <c r="N121" i="6"/>
  <c r="P121" i="6"/>
  <c r="K121" i="6"/>
  <c r="M121" i="6"/>
  <c r="O121" i="6"/>
  <c r="K120" i="6"/>
  <c r="M120" i="6"/>
  <c r="O120" i="6"/>
  <c r="J120" i="6"/>
  <c r="L120" i="6"/>
  <c r="N120" i="6"/>
  <c r="P120" i="6"/>
  <c r="J119" i="6"/>
  <c r="L119" i="6"/>
  <c r="N119" i="6"/>
  <c r="P119" i="6"/>
  <c r="K119" i="6"/>
  <c r="M119" i="6"/>
  <c r="O119" i="6"/>
  <c r="K118" i="6"/>
  <c r="M118" i="6"/>
  <c r="O118" i="6"/>
  <c r="J118" i="6"/>
  <c r="L118" i="6"/>
  <c r="N118" i="6"/>
  <c r="P118" i="6"/>
  <c r="J117" i="6"/>
  <c r="L117" i="6"/>
  <c r="N117" i="6"/>
  <c r="P117" i="6"/>
  <c r="K117" i="6"/>
  <c r="M117" i="6"/>
  <c r="O117" i="6"/>
  <c r="K116" i="6"/>
  <c r="M116" i="6"/>
  <c r="O116" i="6"/>
  <c r="J116" i="6"/>
  <c r="L116" i="6"/>
  <c r="N116" i="6"/>
  <c r="P116" i="6"/>
  <c r="J115" i="6"/>
  <c r="L115" i="6"/>
  <c r="N115" i="6"/>
  <c r="P115" i="6"/>
  <c r="K115" i="6"/>
  <c r="M115" i="6"/>
  <c r="O115" i="6"/>
  <c r="K114" i="6"/>
  <c r="M114" i="6"/>
  <c r="O114" i="6"/>
  <c r="J114" i="6"/>
  <c r="L114" i="6"/>
  <c r="N114" i="6"/>
  <c r="P114" i="6"/>
  <c r="J113" i="6"/>
  <c r="L113" i="6"/>
  <c r="N113" i="6"/>
  <c r="P113" i="6"/>
  <c r="K113" i="6"/>
  <c r="M113" i="6"/>
  <c r="O113" i="6"/>
  <c r="K112" i="6"/>
  <c r="M112" i="6"/>
  <c r="O112" i="6"/>
  <c r="J112" i="6"/>
  <c r="L112" i="6"/>
  <c r="N112" i="6"/>
  <c r="P112" i="6"/>
  <c r="J111" i="6"/>
  <c r="L111" i="6"/>
  <c r="N111" i="6"/>
  <c r="P111" i="6"/>
  <c r="K111" i="6"/>
  <c r="M111" i="6"/>
  <c r="O111" i="6"/>
  <c r="K110" i="6"/>
  <c r="M110" i="6"/>
  <c r="O110" i="6"/>
  <c r="J110" i="6"/>
  <c r="L110" i="6"/>
  <c r="N110" i="6"/>
  <c r="P110" i="6"/>
  <c r="J109" i="6"/>
  <c r="L109" i="6"/>
  <c r="N109" i="6"/>
  <c r="P109" i="6"/>
  <c r="K109" i="6"/>
  <c r="M109" i="6"/>
  <c r="O109" i="6"/>
  <c r="K108" i="6"/>
  <c r="M108" i="6"/>
  <c r="O108" i="6"/>
  <c r="J108" i="6"/>
  <c r="L108" i="6"/>
  <c r="N108" i="6"/>
  <c r="P108" i="6"/>
  <c r="J107" i="6"/>
  <c r="L107" i="6"/>
  <c r="N107" i="6"/>
  <c r="P107" i="6"/>
  <c r="K107" i="6"/>
  <c r="M107" i="6"/>
  <c r="O107" i="6"/>
  <c r="K106" i="6"/>
  <c r="M106" i="6"/>
  <c r="O106" i="6"/>
  <c r="J106" i="6"/>
  <c r="L106" i="6"/>
  <c r="N106" i="6"/>
  <c r="P106" i="6"/>
  <c r="J105" i="6"/>
  <c r="L105" i="6"/>
  <c r="N105" i="6"/>
  <c r="P105" i="6"/>
  <c r="K105" i="6"/>
  <c r="M105" i="6"/>
  <c r="O105" i="6"/>
  <c r="K104" i="6"/>
  <c r="M104" i="6"/>
  <c r="O104" i="6"/>
  <c r="J104" i="6"/>
  <c r="L104" i="6"/>
  <c r="N104" i="6"/>
  <c r="P104" i="6"/>
  <c r="J103" i="6"/>
  <c r="L103" i="6"/>
  <c r="N103" i="6"/>
  <c r="P103" i="6"/>
  <c r="K103" i="6"/>
  <c r="M103" i="6"/>
  <c r="O103" i="6"/>
  <c r="K102" i="6"/>
  <c r="M102" i="6"/>
  <c r="O102" i="6"/>
  <c r="J102" i="6"/>
  <c r="L102" i="6"/>
  <c r="N102" i="6"/>
  <c r="P102" i="6"/>
  <c r="K101" i="6"/>
  <c r="M101" i="6"/>
  <c r="O101" i="6"/>
  <c r="L101" i="6"/>
  <c r="P101" i="6"/>
  <c r="J101" i="6"/>
  <c r="N101" i="6"/>
  <c r="J100" i="6"/>
  <c r="L100" i="6"/>
  <c r="N100" i="6"/>
  <c r="P100" i="6"/>
  <c r="K100" i="6"/>
  <c r="O100" i="6"/>
  <c r="M100" i="6"/>
  <c r="K99" i="6"/>
  <c r="M99" i="6"/>
  <c r="O99" i="6"/>
  <c r="J99" i="6"/>
  <c r="L99" i="6"/>
  <c r="N99" i="6"/>
  <c r="P99" i="6"/>
  <c r="J98" i="6"/>
  <c r="L98" i="6"/>
  <c r="N98" i="6"/>
  <c r="P98" i="6"/>
  <c r="K98" i="6"/>
  <c r="M98" i="6"/>
  <c r="O98" i="6"/>
  <c r="K97" i="6"/>
  <c r="M97" i="6"/>
  <c r="O97" i="6"/>
  <c r="J97" i="6"/>
  <c r="L97" i="6"/>
  <c r="N97" i="6"/>
  <c r="P97" i="6"/>
  <c r="J96" i="6"/>
  <c r="L96" i="6"/>
  <c r="N96" i="6"/>
  <c r="P96" i="6"/>
  <c r="K96" i="6"/>
  <c r="M96" i="6"/>
  <c r="O96" i="6"/>
  <c r="K95" i="6"/>
  <c r="M95" i="6"/>
  <c r="O95" i="6"/>
  <c r="J95" i="6"/>
  <c r="L95" i="6"/>
  <c r="N95" i="6"/>
  <c r="P95" i="6"/>
  <c r="J94" i="6"/>
  <c r="L94" i="6"/>
  <c r="N94" i="6"/>
  <c r="P94" i="6"/>
  <c r="K94" i="6"/>
  <c r="M94" i="6"/>
  <c r="O94" i="6"/>
  <c r="K93" i="6"/>
  <c r="M93" i="6"/>
  <c r="O93" i="6"/>
  <c r="J93" i="6"/>
  <c r="L93" i="6"/>
  <c r="N93" i="6"/>
  <c r="P93" i="6"/>
  <c r="J92" i="6"/>
  <c r="L92" i="6"/>
  <c r="N92" i="6"/>
  <c r="P92" i="6"/>
  <c r="K92" i="6"/>
  <c r="M92" i="6"/>
  <c r="O92" i="6"/>
  <c r="K91" i="6"/>
  <c r="M91" i="6"/>
  <c r="O91" i="6"/>
  <c r="J91" i="6"/>
  <c r="L91" i="6"/>
  <c r="N91" i="6"/>
  <c r="P91" i="6"/>
  <c r="J90" i="6"/>
  <c r="L90" i="6"/>
  <c r="N90" i="6"/>
  <c r="P90" i="6"/>
  <c r="K90" i="6"/>
  <c r="M90" i="6"/>
  <c r="O90" i="6"/>
  <c r="K89" i="6"/>
  <c r="M89" i="6"/>
  <c r="O89" i="6"/>
  <c r="J89" i="6"/>
  <c r="L89" i="6"/>
  <c r="N89" i="6"/>
  <c r="P89" i="6"/>
  <c r="J88" i="6"/>
  <c r="L88" i="6"/>
  <c r="N88" i="6"/>
  <c r="P88" i="6"/>
  <c r="K88" i="6"/>
  <c r="M88" i="6"/>
  <c r="O88" i="6"/>
  <c r="K87" i="6"/>
  <c r="M87" i="6"/>
  <c r="O87" i="6"/>
  <c r="J87" i="6"/>
  <c r="L87" i="6"/>
  <c r="N87" i="6"/>
  <c r="P87" i="6"/>
  <c r="J86" i="6"/>
  <c r="L86" i="6"/>
  <c r="N86" i="6"/>
  <c r="P86" i="6"/>
  <c r="K86" i="6"/>
  <c r="M86" i="6"/>
  <c r="O86" i="6"/>
  <c r="K85" i="6"/>
  <c r="M85" i="6"/>
  <c r="O85" i="6"/>
  <c r="J85" i="6"/>
  <c r="L85" i="6"/>
  <c r="N85" i="6"/>
  <c r="P85" i="6"/>
  <c r="J84" i="6"/>
  <c r="L84" i="6"/>
  <c r="N84" i="6"/>
  <c r="P84" i="6"/>
  <c r="K84" i="6"/>
  <c r="M84" i="6"/>
  <c r="O84" i="6"/>
  <c r="K83" i="6"/>
  <c r="M83" i="6"/>
  <c r="O83" i="6"/>
  <c r="J83" i="6"/>
  <c r="L83" i="6"/>
  <c r="N83" i="6"/>
  <c r="P83" i="6"/>
  <c r="J82" i="6"/>
  <c r="L82" i="6"/>
  <c r="N82" i="6"/>
  <c r="P82" i="6"/>
  <c r="K82" i="6"/>
  <c r="M82" i="6"/>
  <c r="O82" i="6"/>
  <c r="K81" i="6"/>
  <c r="M81" i="6"/>
  <c r="O81" i="6"/>
  <c r="J81" i="6"/>
  <c r="L81" i="6"/>
  <c r="N81" i="6"/>
  <c r="P81" i="6"/>
  <c r="J80" i="6"/>
  <c r="L80" i="6"/>
  <c r="N80" i="6"/>
  <c r="P80" i="6"/>
  <c r="K80" i="6"/>
  <c r="M80" i="6"/>
  <c r="O80" i="6"/>
  <c r="K79" i="6"/>
  <c r="M79" i="6"/>
  <c r="O79" i="6"/>
  <c r="J79" i="6"/>
  <c r="L79" i="6"/>
  <c r="N79" i="6"/>
  <c r="P79" i="6"/>
  <c r="J78" i="6"/>
  <c r="L78" i="6"/>
  <c r="N78" i="6"/>
  <c r="P78" i="6"/>
  <c r="K78" i="6"/>
  <c r="M78" i="6"/>
  <c r="O78" i="6"/>
  <c r="K77" i="6"/>
  <c r="M77" i="6"/>
  <c r="O77" i="6"/>
  <c r="J77" i="6"/>
  <c r="L77" i="6"/>
  <c r="N77" i="6"/>
  <c r="P77" i="6"/>
  <c r="J76" i="6"/>
  <c r="L76" i="6"/>
  <c r="N76" i="6"/>
  <c r="P76" i="6"/>
  <c r="K76" i="6"/>
  <c r="M76" i="6"/>
  <c r="O76" i="6"/>
  <c r="K75" i="6"/>
  <c r="M75" i="6"/>
  <c r="O75" i="6"/>
  <c r="J75" i="6"/>
  <c r="L75" i="6"/>
  <c r="N75" i="6"/>
  <c r="P75" i="6"/>
  <c r="J74" i="6"/>
  <c r="L74" i="6"/>
  <c r="N74" i="6"/>
  <c r="P74" i="6"/>
  <c r="K74" i="6"/>
  <c r="M74" i="6"/>
  <c r="O74" i="6"/>
  <c r="K73" i="6"/>
  <c r="M73" i="6"/>
  <c r="O73" i="6"/>
  <c r="J73" i="6"/>
  <c r="L73" i="6"/>
  <c r="N73" i="6"/>
  <c r="P73" i="6"/>
  <c r="J72" i="6"/>
  <c r="L72" i="6"/>
  <c r="N72" i="6"/>
  <c r="P72" i="6"/>
  <c r="K72" i="6"/>
  <c r="M72" i="6"/>
  <c r="O72" i="6"/>
  <c r="K71" i="6"/>
  <c r="M71" i="6"/>
  <c r="O71" i="6"/>
  <c r="J71" i="6"/>
  <c r="L71" i="6"/>
  <c r="N71" i="6"/>
  <c r="P71" i="6"/>
  <c r="J70" i="6"/>
  <c r="L70" i="6"/>
  <c r="N70" i="6"/>
  <c r="P70" i="6"/>
  <c r="K70" i="6"/>
  <c r="M70" i="6"/>
  <c r="O70" i="6"/>
  <c r="J68" i="6"/>
  <c r="L68" i="6"/>
  <c r="N68" i="6"/>
  <c r="P68" i="6"/>
  <c r="K68" i="6"/>
  <c r="M68" i="6"/>
  <c r="O68" i="6"/>
  <c r="K67" i="6"/>
  <c r="M67" i="6"/>
  <c r="O67" i="6"/>
  <c r="J67" i="6"/>
  <c r="L67" i="6"/>
  <c r="N67" i="6"/>
  <c r="P67" i="6"/>
  <c r="J66" i="6"/>
  <c r="L66" i="6"/>
  <c r="N66" i="6"/>
  <c r="P66" i="6"/>
  <c r="K66" i="6"/>
  <c r="M66" i="6"/>
  <c r="O66" i="6"/>
  <c r="J64" i="6"/>
  <c r="L64" i="6"/>
  <c r="N64" i="6"/>
  <c r="P64" i="6"/>
  <c r="K64" i="6"/>
  <c r="M64" i="6"/>
  <c r="O64" i="6"/>
  <c r="K63" i="6"/>
  <c r="M63" i="6"/>
  <c r="O63" i="6"/>
  <c r="J63" i="6"/>
  <c r="L63" i="6"/>
  <c r="N63" i="6"/>
  <c r="P63" i="6"/>
  <c r="J62" i="6"/>
  <c r="L62" i="6"/>
  <c r="N62" i="6"/>
  <c r="P62" i="6"/>
  <c r="K62" i="6"/>
  <c r="M62" i="6"/>
  <c r="O62" i="6"/>
  <c r="K61" i="6"/>
  <c r="M61" i="6"/>
  <c r="O61" i="6"/>
  <c r="J61" i="6"/>
  <c r="L61" i="6"/>
  <c r="N61" i="6"/>
  <c r="P61" i="6"/>
  <c r="J60" i="6"/>
  <c r="L60" i="6"/>
  <c r="N60" i="6"/>
  <c r="P60" i="6"/>
  <c r="K60" i="6"/>
  <c r="M60" i="6"/>
  <c r="O60" i="6"/>
  <c r="K59" i="6"/>
  <c r="M59" i="6"/>
  <c r="O59" i="6"/>
  <c r="J59" i="6"/>
  <c r="L59" i="6"/>
  <c r="N59" i="6"/>
  <c r="P59" i="6"/>
  <c r="J58" i="6"/>
  <c r="L58" i="6"/>
  <c r="N58" i="6"/>
  <c r="P58" i="6"/>
  <c r="K58" i="6"/>
  <c r="M58" i="6"/>
  <c r="O58" i="6"/>
  <c r="K57" i="6"/>
  <c r="M57" i="6"/>
  <c r="O57" i="6"/>
  <c r="J57" i="6"/>
  <c r="L57" i="6"/>
  <c r="N57" i="6"/>
  <c r="P57" i="6"/>
  <c r="J56" i="6"/>
  <c r="L56" i="6"/>
  <c r="N56" i="6"/>
  <c r="P56" i="6"/>
  <c r="K56" i="6"/>
  <c r="M56" i="6"/>
  <c r="O56" i="6"/>
  <c r="K55" i="6"/>
  <c r="M55" i="6"/>
  <c r="O55" i="6"/>
  <c r="J55" i="6"/>
  <c r="L55" i="6"/>
  <c r="N55" i="6"/>
  <c r="P55" i="6"/>
  <c r="J54" i="6"/>
  <c r="L54" i="6"/>
  <c r="N54" i="6"/>
  <c r="P54" i="6"/>
  <c r="K54" i="6"/>
  <c r="M54" i="6"/>
  <c r="O54" i="6"/>
  <c r="K53" i="6"/>
  <c r="M53" i="6"/>
  <c r="L53" i="6"/>
  <c r="O53" i="6"/>
  <c r="J53" i="6"/>
  <c r="N53" i="6"/>
  <c r="P53" i="6"/>
  <c r="J52" i="6"/>
  <c r="L52" i="6"/>
  <c r="N52" i="6"/>
  <c r="P52" i="6"/>
  <c r="K52" i="6"/>
  <c r="M52" i="6"/>
  <c r="O52" i="6"/>
  <c r="K51" i="6"/>
  <c r="M51" i="6"/>
  <c r="O51" i="6"/>
  <c r="J51" i="6"/>
  <c r="L51" i="6"/>
  <c r="N51" i="6"/>
  <c r="P51" i="6"/>
  <c r="J50" i="6"/>
  <c r="L50" i="6"/>
  <c r="N50" i="6"/>
  <c r="P50" i="6"/>
  <c r="K50" i="6"/>
  <c r="M50" i="6"/>
  <c r="O50" i="6"/>
  <c r="K49" i="6"/>
  <c r="M49" i="6"/>
  <c r="O49" i="6"/>
  <c r="J49" i="6"/>
  <c r="L49" i="6"/>
  <c r="N49" i="6"/>
  <c r="P49" i="6"/>
  <c r="J48" i="6"/>
  <c r="L48" i="6"/>
  <c r="N48" i="6"/>
  <c r="P48" i="6"/>
  <c r="K48" i="6"/>
  <c r="M48" i="6"/>
  <c r="O48" i="6"/>
  <c r="K47" i="6"/>
  <c r="M47" i="6"/>
  <c r="O47" i="6"/>
  <c r="J47" i="6"/>
  <c r="L47" i="6"/>
  <c r="N47" i="6"/>
  <c r="P47" i="6"/>
  <c r="J46" i="6"/>
  <c r="L46" i="6"/>
  <c r="N46" i="6"/>
  <c r="P46" i="6"/>
  <c r="K46" i="6"/>
  <c r="M46" i="6"/>
  <c r="O46" i="6"/>
  <c r="K45" i="6"/>
  <c r="M45" i="6"/>
  <c r="O45" i="6"/>
  <c r="J45" i="6"/>
  <c r="L45" i="6"/>
  <c r="N45" i="6"/>
  <c r="P45" i="6"/>
  <c r="J44" i="6"/>
  <c r="L44" i="6"/>
  <c r="N44" i="6"/>
  <c r="P44" i="6"/>
  <c r="K44" i="6"/>
  <c r="M44" i="6"/>
  <c r="O44" i="6"/>
  <c r="K43" i="6"/>
  <c r="M43" i="6"/>
  <c r="O43" i="6"/>
  <c r="J43" i="6"/>
  <c r="L43" i="6"/>
  <c r="N43" i="6"/>
  <c r="P43" i="6"/>
  <c r="J42" i="6"/>
  <c r="L42" i="6"/>
  <c r="N42" i="6"/>
  <c r="P42" i="6"/>
  <c r="K42" i="6"/>
  <c r="M42" i="6"/>
  <c r="O42" i="6"/>
  <c r="K41" i="6"/>
  <c r="M41" i="6"/>
  <c r="O41" i="6"/>
  <c r="J41" i="6"/>
  <c r="L41" i="6"/>
  <c r="N41" i="6"/>
  <c r="P41" i="6"/>
  <c r="J40" i="6"/>
  <c r="L40" i="6"/>
  <c r="N40" i="6"/>
  <c r="P40" i="6"/>
  <c r="K40" i="6"/>
  <c r="M40" i="6"/>
  <c r="O40" i="6"/>
  <c r="K39" i="6"/>
  <c r="M39" i="6"/>
  <c r="O39" i="6"/>
  <c r="J39" i="6"/>
  <c r="L39" i="6"/>
  <c r="N39" i="6"/>
  <c r="P39" i="6"/>
  <c r="J38" i="6"/>
  <c r="L38" i="6"/>
  <c r="N38" i="6"/>
  <c r="P38" i="6"/>
  <c r="K38" i="6"/>
  <c r="M38" i="6"/>
  <c r="O38" i="6"/>
  <c r="K37" i="6"/>
  <c r="M37" i="6"/>
  <c r="O37" i="6"/>
  <c r="J37" i="6"/>
  <c r="L37" i="6"/>
  <c r="N37" i="6"/>
  <c r="P37" i="6"/>
  <c r="J36" i="6"/>
  <c r="L36" i="6"/>
  <c r="N36" i="6"/>
  <c r="P36" i="6"/>
  <c r="K36" i="6"/>
  <c r="M36" i="6"/>
  <c r="O36" i="6"/>
  <c r="K33" i="6"/>
  <c r="M33" i="6"/>
  <c r="O33" i="6"/>
  <c r="J33" i="6"/>
  <c r="L33" i="6"/>
  <c r="N33" i="6"/>
  <c r="P33" i="6"/>
  <c r="J32" i="6"/>
  <c r="L32" i="6"/>
  <c r="N32" i="6"/>
  <c r="P32" i="6"/>
  <c r="K32" i="6"/>
  <c r="M32" i="6"/>
  <c r="O32" i="6"/>
  <c r="K31" i="6"/>
  <c r="M31" i="6"/>
  <c r="O31" i="6"/>
  <c r="J31" i="6"/>
  <c r="L31" i="6"/>
  <c r="N31" i="6"/>
  <c r="P31" i="6"/>
  <c r="J28" i="6"/>
  <c r="L28" i="6"/>
  <c r="N28" i="6"/>
  <c r="P28" i="6"/>
  <c r="M28" i="6"/>
  <c r="K28" i="6"/>
  <c r="O28" i="6"/>
  <c r="K25" i="6"/>
  <c r="M25" i="6"/>
  <c r="O25" i="6"/>
  <c r="J25" i="6"/>
  <c r="L25" i="6"/>
  <c r="N25" i="6"/>
  <c r="P25" i="6"/>
  <c r="J24" i="6"/>
  <c r="L24" i="6"/>
  <c r="N24" i="6"/>
  <c r="P24" i="6"/>
  <c r="K24" i="6"/>
  <c r="M24" i="6"/>
  <c r="O24" i="6"/>
  <c r="K23" i="6"/>
  <c r="M23" i="6"/>
  <c r="O23" i="6"/>
  <c r="J23" i="6"/>
  <c r="L23" i="6"/>
  <c r="N23" i="6"/>
  <c r="P23" i="6"/>
  <c r="J20" i="6"/>
  <c r="L20" i="6"/>
  <c r="N20" i="6"/>
  <c r="P20" i="6"/>
  <c r="K20" i="6"/>
  <c r="M20" i="6"/>
  <c r="O20" i="6"/>
  <c r="K17" i="6"/>
  <c r="M17" i="6"/>
  <c r="O17" i="6"/>
  <c r="J17" i="6"/>
  <c r="L17" i="6"/>
  <c r="N17" i="6"/>
  <c r="P17" i="6"/>
  <c r="J16" i="6"/>
  <c r="L16" i="6"/>
  <c r="N16" i="6"/>
  <c r="P16" i="6"/>
  <c r="K16" i="6"/>
  <c r="M16" i="6"/>
  <c r="O16" i="6"/>
  <c r="K15" i="6"/>
  <c r="M15" i="6"/>
  <c r="O15" i="6"/>
  <c r="J15" i="6"/>
  <c r="L15" i="6"/>
  <c r="N15" i="6"/>
  <c r="P15" i="6"/>
  <c r="J12" i="6"/>
  <c r="L12" i="6"/>
  <c r="N12" i="6"/>
  <c r="P12" i="6"/>
  <c r="K12" i="6"/>
  <c r="M12" i="6"/>
  <c r="O12" i="6"/>
  <c r="J10" i="6"/>
  <c r="L10" i="6"/>
  <c r="N10" i="6"/>
  <c r="P10" i="6"/>
  <c r="K10" i="6"/>
  <c r="M10" i="6"/>
  <c r="O10" i="6"/>
  <c r="J8" i="6"/>
  <c r="L8" i="6"/>
  <c r="N8" i="6"/>
  <c r="P8" i="6"/>
  <c r="K8" i="6"/>
  <c r="M8" i="6"/>
  <c r="O8" i="6"/>
  <c r="K7" i="6"/>
  <c r="M7" i="6"/>
  <c r="O7" i="6"/>
  <c r="J7" i="6"/>
  <c r="L7" i="6"/>
  <c r="N7" i="6"/>
  <c r="P7" i="6"/>
  <c r="K5" i="6"/>
  <c r="M5" i="6"/>
  <c r="O5" i="6"/>
  <c r="J5" i="6"/>
  <c r="L5" i="6"/>
  <c r="N5" i="6"/>
  <c r="P5" i="6"/>
  <c r="J367" i="6"/>
  <c r="L367" i="6"/>
  <c r="N367" i="6"/>
  <c r="P367" i="6"/>
  <c r="K367" i="6"/>
  <c r="M367" i="6"/>
  <c r="O367" i="6"/>
  <c r="K364" i="6"/>
  <c r="M364" i="6"/>
  <c r="O364" i="6"/>
  <c r="J364" i="6"/>
  <c r="L364" i="6"/>
  <c r="N364" i="6"/>
  <c r="P364" i="6"/>
  <c r="K362" i="6"/>
  <c r="M362" i="6"/>
  <c r="O362" i="6"/>
  <c r="J362" i="6"/>
  <c r="L362" i="6"/>
  <c r="N362" i="6"/>
  <c r="P362" i="6"/>
  <c r="K360" i="6"/>
  <c r="M360" i="6"/>
  <c r="O360" i="6"/>
  <c r="J360" i="6"/>
  <c r="L360" i="6"/>
  <c r="N360" i="6"/>
  <c r="P360" i="6"/>
  <c r="K358" i="6"/>
  <c r="M358" i="6"/>
  <c r="O358" i="6"/>
  <c r="J358" i="6"/>
  <c r="L358" i="6"/>
  <c r="N358" i="6"/>
  <c r="P358" i="6"/>
  <c r="J357" i="6"/>
  <c r="L357" i="6"/>
  <c r="N357" i="6"/>
  <c r="P357" i="6"/>
  <c r="K357" i="6"/>
  <c r="M357" i="6"/>
  <c r="O357" i="6"/>
  <c r="J355" i="6"/>
  <c r="L355" i="6"/>
  <c r="N355" i="6"/>
  <c r="P355" i="6"/>
  <c r="K355" i="6"/>
  <c r="M355" i="6"/>
  <c r="O355" i="6"/>
  <c r="J353" i="6"/>
  <c r="L353" i="6"/>
  <c r="N353" i="6"/>
  <c r="P353" i="6"/>
  <c r="K353" i="6"/>
  <c r="M353" i="6"/>
  <c r="O353" i="6"/>
  <c r="J351" i="6"/>
  <c r="L351" i="6"/>
  <c r="N351" i="6"/>
  <c r="P351" i="6"/>
  <c r="K351" i="6"/>
  <c r="M351" i="6"/>
  <c r="O351" i="6"/>
  <c r="J349" i="6"/>
  <c r="L349" i="6"/>
  <c r="N349" i="6"/>
  <c r="P349" i="6"/>
  <c r="K349" i="6"/>
  <c r="M349" i="6"/>
  <c r="O349" i="6"/>
  <c r="K348" i="6"/>
  <c r="M348" i="6"/>
  <c r="O348" i="6"/>
  <c r="J348" i="6"/>
  <c r="L348" i="6"/>
  <c r="N348" i="6"/>
  <c r="P348" i="6"/>
  <c r="K346" i="6"/>
  <c r="M346" i="6"/>
  <c r="O346" i="6"/>
  <c r="J346" i="6"/>
  <c r="L346" i="6"/>
  <c r="N346" i="6"/>
  <c r="P346" i="6"/>
  <c r="J344" i="6"/>
  <c r="L344" i="6"/>
  <c r="N344" i="6"/>
  <c r="K344" i="6"/>
  <c r="O344" i="6"/>
  <c r="M344" i="6"/>
  <c r="P344" i="6"/>
  <c r="K342" i="6"/>
  <c r="M342" i="6"/>
  <c r="O342" i="6"/>
  <c r="J342" i="6"/>
  <c r="L342" i="6"/>
  <c r="N342" i="6"/>
  <c r="P342" i="6"/>
  <c r="J341" i="6"/>
  <c r="L341" i="6"/>
  <c r="N341" i="6"/>
  <c r="P341" i="6"/>
  <c r="K341" i="6"/>
  <c r="M341" i="6"/>
  <c r="O341" i="6"/>
  <c r="J339" i="6"/>
  <c r="L339" i="6"/>
  <c r="N339" i="6"/>
  <c r="P339" i="6"/>
  <c r="K339" i="6"/>
  <c r="M339" i="6"/>
  <c r="O339" i="6"/>
  <c r="J337" i="6"/>
  <c r="L337" i="6"/>
  <c r="N337" i="6"/>
  <c r="P337" i="6"/>
  <c r="K337" i="6"/>
  <c r="M337" i="6"/>
  <c r="O337" i="6"/>
  <c r="J335" i="6"/>
  <c r="L335" i="6"/>
  <c r="N335" i="6"/>
  <c r="P335" i="6"/>
  <c r="K335" i="6"/>
  <c r="M335" i="6"/>
  <c r="O335" i="6"/>
  <c r="K334" i="6"/>
  <c r="M334" i="6"/>
  <c r="O334" i="6"/>
  <c r="J334" i="6"/>
  <c r="L334" i="6"/>
  <c r="N334" i="6"/>
  <c r="P334" i="6"/>
  <c r="K332" i="6"/>
  <c r="M332" i="6"/>
  <c r="O332" i="6"/>
  <c r="J332" i="6"/>
  <c r="L332" i="6"/>
  <c r="N332" i="6"/>
  <c r="P332" i="6"/>
  <c r="K330" i="6"/>
  <c r="M330" i="6"/>
  <c r="O330" i="6"/>
  <c r="J330" i="6"/>
  <c r="L330" i="6"/>
  <c r="N330" i="6"/>
  <c r="P330" i="6"/>
  <c r="K328" i="6"/>
  <c r="M328" i="6"/>
  <c r="O328" i="6"/>
  <c r="J328" i="6"/>
  <c r="L328" i="6"/>
  <c r="N328" i="6"/>
  <c r="P328" i="6"/>
  <c r="K326" i="6"/>
  <c r="M326" i="6"/>
  <c r="O326" i="6"/>
  <c r="J326" i="6"/>
  <c r="L326" i="6"/>
  <c r="N326" i="6"/>
  <c r="P326" i="6"/>
  <c r="K324" i="6"/>
  <c r="M324" i="6"/>
  <c r="O324" i="6"/>
  <c r="J324" i="6"/>
  <c r="L324" i="6"/>
  <c r="N324" i="6"/>
  <c r="P324" i="6"/>
  <c r="K322" i="6"/>
  <c r="M322" i="6"/>
  <c r="O322" i="6"/>
  <c r="J322" i="6"/>
  <c r="L322" i="6"/>
  <c r="N322" i="6"/>
  <c r="P322" i="6"/>
  <c r="J321" i="6"/>
  <c r="L321" i="6"/>
  <c r="N321" i="6"/>
  <c r="P321" i="6"/>
  <c r="K321" i="6"/>
  <c r="M321" i="6"/>
  <c r="O321" i="6"/>
  <c r="J319" i="6"/>
  <c r="L319" i="6"/>
  <c r="N319" i="6"/>
  <c r="P319" i="6"/>
  <c r="K319" i="6"/>
  <c r="M319" i="6"/>
  <c r="O319" i="6"/>
  <c r="J317" i="6"/>
  <c r="L317" i="6"/>
  <c r="N317" i="6"/>
  <c r="P317" i="6"/>
  <c r="K317" i="6"/>
  <c r="M317" i="6"/>
  <c r="O317" i="6"/>
  <c r="J315" i="6"/>
  <c r="L315" i="6"/>
  <c r="N315" i="6"/>
  <c r="P315" i="6"/>
  <c r="K315" i="6"/>
  <c r="M315" i="6"/>
  <c r="O315" i="6"/>
  <c r="J313" i="6"/>
  <c r="L313" i="6"/>
  <c r="N313" i="6"/>
  <c r="P313" i="6"/>
  <c r="K313" i="6"/>
  <c r="M313" i="6"/>
  <c r="O313" i="6"/>
  <c r="K312" i="6"/>
  <c r="M312" i="6"/>
  <c r="O312" i="6"/>
  <c r="J312" i="6"/>
  <c r="L312" i="6"/>
  <c r="N312" i="6"/>
  <c r="P312" i="6"/>
  <c r="J309" i="6"/>
  <c r="L309" i="6"/>
  <c r="N309" i="6"/>
  <c r="P309" i="6"/>
  <c r="K309" i="6"/>
  <c r="M309" i="6"/>
  <c r="O309" i="6"/>
  <c r="K306" i="6"/>
  <c r="M306" i="6"/>
  <c r="O306" i="6"/>
  <c r="J306" i="6"/>
  <c r="L306" i="6"/>
  <c r="N306" i="6"/>
  <c r="P306" i="6"/>
  <c r="J305" i="6"/>
  <c r="L305" i="6"/>
  <c r="N305" i="6"/>
  <c r="P305" i="6"/>
  <c r="K305" i="6"/>
  <c r="M305" i="6"/>
  <c r="O305" i="6"/>
  <c r="J303" i="6"/>
  <c r="L303" i="6"/>
  <c r="N303" i="6"/>
  <c r="P303" i="6"/>
  <c r="K303" i="6"/>
  <c r="M303" i="6"/>
  <c r="O303" i="6"/>
  <c r="K302" i="6"/>
  <c r="M302" i="6"/>
  <c r="O302" i="6"/>
  <c r="J302" i="6"/>
  <c r="L302" i="6"/>
  <c r="N302" i="6"/>
  <c r="P302" i="6"/>
  <c r="J301" i="6"/>
  <c r="L301" i="6"/>
  <c r="N301" i="6"/>
  <c r="P301" i="6"/>
  <c r="K301" i="6"/>
  <c r="M301" i="6"/>
  <c r="O301" i="6"/>
  <c r="K300" i="6"/>
  <c r="M300" i="6"/>
  <c r="O300" i="6"/>
  <c r="J300" i="6"/>
  <c r="L300" i="6"/>
  <c r="N300" i="6"/>
  <c r="P300" i="6"/>
  <c r="J299" i="6"/>
  <c r="L299" i="6"/>
  <c r="N299" i="6"/>
  <c r="P299" i="6"/>
  <c r="K299" i="6"/>
  <c r="M299" i="6"/>
  <c r="O299" i="6"/>
  <c r="K298" i="6"/>
  <c r="M298" i="6"/>
  <c r="O298" i="6"/>
  <c r="J298" i="6"/>
  <c r="L298" i="6"/>
  <c r="N298" i="6"/>
  <c r="P298" i="6"/>
  <c r="J297" i="6"/>
  <c r="L297" i="6"/>
  <c r="N297" i="6"/>
  <c r="P297" i="6"/>
  <c r="K297" i="6"/>
  <c r="M297" i="6"/>
  <c r="O297" i="6"/>
  <c r="K296" i="6"/>
  <c r="M296" i="6"/>
  <c r="O296" i="6"/>
  <c r="J296" i="6"/>
  <c r="L296" i="6"/>
  <c r="N296" i="6"/>
  <c r="P296" i="6"/>
  <c r="J295" i="6"/>
  <c r="L295" i="6"/>
  <c r="N295" i="6"/>
  <c r="P295" i="6"/>
  <c r="K295" i="6"/>
  <c r="M295" i="6"/>
  <c r="O295" i="6"/>
  <c r="K294" i="6"/>
  <c r="M294" i="6"/>
  <c r="O294" i="6"/>
  <c r="J294" i="6"/>
  <c r="L294" i="6"/>
  <c r="N294" i="6"/>
  <c r="P294" i="6"/>
  <c r="J293" i="6"/>
  <c r="L293" i="6"/>
  <c r="N293" i="6"/>
  <c r="P293" i="6"/>
  <c r="K293" i="6"/>
  <c r="M293" i="6"/>
  <c r="O293" i="6"/>
  <c r="K292" i="6"/>
  <c r="M292" i="6"/>
  <c r="O292" i="6"/>
  <c r="J292" i="6"/>
  <c r="L292" i="6"/>
  <c r="N292" i="6"/>
  <c r="P292" i="6"/>
  <c r="J291" i="6"/>
  <c r="L291" i="6"/>
  <c r="N291" i="6"/>
  <c r="P291" i="6"/>
  <c r="K291" i="6"/>
  <c r="M291" i="6"/>
  <c r="O291" i="6"/>
  <c r="K290" i="6"/>
  <c r="M290" i="6"/>
  <c r="O290" i="6"/>
  <c r="J290" i="6"/>
  <c r="L290" i="6"/>
  <c r="N290" i="6"/>
  <c r="P290" i="6"/>
  <c r="J289" i="6"/>
  <c r="L289" i="6"/>
  <c r="N289" i="6"/>
  <c r="P289" i="6"/>
  <c r="K289" i="6"/>
  <c r="M289" i="6"/>
  <c r="O289" i="6"/>
  <c r="K288" i="6"/>
  <c r="M288" i="6"/>
  <c r="O288" i="6"/>
  <c r="J288" i="6"/>
  <c r="L288" i="6"/>
  <c r="N288" i="6"/>
  <c r="P288" i="6"/>
  <c r="J287" i="6"/>
  <c r="L287" i="6"/>
  <c r="N287" i="6"/>
  <c r="P287" i="6"/>
  <c r="K287" i="6"/>
  <c r="M287" i="6"/>
  <c r="O287" i="6"/>
  <c r="K286" i="6"/>
  <c r="M286" i="6"/>
  <c r="O286" i="6"/>
  <c r="J286" i="6"/>
  <c r="L286" i="6"/>
  <c r="N286" i="6"/>
  <c r="P286" i="6"/>
  <c r="J285" i="6"/>
  <c r="L285" i="6"/>
  <c r="N285" i="6"/>
  <c r="P285" i="6"/>
  <c r="K285" i="6"/>
  <c r="M285" i="6"/>
  <c r="O285" i="6"/>
  <c r="J265" i="6"/>
  <c r="L265" i="6"/>
  <c r="N265" i="6"/>
  <c r="P265" i="6"/>
  <c r="K265" i="6"/>
  <c r="M265" i="6"/>
  <c r="O265" i="6"/>
  <c r="J263" i="6"/>
  <c r="L263" i="6"/>
  <c r="N263" i="6"/>
  <c r="P263" i="6"/>
  <c r="K263" i="6"/>
  <c r="M263" i="6"/>
  <c r="O263" i="6"/>
  <c r="J261" i="6"/>
  <c r="L261" i="6"/>
  <c r="N261" i="6"/>
  <c r="P261" i="6"/>
  <c r="K261" i="6"/>
  <c r="M261" i="6"/>
  <c r="O261" i="6"/>
  <c r="J259" i="6"/>
  <c r="L259" i="6"/>
  <c r="N259" i="6"/>
  <c r="P259" i="6"/>
  <c r="K259" i="6"/>
  <c r="M259" i="6"/>
  <c r="O259" i="6"/>
  <c r="J257" i="6"/>
  <c r="L257" i="6"/>
  <c r="N257" i="6"/>
  <c r="P257" i="6"/>
  <c r="K257" i="6"/>
  <c r="M257" i="6"/>
  <c r="O257" i="6"/>
  <c r="J255" i="6"/>
  <c r="L255" i="6"/>
  <c r="N255" i="6"/>
  <c r="P255" i="6"/>
  <c r="K255" i="6"/>
  <c r="M255" i="6"/>
  <c r="O255" i="6"/>
  <c r="J253" i="6"/>
  <c r="L253" i="6"/>
  <c r="N253" i="6"/>
  <c r="P253" i="6"/>
  <c r="K253" i="6"/>
  <c r="M253" i="6"/>
  <c r="O253" i="6"/>
  <c r="J251" i="6"/>
  <c r="L251" i="6"/>
  <c r="N251" i="6"/>
  <c r="P251" i="6"/>
  <c r="K251" i="6"/>
  <c r="M251" i="6"/>
  <c r="O251" i="6"/>
  <c r="J249" i="6"/>
  <c r="L249" i="6"/>
  <c r="N249" i="6"/>
  <c r="P249" i="6"/>
  <c r="K249" i="6"/>
  <c r="M249" i="6"/>
  <c r="O249" i="6"/>
  <c r="J246" i="6"/>
  <c r="K246" i="6"/>
  <c r="M246" i="6"/>
  <c r="O246" i="6"/>
  <c r="L246" i="6"/>
  <c r="N246" i="6"/>
  <c r="P246" i="6"/>
  <c r="K245" i="6"/>
  <c r="M245" i="6"/>
  <c r="O245" i="6"/>
  <c r="J245" i="6"/>
  <c r="L245" i="6"/>
  <c r="N245" i="6"/>
  <c r="P245" i="6"/>
  <c r="J242" i="6"/>
  <c r="L242" i="6"/>
  <c r="N242" i="6"/>
  <c r="P242" i="6"/>
  <c r="K242" i="6"/>
  <c r="M242" i="6"/>
  <c r="O242" i="6"/>
  <c r="K241" i="6"/>
  <c r="M241" i="6"/>
  <c r="O241" i="6"/>
  <c r="J241" i="6"/>
  <c r="L241" i="6"/>
  <c r="N241" i="6"/>
  <c r="P241" i="6"/>
  <c r="J238" i="6"/>
  <c r="L238" i="6"/>
  <c r="N238" i="6"/>
  <c r="P238" i="6"/>
  <c r="K238" i="6"/>
  <c r="M238" i="6"/>
  <c r="O238" i="6"/>
  <c r="K237" i="6"/>
  <c r="M237" i="6"/>
  <c r="O237" i="6"/>
  <c r="J237" i="6"/>
  <c r="L237" i="6"/>
  <c r="N237" i="6"/>
  <c r="P237" i="6"/>
  <c r="J234" i="6"/>
  <c r="L234" i="6"/>
  <c r="N234" i="6"/>
  <c r="P234" i="6"/>
  <c r="K234" i="6"/>
  <c r="M234" i="6"/>
  <c r="O234" i="6"/>
  <c r="K233" i="6"/>
  <c r="M233" i="6"/>
  <c r="O233" i="6"/>
  <c r="J233" i="6"/>
  <c r="L233" i="6"/>
  <c r="N233" i="6"/>
  <c r="P233" i="6"/>
  <c r="K231" i="6"/>
  <c r="M231" i="6"/>
  <c r="O231" i="6"/>
  <c r="J231" i="6"/>
  <c r="L231" i="6"/>
  <c r="N231" i="6"/>
  <c r="P231" i="6"/>
  <c r="J230" i="6"/>
  <c r="L230" i="6"/>
  <c r="N230" i="6"/>
  <c r="P230" i="6"/>
  <c r="K230" i="6"/>
  <c r="M230" i="6"/>
  <c r="O230" i="6"/>
  <c r="K229" i="6"/>
  <c r="M229" i="6"/>
  <c r="O229" i="6"/>
  <c r="J229" i="6"/>
  <c r="L229" i="6"/>
  <c r="N229" i="6"/>
  <c r="P229" i="6"/>
  <c r="J228" i="6"/>
  <c r="L228" i="6"/>
  <c r="N228" i="6"/>
  <c r="P228" i="6"/>
  <c r="K228" i="6"/>
  <c r="M228" i="6"/>
  <c r="O228" i="6"/>
  <c r="K223" i="6"/>
  <c r="M223" i="6"/>
  <c r="O223" i="6"/>
  <c r="J223" i="6"/>
  <c r="L223" i="6"/>
  <c r="N223" i="6"/>
  <c r="P223" i="6"/>
  <c r="J222" i="6"/>
  <c r="L222" i="6"/>
  <c r="N222" i="6"/>
  <c r="P222" i="6"/>
  <c r="K222" i="6"/>
  <c r="M222" i="6"/>
  <c r="O222" i="6"/>
  <c r="K221" i="6"/>
  <c r="M221" i="6"/>
  <c r="O221" i="6"/>
  <c r="J221" i="6"/>
  <c r="L221" i="6"/>
  <c r="N221" i="6"/>
  <c r="P221" i="6"/>
  <c r="J220" i="6"/>
  <c r="L220" i="6"/>
  <c r="N220" i="6"/>
  <c r="P220" i="6"/>
  <c r="K220" i="6"/>
  <c r="M220" i="6"/>
  <c r="O220" i="6"/>
  <c r="K219" i="6"/>
  <c r="M219" i="6"/>
  <c r="O219" i="6"/>
  <c r="J219" i="6"/>
  <c r="L219" i="6"/>
  <c r="N219" i="6"/>
  <c r="P219" i="6"/>
  <c r="J218" i="6"/>
  <c r="L218" i="6"/>
  <c r="N218" i="6"/>
  <c r="P218" i="6"/>
  <c r="K218" i="6"/>
  <c r="M218" i="6"/>
  <c r="O218" i="6"/>
  <c r="K217" i="6"/>
  <c r="M217" i="6"/>
  <c r="O217" i="6"/>
  <c r="J217" i="6"/>
  <c r="L217" i="6"/>
  <c r="N217" i="6"/>
  <c r="P217" i="6"/>
  <c r="J216" i="6"/>
  <c r="L216" i="6"/>
  <c r="N216" i="6"/>
  <c r="P216" i="6"/>
  <c r="K216" i="6"/>
  <c r="M216" i="6"/>
  <c r="O216" i="6"/>
  <c r="K215" i="6"/>
  <c r="M215" i="6"/>
  <c r="O215" i="6"/>
  <c r="J215" i="6"/>
  <c r="L215" i="6"/>
  <c r="N215" i="6"/>
  <c r="P215" i="6"/>
  <c r="J214" i="6"/>
  <c r="L214" i="6"/>
  <c r="N214" i="6"/>
  <c r="P214" i="6"/>
  <c r="K214" i="6"/>
  <c r="M214" i="6"/>
  <c r="O214" i="6"/>
  <c r="K213" i="6"/>
  <c r="M213" i="6"/>
  <c r="O213" i="6"/>
  <c r="J213" i="6"/>
  <c r="L213" i="6"/>
  <c r="N213" i="6"/>
  <c r="P213" i="6"/>
  <c r="J212" i="6"/>
  <c r="L212" i="6"/>
  <c r="N212" i="6"/>
  <c r="P212" i="6"/>
  <c r="K212" i="6"/>
  <c r="M212" i="6"/>
  <c r="O212" i="6"/>
  <c r="K211" i="6"/>
  <c r="M211" i="6"/>
  <c r="O211" i="6"/>
  <c r="J211" i="6"/>
  <c r="L211" i="6"/>
  <c r="N211" i="6"/>
  <c r="P211" i="6"/>
  <c r="J210" i="6"/>
  <c r="L210" i="6"/>
  <c r="N210" i="6"/>
  <c r="P210" i="6"/>
  <c r="K210" i="6"/>
  <c r="M210" i="6"/>
  <c r="O210" i="6"/>
  <c r="K209" i="6"/>
  <c r="M209" i="6"/>
  <c r="O209" i="6"/>
  <c r="J209" i="6"/>
  <c r="L209" i="6"/>
  <c r="N209" i="6"/>
  <c r="P209" i="6"/>
  <c r="J208" i="6"/>
  <c r="L208" i="6"/>
  <c r="N208" i="6"/>
  <c r="P208" i="6"/>
  <c r="K208" i="6"/>
  <c r="M208" i="6"/>
  <c r="O208" i="6"/>
  <c r="J204" i="6"/>
  <c r="L204" i="6"/>
  <c r="N204" i="6"/>
  <c r="P204" i="6"/>
  <c r="K204" i="6"/>
  <c r="M204" i="6"/>
  <c r="O204" i="6"/>
  <c r="K173" i="6"/>
  <c r="M173" i="6"/>
  <c r="O173" i="6"/>
  <c r="J173" i="6"/>
  <c r="L173" i="6"/>
  <c r="N173" i="6"/>
  <c r="P173" i="6"/>
  <c r="K171" i="6"/>
  <c r="M171" i="6"/>
  <c r="O171" i="6"/>
  <c r="J171" i="6"/>
  <c r="L171" i="6"/>
  <c r="N171" i="6"/>
  <c r="P171" i="6"/>
  <c r="K169" i="6"/>
  <c r="M169" i="6"/>
  <c r="O169" i="6"/>
  <c r="J169" i="6"/>
  <c r="L169" i="6"/>
  <c r="N169" i="6"/>
  <c r="P169" i="6"/>
  <c r="K167" i="6"/>
  <c r="M167" i="6"/>
  <c r="O167" i="6"/>
  <c r="J167" i="6"/>
  <c r="L167" i="6"/>
  <c r="N167" i="6"/>
  <c r="P167" i="6"/>
  <c r="J166" i="6"/>
  <c r="L166" i="6"/>
  <c r="N166" i="6"/>
  <c r="P166" i="6"/>
  <c r="K166" i="6"/>
  <c r="M166" i="6"/>
  <c r="O166" i="6"/>
  <c r="K165" i="6"/>
  <c r="M165" i="6"/>
  <c r="O165" i="6"/>
  <c r="J165" i="6"/>
  <c r="L165" i="6"/>
  <c r="N165" i="6"/>
  <c r="P165" i="6"/>
  <c r="J164" i="6"/>
  <c r="L164" i="6"/>
  <c r="N164" i="6"/>
  <c r="P164" i="6"/>
  <c r="K164" i="6"/>
  <c r="M164" i="6"/>
  <c r="O164" i="6"/>
  <c r="K163" i="6"/>
  <c r="M163" i="6"/>
  <c r="O163" i="6"/>
  <c r="J163" i="6"/>
  <c r="L163" i="6"/>
  <c r="N163" i="6"/>
  <c r="P163" i="6"/>
  <c r="J162" i="6"/>
  <c r="L162" i="6"/>
  <c r="N162" i="6"/>
  <c r="P162" i="6"/>
  <c r="K162" i="6"/>
  <c r="M162" i="6"/>
  <c r="O162" i="6"/>
  <c r="K161" i="6"/>
  <c r="M161" i="6"/>
  <c r="O161" i="6"/>
  <c r="J161" i="6"/>
  <c r="L161" i="6"/>
  <c r="N161" i="6"/>
  <c r="P161" i="6"/>
  <c r="J160" i="6"/>
  <c r="L160" i="6"/>
  <c r="N160" i="6"/>
  <c r="P160" i="6"/>
  <c r="K160" i="6"/>
  <c r="M160" i="6"/>
  <c r="O160" i="6"/>
  <c r="K159" i="6"/>
  <c r="M159" i="6"/>
  <c r="O159" i="6"/>
  <c r="J159" i="6"/>
  <c r="L159" i="6"/>
  <c r="N159" i="6"/>
  <c r="P159" i="6"/>
  <c r="J158" i="6"/>
  <c r="L158" i="6"/>
  <c r="N158" i="6"/>
  <c r="P158" i="6"/>
  <c r="K158" i="6"/>
  <c r="M158" i="6"/>
  <c r="O158" i="6"/>
  <c r="K157" i="6"/>
  <c r="M157" i="6"/>
  <c r="O157" i="6"/>
  <c r="J157" i="6"/>
  <c r="L157" i="6"/>
  <c r="N157" i="6"/>
  <c r="P157" i="6"/>
  <c r="J156" i="6"/>
  <c r="L156" i="6"/>
  <c r="N156" i="6"/>
  <c r="P156" i="6"/>
  <c r="K156" i="6"/>
  <c r="M156" i="6"/>
  <c r="O156" i="6"/>
  <c r="K155" i="6"/>
  <c r="M155" i="6"/>
  <c r="O155" i="6"/>
  <c r="J155" i="6"/>
  <c r="L155" i="6"/>
  <c r="N155" i="6"/>
  <c r="P155" i="6"/>
  <c r="J154" i="6"/>
  <c r="L154" i="6"/>
  <c r="N154" i="6"/>
  <c r="P154" i="6"/>
  <c r="K154" i="6"/>
  <c r="M154" i="6"/>
  <c r="O154" i="6"/>
  <c r="K153" i="6"/>
  <c r="M153" i="6"/>
  <c r="O153" i="6"/>
  <c r="J153" i="6"/>
  <c r="L153" i="6"/>
  <c r="N153" i="6"/>
  <c r="P153" i="6"/>
  <c r="J152" i="6"/>
  <c r="L152" i="6"/>
  <c r="N152" i="6"/>
  <c r="P152" i="6"/>
  <c r="K152" i="6"/>
  <c r="M152" i="6"/>
  <c r="O152" i="6"/>
  <c r="K151" i="6"/>
  <c r="M151" i="6"/>
  <c r="O151" i="6"/>
  <c r="J151" i="6"/>
  <c r="L151" i="6"/>
  <c r="N151" i="6"/>
  <c r="P151" i="6"/>
  <c r="J150" i="6"/>
  <c r="L150" i="6"/>
  <c r="N150" i="6"/>
  <c r="P150" i="6"/>
  <c r="K150" i="6"/>
  <c r="M150" i="6"/>
  <c r="O150" i="6"/>
  <c r="K149" i="6"/>
  <c r="M149" i="6"/>
  <c r="L149" i="6"/>
  <c r="O149" i="6"/>
  <c r="J149" i="6"/>
  <c r="N149" i="6"/>
  <c r="P149" i="6"/>
  <c r="K148" i="6"/>
  <c r="J148" i="6"/>
  <c r="L148" i="6"/>
  <c r="N148" i="6"/>
  <c r="P148" i="6"/>
  <c r="O148" i="6"/>
  <c r="M148" i="6"/>
  <c r="J147" i="6"/>
  <c r="L147" i="6"/>
  <c r="N147" i="6"/>
  <c r="P147" i="6"/>
  <c r="K147" i="6"/>
  <c r="M147" i="6"/>
  <c r="O147" i="6"/>
  <c r="K146" i="6"/>
  <c r="M146" i="6"/>
  <c r="O146" i="6"/>
  <c r="J146" i="6"/>
  <c r="L146" i="6"/>
  <c r="N146" i="6"/>
  <c r="P146" i="6"/>
  <c r="J145" i="6"/>
  <c r="L145" i="6"/>
  <c r="N145" i="6"/>
  <c r="P145" i="6"/>
  <c r="K145" i="6"/>
  <c r="M145" i="6"/>
  <c r="O145" i="6"/>
  <c r="K144" i="6"/>
  <c r="M144" i="6"/>
  <c r="O144" i="6"/>
  <c r="J144" i="6"/>
  <c r="L144" i="6"/>
  <c r="N144" i="6"/>
  <c r="P144" i="6"/>
  <c r="J143" i="6"/>
  <c r="L143" i="6"/>
  <c r="N143" i="6"/>
  <c r="P143" i="6"/>
  <c r="K143" i="6"/>
  <c r="M143" i="6"/>
  <c r="O143" i="6"/>
  <c r="K142" i="6"/>
  <c r="M142" i="6"/>
  <c r="O142" i="6"/>
  <c r="J142" i="6"/>
  <c r="L142" i="6"/>
  <c r="N142" i="6"/>
  <c r="P142" i="6"/>
  <c r="J141" i="6"/>
  <c r="L141" i="6"/>
  <c r="N141" i="6"/>
  <c r="P141" i="6"/>
  <c r="K141" i="6"/>
  <c r="M141" i="6"/>
  <c r="O141" i="6"/>
  <c r="K140" i="6"/>
  <c r="M140" i="6"/>
  <c r="O140" i="6"/>
  <c r="J140" i="6"/>
  <c r="L140" i="6"/>
  <c r="N140" i="6"/>
  <c r="P140" i="6"/>
  <c r="K138" i="6"/>
  <c r="M138" i="6"/>
  <c r="O138" i="6"/>
  <c r="J138" i="6"/>
  <c r="L138" i="6"/>
  <c r="N138" i="6"/>
  <c r="P138" i="6"/>
  <c r="K136" i="6"/>
  <c r="M136" i="6"/>
  <c r="O136" i="6"/>
  <c r="J136" i="6"/>
  <c r="L136" i="6"/>
  <c r="N136" i="6"/>
  <c r="P136" i="6"/>
  <c r="K134" i="6"/>
  <c r="M134" i="6"/>
  <c r="O134" i="6"/>
  <c r="J134" i="6"/>
  <c r="L134" i="6"/>
  <c r="N134" i="6"/>
  <c r="P134" i="6"/>
  <c r="K69" i="6"/>
  <c r="M69" i="6"/>
  <c r="O69" i="6"/>
  <c r="J69" i="6"/>
  <c r="L69" i="6"/>
  <c r="N69" i="6"/>
  <c r="P69" i="6"/>
  <c r="K65" i="6"/>
  <c r="M65" i="6"/>
  <c r="O65" i="6"/>
  <c r="J65" i="6"/>
  <c r="L65" i="6"/>
  <c r="N65" i="6"/>
  <c r="P65" i="6"/>
  <c r="K35" i="6"/>
  <c r="M35" i="6"/>
  <c r="O35" i="6"/>
  <c r="J35" i="6"/>
  <c r="L35" i="6"/>
  <c r="N35" i="6"/>
  <c r="P35" i="6"/>
  <c r="J34" i="6"/>
  <c r="L34" i="6"/>
  <c r="N34" i="6"/>
  <c r="P34" i="6"/>
  <c r="K34" i="6"/>
  <c r="M34" i="6"/>
  <c r="O34" i="6"/>
  <c r="J30" i="6"/>
  <c r="L30" i="6"/>
  <c r="N30" i="6"/>
  <c r="P30" i="6"/>
  <c r="K30" i="6"/>
  <c r="M30" i="6"/>
  <c r="O30" i="6"/>
  <c r="K29" i="6"/>
  <c r="J29" i="6"/>
  <c r="M29" i="6"/>
  <c r="O29" i="6"/>
  <c r="L29" i="6"/>
  <c r="N29" i="6"/>
  <c r="P29" i="6"/>
  <c r="K27" i="6"/>
  <c r="M27" i="6"/>
  <c r="O27" i="6"/>
  <c r="J27" i="6"/>
  <c r="L27" i="6"/>
  <c r="N27" i="6"/>
  <c r="P27" i="6"/>
  <c r="J26" i="6"/>
  <c r="L26" i="6"/>
  <c r="N26" i="6"/>
  <c r="P26" i="6"/>
  <c r="K26" i="6"/>
  <c r="M26" i="6"/>
  <c r="O26" i="6"/>
  <c r="J22" i="6"/>
  <c r="L22" i="6"/>
  <c r="N22" i="6"/>
  <c r="P22" i="6"/>
  <c r="K22" i="6"/>
  <c r="M22" i="6"/>
  <c r="O22" i="6"/>
  <c r="K21" i="6"/>
  <c r="M21" i="6"/>
  <c r="O21" i="6"/>
  <c r="J21" i="6"/>
  <c r="L21" i="6"/>
  <c r="N21" i="6"/>
  <c r="P21" i="6"/>
  <c r="K19" i="6"/>
  <c r="M19" i="6"/>
  <c r="O19" i="6"/>
  <c r="J19" i="6"/>
  <c r="L19" i="6"/>
  <c r="N19" i="6"/>
  <c r="P19" i="6"/>
  <c r="J18" i="6"/>
  <c r="L18" i="6"/>
  <c r="N18" i="6"/>
  <c r="P18" i="6"/>
  <c r="K18" i="6"/>
  <c r="M18" i="6"/>
  <c r="O18" i="6"/>
  <c r="J14" i="6"/>
  <c r="L14" i="6"/>
  <c r="N14" i="6"/>
  <c r="P14" i="6"/>
  <c r="K14" i="6"/>
  <c r="M14" i="6"/>
  <c r="O14" i="6"/>
  <c r="K13" i="6"/>
  <c r="M13" i="6"/>
  <c r="O13" i="6"/>
  <c r="J13" i="6"/>
  <c r="L13" i="6"/>
  <c r="N13" i="6"/>
  <c r="P13" i="6"/>
  <c r="K11" i="6"/>
  <c r="M11" i="6"/>
  <c r="O11" i="6"/>
  <c r="J11" i="6"/>
  <c r="L11" i="6"/>
  <c r="N11" i="6"/>
  <c r="P11" i="6"/>
  <c r="K9" i="6"/>
  <c r="M9" i="6"/>
  <c r="O9" i="6"/>
  <c r="J9" i="6"/>
  <c r="L9" i="6"/>
  <c r="N9" i="6"/>
  <c r="P9" i="6"/>
  <c r="J6" i="6"/>
  <c r="L6" i="6"/>
  <c r="N6" i="6"/>
  <c r="P6" i="6"/>
  <c r="K6" i="6"/>
  <c r="M6" i="6"/>
  <c r="O6" i="6"/>
  <c r="K4" i="6"/>
  <c r="M4" i="6"/>
  <c r="O4" i="6"/>
  <c r="J4" i="6"/>
  <c r="L4" i="6"/>
  <c r="N4" i="6"/>
  <c r="P4" i="6"/>
  <c r="I362" i="6"/>
  <c r="I358" i="6"/>
  <c r="I354" i="6"/>
  <c r="I350" i="6"/>
  <c r="I346" i="6"/>
  <c r="I342" i="6"/>
  <c r="I338" i="6"/>
  <c r="I334" i="6"/>
  <c r="I332" i="6"/>
  <c r="I330" i="6"/>
  <c r="I329" i="6"/>
  <c r="I327" i="6"/>
  <c r="I325" i="6"/>
  <c r="I321" i="6"/>
  <c r="I317" i="6"/>
  <c r="I313" i="6"/>
  <c r="I309" i="6"/>
  <c r="I305" i="6"/>
  <c r="I301" i="6"/>
  <c r="I297" i="6"/>
  <c r="I293" i="6"/>
  <c r="I289" i="6"/>
  <c r="I285" i="6"/>
  <c r="I283" i="6"/>
  <c r="I364" i="6"/>
  <c r="I360" i="6"/>
  <c r="I356" i="6"/>
  <c r="I352" i="6"/>
  <c r="I348" i="6"/>
  <c r="I344" i="6"/>
  <c r="I340" i="6"/>
  <c r="I336" i="6"/>
  <c r="I365" i="6"/>
  <c r="I363" i="6"/>
  <c r="I361" i="6"/>
  <c r="I359" i="6"/>
  <c r="I357" i="6"/>
  <c r="I355" i="6"/>
  <c r="I353" i="6"/>
  <c r="I351" i="6"/>
  <c r="I349" i="6"/>
  <c r="I347" i="6"/>
  <c r="I345" i="6"/>
  <c r="I343" i="6"/>
  <c r="I341" i="6"/>
  <c r="I339" i="6"/>
  <c r="I337" i="6"/>
  <c r="I335" i="6"/>
  <c r="I333" i="6"/>
  <c r="I331" i="6"/>
  <c r="I322" i="6"/>
  <c r="I318" i="6"/>
  <c r="I314" i="6"/>
  <c r="I310" i="6"/>
  <c r="I306" i="6"/>
  <c r="I302" i="6"/>
  <c r="I298" i="6"/>
  <c r="I294" i="6"/>
  <c r="I290" i="6"/>
  <c r="I286" i="6"/>
  <c r="I219" i="6"/>
  <c r="I216" i="6"/>
  <c r="I212" i="6"/>
  <c r="I208" i="6"/>
  <c r="I198" i="6"/>
  <c r="I194" i="6"/>
  <c r="I190" i="6"/>
  <c r="I186" i="6"/>
  <c r="I182" i="6"/>
  <c r="I178" i="6"/>
  <c r="I174" i="6"/>
  <c r="I163" i="6"/>
  <c r="I159" i="6"/>
  <c r="I155" i="6"/>
  <c r="I128" i="6"/>
  <c r="I124" i="6"/>
  <c r="I121" i="6"/>
  <c r="I199" i="6"/>
  <c r="I195" i="6"/>
  <c r="I191" i="6"/>
  <c r="I187" i="6"/>
  <c r="I183" i="6"/>
  <c r="I179" i="6"/>
  <c r="I175" i="6"/>
  <c r="I164" i="6"/>
  <c r="I160" i="6"/>
  <c r="I156" i="6"/>
  <c r="I152" i="6"/>
  <c r="I150" i="6"/>
  <c r="I148" i="6"/>
  <c r="I146" i="6"/>
  <c r="I144" i="6"/>
  <c r="I142" i="6"/>
  <c r="I140" i="6"/>
  <c r="I129" i="6"/>
  <c r="I125" i="6"/>
  <c r="I119" i="6"/>
  <c r="I115" i="6"/>
  <c r="I118" i="6"/>
  <c r="I114" i="6"/>
  <c r="I110" i="6"/>
  <c r="I106" i="6"/>
  <c r="I97" i="6"/>
  <c r="I93" i="6"/>
  <c r="I89" i="6"/>
  <c r="I85" i="6"/>
  <c r="I81" i="6"/>
  <c r="I77" i="6"/>
  <c r="I73" i="6"/>
  <c r="I57" i="6"/>
  <c r="I111" i="6"/>
  <c r="I107" i="6"/>
  <c r="I98" i="6"/>
  <c r="I94" i="6"/>
  <c r="I90" i="6"/>
  <c r="I86" i="6"/>
  <c r="I82" i="6"/>
  <c r="I78" i="6"/>
  <c r="I74" i="6"/>
  <c r="I61" i="6"/>
  <c r="I59" i="6"/>
  <c r="W9" i="6"/>
  <c r="I53" i="6"/>
  <c r="I49" i="6"/>
  <c r="I45" i="6"/>
  <c r="I41" i="6"/>
  <c r="I62" i="6"/>
  <c r="I58" i="6"/>
  <c r="I54" i="6"/>
  <c r="I50" i="6"/>
  <c r="I46" i="6"/>
  <c r="I42" i="6"/>
  <c r="I132" i="6"/>
  <c r="X10" i="6"/>
  <c r="X7" i="6"/>
  <c r="X9" i="6"/>
  <c r="X11" i="6"/>
  <c r="X6" i="6"/>
  <c r="X4" i="6"/>
  <c r="X8" i="6"/>
  <c r="X12" i="6"/>
  <c r="W4" i="6"/>
  <c r="W6" i="6"/>
  <c r="W8" i="6"/>
  <c r="W12" i="6"/>
  <c r="W11" i="6"/>
  <c r="W7" i="6"/>
  <c r="W10" i="6"/>
  <c r="W5" i="6"/>
  <c r="O864" i="1" l="1"/>
  <c r="AJ864" i="1" s="1"/>
  <c r="P853" i="1"/>
  <c r="P1288" i="1" l="1"/>
  <c r="P1285" i="1"/>
  <c r="P1284" i="1"/>
  <c r="P1287" i="1"/>
  <c r="P1286" i="1"/>
  <c r="P1292" i="1"/>
  <c r="P1283" i="1"/>
  <c r="P1721" i="1" l="1"/>
  <c r="P1791" i="1"/>
  <c r="P1594" i="1" l="1"/>
  <c r="P2" i="1" l="1"/>
  <c r="P5" i="1"/>
  <c r="F5" i="1"/>
  <c r="P945" i="1"/>
  <c r="N1406" i="1"/>
  <c r="AI1406" i="1" s="1"/>
  <c r="AJ1406" i="1" l="1"/>
  <c r="Q1406" i="1"/>
  <c r="M1406" i="1"/>
  <c r="P1008" i="1" l="1"/>
  <c r="N481" i="1" l="1"/>
  <c r="AI481" i="1" s="1"/>
  <c r="AJ481" i="1" l="1"/>
  <c r="Q481" i="1"/>
  <c r="M481" i="1"/>
  <c r="P771" i="1"/>
  <c r="P754" i="1"/>
  <c r="P131" i="1"/>
  <c r="P128" i="1"/>
  <c r="P125" i="1"/>
  <c r="P124" i="1"/>
  <c r="P133" i="1"/>
  <c r="P127" i="1"/>
  <c r="P126" i="1"/>
  <c r="P530" i="1"/>
  <c r="P532" i="1"/>
  <c r="P528" i="1"/>
  <c r="P1197" i="1"/>
  <c r="P1202" i="1"/>
  <c r="P1194" i="1"/>
  <c r="P1200" i="1"/>
  <c r="P1193" i="1"/>
  <c r="P1198" i="1" l="1"/>
  <c r="G8" i="3" l="1"/>
  <c r="G7" i="3" l="1"/>
  <c r="C7" i="3"/>
  <c r="P1867" i="1"/>
  <c r="P144" i="1"/>
  <c r="P134" i="1"/>
  <c r="P139" i="1"/>
  <c r="P143" i="1"/>
  <c r="P137" i="1"/>
  <c r="P141" i="1"/>
  <c r="P145" i="1"/>
  <c r="P156" i="1"/>
  <c r="P157" i="1"/>
  <c r="P155" i="1"/>
  <c r="P154" i="1"/>
  <c r="P480" i="1"/>
  <c r="P477" i="1"/>
  <c r="P412" i="1"/>
  <c r="AI411" i="1"/>
  <c r="AJ411" i="1" l="1"/>
  <c r="Q411" i="1"/>
  <c r="D23" i="7"/>
  <c r="D22" i="7"/>
  <c r="D21" i="7"/>
  <c r="M411" i="1"/>
  <c r="M1007" i="1"/>
  <c r="P1007" i="1"/>
  <c r="P437" i="1"/>
  <c r="N866" i="1"/>
  <c r="AI866" i="1" s="1"/>
  <c r="P459" i="1"/>
  <c r="P462" i="1"/>
  <c r="AJ866" i="1" l="1"/>
  <c r="Q866" i="1"/>
  <c r="D35" i="7"/>
  <c r="D39" i="7"/>
  <c r="D36" i="7"/>
  <c r="D40" i="7"/>
  <c r="D34" i="7"/>
  <c r="D33" i="7"/>
  <c r="D37" i="7"/>
  <c r="D41" i="7"/>
  <c r="D32" i="7"/>
  <c r="D38" i="7"/>
  <c r="D42" i="7"/>
  <c r="D30" i="7"/>
  <c r="D31" i="7"/>
  <c r="M866" i="1"/>
  <c r="D29" i="7"/>
  <c r="P398" i="1"/>
  <c r="P401" i="1"/>
  <c r="P400" i="1"/>
  <c r="P403" i="1"/>
  <c r="P405" i="1"/>
  <c r="P406" i="1"/>
  <c r="P410" i="1"/>
  <c r="P411" i="1"/>
  <c r="P413" i="1"/>
  <c r="P442" i="1"/>
  <c r="P440" i="1"/>
  <c r="P443" i="1"/>
  <c r="P446" i="1"/>
  <c r="P454" i="1"/>
  <c r="P453" i="1"/>
  <c r="P456" i="1"/>
  <c r="P463" i="1"/>
  <c r="P466" i="1"/>
  <c r="P467" i="1"/>
  <c r="P468" i="1"/>
  <c r="P472" i="1"/>
  <c r="P471" i="1"/>
  <c r="P469" i="1"/>
  <c r="P473" i="1"/>
  <c r="P474" i="1"/>
  <c r="P713" i="1"/>
  <c r="P714" i="1"/>
  <c r="P715" i="1"/>
  <c r="P1375" i="1"/>
  <c r="P1377" i="1"/>
  <c r="P1376" i="1"/>
  <c r="P1389" i="1"/>
  <c r="P1391" i="1"/>
  <c r="P1390" i="1"/>
  <c r="P1527" i="1"/>
  <c r="P1528" i="1"/>
  <c r="P1529" i="1"/>
  <c r="P1530" i="1"/>
  <c r="P201" i="1"/>
  <c r="P202" i="1"/>
  <c r="P203" i="1"/>
  <c r="P204" i="1"/>
  <c r="P205" i="1"/>
  <c r="P206" i="1"/>
  <c r="P207" i="1"/>
  <c r="P209" i="1"/>
  <c r="P208" i="1"/>
  <c r="P219" i="1"/>
  <c r="P217" i="1"/>
  <c r="P218" i="1"/>
  <c r="P216" i="1"/>
  <c r="P227" i="1"/>
  <c r="P226" i="1"/>
  <c r="P231" i="1"/>
  <c r="P230" i="1"/>
  <c r="P233" i="1"/>
  <c r="P244" i="1"/>
  <c r="P243" i="1"/>
  <c r="P248" i="1"/>
  <c r="P247" i="1"/>
  <c r="P250" i="1"/>
  <c r="P249" i="1"/>
  <c r="P1607" i="1"/>
  <c r="P1606" i="1"/>
  <c r="P1605" i="1"/>
  <c r="P1604" i="1"/>
  <c r="P701" i="1"/>
  <c r="P702" i="1"/>
  <c r="P1600" i="1"/>
  <c r="P1873" i="1"/>
  <c r="P197" i="1"/>
  <c r="P198" i="1"/>
  <c r="P199" i="1"/>
  <c r="P200" i="1"/>
  <c r="P711" i="1"/>
  <c r="P712" i="1"/>
  <c r="P537" i="1"/>
  <c r="P542" i="1"/>
  <c r="P553" i="1"/>
  <c r="P552" i="1"/>
  <c r="P554" i="1"/>
  <c r="P543" i="1"/>
  <c r="P556" i="1"/>
  <c r="P559" i="1"/>
  <c r="P558" i="1"/>
  <c r="P557" i="1"/>
  <c r="P560" i="1"/>
  <c r="P563" i="1"/>
  <c r="P564" i="1"/>
  <c r="P562" i="1"/>
  <c r="P567" i="1"/>
  <c r="P566" i="1"/>
  <c r="P1766" i="1"/>
  <c r="P1770" i="1"/>
  <c r="P1773" i="1"/>
  <c r="P1780" i="1"/>
  <c r="P1781" i="1"/>
  <c r="P1761" i="1"/>
  <c r="P1762" i="1"/>
  <c r="P481" i="1"/>
  <c r="P192" i="1"/>
  <c r="P193" i="1"/>
  <c r="P194" i="1"/>
  <c r="P195" i="1"/>
  <c r="P1354" i="1"/>
  <c r="P1353" i="1"/>
  <c r="P1352" i="1"/>
  <c r="P1355" i="1"/>
  <c r="P1357" i="1"/>
  <c r="P658" i="1"/>
  <c r="P659" i="1"/>
  <c r="P660" i="1"/>
  <c r="P663" i="1"/>
  <c r="P665" i="1"/>
  <c r="P661" i="1"/>
  <c r="P664" i="1"/>
  <c r="P668" i="1"/>
  <c r="P1889" i="1"/>
  <c r="P1892" i="1"/>
  <c r="P1890" i="1"/>
  <c r="P1895" i="1"/>
  <c r="P1896" i="1"/>
  <c r="P1898" i="1"/>
  <c r="P611" i="1"/>
  <c r="P610" i="1"/>
  <c r="P612" i="1"/>
  <c r="P613" i="1"/>
  <c r="P615" i="1"/>
  <c r="P614" i="1"/>
  <c r="P616" i="1"/>
  <c r="P617" i="1"/>
  <c r="P1314" i="1"/>
  <c r="P436" i="1"/>
  <c r="P1866" i="1"/>
  <c r="P1869" i="1"/>
  <c r="P1868" i="1"/>
  <c r="P1870" i="1"/>
  <c r="P1871" i="1"/>
  <c r="P1556" i="1"/>
  <c r="P1555" i="1"/>
  <c r="P1552" i="1"/>
  <c r="P1554" i="1"/>
  <c r="P1550" i="1"/>
  <c r="P1561" i="1"/>
  <c r="P1566" i="1"/>
  <c r="P1562" i="1"/>
  <c r="P1564" i="1"/>
  <c r="P1569" i="1"/>
  <c r="P1568" i="1"/>
  <c r="P1567" i="1"/>
  <c r="P1148" i="1"/>
  <c r="P1149" i="1"/>
  <c r="P1289" i="1"/>
  <c r="P1295" i="1"/>
  <c r="P1134" i="1"/>
  <c r="P1135" i="1"/>
  <c r="P1717" i="1"/>
  <c r="P1718" i="1"/>
  <c r="P1719" i="1"/>
  <c r="P1722" i="1"/>
  <c r="P1723" i="1"/>
  <c r="P36" i="1"/>
  <c r="P38" i="1"/>
  <c r="P40" i="1"/>
  <c r="P34" i="1"/>
  <c r="P35" i="1"/>
  <c r="P1786" i="1"/>
  <c r="P1023" i="1"/>
  <c r="P1022" i="1"/>
  <c r="P1021" i="1"/>
  <c r="P1024" i="1"/>
  <c r="P1410" i="1"/>
  <c r="P1414" i="1"/>
  <c r="P1416" i="1"/>
  <c r="P1406" i="1"/>
  <c r="P973" i="1"/>
  <c r="P972" i="1"/>
  <c r="P974" i="1"/>
  <c r="P978" i="1"/>
  <c r="P976" i="1"/>
  <c r="P975" i="1"/>
  <c r="P992" i="1"/>
  <c r="P988" i="1"/>
  <c r="P985" i="1"/>
  <c r="P995" i="1"/>
  <c r="P1004" i="1"/>
  <c r="P1013" i="1"/>
  <c r="P1018" i="1"/>
  <c r="P1016" i="1"/>
  <c r="P1015" i="1"/>
  <c r="P1020" i="1"/>
  <c r="P478" i="1"/>
  <c r="P1541" i="1"/>
  <c r="P1540" i="1"/>
  <c r="P1542" i="1"/>
  <c r="P1543" i="1"/>
  <c r="P1544" i="1"/>
  <c r="P1545" i="1"/>
  <c r="P591" i="1"/>
  <c r="P590" i="1"/>
  <c r="P592" i="1"/>
  <c r="P595" i="1"/>
  <c r="P593" i="1"/>
  <c r="P594" i="1"/>
  <c r="P597" i="1"/>
  <c r="P596" i="1"/>
  <c r="P757" i="1"/>
  <c r="P756" i="1"/>
  <c r="P755" i="1"/>
  <c r="P753" i="1"/>
  <c r="P752" i="1"/>
  <c r="P770" i="1"/>
  <c r="P774" i="1"/>
  <c r="P773" i="1"/>
  <c r="P772" i="1"/>
  <c r="P776" i="1"/>
  <c r="P778" i="1"/>
  <c r="P1673" i="1"/>
  <c r="P1674" i="1"/>
  <c r="P1678" i="1"/>
  <c r="P1684" i="1"/>
  <c r="P1683" i="1"/>
  <c r="P1675" i="1"/>
  <c r="P1682" i="1"/>
  <c r="P1687" i="1"/>
  <c r="P1686" i="1"/>
  <c r="P1679" i="1"/>
  <c r="P1691" i="1"/>
  <c r="P421" i="1"/>
  <c r="P425" i="1"/>
  <c r="P426" i="1"/>
  <c r="P428" i="1"/>
  <c r="P3" i="1"/>
  <c r="P6" i="1"/>
  <c r="P11" i="1"/>
  <c r="P14" i="1"/>
  <c r="P358" i="1"/>
  <c r="O356" i="1"/>
  <c r="AJ356" i="1" s="1"/>
  <c r="O355" i="1"/>
  <c r="AJ355" i="1" s="1"/>
  <c r="O354" i="1"/>
  <c r="AJ354" i="1" s="1"/>
  <c r="O353" i="1"/>
  <c r="AJ353" i="1" s="1"/>
  <c r="P357" i="1"/>
  <c r="P364" i="1"/>
  <c r="O363" i="1"/>
  <c r="AJ363" i="1" s="1"/>
  <c r="O362" i="1"/>
  <c r="AJ362" i="1" s="1"/>
  <c r="O361" i="1"/>
  <c r="AJ361" i="1" s="1"/>
  <c r="P359" i="1"/>
  <c r="P365" i="1"/>
  <c r="P369" i="1"/>
  <c r="P368" i="1"/>
  <c r="N367" i="1"/>
  <c r="AI367" i="1" s="1"/>
  <c r="P366" i="1"/>
  <c r="P372" i="1"/>
  <c r="P371" i="1"/>
  <c r="O374" i="1"/>
  <c r="AJ374" i="1" s="1"/>
  <c r="O373" i="1"/>
  <c r="AJ373" i="1" s="1"/>
  <c r="P375" i="1"/>
  <c r="P383" i="1"/>
  <c r="O380" i="1"/>
  <c r="AJ380" i="1" s="1"/>
  <c r="O379" i="1"/>
  <c r="AJ379" i="1" s="1"/>
  <c r="P382" i="1"/>
  <c r="P385" i="1"/>
  <c r="P384" i="1"/>
  <c r="P386" i="1"/>
  <c r="P1694" i="1"/>
  <c r="P969" i="1"/>
  <c r="P1884" i="1"/>
  <c r="P1883" i="1"/>
  <c r="P1888" i="1"/>
  <c r="P263" i="1"/>
  <c r="P265" i="1"/>
  <c r="P264" i="1"/>
  <c r="P267" i="1"/>
  <c r="P270" i="1"/>
  <c r="P266" i="1"/>
  <c r="P271" i="1"/>
  <c r="P276" i="1"/>
  <c r="P273" i="1"/>
  <c r="P272" i="1"/>
  <c r="P279" i="1"/>
  <c r="P281" i="1"/>
  <c r="P283" i="1"/>
  <c r="P285" i="1"/>
  <c r="P284" i="1"/>
  <c r="P287" i="1"/>
  <c r="P286" i="1"/>
  <c r="P288" i="1"/>
  <c r="P289" i="1"/>
  <c r="P521" i="1"/>
  <c r="P526" i="1"/>
  <c r="P525" i="1"/>
  <c r="P941" i="1"/>
  <c r="P951" i="1"/>
  <c r="P913" i="1"/>
  <c r="P915" i="1"/>
  <c r="P914" i="1"/>
  <c r="P917" i="1"/>
  <c r="P918" i="1"/>
  <c r="P919" i="1"/>
  <c r="P921" i="1"/>
  <c r="P924" i="1"/>
  <c r="P923" i="1"/>
  <c r="P926" i="1"/>
  <c r="P927" i="1"/>
  <c r="P928" i="1"/>
  <c r="P930" i="1"/>
  <c r="P934" i="1"/>
  <c r="P933" i="1"/>
  <c r="P935" i="1"/>
  <c r="P938" i="1"/>
  <c r="P939" i="1"/>
  <c r="P931" i="1"/>
  <c r="P619" i="1"/>
  <c r="P618" i="1"/>
  <c r="P620" i="1"/>
  <c r="P622" i="1"/>
  <c r="P624" i="1"/>
  <c r="P625" i="1"/>
  <c r="P626" i="1"/>
  <c r="P628" i="1"/>
  <c r="P1854" i="1"/>
  <c r="P1853" i="1"/>
  <c r="P1852" i="1"/>
  <c r="P1851" i="1"/>
  <c r="P1856" i="1"/>
  <c r="P1857" i="1"/>
  <c r="P148" i="1"/>
  <c r="P147" i="1"/>
  <c r="P146" i="1"/>
  <c r="P1805" i="1"/>
  <c r="P1809" i="1"/>
  <c r="P1812" i="1"/>
  <c r="P1811" i="1"/>
  <c r="P1810" i="1"/>
  <c r="P1818" i="1"/>
  <c r="P1817" i="1"/>
  <c r="P1826" i="1"/>
  <c r="P1825" i="1"/>
  <c r="P1828" i="1"/>
  <c r="P1827" i="1"/>
  <c r="P1834" i="1"/>
  <c r="P1838" i="1"/>
  <c r="P1837" i="1"/>
  <c r="P1533" i="1"/>
  <c r="P1531" i="1"/>
  <c r="P1534" i="1"/>
  <c r="P1537" i="1"/>
  <c r="P576" i="1"/>
  <c r="P1799" i="1"/>
  <c r="P1801" i="1"/>
  <c r="P1139" i="1"/>
  <c r="P1138" i="1"/>
  <c r="P1137" i="1"/>
  <c r="P1136" i="1"/>
  <c r="P1143" i="1"/>
  <c r="P1142" i="1"/>
  <c r="P1141" i="1"/>
  <c r="P1140" i="1"/>
  <c r="P1147" i="1"/>
  <c r="P1146" i="1"/>
  <c r="P1145" i="1"/>
  <c r="P1144" i="1"/>
  <c r="P43" i="1"/>
  <c r="P45" i="1"/>
  <c r="P48" i="1"/>
  <c r="P50" i="1"/>
  <c r="P51" i="1"/>
  <c r="P53" i="1"/>
  <c r="P861" i="1"/>
  <c r="P862" i="1"/>
  <c r="P864" i="1"/>
  <c r="P865" i="1"/>
  <c r="P866" i="1"/>
  <c r="P867" i="1"/>
  <c r="P871" i="1"/>
  <c r="P870" i="1"/>
  <c r="P868" i="1"/>
  <c r="P875" i="1"/>
  <c r="P802" i="1"/>
  <c r="P805" i="1"/>
  <c r="P808" i="1"/>
  <c r="P821" i="1"/>
  <c r="P819" i="1"/>
  <c r="P813" i="1"/>
  <c r="P816" i="1"/>
  <c r="P815" i="1"/>
  <c r="P814" i="1"/>
  <c r="P830" i="1"/>
  <c r="P837" i="1"/>
  <c r="P835" i="1"/>
  <c r="P832" i="1"/>
  <c r="P841" i="1"/>
  <c r="P840" i="1"/>
  <c r="P839" i="1"/>
  <c r="P843" i="1"/>
  <c r="P852" i="1"/>
  <c r="P849" i="1"/>
  <c r="P854" i="1"/>
  <c r="P858" i="1"/>
  <c r="P856" i="1"/>
  <c r="P859" i="1"/>
  <c r="P860" i="1"/>
  <c r="AJ367" i="1" l="1"/>
  <c r="Q367" i="1"/>
  <c r="J38" i="7"/>
  <c r="F38" i="7"/>
  <c r="K38" i="7"/>
  <c r="G38" i="7"/>
  <c r="E38" i="7"/>
  <c r="I38" i="7"/>
  <c r="F37" i="7"/>
  <c r="K37" i="7"/>
  <c r="G37" i="7"/>
  <c r="E37" i="7"/>
  <c r="I37" i="7"/>
  <c r="J37" i="7"/>
  <c r="G40" i="7"/>
  <c r="E40" i="7"/>
  <c r="I40" i="7"/>
  <c r="J40" i="7"/>
  <c r="F40" i="7"/>
  <c r="K40" i="7"/>
  <c r="I39" i="7"/>
  <c r="J39" i="7"/>
  <c r="F39" i="7"/>
  <c r="K39" i="7"/>
  <c r="G39" i="7"/>
  <c r="E39" i="7"/>
  <c r="F33" i="7"/>
  <c r="K33" i="7"/>
  <c r="G33" i="7"/>
  <c r="E33" i="7"/>
  <c r="I33" i="7"/>
  <c r="J33" i="7"/>
  <c r="G36" i="7"/>
  <c r="E36" i="7"/>
  <c r="I36" i="7"/>
  <c r="J36" i="7"/>
  <c r="F36" i="7"/>
  <c r="K36" i="7"/>
  <c r="I35" i="7"/>
  <c r="J35" i="7"/>
  <c r="F35" i="7"/>
  <c r="K35" i="7"/>
  <c r="G35" i="7"/>
  <c r="E35" i="7"/>
  <c r="J32" i="7"/>
  <c r="F32" i="7"/>
  <c r="K32" i="7"/>
  <c r="I32" i="7"/>
  <c r="G32" i="7"/>
  <c r="E32" i="7"/>
  <c r="J42" i="7"/>
  <c r="F42" i="7"/>
  <c r="K42" i="7"/>
  <c r="G42" i="7"/>
  <c r="E42" i="7"/>
  <c r="I42" i="7"/>
  <c r="F41" i="7"/>
  <c r="K41" i="7"/>
  <c r="G41" i="7"/>
  <c r="E41" i="7"/>
  <c r="I41" i="7"/>
  <c r="J41" i="7"/>
  <c r="J34" i="7"/>
  <c r="F34" i="7"/>
  <c r="K34" i="7"/>
  <c r="G34" i="7"/>
  <c r="E34" i="7"/>
  <c r="I34" i="7"/>
  <c r="E31" i="7"/>
  <c r="G31" i="7"/>
  <c r="J31" i="7"/>
  <c r="F31" i="7"/>
  <c r="I31" i="7"/>
  <c r="K31" i="7"/>
  <c r="F30" i="7"/>
  <c r="I30" i="7"/>
  <c r="K30" i="7"/>
  <c r="E30" i="7"/>
  <c r="G30" i="7"/>
  <c r="J30" i="7"/>
  <c r="P379" i="1"/>
  <c r="P373" i="1"/>
  <c r="P363" i="1"/>
  <c r="P354" i="1"/>
  <c r="P380" i="1"/>
  <c r="P374" i="1"/>
  <c r="P355" i="1"/>
  <c r="P361" i="1"/>
  <c r="P356" i="1"/>
  <c r="P376" i="1"/>
  <c r="P362" i="1"/>
  <c r="P353" i="1"/>
  <c r="M1685" i="1"/>
  <c r="M804" i="1"/>
  <c r="K29" i="7"/>
  <c r="G29" i="7"/>
  <c r="I29" i="7"/>
  <c r="J29" i="7"/>
  <c r="F29" i="7"/>
  <c r="M810" i="1"/>
  <c r="M367" i="1"/>
  <c r="M873" i="1"/>
  <c r="P804" i="1"/>
  <c r="P1685" i="1"/>
  <c r="P367" i="1"/>
  <c r="P810" i="1"/>
  <c r="P873" i="1"/>
  <c r="H31" i="7" l="1"/>
  <c r="H30" i="7"/>
  <c r="I43" i="7"/>
  <c r="K43" i="7"/>
  <c r="H29" i="7"/>
  <c r="E29" i="7"/>
  <c r="H43" i="7" l="1"/>
  <c r="D44" i="7"/>
  <c r="N44" i="7"/>
  <c r="O44" i="7" l="1"/>
  <c r="P45" i="7" l="1"/>
  <c r="T45" i="7"/>
  <c r="S45" i="7"/>
  <c r="W45" i="7"/>
  <c r="AA45" i="7"/>
  <c r="AA47" i="7" s="1"/>
  <c r="X45" i="7"/>
  <c r="Y45" i="7"/>
  <c r="V45" i="7"/>
  <c r="U45" i="7"/>
  <c r="R45" i="7"/>
  <c r="Z45" i="7"/>
  <c r="Q45" i="7"/>
  <c r="Z47" i="7" l="1"/>
  <c r="Z48" i="7"/>
  <c r="Z46" i="7"/>
  <c r="Y47" i="7"/>
  <c r="Y46" i="7"/>
  <c r="Y48" i="7"/>
  <c r="AA46" i="7"/>
  <c r="Q47" i="7"/>
  <c r="Q48" i="7"/>
  <c r="R47" i="7"/>
  <c r="W46" i="7"/>
  <c r="V47" i="7"/>
  <c r="V46" i="7"/>
  <c r="V48" i="7"/>
  <c r="X46" i="7"/>
  <c r="X48" i="7" s="1"/>
  <c r="X47" i="7"/>
  <c r="W47" i="7"/>
  <c r="W48" i="7"/>
  <c r="T48" i="7"/>
  <c r="T47" i="7"/>
  <c r="U47" i="7"/>
  <c r="S48" i="7"/>
  <c r="S46" i="7"/>
  <c r="S47" i="7"/>
  <c r="U46" i="7"/>
  <c r="U48" i="7" s="1"/>
  <c r="T46" i="7"/>
  <c r="Q46" i="7"/>
  <c r="P47" i="7"/>
  <c r="P48" i="7"/>
  <c r="R46" i="7"/>
  <c r="R48" i="7" s="1"/>
  <c r="P46" i="7"/>
  <c r="O49" i="7" l="1"/>
  <c r="D45" i="7" s="1"/>
  <c r="P1595" i="1" l="1"/>
  <c r="M1595" i="1"/>
</calcChain>
</file>

<file path=xl/comments1.xml><?xml version="1.0" encoding="utf-8"?>
<comments xmlns="http://schemas.openxmlformats.org/spreadsheetml/2006/main">
  <authors>
    <author>Admin</author>
  </authors>
  <commentList>
    <comment ref="O281" authorId="0" shapeId="0">
      <text>
        <r>
          <rPr>
            <b/>
            <sz val="9"/>
            <color indexed="81"/>
            <rFont val="Tahoma"/>
            <family val="2"/>
          </rPr>
          <t>Admin:</t>
        </r>
        <r>
          <rPr>
            <sz val="9"/>
            <color indexed="81"/>
            <rFont val="Tahoma"/>
            <family val="2"/>
          </rPr>
          <t xml:space="preserve">
có tính phí kho lạnh ko
</t>
        </r>
      </text>
    </comment>
    <comment ref="S765" authorId="0" shapeId="0">
      <text>
        <r>
          <rPr>
            <b/>
            <sz val="9"/>
            <color indexed="81"/>
            <rFont val="Tahoma"/>
            <family val="2"/>
          </rPr>
          <t>Admin:</t>
        </r>
        <r>
          <rPr>
            <sz val="9"/>
            <color indexed="81"/>
            <rFont val="Tahoma"/>
            <family val="2"/>
          </rPr>
          <t xml:space="preserve">
Không phải trồng tết</t>
        </r>
      </text>
    </comment>
    <comment ref="S766" authorId="0" shapeId="0">
      <text>
        <r>
          <rPr>
            <b/>
            <sz val="9"/>
            <color indexed="81"/>
            <rFont val="Tahoma"/>
            <family val="2"/>
          </rPr>
          <t>Admin:</t>
        </r>
        <r>
          <rPr>
            <sz val="9"/>
            <color indexed="81"/>
            <rFont val="Tahoma"/>
            <family val="2"/>
          </rPr>
          <t xml:space="preserve">
k phải trồng tết</t>
        </r>
      </text>
    </comment>
  </commentList>
</comments>
</file>

<file path=xl/sharedStrings.xml><?xml version="1.0" encoding="utf-8"?>
<sst xmlns="http://schemas.openxmlformats.org/spreadsheetml/2006/main" count="27427" uniqueCount="2408">
  <si>
    <t>Type</t>
  </si>
  <si>
    <t>Customer Contract ID</t>
  </si>
  <si>
    <t>Effective date</t>
  </si>
  <si>
    <t>In Charge</t>
  </si>
  <si>
    <t>Customer code</t>
  </si>
  <si>
    <t>Customer Name</t>
  </si>
  <si>
    <t>Item ID</t>
  </si>
  <si>
    <t>Item Name</t>
  </si>
  <si>
    <t>Size</t>
  </si>
  <si>
    <t>Items per Pack</t>
  </si>
  <si>
    <t>Crop</t>
  </si>
  <si>
    <t>Required Supplier</t>
  </si>
  <si>
    <t>Price_VND</t>
  </si>
  <si>
    <t>Status</t>
  </si>
  <si>
    <t>Seeding Date
(Lunar)</t>
  </si>
  <si>
    <t>Seeding Date
(Gregorian)</t>
  </si>
  <si>
    <t>Estimated Arrival Date</t>
  </si>
  <si>
    <t>Note</t>
  </si>
  <si>
    <t>CONT ID</t>
  </si>
  <si>
    <t>Date Arrived</t>
  </si>
  <si>
    <t>Deposit</t>
  </si>
  <si>
    <t>Purchased Qty</t>
  </si>
  <si>
    <t>Remaining Qty</t>
  </si>
  <si>
    <t>KIỀU THY</t>
  </si>
  <si>
    <t>CD01</t>
  </si>
  <si>
    <t>NGUYỄN CÔNG ĐẠT</t>
  </si>
  <si>
    <t>BORRELLO</t>
  </si>
  <si>
    <t>18.20</t>
  </si>
  <si>
    <t>NL2018</t>
  </si>
  <si>
    <t>Pending</t>
  </si>
  <si>
    <t>T4 AL onwards, not including cooling cost</t>
  </si>
  <si>
    <t>In Transit</t>
  </si>
  <si>
    <t>15/2AL</t>
  </si>
  <si>
    <t>CONT 12/2019</t>
  </si>
  <si>
    <t>CARBONERO</t>
  </si>
  <si>
    <t>16.18</t>
  </si>
  <si>
    <t>30/3AL</t>
  </si>
  <si>
    <t>T5 AL onwards, not including cooling cost</t>
  </si>
  <si>
    <t>COMPETITION</t>
  </si>
  <si>
    <t>CONT 9/2019</t>
  </si>
  <si>
    <t>CONCADOR</t>
  </si>
  <si>
    <t>CONT 10/2019</t>
  </si>
  <si>
    <t>TẾT.</t>
  </si>
  <si>
    <t xml:space="preserve">CONCADOR </t>
  </si>
  <si>
    <t>Done</t>
  </si>
  <si>
    <t>15/1AL</t>
  </si>
  <si>
    <t>DALIAN</t>
  </si>
  <si>
    <t>14.16</t>
  </si>
  <si>
    <t>CONT 11/2019</t>
  </si>
  <si>
    <t>TẾT. Hoặc competition</t>
  </si>
  <si>
    <t>LAKE CAREY</t>
  </si>
  <si>
    <t>TẾT</t>
  </si>
  <si>
    <t>MARENGO</t>
  </si>
  <si>
    <t>30-Feb-19</t>
  </si>
  <si>
    <t>30/2AL</t>
  </si>
  <si>
    <t>CONT 17/2019</t>
  </si>
  <si>
    <t>PROFUNDO</t>
  </si>
  <si>
    <t>15/3AL</t>
  </si>
  <si>
    <t>CONT 23/2019</t>
  </si>
  <si>
    <t>R</t>
  </si>
  <si>
    <t>REDDESIRE</t>
  </si>
  <si>
    <t>ROBINA</t>
  </si>
  <si>
    <t>TARRANGO</t>
  </si>
  <si>
    <t>Inventory</t>
  </si>
  <si>
    <t>CONT 87/2018</t>
  </si>
  <si>
    <t>CH01</t>
  </si>
  <si>
    <t>NGUYỄN CÔNG HÒA</t>
  </si>
  <si>
    <t>BACARDI</t>
  </si>
  <si>
    <t>V.W.S</t>
  </si>
  <si>
    <t>23/1AL</t>
  </si>
  <si>
    <t>LARGO</t>
  </si>
  <si>
    <t>Canceled</t>
  </si>
  <si>
    <t>CONT 18/2019</t>
  </si>
  <si>
    <t>T8/AL</t>
  </si>
  <si>
    <t>20.22</t>
  </si>
  <si>
    <t>CL01</t>
  </si>
  <si>
    <t>ĐẶNG TRẦN CÔNG LỘC</t>
  </si>
  <si>
    <t>15.16</t>
  </si>
  <si>
    <t>22.24</t>
  </si>
  <si>
    <t>CONT 27/2019</t>
  </si>
  <si>
    <t>SENSI</t>
  </si>
  <si>
    <t>28/2AL</t>
  </si>
  <si>
    <t>CONT 15/2019</t>
  </si>
  <si>
    <t>CT01</t>
  </si>
  <si>
    <t>NGUYỄN THỊ CẨM THÚY</t>
  </si>
  <si>
    <t>ARVANDRUD</t>
  </si>
  <si>
    <t>CONT 21/2019</t>
  </si>
  <si>
    <t>15/4AL</t>
  </si>
  <si>
    <t>30/4AL</t>
  </si>
  <si>
    <t>YELLOWEEN</t>
  </si>
  <si>
    <t>CV</t>
  </si>
  <si>
    <t>TRƯƠNG CÔNG VIÊN</t>
  </si>
  <si>
    <t>NHẮC CỌC</t>
  </si>
  <si>
    <t>check lai, KH chuyen tu 16.18 sang 14/16?</t>
  </si>
  <si>
    <t>DH01</t>
  </si>
  <si>
    <t>LÊ DUY HÙNG</t>
  </si>
  <si>
    <t>STENDHAL</t>
  </si>
  <si>
    <t>NL2017</t>
  </si>
  <si>
    <t>7/2AL</t>
  </si>
  <si>
    <t>DM01</t>
  </si>
  <si>
    <t>PHAN ĐỨC MINH</t>
  </si>
  <si>
    <t>CONT 14/2019</t>
  </si>
  <si>
    <t>DP02</t>
  </si>
  <si>
    <t>VÕ ĐĂNG PHƯỚC</t>
  </si>
  <si>
    <t>giảm 9000 củ do sl nhập về ko đủ</t>
  </si>
  <si>
    <t>MANISSA</t>
  </si>
  <si>
    <t>PR</t>
  </si>
  <si>
    <t>CONT 16/2019</t>
  </si>
  <si>
    <t>CONT 22/2019</t>
  </si>
  <si>
    <t>check lai gia</t>
  </si>
  <si>
    <t>DT03</t>
  </si>
  <si>
    <t>ĐINH DUY TIÊN</t>
  </si>
  <si>
    <t>AMATERAS</t>
  </si>
  <si>
    <t>12.14</t>
  </si>
  <si>
    <t>16/1AL</t>
  </si>
  <si>
    <t>DT05</t>
  </si>
  <si>
    <t>VÕ ĐÌNH TRAI</t>
  </si>
  <si>
    <t>FELINO</t>
  </si>
  <si>
    <t>CONT 25/2019</t>
  </si>
  <si>
    <t>DT06</t>
  </si>
  <si>
    <t>LÊ THỊ DIỄM THÚY</t>
  </si>
  <si>
    <t>200</t>
  </si>
  <si>
    <t>125</t>
  </si>
  <si>
    <t>NASHVILLE</t>
  </si>
  <si>
    <t>300</t>
  </si>
  <si>
    <t>TRỒNG NGÀY 25/7 AL</t>
  </si>
  <si>
    <t>150</t>
  </si>
  <si>
    <t>TEBALDI</t>
  </si>
  <si>
    <t>400</t>
  </si>
  <si>
    <t>HC01</t>
  </si>
  <si>
    <t>NGUYỄN HÙNG CHÂU</t>
  </si>
  <si>
    <t xml:space="preserve">NELLO </t>
  </si>
  <si>
    <t>CONT 20/2019</t>
  </si>
  <si>
    <t>CONCAD'OR</t>
  </si>
  <si>
    <t>HYDE PARK</t>
  </si>
  <si>
    <t>VZT</t>
  </si>
  <si>
    <t>DLW</t>
  </si>
  <si>
    <t>TẾT/DL</t>
  </si>
  <si>
    <t>PAVIA</t>
  </si>
  <si>
    <t>ON</t>
  </si>
  <si>
    <t>TẾT/ON</t>
  </si>
  <si>
    <t>CONT 26/2019</t>
  </si>
  <si>
    <t>TẾT/V.W.S</t>
  </si>
  <si>
    <t>CONT 24/2019</t>
  </si>
  <si>
    <t>HC03</t>
  </si>
  <si>
    <t>NGUYỄN HỮU CƯƠNG</t>
  </si>
  <si>
    <t>07/2AL</t>
  </si>
  <si>
    <t>HD02</t>
  </si>
  <si>
    <t>HUỲNH DŨNG</t>
  </si>
  <si>
    <t>HN01</t>
  </si>
  <si>
    <t>DƯƠNG HIẾU NGHĨA</t>
  </si>
  <si>
    <t>29-Feb-19</t>
  </si>
  <si>
    <t>check lai gia va sl</t>
  </si>
  <si>
    <t>CONCADOR FR</t>
  </si>
  <si>
    <t>INDIANA</t>
  </si>
  <si>
    <t>HT02</t>
  </si>
  <si>
    <t>VŨ THỊ HUYỀN THƯƠNG</t>
  </si>
  <si>
    <t>HT03</t>
  </si>
  <si>
    <t>NGUYỄN HỮU TRỊ</t>
  </si>
  <si>
    <t>LG01</t>
  </si>
  <si>
    <t>TRẦN NGỌC LONG GIANG</t>
  </si>
  <si>
    <t>MH01</t>
  </si>
  <si>
    <t>HỒ MINH HÙNG</t>
  </si>
  <si>
    <t>T6/AL</t>
  </si>
  <si>
    <t>T7/AL</t>
  </si>
  <si>
    <t>T5/AL</t>
  </si>
  <si>
    <t>T9/AL</t>
  </si>
  <si>
    <t>ML01</t>
  </si>
  <si>
    <t>CAO THỊ MAI LOAN</t>
  </si>
  <si>
    <t>MP02</t>
  </si>
  <si>
    <t>HOÀNG NGUYỄN MỸ PHƯƠNG</t>
  </si>
  <si>
    <t>T4AL</t>
  </si>
  <si>
    <t>MS02</t>
  </si>
  <si>
    <t>TRẦN MINH SƠN</t>
  </si>
  <si>
    <t>15/5AL</t>
  </si>
  <si>
    <t>15/3AL/15 NGÀY XUỐNG 1 LẦN</t>
  </si>
  <si>
    <t>NB01</t>
  </si>
  <si>
    <t>NGUYỄN BỒI</t>
  </si>
  <si>
    <t>sai sl, 9k hay 3k</t>
  </si>
  <si>
    <t>28/1AL</t>
  </si>
  <si>
    <t>check lai sl</t>
  </si>
  <si>
    <t>NH02</t>
  </si>
  <si>
    <t>LÊ NGỌC HUẤN</t>
  </si>
  <si>
    <t>NH04</t>
  </si>
  <si>
    <t>PHAN NGỌC HÙNG</t>
  </si>
  <si>
    <t>24+</t>
  </si>
  <si>
    <t>15/4AL, trồng rằm T7</t>
  </si>
  <si>
    <t>NP01</t>
  </si>
  <si>
    <t>NGUYỄN PHÚC</t>
  </si>
  <si>
    <t>AMAROSSI</t>
  </si>
  <si>
    <t>sai sl check lai 5k hay 2k</t>
  </si>
  <si>
    <t>check lai gia 3800 hay 3700</t>
  </si>
  <si>
    <t>NT10</t>
  </si>
  <si>
    <t>PHẠM NGỌC TRAI</t>
  </si>
  <si>
    <t>NV01</t>
  </si>
  <si>
    <t>PHẠM NGỌC VŨ</t>
  </si>
  <si>
    <t>PA01</t>
  </si>
  <si>
    <t>NGUYỄN PHÚC AN</t>
  </si>
  <si>
    <t>check lai</t>
  </si>
  <si>
    <t>6.000 củ / 5 ngày</t>
  </si>
  <si>
    <t>PL01</t>
  </si>
  <si>
    <t>TRƯƠNG CÔNG PHÚC LONG</t>
  </si>
  <si>
    <t>PV01</t>
  </si>
  <si>
    <t>ĐẶNG PHƯỚC VINH</t>
  </si>
  <si>
    <t>QH06</t>
  </si>
  <si>
    <t>ĐẶNG QUANG HÙNG</t>
  </si>
  <si>
    <t>100</t>
  </si>
  <si>
    <t>TA04</t>
  </si>
  <si>
    <t>TRẦN THỊ ÁNH</t>
  </si>
  <si>
    <t>15/2AL_3.000+10/03AL_4.000</t>
  </si>
  <si>
    <t>TB08</t>
  </si>
  <si>
    <t>NGUYỄN THỊ BIẾT</t>
  </si>
  <si>
    <t>TH03</t>
  </si>
  <si>
    <t>NGUYỄN THỊ THÁI HÒA</t>
  </si>
  <si>
    <t>TH07</t>
  </si>
  <si>
    <t>NGUYỄN THỊ HỒNG</t>
  </si>
  <si>
    <t>PHAN THỊ HOA</t>
  </si>
  <si>
    <t>11/4AL</t>
  </si>
  <si>
    <t>30/2AL. 7.000 củ/ 2 tuần</t>
  </si>
  <si>
    <t>RL</t>
  </si>
  <si>
    <t>24.26</t>
  </si>
  <si>
    <t>MONTEZUMA</t>
  </si>
  <si>
    <t>NATALIA</t>
  </si>
  <si>
    <t>TP01</t>
  </si>
  <si>
    <t>VÕ THỊ PHƯƠNG</t>
  </si>
  <si>
    <t>TT03</t>
  </si>
  <si>
    <t>HOÀNG THỊ TUYỀN</t>
  </si>
  <si>
    <t>SERANO</t>
  </si>
  <si>
    <t>TT15</t>
  </si>
  <si>
    <t>NGUYỄN THỊ THỦY</t>
  </si>
  <si>
    <t>TT16</t>
  </si>
  <si>
    <t>LÊ THÀNH THÔNG</t>
  </si>
  <si>
    <t>TT17</t>
  </si>
  <si>
    <t>NGUYỄN THỊ TRINH</t>
  </si>
  <si>
    <t>VŨ THỊ ÚT</t>
  </si>
  <si>
    <t>TV06</t>
  </si>
  <si>
    <t>LÊ THỊ VÂN</t>
  </si>
  <si>
    <t>check lai gia 4800 hay 5200</t>
  </si>
  <si>
    <t>VC01</t>
  </si>
  <si>
    <t>NGUYỄN VĂN CƯƠNG</t>
  </si>
  <si>
    <t>Check lai, dieu chinh sl cho chan khay</t>
  </si>
  <si>
    <t>check lai sl 9800 hay 2400</t>
  </si>
  <si>
    <t>VC02</t>
  </si>
  <si>
    <t>ĐỖ VĂN CƯỜNG</t>
  </si>
  <si>
    <t>VD03</t>
  </si>
  <si>
    <t>HOÀNG VĂN DIÊU</t>
  </si>
  <si>
    <t>VD05</t>
  </si>
  <si>
    <t>TRẦN VĂN ĐỨC</t>
  </si>
  <si>
    <t>28/2 AL</t>
  </si>
  <si>
    <t>08/03/2019 KH THANH TOÁN</t>
  </si>
  <si>
    <t>VD06</t>
  </si>
  <si>
    <t>TRẦN VIẾT DUY</t>
  </si>
  <si>
    <t>VH05</t>
  </si>
  <si>
    <t>HUỲNH VĂN HOÀNG</t>
  </si>
  <si>
    <t>VH06</t>
  </si>
  <si>
    <t>LƯƠNG VĂN HƯNG</t>
  </si>
  <si>
    <t>VK03</t>
  </si>
  <si>
    <t>ĐỖ VĂN KHÁNH</t>
  </si>
  <si>
    <t>CUỐI T1, NHẮC KHÁCH</t>
  </si>
  <si>
    <t>VQ01</t>
  </si>
  <si>
    <t>VÕ VĂN QUÝ</t>
  </si>
  <si>
    <t>NHẮC KH CỌC. KH TRỒNG RẰM THÁNG 7</t>
  </si>
  <si>
    <t>CHƯA CỌC, CHƯA XẾP LỊCH</t>
  </si>
  <si>
    <t>VQ02</t>
  </si>
  <si>
    <t>PHAN VĂN QUANG</t>
  </si>
  <si>
    <t>VS06</t>
  </si>
  <si>
    <t>LÊ VĂN SÁU</t>
  </si>
  <si>
    <t>VT04</t>
  </si>
  <si>
    <t>PHAN VĂN THÀNH</t>
  </si>
  <si>
    <t>VT09</t>
  </si>
  <si>
    <t>ĐỖ VĂN TRÀ</t>
  </si>
  <si>
    <t>check lai don cua chu Tra co bi trung ko, nhập ve chi 3600</t>
  </si>
  <si>
    <t>check lai co bi trung</t>
  </si>
  <si>
    <t>VT10</t>
  </si>
  <si>
    <t>ĐỖ VĂN TIẾN</t>
  </si>
  <si>
    <t>VT11</t>
  </si>
  <si>
    <t>PHẠM VĂN THỦY</t>
  </si>
  <si>
    <t>VT13</t>
  </si>
  <si>
    <t>NGUYỄN VĂN TÍN</t>
  </si>
  <si>
    <t>VV03</t>
  </si>
  <si>
    <t>LƯƠNG VĂN VIỆT</t>
  </si>
  <si>
    <t>XK01</t>
  </si>
  <si>
    <t>HOÀNG THỊ XUÂN KHÁNH</t>
  </si>
  <si>
    <t>check lai gia 4800 hay 5000</t>
  </si>
  <si>
    <t>XL01</t>
  </si>
  <si>
    <t>HỒ XUÂN LỘC</t>
  </si>
  <si>
    <t>CHECK LAI SL</t>
  </si>
  <si>
    <t>HT04</t>
  </si>
  <si>
    <t>HOÀNG TUYỀN</t>
  </si>
  <si>
    <t>ĐINH DUY TIÊN(NGA)</t>
  </si>
  <si>
    <t>TL03</t>
  </si>
  <si>
    <t>NGUYỄN THỊ LAN</t>
  </si>
  <si>
    <t>7A/2019</t>
  </si>
  <si>
    <t>119A/2019</t>
  </si>
  <si>
    <t>19A/2019</t>
  </si>
  <si>
    <t>14A/2019</t>
  </si>
  <si>
    <t>95A/2019</t>
  </si>
  <si>
    <t>53A/2019</t>
  </si>
  <si>
    <t>49A/2019</t>
  </si>
  <si>
    <t>48A/2019</t>
  </si>
  <si>
    <t>17A/2019</t>
  </si>
  <si>
    <t>107A/2019</t>
  </si>
  <si>
    <t>123A/2019</t>
  </si>
  <si>
    <t>79A/2019</t>
  </si>
  <si>
    <t>38A/2019</t>
  </si>
  <si>
    <t>100A/2019</t>
  </si>
  <si>
    <t>33A/2019</t>
  </si>
  <si>
    <t>62A/2019</t>
  </si>
  <si>
    <t>80A/2019</t>
  </si>
  <si>
    <t>93A/2019</t>
  </si>
  <si>
    <t>18A/2019</t>
  </si>
  <si>
    <t>122A/2019</t>
  </si>
  <si>
    <t>64A/2019</t>
  </si>
  <si>
    <t>109A/2019</t>
  </si>
  <si>
    <t>36A/2019</t>
  </si>
  <si>
    <t>88A/2019</t>
  </si>
  <si>
    <t>103A/2019</t>
  </si>
  <si>
    <t>59A/2019</t>
  </si>
  <si>
    <t>102A/2019</t>
  </si>
  <si>
    <t>114A/2019</t>
  </si>
  <si>
    <t>31A/2019</t>
  </si>
  <si>
    <t>101A/2019</t>
  </si>
  <si>
    <t>75A/2019</t>
  </si>
  <si>
    <t>54A/2019</t>
  </si>
  <si>
    <t>84A/2019</t>
  </si>
  <si>
    <t>85A/2019</t>
  </si>
  <si>
    <t>43A/2019</t>
  </si>
  <si>
    <t>98A/2019</t>
  </si>
  <si>
    <t>124A/2019</t>
  </si>
  <si>
    <t>63A/2019</t>
  </si>
  <si>
    <t>60A/2019</t>
  </si>
  <si>
    <t>32A/2019</t>
  </si>
  <si>
    <t>71A/2019</t>
  </si>
  <si>
    <t>68A/2019</t>
  </si>
  <si>
    <t>41A/2019</t>
  </si>
  <si>
    <t>67A/2019</t>
  </si>
  <si>
    <t>57A/2019</t>
  </si>
  <si>
    <t>77A/2019</t>
  </si>
  <si>
    <t>81A/2019</t>
  </si>
  <si>
    <t>28A/2019</t>
  </si>
  <si>
    <t>74A/2019</t>
  </si>
  <si>
    <t>56A/2019</t>
  </si>
  <si>
    <t>51A/2019</t>
  </si>
  <si>
    <t>70A/2019</t>
  </si>
  <si>
    <t>90A/2019</t>
  </si>
  <si>
    <t>8A/2019</t>
  </si>
  <si>
    <t>72A/2019</t>
  </si>
  <si>
    <t>94A/2019</t>
  </si>
  <si>
    <t>76A/2019</t>
  </si>
  <si>
    <t>30A/2019</t>
  </si>
  <si>
    <t>104A/2019</t>
  </si>
  <si>
    <t>69A/2019</t>
  </si>
  <si>
    <t>Sum of Order Qty_Pack</t>
  </si>
  <si>
    <t>Sum of Order Qty_Bulbs</t>
  </si>
  <si>
    <t>Sum of Customer Contract Amount_VND</t>
  </si>
  <si>
    <t xml:space="preserve">CÔNG TY TNHH TRANG TRẠI DASAR
</t>
  </si>
  <si>
    <t>ĐƠN ĐẶT HÀNG</t>
  </si>
  <si>
    <t>Mã Khách hàng:</t>
  </si>
  <si>
    <t>Tên Khách hàng:</t>
  </si>
  <si>
    <t>Số đơn đặt hàng:</t>
  </si>
  <si>
    <t>Ngày đặt hàng:</t>
  </si>
  <si>
    <t>Nội dung đơn đặt hàng:</t>
  </si>
  <si>
    <t>STT</t>
  </si>
  <si>
    <t>MÃ HÀNG</t>
  </si>
  <si>
    <t>TÊN GIỐNG</t>
  </si>
  <si>
    <t>SIZE</t>
  </si>
  <si>
    <t>CỦ/
KHAY</t>
  </si>
  <si>
    <t>SỐ KHAY</t>
  </si>
  <si>
    <t>SỐ LƯỢNG CỦ</t>
  </si>
  <si>
    <t>ĐƠN GIÁ
VND</t>
  </si>
  <si>
    <t>THÀNH TIỀN
VND</t>
  </si>
  <si>
    <t xml:space="preserve">   TỔNG CỘNG</t>
  </si>
  <si>
    <t>THÔNG TIN THANH TOÁN:</t>
  </si>
  <si>
    <t>ĐÃ THANH TOÁN</t>
  </si>
  <si>
    <t>CÒN LẠI</t>
  </si>
  <si>
    <t>Khi thanh toán bằng hình thức chuyển khoản, Khách hàng chuyển khoản MỘT trong các số TÀI KHOẢN sau:</t>
  </si>
  <si>
    <t>Tên tài khoản: CÔNG TY TNHH TRANG TRẠI DASAR</t>
  </si>
  <si>
    <t>Số tài khoản: 0561000596476 - NH Vietcombank CN Lâm Đồng</t>
  </si>
  <si>
    <t>Số tài khoản: 5400201012289 - NH Agribank CN Lâm Đồng</t>
  </si>
  <si>
    <t>Số tài khoản: 28001018807979 - NH Hàng Hải CN Lâm Đồng</t>
  </si>
  <si>
    <t>Tên tài khoản: TRẦN THỊ THANH THÚY</t>
  </si>
  <si>
    <t>Số tài khoản: 050089723611 - NH Sacombank CN Lâm Đồng</t>
  </si>
  <si>
    <t>Cần hỗ trợ, Khách hàng liên hệ các số điện thoại sau:</t>
  </si>
  <si>
    <t xml:space="preserve">Bộ phận kinh doanh: 0263 3990179 - Thúy / Thy </t>
  </si>
  <si>
    <t>Values</t>
  </si>
  <si>
    <t>(blank)</t>
  </si>
  <si>
    <t>02A/2019</t>
  </si>
  <si>
    <t>MN01</t>
  </si>
  <si>
    <t>HUỲNH MINH NGHĨA</t>
  </si>
  <si>
    <t>TH13</t>
  </si>
  <si>
    <t>03A/2019</t>
  </si>
  <si>
    <t>ĐÀO THỊ HẰNG</t>
  </si>
  <si>
    <t>75</t>
  </si>
  <si>
    <t>15/02AL</t>
  </si>
  <si>
    <t>04A/2019</t>
  </si>
  <si>
    <t>VC03</t>
  </si>
  <si>
    <t>PHAN VĂN CHÂU</t>
  </si>
  <si>
    <t>2 tháng/lần</t>
  </si>
  <si>
    <t>Bộ phận kỹ thuật: 0263 3511525  - Như</t>
  </si>
  <si>
    <t>PHỤ TRÁCH KINH DOANH: 0263 629 99 95 - 0987 247517 - 0988 149493</t>
  </si>
  <si>
    <t>Bộ phận kế toán: 0263 629 99 94</t>
  </si>
  <si>
    <t>Dec</t>
  </si>
  <si>
    <t>Nov</t>
  </si>
  <si>
    <t>Oct</t>
  </si>
  <si>
    <t>Sep</t>
  </si>
  <si>
    <t>Day</t>
  </si>
  <si>
    <t>JANDEWIT</t>
  </si>
  <si>
    <t>Aug</t>
  </si>
  <si>
    <t>Week</t>
  </si>
  <si>
    <t>BOT</t>
  </si>
  <si>
    <t>Jul</t>
  </si>
  <si>
    <t>VANDENBOS</t>
  </si>
  <si>
    <t>Jun</t>
  </si>
  <si>
    <t>STEEN</t>
  </si>
  <si>
    <t>May</t>
  </si>
  <si>
    <t>VANZANTEN</t>
  </si>
  <si>
    <t>Apr</t>
  </si>
  <si>
    <t>ONINGS</t>
  </si>
  <si>
    <t>Mar</t>
  </si>
  <si>
    <t>VWS</t>
  </si>
  <si>
    <t>Feb</t>
  </si>
  <si>
    <t>DELEEUW</t>
  </si>
  <si>
    <t>Jan</t>
  </si>
  <si>
    <t>Month</t>
  </si>
  <si>
    <t>ZABO</t>
  </si>
  <si>
    <t>#  of Day</t>
  </si>
  <si>
    <t>Column 2</t>
  </si>
  <si>
    <t>Column 1</t>
  </si>
  <si>
    <t>Deducted Month</t>
  </si>
  <si>
    <t>Deducted Week</t>
  </si>
  <si>
    <t>Deducted Day</t>
  </si>
  <si>
    <t>Effective</t>
  </si>
  <si>
    <t>Period</t>
  </si>
  <si>
    <r>
      <t>Cooling Fee (</t>
    </r>
    <r>
      <rPr>
        <b/>
        <sz val="11"/>
        <color theme="1"/>
        <rFont val="Calibri"/>
        <family val="2"/>
      </rPr>
      <t>€)</t>
    </r>
  </si>
  <si>
    <t>Supplier</t>
  </si>
  <si>
    <t>Converter Month</t>
  </si>
  <si>
    <t>Converter Week</t>
  </si>
  <si>
    <t>Converter Day</t>
  </si>
  <si>
    <t>Lunar Date</t>
  </si>
  <si>
    <t>Gregorian Date</t>
  </si>
  <si>
    <t>Dùng tính ngày, không xóa</t>
  </si>
  <si>
    <t>Cooling fee</t>
  </si>
  <si>
    <t>125A/2019</t>
  </si>
  <si>
    <t>29/4AL</t>
  </si>
  <si>
    <t>NGÀY GIAO
DỰ KIẾN (DL)</t>
  </si>
  <si>
    <t>126A/2019</t>
  </si>
  <si>
    <t>127A2019</t>
  </si>
  <si>
    <t>129A/2019</t>
  </si>
  <si>
    <t>130A/2019</t>
  </si>
  <si>
    <t>131A/2019</t>
  </si>
  <si>
    <t>132A/2019</t>
  </si>
  <si>
    <t>133A/2019</t>
  </si>
  <si>
    <t>30/03AL</t>
  </si>
  <si>
    <t>134A/2019</t>
  </si>
  <si>
    <t>135A/2019</t>
  </si>
  <si>
    <t>136A/2019</t>
  </si>
  <si>
    <t>108A/2019</t>
  </si>
  <si>
    <t>137A/2019</t>
  </si>
  <si>
    <t>138A/2019</t>
  </si>
  <si>
    <t>99A/2019</t>
  </si>
  <si>
    <t>139A/2019</t>
  </si>
  <si>
    <t>ND02</t>
  </si>
  <si>
    <t>PHẠM NGỌC DƯỠNG</t>
  </si>
  <si>
    <t>MANISSA ÍT RỄ</t>
  </si>
  <si>
    <t>142A/2019</t>
  </si>
  <si>
    <t>LÊ VĂN DIỆP</t>
  </si>
  <si>
    <t>VD07</t>
  </si>
  <si>
    <t>146B/2019</t>
  </si>
  <si>
    <t>92B/2019</t>
  </si>
  <si>
    <t>EREMO</t>
  </si>
  <si>
    <t>HONESTY</t>
  </si>
  <si>
    <t>147A/2019</t>
  </si>
  <si>
    <t>TD04</t>
  </si>
  <si>
    <t>ĐINH THỊ ĐÀO</t>
  </si>
  <si>
    <t>148A/2019</t>
  </si>
  <si>
    <t>DT02</t>
  </si>
  <si>
    <t>NGUYỄN ĐÌNH TÁM</t>
  </si>
  <si>
    <t>PHAN NGỌC LỄ</t>
  </si>
  <si>
    <t>MALDANO</t>
  </si>
  <si>
    <t>10/4AL</t>
  </si>
  <si>
    <t>DN</t>
  </si>
  <si>
    <t>149A/2019</t>
  </si>
  <si>
    <t>120A/2019</t>
  </si>
  <si>
    <t>121A/2019</t>
  </si>
  <si>
    <t>61A/2019</t>
  </si>
  <si>
    <t>TU05</t>
  </si>
  <si>
    <t>1/5AL</t>
  </si>
  <si>
    <t>150A/2019</t>
  </si>
  <si>
    <t>151A/2019</t>
  </si>
  <si>
    <t>X</t>
  </si>
  <si>
    <t>PARAGUAY</t>
  </si>
  <si>
    <t>152A/2019</t>
  </si>
  <si>
    <t>153A/2019</t>
  </si>
  <si>
    <t>154A/2019</t>
  </si>
  <si>
    <t>10/4AL_MỖI CỬ VỀ 7.000/15 NGÀY</t>
  </si>
  <si>
    <t>T5/AL TRỞ ĐI</t>
  </si>
  <si>
    <t>155A/2019</t>
  </si>
  <si>
    <t>156A/2019</t>
  </si>
  <si>
    <t>10/4AL_MỖI CỬ VỀ 4.500/15 NGÀY</t>
  </si>
  <si>
    <t>Chia làm 3 cử</t>
  </si>
  <si>
    <t>30-02-2019</t>
  </si>
  <si>
    <t>ALUSTA</t>
  </si>
  <si>
    <t>159A/2019</t>
  </si>
  <si>
    <t>160A/2019</t>
  </si>
  <si>
    <t>80</t>
  </si>
  <si>
    <t>161A/2018</t>
  </si>
  <si>
    <t>VM03</t>
  </si>
  <si>
    <t>PHẠM VĂN MINH</t>
  </si>
  <si>
    <t>.</t>
  </si>
  <si>
    <t>CÔNG TY TNHH TRANG TRẠI DASAR</t>
  </si>
  <si>
    <t>CỘNG HÒA XÃ HỘI CHỦ NGHĨA VIỆT NAM</t>
  </si>
  <si>
    <t>Độc lập – Tự do – Hạnh phúc</t>
  </si>
  <si>
    <t>-----o0o-----</t>
  </si>
  <si>
    <t>HỢP ĐỒNG KINH TẾ</t>
  </si>
  <si>
    <t>Căn cứ Bộ Luật Dân Sự số 91/2015/QH13 ngày 24/11/2015;</t>
  </si>
  <si>
    <t>Căn cứ Luật Thương mại nước Cộng hòa xã hội chủ nghĩa Việt Nam số 36/2005/QH11 đã được Quốc hội khóa XI kỳ thông qua ngày 14/06/2005 và có hiệu lực thi hành ngày 01/01/2006 về việc ký kết và thực hiện hợp đồng kinh tế;</t>
  </si>
  <si>
    <r>
      <t>Căn cứ khả năng và nhu cầu của hai bên</t>
    </r>
    <r>
      <rPr>
        <sz val="12"/>
        <color theme="1"/>
        <rFont val="Times New Roman"/>
        <family val="1"/>
      </rPr>
      <t>;</t>
    </r>
  </si>
  <si>
    <t>Hôm nay, ngày___tháng___năm 2019, tại Công Ty TNHH Trang Trại Dasar, chúng tôi gồm có:</t>
  </si>
  <si>
    <t>BÊN A: (Bên bán)</t>
  </si>
  <si>
    <t>Mã số thuế: 5801368612</t>
  </si>
  <si>
    <t>Địa chỉ: 4E Bùi Thị Xuân, Phường 2, Thành phố Đà Lạt, Tỉnh Lâm Đồng</t>
  </si>
  <si>
    <r>
      <t xml:space="preserve">Đại diện: Ông </t>
    </r>
    <r>
      <rPr>
        <b/>
        <sz val="12"/>
        <color theme="1"/>
        <rFont val="Times New Roman"/>
        <family val="1"/>
      </rPr>
      <t>ĐOÀN THANH BÌNH</t>
    </r>
  </si>
  <si>
    <t xml:space="preserve">Chức vụ: Giám đốc           </t>
  </si>
  <si>
    <t>Tài khoản số: 0561000596476  tại Ngân hàng Vietcombank – Chi nhánh Lâm Đồng</t>
  </si>
  <si>
    <t>Điện thoại: 0263 3511525 – 0987.247517</t>
  </si>
  <si>
    <t>BÊN B: (Bên mua)</t>
  </si>
  <si>
    <t>Hai bên cùng bàn bạc thống nhất ký kết hợp đồng mua bán hàng hóa với các điều khoản sau đây:</t>
  </si>
  <si>
    <t>ĐIỀU I: NỘI DUNG HỢP ĐỒNG:</t>
  </si>
  <si>
    <t>Bên A nhận đặt hàng của bên B củ giống hoa Lily theo số lượng và giá cả cụ thể như sau:</t>
  </si>
  <si>
    <t>TÊN GIỐNG</t>
  </si>
  <si>
    <t>CỦ/ KHAY</t>
  </si>
  <si>
    <t>SL KHAY</t>
  </si>
  <si>
    <t>SL CỦ</t>
  </si>
  <si>
    <t>ĐƠN GIÁ VNĐ</t>
  </si>
  <si>
    <t>THÀNH TIỀN</t>
  </si>
  <si>
    <t>TỔNG CỘNG</t>
  </si>
  <si>
    <t>ĐIỀU II: QUY CÁCH PHẨM CHẤT HÀNG HÓA</t>
  </si>
  <si>
    <t>1.      Củ giống Lily được nhập khẩu từ Hà Lan, có quy định rõ tên giống, xuất xứ trên nhãn khay giống.</t>
  </si>
  <si>
    <t>2.      Củ giống Lily được giao nguyên khay theo quy cách đóng gói của nhà sản xuất.</t>
  </si>
  <si>
    <t>ĐIỀU III: GIAO NHẬN VẬN CHUYỂN:</t>
  </si>
  <si>
    <t>ĐIỀU IV: CÁC LƯU Ý KHI TRỒNG CỦ VÀ GIỚI HẠN TRÁCH NHIỆM HÀNG HÓA:</t>
  </si>
  <si>
    <t>1.      Bên B kiểm tra và xác nhận tình trạng củ giống khi giao nhận (củ giống được giao đúng nguyên khay, nguyên kiện).</t>
  </si>
  <si>
    <t>2.      Khi tiến hành trồng củ giống, nếu phát hiện sự cố liên quan đến chất lượng củ giống, bên B phải thông báo ngay cho bên A để cùng tiến hành kiểm tra và xác nhận tình trạng củ giống.</t>
  </si>
  <si>
    <t xml:space="preserve">Củ giống bị lỗi (nấm, thối, đen tim, phỏng lạnh...) sẽ được bên A xác nhận bằng biên bản và giá trị phần củ giống hư hỏng sẽ được cấn trừ vào đơn hàng tiếp theo.  </t>
  </si>
  <si>
    <t>Bên B cần giữ lại những khay nguyên vẹn để hai bên cùng tiến hành kiểm tra theo nguyên tắc như trên. Số lượng khay kiểm tra tùy thuộc vào số lượng đơn hàng để xác định tỷ lệ hư hỏng.</t>
  </si>
  <si>
    <t>3.      Khuyến cáo từ Nhà cung cấp Hà Lan: các lỗi trên cây do trồng sai kỹ thuật: như không đảm bảo đủ độ sâu cần thiết trên giống Robina, dễ dẫn đến rễ không phát triển và cây kém không được xem là hư hỏng do củ. Bên B cần đảm bảo đủ độ sâu củ giống khi trồng để tránh xảy ra sự cố trên.</t>
  </si>
  <si>
    <t>4.      Cháy lá sinh lý do nhiều nguyên nhân và chịu ảnh hưởng bởi thời tiết, cũng như bệnh lý trên cây không thuộc phạm vi trách nhiệm này.</t>
  </si>
  <si>
    <t>5.      Các vấn đề phát sinh trong trường hợp kho Bên B không đảm bảo sẽ không được giải quyết.</t>
  </si>
  <si>
    <t>6.      Các khiếu nại liên quan đến chất lượng củ giống phải thực hiện ngay khi phát hiện sự cố.</t>
  </si>
  <si>
    <t>ĐIỀU V: PHƯƠNG THỨC THANH TOÁN</t>
  </si>
  <si>
    <t>ĐIỀU VI: ĐIỀU KHOẢN CHUNG</t>
  </si>
  <si>
    <t>1.      Các bên cam kết thực hiện nghiêm chỉnh các nội dung, điều khoản đã thoả thuận trong hợp đồng, không bên nào được đơn phương sửa đổi nội dung Hợp đồng. Mọi bổ sung, sửa đổi các điều khoản của Hợp đồng phải được hai bên thống nhất bằng văn bản cụ thể.</t>
  </si>
  <si>
    <t>2.      Trong quá trình thực hiện hợp đồng, nếu có thay đổi hai bên cùng giải quyết trên nguyên tắc thương lượng và trên tinh thần hợp tác, tôn trọng. Trong trường hợp phát sinh vấn đề liên quan đến hợp đồng mà hai bên không thể thương lượng thì sẽ được đưa ra Tòa án giải quyết.</t>
  </si>
  <si>
    <t>3.      Hợp đồng có hiệu lực trong vòng 01 (một) năm kể từ ngày ký. Khi hai bên đã thực hiện đầy đủ các điều khoản và nghĩa vụ quy định trong hợp đồng thì hợp đồng này mặc nhiên tự thanh lý.</t>
  </si>
  <si>
    <t>4.      Hai bên đã đọc và thống nhất các nội dung trên bằng việc ký tên vào bản hợp đồng này. Hợp đồng được lập thành 02 bản, mỗi bên giữ 01 bản và có giá trị như nhau.</t>
  </si>
  <si>
    <t>ĐẠI DIỆN BÊN A</t>
  </si>
  <si>
    <t>ĐẠI DIỆN BÊN B</t>
  </si>
  <si>
    <t>ĐOÀN THANH BÌNH</t>
  </si>
  <si>
    <t>Giám đốc</t>
  </si>
  <si>
    <t>ABA</t>
  </si>
  <si>
    <t>Công Ty Cổ Phần Giải Pháp TM ABA</t>
  </si>
  <si>
    <t>PHUONG</t>
  </si>
  <si>
    <t>AD01</t>
  </si>
  <si>
    <t>TRƯƠNG THỊ ANH ĐÀO</t>
  </si>
  <si>
    <t>Tà Nung</t>
  </si>
  <si>
    <t>0973 787978</t>
  </si>
  <si>
    <t>131</t>
  </si>
  <si>
    <t>Trả chậm</t>
  </si>
  <si>
    <t>THUY</t>
  </si>
  <si>
    <t>HUE</t>
  </si>
  <si>
    <t>331</t>
  </si>
  <si>
    <t>5</t>
  </si>
  <si>
    <t>TUANANH</t>
  </si>
  <si>
    <t>AD03</t>
  </si>
  <si>
    <t>HẢI SẢN ANH ĐỨC</t>
  </si>
  <si>
    <t>580048437</t>
  </si>
  <si>
    <t>42F TRẦN PHÚ, TP, ĐÀ LẠT</t>
  </si>
  <si>
    <t>02633817170</t>
  </si>
  <si>
    <t>3311</t>
  </si>
  <si>
    <t>ADMIN</t>
  </si>
  <si>
    <t>AH01</t>
  </si>
  <si>
    <t>ANH HÙNG</t>
  </si>
  <si>
    <t>0989028050</t>
  </si>
  <si>
    <t>AH02</t>
  </si>
  <si>
    <t>PHAN VĂN HÙNG</t>
  </si>
  <si>
    <t>Đa Nhim</t>
  </si>
  <si>
    <t>0913630452</t>
  </si>
  <si>
    <t>THY</t>
  </si>
  <si>
    <t>AL01</t>
  </si>
  <si>
    <t>TRẠM KHUYẾN NÔNG LÂM NGƯ HUYỆN A LƯỚI</t>
  </si>
  <si>
    <t>Huế</t>
  </si>
  <si>
    <t>02348510302 - 0124.8993899</t>
  </si>
  <si>
    <t>CHỊ NGUYỆT</t>
  </si>
  <si>
    <t>AS01</t>
  </si>
  <si>
    <t>NGUYỄN AN SƠN</t>
  </si>
  <si>
    <t>0983827238</t>
  </si>
  <si>
    <t>AT03</t>
  </si>
  <si>
    <t>ANH TUẤN (Anh Nam)</t>
  </si>
  <si>
    <t>0973698604</t>
  </si>
  <si>
    <t>AT04</t>
  </si>
  <si>
    <t>ANH THIỆN ( ANH NAM)</t>
  </si>
  <si>
    <t>BL01</t>
  </si>
  <si>
    <t>VẬY TƯ NÔNG NGHIỆP TÂN THANH - BÀ LÀI</t>
  </si>
  <si>
    <t>39 NGUYỄN THỊ MINH KHAI</t>
  </si>
  <si>
    <t>BL02</t>
  </si>
  <si>
    <t>TRẦN THỊ BÍCH LỢI</t>
  </si>
  <si>
    <t>Vạn Thành</t>
  </si>
  <si>
    <t>0919019649</t>
  </si>
  <si>
    <t>BM01</t>
  </si>
  <si>
    <t>Tổng công ty cổ phần Bảo Minh - Chi nhánh Lâm Đồng</t>
  </si>
  <si>
    <t>0300446973-011</t>
  </si>
  <si>
    <t>29-31 Phan Bội Châu, Đà Lạt</t>
  </si>
  <si>
    <t>Đà Lạt</t>
  </si>
  <si>
    <t>BS01</t>
  </si>
  <si>
    <t>Công Ty TNHH TMDV Công Nghệ Thiết Bị Số</t>
  </si>
  <si>
    <t>0313056730</t>
  </si>
  <si>
    <t>101 Nguyễn Văn Thủ, P Đa Kao, Quận 1, TPHCM</t>
  </si>
  <si>
    <t>BT01</t>
  </si>
  <si>
    <t>Bùi Thích</t>
  </si>
  <si>
    <t>01685517029</t>
  </si>
  <si>
    <t>Quảng Ngãi</t>
  </si>
  <si>
    <t>0917560182</t>
  </si>
  <si>
    <t>Lữ Gia</t>
  </si>
  <si>
    <t>0945 942882</t>
  </si>
  <si>
    <t>CD02</t>
  </si>
  <si>
    <t>Nguyễn Công Dương</t>
  </si>
  <si>
    <t>CGH</t>
  </si>
  <si>
    <t>Củ giống hư</t>
  </si>
  <si>
    <t>CK01</t>
  </si>
  <si>
    <t>CAO KHOA</t>
  </si>
  <si>
    <t>Thái Phiên</t>
  </si>
  <si>
    <t>0937408096</t>
  </si>
  <si>
    <t>0983585046</t>
  </si>
  <si>
    <t>CNC01</t>
  </si>
  <si>
    <t>Trung tâm Nghiên cứu và Phát triển Nông Nghiệp Công Nghệ Cao</t>
  </si>
  <si>
    <t>Thôn Măng Đen, xã Đắk Nông, huyện Kon Plong, tỉnh Kon Tum</t>
  </si>
  <si>
    <t>0975011790</t>
  </si>
  <si>
    <t>COSC</t>
  </si>
  <si>
    <t>CN Công Ty TNHH Cosco Shipping Lines ( Việt Nam) tại Hải Phòng</t>
  </si>
  <si>
    <t>CP01</t>
  </si>
  <si>
    <t>CÔNG TY TNHH CAO PHONG</t>
  </si>
  <si>
    <t>Lô G C/c Hùng Vương, P11, Quận 5, HCM</t>
  </si>
  <si>
    <t>Nguyễn Thị Cẩm Thúy</t>
  </si>
  <si>
    <t>CT02</t>
  </si>
  <si>
    <t>0389809356</t>
  </si>
  <si>
    <t>CT04</t>
  </si>
  <si>
    <t>PHẠM CÔNG TUÂN</t>
  </si>
  <si>
    <t>0363485457</t>
  </si>
  <si>
    <t>74/5 Ngô Quyền P6 Đà Lạt</t>
  </si>
  <si>
    <t>0974828221</t>
  </si>
  <si>
    <t>20/2A Lữ Gia, Phường 9, Đà Lạt</t>
  </si>
  <si>
    <t>0902926093</t>
  </si>
  <si>
    <t>CH03</t>
  </si>
  <si>
    <t>CÔ HÒA (TV)</t>
  </si>
  <si>
    <t>DASAR</t>
  </si>
  <si>
    <t>Công Ty TNHH Trang Trại Dasar</t>
  </si>
  <si>
    <t>5801368612</t>
  </si>
  <si>
    <t>4E Bùi Thị Xuân, Phường 2, Đà Lạt</t>
  </si>
  <si>
    <t>02633511525</t>
  </si>
  <si>
    <t>ASIA</t>
  </si>
  <si>
    <t>DB01</t>
  </si>
  <si>
    <t>NGUYỄN DUY BẮC</t>
  </si>
  <si>
    <t>Mê Linh, Hà Nội</t>
  </si>
  <si>
    <t>0983480214</t>
  </si>
  <si>
    <t>DC01</t>
  </si>
  <si>
    <t>TRẦN ĐÌNH CƯỜNG</t>
  </si>
  <si>
    <t>Mê Linh , Hà Nội</t>
  </si>
  <si>
    <t>0912825933</t>
  </si>
  <si>
    <t>DC02</t>
  </si>
  <si>
    <t>NGUYỄN ĐÌNH CƯỜNG</t>
  </si>
  <si>
    <t>0973740045</t>
  </si>
  <si>
    <t>DD01</t>
  </si>
  <si>
    <t>0977171730</t>
  </si>
  <si>
    <t>DD03</t>
  </si>
  <si>
    <t>TRẦN ĐẮC ĐẾ</t>
  </si>
  <si>
    <t>0919494375</t>
  </si>
  <si>
    <t>DD04</t>
  </si>
  <si>
    <t>NGUYỄN DUY ĐÔNG</t>
  </si>
  <si>
    <t>Xã Mê Linh, Huyện Mê Linh, Hà Nội</t>
  </si>
  <si>
    <t>0354841664</t>
  </si>
  <si>
    <t>Kontum</t>
  </si>
  <si>
    <t>DL01</t>
  </si>
  <si>
    <t>LÊ ĐỨC LÀNH</t>
  </si>
  <si>
    <t>60/6 Nguyễn Thái Bình, Thái Phiên</t>
  </si>
  <si>
    <t>0986945145</t>
  </si>
  <si>
    <t>36/14 Thái Phiên, P.12, Tp. Đà Lạt</t>
  </si>
  <si>
    <t>0363751799/0972402312</t>
  </si>
  <si>
    <t>DN01</t>
  </si>
  <si>
    <t>CHU ĐỨC NGỌC</t>
  </si>
  <si>
    <t>0975886388</t>
  </si>
  <si>
    <t>DP01</t>
  </si>
  <si>
    <t>TRẦN ĐÌNH PHÚ</t>
  </si>
  <si>
    <t>123 Thái Phiên, P12, Đà Lạt</t>
  </si>
  <si>
    <t>0908 603890/ 0908937001</t>
  </si>
  <si>
    <t>45B/30 Nam Hồ, Phường 11, Đà Lạt</t>
  </si>
  <si>
    <t>0918 223115</t>
  </si>
  <si>
    <t>DP05</t>
  </si>
  <si>
    <t>Công Ty TNHH Đồng Phát</t>
  </si>
  <si>
    <t>5800478570</t>
  </si>
  <si>
    <t>Số 75 Hùng Vương, P.9, Tp. Đà lạt</t>
  </si>
  <si>
    <t>02633595559</t>
  </si>
  <si>
    <t>DQ01</t>
  </si>
  <si>
    <t>NGUYỄN ĐÌNH QUÝ</t>
  </si>
  <si>
    <t>ĐA THIỆN</t>
  </si>
  <si>
    <t>0916233161</t>
  </si>
  <si>
    <t>DQ02</t>
  </si>
  <si>
    <t>NGUYỄN ĐỨC QUYỀN</t>
  </si>
  <si>
    <t>ĐẠ NHIM, LẠC DƯƠNG, LÂM ĐỒNG</t>
  </si>
  <si>
    <t>0936312314</t>
  </si>
  <si>
    <t>DT01</t>
  </si>
  <si>
    <t>HỒ ĐỨC TOẠI</t>
  </si>
  <si>
    <t>Khe Sanh</t>
  </si>
  <si>
    <t>0974 119608</t>
  </si>
  <si>
    <t>Tổ Hồ Than Thở, P.12, Tp. Đà Lạt</t>
  </si>
  <si>
    <t>0973494950</t>
  </si>
  <si>
    <t>0906928811</t>
  </si>
  <si>
    <t>0983490363</t>
  </si>
  <si>
    <t>HOA</t>
  </si>
  <si>
    <t>Vạn thành</t>
  </si>
  <si>
    <t>0949633438</t>
  </si>
  <si>
    <t>DUONG</t>
  </si>
  <si>
    <t>NGUYỄN VĂN DƯƠNG - BÊ TÔNG</t>
  </si>
  <si>
    <t>DV01</t>
  </si>
  <si>
    <t>LÊ ĐẶNG VINH</t>
  </si>
  <si>
    <t>DV02</t>
  </si>
  <si>
    <t>CÔNG TY BẢO HIỂM BIDV TÂY NGUYÊN ( BIC)</t>
  </si>
  <si>
    <t>0100931299-008</t>
  </si>
  <si>
    <t>389 Phan Chu Trinh, P.Tân Lợi,Tp.Buôn Ma Thuột, Đăklăk</t>
  </si>
  <si>
    <t>DV03</t>
  </si>
  <si>
    <t>Công Ty CP Cảng DV Dầu Khí Đình Vũ</t>
  </si>
  <si>
    <t>0200754420</t>
  </si>
  <si>
    <t>KCN Đình Vũ, Đông hải, Quận Hải An, Hải Phòng</t>
  </si>
  <si>
    <t>EMIN</t>
  </si>
  <si>
    <t>Công Ty CP Emin Việt Nam - CN Miền Nam</t>
  </si>
  <si>
    <t>0105309275-001</t>
  </si>
  <si>
    <t>218 Cộng Hòa, P12, Quận Tân Bình, TPHCM</t>
  </si>
  <si>
    <t>EV01</t>
  </si>
  <si>
    <t>CÔNG TY CỔ PHẦN ÉN VIỆT</t>
  </si>
  <si>
    <t>0304955040</t>
  </si>
  <si>
    <t>SỐ 388 ĐƯỜNG TAM THÔN HIỆP, ẤP AN LỘC, XÃ TAM THÔN HIỆP, TP.HỒ CHÍ MINH</t>
  </si>
  <si>
    <t>02873005050</t>
  </si>
  <si>
    <t>EXIM</t>
  </si>
  <si>
    <t>Công Ty CP Thẩm Định Giá Exim</t>
  </si>
  <si>
    <t>0306230988</t>
  </si>
  <si>
    <t>1034 Trường Sa, Phường 12, Quận 3, TPHCM</t>
  </si>
  <si>
    <t>0918 732719</t>
  </si>
  <si>
    <t>HC02</t>
  </si>
  <si>
    <t>CHU HỮU CƯỜNG</t>
  </si>
  <si>
    <t>HÀ NỘI</t>
  </si>
  <si>
    <t>0966669875</t>
  </si>
  <si>
    <t>NGUYỄN  HỮU CƯƠNG</t>
  </si>
  <si>
    <t>0902894446</t>
  </si>
  <si>
    <t>HC04</t>
  </si>
  <si>
    <t>Công ty TNHH SX - TM Dịch Vụ HaviCo</t>
  </si>
  <si>
    <t>0313506852</t>
  </si>
  <si>
    <t>371/5 Quốc Lộ 1A, khu phố 1, P Thanh Xuân, Quận 12, HCM</t>
  </si>
  <si>
    <t>HD01</t>
  </si>
  <si>
    <t>NGUYỄN HUY ĐỒNG</t>
  </si>
  <si>
    <t>Hà Nội</t>
  </si>
  <si>
    <t>0974096148</t>
  </si>
  <si>
    <t>0979814436</t>
  </si>
  <si>
    <t>BINH</t>
  </si>
  <si>
    <t>HH01</t>
  </si>
  <si>
    <t>CHU HỮU HẢI</t>
  </si>
  <si>
    <t>Tây Tựu, Hà Nội</t>
  </si>
  <si>
    <t>0981635985</t>
  </si>
  <si>
    <t>HL01</t>
  </si>
  <si>
    <t>HL02</t>
  </si>
  <si>
    <t>NGUYỄN HUY LỘC</t>
  </si>
  <si>
    <t>Khu 5, xóm Cầu, xã Mê Linh, huyện Mê Linh, Hà Nội</t>
  </si>
  <si>
    <t>HL03</t>
  </si>
  <si>
    <t>HOÀNG LỢI</t>
  </si>
  <si>
    <t>0903691460</t>
  </si>
  <si>
    <t>HM01</t>
  </si>
  <si>
    <t>CÔNG TY TNHH TẬP ĐOÀN HÀ MINH</t>
  </si>
  <si>
    <t>HMRT</t>
  </si>
  <si>
    <t>Anh Hiệp_ Maritime Bank</t>
  </si>
  <si>
    <t>114/1 Nguyễn Thái Bình, Phường 12, Đà Lạt</t>
  </si>
  <si>
    <t>0985065238</t>
  </si>
  <si>
    <t>HP01</t>
  </si>
  <si>
    <t>ĐẶNG HỮU PHÁT</t>
  </si>
  <si>
    <t>01668980068</t>
  </si>
  <si>
    <t>HP02</t>
  </si>
  <si>
    <t>CỤC THUẾ HẢI PHÒNG</t>
  </si>
  <si>
    <t>QUẬN HẢI AN, TP. HẢI PHÒNG</t>
  </si>
  <si>
    <t>HS01</t>
  </si>
  <si>
    <t>HOÀNG SƠN</t>
  </si>
  <si>
    <t>0985712821</t>
  </si>
  <si>
    <t>HT01</t>
  </si>
  <si>
    <t>NGUYỄN HỮU TRÍ</t>
  </si>
  <si>
    <t>74/29 Bế Văn Đàn, Thái Phiên, Đà Lạt</t>
  </si>
  <si>
    <t>0968 767592</t>
  </si>
  <si>
    <t>0919440086</t>
  </si>
  <si>
    <t>519/19 ĐA THIỆN</t>
  </si>
  <si>
    <t>0903187986</t>
  </si>
  <si>
    <t>0941645158</t>
  </si>
  <si>
    <t>HV01</t>
  </si>
  <si>
    <t>NGUYỄN HOÀNG VẸN</t>
  </si>
  <si>
    <t>DaSar - Lạc Dương</t>
  </si>
  <si>
    <t>0988957177</t>
  </si>
  <si>
    <t>KA01</t>
  </si>
  <si>
    <t>NGUYỄN THỊ KIM AN</t>
  </si>
  <si>
    <t>0919440789</t>
  </si>
  <si>
    <t>KD</t>
  </si>
  <si>
    <t>Kiểm Dịch</t>
  </si>
  <si>
    <t>KG01</t>
  </si>
  <si>
    <t>Hộ Kinh Doanh Kim Gia</t>
  </si>
  <si>
    <t>5800536310</t>
  </si>
  <si>
    <t>33 Quang Trung, Phường 9, Đà Lạt</t>
  </si>
  <si>
    <t>KK01</t>
  </si>
  <si>
    <t>TRẦN KIM KHIÊM</t>
  </si>
  <si>
    <t>Mê Linh, Đà Lạt</t>
  </si>
  <si>
    <t>0368294004</t>
  </si>
  <si>
    <t>KN01</t>
  </si>
  <si>
    <t>TRẦN THỊ KIM NGỌC</t>
  </si>
  <si>
    <t>0989 578416</t>
  </si>
  <si>
    <t>LC01</t>
  </si>
  <si>
    <t>NGUYỄN HOÀNG LINH CHI</t>
  </si>
  <si>
    <t>0977978614 / 0917214762</t>
  </si>
  <si>
    <t>LD03</t>
  </si>
  <si>
    <t>Công Ty TNHH Hoàn Kiệt Lâm Đồng</t>
  </si>
  <si>
    <t>5801201162</t>
  </si>
  <si>
    <t>8 Pasteur, Phường 4, Đà Lạt</t>
  </si>
  <si>
    <t>0633979888</t>
  </si>
  <si>
    <t>204 Lê Hồng Phong, phường Thành Công, Tp. Buôn Mê Thuột</t>
  </si>
  <si>
    <t>0914099199</t>
  </si>
  <si>
    <t>LH01</t>
  </si>
  <si>
    <t>LÊ HẢI</t>
  </si>
  <si>
    <t>Xóm Đình, Thái Phiên</t>
  </si>
  <si>
    <t>0972023372</t>
  </si>
  <si>
    <t>LH02</t>
  </si>
  <si>
    <t>LL01</t>
  </si>
  <si>
    <t>CÔNG TY TNHH HOA LILY VIỆT NAM</t>
  </si>
  <si>
    <t>Thửa 146, Tờ Bản Đồ 1 Đatro, Xã Đanhim, Huyện Lạc Dương</t>
  </si>
  <si>
    <t>LT02</t>
  </si>
  <si>
    <t>LX01</t>
  </si>
  <si>
    <t>Công Ty TNHH MTV Trung Tâm Logistics Xanh</t>
  </si>
  <si>
    <t>0201263312</t>
  </si>
  <si>
    <t>Lô đất CN3, KCN Đình Vũ, P Đông Hải, Q Hải An, TP Hải Phòng</t>
  </si>
  <si>
    <t>1A, Lâm Văn Thạnh, P.11, Trại Mát</t>
  </si>
  <si>
    <t>0937820844</t>
  </si>
  <si>
    <t>MH02</t>
  </si>
  <si>
    <t>PHẠM THỊ MỸ HẠNH</t>
  </si>
  <si>
    <t>0983724416</t>
  </si>
  <si>
    <t>MISO</t>
  </si>
  <si>
    <t>CÔNG TY TNHH MISOTA VIỆT NAM</t>
  </si>
  <si>
    <t>Lô E6.9 đường Phạm Hùng, P Mễ Trì, Quận Nam Từ Liêm , Hà Nội</t>
  </si>
  <si>
    <t>BÃI SẬY</t>
  </si>
  <si>
    <t>0972781378</t>
  </si>
  <si>
    <t>ML02</t>
  </si>
  <si>
    <t>HKD Lương Thị Mai Lan</t>
  </si>
  <si>
    <t>5801285162</t>
  </si>
  <si>
    <t>66B Nguyễn Công Trứ, P8, Đà Lạt</t>
  </si>
  <si>
    <t>Tổ 11, Huỳnh Tấn Phát</t>
  </si>
  <si>
    <t>036 9068811</t>
  </si>
  <si>
    <t>MN02</t>
  </si>
  <si>
    <t>TRẦN MINH NHẬT</t>
  </si>
  <si>
    <t>Nam Hồ, Phường 11</t>
  </si>
  <si>
    <t>0909979395</t>
  </si>
  <si>
    <t>MP01</t>
  </si>
  <si>
    <t>PHẠM MINH PHƯỚC</t>
  </si>
  <si>
    <t>Bãi Sậy - Thái Phiên</t>
  </si>
  <si>
    <t>VẠN THÀNH</t>
  </si>
  <si>
    <t>0904914676</t>
  </si>
  <si>
    <t>MP03</t>
  </si>
  <si>
    <t>BÙI MINH PHƯƠNG</t>
  </si>
  <si>
    <t>0918454483</t>
  </si>
  <si>
    <t>MS01</t>
  </si>
  <si>
    <t>Cây xăng 79, đường 723, phường 11</t>
  </si>
  <si>
    <t>0918423421 ( Khoa)</t>
  </si>
  <si>
    <t>QUYNH</t>
  </si>
  <si>
    <t>0933412263</t>
  </si>
  <si>
    <t>MT01</t>
  </si>
  <si>
    <t>CÔNG TY TNHH NGỌC MAI TRANG</t>
  </si>
  <si>
    <t>Phạm Hồng Thái, P10, Đà Lạt</t>
  </si>
  <si>
    <t>0918525190</t>
  </si>
  <si>
    <t>Khuất Duy Chuyền</t>
  </si>
  <si>
    <t>MT02</t>
  </si>
  <si>
    <t>NGUYỄN VĂN MINH TÚ</t>
  </si>
  <si>
    <t>0977.505050</t>
  </si>
  <si>
    <t>MT03</t>
  </si>
  <si>
    <t>Công ty TNHH TM DV XNK Mạnh Tiến</t>
  </si>
  <si>
    <t>MT04</t>
  </si>
  <si>
    <t>ĐẶNG MINH TÂM</t>
  </si>
  <si>
    <t>Thôn Đa Quý, xã Xuân Thọ, Đà Lạt</t>
  </si>
  <si>
    <t>0365337316</t>
  </si>
  <si>
    <t>NC01</t>
  </si>
  <si>
    <t>Lê Nguyên Chí</t>
  </si>
  <si>
    <t>Đức Trọng</t>
  </si>
  <si>
    <t>0353580877</t>
  </si>
  <si>
    <t>ND01</t>
  </si>
  <si>
    <t>NGUYỄN NGỌC ĐƯỜNG</t>
  </si>
  <si>
    <t>Cụm 12, p. Tây Tựu, Q. Bắc Từ Liêm, Tp. Hà Nội</t>
  </si>
  <si>
    <t>0979305065</t>
  </si>
  <si>
    <t>0944 483456</t>
  </si>
  <si>
    <t>NL01</t>
  </si>
  <si>
    <t>23 Ngô Gia Tự, P. 12, Tp. Đà Lạt</t>
  </si>
  <si>
    <t>908911109</t>
  </si>
  <si>
    <t>0986526620</t>
  </si>
  <si>
    <t>NP03</t>
  </si>
  <si>
    <t>CÔNG TY VMB NAM PHƯƠNG</t>
  </si>
  <si>
    <t>TP.HCM</t>
  </si>
  <si>
    <t>Anh Tuấn (0973.698.604)</t>
  </si>
  <si>
    <t>NS01</t>
  </si>
  <si>
    <t>Công Ty TNHH SX TM DV Quảng Cáo Nam Sơn</t>
  </si>
  <si>
    <t>0309919102</t>
  </si>
  <si>
    <t>21/9 - 21/11 Bình Lợi, P13, Q Bình Thạnh, TPHCM</t>
  </si>
  <si>
    <t>NT01</t>
  </si>
  <si>
    <t>VÕ THỊ NGỌC TRÂM</t>
  </si>
  <si>
    <t>0359434719</t>
  </si>
  <si>
    <t>NT02</t>
  </si>
  <si>
    <t>ĐỖ THỊ NGUYÊN TRÂM</t>
  </si>
  <si>
    <t>Mê Linh</t>
  </si>
  <si>
    <t>0908923882</t>
  </si>
  <si>
    <t>NT06</t>
  </si>
  <si>
    <t>Ngô Thị Ngọc Thủy</t>
  </si>
  <si>
    <t>0345263951</t>
  </si>
  <si>
    <t>NT07</t>
  </si>
  <si>
    <t>NGUYỄN THỬ</t>
  </si>
  <si>
    <t>0967486648</t>
  </si>
  <si>
    <t>NT08</t>
  </si>
  <si>
    <t>NGUYỄN THẮNG</t>
  </si>
  <si>
    <t>0908934944</t>
  </si>
  <si>
    <t>NT09</t>
  </si>
  <si>
    <t>NGUYỄN NHÂN THUẬN</t>
  </si>
  <si>
    <t>THÁI PHIÊN</t>
  </si>
  <si>
    <t>0918220659</t>
  </si>
  <si>
    <t>LINH</t>
  </si>
  <si>
    <t>Phạm Ngọc Vũ</t>
  </si>
  <si>
    <t>0347293530</t>
  </si>
  <si>
    <t>NGAHA01</t>
  </si>
  <si>
    <t>Ngân hàng TMCP Ngoại Thương Việt Nam ( VCB)</t>
  </si>
  <si>
    <t>0100112437-047</t>
  </si>
  <si>
    <t>33 Nguyễn Văn Cừ, P1, Đà Lạt</t>
  </si>
  <si>
    <t>NGAHA02</t>
  </si>
  <si>
    <t>Ngân hàng thương mại cổ phần Sài Gòn Thương Tín (SCB)</t>
  </si>
  <si>
    <t>67 Quang Trung , Phường 9, Đà Lạt</t>
  </si>
  <si>
    <t>NGAHA03</t>
  </si>
  <si>
    <t>Ngân Hàng Nông Nghiệp Và Phát Triển Nông Thôn Việt Nam (Agribank)</t>
  </si>
  <si>
    <t>0100686174-198</t>
  </si>
  <si>
    <t>Số 23 Trần Phú, TP Đà Lạt</t>
  </si>
  <si>
    <t>NGAHA04</t>
  </si>
  <si>
    <t>Ngân hàng TMCP XNK Việt Nam ( Eximbank)</t>
  </si>
  <si>
    <t>2D-2D/1-2E Nguyễn Văn Trỗi- phường 1- Đà Lạt-Lâm Đồng</t>
  </si>
  <si>
    <t>NGAHA05</t>
  </si>
  <si>
    <t>Ngân hàng TMCP Hàng Hải Việt Nam</t>
  </si>
  <si>
    <t>Đà Lạt - Lâm Đồng</t>
  </si>
  <si>
    <t>NH01</t>
  </si>
  <si>
    <t>NGUYỄN SỸ NGỌC HUY</t>
  </si>
  <si>
    <t>0976353567</t>
  </si>
  <si>
    <t>NGUYỄN THỊ NHƯ HIẾU</t>
  </si>
  <si>
    <t>THÁI PHIÊN, ĐÀ LẠT</t>
  </si>
  <si>
    <t>0908299882</t>
  </si>
  <si>
    <t>NH03</t>
  </si>
  <si>
    <t>NGUYÊN TỬ LỰC, ĐÀ LẠT</t>
  </si>
  <si>
    <t>0853594359</t>
  </si>
  <si>
    <t>PHAN NGUYỄN NGỌC HÙNG</t>
  </si>
  <si>
    <t>0909363413</t>
  </si>
  <si>
    <t>NH6</t>
  </si>
  <si>
    <t>Công ty TNHH TM VÀ SẢN XUẤT NGÂN HOÀNG 6</t>
  </si>
  <si>
    <t>0311755010</t>
  </si>
  <si>
    <t>138/11  Đường 20, Dương Quảng Hàm, P.5, Q. Gò Vấp, Tp. HCM</t>
  </si>
  <si>
    <t>0963883563</t>
  </si>
  <si>
    <t>0978562228</t>
  </si>
  <si>
    <t>PB01</t>
  </si>
  <si>
    <t>CÔNG TY TNHH KS AN PHÚ BÌNH</t>
  </si>
  <si>
    <t>5801336138</t>
  </si>
  <si>
    <t>SỐ 5,PHAN NHƯ THẠCH, PHƯỜNG 1, TP. ĐÀ LẠT</t>
  </si>
  <si>
    <t>PC01</t>
  </si>
  <si>
    <t>TRẦN PHÚ CƯ</t>
  </si>
  <si>
    <t>0388363895</t>
  </si>
  <si>
    <t>PKL01</t>
  </si>
  <si>
    <t>CÔNG TY TNHH PHÚC KHANG LỘC</t>
  </si>
  <si>
    <t>LẠC DƯƠNG</t>
  </si>
  <si>
    <t>PN01</t>
  </si>
  <si>
    <t>Công ty TNHH SX - DV - TM Tân Phú Nông</t>
  </si>
  <si>
    <t>5800451522</t>
  </si>
  <si>
    <t>Số 01B, Hồ Xuân Hương, P.9, Tp. Đà Lạt, Tỉnh Lâm Đồng</t>
  </si>
  <si>
    <t>02633549797, 02633828958</t>
  </si>
  <si>
    <t>PU01</t>
  </si>
  <si>
    <t>HOÀNG THỊ PHƯƠNG UYÊN</t>
  </si>
  <si>
    <t>Ngô Gia Tự, Thái Phiên</t>
  </si>
  <si>
    <t>0916.698155</t>
  </si>
  <si>
    <t>ĐÀO THỊ GẤM</t>
  </si>
  <si>
    <t>PHƯỜNG 11</t>
  </si>
  <si>
    <t>0844654299</t>
  </si>
  <si>
    <t>PH01</t>
  </si>
  <si>
    <t>TRẦN PHÚ HOÀNG</t>
  </si>
  <si>
    <t>0918031864</t>
  </si>
  <si>
    <t>PH03</t>
  </si>
  <si>
    <t>CÔNG TY TNHH VT DL DVTM PHÚ THỊNH</t>
  </si>
  <si>
    <t>0303381139</t>
  </si>
  <si>
    <t>305 Hoàng Văn Thụ, P2, Q Tân Bình, HCM</t>
  </si>
  <si>
    <t>QH01</t>
  </si>
  <si>
    <t>HỒ QUỐC HƯNG</t>
  </si>
  <si>
    <t>QH03</t>
  </si>
  <si>
    <t>ĐINH TRẦN QUỐC HIỆP</t>
  </si>
  <si>
    <t>QH05</t>
  </si>
  <si>
    <t>ĐẶNG QUỐC HƯNG</t>
  </si>
  <si>
    <t>5800124469</t>
  </si>
  <si>
    <t>0777712079</t>
  </si>
  <si>
    <t>QL01</t>
  </si>
  <si>
    <t>CÔNG TY TNHH MINH QUÂN LONG</t>
  </si>
  <si>
    <t>5800655195</t>
  </si>
  <si>
    <t>Số 62A - Hùng Vương - Phường 9 - Đà Lạt</t>
  </si>
  <si>
    <t>QM01</t>
  </si>
  <si>
    <t>LÊ QUỐC MINH</t>
  </si>
  <si>
    <t>0866067276</t>
  </si>
  <si>
    <t>QT01</t>
  </si>
  <si>
    <t>NGUYỄN QUANG TUẤN</t>
  </si>
  <si>
    <t>0918 749870</t>
  </si>
  <si>
    <t>QT02</t>
  </si>
  <si>
    <t>Công ty TNHH Quảng Thái</t>
  </si>
  <si>
    <t>5800324651</t>
  </si>
  <si>
    <t>1B Hoàng Văn Thụ,Phường 5, Đà Lạt</t>
  </si>
  <si>
    <t>QT03</t>
  </si>
  <si>
    <t>0978216251</t>
  </si>
  <si>
    <t>TA01</t>
  </si>
  <si>
    <t>LÊ THỊ TUYẾT ANH</t>
  </si>
  <si>
    <t>01687970216</t>
  </si>
  <si>
    <t>TA03</t>
  </si>
  <si>
    <t>NGUYỄN ĐÌNH TUẤN ANH</t>
  </si>
  <si>
    <t>0938628977 - 0966006757</t>
  </si>
  <si>
    <t>Trại Mát</t>
  </si>
  <si>
    <t>0982013317</t>
  </si>
  <si>
    <t>TB02</t>
  </si>
  <si>
    <t>QUAN THU BÌNH</t>
  </si>
  <si>
    <t>Đa Quý, Xuân Thọ</t>
  </si>
  <si>
    <t>0395691477</t>
  </si>
  <si>
    <t>TB05</t>
  </si>
  <si>
    <t>NGUYỄN THANH BÌNH</t>
  </si>
  <si>
    <t>0946397352</t>
  </si>
  <si>
    <t>TB07</t>
  </si>
  <si>
    <t>NGUYỄN THỊ BÉ</t>
  </si>
  <si>
    <t>Dasar</t>
  </si>
  <si>
    <t>0982104305</t>
  </si>
  <si>
    <t>TC01</t>
  </si>
  <si>
    <t>NGUYỄN THỊ THANH CHI</t>
  </si>
  <si>
    <t>109/4 Nguyễn Thái Bình, Thái Phiên, Đà Lạt</t>
  </si>
  <si>
    <t>0981 051634</t>
  </si>
  <si>
    <t>TC02</t>
  </si>
  <si>
    <t>CÔNG TY CỔ PHẦN ĐẠI LÝ GIAO NHẬN VẬN TẢI XẾP DỠ TÂN CẢNG</t>
  </si>
  <si>
    <t>0304875444</t>
  </si>
  <si>
    <t>1295B Nguyễn Thị Định, P. Cát Lái, Quận 2, TP. HCM</t>
  </si>
  <si>
    <t>TD02</t>
  </si>
  <si>
    <t>TRẦN THỊ DIỆP</t>
  </si>
  <si>
    <t>TD03</t>
  </si>
  <si>
    <t>DƯƠNG TẤN DŨNG</t>
  </si>
  <si>
    <t>0975803245/0976582918</t>
  </si>
  <si>
    <t>Đa Phước 1, Tự Phước, P11, Đà Lạt</t>
  </si>
  <si>
    <t>0972.729537/0327.349402</t>
  </si>
  <si>
    <t>TG01</t>
  </si>
  <si>
    <t>0335.482539</t>
  </si>
  <si>
    <t>TL01</t>
  </si>
  <si>
    <t>CÔNG TY TNHH HT THĂNG LONG</t>
  </si>
  <si>
    <t>0107575970</t>
  </si>
  <si>
    <t>SỐ 21, ĐƯỜNG THÀNH, CỬA ĐÔNG, HOÀN KIẾM, HÀ NỘI</t>
  </si>
  <si>
    <t>02438286007</t>
  </si>
  <si>
    <t>0972481755</t>
  </si>
  <si>
    <t>TM01</t>
  </si>
  <si>
    <t>NGUYỄN THỊ MẾN</t>
  </si>
  <si>
    <t>082 2942149‬</t>
  </si>
  <si>
    <t>TN01</t>
  </si>
  <si>
    <t>PHẠM TUẤN NAM</t>
  </si>
  <si>
    <t>0912 421313</t>
  </si>
  <si>
    <t>TN02</t>
  </si>
  <si>
    <t>PHAN THỊ TUYẾT NHUNG</t>
  </si>
  <si>
    <t>TN03</t>
  </si>
  <si>
    <t>CÔNG TY TNHH DÒNG TÊN NHANH</t>
  </si>
  <si>
    <t>311528762</t>
  </si>
  <si>
    <t>17 Trường Sơn, Phường 4, Q. Tân Bình, TP.HCM</t>
  </si>
  <si>
    <t>TN04</t>
  </si>
  <si>
    <t>CTY TNHH XÂY DỰNG THÀNH NAM</t>
  </si>
  <si>
    <t>0301400322</t>
  </si>
  <si>
    <t>số 4 Phạm Ngũ Lão, Phường Phạm Ngũ Lão, Quận 1, TP HCM</t>
  </si>
  <si>
    <t>Vũ Tuyến</t>
  </si>
  <si>
    <t>TN05</t>
  </si>
  <si>
    <t>PHẠM THÁI NGUYÊN</t>
  </si>
  <si>
    <t>0939272445</t>
  </si>
  <si>
    <t>TN06</t>
  </si>
  <si>
    <t>CÔNG TY CP VIỆC TỐT NHẤT</t>
  </si>
  <si>
    <t>TN08</t>
  </si>
  <si>
    <t>NGUYỄN THỊ NA</t>
  </si>
  <si>
    <t>MÊ LINH, HÀ NỘI</t>
  </si>
  <si>
    <t>0367764679</t>
  </si>
  <si>
    <t>TO01</t>
  </si>
  <si>
    <t>NGUYỄN THỊ OANH</t>
  </si>
  <si>
    <t>0963853003</t>
  </si>
  <si>
    <t>TO02</t>
  </si>
  <si>
    <t>0334372855</t>
  </si>
  <si>
    <t>0973416466</t>
  </si>
  <si>
    <t>TS01</t>
  </si>
  <si>
    <t>NGUYỄN THỊ SÁNH</t>
  </si>
  <si>
    <t>TS04</t>
  </si>
  <si>
    <t>NGUYỄN THẾ SƠN</t>
  </si>
  <si>
    <t>Sapa</t>
  </si>
  <si>
    <t>0983189148</t>
  </si>
  <si>
    <t>TS05</t>
  </si>
  <si>
    <t>LÊ THỊ SƠN</t>
  </si>
  <si>
    <t>0944082694</t>
  </si>
  <si>
    <t>TS06</t>
  </si>
  <si>
    <t>0917037116</t>
  </si>
  <si>
    <t>TT02</t>
  </si>
  <si>
    <t>HOÀNG THỊ TRANG</t>
  </si>
  <si>
    <t>0365932694</t>
  </si>
  <si>
    <t>0793700438</t>
  </si>
  <si>
    <t>TT04</t>
  </si>
  <si>
    <t>Huỳnh Tấn Phát, P.11, Tp. Đà Lạt</t>
  </si>
  <si>
    <t>0983810437</t>
  </si>
  <si>
    <t>TT05</t>
  </si>
  <si>
    <t>TRANG TRÍ NỘI THẤT TRỌNG TÍN</t>
  </si>
  <si>
    <t>5800439638</t>
  </si>
  <si>
    <t>279 PHAN ĐÌNH PHÙNG, P2, ĐÀ LẠT</t>
  </si>
  <si>
    <t>TT07</t>
  </si>
  <si>
    <t>0973201813</t>
  </si>
  <si>
    <t>TT08</t>
  </si>
  <si>
    <t>Thái Phiên, Đà Lạt</t>
  </si>
  <si>
    <t>0976506524</t>
  </si>
  <si>
    <t>TT09</t>
  </si>
  <si>
    <t>0888918699</t>
  </si>
  <si>
    <t>TT10</t>
  </si>
  <si>
    <t>CAO THỊ TRÂM</t>
  </si>
  <si>
    <t>0982013192</t>
  </si>
  <si>
    <t>TT11</t>
  </si>
  <si>
    <t>CAO THỊ TRẦM</t>
  </si>
  <si>
    <t>Tuy Phước, Bình Định</t>
  </si>
  <si>
    <t>0392848746</t>
  </si>
  <si>
    <t>TT12</t>
  </si>
  <si>
    <t>NGÔ THỊ THU THỦY</t>
  </si>
  <si>
    <t>0933042882</t>
  </si>
  <si>
    <t>TT13</t>
  </si>
  <si>
    <t>PHẠM THỊ TUYẾT</t>
  </si>
  <si>
    <t>TT14</t>
  </si>
  <si>
    <t>0974793325</t>
  </si>
  <si>
    <t>0106869738-036</t>
  </si>
  <si>
    <t>2/14 Thái Phiên</t>
  </si>
  <si>
    <t>0369.557279</t>
  </si>
  <si>
    <t>TT18</t>
  </si>
  <si>
    <t>TRIỆU TIẾN THÀNH</t>
  </si>
  <si>
    <t>Tổ 13, Thị trấn Sapa, huyện Sapa, tỉnh Lào Cai</t>
  </si>
  <si>
    <t>0373426889</t>
  </si>
  <si>
    <t>TU01</t>
  </si>
  <si>
    <t>NGUYỄN THỊ ÚT</t>
  </si>
  <si>
    <t>51/2 Thái Phiên, P. 12, Tp. Đà Lạt</t>
  </si>
  <si>
    <t>0943601568</t>
  </si>
  <si>
    <t>0813438960</t>
  </si>
  <si>
    <t>TUAN</t>
  </si>
  <si>
    <t>ANH TUẤN - LƯỚI LÀM KHO</t>
  </si>
  <si>
    <t>TV01</t>
  </si>
  <si>
    <t>PHƯƠNG TƯỜNG VY</t>
  </si>
  <si>
    <t>0908396707/0919002150</t>
  </si>
  <si>
    <t>TV04</t>
  </si>
  <si>
    <t>ĐINH THỊ VĨNH</t>
  </si>
  <si>
    <t>0396359456</t>
  </si>
  <si>
    <t>TV05</t>
  </si>
  <si>
    <t>NGUYỄN TRƯỜNG VY</t>
  </si>
  <si>
    <t>Đa Thiện</t>
  </si>
  <si>
    <t>0911664700</t>
  </si>
  <si>
    <t>chợ Thái Phiên</t>
  </si>
  <si>
    <t>0983958191</t>
  </si>
  <si>
    <t>TX01</t>
  </si>
  <si>
    <t>Thanh Xuân</t>
  </si>
  <si>
    <t>TH01</t>
  </si>
  <si>
    <t>PHAN THỊ HUỆ</t>
  </si>
  <si>
    <t>105C, Phước Thành, P7, Đà Lạt</t>
  </si>
  <si>
    <t>0985 300100</t>
  </si>
  <si>
    <t>TH02</t>
  </si>
  <si>
    <t>HUỲNH THỊ HƯƠNG</t>
  </si>
  <si>
    <t>0972 027909</t>
  </si>
  <si>
    <t>0979161994</t>
  </si>
  <si>
    <t>TH04</t>
  </si>
  <si>
    <t>NPP Trần Thu Hạnh</t>
  </si>
  <si>
    <t>8122120348</t>
  </si>
  <si>
    <t>266/4 Phan Đình Phùng, Phường 2, Đà Lạt</t>
  </si>
  <si>
    <t>TH05</t>
  </si>
  <si>
    <t>TRUNG TÂM THƯƠNG MẠI DỊCH VỤ VÀ KỸ THUẬT TÍN HƯNG</t>
  </si>
  <si>
    <t>10/10 ĐỒI THÔNG TIN, PHƯỜNG 8, TP. ĐÀ LẠT</t>
  </si>
  <si>
    <t>TH06</t>
  </si>
  <si>
    <t>ĐẶNG THỊ HƯƠNG</t>
  </si>
  <si>
    <t>01677029422</t>
  </si>
  <si>
    <t>0982134847</t>
  </si>
  <si>
    <t>TH08</t>
  </si>
  <si>
    <t>HỒ THỊ THU HÒA</t>
  </si>
  <si>
    <t>Phù Đổng Thiên Vương, phường 8, Tp. Đà Lạt</t>
  </si>
  <si>
    <t>0987296264</t>
  </si>
  <si>
    <t>TH10</t>
  </si>
  <si>
    <t>0911445704</t>
  </si>
  <si>
    <t>TH11</t>
  </si>
  <si>
    <t>PHẠM THỊ HẠNH</t>
  </si>
  <si>
    <t>0984149889</t>
  </si>
  <si>
    <t>Công Ty TNHH Travelpass</t>
  </si>
  <si>
    <t>0313183351</t>
  </si>
  <si>
    <t>336 Cao Thắng, P12, Quận 10, TPHCM</t>
  </si>
  <si>
    <t>3312</t>
  </si>
  <si>
    <t>VB01</t>
  </si>
  <si>
    <t>BÙI VĂN BẢY</t>
  </si>
  <si>
    <t>0988595393</t>
  </si>
  <si>
    <t>VB02</t>
  </si>
  <si>
    <t>VÕ VĂN BÌNH</t>
  </si>
  <si>
    <t>0932962639</t>
  </si>
  <si>
    <t>0967475653</t>
  </si>
  <si>
    <t>27D Vạn Thành</t>
  </si>
  <si>
    <t>0347899200</t>
  </si>
  <si>
    <t>Xuân Thọ</t>
  </si>
  <si>
    <t>0909132117</t>
  </si>
  <si>
    <t>VD01</t>
  </si>
  <si>
    <t>PHẠM VĂN DƯƠNG</t>
  </si>
  <si>
    <t>0973314668</t>
  </si>
  <si>
    <t>VD02</t>
  </si>
  <si>
    <t>NGUYỄN VĂN ĐƯƠNG</t>
  </si>
  <si>
    <t>Buôn Chuối,Mê Linh, Lâm Hà</t>
  </si>
  <si>
    <t>0966015885</t>
  </si>
  <si>
    <t>0976 356272</t>
  </si>
  <si>
    <t>VD04</t>
  </si>
  <si>
    <t>NGÔ VĂN ĐẠT</t>
  </si>
  <si>
    <t>Thị Trấn Lạc Dương</t>
  </si>
  <si>
    <t>0947 337111</t>
  </si>
  <si>
    <t>Đơn Dương</t>
  </si>
  <si>
    <t>0976162980</t>
  </si>
  <si>
    <t>0972022558</t>
  </si>
  <si>
    <t>0914514838</t>
  </si>
  <si>
    <t>VH01</t>
  </si>
  <si>
    <t>0909125539</t>
  </si>
  <si>
    <t>VH02</t>
  </si>
  <si>
    <t>NGUYỄN VĂN HOÀNG</t>
  </si>
  <si>
    <t>VH03</t>
  </si>
  <si>
    <t>VÕ HIẾU</t>
  </si>
  <si>
    <t>0975034702</t>
  </si>
  <si>
    <t>VH04</t>
  </si>
  <si>
    <t>Nguyễn Văn Huy</t>
  </si>
  <si>
    <t>0903152263</t>
  </si>
  <si>
    <t>0979178592</t>
  </si>
  <si>
    <t>ĐƯỜNG 723</t>
  </si>
  <si>
    <t>0982814058</t>
  </si>
  <si>
    <t>VH07</t>
  </si>
  <si>
    <t>DƯƠNG VĂN HƠN</t>
  </si>
  <si>
    <t>VK01</t>
  </si>
  <si>
    <t>HOÀNG VĂN KHOA</t>
  </si>
  <si>
    <t>48, Nguyễn Hữu Cầu, Phường 12, Đà Lạt</t>
  </si>
  <si>
    <t>0919 440155</t>
  </si>
  <si>
    <t>VK02</t>
  </si>
  <si>
    <t>ĐẶNG VÕ VĂN KHANH</t>
  </si>
  <si>
    <t>0388736172</t>
  </si>
  <si>
    <t>0835623469</t>
  </si>
  <si>
    <t>VL01</t>
  </si>
  <si>
    <t>PHẠM VĂN LỢI</t>
  </si>
  <si>
    <t>26/15 Thái Phiên</t>
  </si>
  <si>
    <t>0906638649</t>
  </si>
  <si>
    <t>VL02</t>
  </si>
  <si>
    <t>PHẠM VĂN LỘC</t>
  </si>
  <si>
    <t>45 HOÀNG HOA THÁM, P.10</t>
  </si>
  <si>
    <t>01254904693</t>
  </si>
  <si>
    <t>VL03</t>
  </si>
  <si>
    <t>KHÁCH VÃNG LAI</t>
  </si>
  <si>
    <t>VM01</t>
  </si>
  <si>
    <t>PHẠM VĂN MẠNH</t>
  </si>
  <si>
    <t>Chợ Mê Linh, Huyện Mê Linh, Tp. Hà Nội</t>
  </si>
  <si>
    <t>0968152225</t>
  </si>
  <si>
    <t>VM02</t>
  </si>
  <si>
    <t>VÕ VĂN MINH</t>
  </si>
  <si>
    <t>0917132393</t>
  </si>
  <si>
    <t>0983593531</t>
  </si>
  <si>
    <t>VN01</t>
  </si>
  <si>
    <t>NGUYỄN VĂN NGỌC</t>
  </si>
  <si>
    <t>0982216047</t>
  </si>
  <si>
    <t>VN02</t>
  </si>
  <si>
    <t>CÔNG TY TNHH TRAVELOKA VIỆT NAM</t>
  </si>
  <si>
    <t>313581779</t>
  </si>
  <si>
    <t>LẦU 2 VÀ LẦU 3, TÒA NHÀ AN PHÚ PLAZA, 117-119 LÝ CHÍNH THẮNG, P.7, Q.3, TP.HỒ CHÍ MINH</t>
  </si>
  <si>
    <t>VN07</t>
  </si>
  <si>
    <t>CÔNG TY TNHH HÀNG HẢI LIÊN KẾT VIỆT NAM</t>
  </si>
  <si>
    <t>0306708576</t>
  </si>
  <si>
    <t>180-192 Nguyễn Công Trứ, Q.1, Tp.HCM</t>
  </si>
  <si>
    <t>VP01</t>
  </si>
  <si>
    <t>ĐÀO VĨNH PHÚ</t>
  </si>
  <si>
    <t>0919641477</t>
  </si>
  <si>
    <t>0915755165</t>
  </si>
  <si>
    <t>0916273757</t>
  </si>
  <si>
    <t>VT01</t>
  </si>
  <si>
    <t>ĐINH VĂN THIỆN</t>
  </si>
  <si>
    <t>0919411315</t>
  </si>
  <si>
    <t>VT02</t>
  </si>
  <si>
    <t>PHẠM VĂN THUẬN</t>
  </si>
  <si>
    <t>VT03</t>
  </si>
  <si>
    <t>BÙI VĂN THẾ</t>
  </si>
  <si>
    <t>Phan Văn Thành</t>
  </si>
  <si>
    <t>Thôn Darahoa, xã Đạ Nhim, huyện Lạc Dương</t>
  </si>
  <si>
    <t>0948373653</t>
  </si>
  <si>
    <t>VT05</t>
  </si>
  <si>
    <t>TỔNG CÔNG TY CỔ PHẤN BƯU CHÍNH VIETTEL</t>
  </si>
  <si>
    <t>0104093672</t>
  </si>
  <si>
    <t>SỐ 1, PHỐ GIANG VĂN MINH, PHƯỜNG KIM MÃ, QUẬN BA ĐÌNH, TP. HÀ NỘI</t>
  </si>
  <si>
    <t>02462660306</t>
  </si>
  <si>
    <t>VT06</t>
  </si>
  <si>
    <t>TT KINH DOANH VNPT - LÂM ĐỒNG - CN TỔNG CÔNG TY DỊCH VỤ VIỄN THÔNG</t>
  </si>
  <si>
    <t>SỐ 8, TRẦN PHÚ, P3, TP. ĐÀ LẠT</t>
  </si>
  <si>
    <t>VT08</t>
  </si>
  <si>
    <t>HỨA VĂN TÀI</t>
  </si>
  <si>
    <t>0978829790</t>
  </si>
  <si>
    <t>0982037166</t>
  </si>
  <si>
    <t>0937066544</t>
  </si>
  <si>
    <t>Thải Phiên</t>
  </si>
  <si>
    <t>0979269069</t>
  </si>
  <si>
    <t>VT12</t>
  </si>
  <si>
    <t>Viettel Lâm Đồng - CN Tập Đoàn Công Nghiệp - Viễn Thông Quân Đội</t>
  </si>
  <si>
    <t>0100109106</t>
  </si>
  <si>
    <t>0396720174</t>
  </si>
  <si>
    <t>VT14</t>
  </si>
  <si>
    <t>NGUYỄN VĂN THÌN</t>
  </si>
  <si>
    <t>Thôn Xâu Chua, xã Sa pả, huyện Sapa, tỉnh Lào Cai</t>
  </si>
  <si>
    <t>0973304869</t>
  </si>
  <si>
    <t>VT15</t>
  </si>
  <si>
    <t>NGUYỄN VĂN TUYẾN</t>
  </si>
  <si>
    <t>0983646559</t>
  </si>
  <si>
    <t>VT16</t>
  </si>
  <si>
    <t>NGUYỄN VIẾT TIẾN</t>
  </si>
  <si>
    <t>Xã Mê Linh, Huyện Mê Linh, Tp Hà Nội</t>
  </si>
  <si>
    <t>VV01</t>
  </si>
  <si>
    <t>ĐÀO VĂN VIẾT</t>
  </si>
  <si>
    <t>VV02</t>
  </si>
  <si>
    <t>VV1</t>
  </si>
  <si>
    <t>CHI CỤC KIỂM DỊCH THỰC VẬT VÙNG 1</t>
  </si>
  <si>
    <t>Nam Hồ 2, Phường 11, Đà Lạt</t>
  </si>
  <si>
    <t>XL02</t>
  </si>
  <si>
    <t>NGUYỄN THỊ XUÂN LAN</t>
  </si>
  <si>
    <t>Số 8 Thái Phiên</t>
  </si>
  <si>
    <t>XP01</t>
  </si>
  <si>
    <t>NGUYỄN XUÂN PHI</t>
  </si>
  <si>
    <t>2.      Vận chuyển: Giao hàng đến kho khách hàng</t>
  </si>
  <si>
    <t>1.      Thời gian giao hàng dự kiến: theo yêu cầu của bên B</t>
  </si>
  <si>
    <t>(MUA, BÁN CỦ GIỐNG HOA LILY)</t>
  </si>
  <si>
    <t xml:space="preserve">         Phí vận chuyển:130.000 Đ/ khay</t>
  </si>
  <si>
    <t>-     Đợt 1: Bên B thanh toán 10% giá trị đơn hàng ngay khi ký hợp đồng.</t>
  </si>
  <si>
    <t>-     Đợt 2: Bên B thanh toán thêm 50% giá trị đơn hàng trước thời điểm hàng lên tàu( 10/09/2019 Dương lịch)</t>
  </si>
  <si>
    <t>-     Đợt 3: Bên B thanh toán đủ 40% còn lại của giá trị đơn hàng trước khi lấy củ hoặc thỏa thuận khác khi có sự đồng ý của hai bên.</t>
  </si>
  <si>
    <t>-     Bên B thanh toán đủ 100% giá trị đơn hàng trước 29/08/2019 Dương lịch (29/07/2019 Âm lịch) sẽ được chiết khấu 2% tổng giá trị đơn hàng( không bao gồm phí lưu kho và phí vận chuyển).</t>
  </si>
  <si>
    <t xml:space="preserve">         Phí lưu kho:0.16 Euro/khay/ tuần tính từ thời điểm 01/03/2019 Dương lịch đến thời điểm hàng được xếp lên tàu.</t>
  </si>
  <si>
    <t>-       Đợt 2: Bên B thanh toán thêm 50% giá trị đơn hàng trước thời điểm hàng lên tàu (10/09/2019 dương lịch)</t>
  </si>
  <si>
    <t>-       Đợt 3: Bên B thanh toán đủ 40% còn lại của giá trị đơn hàng trước khi lấy củ hoặc thỏa thuận khác khi có sự đồng ý của hai bên.</t>
  </si>
  <si>
    <t>-       Bên B thanh toán đủ 100% giá trị đơn hàng trước 29/08/2019 Dương lịch (tức ngày 29/07/2019 Âm lịch) sẽ được chiết khấu 2% tổng giá trị đơn hàng( không bao gồm phí lưu kho và phí vận chuyển).</t>
  </si>
  <si>
    <t>dành cho hợp đồng TẾT</t>
  </si>
  <si>
    <t>Phí vận chuyển: 130.000 đồng/ khay</t>
  </si>
  <si>
    <t>Phí lưu kho: 0.16 Euro/ khay/ tuần tính từ thời điểm 01/03/2019 Dương lịch đến thời điểm hàng được xếp lên tàu.</t>
  </si>
  <si>
    <t>162A/2019</t>
  </si>
  <si>
    <t>VT17</t>
  </si>
  <si>
    <t>LÊ VĂN THÀNH</t>
  </si>
  <si>
    <t>163A/2019</t>
  </si>
  <si>
    <t>164A/2019</t>
  </si>
  <si>
    <t>165A/2019</t>
  </si>
  <si>
    <t>167A/2019</t>
  </si>
  <si>
    <t>168A/2019</t>
  </si>
  <si>
    <t>169A/2019</t>
  </si>
  <si>
    <t>170A/2019</t>
  </si>
  <si>
    <t>TH12</t>
  </si>
  <si>
    <t>TRẦN HƯNG</t>
  </si>
  <si>
    <t>171A/2019</t>
  </si>
  <si>
    <t>05/05AL</t>
  </si>
  <si>
    <t>172A/2019</t>
  </si>
  <si>
    <t>173A/2019</t>
  </si>
  <si>
    <t>174A/2019</t>
  </si>
  <si>
    <t>176A/2019</t>
  </si>
  <si>
    <t>177A/2019</t>
  </si>
  <si>
    <t>178A/2019</t>
  </si>
  <si>
    <t>179A/2019</t>
  </si>
  <si>
    <t>180A/2019</t>
  </si>
  <si>
    <t>CL03</t>
  </si>
  <si>
    <t>NGUYỄN CÔNG LÂM</t>
  </si>
  <si>
    <t>LODI</t>
  </si>
  <si>
    <t>181A/2019</t>
  </si>
  <si>
    <t>TT19</t>
  </si>
  <si>
    <t>NGUYỄN THỊ THU</t>
  </si>
  <si>
    <t>182A/2019</t>
  </si>
  <si>
    <t>183A/2019</t>
  </si>
  <si>
    <t>184A/2019</t>
  </si>
  <si>
    <t>10/6AL</t>
  </si>
  <si>
    <t>185A/2019</t>
  </si>
  <si>
    <t>9-16/4 KH LÊN THANH TOÁN VÀ GIAO HÀNG</t>
  </si>
  <si>
    <t>186A/2019</t>
  </si>
  <si>
    <t>VT19</t>
  </si>
  <si>
    <t>ĐẶNG VĂN THANH</t>
  </si>
  <si>
    <t>187A/2019</t>
  </si>
  <si>
    <t>T5</t>
  </si>
  <si>
    <t>PROFUNDO CHILE</t>
  </si>
  <si>
    <t>Trung tâm Ươm tạo Doanh nghiệp Nông nghiệp Công nghệ cao-Ấp 1, Xã Phạm Văn Cội, Củ Chi</t>
  </si>
  <si>
    <t>0366481378</t>
  </si>
  <si>
    <t>CN01</t>
  </si>
  <si>
    <t>QUÁN ĂN GIA ĐÌNH CAO NGUYÊN</t>
  </si>
  <si>
    <t>0309571168</t>
  </si>
  <si>
    <t>20 Tổ Lâm Văn Thạnh, P11, Đà Lạt</t>
  </si>
  <si>
    <t>HH02</t>
  </si>
  <si>
    <t>HIỆP HỘI HOA ĐÀ LẠT</t>
  </si>
  <si>
    <t>0913285712</t>
  </si>
  <si>
    <t>PM01</t>
  </si>
  <si>
    <t>NGUYỄN PHƯỚC MINH</t>
  </si>
  <si>
    <t>Tổ 13, Thị Trấn SaPa, Tỉnh Lào Cai</t>
  </si>
  <si>
    <t>0972515899</t>
  </si>
  <si>
    <t>0345278374</t>
  </si>
  <si>
    <t>VG01</t>
  </si>
  <si>
    <t>LÊ VĂN GIANG</t>
  </si>
  <si>
    <t>0868144025</t>
  </si>
  <si>
    <t>Lê Văn Thành</t>
  </si>
  <si>
    <t>0917203091</t>
  </si>
  <si>
    <t>VT18</t>
  </si>
  <si>
    <t>VÕ VĂN TRÍ</t>
  </si>
  <si>
    <t>73 Bế Văn Đàn,Thái Phiên, P12, Đà Lạt</t>
  </si>
  <si>
    <t>0979677156</t>
  </si>
  <si>
    <t>0998945352</t>
  </si>
  <si>
    <t>VX01</t>
  </si>
  <si>
    <t>Nguyễn Văn Xuân</t>
  </si>
  <si>
    <t>188A/2019</t>
  </si>
  <si>
    <t>189A/2019</t>
  </si>
  <si>
    <t>NGUYỄN CHUNG TUYÊN</t>
  </si>
  <si>
    <t>190A/2019</t>
  </si>
  <si>
    <t>191A/2019</t>
  </si>
  <si>
    <t>HT05</t>
  </si>
  <si>
    <t>LÊ THỊ HỒNG TÂM</t>
  </si>
  <si>
    <t>17/4AL</t>
  </si>
  <si>
    <t>192A/2019</t>
  </si>
  <si>
    <t>193A/2019</t>
  </si>
  <si>
    <t>194A/2019</t>
  </si>
  <si>
    <t>Order Qty_Bulbs</t>
  </si>
  <si>
    <t>Customer Contract Amount_VND</t>
  </si>
  <si>
    <t>AMIGA</t>
  </si>
  <si>
    <t>CL2019</t>
  </si>
  <si>
    <t>05/5AL</t>
  </si>
  <si>
    <t>30/5AL</t>
  </si>
  <si>
    <t>05/6AL</t>
  </si>
  <si>
    <t>275</t>
  </si>
  <si>
    <t>ĐỖ VĂN TRÀ ( NA)</t>
  </si>
  <si>
    <t>ĐỖ VĂN TRÀ ( MINH ANH)</t>
  </si>
  <si>
    <t>195A/2019</t>
  </si>
  <si>
    <t>TRẦN MINH PHỤNG</t>
  </si>
  <si>
    <t>MP04</t>
  </si>
  <si>
    <t>196A/2019</t>
  </si>
  <si>
    <t>250</t>
  </si>
  <si>
    <t xml:space="preserve">    </t>
  </si>
  <si>
    <t xml:space="preserve">Anh Tuấn </t>
  </si>
  <si>
    <t xml:space="preserve">Phường 11, TP. Đà Lạt         </t>
  </si>
  <si>
    <t>Bãi Tự Do - Thái Phiên</t>
  </si>
  <si>
    <t xml:space="preserve">Vạn Thành </t>
  </si>
  <si>
    <t>0794615125</t>
  </si>
  <si>
    <t>0978164217</t>
  </si>
  <si>
    <t xml:space="preserve">NGUYỄN NHÂN THUẬN </t>
  </si>
  <si>
    <t xml:space="preserve">1669611722 </t>
  </si>
  <si>
    <t>0989643139</t>
  </si>
  <si>
    <t xml:space="preserve">NGUYỄN THANH TÂN </t>
  </si>
  <si>
    <t xml:space="preserve">TRAVEL </t>
  </si>
  <si>
    <t xml:space="preserve">VAN DEN BOS FLOWERBULBS </t>
  </si>
  <si>
    <t xml:space="preserve">0796 049049 </t>
  </si>
  <si>
    <t>Tổ 3, Thị Trấn Sapa, Tỉnh Lào Cai</t>
  </si>
  <si>
    <t>NGUYỄN VĂN XUÂN</t>
  </si>
  <si>
    <t>197A/2019</t>
  </si>
  <si>
    <t>198A/2019</t>
  </si>
  <si>
    <t>199A/2019</t>
  </si>
  <si>
    <t>5/5AL</t>
  </si>
  <si>
    <t>10/5AL</t>
  </si>
  <si>
    <t>200A/2019</t>
  </si>
  <si>
    <t>201A/2019</t>
  </si>
  <si>
    <t>202A/2019</t>
  </si>
  <si>
    <t>CONCADOR STEEN</t>
  </si>
  <si>
    <t>ROBINA DLW</t>
  </si>
  <si>
    <t>ROBINA ZABO</t>
  </si>
  <si>
    <t>203A/2019</t>
  </si>
  <si>
    <t>SORBONNE</t>
  </si>
  <si>
    <t>ZAMBESSI</t>
  </si>
  <si>
    <t>19/4AL</t>
  </si>
  <si>
    <t>FERRERO</t>
  </si>
  <si>
    <t>13.14</t>
  </si>
  <si>
    <t>204A/2019</t>
  </si>
  <si>
    <t>ROBINA NZ</t>
  </si>
  <si>
    <t>1/8AL</t>
  </si>
  <si>
    <t>5.400 chưa bao gồm phí lạnh</t>
  </si>
  <si>
    <t>PATRICIA</t>
  </si>
  <si>
    <t>THALITA</t>
  </si>
  <si>
    <t>TATSJANA</t>
  </si>
  <si>
    <t>205A/2019</t>
  </si>
  <si>
    <t>05/7AL</t>
  </si>
  <si>
    <t>05/8AL</t>
  </si>
  <si>
    <t>05/9AL</t>
  </si>
  <si>
    <t>-       Đợt 1: Bên B thanh toán 10% giá trị đơn hàng ngay khi ký hợp đồng.</t>
  </si>
  <si>
    <t>ELDIVO</t>
  </si>
  <si>
    <t>206A/2019</t>
  </si>
  <si>
    <t>BH01</t>
  </si>
  <si>
    <t>DƯƠNG THỊ BÍCH HUYỀN</t>
  </si>
  <si>
    <t xml:space="preserve">15/4AL XẢ </t>
  </si>
  <si>
    <t>23/4AL XẢ</t>
  </si>
  <si>
    <t>5/5AL XẢ 1/2+ 15/5 xả 1/2</t>
  </si>
  <si>
    <t>Báo giá KH sau</t>
  </si>
  <si>
    <t>207A/2019</t>
  </si>
  <si>
    <t>10/4AL XẢ</t>
  </si>
  <si>
    <t>208A/2019</t>
  </si>
  <si>
    <t>VŨ ĐÌNH CHIẾN</t>
  </si>
  <si>
    <t>209A/2019</t>
  </si>
  <si>
    <t>TRẦN VĂN LỘC</t>
  </si>
  <si>
    <t>210A/2019</t>
  </si>
  <si>
    <t>211A/2019</t>
  </si>
  <si>
    <t>5/5AL_1 lần trồng 8.000 cách nhau 15 ngay</t>
  </si>
  <si>
    <t>212A/2019</t>
  </si>
  <si>
    <t>DC03</t>
  </si>
  <si>
    <t>213A/2019</t>
  </si>
  <si>
    <t>NGUYỄN THỊ THU HÒA</t>
  </si>
  <si>
    <t>214A/2019</t>
  </si>
  <si>
    <t>7.100+Phí kho lạnh</t>
  </si>
  <si>
    <t>215A/2019</t>
  </si>
  <si>
    <t>NGUYỄN ANH TÚ</t>
  </si>
  <si>
    <t>25/4AL</t>
  </si>
  <si>
    <t>25/5AL</t>
  </si>
  <si>
    <t>NZ2019</t>
  </si>
  <si>
    <t>MANISSA NEW ZEALAND</t>
  </si>
  <si>
    <t>CONCADOR NEWZELAND</t>
  </si>
  <si>
    <t>TH16</t>
  </si>
  <si>
    <t>216A/2019</t>
  </si>
  <si>
    <t>HAN03</t>
  </si>
  <si>
    <t>AT05</t>
  </si>
  <si>
    <t>NGUYỄN ANH TÚ</t>
  </si>
  <si>
    <t>Mai Anh Đào</t>
  </si>
  <si>
    <t>0977772748</t>
  </si>
  <si>
    <t>HAN00</t>
  </si>
  <si>
    <t>0974826603</t>
  </si>
  <si>
    <t>BÙI THÍCH</t>
  </si>
  <si>
    <t xml:space="preserve">  60 000 000</t>
  </si>
  <si>
    <t>HAN15</t>
  </si>
  <si>
    <t>HAN10</t>
  </si>
  <si>
    <t>NGUYỄN CÔNG LÂM</t>
  </si>
  <si>
    <t>CMA</t>
  </si>
  <si>
    <t>CÔNG TY CỔ PHẦN CMA-CGM VIỆT NAM</t>
  </si>
  <si>
    <t>0304207743</t>
  </si>
  <si>
    <t>Lầu 8, Số 81-85 đường Hàm Nghi, P Nguyễn Thái bình, Quận 1, HCM</t>
  </si>
  <si>
    <t>NGUYỄN THỊ CẨM THÚY</t>
  </si>
  <si>
    <t>0977399077</t>
  </si>
  <si>
    <t>KONO</t>
  </si>
  <si>
    <t>NGUYỄN TRUNG TUYÊN</t>
  </si>
  <si>
    <t>VŨ ĐÌNH CHIẾN</t>
  </si>
  <si>
    <t>Vạn Thành</t>
  </si>
  <si>
    <t>0919570063</t>
  </si>
  <si>
    <t>VÕ ĐÌNH DŨNG</t>
  </si>
  <si>
    <t>Đa Thiện</t>
  </si>
  <si>
    <t xml:space="preserve">  80 000 000</t>
  </si>
  <si>
    <t>LIÊNG HOT HA LINH</t>
  </si>
  <si>
    <t>Đa Sar</t>
  </si>
  <si>
    <t>0972776153</t>
  </si>
  <si>
    <t xml:space="preserve">  100 000 000</t>
  </si>
  <si>
    <t xml:space="preserve">  30 000 000</t>
  </si>
  <si>
    <t>ĐỖ THỊ LAN HƯƠNG</t>
  </si>
  <si>
    <t>LƯƠNG THIỆN</t>
  </si>
  <si>
    <t xml:space="preserve">  70 000 000</t>
  </si>
  <si>
    <t>BÙI MINH SANG</t>
  </si>
  <si>
    <t>LÊ NGUYÊN CHÍ</t>
  </si>
  <si>
    <t xml:space="preserve">  150 000 000</t>
  </si>
  <si>
    <t>NGÔ THỊ NGỌC THỦY</t>
  </si>
  <si>
    <t>PHẠM NGỌC VŨ</t>
  </si>
  <si>
    <t>Đường Hầm Đất Sét</t>
  </si>
  <si>
    <t>NGUYỄN PHÚC AN</t>
  </si>
  <si>
    <t>NGUYỄN QUỐC THÁI</t>
  </si>
  <si>
    <t>TA05</t>
  </si>
  <si>
    <t>LÊ THANH AN</t>
  </si>
  <si>
    <t>15 Hùng Vương, Đà Lạt</t>
  </si>
  <si>
    <t>0918752903</t>
  </si>
  <si>
    <t>NGUYỄN TƯƠNG TUYÊN</t>
  </si>
  <si>
    <t>TRẦN THANH TÙNG</t>
  </si>
  <si>
    <t>MẠC THỊ THỦY</t>
  </si>
  <si>
    <t>NGUYỄN THẾ TÙNG</t>
  </si>
  <si>
    <t>0987672331</t>
  </si>
  <si>
    <t>TH14</t>
  </si>
  <si>
    <t>MAI THỊ HẰNG</t>
  </si>
  <si>
    <t>0984020381</t>
  </si>
  <si>
    <t>TH15</t>
  </si>
  <si>
    <t>LÊ THỊ THANH HUYỀN</t>
  </si>
  <si>
    <t>0918675257</t>
  </si>
  <si>
    <t>NGUYỄN THỊ THU HÒA</t>
  </si>
  <si>
    <t>0918206265</t>
  </si>
  <si>
    <t xml:space="preserve">  600 000 000</t>
  </si>
  <si>
    <t>VŨ VĂN HƯỞNG</t>
  </si>
  <si>
    <t>NGUYỄN VĂN HUY</t>
  </si>
  <si>
    <t>HUỲNH VĂN HOÀNG</t>
  </si>
  <si>
    <t>VL04</t>
  </si>
  <si>
    <t>TRẦN VĂN LỘC</t>
  </si>
  <si>
    <t>0986820311</t>
  </si>
  <si>
    <t>PHAN VĂN THÀNH</t>
  </si>
  <si>
    <t>PHẠM VĂN THỦY</t>
  </si>
  <si>
    <t>LÊ VĂN THÀNH</t>
  </si>
  <si>
    <t>ROBINA Newzeland</t>
  </si>
  <si>
    <t>TARRANGO CHILE</t>
  </si>
  <si>
    <t>BACARDI CHILE</t>
  </si>
  <si>
    <t>217A/2019</t>
  </si>
  <si>
    <t>SEDONA</t>
  </si>
  <si>
    <t>218A/2019</t>
  </si>
  <si>
    <t>VÕ THỊ DUNG</t>
  </si>
  <si>
    <t>219A/2019</t>
  </si>
  <si>
    <t>NGUYỄN THỊ HUẾ</t>
  </si>
  <si>
    <t>TH17</t>
  </si>
  <si>
    <t>done</t>
  </si>
  <si>
    <t>220A/2019</t>
  </si>
  <si>
    <t>221A/2019</t>
  </si>
  <si>
    <t>THÁI NGUYỄN HOÀNG YẾN</t>
  </si>
  <si>
    <t>HY01</t>
  </si>
  <si>
    <t>Delivery #1</t>
  </si>
  <si>
    <t>Delivery #2</t>
  </si>
  <si>
    <t>Date #1</t>
  </si>
  <si>
    <t>Date #2</t>
  </si>
  <si>
    <t>22A/2019</t>
  </si>
  <si>
    <t>chưa cộng kho lạnh?</t>
  </si>
  <si>
    <t>Lưu ý</t>
  </si>
  <si>
    <t>KH dự kiến xả mát ngày 29/5 DL, ktra lại với KH trước khi xả mát</t>
  </si>
  <si>
    <t>5100</t>
  </si>
  <si>
    <t>Date #3</t>
  </si>
  <si>
    <t>Delivery #3</t>
  </si>
  <si>
    <t>222A/2019</t>
  </si>
  <si>
    <t>5000</t>
  </si>
  <si>
    <t>1000</t>
  </si>
  <si>
    <t>223A/2019</t>
  </si>
  <si>
    <t>3025</t>
  </si>
  <si>
    <t>224A/2019</t>
  </si>
  <si>
    <t>PHẠM MINH PHỤNG</t>
  </si>
  <si>
    <t>225A/2019</t>
  </si>
  <si>
    <t>TRESOR</t>
  </si>
  <si>
    <t>226A/2019</t>
  </si>
  <si>
    <t>MP05</t>
  </si>
  <si>
    <t>227A/2019</t>
  </si>
  <si>
    <t>HOÀNG VĂN XUÂN</t>
  </si>
  <si>
    <t>228A/2019</t>
  </si>
  <si>
    <t>45B/2019</t>
  </si>
  <si>
    <t>THANH THÚY</t>
  </si>
  <si>
    <t>165B/2019</t>
  </si>
  <si>
    <t>42B/2019</t>
  </si>
  <si>
    <t>CTY NGỌC MAI TRANG</t>
  </si>
  <si>
    <t>50B/2019</t>
  </si>
  <si>
    <t>CTY TNHH PHÚC KHANG LỘC</t>
  </si>
  <si>
    <t>CONT 13/2019</t>
  </si>
  <si>
    <t>check lai gia ban</t>
  </si>
  <si>
    <t>170B/2019</t>
  </si>
  <si>
    <t>18/3AL</t>
  </si>
  <si>
    <t>02/5AL</t>
  </si>
  <si>
    <t>29/5AL</t>
  </si>
  <si>
    <t>29/6AL</t>
  </si>
  <si>
    <t>16B/2019</t>
  </si>
  <si>
    <t>SHADAI</t>
  </si>
  <si>
    <t>SUNDERLAND</t>
  </si>
  <si>
    <t>20/5AL</t>
  </si>
  <si>
    <t>CONT 56+57/2019</t>
  </si>
  <si>
    <t>YELLOWEEN DIAMOND</t>
  </si>
  <si>
    <t>DI</t>
  </si>
  <si>
    <t>TAMPA</t>
  </si>
  <si>
    <t>138B/2019</t>
  </si>
  <si>
    <t>YELLOW DIAMOND</t>
  </si>
  <si>
    <t>BEAU SOLEIL</t>
  </si>
  <si>
    <t>96B/2019</t>
  </si>
  <si>
    <t>162B/2019</t>
  </si>
  <si>
    <t>120B/2019</t>
  </si>
  <si>
    <t>15B/2019</t>
  </si>
  <si>
    <t>09/1AL</t>
  </si>
  <si>
    <t>11/1AL</t>
  </si>
  <si>
    <t>TOUCHSTONE</t>
  </si>
  <si>
    <t>141B/2019</t>
  </si>
  <si>
    <t>63B/2019</t>
  </si>
  <si>
    <t>151B/2019</t>
  </si>
  <si>
    <t>28/5AL</t>
  </si>
  <si>
    <t>150B/2019</t>
  </si>
  <si>
    <t>VIRUNGA</t>
  </si>
  <si>
    <t>179B/2019</t>
  </si>
  <si>
    <t>128A/2019</t>
  </si>
  <si>
    <t>73B/2019</t>
  </si>
  <si>
    <t>131B/2019</t>
  </si>
  <si>
    <t>66B/2019</t>
  </si>
  <si>
    <t>TẾT.BÙ CỦ</t>
  </si>
  <si>
    <t>97B/2019</t>
  </si>
  <si>
    <t>91B/2019</t>
  </si>
  <si>
    <t>155B/2019</t>
  </si>
  <si>
    <t>182B/2019</t>
  </si>
  <si>
    <t>154B/2019</t>
  </si>
  <si>
    <t>183B/2019</t>
  </si>
  <si>
    <t>171B/2019</t>
  </si>
  <si>
    <t>172B/2019</t>
  </si>
  <si>
    <t>176B/2019</t>
  </si>
  <si>
    <t>3000</t>
  </si>
  <si>
    <t>2000</t>
  </si>
  <si>
    <t>144B/2019</t>
  </si>
  <si>
    <t>166B/2019</t>
  </si>
  <si>
    <t>167B/2019</t>
  </si>
  <si>
    <t>ROBINA NEW ZEALAND</t>
  </si>
  <si>
    <t>44B/2019</t>
  </si>
  <si>
    <t>137B/2019</t>
  </si>
  <si>
    <t>83B/2019</t>
  </si>
  <si>
    <t>giao anh Kin 08/02AL_5.200</t>
  </si>
  <si>
    <t>giao anh Kin 08/02AL</t>
  </si>
  <si>
    <t>xả mát, giao anh Kin 20/02AL</t>
  </si>
  <si>
    <t>121B/2019</t>
  </si>
  <si>
    <t>181B/2019</t>
  </si>
  <si>
    <t>153B/2019</t>
  </si>
  <si>
    <t>35A/2019</t>
  </si>
  <si>
    <t>TARRANGO VWS</t>
  </si>
  <si>
    <t>chưa tính phí lạnh</t>
  </si>
  <si>
    <t>02/6AL</t>
  </si>
  <si>
    <t>02/7AL</t>
  </si>
  <si>
    <t>141A/2019</t>
  </si>
  <si>
    <t>cộng phí kho lạnh!</t>
  </si>
  <si>
    <t>55B/2019</t>
  </si>
  <si>
    <t>NGUYỄN QUỐC THÁI</t>
  </si>
  <si>
    <t>78B/2019</t>
  </si>
  <si>
    <t>COMPETITION CHILE</t>
  </si>
  <si>
    <t>46B/2019</t>
  </si>
  <si>
    <t>12B/2019</t>
  </si>
  <si>
    <t>NGUYỄN THANH TÂN</t>
  </si>
  <si>
    <t>CIARA</t>
  </si>
  <si>
    <t>126B/2019</t>
  </si>
  <si>
    <t>T5AL TRỞ ĐI</t>
  </si>
  <si>
    <t>178B/2019</t>
  </si>
  <si>
    <t>PALAZZO</t>
  </si>
  <si>
    <t>T3AL TRỞ ĐI</t>
  </si>
  <si>
    <t>106B/2019</t>
  </si>
  <si>
    <t>159B/2019</t>
  </si>
  <si>
    <t>127B/2019</t>
  </si>
  <si>
    <t>23B/2019</t>
  </si>
  <si>
    <t>110B/2019</t>
  </si>
  <si>
    <t>T4 onwards</t>
  </si>
  <si>
    <t>111B/2019</t>
  </si>
  <si>
    <t>163B/2019</t>
  </si>
  <si>
    <t>MAYTIME</t>
  </si>
  <si>
    <t>DYNAMIX</t>
  </si>
  <si>
    <t>BUZZER</t>
  </si>
  <si>
    <t>POT</t>
  </si>
  <si>
    <t>10.12</t>
  </si>
  <si>
    <t>500</t>
  </si>
  <si>
    <t>CLASSIC JOY</t>
  </si>
  <si>
    <t>GOLDEN JOY</t>
  </si>
  <si>
    <t>ISLAND JOY</t>
  </si>
  <si>
    <t>11.12</t>
  </si>
  <si>
    <t>MAJESTIC JOY</t>
  </si>
  <si>
    <t>SUGAR LOVE</t>
  </si>
  <si>
    <t>CONFETTI JOY</t>
  </si>
  <si>
    <t>SOROCABA</t>
  </si>
  <si>
    <t>TRENDY SAVANAH</t>
  </si>
  <si>
    <t>TANGERINE JOY ®</t>
  </si>
  <si>
    <t>TRENDY SAVANNAH ®</t>
  </si>
  <si>
    <t>22B/2019</t>
  </si>
  <si>
    <t>14/2AL</t>
  </si>
  <si>
    <t>check lai sl, 30k hay 40k</t>
  </si>
  <si>
    <t>160B/2019</t>
  </si>
  <si>
    <t>34B/2019</t>
  </si>
  <si>
    <t>134B/2019</t>
  </si>
  <si>
    <t>135B/2019</t>
  </si>
  <si>
    <t>37B/2019</t>
  </si>
  <si>
    <t>175B/2019</t>
  </si>
  <si>
    <t>108B/2019</t>
  </si>
  <si>
    <t>ZIVA</t>
  </si>
  <si>
    <t>RL_POT</t>
  </si>
  <si>
    <t>65B/2019</t>
  </si>
  <si>
    <t>184B/2019</t>
  </si>
  <si>
    <t>OUTBACK</t>
  </si>
  <si>
    <t>180B/2019</t>
  </si>
  <si>
    <t>86B/2019</t>
  </si>
  <si>
    <t>dlw</t>
  </si>
  <si>
    <t>chưa có KH trồng, chưa phí kho lạnh</t>
  </si>
  <si>
    <t>149B/2019</t>
  </si>
  <si>
    <t>152B/2019</t>
  </si>
  <si>
    <t>39B/2019</t>
  </si>
  <si>
    <t>check lai sl 12000 hay 20000</t>
  </si>
  <si>
    <t>ANGELA</t>
  </si>
  <si>
    <t>CLARISSA</t>
  </si>
  <si>
    <t>DORIA</t>
  </si>
  <si>
    <t>PETER SCHENKER</t>
  </si>
  <si>
    <t>29/4AL.chưa tính phí lạnh</t>
  </si>
  <si>
    <t>Cho hàng về sớm do chuyến 29/4 ko có</t>
  </si>
  <si>
    <t>174B/2019</t>
  </si>
  <si>
    <t>21B/2019</t>
  </si>
  <si>
    <t>PAVIA 2018</t>
  </si>
  <si>
    <t>133B/2019</t>
  </si>
  <si>
    <t>check lai sl 5k hay 10k</t>
  </si>
  <si>
    <t>158B/2019</t>
  </si>
  <si>
    <t>173B/2019</t>
  </si>
  <si>
    <t>47B/2019</t>
  </si>
  <si>
    <t>21/1AL</t>
  </si>
  <si>
    <t>LESOTHO</t>
  </si>
  <si>
    <t>01/2AL</t>
  </si>
  <si>
    <t>check lai sl 15k hay 10k</t>
  </si>
  <si>
    <t>30/2AL. Thiếu 5.000</t>
  </si>
  <si>
    <t>10B/2019</t>
  </si>
  <si>
    <t>1/7AL. TRỒNG RẰM T10</t>
  </si>
  <si>
    <t>148B/2019</t>
  </si>
  <si>
    <t>4B/2019</t>
  </si>
  <si>
    <t>156B/2019</t>
  </si>
  <si>
    <t>52B/2019</t>
  </si>
  <si>
    <t>143B/2019</t>
  </si>
  <si>
    <t>13B/2019</t>
  </si>
  <si>
    <t>23/1AL. Kh chưa lấy</t>
  </si>
  <si>
    <t>157B/2019</t>
  </si>
  <si>
    <t>T6AL bắt đầu về hàng size lớn</t>
  </si>
  <si>
    <t>11B/2019</t>
  </si>
  <si>
    <t>VÕ ĐÌNH DŨNG</t>
  </si>
  <si>
    <t>147B/2019</t>
  </si>
  <si>
    <t>161B/2019</t>
  </si>
  <si>
    <t>PAVIA 2017</t>
  </si>
  <si>
    <t>4/3AL</t>
  </si>
  <si>
    <t>130B/2019</t>
  </si>
  <si>
    <t>164B/2019</t>
  </si>
  <si>
    <t>185B/2019</t>
  </si>
  <si>
    <t xml:space="preserve">TARRANGO </t>
  </si>
  <si>
    <t>229/2019</t>
  </si>
  <si>
    <t>HỒ ĐẮC PHƯƠNG DUNG</t>
  </si>
  <si>
    <t>PD01</t>
  </si>
  <si>
    <t>230/2019</t>
  </si>
  <si>
    <t>231/2019</t>
  </si>
  <si>
    <t>232/2019</t>
  </si>
  <si>
    <t>233/2019</t>
  </si>
  <si>
    <t>TRẦN NGỌC HỞI</t>
  </si>
  <si>
    <t>NH05</t>
  </si>
  <si>
    <t>600</t>
  </si>
  <si>
    <t>MT05</t>
  </si>
  <si>
    <t>8/6al TRỒNG</t>
  </si>
  <si>
    <t>234/2019</t>
  </si>
  <si>
    <t>235/2019</t>
  </si>
  <si>
    <t>8500+Phí kho lạnh</t>
  </si>
  <si>
    <t>6000+ phí kho lạnh</t>
  </si>
  <si>
    <t>DIGAME</t>
  </si>
  <si>
    <t>3800+ phí kho lạnh</t>
  </si>
  <si>
    <t>6500+ phí kho lanh</t>
  </si>
  <si>
    <t>6700+ phí kho lạnh</t>
  </si>
  <si>
    <t>236/2019</t>
  </si>
  <si>
    <t>LÊ BÌNH</t>
  </si>
  <si>
    <t>LB01</t>
  </si>
  <si>
    <t>237/2019</t>
  </si>
  <si>
    <t>VX02</t>
  </si>
  <si>
    <t>MA01</t>
  </si>
  <si>
    <t>DP03</t>
  </si>
  <si>
    <t>HỒ ĐẮC PHƯƠNG</t>
  </si>
  <si>
    <t>52/7 Thái Phiên</t>
  </si>
  <si>
    <t>0369196439</t>
  </si>
  <si>
    <t>88D Vạn Hạnh</t>
  </si>
  <si>
    <t>46 Thái phiên</t>
  </si>
  <si>
    <t>0989490207</t>
  </si>
  <si>
    <t>KIM</t>
  </si>
  <si>
    <t>PHẠM MINH PHỤNG</t>
  </si>
  <si>
    <t>Bãi Tự do- 36/8 Ngô Gia Tự</t>
  </si>
  <si>
    <t>0972898483</t>
  </si>
  <si>
    <t>Bãi Sậy</t>
  </si>
  <si>
    <t>0963976364</t>
  </si>
  <si>
    <t>TRẦN NGỌC HỞI</t>
  </si>
  <si>
    <t>Đa Phú</t>
  </si>
  <si>
    <t>0933271180</t>
  </si>
  <si>
    <t>HỒ ĐẮC PHƯƠNG DUNG</t>
  </si>
  <si>
    <t>TD05</t>
  </si>
  <si>
    <t>Cam Ly</t>
  </si>
  <si>
    <t>0384113359</t>
  </si>
  <si>
    <t>4A, Thái Phiên, P12, TP Đà Lạt</t>
  </si>
  <si>
    <t>11/2 Văn Cao, Langbiang, Lạc Dương</t>
  </si>
  <si>
    <t>0343975734</t>
  </si>
  <si>
    <t>HOÀNG VĂN XUÂN</t>
  </si>
  <si>
    <t xml:space="preserve"> 1D Đa Phú</t>
  </si>
  <si>
    <t>ROBINA NEWZEALAND</t>
  </si>
  <si>
    <t>238/2019</t>
  </si>
  <si>
    <t>ROBINA NEWZELAND</t>
  </si>
  <si>
    <t>Đ/C: 4E BÙI THỊ XUÂN P2 ĐÀ LẠT</t>
  </si>
  <si>
    <t>239/2019</t>
  </si>
  <si>
    <t>Giao cử 30/5</t>
  </si>
  <si>
    <t>MANISSA DLW</t>
  </si>
  <si>
    <t>GENERAL LEE</t>
  </si>
  <si>
    <t>Remaining amount</t>
  </si>
  <si>
    <t>Grand Total</t>
  </si>
  <si>
    <t>Sum of Remaining Qty</t>
  </si>
  <si>
    <t>Total Sum of Remaining Qty</t>
  </si>
  <si>
    <t>Total Sum of Remaining amount</t>
  </si>
  <si>
    <t>Sum of Remaining amount</t>
  </si>
  <si>
    <t>230A/2019</t>
  </si>
  <si>
    <t>NT11</t>
  </si>
  <si>
    <t>NGUYỄN THƠM</t>
  </si>
  <si>
    <t>18/5AL</t>
  </si>
  <si>
    <t>3300</t>
  </si>
  <si>
    <t>12000</t>
  </si>
  <si>
    <t>STOCK 5/5AL</t>
  </si>
  <si>
    <t>12/5 AL</t>
  </si>
  <si>
    <t>12/5AL</t>
  </si>
  <si>
    <t>240/2019</t>
  </si>
  <si>
    <t>ROBI_18.20_150_NL2018</t>
  </si>
  <si>
    <t>STOCK 5/5AL Total</t>
  </si>
  <si>
    <t>STOCK 18/5</t>
  </si>
  <si>
    <t>15/6 LẤY</t>
  </si>
  <si>
    <t>20/6AL</t>
  </si>
  <si>
    <t>241/2019</t>
  </si>
  <si>
    <t>SERA_14.16_300_NL2018</t>
  </si>
  <si>
    <t>15/6AL</t>
  </si>
  <si>
    <t>PHẠM MINH THẠNH</t>
  </si>
  <si>
    <t>242/2019</t>
  </si>
  <si>
    <t>VK04</t>
  </si>
  <si>
    <t>TRẦN VIỆT KIỀU</t>
  </si>
  <si>
    <t>243/2019</t>
  </si>
  <si>
    <t>VT21</t>
  </si>
  <si>
    <t>NGUYỄN VĂN TUẤN</t>
  </si>
  <si>
    <t>244/2019</t>
  </si>
  <si>
    <t>Hà Nội chuyển vô</t>
  </si>
  <si>
    <t>245/2019</t>
  </si>
  <si>
    <t>14/11/2018</t>
  </si>
  <si>
    <t>21/01/2019</t>
  </si>
  <si>
    <t>29/08/2018</t>
  </si>
  <si>
    <t>15/08/2018</t>
  </si>
  <si>
    <t>30/08/2018</t>
  </si>
  <si>
    <t>22/11/2018</t>
  </si>
  <si>
    <t>24/05/2019</t>
  </si>
  <si>
    <t>26/09/2018</t>
  </si>
  <si>
    <t>15/10/2018</t>
  </si>
  <si>
    <t>16/11/2018</t>
  </si>
  <si>
    <t>26/04/2019</t>
  </si>
  <si>
    <t>19/09/2018</t>
  </si>
  <si>
    <t>18/12/2018</t>
  </si>
  <si>
    <t>24/01/2019</t>
  </si>
  <si>
    <t>22/08/2018</t>
  </si>
  <si>
    <t>16/08/2018</t>
  </si>
  <si>
    <t>23/08/2018</t>
  </si>
  <si>
    <t>22/04/2019</t>
  </si>
  <si>
    <t>17/10/2018</t>
  </si>
  <si>
    <t>18/10/2018</t>
  </si>
  <si>
    <t>19/03/2019</t>
  </si>
  <si>
    <t>13/03/2019</t>
  </si>
  <si>
    <t>CT05</t>
  </si>
  <si>
    <t>CỤ THÌ</t>
  </si>
  <si>
    <t>23/09/2018</t>
  </si>
  <si>
    <t>24/08/2018</t>
  </si>
  <si>
    <t>22/10/2018</t>
  </si>
  <si>
    <t>14/02/2019</t>
  </si>
  <si>
    <t>23/10/2018</t>
  </si>
  <si>
    <t>30/05/2019</t>
  </si>
  <si>
    <t>20/08/2018</t>
  </si>
  <si>
    <t>14/03/2019</t>
  </si>
  <si>
    <t>27/11/2018</t>
  </si>
  <si>
    <t>29/12/2018</t>
  </si>
  <si>
    <t>16/10/2018</t>
  </si>
  <si>
    <t>26/10/2018</t>
  </si>
  <si>
    <t>HN06</t>
  </si>
  <si>
    <t>Tổ 13 Bồng Lai - Hiệp Thạnh - Đức Trọng</t>
  </si>
  <si>
    <t>0963171195</t>
  </si>
  <si>
    <t>14/06/2019</t>
  </si>
  <si>
    <t>19/10/2018</t>
  </si>
  <si>
    <t>27/02/2019</t>
  </si>
  <si>
    <t>16/03/2019</t>
  </si>
  <si>
    <t>21/05/2019</t>
  </si>
  <si>
    <t>15/05/2019</t>
  </si>
  <si>
    <t>13/08/2018</t>
  </si>
  <si>
    <t>17/09/2018</t>
  </si>
  <si>
    <t>13/11/2018</t>
  </si>
  <si>
    <t>21/11/2018</t>
  </si>
  <si>
    <t>17/12/2018</t>
  </si>
  <si>
    <t>21/02/2019</t>
  </si>
  <si>
    <t>17/04/2019</t>
  </si>
  <si>
    <t>27/05/2019</t>
  </si>
  <si>
    <t>PHẠM MINH THẠNH</t>
  </si>
  <si>
    <t>31/05/2019</t>
  </si>
  <si>
    <t>22/12/2018</t>
  </si>
  <si>
    <t>20/10/2018</t>
  </si>
  <si>
    <t>25/02/2019</t>
  </si>
  <si>
    <t>25/01/2019</t>
  </si>
  <si>
    <t>13/09/2018</t>
  </si>
  <si>
    <t>31/07/2018</t>
  </si>
  <si>
    <t>14/08/2018</t>
  </si>
  <si>
    <t>20/09/2018</t>
  </si>
  <si>
    <t>26/08/2018</t>
  </si>
  <si>
    <t>27/10/2018</t>
  </si>
  <si>
    <t>24/09/2018</t>
  </si>
  <si>
    <t>0334259297</t>
  </si>
  <si>
    <t>16/02/2019</t>
  </si>
  <si>
    <t>30/03/2019</t>
  </si>
  <si>
    <t>23/11/2018</t>
  </si>
  <si>
    <t>17/08/2018</t>
  </si>
  <si>
    <t>25/09/2018</t>
  </si>
  <si>
    <t>14/09/2018</t>
  </si>
  <si>
    <t>20/04/2019</t>
  </si>
  <si>
    <t>13/10/2018</t>
  </si>
  <si>
    <t>20/02/2019</t>
  </si>
  <si>
    <t>26/03/2019</t>
  </si>
  <si>
    <t>18/03/2019</t>
  </si>
  <si>
    <t>29/01/2019</t>
  </si>
  <si>
    <t>20/11/2018</t>
  </si>
  <si>
    <t>15/09/2018</t>
  </si>
  <si>
    <t>30/09/2018</t>
  </si>
  <si>
    <t>22/02/2019</t>
  </si>
  <si>
    <t>21/09/2018</t>
  </si>
  <si>
    <t>15/02/2019</t>
  </si>
  <si>
    <t>15/03/2019</t>
  </si>
  <si>
    <t>18/02/2019</t>
  </si>
  <si>
    <t>0967918099</t>
  </si>
  <si>
    <t>18/04/2019</t>
  </si>
  <si>
    <t>24/04/2019</t>
  </si>
  <si>
    <t>19/05/2019</t>
  </si>
  <si>
    <t>21/03/2019</t>
  </si>
  <si>
    <t>14/01/2019</t>
  </si>
  <si>
    <t>23/02/2019</t>
  </si>
  <si>
    <t>20/03/2019</t>
  </si>
  <si>
    <t>Khu Phố Hợp Thành - Thị Trấn Lạc Dương</t>
  </si>
  <si>
    <t>0386149871</t>
  </si>
  <si>
    <t>13/12/2018</t>
  </si>
  <si>
    <t>24/11/2018</t>
  </si>
  <si>
    <t>18/01/2019</t>
  </si>
  <si>
    <t>19/02/2019</t>
  </si>
  <si>
    <t>VT20</t>
  </si>
  <si>
    <t>NGUYỄN VIẾT TỚI</t>
  </si>
  <si>
    <t>NGUYỄN VĂN TUẤN</t>
  </si>
  <si>
    <t>88 Nguyễn Hữu Cầu - P12</t>
  </si>
  <si>
    <t>15/11/2018</t>
  </si>
  <si>
    <t>13/04/2019</t>
  </si>
  <si>
    <t>29/05/2019</t>
  </si>
  <si>
    <t>23/12/2018</t>
  </si>
  <si>
    <t>VN08</t>
  </si>
  <si>
    <t>NGUYỄN VĂN NGUYÊN</t>
  </si>
  <si>
    <t>120/34 Trần Quy Khải, P.8</t>
  </si>
  <si>
    <t>0908611223</t>
  </si>
  <si>
    <t>246/2019</t>
  </si>
  <si>
    <t>LÊ HỒNG NHÂN</t>
  </si>
  <si>
    <t>Lê Hồng Nhân</t>
  </si>
  <si>
    <t>900</t>
  </si>
  <si>
    <t>4200</t>
  </si>
  <si>
    <t>CONC_16.18_200_NL2018</t>
  </si>
  <si>
    <t>ROBI_16.18_200_NL2018</t>
  </si>
  <si>
    <t>ÔNG LỘC</t>
  </si>
  <si>
    <t>CONC_20.22_125_NL2018</t>
  </si>
  <si>
    <t>TẾT, KH nhờ bán hộ</t>
  </si>
  <si>
    <t>Date #4</t>
  </si>
  <si>
    <t>Delivery #4</t>
  </si>
  <si>
    <t>ROBI_20.22_125_NL2018</t>
  </si>
  <si>
    <t>MANI_20.22_125_NL2018</t>
  </si>
  <si>
    <t>MANI_24.26_80_NL2018</t>
  </si>
  <si>
    <t>ROBI_24.26_80_NL2018</t>
  </si>
  <si>
    <t>TARR_18.20_150_NL2018</t>
  </si>
  <si>
    <t>DALI_18.20_150_NL2018</t>
  </si>
  <si>
    <t>OUTB_18.20_150_NL2018</t>
  </si>
  <si>
    <t>PATR_RL_12.14_400_NL2018</t>
  </si>
  <si>
    <t>TARR_20.22_125_NL2018</t>
  </si>
  <si>
    <t>YELLOWEEN VWS</t>
  </si>
  <si>
    <t>ALUS_14.16_300_NL2018</t>
  </si>
  <si>
    <t>AMAR_16.18_200_NL2018</t>
  </si>
  <si>
    <t>AMAT_12.14_400_NL2018</t>
  </si>
  <si>
    <t>AMAT_14.16_275_NL2018</t>
  </si>
  <si>
    <t>AMAT_14.16_300_NL2018</t>
  </si>
  <si>
    <t>AMIG_14.16_300_NL2018</t>
  </si>
  <si>
    <t>AMIG_16.18_200_NL2018</t>
  </si>
  <si>
    <t>ANGE_RL_12.14_400_NL2018</t>
  </si>
  <si>
    <t>ARVA_16.18_200_NL2018</t>
  </si>
  <si>
    <t>ARVA_18.20_150_CL2019</t>
  </si>
  <si>
    <t>ARVA_18.20_150_NL2018</t>
  </si>
  <si>
    <t>BACA_15.16_250_NL2018</t>
  </si>
  <si>
    <t>BACA_15.16_275_NL2018</t>
  </si>
  <si>
    <t>BACA_15.16_300_NL2018</t>
  </si>
  <si>
    <t>BACA_16.18_200_NL2018</t>
  </si>
  <si>
    <t>BACA_18.20_150_NL2018</t>
  </si>
  <si>
    <t>BACA_20.22_125_CL2019</t>
  </si>
  <si>
    <t>BACA_20.22_125_NL2018</t>
  </si>
  <si>
    <t>BACA_22.24_100_NL2018</t>
  </si>
  <si>
    <t>BACA_22.24_85_NL2018</t>
  </si>
  <si>
    <t>BEAU_12.14_400_NL2018</t>
  </si>
  <si>
    <t>BEAU_14.16_300_NL2018</t>
  </si>
  <si>
    <t>BEAU_16.18_200_NL2018</t>
  </si>
  <si>
    <t>BORR_18.20_150_NL2018</t>
  </si>
  <si>
    <t>BUZZ_POT_10.12_500_NL2018</t>
  </si>
  <si>
    <t>CARB_16.18_200_NL2018</t>
  </si>
  <si>
    <t>CARB_18.20_150_NL2018</t>
  </si>
  <si>
    <t>CIAR_RL_12.14_350_NL2018</t>
  </si>
  <si>
    <t>CIAR_RL_12.14_400_NL2018</t>
  </si>
  <si>
    <t>CLAR_RL_12.14_400_NL2018</t>
  </si>
  <si>
    <t>CLAS_POT_10.12_500_NL2018</t>
  </si>
  <si>
    <t>CLAS_POT_12.14_400_NL2018</t>
  </si>
  <si>
    <t>COMP_16.18_200_NL2018</t>
  </si>
  <si>
    <t>COMP_20.22_125_CL2019</t>
  </si>
  <si>
    <t>CONC_14.16_250_NL2018</t>
  </si>
  <si>
    <t>CONC_18.20_150_NL2018</t>
  </si>
  <si>
    <t>CONC_18.20_150_NZ2019</t>
  </si>
  <si>
    <t>CONC_20.22_125_NZ2019</t>
  </si>
  <si>
    <t>CONC_22.24_100_NL2018</t>
  </si>
  <si>
    <t>CONC_24.26_80_NL2018</t>
  </si>
  <si>
    <t>CONC_24+_75_NL2018</t>
  </si>
  <si>
    <t>CONF_POT_12.14_400_NL2018</t>
  </si>
  <si>
    <t>DALI_14.16_300_NL2018</t>
  </si>
  <si>
    <t>DALI_16.18_200_NL2018</t>
  </si>
  <si>
    <t>DALI_20.22_125_NL2018</t>
  </si>
  <si>
    <t>DIGA_16.18_200_NL2018</t>
  </si>
  <si>
    <t>DORI_RL_12.14_400_NL2018</t>
  </si>
  <si>
    <t>DYNA_16.18_200_NL2018</t>
  </si>
  <si>
    <t>ELDI_14.16_300_NL2018</t>
  </si>
  <si>
    <t>EREM_14.16_300_NL2018</t>
  </si>
  <si>
    <t>EREM_16.18_200_NL2018</t>
  </si>
  <si>
    <t>FELI_15.16_250_NL2018</t>
  </si>
  <si>
    <t>FELI_15.16_300_NL2018</t>
  </si>
  <si>
    <t>FELI_16.18_200_NL2018</t>
  </si>
  <si>
    <t>FERR_13.14_400_NL2018</t>
  </si>
  <si>
    <t>GENE_12.14_400_NL2018</t>
  </si>
  <si>
    <t>GOLD_POT_10.12_500_NL2018</t>
  </si>
  <si>
    <t>GOLD_POT_12.14_400_NL2018</t>
  </si>
  <si>
    <t>HONE_16.18_200_NL2017</t>
  </si>
  <si>
    <t>HYDE_14.16_300_NL2018</t>
  </si>
  <si>
    <t>INDI_14.16_300_NL2017</t>
  </si>
  <si>
    <t>INDI_14.16_300_NL2018</t>
  </si>
  <si>
    <t>INDI_18.20_150_NL2018</t>
  </si>
  <si>
    <t>ISLA_POT_11.12_400_NL2018</t>
  </si>
  <si>
    <t>LAKE_14.16_300_NL2018</t>
  </si>
  <si>
    <t>LAKE_16.18_200_NL2018</t>
  </si>
  <si>
    <t>LARG_16.18_200_NL2018</t>
  </si>
  <si>
    <t>LARG_20.22_125_NL2018</t>
  </si>
  <si>
    <t>LARG_22.24_100_NL2018</t>
  </si>
  <si>
    <t>LESO_18.20_150_NL2017</t>
  </si>
  <si>
    <t>LODI_16.18_200_NL2018</t>
  </si>
  <si>
    <t>LODI_18.20_150_NL2018</t>
  </si>
  <si>
    <t>MAJE_POT_10.12_500_NL2018</t>
  </si>
  <si>
    <t>MALD_14.16_300_NL2018</t>
  </si>
  <si>
    <t>MALD_15.16_300_NL2018</t>
  </si>
  <si>
    <t>MALD_16.18_200_NL2018</t>
  </si>
  <si>
    <t>MALD_18.20_150_NL2018</t>
  </si>
  <si>
    <t>MALD_20.22_125_NL2018</t>
  </si>
  <si>
    <t>MANI_14.16_300_NL2018</t>
  </si>
  <si>
    <t>MANI_16.18_200_NL2018</t>
  </si>
  <si>
    <t>MANI_18.20_150_NL2018</t>
  </si>
  <si>
    <t>MANI_22.24_100_NL2018</t>
  </si>
  <si>
    <t>MANI_24+_75_NL2018</t>
  </si>
  <si>
    <t>MANI_PR_16.18_200_NL2018</t>
  </si>
  <si>
    <t>MANI_PR_20.22_125_NL2018</t>
  </si>
  <si>
    <t>MARE_16.18_200_NL2018</t>
  </si>
  <si>
    <t>MARE_18.20_150_NL2018</t>
  </si>
  <si>
    <t>MAYT_18.20_150_NL2018</t>
  </si>
  <si>
    <t>MONT_16.18_200_NL2018</t>
  </si>
  <si>
    <t>NASH_14.16_300_NL2018</t>
  </si>
  <si>
    <t>NATA_RL_12.14_400_NL2018</t>
  </si>
  <si>
    <t>NELL_12.14_400_NL2018</t>
  </si>
  <si>
    <t>NELL_18.20_150_NL2018</t>
  </si>
  <si>
    <t>OUTB_14.16_300_NL2018</t>
  </si>
  <si>
    <t>PALA_16.18_200_NL2018</t>
  </si>
  <si>
    <t>PARA_14.16_275_NL2018</t>
  </si>
  <si>
    <t>PARA_14.16_300_NL2018</t>
  </si>
  <si>
    <t>PARA_16.18_175_NL2018</t>
  </si>
  <si>
    <t>PARA_18.20_150_NL2018</t>
  </si>
  <si>
    <t>PAVI_12.14_400_NL2017</t>
  </si>
  <si>
    <t>PAVI_12.14_400_NL2018</t>
  </si>
  <si>
    <t>PAVI_14.16_300_NL2018</t>
  </si>
  <si>
    <t>PAVI_16.18_200_NL2018</t>
  </si>
  <si>
    <t>PETE_14.16_300_NL2018</t>
  </si>
  <si>
    <t>PROF_14.16_275_NL2018</t>
  </si>
  <si>
    <t>PROF_14.16_300_NL2018</t>
  </si>
  <si>
    <t>PROF_15.16_300_NL2018</t>
  </si>
  <si>
    <t>PROF_16.18_200_NL2018</t>
  </si>
  <si>
    <t>PROF_18.20_150_CL2019</t>
  </si>
  <si>
    <t>PROF_18.20_150_NL2018</t>
  </si>
  <si>
    <t>PROF_20.22_125_CL2019</t>
  </si>
  <si>
    <t>PROF_20.22_125_NL2018</t>
  </si>
  <si>
    <t>PROF_22.24_100_NL2018</t>
  </si>
  <si>
    <t>REDD_16.18_200_NL2018</t>
  </si>
  <si>
    <t>REDD_18.20_150_NL2018</t>
  </si>
  <si>
    <t>ROBI_14.16_300_NL2018</t>
  </si>
  <si>
    <t>ROBI_18.20_150_NZ2019</t>
  </si>
  <si>
    <t>ROBI_20.22_125_NL2017</t>
  </si>
  <si>
    <t>ROBI_20.22_125_NZ2019</t>
  </si>
  <si>
    <t>ROBI_22.24_100_NL2018</t>
  </si>
  <si>
    <t>ROBI_22.24_100_NZ2019</t>
  </si>
  <si>
    <t>ROBI_24+_75_NL2018</t>
  </si>
  <si>
    <t>SEDO_16.18_200_NL2018</t>
  </si>
  <si>
    <t>SEDO_18.20_150_NL2018</t>
  </si>
  <si>
    <t>SEDO_20.22_125_NL2018</t>
  </si>
  <si>
    <t>SENS_16.18_200_NL2018</t>
  </si>
  <si>
    <t>SENS_18.20_150_NL2018</t>
  </si>
  <si>
    <t>SERA_14.16_300_NL2017</t>
  </si>
  <si>
    <t>SERA_16.18_200_NL2018</t>
  </si>
  <si>
    <t>SERA_18.20_150_NL2018</t>
  </si>
  <si>
    <t>SERA_20.22_125_NL2018</t>
  </si>
  <si>
    <t>SHAD_14.16_300_NL2018</t>
  </si>
  <si>
    <t>SORB_16.18_200_NL2018</t>
  </si>
  <si>
    <t>SORB_18.20_150_NL2018</t>
  </si>
  <si>
    <t>SORO_POT_10.12_500_NL2018</t>
  </si>
  <si>
    <t>SORO_POT_12.14_400_NL2018</t>
  </si>
  <si>
    <t>STEN_16.18_200_NL2017</t>
  </si>
  <si>
    <t>STEN_16.18_200_NL2018</t>
  </si>
  <si>
    <t>STEN_18.20_150_NL2017</t>
  </si>
  <si>
    <t>STEN_18.20_150_NL2018</t>
  </si>
  <si>
    <t>SUGA_POT_10.12_500_NL2018</t>
  </si>
  <si>
    <t>SUND_12.14_400_NL2018</t>
  </si>
  <si>
    <t>TAMP_12.14_400_NL2018</t>
  </si>
  <si>
    <t>TANG_POT_11.12_500_NL2018</t>
  </si>
  <si>
    <t>TARR_14.16_300_NL2018</t>
  </si>
  <si>
    <t>TARR_16.18_200_CL2019</t>
  </si>
  <si>
    <t>TARR_16.18_200_NL2018</t>
  </si>
  <si>
    <t>TARR_18.20_150_CL2019</t>
  </si>
  <si>
    <t>TATS_RL_12.14_350_NL2018</t>
  </si>
  <si>
    <t>TATS_RL_14.16_300_NL2018</t>
  </si>
  <si>
    <t>TEBA_12.14_400_NL2018</t>
  </si>
  <si>
    <t>TEBA_14.16_300_NL2018</t>
  </si>
  <si>
    <t>TEBA_16.18_200_NL2018</t>
  </si>
  <si>
    <t>THAL_RL_12.14_400_NL2018</t>
  </si>
  <si>
    <t>THAL_RL_14.16_300_NL2018</t>
  </si>
  <si>
    <t>TOUC_13.14_350_NL2018</t>
  </si>
  <si>
    <t>TOUC_14.16_300_NL2018</t>
  </si>
  <si>
    <t>TREN_POT_10.12_500_NL2018</t>
  </si>
  <si>
    <t>TRES_16.18_200_NL2018</t>
  </si>
  <si>
    <t>VIRU_18.20_150_NL2017</t>
  </si>
  <si>
    <t>VIRU_20.22_125_NL2017</t>
  </si>
  <si>
    <t>YELL_12.14_400_NL2018</t>
  </si>
  <si>
    <t>YELL_14.16_300_NL2017</t>
  </si>
  <si>
    <t>YELL_14.16_300_NL2018</t>
  </si>
  <si>
    <t>YELL_16.18_200_NL2017</t>
  </si>
  <si>
    <t>YELL_16.18_200_NL2018</t>
  </si>
  <si>
    <t>YELL_18.20_150_NL2018</t>
  </si>
  <si>
    <t>YELL_DI_12.14_400_NL2018</t>
  </si>
  <si>
    <t>YELL_DI_18.20_150_NL2018</t>
  </si>
  <si>
    <t>YELL_DN_16.18_200_NL2018</t>
  </si>
  <si>
    <t>ZAMB_16.18_200_NL2018</t>
  </si>
  <si>
    <t>ZAMB_18.20_150_NL2018</t>
  </si>
  <si>
    <t>ZIVA_RL_POT_12.14_400_NL2018</t>
  </si>
  <si>
    <t>ZIVA_RL_POT_14.16_300_NL2018</t>
  </si>
  <si>
    <t>INDI_16.18_200_NL2018</t>
  </si>
  <si>
    <t>GENE_14.16_300_NL2018</t>
  </si>
  <si>
    <t>CAO THỊ MAI LOAN Total</t>
  </si>
  <si>
    <t>CHU ĐỨC NGỌC Total</t>
  </si>
  <si>
    <t>CTY NGỌC MAI TRANG Total</t>
  </si>
  <si>
    <t>CTY TNHH PHÚC KHANG LỘC Total</t>
  </si>
  <si>
    <t>ĐẶNG PHƯỚC VINH Total</t>
  </si>
  <si>
    <t>ĐẶNG QUANG HÙNG Total</t>
  </si>
  <si>
    <t>ĐẶNG TRẦN CÔNG LỘC Total</t>
  </si>
  <si>
    <t>ĐẶNG VĂN THANH Total</t>
  </si>
  <si>
    <t>ĐẶNG VÕ VĂN KHANH Total</t>
  </si>
  <si>
    <t>ĐÀO THỊ GẤM Total</t>
  </si>
  <si>
    <t>ĐÀO THỊ HẰNG Total</t>
  </si>
  <si>
    <t>ĐINH DUY TIÊN Total</t>
  </si>
  <si>
    <t>ĐINH DUY TIÊN(NGA) Total</t>
  </si>
  <si>
    <t>ĐINH THỊ ĐÀO Total</t>
  </si>
  <si>
    <t>ĐINH VĂN THIỆN Total</t>
  </si>
  <si>
    <t>ĐỖ THỊ NGUYÊN TRÂM Total</t>
  </si>
  <si>
    <t>ĐỖ VĂN CƯỜNG Total</t>
  </si>
  <si>
    <t>ĐỖ VĂN KHÁNH Total</t>
  </si>
  <si>
    <t>ĐỖ VĂN TIẾN Total</t>
  </si>
  <si>
    <t>ĐỖ VĂN TRÀ Total</t>
  </si>
  <si>
    <t>ĐỖ VĂN TRÀ ( MINH ANH) Total</t>
  </si>
  <si>
    <t>ĐỖ VĂN TRÀ ( NA) Total</t>
  </si>
  <si>
    <t>DƯƠNG HIẾU NGHĨA Total</t>
  </si>
  <si>
    <t>DƯƠNG TẤN DŨNG Total</t>
  </si>
  <si>
    <t>DƯƠNG THỊ BÍCH HUYỀN Total</t>
  </si>
  <si>
    <t>DƯƠNG VĂN HƠN Total</t>
  </si>
  <si>
    <t>HỒ ĐẮC PHƯƠNG DUNG Total</t>
  </si>
  <si>
    <t>HỒ ĐỨC TOẠI Total</t>
  </si>
  <si>
    <t>HỒ MINH HÙNG Total</t>
  </si>
  <si>
    <t>HỒ QUỐC HƯNG Total</t>
  </si>
  <si>
    <t>HỒ XUÂN LỘC Total</t>
  </si>
  <si>
    <t>HOÀNG LỢI Total</t>
  </si>
  <si>
    <t>HOÀNG NGUYỄN MỸ PHƯƠNG Total</t>
  </si>
  <si>
    <t>HOÀNG SƠN Total</t>
  </si>
  <si>
    <t>HOÀNG THỊ PHƯƠNG UYÊN Total</t>
  </si>
  <si>
    <t>HOÀNG THỊ TUYỀN Total</t>
  </si>
  <si>
    <t>HOÀNG THỊ XUÂN KHÁNH Total</t>
  </si>
  <si>
    <t>HOÀNG TUYỀN Total</t>
  </si>
  <si>
    <t>HOÀNG VĂN DIÊU Total</t>
  </si>
  <si>
    <t>HOÀNG VĂN KHOA Total</t>
  </si>
  <si>
    <t>HOÀNG VĂN XUÂN Total</t>
  </si>
  <si>
    <t>HUỲNH DŨNG Total</t>
  </si>
  <si>
    <t>HUỲNH MINH NGHĨA Total</t>
  </si>
  <si>
    <t>HUỲNH THỊ HƯƠNG Total</t>
  </si>
  <si>
    <t>HUỲNH VĂN HOÀNG Total</t>
  </si>
  <si>
    <t>LÊ BÌNH Total</t>
  </si>
  <si>
    <t>LÊ DUY HÙNG Total</t>
  </si>
  <si>
    <t>LÊ HẢI Total</t>
  </si>
  <si>
    <t>LÊ NGỌC HUẤN Total</t>
  </si>
  <si>
    <t>LÊ THANH AN Total</t>
  </si>
  <si>
    <t>LÊ THÀNH THÔNG Total</t>
  </si>
  <si>
    <t>LÊ THỊ DIỄM THÚY Total</t>
  </si>
  <si>
    <t>LÊ THỊ HỒNG TÂM Total</t>
  </si>
  <si>
    <t>LÊ THỊ SƠN Total</t>
  </si>
  <si>
    <t>LÊ THỊ THANH HUYỀN Total</t>
  </si>
  <si>
    <t>LÊ THỊ TUYẾT ANH Total</t>
  </si>
  <si>
    <t>LÊ THỊ VÂN Total</t>
  </si>
  <si>
    <t>LÊ VĂN DIỆP Total</t>
  </si>
  <si>
    <t>LÊ VĂN SÁU Total</t>
  </si>
  <si>
    <t>LÊ VĂN THÀNH Total</t>
  </si>
  <si>
    <t>LƯƠNG VĂN HƯNG Total</t>
  </si>
  <si>
    <t>LƯƠNG VĂN VIỆT Total</t>
  </si>
  <si>
    <t>MAI THỊ HẰNG Total</t>
  </si>
  <si>
    <t>NGÔ VĂN ĐẠT Total</t>
  </si>
  <si>
    <t>NGUYỄN ANH TÚ Total</t>
  </si>
  <si>
    <t>NGUYỄN BỒI Total</t>
  </si>
  <si>
    <t>NGUYỄN CHUNG TUYÊN Total</t>
  </si>
  <si>
    <t>NGUYỄN CÔNG ĐẠT Total</t>
  </si>
  <si>
    <t>NGUYỄN CÔNG HÒA Total</t>
  </si>
  <si>
    <t>NGUYỄN CÔNG LÂM Total</t>
  </si>
  <si>
    <t>NGUYỄN ĐÌNH TÁM Total</t>
  </si>
  <si>
    <t>NGUYỄN HOÀNG LINH CHI Total</t>
  </si>
  <si>
    <t>NGUYỄN HÙNG CHÂU Total</t>
  </si>
  <si>
    <t>NGUYỄN HỮU CƯƠNG Total</t>
  </si>
  <si>
    <t>NGUYỄN HỮU TRỊ Total</t>
  </si>
  <si>
    <t>NGUYỄN PHÚC Total</t>
  </si>
  <si>
    <t>NGUYỄN PHÚC AN Total</t>
  </si>
  <si>
    <t>NGUYỄN QUANG TUẤN Total</t>
  </si>
  <si>
    <t>NGUYỄN QUỐC THÁI Total</t>
  </si>
  <si>
    <t>NGUYỄN THẮNG Total</t>
  </si>
  <si>
    <t>NGUYỄN THANH BÌNH Total</t>
  </si>
  <si>
    <t>NGUYỄN THANH TÂN Total</t>
  </si>
  <si>
    <t>NGUYỄN THỊ BIẾT Total</t>
  </si>
  <si>
    <t>NGUYỄN THỊ CẨM THÚY Total</t>
  </si>
  <si>
    <t>NGUYỄN THỊ HỒNG Total</t>
  </si>
  <si>
    <t>NGUYỄN THỊ HUẾ Total</t>
  </si>
  <si>
    <t>NGUYỄN THỊ KIM AN Total</t>
  </si>
  <si>
    <t>NGUYỄN THỊ LAN Total</t>
  </si>
  <si>
    <t>NGUYỄN THỊ MẾN Total</t>
  </si>
  <si>
    <t>NGUYỄN THỊ NHƯ HIẾU Total</t>
  </si>
  <si>
    <t>NGUYỄN THỊ OANH Total</t>
  </si>
  <si>
    <t>NGUYỄN THỊ THÁI HÒA Total</t>
  </si>
  <si>
    <t>NGUYỄN THỊ THANH CHI Total</t>
  </si>
  <si>
    <t>NGUYỄN THỊ THU Total</t>
  </si>
  <si>
    <t>NGUYỄN THỊ THU HÒA Total</t>
  </si>
  <si>
    <t>NGUYỄN THỊ THỦY Total</t>
  </si>
  <si>
    <t>NGUYỄN THỊ ÚT Total</t>
  </si>
  <si>
    <t>NGUYỄN TRƯỜNG VY Total</t>
  </si>
  <si>
    <t>NGUYỄN VĂN CƯƠNG Total</t>
  </si>
  <si>
    <t>NGUYỄN VĂN ĐƯƠNG Total</t>
  </si>
  <si>
    <t>NGUYỄN VĂN TÍN Total</t>
  </si>
  <si>
    <t>PHẠM CÔNG TUÂN Total</t>
  </si>
  <si>
    <t>PHẠM MINH PHỤNG Total</t>
  </si>
  <si>
    <t>PHẠM NGỌC DƯỠNG Total</t>
  </si>
  <si>
    <t>PHẠM NGỌC TRAI Total</t>
  </si>
  <si>
    <t>PHẠM NGỌC VŨ Total</t>
  </si>
  <si>
    <t>PHẠM THỊ HẠNH Total</t>
  </si>
  <si>
    <t>PHẠM THỊ MỸ HẠNH Total</t>
  </si>
  <si>
    <t>PHẠM VĂN LỢI Total</t>
  </si>
  <si>
    <t>PHẠM VĂN MINH Total</t>
  </si>
  <si>
    <t>PHẠM VĂN THỦY Total</t>
  </si>
  <si>
    <t>PHAN ĐỨC MINH Total</t>
  </si>
  <si>
    <t>PHAN NGỌC HÙNG Total</t>
  </si>
  <si>
    <t>PHAN NGỌC LỄ Total</t>
  </si>
  <si>
    <t>PHAN THỊ HOA Total</t>
  </si>
  <si>
    <t>PHAN THỊ HUỆ Total</t>
  </si>
  <si>
    <t>PHAN THỊ TUYẾT NHUNG Total</t>
  </si>
  <si>
    <t>PHAN VĂN CHÂU Total</t>
  </si>
  <si>
    <t>PHAN VĂN QUANG Total</t>
  </si>
  <si>
    <t>PHAN VĂN THÀNH Total</t>
  </si>
  <si>
    <t>QUAN THU BÌNH Total</t>
  </si>
  <si>
    <t>THÁI NGUYỄN HOÀNG YẾN Total</t>
  </si>
  <si>
    <t>TRẦN HƯNG Total</t>
  </si>
  <si>
    <t>TRẦN KIM KHIÊM Total</t>
  </si>
  <si>
    <t>TRẦN MINH PHỤNG Total</t>
  </si>
  <si>
    <t>TRẦN MINH SƠN Total</t>
  </si>
  <si>
    <t>TRẦN NGỌC HỞI Total</t>
  </si>
  <si>
    <t>TRẦN PHÚ CƯ Total</t>
  </si>
  <si>
    <t>TRẦN PHÚ HOÀNG Total</t>
  </si>
  <si>
    <t>TRẦN THỊ ÁNH Total</t>
  </si>
  <si>
    <t>TRẦN THỊ BÍCH LỢI Total</t>
  </si>
  <si>
    <t>TRẦN THỊ KIM NGỌC Total</t>
  </si>
  <si>
    <t>TRẦN VĂN ĐỨC Total</t>
  </si>
  <si>
    <t>TRẦN VĂN LỘC Total</t>
  </si>
  <si>
    <t>TRẦN VIẾT DUY Total</t>
  </si>
  <si>
    <t>TRƯƠNG CÔNG PHÚC LONG Total</t>
  </si>
  <si>
    <t>TRƯƠNG CÔNG VIÊN Total</t>
  </si>
  <si>
    <t>VÕ ĐĂNG PHƯỚC Total</t>
  </si>
  <si>
    <t>VÕ ĐÌNH DŨNG Total</t>
  </si>
  <si>
    <t>VÕ ĐÌNH TRAI Total</t>
  </si>
  <si>
    <t>VÕ THỊ DUNG Total</t>
  </si>
  <si>
    <t>VÕ THỊ PHƯƠNG Total</t>
  </si>
  <si>
    <t>VÕ VĂN QUÝ Total</t>
  </si>
  <si>
    <t>VÕ VĂN TRÍ Total</t>
  </si>
  <si>
    <t>VŨ ĐÌNH CHIẾN Total</t>
  </si>
  <si>
    <t>VŨ THỊ HUYỀN THƯƠNG Total</t>
  </si>
  <si>
    <t>VŨ THỊ ÚT Total</t>
  </si>
  <si>
    <t>NGUYỄN THƠM Total</t>
  </si>
  <si>
    <t>(blank) Total</t>
  </si>
  <si>
    <t>PHẠM MINH THẠNH Total</t>
  </si>
  <si>
    <t>TRẦN VIỆT KIỀU Total</t>
  </si>
  <si>
    <t>STOCK 18/5 Total</t>
  </si>
  <si>
    <t>NGUYỄN VĂN TUẤN Total</t>
  </si>
  <si>
    <t>NGUYỄN HỮU TRÍ Total</t>
  </si>
  <si>
    <t>LÊ HỒNG NHÂN Total</t>
  </si>
  <si>
    <t>NGUYỄN VĂN NGUYÊN Total</t>
  </si>
  <si>
    <t>Trừ dần trong các đợt hàng về</t>
  </si>
  <si>
    <t>note lại sau</t>
  </si>
  <si>
    <t>Chừa hàng</t>
  </si>
  <si>
    <t>KH lấy củ + Phí Kho lạnh</t>
  </si>
  <si>
    <t>61B/2019</t>
  </si>
  <si>
    <t>STOCK 18/5AL</t>
  </si>
  <si>
    <t>20 JUN</t>
  </si>
  <si>
    <t>1200</t>
  </si>
  <si>
    <t>247/2019</t>
  </si>
  <si>
    <t>CORALLO BEACH</t>
  </si>
  <si>
    <t>248/2019</t>
  </si>
  <si>
    <t>249/2018</t>
  </si>
  <si>
    <t>STOCK 18/6AL</t>
  </si>
  <si>
    <t>STOCK 18/6AL/NGUYỄN HỮU CƯƠNG</t>
  </si>
  <si>
    <t>2800</t>
  </si>
  <si>
    <t>250/2019</t>
  </si>
  <si>
    <t>SNOWBOARD</t>
  </si>
  <si>
    <t>TARR_20.22_125_CL2019</t>
  </si>
  <si>
    <t>251/2019</t>
  </si>
  <si>
    <t>VS01</t>
  </si>
  <si>
    <t>NGUYỄN VĂN SỸ</t>
  </si>
  <si>
    <t>252/2019</t>
  </si>
  <si>
    <t>MANI_24+_80_NL2018</t>
  </si>
  <si>
    <t>253/2019</t>
  </si>
  <si>
    <t>Tết</t>
  </si>
  <si>
    <t>NGUYỄN VĂN SỸ Total</t>
  </si>
  <si>
    <t>254/2019</t>
  </si>
  <si>
    <t>256/2019</t>
  </si>
  <si>
    <t>255/2019</t>
  </si>
  <si>
    <t>257/2019</t>
  </si>
  <si>
    <t>Ngày 26/6/2019</t>
  </si>
  <si>
    <t>AV01</t>
  </si>
  <si>
    <t>BÙI HỒNG VƯƠNG</t>
  </si>
  <si>
    <t>Thường Lệ, Đại Thịnh, Mê Linh, Hà Nội</t>
  </si>
  <si>
    <t>21/06/2019</t>
  </si>
  <si>
    <t>25/06/2019</t>
  </si>
  <si>
    <t>Tuy Hòa - Phú Yên</t>
  </si>
  <si>
    <t>0389439869</t>
  </si>
  <si>
    <t>NH06</t>
  </si>
  <si>
    <t>NGUYỄN NHÂN HIỆP</t>
  </si>
  <si>
    <t>Đội 11, Tả Phìn, SaPa</t>
  </si>
  <si>
    <t>0366552109</t>
  </si>
  <si>
    <t>NGUYỄN VĂN SĨ</t>
  </si>
  <si>
    <t>145/20 Phan Đình Phùng, P.2</t>
  </si>
  <si>
    <t>'0916233047</t>
  </si>
  <si>
    <t>22/06/2019</t>
  </si>
  <si>
    <t/>
  </si>
  <si>
    <t>CONCADOR DL</t>
  </si>
  <si>
    <t>STOCK 26/4AL</t>
  </si>
  <si>
    <t>10-11/7AL</t>
  </si>
  <si>
    <t>01/7DL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</si>
</sst>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9">
    <numFmt numFmtId="43" formatCode="_(* #,##0.00_);_(* \(#,##0.00\);_(* &quot;-&quot;??_);_(@_)"/>
    <numFmt numFmtId="164" formatCode="_(* #,##0_);_(* \(#,##0\);_(* &quot;-&quot;??_);_(@_)"/>
    <numFmt numFmtId="165" formatCode="_(* #,##0.0_);_(* \(#,##0.0\);_(* &quot;-&quot;??_);_(@_)"/>
    <numFmt numFmtId="166" formatCode="[$-409]d\-mmm\-yyyy;@"/>
    <numFmt numFmtId="167" formatCode="[$-F800]dddd\,\ mmmm\ dd\,\ yyyy"/>
    <numFmt numFmtId="168" formatCode="[$-409]d\-mmm;@"/>
    <numFmt numFmtId="169" formatCode="dd/mm/yyyy"/>
    <numFmt numFmtId="170" formatCode="###\ ###\ ###\ ###\ ###"/>
    <numFmt numFmtId="171" formatCode="dd\-mmm"/>
  </numFmts>
  <fonts count="53">
    <font>
      <sz val="11"/>
      <color theme="1"/>
      <name val="Calibri"/>
      <family val="2"/>
      <scheme val="minor"/>
    </font>
    <font>
      <sz val="11"/>
      <color theme="1"/>
      <name val="Calibri"/>
      <family val="2"/>
      <scheme val="minor"/>
    </font>
    <font>
      <b/>
      <sz val="11"/>
      <color theme="0"/>
      <name val="Calibri"/>
      <family val="2"/>
      <scheme val="minor"/>
    </font>
    <font>
      <sz val="11"/>
      <color rgb="FFFF0000"/>
      <name val="Calibri"/>
      <family val="2"/>
      <scheme val="minor"/>
    </font>
    <font>
      <b/>
      <sz val="11"/>
      <name val="Calibri"/>
      <family val="2"/>
      <scheme val="minor"/>
    </font>
    <font>
      <b/>
      <sz val="11"/>
      <color rgb="FF0033CC"/>
      <name val="Calibri"/>
      <family val="2"/>
      <scheme val="minor"/>
    </font>
    <font>
      <sz val="11"/>
      <name val="Calibri"/>
      <family val="2"/>
      <scheme val="minor"/>
    </font>
    <font>
      <sz val="11"/>
      <color rgb="FF0033CC"/>
      <name val="Calibri"/>
      <family val="2"/>
      <scheme val="minor"/>
    </font>
    <font>
      <sz val="11"/>
      <color rgb="FF3F3F76"/>
      <name val="Calibri"/>
      <family val="2"/>
      <scheme val="minor"/>
    </font>
    <font>
      <sz val="13"/>
      <color theme="1"/>
      <name val="Calibri"/>
      <family val="2"/>
      <scheme val="minor"/>
    </font>
    <font>
      <b/>
      <sz val="13"/>
      <color indexed="8"/>
      <name val="Calibri"/>
      <family val="2"/>
      <scheme val="minor"/>
    </font>
    <font>
      <sz val="13"/>
      <color indexed="8"/>
      <name val="Calibri"/>
      <family val="2"/>
      <scheme val="minor"/>
    </font>
    <font>
      <b/>
      <sz val="18"/>
      <color indexed="8"/>
      <name val="Calibri"/>
      <family val="2"/>
      <scheme val="minor"/>
    </font>
    <font>
      <i/>
      <u/>
      <sz val="13"/>
      <color theme="1"/>
      <name val="Calibri"/>
      <family val="2"/>
      <scheme val="minor"/>
    </font>
    <font>
      <b/>
      <sz val="13"/>
      <color theme="1"/>
      <name val="Calibri"/>
      <family val="2"/>
      <scheme val="minor"/>
    </font>
    <font>
      <u/>
      <sz val="13"/>
      <color theme="1"/>
      <name val="Calibri"/>
      <family val="2"/>
      <scheme val="minor"/>
    </font>
    <font>
      <i/>
      <sz val="13"/>
      <color theme="1"/>
      <name val="Calibri"/>
      <family val="2"/>
      <scheme val="minor"/>
    </font>
    <font>
      <sz val="13"/>
      <color rgb="FF000000"/>
      <name val="Calibri"/>
      <family val="2"/>
      <scheme val="minor"/>
    </font>
    <font>
      <b/>
      <sz val="11"/>
      <color theme="1"/>
      <name val="Calibri"/>
      <family val="2"/>
      <scheme val="minor"/>
    </font>
    <font>
      <sz val="11"/>
      <color theme="0"/>
      <name val="Calibri"/>
      <family val="2"/>
      <scheme val="minor"/>
    </font>
    <font>
      <b/>
      <sz val="11"/>
      <color rgb="FFFF0000"/>
      <name val="Calibri"/>
      <family val="2"/>
      <scheme val="minor"/>
    </font>
    <font>
      <i/>
      <sz val="11"/>
      <color theme="1"/>
      <name val="Calibri"/>
      <family val="2"/>
      <scheme val="minor"/>
    </font>
    <font>
      <b/>
      <sz val="11"/>
      <color theme="1"/>
      <name val="Calibri"/>
      <family val="2"/>
    </font>
    <font>
      <sz val="13"/>
      <name val="Calibri"/>
      <family val="2"/>
      <scheme val="minor"/>
    </font>
    <font>
      <sz val="10"/>
      <color theme="1"/>
      <name val="Times New Roman"/>
      <family val="1"/>
    </font>
    <font>
      <sz val="10"/>
      <color theme="1"/>
      <name val="Calibri"/>
      <family val="2"/>
      <scheme val="minor"/>
    </font>
    <font>
      <sz val="10"/>
      <color theme="0"/>
      <name val="Times New Roman"/>
      <family val="1"/>
    </font>
    <font>
      <b/>
      <sz val="16"/>
      <color theme="1"/>
      <name val="Times New Roman"/>
      <family val="1"/>
    </font>
    <font>
      <b/>
      <sz val="12"/>
      <color theme="1"/>
      <name val="Times New Roman"/>
      <family val="1"/>
    </font>
    <font>
      <i/>
      <sz val="12"/>
      <color theme="1"/>
      <name val="Times New Roman"/>
      <family val="1"/>
    </font>
    <font>
      <sz val="8"/>
      <color theme="0"/>
      <name val="Times New Roman"/>
      <family val="1"/>
    </font>
    <font>
      <sz val="12"/>
      <color theme="1"/>
      <name val="Times New Roman"/>
      <family val="1"/>
    </font>
    <font>
      <sz val="12"/>
      <color rgb="FF000000"/>
      <name val="Times New Roman"/>
      <family val="1"/>
    </font>
    <font>
      <b/>
      <sz val="12"/>
      <color theme="0"/>
      <name val="Times New Roman"/>
      <family val="1"/>
    </font>
    <font>
      <sz val="10"/>
      <name val="Arial"/>
      <family val="2"/>
    </font>
    <font>
      <sz val="10"/>
      <name val="Times New Roman"/>
      <family val="1"/>
    </font>
    <font>
      <sz val="10"/>
      <name val="VNI-Times"/>
      <family val="2"/>
    </font>
    <font>
      <b/>
      <sz val="11"/>
      <color indexed="12"/>
      <name val="Times New Roman"/>
      <family val="1"/>
    </font>
    <font>
      <b/>
      <sz val="11"/>
      <name val="Times New Roman"/>
      <family val="1"/>
    </font>
    <font>
      <sz val="11"/>
      <name val="Times New Roman"/>
      <family val="1"/>
    </font>
    <font>
      <sz val="11"/>
      <color indexed="12"/>
      <name val="Times New Roman"/>
      <family val="1"/>
    </font>
    <font>
      <sz val="10"/>
      <name val=".VnArial"/>
      <family val="2"/>
    </font>
    <font>
      <sz val="11"/>
      <color indexed="8"/>
      <name val="Times New Roman"/>
      <family val="1"/>
    </font>
    <font>
      <b/>
      <sz val="11"/>
      <color indexed="32"/>
      <name val="Calibri"/>
      <family val="2"/>
      <scheme val="minor"/>
    </font>
    <font>
      <sz val="12"/>
      <color rgb="FFFF0000"/>
      <name val="Times New Roman"/>
      <family val="1"/>
    </font>
    <font>
      <sz val="9"/>
      <color indexed="81"/>
      <name val="Tahoma"/>
      <family val="2"/>
    </font>
    <font>
      <b/>
      <sz val="9"/>
      <color indexed="81"/>
      <name val="Tahoma"/>
      <family val="2"/>
    </font>
    <font>
      <sz val="10"/>
      <color theme="1"/>
      <name val="Arial"/>
      <family val="2"/>
    </font>
    <font>
      <sz val="11"/>
      <color theme="1"/>
      <name val="Times New Roman"/>
      <family val="1"/>
    </font>
    <font>
      <b/>
      <sz val="11"/>
      <color theme="1"/>
      <name val="Times New Roman"/>
      <family val="1"/>
    </font>
    <font>
      <sz val="8"/>
      <name val="Calibri"/>
      <family val="2"/>
      <scheme val="minor"/>
    </font>
    <font>
      <sz val="11"/>
      <color rgb="FF00B050"/>
      <name val="Calibri"/>
      <family val="2"/>
      <scheme val="minor"/>
    </font>
    <font>
      <sz val="11"/>
      <color rgb="FF92D050"/>
      <name val="Calibri"/>
      <family val="2"/>
      <scheme val="minor"/>
    </font>
  </fonts>
  <fills count="27">
    <fill>
      <patternFill patternType="none"/>
    </fill>
    <fill>
      <patternFill patternType="gray125"/>
    </fill>
    <fill>
      <patternFill patternType="solid">
        <fgColor theme="5"/>
        <bgColor theme="4" tint="0.79998168889431442"/>
      </patternFill>
    </fill>
    <fill>
      <patternFill patternType="solid">
        <fgColor rgb="FFFFFF00"/>
        <bgColor theme="4" tint="0.79998168889431442"/>
      </patternFill>
    </fill>
    <fill>
      <patternFill patternType="solid">
        <fgColor theme="4"/>
        <bgColor theme="4" tint="0.79998168889431442"/>
      </patternFill>
    </fill>
    <fill>
      <patternFill patternType="solid">
        <fgColor rgb="FF00B050"/>
        <bgColor theme="4" tint="0.79998168889431442"/>
      </patternFill>
    </fill>
    <fill>
      <patternFill patternType="solid">
        <fgColor theme="7"/>
        <bgColor theme="4" tint="0.79998168889431442"/>
      </patternFill>
    </fill>
    <fill>
      <patternFill patternType="solid">
        <fgColor theme="3" tint="0.79998168889431442"/>
        <bgColor theme="4" tint="0.79998168889431442"/>
      </patternFill>
    </fill>
    <fill>
      <patternFill patternType="solid">
        <fgColor rgb="FFFFFF00"/>
        <bgColor indexed="64"/>
      </patternFill>
    </fill>
    <fill>
      <patternFill patternType="solid">
        <fgColor rgb="FFFFCC99"/>
      </patternFill>
    </fill>
    <fill>
      <patternFill patternType="solid">
        <fgColor theme="8" tint="0.79998168889431442"/>
        <bgColor indexed="64"/>
      </patternFill>
    </fill>
    <fill>
      <patternFill patternType="solid">
        <fgColor theme="9"/>
        <bgColor indexed="64"/>
      </patternFill>
    </fill>
    <fill>
      <patternFill patternType="solid">
        <fgColor theme="7"/>
        <bgColor indexed="64"/>
      </patternFill>
    </fill>
    <fill>
      <patternFill patternType="solid">
        <fgColor theme="7" tint="0.59999389629810485"/>
        <bgColor indexed="64"/>
      </patternFill>
    </fill>
    <fill>
      <patternFill patternType="solid">
        <fgColor indexed="9"/>
        <bgColor indexed="64"/>
      </patternFill>
    </fill>
    <fill>
      <patternFill patternType="solid">
        <fgColor indexed="52"/>
        <bgColor indexed="64"/>
      </patternFill>
    </fill>
    <fill>
      <patternFill patternType="solid">
        <fgColor indexed="41"/>
        <bgColor indexed="64"/>
      </patternFill>
    </fill>
    <fill>
      <patternFill patternType="solid">
        <fgColor indexed="47"/>
        <bgColor indexed="64"/>
      </patternFill>
    </fill>
    <fill>
      <patternFill patternType="solid">
        <fgColor indexed="45"/>
        <bgColor indexed="64"/>
      </patternFill>
    </fill>
    <fill>
      <patternFill patternType="solid">
        <fgColor indexed="42"/>
        <bgColor indexed="64"/>
      </patternFill>
    </fill>
    <fill>
      <patternFill patternType="solid">
        <fgColor indexed="27"/>
        <bgColor indexed="64"/>
      </patternFill>
    </fill>
    <fill>
      <patternFill patternType="solid">
        <fgColor theme="5" tint="0.39997558519241921"/>
        <bgColor theme="4" tint="0.79998168889431442"/>
      </patternFill>
    </fill>
    <fill>
      <patternFill patternType="solid">
        <fgColor theme="5" tint="0.59999389629810485"/>
        <bgColor indexed="64"/>
      </patternFill>
    </fill>
    <fill>
      <patternFill patternType="solid">
        <fgColor rgb="FFFFC000"/>
        <bgColor indexed="64"/>
      </patternFill>
    </fill>
    <fill>
      <patternFill patternType="solid">
        <fgColor theme="5" tint="0.39997558519241921"/>
        <bgColor indexed="64"/>
      </patternFill>
    </fill>
    <fill>
      <patternFill patternType="solid">
        <fgColor theme="9" tint="0.59999389629810485"/>
        <bgColor indexed="64"/>
      </patternFill>
    </fill>
    <fill>
      <patternFill patternType="solid">
        <fgColor rgb="FF92D050"/>
        <bgColor indexed="64"/>
      </patternFill>
    </fill>
  </fills>
  <borders count="28">
    <border>
      <left/>
      <right/>
      <top/>
      <bottom/>
      <diagonal/>
    </border>
    <border>
      <left/>
      <right/>
      <top/>
      <bottom style="thin">
        <color theme="4" tint="0.39997558519241921"/>
      </bottom>
      <diagonal/>
    </border>
    <border>
      <left style="thin">
        <color rgb="FF7F7F7F"/>
      </left>
      <right style="thin">
        <color rgb="FF7F7F7F"/>
      </right>
      <top style="thin">
        <color rgb="FF7F7F7F"/>
      </top>
      <bottom style="thin">
        <color rgb="FF7F7F7F"/>
      </bottom>
      <diagonal/>
    </border>
    <border>
      <left style="medium">
        <color auto="1"/>
      </left>
      <right style="hair">
        <color auto="1"/>
      </right>
      <top style="medium">
        <color auto="1"/>
      </top>
      <bottom style="double">
        <color auto="1"/>
      </bottom>
      <diagonal/>
    </border>
    <border>
      <left style="hair">
        <color auto="1"/>
      </left>
      <right style="hair">
        <color auto="1"/>
      </right>
      <top style="medium">
        <color auto="1"/>
      </top>
      <bottom style="double">
        <color auto="1"/>
      </bottom>
      <diagonal/>
    </border>
    <border>
      <left style="hair">
        <color auto="1"/>
      </left>
      <right style="medium">
        <color auto="1"/>
      </right>
      <top style="medium">
        <color auto="1"/>
      </top>
      <bottom style="double">
        <color auto="1"/>
      </bottom>
      <diagonal/>
    </border>
    <border>
      <left style="hair">
        <color auto="1"/>
      </left>
      <right style="hair">
        <color auto="1"/>
      </right>
      <top style="hair">
        <color auto="1"/>
      </top>
      <bottom style="hair">
        <color auto="1"/>
      </bottom>
      <diagonal/>
    </border>
    <border>
      <left style="hair">
        <color auto="1"/>
      </left>
      <right style="medium">
        <color auto="1"/>
      </right>
      <top style="hair">
        <color auto="1"/>
      </top>
      <bottom style="hair">
        <color auto="1"/>
      </bottom>
      <diagonal/>
    </border>
    <border>
      <left style="medium">
        <color auto="1"/>
      </left>
      <right style="hair">
        <color auto="1"/>
      </right>
      <top style="double">
        <color auto="1"/>
      </top>
      <bottom style="medium">
        <color auto="1"/>
      </bottom>
      <diagonal/>
    </border>
    <border>
      <left style="hair">
        <color auto="1"/>
      </left>
      <right style="hair">
        <color auto="1"/>
      </right>
      <top style="double">
        <color auto="1"/>
      </top>
      <bottom style="medium">
        <color auto="1"/>
      </bottom>
      <diagonal/>
    </border>
    <border>
      <left style="hair">
        <color auto="1"/>
      </left>
      <right style="medium">
        <color auto="1"/>
      </right>
      <top style="double">
        <color auto="1"/>
      </top>
      <bottom style="medium">
        <color auto="1"/>
      </bottom>
      <diagonal/>
    </border>
    <border>
      <left style="thin">
        <color indexed="64"/>
      </left>
      <right/>
      <top style="thin">
        <color indexed="64"/>
      </top>
      <bottom/>
      <diagonal/>
    </border>
    <border>
      <left/>
      <right/>
      <top style="thin">
        <color auto="1"/>
      </top>
      <bottom/>
      <diagonal/>
    </border>
    <border>
      <left/>
      <right style="thin">
        <color auto="1"/>
      </right>
      <top style="thin">
        <color auto="1"/>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thin">
        <color indexed="64"/>
      </bottom>
      <diagonal/>
    </border>
    <border>
      <left style="medium">
        <color auto="1"/>
      </left>
      <right style="hair">
        <color auto="1"/>
      </right>
      <top style="hair">
        <color auto="1"/>
      </top>
      <bottom style="hair">
        <color auto="1"/>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right/>
      <top/>
      <bottom style="medium">
        <color indexed="64"/>
      </bottom>
      <diagonal/>
    </border>
  </borders>
  <cellStyleXfs count="6">
    <xf numFmtId="0" fontId="0" fillId="0" borderId="0"/>
    <xf numFmtId="43" fontId="1" fillId="0" borderId="0" applyFont="0" applyFill="0" applyBorder="0" applyAlignment="0" applyProtection="0"/>
    <xf numFmtId="0" fontId="8" fillId="9" borderId="2" applyNumberFormat="0" applyAlignment="0" applyProtection="0"/>
    <xf numFmtId="0" fontId="34" fillId="0" borderId="0"/>
    <xf numFmtId="0" fontId="36" fillId="0" borderId="0"/>
    <xf numFmtId="0" fontId="41" fillId="0" borderId="0"/>
  </cellStyleXfs>
  <cellXfs count="286">
    <xf numFmtId="0" fontId="0" fillId="0" borderId="0" xfId="0"/>
    <xf numFmtId="49" fontId="2" fillId="2" borderId="1" xfId="0" applyNumberFormat="1" applyFont="1" applyFill="1" applyBorder="1" applyAlignment="1">
      <alignment horizontal="center" vertical="center" wrapText="1"/>
    </xf>
    <xf numFmtId="0" fontId="2" fillId="2" borderId="1" xfId="0" applyFont="1" applyFill="1" applyBorder="1" applyAlignment="1">
      <alignment horizontal="center" vertical="center" wrapText="1"/>
    </xf>
    <xf numFmtId="164" fontId="2" fillId="2" borderId="1" xfId="1" applyNumberFormat="1" applyFont="1" applyFill="1" applyBorder="1" applyAlignment="1">
      <alignment horizontal="right" vertical="center" wrapText="1"/>
    </xf>
    <xf numFmtId="164" fontId="2" fillId="2" borderId="1" xfId="1" applyNumberFormat="1" applyFont="1" applyFill="1" applyBorder="1" applyAlignment="1">
      <alignment horizontal="center" vertical="center" wrapText="1"/>
    </xf>
    <xf numFmtId="165" fontId="2" fillId="2" borderId="1" xfId="1" applyNumberFormat="1" applyFont="1" applyFill="1" applyBorder="1" applyAlignment="1">
      <alignment horizontal="center" vertical="center" wrapText="1"/>
    </xf>
    <xf numFmtId="15" fontId="4" fillId="3" borderId="1" xfId="1" applyNumberFormat="1" applyFont="1" applyFill="1" applyBorder="1" applyAlignment="1">
      <alignment horizontal="center" vertical="center" wrapText="1"/>
    </xf>
    <xf numFmtId="166" fontId="2" fillId="4" borderId="1" xfId="1" applyNumberFormat="1" applyFont="1" applyFill="1" applyBorder="1" applyAlignment="1">
      <alignment horizontal="center" vertical="center" wrapText="1"/>
    </xf>
    <xf numFmtId="49" fontId="2" fillId="4" borderId="1" xfId="1" applyNumberFormat="1" applyFont="1" applyFill="1" applyBorder="1" applyAlignment="1">
      <alignment horizontal="center" vertical="center" wrapText="1"/>
    </xf>
    <xf numFmtId="166" fontId="2" fillId="5" borderId="1" xfId="1" applyNumberFormat="1" applyFont="1" applyFill="1" applyBorder="1" applyAlignment="1">
      <alignment horizontal="center" vertical="center" wrapText="1"/>
    </xf>
    <xf numFmtId="164" fontId="2" fillId="6" borderId="1" xfId="1" applyNumberFormat="1" applyFont="1" applyFill="1" applyBorder="1" applyAlignment="1">
      <alignment horizontal="center" vertical="center" wrapText="1"/>
    </xf>
    <xf numFmtId="164" fontId="5" fillId="7" borderId="1" xfId="1" applyNumberFormat="1" applyFont="1" applyFill="1" applyBorder="1" applyAlignment="1">
      <alignment horizontal="center" vertical="center" wrapText="1"/>
    </xf>
    <xf numFmtId="49" fontId="0" fillId="0" borderId="0" xfId="0" applyNumberFormat="1"/>
    <xf numFmtId="15" fontId="0" fillId="0" borderId="0" xfId="0" applyNumberFormat="1"/>
    <xf numFmtId="164" fontId="0" fillId="0" borderId="0" xfId="1" applyNumberFormat="1" applyFont="1" applyAlignment="1">
      <alignment horizontal="right"/>
    </xf>
    <xf numFmtId="164" fontId="0" fillId="0" borderId="0" xfId="1" applyNumberFormat="1" applyFont="1"/>
    <xf numFmtId="165" fontId="6" fillId="0" borderId="0" xfId="1" applyNumberFormat="1" applyFont="1"/>
    <xf numFmtId="164" fontId="6" fillId="0" borderId="0" xfId="1" applyNumberFormat="1" applyFont="1"/>
    <xf numFmtId="15" fontId="0" fillId="0" borderId="0" xfId="1" applyNumberFormat="1" applyFont="1"/>
    <xf numFmtId="15" fontId="0" fillId="0" borderId="0" xfId="1" applyNumberFormat="1" applyFont="1" applyAlignment="1">
      <alignment horizontal="right"/>
    </xf>
    <xf numFmtId="166" fontId="0" fillId="0" borderId="0" xfId="1" applyNumberFormat="1" applyFont="1"/>
    <xf numFmtId="166" fontId="0" fillId="0" borderId="0" xfId="1" applyNumberFormat="1" applyFont="1" applyAlignment="1">
      <alignment horizontal="right"/>
    </xf>
    <xf numFmtId="164" fontId="7" fillId="0" borderId="0" xfId="1" applyNumberFormat="1" applyFont="1"/>
    <xf numFmtId="15" fontId="0" fillId="0" borderId="0" xfId="0" applyNumberFormat="1" applyAlignment="1">
      <alignment horizontal="right"/>
    </xf>
    <xf numFmtId="49" fontId="0" fillId="0" borderId="0" xfId="0" quotePrefix="1" applyNumberFormat="1"/>
    <xf numFmtId="164" fontId="0" fillId="8" borderId="0" xfId="1" applyNumberFormat="1" applyFont="1" applyFill="1"/>
    <xf numFmtId="15" fontId="0" fillId="8" borderId="0" xfId="0" applyNumberFormat="1" applyFill="1"/>
    <xf numFmtId="49" fontId="0" fillId="8" borderId="0" xfId="0" applyNumberFormat="1" applyFill="1"/>
    <xf numFmtId="0" fontId="0" fillId="8" borderId="0" xfId="0" applyFill="1"/>
    <xf numFmtId="164" fontId="0" fillId="8" borderId="0" xfId="1" applyNumberFormat="1" applyFont="1" applyFill="1" applyAlignment="1">
      <alignment horizontal="right"/>
    </xf>
    <xf numFmtId="49" fontId="0" fillId="0" borderId="0" xfId="1" applyNumberFormat="1" applyFont="1"/>
    <xf numFmtId="49" fontId="0" fillId="0" borderId="0" xfId="0" applyNumberFormat="1" applyAlignment="1">
      <alignment horizontal="right"/>
    </xf>
    <xf numFmtId="164" fontId="3" fillId="0" borderId="0" xfId="1" applyNumberFormat="1" applyFont="1"/>
    <xf numFmtId="165" fontId="0" fillId="0" borderId="0" xfId="1" applyNumberFormat="1" applyFont="1"/>
    <xf numFmtId="0" fontId="9" fillId="0" borderId="0" xfId="0" applyFont="1" applyAlignment="1">
      <alignment vertical="center"/>
    </xf>
    <xf numFmtId="0" fontId="8" fillId="9" borderId="2" xfId="2" applyAlignment="1">
      <alignment vertical="center"/>
    </xf>
    <xf numFmtId="14" fontId="8" fillId="9" borderId="2" xfId="2" applyNumberFormat="1" applyAlignment="1">
      <alignment horizontal="center" vertical="center"/>
    </xf>
    <xf numFmtId="0" fontId="10" fillId="0" borderId="0" xfId="0" applyFont="1" applyAlignment="1">
      <alignment vertical="center" readingOrder="1"/>
    </xf>
    <xf numFmtId="0" fontId="11" fillId="0" borderId="0" xfId="0" applyFont="1" applyAlignment="1">
      <alignment vertical="center" wrapText="1" readingOrder="1"/>
    </xf>
    <xf numFmtId="14" fontId="11" fillId="0" borderId="0" xfId="0" applyNumberFormat="1" applyFont="1" applyAlignment="1">
      <alignment horizontal="center" vertical="center" wrapText="1" readingOrder="1"/>
    </xf>
    <xf numFmtId="0" fontId="11" fillId="0" borderId="0" xfId="0" applyFont="1" applyAlignment="1">
      <alignment vertical="center" readingOrder="1"/>
    </xf>
    <xf numFmtId="0" fontId="13" fillId="0" borderId="0" xfId="0" applyFont="1" applyAlignment="1">
      <alignment vertical="center"/>
    </xf>
    <xf numFmtId="0" fontId="14" fillId="0" borderId="0" xfId="0" applyFont="1" applyAlignment="1">
      <alignment vertical="center"/>
    </xf>
    <xf numFmtId="0" fontId="13" fillId="0" borderId="0" xfId="0" applyFont="1" applyAlignment="1">
      <alignment horizontal="right" vertical="center"/>
    </xf>
    <xf numFmtId="14" fontId="9" fillId="0" borderId="0" xfId="0" applyNumberFormat="1" applyFont="1" applyAlignment="1">
      <alignment horizontal="center" vertical="center"/>
    </xf>
    <xf numFmtId="0" fontId="10" fillId="0" borderId="0" xfId="0" applyFont="1" applyAlignment="1">
      <alignment vertical="center" wrapText="1" readingOrder="1"/>
    </xf>
    <xf numFmtId="0" fontId="10" fillId="0" borderId="3" xfId="0" applyFont="1" applyBorder="1" applyAlignment="1">
      <alignment horizontal="center" vertical="center" wrapText="1" readingOrder="1"/>
    </xf>
    <xf numFmtId="0" fontId="10" fillId="0" borderId="4" xfId="0" applyFont="1" applyBorder="1" applyAlignment="1">
      <alignment horizontal="center" vertical="center" wrapText="1" readingOrder="1"/>
    </xf>
    <xf numFmtId="14" fontId="10" fillId="0" borderId="5" xfId="0" applyNumberFormat="1" applyFont="1" applyBorder="1" applyAlignment="1">
      <alignment horizontal="center" vertical="center" wrapText="1" readingOrder="1"/>
    </xf>
    <xf numFmtId="164" fontId="11" fillId="0" borderId="6" xfId="1" applyNumberFormat="1" applyFont="1" applyBorder="1" applyAlignment="1">
      <alignment horizontal="left" vertical="center"/>
    </xf>
    <xf numFmtId="164" fontId="11" fillId="0" borderId="7" xfId="1" applyNumberFormat="1" applyFont="1" applyBorder="1" applyAlignment="1">
      <alignment horizontal="center" vertical="center"/>
    </xf>
    <xf numFmtId="0" fontId="9" fillId="0" borderId="8" xfId="0" applyFont="1" applyBorder="1" applyAlignment="1">
      <alignment vertical="center"/>
    </xf>
    <xf numFmtId="0" fontId="10" fillId="0" borderId="9" xfId="0" applyFont="1" applyBorder="1" applyAlignment="1">
      <alignment vertical="center" wrapText="1" readingOrder="1"/>
    </xf>
    <xf numFmtId="0" fontId="9" fillId="0" borderId="9" xfId="0" applyFont="1" applyBorder="1" applyAlignment="1">
      <alignment vertical="center"/>
    </xf>
    <xf numFmtId="3" fontId="10" fillId="0" borderId="9" xfId="0" applyNumberFormat="1" applyFont="1" applyBorder="1" applyAlignment="1">
      <alignment horizontal="right" vertical="center" wrapText="1"/>
    </xf>
    <xf numFmtId="14" fontId="9" fillId="0" borderId="10" xfId="0" applyNumberFormat="1" applyFont="1" applyBorder="1" applyAlignment="1">
      <alignment horizontal="center" vertical="center"/>
    </xf>
    <xf numFmtId="0" fontId="13" fillId="0" borderId="11" xfId="0" applyFont="1" applyBorder="1" applyAlignment="1">
      <alignment vertical="center"/>
    </xf>
    <xf numFmtId="0" fontId="15" fillId="0" borderId="12" xfId="0" applyFont="1" applyBorder="1" applyAlignment="1">
      <alignment vertical="center"/>
    </xf>
    <xf numFmtId="0" fontId="9" fillId="0" borderId="12" xfId="0" applyFont="1" applyBorder="1" applyAlignment="1">
      <alignment vertical="center"/>
    </xf>
    <xf numFmtId="0" fontId="14" fillId="0" borderId="12" xfId="0" applyFont="1" applyBorder="1" applyAlignment="1">
      <alignment vertical="center"/>
    </xf>
    <xf numFmtId="0" fontId="10" fillId="0" borderId="12" xfId="0" applyFont="1" applyBorder="1" applyAlignment="1">
      <alignment vertical="center" wrapText="1" readingOrder="1"/>
    </xf>
    <xf numFmtId="14" fontId="10" fillId="0" borderId="13" xfId="0" applyNumberFormat="1" applyFont="1" applyBorder="1" applyAlignment="1">
      <alignment horizontal="center" vertical="center" wrapText="1" readingOrder="1"/>
    </xf>
    <xf numFmtId="0" fontId="10" fillId="0" borderId="14" xfId="0" applyFont="1" applyBorder="1" applyAlignment="1">
      <alignment vertical="center" wrapText="1" readingOrder="1"/>
    </xf>
    <xf numFmtId="0" fontId="10" fillId="0" borderId="0" xfId="0" applyFont="1" applyAlignment="1">
      <alignment horizontal="left" vertical="center" readingOrder="1"/>
    </xf>
    <xf numFmtId="43" fontId="9" fillId="0" borderId="0" xfId="1" applyFont="1" applyAlignment="1">
      <alignment vertical="center"/>
    </xf>
    <xf numFmtId="14" fontId="10" fillId="0" borderId="15" xfId="0" applyNumberFormat="1" applyFont="1" applyBorder="1" applyAlignment="1">
      <alignment horizontal="center" vertical="center" wrapText="1" readingOrder="1"/>
    </xf>
    <xf numFmtId="0" fontId="9" fillId="0" borderId="16" xfId="0" applyFont="1" applyBorder="1" applyAlignment="1">
      <alignment vertical="center"/>
    </xf>
    <xf numFmtId="0" fontId="9" fillId="0" borderId="17" xfId="0" applyFont="1" applyBorder="1" applyAlignment="1">
      <alignment vertical="center"/>
    </xf>
    <xf numFmtId="0" fontId="10" fillId="0" borderId="17" xfId="0" applyFont="1" applyBorder="1" applyAlignment="1">
      <alignment vertical="center" readingOrder="1"/>
    </xf>
    <xf numFmtId="14" fontId="9" fillId="0" borderId="18" xfId="0" applyNumberFormat="1" applyFont="1" applyBorder="1" applyAlignment="1">
      <alignment horizontal="center" vertical="center"/>
    </xf>
    <xf numFmtId="0" fontId="16" fillId="0" borderId="11" xfId="0" applyFont="1" applyBorder="1" applyAlignment="1">
      <alignment vertical="center"/>
    </xf>
    <xf numFmtId="0" fontId="16" fillId="0" borderId="12" xfId="0" applyFont="1" applyBorder="1" applyAlignment="1">
      <alignment vertical="center"/>
    </xf>
    <xf numFmtId="14" fontId="16" fillId="0" borderId="13" xfId="0" applyNumberFormat="1" applyFont="1" applyBorder="1" applyAlignment="1">
      <alignment horizontal="center" vertical="center"/>
    </xf>
    <xf numFmtId="0" fontId="16" fillId="0" borderId="0" xfId="0" applyFont="1" applyAlignment="1">
      <alignment vertical="center"/>
    </xf>
    <xf numFmtId="0" fontId="17" fillId="0" borderId="14" xfId="0" applyFont="1" applyBorder="1" applyAlignment="1">
      <alignment vertical="center"/>
    </xf>
    <xf numFmtId="14" fontId="9" fillId="0" borderId="15" xfId="0" applyNumberFormat="1" applyFont="1" applyBorder="1" applyAlignment="1">
      <alignment horizontal="center" vertical="center"/>
    </xf>
    <xf numFmtId="0" fontId="9" fillId="0" borderId="14" xfId="0" applyFont="1" applyBorder="1" applyAlignment="1">
      <alignment vertical="center"/>
    </xf>
    <xf numFmtId="0" fontId="17" fillId="0" borderId="0" xfId="0" applyFont="1" applyAlignment="1">
      <alignment vertical="center"/>
    </xf>
    <xf numFmtId="0" fontId="17" fillId="0" borderId="17" xfId="0" applyFont="1" applyBorder="1" applyAlignment="1">
      <alignment vertical="center"/>
    </xf>
    <xf numFmtId="0" fontId="10" fillId="0" borderId="17" xfId="0" applyFont="1" applyBorder="1" applyAlignment="1">
      <alignment vertical="center" wrapText="1" readingOrder="1"/>
    </xf>
    <xf numFmtId="14" fontId="10" fillId="0" borderId="18" xfId="0" applyNumberFormat="1" applyFont="1" applyBorder="1" applyAlignment="1">
      <alignment horizontal="center" vertical="center" wrapText="1" readingOrder="1"/>
    </xf>
    <xf numFmtId="0" fontId="0" fillId="0" borderId="0" xfId="0" pivotButton="1"/>
    <xf numFmtId="165" fontId="6" fillId="8" borderId="0" xfId="1" applyNumberFormat="1" applyFont="1" applyFill="1"/>
    <xf numFmtId="14" fontId="9" fillId="0" borderId="0" xfId="0" applyNumberFormat="1" applyFont="1" applyAlignment="1">
      <alignment vertical="center"/>
    </xf>
    <xf numFmtId="164" fontId="9" fillId="0" borderId="0" xfId="1" applyNumberFormat="1" applyFont="1" applyAlignment="1">
      <alignment vertical="center"/>
    </xf>
    <xf numFmtId="0" fontId="21" fillId="0" borderId="0" xfId="0" applyFont="1"/>
    <xf numFmtId="0" fontId="0" fillId="0" borderId="0" xfId="0" applyAlignment="1">
      <alignment horizontal="center"/>
    </xf>
    <xf numFmtId="43" fontId="0" fillId="0" borderId="0" xfId="1" applyFont="1"/>
    <xf numFmtId="167" fontId="0" fillId="0" borderId="0" xfId="0" applyNumberFormat="1"/>
    <xf numFmtId="0" fontId="0" fillId="0" borderId="18" xfId="0" applyBorder="1"/>
    <xf numFmtId="0" fontId="0" fillId="0" borderId="17" xfId="0" applyBorder="1"/>
    <xf numFmtId="168" fontId="3" fillId="0" borderId="17" xfId="0" applyNumberFormat="1" applyFont="1" applyBorder="1"/>
    <xf numFmtId="0" fontId="3" fillId="0" borderId="17" xfId="0" applyFont="1" applyBorder="1"/>
    <xf numFmtId="2" fontId="3" fillId="0" borderId="17" xfId="0" applyNumberFormat="1" applyFont="1" applyBorder="1"/>
    <xf numFmtId="0" fontId="0" fillId="10" borderId="16" xfId="0" applyFill="1" applyBorder="1"/>
    <xf numFmtId="0" fontId="0" fillId="0" borderId="15" xfId="0" applyBorder="1"/>
    <xf numFmtId="168" fontId="3" fillId="0" borderId="0" xfId="0" applyNumberFormat="1" applyFont="1"/>
    <xf numFmtId="0" fontId="3" fillId="0" borderId="0" xfId="0" applyFont="1"/>
    <xf numFmtId="2" fontId="3" fillId="0" borderId="0" xfId="0" applyNumberFormat="1" applyFont="1"/>
    <xf numFmtId="0" fontId="0" fillId="10" borderId="14" xfId="0" applyFill="1" applyBorder="1"/>
    <xf numFmtId="16" fontId="3" fillId="0" borderId="0" xfId="0" applyNumberFormat="1" applyFont="1"/>
    <xf numFmtId="0" fontId="0" fillId="0" borderId="0" xfId="0" applyAlignment="1">
      <alignment vertical="center"/>
    </xf>
    <xf numFmtId="0" fontId="0" fillId="0" borderId="0" xfId="0" applyAlignment="1">
      <alignment horizontal="center" vertical="center"/>
    </xf>
    <xf numFmtId="0" fontId="21" fillId="0" borderId="0" xfId="0" applyFont="1" applyAlignment="1">
      <alignment horizontal="center" vertical="center"/>
    </xf>
    <xf numFmtId="0" fontId="18" fillId="10" borderId="19" xfId="0" applyFont="1" applyFill="1" applyBorder="1" applyAlignment="1">
      <alignment horizontal="center" vertical="center" wrapText="1"/>
    </xf>
    <xf numFmtId="0" fontId="18" fillId="10" borderId="20" xfId="0" applyFont="1" applyFill="1" applyBorder="1" applyAlignment="1">
      <alignment horizontal="center" vertical="center" wrapText="1"/>
    </xf>
    <xf numFmtId="0" fontId="18" fillId="10" borderId="20" xfId="0" applyFont="1" applyFill="1" applyBorder="1" applyAlignment="1">
      <alignment horizontal="center" vertical="center"/>
    </xf>
    <xf numFmtId="0" fontId="18" fillId="10" borderId="21" xfId="0" applyFont="1" applyFill="1" applyBorder="1" applyAlignment="1">
      <alignment horizontal="left" vertical="center"/>
    </xf>
    <xf numFmtId="1" fontId="2" fillId="11" borderId="0" xfId="1" applyNumberFormat="1" applyFont="1" applyFill="1" applyAlignment="1">
      <alignment horizontal="center" vertical="center" wrapText="1"/>
    </xf>
    <xf numFmtId="0" fontId="18" fillId="12" borderId="0" xfId="0" applyFont="1" applyFill="1" applyAlignment="1">
      <alignment horizontal="center" vertical="center" wrapText="1"/>
    </xf>
    <xf numFmtId="0" fontId="18" fillId="12" borderId="0" xfId="0" applyFont="1" applyFill="1" applyAlignment="1">
      <alignment horizontal="center" vertical="center"/>
    </xf>
    <xf numFmtId="15" fontId="18" fillId="12" borderId="0" xfId="0" applyNumberFormat="1" applyFont="1" applyFill="1" applyAlignment="1">
      <alignment horizontal="center" vertical="center"/>
    </xf>
    <xf numFmtId="15" fontId="20" fillId="12" borderId="0" xfId="0" applyNumberFormat="1" applyFont="1" applyFill="1" applyAlignment="1">
      <alignment horizontal="center" vertical="center" wrapText="1"/>
    </xf>
    <xf numFmtId="164" fontId="19" fillId="11" borderId="0" xfId="1" applyNumberFormat="1" applyFont="1" applyFill="1"/>
    <xf numFmtId="49" fontId="11" fillId="0" borderId="6" xfId="1" applyNumberFormat="1" applyFont="1" applyBorder="1" applyAlignment="1">
      <alignment horizontal="center" vertical="center"/>
    </xf>
    <xf numFmtId="164" fontId="23" fillId="0" borderId="6" xfId="1" applyNumberFormat="1" applyFont="1" applyBorder="1" applyAlignment="1">
      <alignment horizontal="left" vertical="center"/>
    </xf>
    <xf numFmtId="3" fontId="11" fillId="0" borderId="22" xfId="0" applyNumberFormat="1" applyFont="1" applyBorder="1" applyAlignment="1">
      <alignment horizontal="center" vertical="center"/>
    </xf>
    <xf numFmtId="15" fontId="0" fillId="13" borderId="0" xfId="0" applyNumberFormat="1" applyFill="1" applyAlignment="1">
      <alignment horizontal="right"/>
    </xf>
    <xf numFmtId="15" fontId="0" fillId="8" borderId="0" xfId="1" applyNumberFormat="1" applyFont="1" applyFill="1"/>
    <xf numFmtId="15" fontId="6" fillId="0" borderId="0" xfId="0" applyNumberFormat="1" applyFont="1"/>
    <xf numFmtId="14" fontId="9" fillId="0" borderId="0" xfId="0" quotePrefix="1" applyNumberFormat="1" applyFont="1" applyAlignment="1">
      <alignment vertical="center"/>
    </xf>
    <xf numFmtId="0" fontId="24" fillId="0" borderId="0" xfId="0" applyFont="1" applyAlignment="1">
      <alignment horizontal="center" vertical="center" wrapText="1"/>
    </xf>
    <xf numFmtId="0" fontId="25" fillId="0" borderId="0" xfId="0" applyFont="1" applyAlignment="1">
      <alignment wrapText="1"/>
    </xf>
    <xf numFmtId="0" fontId="25" fillId="0" borderId="0" xfId="0" applyFont="1"/>
    <xf numFmtId="0" fontId="26" fillId="0" borderId="0" xfId="0" applyFont="1" applyAlignment="1">
      <alignment horizontal="center" vertical="center" wrapText="1"/>
    </xf>
    <xf numFmtId="0" fontId="28" fillId="0" borderId="0" xfId="0" applyFont="1" applyAlignment="1">
      <alignment horizontal="center" vertical="center" wrapText="1"/>
    </xf>
    <xf numFmtId="0" fontId="30" fillId="0" borderId="0" xfId="0" applyFont="1" applyAlignment="1">
      <alignment horizontal="center" vertical="center" wrapText="1"/>
    </xf>
    <xf numFmtId="0" fontId="0" fillId="0" borderId="0" xfId="0" applyAlignment="1">
      <alignment wrapText="1"/>
    </xf>
    <xf numFmtId="0" fontId="31" fillId="0" borderId="0" xfId="0" applyFont="1"/>
    <xf numFmtId="0" fontId="31" fillId="0" borderId="0" xfId="0" applyFont="1" applyAlignment="1">
      <alignment vertical="center" wrapText="1"/>
    </xf>
    <xf numFmtId="0" fontId="33" fillId="0" borderId="0" xfId="0" applyFont="1" applyAlignment="1">
      <alignment vertical="center" wrapText="1"/>
    </xf>
    <xf numFmtId="0" fontId="31" fillId="0" borderId="0" xfId="0" applyFont="1" applyAlignment="1">
      <alignment wrapText="1"/>
    </xf>
    <xf numFmtId="164" fontId="35" fillId="14" borderId="0" xfId="3" applyNumberFormat="1" applyFont="1" applyFill="1"/>
    <xf numFmtId="0" fontId="37" fillId="15" borderId="0" xfId="4" applyFont="1" applyFill="1" applyAlignment="1" applyProtection="1">
      <alignment horizontal="center"/>
      <protection hidden="1"/>
    </xf>
    <xf numFmtId="0" fontId="38" fillId="16" borderId="0" xfId="4" applyFont="1" applyFill="1" applyAlignment="1" applyProtection="1">
      <alignment horizontal="center"/>
      <protection hidden="1"/>
    </xf>
    <xf numFmtId="0" fontId="38" fillId="17" borderId="0" xfId="4" applyFont="1" applyFill="1" applyAlignment="1" applyProtection="1">
      <alignment horizontal="center"/>
      <protection hidden="1"/>
    </xf>
    <xf numFmtId="0" fontId="38" fillId="18" borderId="0" xfId="4" applyFont="1" applyFill="1" applyAlignment="1" applyProtection="1">
      <alignment horizontal="center"/>
      <protection hidden="1"/>
    </xf>
    <xf numFmtId="0" fontId="38" fillId="19" borderId="0" xfId="4" applyFont="1" applyFill="1" applyAlignment="1" applyProtection="1">
      <alignment horizontal="center"/>
      <protection hidden="1"/>
    </xf>
    <xf numFmtId="0" fontId="35" fillId="14" borderId="0" xfId="3" applyFont="1" applyFill="1"/>
    <xf numFmtId="0" fontId="39" fillId="15" borderId="0" xfId="4" applyFont="1" applyFill="1" applyProtection="1">
      <protection hidden="1"/>
    </xf>
    <xf numFmtId="0" fontId="40" fillId="16" borderId="0" xfId="4" applyFont="1" applyFill="1" applyProtection="1">
      <protection hidden="1"/>
    </xf>
    <xf numFmtId="0" fontId="40" fillId="17" borderId="0" xfId="4" applyFont="1" applyFill="1" applyProtection="1">
      <protection hidden="1"/>
    </xf>
    <xf numFmtId="0" fontId="40" fillId="18" borderId="0" xfId="4" applyFont="1" applyFill="1" applyProtection="1">
      <protection hidden="1"/>
    </xf>
    <xf numFmtId="0" fontId="40" fillId="19" borderId="0" xfId="4" applyFont="1" applyFill="1" applyProtection="1">
      <protection hidden="1"/>
    </xf>
    <xf numFmtId="0" fontId="38" fillId="14" borderId="0" xfId="3" applyFont="1" applyFill="1"/>
    <xf numFmtId="0" fontId="40" fillId="16" borderId="0" xfId="5" applyFont="1" applyFill="1" applyAlignment="1" applyProtection="1">
      <alignment horizontal="center"/>
      <protection hidden="1"/>
    </xf>
    <xf numFmtId="0" fontId="40" fillId="17" borderId="0" xfId="5" applyFont="1" applyFill="1" applyAlignment="1" applyProtection="1">
      <alignment horizontal="center"/>
      <protection hidden="1"/>
    </xf>
    <xf numFmtId="0" fontId="40" fillId="18" borderId="0" xfId="5" applyFont="1" applyFill="1" applyAlignment="1" applyProtection="1">
      <alignment horizontal="center"/>
      <protection hidden="1"/>
    </xf>
    <xf numFmtId="0" fontId="40" fillId="19" borderId="0" xfId="5" applyFont="1" applyFill="1" applyAlignment="1" applyProtection="1">
      <alignment horizontal="center"/>
      <protection hidden="1"/>
    </xf>
    <xf numFmtId="0" fontId="40" fillId="16" borderId="0" xfId="4" applyFont="1" applyFill="1" applyAlignment="1" applyProtection="1">
      <alignment horizontal="center"/>
      <protection hidden="1"/>
    </xf>
    <xf numFmtId="0" fontId="40" fillId="17" borderId="0" xfId="4" applyFont="1" applyFill="1" applyAlignment="1" applyProtection="1">
      <alignment horizontal="center"/>
      <protection hidden="1"/>
    </xf>
    <xf numFmtId="0" fontId="40" fillId="18" borderId="0" xfId="4" applyFont="1" applyFill="1" applyAlignment="1" applyProtection="1">
      <alignment horizontal="center"/>
      <protection hidden="1"/>
    </xf>
    <xf numFmtId="0" fontId="40" fillId="19" borderId="0" xfId="4" applyFont="1" applyFill="1" applyAlignment="1" applyProtection="1">
      <alignment horizontal="center"/>
      <protection hidden="1"/>
    </xf>
    <xf numFmtId="0" fontId="42" fillId="0" borderId="0" xfId="0" applyFont="1" applyAlignment="1">
      <alignment vertical="center"/>
    </xf>
    <xf numFmtId="0" fontId="39" fillId="0" borderId="0" xfId="4" applyFont="1" applyProtection="1">
      <protection hidden="1"/>
    </xf>
    <xf numFmtId="0" fontId="31" fillId="0" borderId="0" xfId="0" applyFont="1" applyAlignment="1">
      <alignment horizontal="left" wrapText="1"/>
    </xf>
    <xf numFmtId="0" fontId="31" fillId="0" borderId="0" xfId="0" applyFont="1" applyAlignment="1">
      <alignment horizontal="left"/>
    </xf>
    <xf numFmtId="0" fontId="31" fillId="0" borderId="0" xfId="0" applyFont="1" applyAlignment="1">
      <alignment horizontal="left" vertical="center" wrapText="1"/>
    </xf>
    <xf numFmtId="0" fontId="29" fillId="0" borderId="0" xfId="0" applyFont="1" applyAlignment="1">
      <alignment horizontal="left" indent="4"/>
    </xf>
    <xf numFmtId="0" fontId="31" fillId="0" borderId="0" xfId="0" applyFont="1" applyAlignment="1">
      <alignment horizontal="left" wrapText="1" indent="4"/>
    </xf>
    <xf numFmtId="0" fontId="0" fillId="0" borderId="0" xfId="0" quotePrefix="1"/>
    <xf numFmtId="0" fontId="44" fillId="0" borderId="0" xfId="0" applyFont="1"/>
    <xf numFmtId="49" fontId="9" fillId="0" borderId="0" xfId="0" quotePrefix="1" applyNumberFormat="1" applyFont="1" applyAlignment="1">
      <alignment vertical="center"/>
    </xf>
    <xf numFmtId="0" fontId="10" fillId="0" borderId="0" xfId="0" quotePrefix="1" applyFont="1" applyAlignment="1">
      <alignment horizontal="left" vertical="center" readingOrder="1"/>
    </xf>
    <xf numFmtId="164" fontId="14" fillId="0" borderId="17" xfId="1" applyNumberFormat="1" applyFont="1" applyBorder="1" applyAlignment="1">
      <alignment vertical="center"/>
    </xf>
    <xf numFmtId="0" fontId="0" fillId="0" borderId="0" xfId="0"/>
    <xf numFmtId="0" fontId="0" fillId="0" borderId="0" xfId="0" applyNumberFormat="1"/>
    <xf numFmtId="49" fontId="43" fillId="20" borderId="23" xfId="0" applyNumberFormat="1" applyFont="1" applyFill="1" applyBorder="1" applyAlignment="1">
      <alignment horizontal="center" vertical="center"/>
    </xf>
    <xf numFmtId="170" fontId="43" fillId="20" borderId="23" xfId="0" applyNumberFormat="1" applyFont="1" applyFill="1" applyBorder="1" applyAlignment="1">
      <alignment horizontal="center" vertical="center"/>
    </xf>
    <xf numFmtId="0" fontId="43" fillId="20" borderId="23" xfId="0" applyNumberFormat="1" applyFont="1" applyFill="1" applyBorder="1" applyAlignment="1">
      <alignment horizontal="center" vertical="center"/>
    </xf>
    <xf numFmtId="169" fontId="43" fillId="20" borderId="23" xfId="0" applyNumberFormat="1" applyFont="1" applyFill="1" applyBorder="1" applyAlignment="1">
      <alignment horizontal="center" vertical="center"/>
    </xf>
    <xf numFmtId="49" fontId="0" fillId="0" borderId="24" xfId="0" applyNumberFormat="1" applyBorder="1"/>
    <xf numFmtId="170" fontId="0" fillId="0" borderId="24" xfId="0" applyNumberFormat="1" applyBorder="1"/>
    <xf numFmtId="0" fontId="0" fillId="0" borderId="24" xfId="0" applyNumberFormat="1" applyBorder="1"/>
    <xf numFmtId="169" fontId="0" fillId="0" borderId="24" xfId="0" applyNumberFormat="1" applyBorder="1"/>
    <xf numFmtId="49" fontId="0" fillId="0" borderId="25" xfId="0" applyNumberFormat="1" applyBorder="1"/>
    <xf numFmtId="170" fontId="0" fillId="0" borderId="25" xfId="0" applyNumberFormat="1" applyBorder="1"/>
    <xf numFmtId="0" fontId="0" fillId="0" borderId="25" xfId="0" applyNumberFormat="1" applyBorder="1"/>
    <xf numFmtId="169" fontId="0" fillId="0" borderId="25" xfId="0" applyNumberFormat="1" applyBorder="1"/>
    <xf numFmtId="49" fontId="0" fillId="0" borderId="26" xfId="0" applyNumberFormat="1" applyBorder="1"/>
    <xf numFmtId="170" fontId="0" fillId="0" borderId="26" xfId="0" applyNumberFormat="1" applyBorder="1"/>
    <xf numFmtId="0" fontId="0" fillId="0" borderId="26" xfId="0" applyNumberFormat="1" applyBorder="1"/>
    <xf numFmtId="169" fontId="0" fillId="0" borderId="26" xfId="0" applyNumberFormat="1" applyBorder="1"/>
    <xf numFmtId="0" fontId="0" fillId="0" borderId="0" xfId="0" applyFill="1"/>
    <xf numFmtId="49" fontId="0" fillId="0" borderId="0" xfId="0" applyNumberFormat="1" applyFill="1"/>
    <xf numFmtId="164" fontId="0" fillId="0" borderId="0" xfId="1" applyNumberFormat="1" applyFont="1" applyFill="1"/>
    <xf numFmtId="164" fontId="0" fillId="0" borderId="0" xfId="1" applyNumberFormat="1" applyFont="1" applyFill="1" applyAlignment="1">
      <alignment horizontal="right"/>
    </xf>
    <xf numFmtId="165" fontId="6" fillId="0" borderId="0" xfId="1" applyNumberFormat="1" applyFont="1" applyFill="1"/>
    <xf numFmtId="15" fontId="0" fillId="0" borderId="0" xfId="0" applyNumberFormat="1" applyFill="1"/>
    <xf numFmtId="15" fontId="0" fillId="0" borderId="0" xfId="1" applyNumberFormat="1" applyFont="1" applyFill="1"/>
    <xf numFmtId="15" fontId="0" fillId="0" borderId="0" xfId="0" applyNumberFormat="1" applyFill="1" applyAlignment="1">
      <alignment horizontal="right"/>
    </xf>
    <xf numFmtId="166" fontId="0" fillId="0" borderId="0" xfId="1" applyNumberFormat="1" applyFont="1" applyFill="1"/>
    <xf numFmtId="49" fontId="0" fillId="0" borderId="0" xfId="0" applyNumberFormat="1" applyFill="1" applyAlignment="1">
      <alignment horizontal="right"/>
    </xf>
    <xf numFmtId="14" fontId="0" fillId="0" borderId="0" xfId="0" applyNumberFormat="1" applyAlignment="1">
      <alignment wrapText="1"/>
    </xf>
    <xf numFmtId="15" fontId="3" fillId="0" borderId="0" xfId="1" applyNumberFormat="1" applyFont="1" applyFill="1" applyAlignment="1">
      <alignment horizontal="right"/>
    </xf>
    <xf numFmtId="164" fontId="6" fillId="8" borderId="0" xfId="1" applyNumberFormat="1" applyFont="1" applyFill="1"/>
    <xf numFmtId="164" fontId="6" fillId="0" borderId="0" xfId="1" applyNumberFormat="1" applyFont="1" applyFill="1"/>
    <xf numFmtId="15" fontId="0" fillId="8" borderId="0" xfId="1" applyNumberFormat="1" applyFont="1" applyFill="1" applyAlignment="1">
      <alignment horizontal="right"/>
    </xf>
    <xf numFmtId="0" fontId="6" fillId="0" borderId="0" xfId="0" applyFont="1"/>
    <xf numFmtId="15" fontId="0" fillId="0" borderId="0" xfId="1" applyNumberFormat="1" applyFont="1" applyFill="1" applyAlignment="1">
      <alignment horizontal="right"/>
    </xf>
    <xf numFmtId="15" fontId="6" fillId="0" borderId="0" xfId="1" applyNumberFormat="1" applyFont="1"/>
    <xf numFmtId="0" fontId="6" fillId="0" borderId="0" xfId="0" applyFont="1" applyFill="1"/>
    <xf numFmtId="0" fontId="6" fillId="8" borderId="0" xfId="0" applyFont="1" applyFill="1"/>
    <xf numFmtId="15" fontId="0" fillId="0" borderId="0" xfId="0" quotePrefix="1" applyNumberFormat="1" applyAlignment="1">
      <alignment horizontal="right"/>
    </xf>
    <xf numFmtId="164" fontId="2" fillId="21" borderId="1" xfId="1" applyNumberFormat="1" applyFont="1" applyFill="1" applyBorder="1" applyAlignment="1">
      <alignment horizontal="center" vertical="center" wrapText="1"/>
    </xf>
    <xf numFmtId="168" fontId="2" fillId="21" borderId="1" xfId="1" applyNumberFormat="1" applyFont="1" applyFill="1" applyBorder="1" applyAlignment="1">
      <alignment horizontal="center" vertical="center" wrapText="1"/>
    </xf>
    <xf numFmtId="168" fontId="0" fillId="0" borderId="0" xfId="0" applyNumberFormat="1"/>
    <xf numFmtId="168" fontId="0" fillId="0" borderId="0" xfId="0" applyNumberFormat="1" applyFill="1"/>
    <xf numFmtId="0" fontId="0" fillId="22" borderId="0" xfId="0" applyFill="1" applyAlignment="1">
      <alignment vertical="center"/>
    </xf>
    <xf numFmtId="168" fontId="0" fillId="0" borderId="0" xfId="0" quotePrefix="1" applyNumberFormat="1"/>
    <xf numFmtId="168" fontId="0" fillId="0" borderId="0" xfId="1" applyNumberFormat="1" applyFont="1"/>
    <xf numFmtId="15" fontId="3" fillId="13" borderId="0" xfId="0" applyNumberFormat="1" applyFont="1" applyFill="1" applyAlignment="1">
      <alignment horizontal="right"/>
    </xf>
    <xf numFmtId="15" fontId="0" fillId="13" borderId="0" xfId="1" applyNumberFormat="1" applyFont="1" applyFill="1" applyAlignment="1">
      <alignment horizontal="right"/>
    </xf>
    <xf numFmtId="49" fontId="6" fillId="0" borderId="0" xfId="0" applyNumberFormat="1" applyFont="1"/>
    <xf numFmtId="164" fontId="6" fillId="0" borderId="0" xfId="1" applyNumberFormat="1" applyFont="1" applyAlignment="1">
      <alignment horizontal="right"/>
    </xf>
    <xf numFmtId="15" fontId="6" fillId="0" borderId="0" xfId="0" applyNumberFormat="1" applyFont="1" applyAlignment="1">
      <alignment horizontal="right"/>
    </xf>
    <xf numFmtId="166" fontId="6" fillId="0" borderId="0" xfId="1" applyNumberFormat="1" applyFont="1"/>
    <xf numFmtId="168" fontId="6" fillId="0" borderId="0" xfId="1" applyNumberFormat="1" applyFont="1"/>
    <xf numFmtId="49" fontId="3" fillId="0" borderId="0" xfId="0" applyNumberFormat="1" applyFont="1"/>
    <xf numFmtId="15" fontId="3" fillId="0" borderId="0" xfId="0" applyNumberFormat="1" applyFont="1" applyAlignment="1">
      <alignment horizontal="right"/>
    </xf>
    <xf numFmtId="166" fontId="0" fillId="0" borderId="0" xfId="0" applyNumberFormat="1"/>
    <xf numFmtId="15" fontId="3" fillId="0" borderId="0" xfId="1" applyNumberFormat="1" applyFont="1"/>
    <xf numFmtId="0" fontId="47" fillId="0" borderId="0" xfId="0" applyFont="1" applyAlignment="1">
      <alignment vertical="center"/>
    </xf>
    <xf numFmtId="165" fontId="0" fillId="8" borderId="0" xfId="1" applyNumberFormat="1" applyFont="1" applyFill="1"/>
    <xf numFmtId="0" fontId="0" fillId="0" borderId="27" xfId="0" applyBorder="1"/>
    <xf numFmtId="0" fontId="0" fillId="0" borderId="0" xfId="0" applyBorder="1"/>
    <xf numFmtId="0" fontId="6" fillId="0" borderId="0" xfId="0" applyFont="1" applyBorder="1"/>
    <xf numFmtId="164" fontId="5" fillId="7" borderId="0" xfId="1" applyNumberFormat="1" applyFont="1" applyFill="1" applyBorder="1" applyAlignment="1">
      <alignment horizontal="center" vertical="center" wrapText="1"/>
    </xf>
    <xf numFmtId="164" fontId="0" fillId="0" borderId="0" xfId="0" applyNumberFormat="1"/>
    <xf numFmtId="3" fontId="42" fillId="0" borderId="23" xfId="0" applyNumberFormat="1" applyFont="1" applyBorder="1" applyAlignment="1">
      <alignment horizontal="center" vertical="center"/>
    </xf>
    <xf numFmtId="0" fontId="48" fillId="0" borderId="23" xfId="0" applyFont="1" applyBorder="1" applyAlignment="1">
      <alignment vertical="center" wrapText="1"/>
    </xf>
    <xf numFmtId="164" fontId="48" fillId="0" borderId="23" xfId="1" applyNumberFormat="1" applyFont="1" applyBorder="1" applyAlignment="1">
      <alignment horizontal="center" vertical="center" wrapText="1"/>
    </xf>
    <xf numFmtId="164" fontId="48" fillId="0" borderId="23" xfId="1" applyNumberFormat="1" applyFont="1" applyBorder="1" applyAlignment="1">
      <alignment horizontal="right" vertical="center" wrapText="1"/>
    </xf>
    <xf numFmtId="0" fontId="48" fillId="0" borderId="0" xfId="0" applyFont="1"/>
    <xf numFmtId="0" fontId="39" fillId="14" borderId="0" xfId="3" applyFont="1" applyFill="1"/>
    <xf numFmtId="0" fontId="48" fillId="0" borderId="23" xfId="0" applyFont="1" applyBorder="1" applyAlignment="1">
      <alignment horizontal="center" vertical="center" wrapText="1"/>
    </xf>
    <xf numFmtId="0" fontId="49" fillId="0" borderId="23" xfId="0" applyFont="1" applyBorder="1" applyAlignment="1">
      <alignment horizontal="center" vertical="center" wrapText="1"/>
    </xf>
    <xf numFmtId="164" fontId="49" fillId="0" borderId="23" xfId="1" applyNumberFormat="1" applyFont="1" applyBorder="1" applyAlignment="1">
      <alignment horizontal="right" vertical="center" wrapText="1"/>
    </xf>
    <xf numFmtId="164" fontId="39" fillId="14" borderId="0" xfId="3" applyNumberFormat="1" applyFont="1" applyFill="1"/>
    <xf numFmtId="166" fontId="0" fillId="0" borderId="0" xfId="1" applyNumberFormat="1" applyFont="1" applyFill="1" applyAlignment="1">
      <alignment horizontal="right"/>
    </xf>
    <xf numFmtId="49" fontId="6" fillId="0" borderId="0" xfId="0" applyNumberFormat="1" applyFont="1" applyFill="1"/>
    <xf numFmtId="164" fontId="6" fillId="0" borderId="0" xfId="1" applyNumberFormat="1" applyFont="1" applyFill="1" applyAlignment="1">
      <alignment horizontal="right"/>
    </xf>
    <xf numFmtId="15" fontId="6" fillId="0" borderId="0" xfId="1" applyNumberFormat="1" applyFont="1" applyFill="1"/>
    <xf numFmtId="171" fontId="2" fillId="21" borderId="1" xfId="1" applyNumberFormat="1" applyFont="1" applyFill="1" applyBorder="1" applyAlignment="1">
      <alignment horizontal="center" vertical="center" wrapText="1"/>
    </xf>
    <xf numFmtId="171" fontId="0" fillId="0" borderId="0" xfId="1" applyNumberFormat="1" applyFont="1"/>
    <xf numFmtId="171" fontId="0" fillId="0" borderId="0" xfId="0" applyNumberFormat="1"/>
    <xf numFmtId="171" fontId="0" fillId="0" borderId="0" xfId="1" applyNumberFormat="1" applyFont="1" applyFill="1"/>
    <xf numFmtId="171" fontId="6" fillId="0" borderId="0" xfId="1" applyNumberFormat="1" applyFont="1"/>
    <xf numFmtId="171" fontId="0" fillId="0" borderId="0" xfId="0" applyNumberFormat="1" applyFill="1"/>
    <xf numFmtId="15" fontId="3" fillId="0" borderId="0" xfId="0" applyNumberFormat="1" applyFont="1"/>
    <xf numFmtId="14" fontId="0" fillId="0" borderId="0" xfId="0" applyNumberFormat="1"/>
    <xf numFmtId="15" fontId="0" fillId="0" borderId="0" xfId="0" applyNumberFormat="1" applyFont="1"/>
    <xf numFmtId="0" fontId="0" fillId="0" borderId="0" xfId="0" applyFont="1"/>
    <xf numFmtId="164" fontId="51" fillId="0" borderId="0" xfId="1" applyNumberFormat="1" applyFont="1"/>
    <xf numFmtId="49" fontId="51" fillId="0" borderId="0" xfId="0" applyNumberFormat="1" applyFont="1"/>
    <xf numFmtId="164" fontId="3" fillId="0" borderId="0" xfId="1" applyNumberFormat="1" applyFont="1" applyFill="1"/>
    <xf numFmtId="164" fontId="1" fillId="0" borderId="0" xfId="1" applyNumberFormat="1" applyFont="1"/>
    <xf numFmtId="164" fontId="3" fillId="8" borderId="0" xfId="1" applyNumberFormat="1" applyFont="1" applyFill="1"/>
    <xf numFmtId="0" fontId="0" fillId="13" borderId="0" xfId="0" applyFill="1"/>
    <xf numFmtId="0" fontId="6" fillId="13" borderId="0" xfId="0" applyFont="1" applyFill="1"/>
    <xf numFmtId="49" fontId="52" fillId="0" borderId="0" xfId="0" applyNumberFormat="1" applyFont="1"/>
    <xf numFmtId="0" fontId="9" fillId="0" borderId="0" xfId="0" applyFont="1" applyAlignment="1">
      <alignment vertical="top"/>
    </xf>
    <xf numFmtId="164" fontId="0" fillId="13" borderId="0" xfId="1" applyNumberFormat="1" applyFont="1" applyFill="1"/>
    <xf numFmtId="164" fontId="3" fillId="13" borderId="0" xfId="1" applyNumberFormat="1" applyFont="1" applyFill="1"/>
    <xf numFmtId="15" fontId="0" fillId="24" borderId="0" xfId="0" applyNumberFormat="1" applyFill="1"/>
    <xf numFmtId="15" fontId="0" fillId="25" borderId="0" xfId="0" applyNumberFormat="1" applyFill="1"/>
    <xf numFmtId="15" fontId="0" fillId="23" borderId="0" xfId="0" applyNumberFormat="1" applyFill="1"/>
    <xf numFmtId="15" fontId="0" fillId="26" borderId="0" xfId="0" applyNumberFormat="1" applyFill="1"/>
    <xf numFmtId="15" fontId="6" fillId="23" borderId="0" xfId="0" applyNumberFormat="1" applyFont="1" applyFill="1"/>
    <xf numFmtId="0" fontId="31" fillId="0" borderId="0" xfId="0" quotePrefix="1" applyFont="1" applyAlignment="1">
      <alignment horizontal="left" vertical="center" wrapText="1"/>
    </xf>
    <xf numFmtId="0" fontId="31" fillId="0" borderId="0" xfId="0" applyFont="1" applyAlignment="1">
      <alignment horizontal="left" vertical="center" wrapText="1"/>
    </xf>
    <xf numFmtId="0" fontId="31" fillId="0" borderId="0" xfId="0" applyFont="1" applyAlignment="1">
      <alignment horizontal="left" vertical="center" wrapText="1" indent="4"/>
    </xf>
    <xf numFmtId="0" fontId="32" fillId="0" borderId="0" xfId="0" applyFont="1" applyAlignment="1">
      <alignment vertical="center" wrapText="1"/>
    </xf>
    <xf numFmtId="0" fontId="24" fillId="0" borderId="0" xfId="0" applyFont="1" applyAlignment="1">
      <alignment horizontal="center" vertical="center" wrapText="1"/>
    </xf>
    <xf numFmtId="0" fontId="24" fillId="0" borderId="0" xfId="0" quotePrefix="1" applyFont="1" applyAlignment="1">
      <alignment horizontal="center" vertical="center" wrapText="1"/>
    </xf>
    <xf numFmtId="0" fontId="27" fillId="0" borderId="0" xfId="0" applyFont="1" applyAlignment="1">
      <alignment horizontal="center" vertical="center" wrapText="1"/>
    </xf>
    <xf numFmtId="0" fontId="28" fillId="0" borderId="0" xfId="0" applyFont="1" applyAlignment="1">
      <alignment horizontal="center" vertical="center" wrapText="1"/>
    </xf>
    <xf numFmtId="0" fontId="29" fillId="0" borderId="0" xfId="0" applyFont="1" applyAlignment="1">
      <alignment horizontal="center" vertical="center" wrapText="1"/>
    </xf>
    <xf numFmtId="0" fontId="29" fillId="0" borderId="0" xfId="0" applyFont="1" applyAlignment="1">
      <alignment vertical="center" wrapText="1"/>
    </xf>
    <xf numFmtId="0" fontId="31" fillId="0" borderId="0" xfId="0" applyFont="1" applyAlignment="1">
      <alignment vertical="center" wrapText="1"/>
    </xf>
    <xf numFmtId="0" fontId="28" fillId="0" borderId="0" xfId="0" applyFont="1" applyAlignment="1">
      <alignment vertical="center" wrapText="1"/>
    </xf>
    <xf numFmtId="0" fontId="28" fillId="0" borderId="0" xfId="0" applyFont="1" applyAlignment="1">
      <alignment horizontal="left" vertical="center" wrapText="1" indent="4"/>
    </xf>
    <xf numFmtId="0" fontId="28" fillId="0" borderId="0" xfId="0" applyFont="1" applyAlignment="1">
      <alignment horizontal="left" vertical="center" wrapText="1"/>
    </xf>
    <xf numFmtId="0" fontId="31" fillId="0" borderId="0" xfId="0" applyFont="1" applyAlignment="1">
      <alignment horizontal="center" vertical="center" wrapText="1"/>
    </xf>
    <xf numFmtId="0" fontId="12" fillId="0" borderId="0" xfId="0" applyFont="1" applyAlignment="1">
      <alignment horizontal="center" vertical="center" wrapText="1" readingOrder="1"/>
    </xf>
    <xf numFmtId="164" fontId="2" fillId="11" borderId="0" xfId="1" applyNumberFormat="1" applyFont="1" applyFill="1" applyAlignment="1">
      <alignment horizontal="center" vertical="center" wrapText="1"/>
    </xf>
  </cellXfs>
  <cellStyles count="6">
    <cellStyle name="Comma" xfId="1" builtinId="3"/>
    <cellStyle name="Input" xfId="2" builtinId="20"/>
    <cellStyle name="Normal" xfId="0" builtinId="0"/>
    <cellStyle name="Normal 2 3" xfId="3"/>
    <cellStyle name="Normal_Dichso 2" xfId="5"/>
    <cellStyle name="Normal_DocSoUnicode 2" xfId="4"/>
  </cellStyles>
  <dxfs count="682">
    <dxf>
      <font>
        <b/>
        <i val="0"/>
        <color rgb="FF00B050"/>
      </font>
    </dxf>
    <dxf>
      <font>
        <b/>
        <i val="0"/>
        <color rgb="FFFF0000"/>
      </font>
    </dxf>
    <dxf>
      <font>
        <b/>
        <i val="0"/>
        <color theme="8"/>
      </font>
    </dxf>
    <dxf>
      <font>
        <b/>
        <i val="0"/>
        <color rgb="FFFFC000"/>
      </font>
    </dxf>
    <dxf>
      <font>
        <b/>
        <i val="0"/>
        <color rgb="FF00B050"/>
      </font>
    </dxf>
    <dxf>
      <font>
        <b/>
        <i val="0"/>
        <color rgb="FFFF0000"/>
      </font>
    </dxf>
    <dxf>
      <font>
        <b/>
        <i val="0"/>
        <color theme="8"/>
      </font>
    </dxf>
    <dxf>
      <font>
        <b/>
        <i val="0"/>
        <color rgb="FFFFC000"/>
      </font>
    </dxf>
    <dxf>
      <font>
        <b/>
        <i val="0"/>
        <color rgb="FF00B050"/>
      </font>
    </dxf>
    <dxf>
      <font>
        <b/>
        <i val="0"/>
        <color rgb="FFFF0000"/>
      </font>
    </dxf>
    <dxf>
      <font>
        <b/>
        <i val="0"/>
        <color theme="8"/>
      </font>
    </dxf>
    <dxf>
      <font>
        <b/>
        <i val="0"/>
        <color rgb="FFFFC000"/>
      </font>
    </dxf>
    <dxf>
      <font>
        <b/>
        <i val="0"/>
        <color rgb="FF00B050"/>
      </font>
    </dxf>
    <dxf>
      <font>
        <b/>
        <i val="0"/>
        <color rgb="FFFF0000"/>
      </font>
    </dxf>
    <dxf>
      <font>
        <b/>
        <i val="0"/>
        <color theme="8"/>
      </font>
    </dxf>
    <dxf>
      <font>
        <b/>
        <i val="0"/>
        <color rgb="FFFFC000"/>
      </font>
    </dxf>
    <dxf>
      <font>
        <b/>
        <i val="0"/>
        <color rgb="FF00B050"/>
      </font>
    </dxf>
    <dxf>
      <font>
        <b/>
        <i val="0"/>
        <color rgb="FFFF0000"/>
      </font>
    </dxf>
    <dxf>
      <font>
        <b/>
        <i val="0"/>
        <color theme="8"/>
      </font>
    </dxf>
    <dxf>
      <font>
        <b/>
        <i val="0"/>
        <color rgb="FFFFC000"/>
      </font>
    </dxf>
    <dxf>
      <font>
        <b/>
        <i val="0"/>
        <color rgb="FF00B050"/>
      </font>
    </dxf>
    <dxf>
      <font>
        <b/>
        <i val="0"/>
        <color rgb="FFFF0000"/>
      </font>
    </dxf>
    <dxf>
      <font>
        <b/>
        <i val="0"/>
        <color theme="8"/>
      </font>
    </dxf>
    <dxf>
      <font>
        <b/>
        <i val="0"/>
        <color rgb="FFFFC000"/>
      </font>
    </dxf>
    <dxf>
      <font>
        <b/>
        <i val="0"/>
        <color rgb="FF00B050"/>
      </font>
    </dxf>
    <dxf>
      <font>
        <b/>
        <i val="0"/>
        <color rgb="FFFF0000"/>
      </font>
    </dxf>
    <dxf>
      <font>
        <b/>
        <i val="0"/>
        <color theme="8"/>
      </font>
    </dxf>
    <dxf>
      <font>
        <b/>
        <i val="0"/>
        <color rgb="FFFFC000"/>
      </font>
    </dxf>
    <dxf>
      <font>
        <b/>
        <i val="0"/>
        <color rgb="FF00B050"/>
      </font>
    </dxf>
    <dxf>
      <font>
        <b/>
        <i val="0"/>
        <color rgb="FFFF0000"/>
      </font>
    </dxf>
    <dxf>
      <font>
        <b/>
        <i val="0"/>
        <color theme="8"/>
      </font>
    </dxf>
    <dxf>
      <font>
        <b/>
        <i val="0"/>
        <color rgb="FFFFC000"/>
      </font>
    </dxf>
    <dxf>
      <font>
        <b/>
        <i val="0"/>
        <color rgb="FF00B050"/>
      </font>
    </dxf>
    <dxf>
      <font>
        <b/>
        <i val="0"/>
        <color rgb="FFFF0000"/>
      </font>
    </dxf>
    <dxf>
      <font>
        <b/>
        <i val="0"/>
        <color theme="8"/>
      </font>
    </dxf>
    <dxf>
      <font>
        <b/>
        <i val="0"/>
        <color rgb="FFFFC000"/>
      </font>
    </dxf>
    <dxf>
      <font>
        <b/>
        <i val="0"/>
        <color rgb="FF00B050"/>
      </font>
    </dxf>
    <dxf>
      <font>
        <b/>
        <i val="0"/>
        <color rgb="FFFF0000"/>
      </font>
    </dxf>
    <dxf>
      <font>
        <b/>
        <i val="0"/>
        <color theme="8"/>
      </font>
    </dxf>
    <dxf>
      <font>
        <b/>
        <i val="0"/>
        <color rgb="FFFFC000"/>
      </font>
    </dxf>
    <dxf>
      <font>
        <b/>
        <i val="0"/>
        <color rgb="FF00B050"/>
      </font>
    </dxf>
    <dxf>
      <font>
        <b/>
        <i val="0"/>
        <color rgb="FFFF0000"/>
      </font>
    </dxf>
    <dxf>
      <font>
        <b/>
        <i val="0"/>
        <color theme="8"/>
      </font>
    </dxf>
    <dxf>
      <font>
        <b/>
        <i val="0"/>
        <color rgb="FFFFC000"/>
      </font>
    </dxf>
    <dxf>
      <font>
        <b/>
        <i val="0"/>
        <color rgb="FF00B050"/>
      </font>
    </dxf>
    <dxf>
      <font>
        <b/>
        <i val="0"/>
        <color rgb="FFFF0000"/>
      </font>
    </dxf>
    <dxf>
      <font>
        <b/>
        <i val="0"/>
        <color theme="8"/>
      </font>
    </dxf>
    <dxf>
      <font>
        <b/>
        <i val="0"/>
        <color rgb="FFFFC000"/>
      </font>
    </dxf>
    <dxf>
      <font>
        <b/>
        <i val="0"/>
        <color rgb="FF00B050"/>
      </font>
    </dxf>
    <dxf>
      <font>
        <b/>
        <i val="0"/>
        <color rgb="FFFF0000"/>
      </font>
    </dxf>
    <dxf>
      <font>
        <b/>
        <i val="0"/>
        <color theme="8"/>
      </font>
    </dxf>
    <dxf>
      <font>
        <b/>
        <i val="0"/>
        <color rgb="FFFFC000"/>
      </font>
    </dxf>
    <dxf>
      <font>
        <b/>
        <i val="0"/>
        <color rgb="FF00B050"/>
      </font>
    </dxf>
    <dxf>
      <font>
        <b/>
        <i val="0"/>
        <color rgb="FFFF0000"/>
      </font>
    </dxf>
    <dxf>
      <font>
        <b/>
        <i val="0"/>
        <color theme="8"/>
      </font>
    </dxf>
    <dxf>
      <font>
        <b/>
        <i val="0"/>
        <color rgb="FFFFC000"/>
      </font>
    </dxf>
    <dxf>
      <font>
        <b/>
        <i val="0"/>
        <color rgb="FF00B050"/>
      </font>
    </dxf>
    <dxf>
      <font>
        <b/>
        <i val="0"/>
        <color rgb="FFFF0000"/>
      </font>
    </dxf>
    <dxf>
      <font>
        <b/>
        <i val="0"/>
        <color theme="8"/>
      </font>
    </dxf>
    <dxf>
      <font>
        <b/>
        <i val="0"/>
        <color rgb="FFFFC000"/>
      </font>
    </dxf>
    <dxf>
      <font>
        <b/>
        <i val="0"/>
        <color rgb="FF00B050"/>
      </font>
    </dxf>
    <dxf>
      <font>
        <b/>
        <i val="0"/>
        <color rgb="FFFF0000"/>
      </font>
    </dxf>
    <dxf>
      <font>
        <b/>
        <i val="0"/>
        <color theme="8"/>
      </font>
    </dxf>
    <dxf>
      <font>
        <b/>
        <i val="0"/>
        <color rgb="FFFFC000"/>
      </font>
    </dxf>
    <dxf>
      <font>
        <b/>
        <i val="0"/>
        <color rgb="FF00B050"/>
      </font>
    </dxf>
    <dxf>
      <font>
        <b/>
        <i val="0"/>
        <color rgb="FFFF0000"/>
      </font>
    </dxf>
    <dxf>
      <font>
        <b/>
        <i val="0"/>
        <color theme="8"/>
      </font>
    </dxf>
    <dxf>
      <font>
        <b/>
        <i val="0"/>
        <color rgb="FFFFC000"/>
      </font>
    </dxf>
    <dxf>
      <font>
        <b/>
        <i val="0"/>
        <color rgb="FF00B050"/>
      </font>
    </dxf>
    <dxf>
      <font>
        <b/>
        <i val="0"/>
        <color rgb="FFFF0000"/>
      </font>
    </dxf>
    <dxf>
      <font>
        <b/>
        <i val="0"/>
        <color theme="8"/>
      </font>
    </dxf>
    <dxf>
      <font>
        <b/>
        <i val="0"/>
        <color rgb="FFFFC000"/>
      </font>
    </dxf>
    <dxf>
      <font>
        <b/>
        <i val="0"/>
        <color rgb="FF00B050"/>
      </font>
    </dxf>
    <dxf>
      <font>
        <b/>
        <i val="0"/>
        <color rgb="FFFF0000"/>
      </font>
    </dxf>
    <dxf>
      <font>
        <b/>
        <i val="0"/>
        <color theme="8"/>
      </font>
    </dxf>
    <dxf>
      <font>
        <b/>
        <i val="0"/>
        <color rgb="FFFFC000"/>
      </font>
    </dxf>
    <dxf>
      <font>
        <b/>
        <i val="0"/>
        <color rgb="FF00B050"/>
      </font>
    </dxf>
    <dxf>
      <font>
        <b/>
        <i val="0"/>
        <color rgb="FFFF0000"/>
      </font>
    </dxf>
    <dxf>
      <font>
        <b/>
        <i val="0"/>
        <color theme="8"/>
      </font>
    </dxf>
    <dxf>
      <font>
        <b/>
        <i val="0"/>
        <color rgb="FFFFC000"/>
      </font>
    </dxf>
    <dxf>
      <font>
        <b/>
        <i val="0"/>
        <color rgb="FF00B050"/>
      </font>
    </dxf>
    <dxf>
      <font>
        <b/>
        <i val="0"/>
        <color rgb="FFFF0000"/>
      </font>
    </dxf>
    <dxf>
      <font>
        <b/>
        <i val="0"/>
        <color theme="8"/>
      </font>
    </dxf>
    <dxf>
      <font>
        <b/>
        <i val="0"/>
        <color rgb="FFFFC000"/>
      </font>
    </dxf>
    <dxf>
      <font>
        <b/>
        <i val="0"/>
        <color rgb="FF00B050"/>
      </font>
    </dxf>
    <dxf>
      <font>
        <b/>
        <i val="0"/>
        <color rgb="FFFF0000"/>
      </font>
    </dxf>
    <dxf>
      <font>
        <b/>
        <i val="0"/>
        <color theme="8"/>
      </font>
    </dxf>
    <dxf>
      <font>
        <b/>
        <i val="0"/>
        <color rgb="FFFFC000"/>
      </font>
    </dxf>
    <dxf>
      <font>
        <b/>
        <i val="0"/>
        <color rgb="FF00B050"/>
      </font>
    </dxf>
    <dxf>
      <font>
        <b/>
        <i val="0"/>
        <color rgb="FFFF0000"/>
      </font>
    </dxf>
    <dxf>
      <font>
        <b/>
        <i val="0"/>
        <color theme="8"/>
      </font>
    </dxf>
    <dxf>
      <font>
        <b/>
        <i val="0"/>
        <color rgb="FFFFC000"/>
      </font>
    </dxf>
    <dxf>
      <font>
        <b/>
        <i val="0"/>
        <color rgb="FF00B050"/>
      </font>
    </dxf>
    <dxf>
      <font>
        <b/>
        <i val="0"/>
        <color rgb="FFFF0000"/>
      </font>
    </dxf>
    <dxf>
      <font>
        <b/>
        <i val="0"/>
        <color theme="8"/>
      </font>
    </dxf>
    <dxf>
      <font>
        <b/>
        <i val="0"/>
        <color rgb="FFFFC000"/>
      </font>
    </dxf>
    <dxf>
      <font>
        <b/>
        <i val="0"/>
        <color rgb="FF00B050"/>
      </font>
    </dxf>
    <dxf>
      <font>
        <b/>
        <i val="0"/>
        <color rgb="FFFF0000"/>
      </font>
    </dxf>
    <dxf>
      <font>
        <b/>
        <i val="0"/>
        <color theme="8"/>
      </font>
    </dxf>
    <dxf>
      <font>
        <b/>
        <i val="0"/>
        <color rgb="FFFFC000"/>
      </font>
    </dxf>
    <dxf>
      <font>
        <b/>
        <i val="0"/>
        <color rgb="FF00B050"/>
      </font>
    </dxf>
    <dxf>
      <font>
        <b/>
        <i val="0"/>
        <color rgb="FFFF0000"/>
      </font>
    </dxf>
    <dxf>
      <font>
        <b/>
        <i val="0"/>
        <color theme="8"/>
      </font>
    </dxf>
    <dxf>
      <font>
        <b/>
        <i val="0"/>
        <color rgb="FFFFC000"/>
      </font>
    </dxf>
    <dxf>
      <font>
        <b/>
        <i val="0"/>
        <color rgb="FF00B050"/>
      </font>
    </dxf>
    <dxf>
      <font>
        <b/>
        <i val="0"/>
        <color rgb="FFFF0000"/>
      </font>
    </dxf>
    <dxf>
      <font>
        <b/>
        <i val="0"/>
        <color theme="8"/>
      </font>
    </dxf>
    <dxf>
      <font>
        <b/>
        <i val="0"/>
        <color rgb="FFFFC000"/>
      </font>
    </dxf>
    <dxf>
      <font>
        <b/>
        <i val="0"/>
        <color rgb="FF00B050"/>
      </font>
    </dxf>
    <dxf>
      <font>
        <b/>
        <i val="0"/>
        <color rgb="FFFF0000"/>
      </font>
    </dxf>
    <dxf>
      <font>
        <b/>
        <i val="0"/>
        <color theme="8"/>
      </font>
    </dxf>
    <dxf>
      <font>
        <b/>
        <i val="0"/>
        <color rgb="FFFFC000"/>
      </font>
    </dxf>
    <dxf>
      <font>
        <b/>
        <i val="0"/>
        <color rgb="FF00B050"/>
      </font>
    </dxf>
    <dxf>
      <font>
        <b/>
        <i val="0"/>
        <color rgb="FFFF0000"/>
      </font>
    </dxf>
    <dxf>
      <font>
        <b/>
        <i val="0"/>
        <color theme="8"/>
      </font>
    </dxf>
    <dxf>
      <font>
        <b/>
        <i val="0"/>
        <color rgb="FFFFC000"/>
      </font>
    </dxf>
    <dxf>
      <font>
        <b/>
        <i val="0"/>
        <color rgb="FF00B050"/>
      </font>
    </dxf>
    <dxf>
      <font>
        <b/>
        <i val="0"/>
        <color rgb="FFFF0000"/>
      </font>
    </dxf>
    <dxf>
      <font>
        <b/>
        <i val="0"/>
        <color theme="8"/>
      </font>
    </dxf>
    <dxf>
      <font>
        <b/>
        <i val="0"/>
        <color rgb="FFFFC000"/>
      </font>
    </dxf>
    <dxf>
      <font>
        <b/>
        <i val="0"/>
        <color rgb="FF00B050"/>
      </font>
    </dxf>
    <dxf>
      <font>
        <b/>
        <i val="0"/>
        <color rgb="FFFF0000"/>
      </font>
    </dxf>
    <dxf>
      <font>
        <b/>
        <i val="0"/>
        <color theme="8"/>
      </font>
    </dxf>
    <dxf>
      <font>
        <b/>
        <i val="0"/>
        <color rgb="FFFFC000"/>
      </font>
    </dxf>
    <dxf>
      <font>
        <b/>
        <i val="0"/>
        <color rgb="FF00B050"/>
      </font>
    </dxf>
    <dxf>
      <font>
        <b/>
        <i val="0"/>
        <color rgb="FFFF0000"/>
      </font>
    </dxf>
    <dxf>
      <font>
        <b/>
        <i val="0"/>
        <color theme="8"/>
      </font>
    </dxf>
    <dxf>
      <font>
        <b/>
        <i val="0"/>
        <color rgb="FFFFC000"/>
      </font>
    </dxf>
    <dxf>
      <font>
        <b/>
        <i val="0"/>
        <color rgb="FF00B050"/>
      </font>
    </dxf>
    <dxf>
      <font>
        <b/>
        <i val="0"/>
        <color rgb="FFFF0000"/>
      </font>
    </dxf>
    <dxf>
      <font>
        <b/>
        <i val="0"/>
        <color theme="8"/>
      </font>
    </dxf>
    <dxf>
      <font>
        <b/>
        <i val="0"/>
        <color rgb="FFFFC000"/>
      </font>
    </dxf>
    <dxf>
      <font>
        <b/>
        <i val="0"/>
        <color rgb="FF00B050"/>
      </font>
    </dxf>
    <dxf>
      <font>
        <b/>
        <i val="0"/>
        <color rgb="FFFF0000"/>
      </font>
    </dxf>
    <dxf>
      <font>
        <b/>
        <i val="0"/>
        <color theme="8"/>
      </font>
    </dxf>
    <dxf>
      <font>
        <b/>
        <i val="0"/>
        <color rgb="FFFFC000"/>
      </font>
    </dxf>
    <dxf>
      <font>
        <b/>
        <i val="0"/>
        <color rgb="FF00B050"/>
      </font>
    </dxf>
    <dxf>
      <font>
        <b/>
        <i val="0"/>
        <color rgb="FFFF0000"/>
      </font>
    </dxf>
    <dxf>
      <font>
        <b/>
        <i val="0"/>
        <color theme="8"/>
      </font>
    </dxf>
    <dxf>
      <font>
        <b/>
        <i val="0"/>
        <color rgb="FFFFC000"/>
      </font>
    </dxf>
    <dxf>
      <font>
        <b/>
        <i val="0"/>
        <color rgb="FF00B050"/>
      </font>
    </dxf>
    <dxf>
      <font>
        <b/>
        <i val="0"/>
        <color rgb="FFFF0000"/>
      </font>
    </dxf>
    <dxf>
      <font>
        <b/>
        <i val="0"/>
        <color theme="8"/>
      </font>
    </dxf>
    <dxf>
      <font>
        <b/>
        <i val="0"/>
        <color rgb="FFFFC000"/>
      </font>
    </dxf>
    <dxf>
      <font>
        <b/>
        <i val="0"/>
        <color rgb="FF00B050"/>
      </font>
    </dxf>
    <dxf>
      <font>
        <b/>
        <i val="0"/>
        <color rgb="FFFF0000"/>
      </font>
    </dxf>
    <dxf>
      <font>
        <b/>
        <i val="0"/>
        <color theme="8"/>
      </font>
    </dxf>
    <dxf>
      <font>
        <b/>
        <i val="0"/>
        <color rgb="FFFFC000"/>
      </font>
    </dxf>
    <dxf>
      <font>
        <b/>
        <i val="0"/>
        <color rgb="FF00B050"/>
      </font>
    </dxf>
    <dxf>
      <font>
        <b/>
        <i val="0"/>
        <color rgb="FFFF0000"/>
      </font>
    </dxf>
    <dxf>
      <font>
        <b/>
        <i val="0"/>
        <color theme="8"/>
      </font>
    </dxf>
    <dxf>
      <font>
        <b/>
        <i val="0"/>
        <color rgb="FFFFC000"/>
      </font>
    </dxf>
    <dxf>
      <font>
        <b/>
        <i val="0"/>
        <color rgb="FF00B050"/>
      </font>
    </dxf>
    <dxf>
      <font>
        <b/>
        <i val="0"/>
        <color rgb="FFFF0000"/>
      </font>
    </dxf>
    <dxf>
      <font>
        <b/>
        <i val="0"/>
        <color theme="8"/>
      </font>
    </dxf>
    <dxf>
      <font>
        <b/>
        <i val="0"/>
        <color rgb="FFFFC000"/>
      </font>
    </dxf>
    <dxf>
      <font>
        <b/>
        <i val="0"/>
        <color rgb="FF00B050"/>
      </font>
    </dxf>
    <dxf>
      <font>
        <b/>
        <i val="0"/>
        <color rgb="FFFF0000"/>
      </font>
    </dxf>
    <dxf>
      <font>
        <b/>
        <i val="0"/>
        <color theme="8"/>
      </font>
    </dxf>
    <dxf>
      <font>
        <b/>
        <i val="0"/>
        <color rgb="FFFFC000"/>
      </font>
    </dxf>
    <dxf>
      <font>
        <b/>
        <i val="0"/>
        <color rgb="FF00B050"/>
      </font>
    </dxf>
    <dxf>
      <font>
        <b/>
        <i val="0"/>
        <color rgb="FFFF0000"/>
      </font>
    </dxf>
    <dxf>
      <font>
        <b/>
        <i val="0"/>
        <color theme="8"/>
      </font>
    </dxf>
    <dxf>
      <font>
        <b/>
        <i val="0"/>
        <color rgb="FFFFC000"/>
      </font>
    </dxf>
    <dxf>
      <font>
        <b/>
        <i val="0"/>
        <color rgb="FF00B050"/>
      </font>
    </dxf>
    <dxf>
      <font>
        <b/>
        <i val="0"/>
        <color rgb="FFFF0000"/>
      </font>
    </dxf>
    <dxf>
      <font>
        <b/>
        <i val="0"/>
        <color theme="8"/>
      </font>
    </dxf>
    <dxf>
      <font>
        <b/>
        <i val="0"/>
        <color rgb="FFFFC000"/>
      </font>
    </dxf>
    <dxf>
      <font>
        <b/>
        <i val="0"/>
        <color rgb="FF00B050"/>
      </font>
    </dxf>
    <dxf>
      <font>
        <b/>
        <i val="0"/>
        <color rgb="FFFF0000"/>
      </font>
    </dxf>
    <dxf>
      <font>
        <b/>
        <i val="0"/>
        <color theme="8"/>
      </font>
    </dxf>
    <dxf>
      <font>
        <b/>
        <i val="0"/>
        <color rgb="FFFFC000"/>
      </font>
    </dxf>
    <dxf>
      <font>
        <b/>
        <i val="0"/>
        <color rgb="FF00B050"/>
      </font>
    </dxf>
    <dxf>
      <font>
        <b/>
        <i val="0"/>
        <color rgb="FFFF0000"/>
      </font>
    </dxf>
    <dxf>
      <font>
        <b/>
        <i val="0"/>
        <color theme="8"/>
      </font>
    </dxf>
    <dxf>
      <font>
        <b/>
        <i val="0"/>
        <color rgb="FFFFC000"/>
      </font>
    </dxf>
    <dxf>
      <font>
        <b/>
        <i val="0"/>
        <color rgb="FF00B050"/>
      </font>
    </dxf>
    <dxf>
      <font>
        <b/>
        <i val="0"/>
        <color rgb="FFFF0000"/>
      </font>
    </dxf>
    <dxf>
      <font>
        <b/>
        <i val="0"/>
        <color theme="8"/>
      </font>
    </dxf>
    <dxf>
      <font>
        <b/>
        <i val="0"/>
        <color rgb="FFFFC000"/>
      </font>
    </dxf>
    <dxf>
      <font>
        <b/>
        <i val="0"/>
        <color rgb="FF00B050"/>
      </font>
    </dxf>
    <dxf>
      <font>
        <b/>
        <i val="0"/>
        <color rgb="FFFF0000"/>
      </font>
    </dxf>
    <dxf>
      <font>
        <b/>
        <i val="0"/>
        <color theme="8"/>
      </font>
    </dxf>
    <dxf>
      <font>
        <b/>
        <i val="0"/>
        <color rgb="FFFFC000"/>
      </font>
    </dxf>
    <dxf>
      <font>
        <b/>
        <i val="0"/>
        <color rgb="FF00B050"/>
      </font>
    </dxf>
    <dxf>
      <font>
        <b/>
        <i val="0"/>
        <color rgb="FFFF0000"/>
      </font>
    </dxf>
    <dxf>
      <font>
        <b/>
        <i val="0"/>
        <color theme="8"/>
      </font>
    </dxf>
    <dxf>
      <font>
        <b/>
        <i val="0"/>
        <color rgb="FFFFC000"/>
      </font>
    </dxf>
    <dxf>
      <font>
        <b/>
        <i val="0"/>
        <color rgb="FF00B050"/>
      </font>
    </dxf>
    <dxf>
      <font>
        <b/>
        <i val="0"/>
        <color rgb="FFFF0000"/>
      </font>
    </dxf>
    <dxf>
      <font>
        <b/>
        <i val="0"/>
        <color theme="8"/>
      </font>
    </dxf>
    <dxf>
      <font>
        <b/>
        <i val="0"/>
        <color rgb="FFFFC000"/>
      </font>
    </dxf>
    <dxf>
      <font>
        <b/>
        <i val="0"/>
        <color rgb="FF00B050"/>
      </font>
    </dxf>
    <dxf>
      <font>
        <b/>
        <i val="0"/>
        <color rgb="FFFF0000"/>
      </font>
    </dxf>
    <dxf>
      <font>
        <b/>
        <i val="0"/>
        <color theme="8"/>
      </font>
    </dxf>
    <dxf>
      <font>
        <b/>
        <i val="0"/>
        <color rgb="FFFFC000"/>
      </font>
    </dxf>
    <dxf>
      <font>
        <b/>
        <i val="0"/>
        <color rgb="FF00B050"/>
      </font>
    </dxf>
    <dxf>
      <font>
        <b/>
        <i val="0"/>
        <color rgb="FFFF0000"/>
      </font>
    </dxf>
    <dxf>
      <font>
        <b/>
        <i val="0"/>
        <color theme="8"/>
      </font>
    </dxf>
    <dxf>
      <font>
        <b/>
        <i val="0"/>
        <color rgb="FFFFC000"/>
      </font>
    </dxf>
    <dxf>
      <font>
        <b/>
        <i val="0"/>
        <color rgb="FF00B050"/>
      </font>
    </dxf>
    <dxf>
      <font>
        <b/>
        <i val="0"/>
        <color rgb="FFFF0000"/>
      </font>
    </dxf>
    <dxf>
      <font>
        <b/>
        <i val="0"/>
        <color theme="8"/>
      </font>
    </dxf>
    <dxf>
      <font>
        <b/>
        <i val="0"/>
        <color rgb="FFFFC000"/>
      </font>
    </dxf>
    <dxf>
      <font>
        <b/>
        <i val="0"/>
        <color rgb="FF00B050"/>
      </font>
    </dxf>
    <dxf>
      <font>
        <b/>
        <i val="0"/>
        <color rgb="FFFF0000"/>
      </font>
    </dxf>
    <dxf>
      <font>
        <b/>
        <i val="0"/>
        <color theme="8"/>
      </font>
    </dxf>
    <dxf>
      <font>
        <b/>
        <i val="0"/>
        <color rgb="FFFFC000"/>
      </font>
    </dxf>
    <dxf>
      <font>
        <b/>
        <i val="0"/>
        <color rgb="FF00B050"/>
      </font>
    </dxf>
    <dxf>
      <font>
        <b/>
        <i val="0"/>
        <color rgb="FFFF0000"/>
      </font>
    </dxf>
    <dxf>
      <font>
        <b/>
        <i val="0"/>
        <color theme="8"/>
      </font>
    </dxf>
    <dxf>
      <font>
        <b/>
        <i val="0"/>
        <color rgb="FFFFC000"/>
      </font>
    </dxf>
    <dxf>
      <font>
        <b/>
        <i val="0"/>
        <color rgb="FF00B050"/>
      </font>
    </dxf>
    <dxf>
      <font>
        <b/>
        <i val="0"/>
        <color rgb="FFFF0000"/>
      </font>
    </dxf>
    <dxf>
      <font>
        <b/>
        <i val="0"/>
        <color theme="8"/>
      </font>
    </dxf>
    <dxf>
      <font>
        <b/>
        <i val="0"/>
        <color rgb="FFFFC000"/>
      </font>
    </dxf>
    <dxf>
      <font>
        <b/>
        <i val="0"/>
        <color rgb="FF00B050"/>
      </font>
    </dxf>
    <dxf>
      <font>
        <b/>
        <i val="0"/>
        <color rgb="FFFF0000"/>
      </font>
    </dxf>
    <dxf>
      <font>
        <b/>
        <i val="0"/>
        <color theme="8"/>
      </font>
    </dxf>
    <dxf>
      <font>
        <b/>
        <i val="0"/>
        <color rgb="FFFFC000"/>
      </font>
    </dxf>
    <dxf>
      <font>
        <b/>
        <i val="0"/>
        <color rgb="FF00B050"/>
      </font>
    </dxf>
    <dxf>
      <font>
        <b/>
        <i val="0"/>
        <color rgb="FFFF0000"/>
      </font>
    </dxf>
    <dxf>
      <font>
        <b/>
        <i val="0"/>
        <color theme="8"/>
      </font>
    </dxf>
    <dxf>
      <font>
        <b/>
        <i val="0"/>
        <color rgb="FFFFC000"/>
      </font>
    </dxf>
    <dxf>
      <font>
        <b/>
        <i val="0"/>
        <color rgb="FF00B050"/>
      </font>
    </dxf>
    <dxf>
      <font>
        <b/>
        <i val="0"/>
        <color rgb="FFFF0000"/>
      </font>
    </dxf>
    <dxf>
      <font>
        <b/>
        <i val="0"/>
        <color theme="8"/>
      </font>
    </dxf>
    <dxf>
      <font>
        <b/>
        <i val="0"/>
        <color rgb="FFFFC000"/>
      </font>
    </dxf>
    <dxf>
      <font>
        <b/>
        <i val="0"/>
        <color rgb="FF00B050"/>
      </font>
    </dxf>
    <dxf>
      <font>
        <b/>
        <i val="0"/>
        <color rgb="FFFF0000"/>
      </font>
    </dxf>
    <dxf>
      <font>
        <b/>
        <i val="0"/>
        <color theme="8"/>
      </font>
    </dxf>
    <dxf>
      <font>
        <b/>
        <i val="0"/>
        <color rgb="FFFFC000"/>
      </font>
    </dxf>
    <dxf>
      <font>
        <b/>
        <i val="0"/>
        <color rgb="FF00B050"/>
      </font>
    </dxf>
    <dxf>
      <font>
        <b/>
        <i val="0"/>
        <color rgb="FFFF0000"/>
      </font>
    </dxf>
    <dxf>
      <font>
        <b/>
        <i val="0"/>
        <color theme="8"/>
      </font>
    </dxf>
    <dxf>
      <font>
        <b/>
        <i val="0"/>
        <color rgb="FFFFC000"/>
      </font>
    </dxf>
    <dxf>
      <font>
        <b/>
        <i val="0"/>
        <color rgb="FF00B050"/>
      </font>
    </dxf>
    <dxf>
      <font>
        <b/>
        <i val="0"/>
        <color rgb="FFFF0000"/>
      </font>
    </dxf>
    <dxf>
      <font>
        <b/>
        <i val="0"/>
        <color theme="8"/>
      </font>
    </dxf>
    <dxf>
      <font>
        <b/>
        <i val="0"/>
        <color rgb="FFFFC000"/>
      </font>
    </dxf>
    <dxf>
      <font>
        <b/>
        <i val="0"/>
        <color rgb="FF00B050"/>
      </font>
    </dxf>
    <dxf>
      <font>
        <b/>
        <i val="0"/>
        <color rgb="FFFF0000"/>
      </font>
    </dxf>
    <dxf>
      <font>
        <b/>
        <i val="0"/>
        <color theme="8"/>
      </font>
    </dxf>
    <dxf>
      <font>
        <b/>
        <i val="0"/>
        <color rgb="FFFFC000"/>
      </font>
    </dxf>
    <dxf>
      <font>
        <b/>
        <i val="0"/>
        <color rgb="FF00B050"/>
      </font>
    </dxf>
    <dxf>
      <font>
        <b/>
        <i val="0"/>
        <color rgb="FFFF0000"/>
      </font>
    </dxf>
    <dxf>
      <font>
        <b/>
        <i val="0"/>
        <color theme="8"/>
      </font>
    </dxf>
    <dxf>
      <font>
        <b/>
        <i val="0"/>
        <color rgb="FFFFC000"/>
      </font>
    </dxf>
    <dxf>
      <font>
        <b/>
        <i val="0"/>
        <color rgb="FF00B050"/>
      </font>
    </dxf>
    <dxf>
      <font>
        <b/>
        <i val="0"/>
        <color rgb="FFFF0000"/>
      </font>
    </dxf>
    <dxf>
      <font>
        <b/>
        <i val="0"/>
        <color theme="8"/>
      </font>
    </dxf>
    <dxf>
      <font>
        <b/>
        <i val="0"/>
        <color rgb="FFFFC000"/>
      </font>
    </dxf>
    <dxf>
      <font>
        <b/>
        <i val="0"/>
        <color rgb="FF00B050"/>
      </font>
    </dxf>
    <dxf>
      <font>
        <b/>
        <i val="0"/>
        <color rgb="FFFF0000"/>
      </font>
    </dxf>
    <dxf>
      <font>
        <b/>
        <i val="0"/>
        <color theme="8"/>
      </font>
    </dxf>
    <dxf>
      <font>
        <b/>
        <i val="0"/>
        <color rgb="FFFFC000"/>
      </font>
    </dxf>
    <dxf>
      <font>
        <b/>
        <i val="0"/>
        <color rgb="FF00B050"/>
      </font>
    </dxf>
    <dxf>
      <font>
        <b/>
        <i val="0"/>
        <color rgb="FFFF0000"/>
      </font>
    </dxf>
    <dxf>
      <font>
        <b/>
        <i val="0"/>
        <color theme="8"/>
      </font>
    </dxf>
    <dxf>
      <font>
        <b/>
        <i val="0"/>
        <color rgb="FFFFC000"/>
      </font>
    </dxf>
    <dxf>
      <font>
        <b/>
        <i val="0"/>
        <color rgb="FF00B050"/>
      </font>
    </dxf>
    <dxf>
      <font>
        <b/>
        <i val="0"/>
        <color rgb="FFFF0000"/>
      </font>
    </dxf>
    <dxf>
      <font>
        <b/>
        <i val="0"/>
        <color theme="8"/>
      </font>
    </dxf>
    <dxf>
      <font>
        <b/>
        <i val="0"/>
        <color rgb="FFFFC000"/>
      </font>
    </dxf>
    <dxf>
      <font>
        <b/>
        <i val="0"/>
        <color rgb="FF00B050"/>
      </font>
    </dxf>
    <dxf>
      <font>
        <b/>
        <i val="0"/>
        <color rgb="FFFF0000"/>
      </font>
    </dxf>
    <dxf>
      <font>
        <b/>
        <i val="0"/>
        <color theme="8"/>
      </font>
    </dxf>
    <dxf>
      <font>
        <b/>
        <i val="0"/>
        <color rgb="FFFFC000"/>
      </font>
    </dxf>
    <dxf>
      <font>
        <b/>
        <i val="0"/>
        <color rgb="FF00B050"/>
      </font>
    </dxf>
    <dxf>
      <font>
        <b/>
        <i val="0"/>
        <color rgb="FFFF0000"/>
      </font>
    </dxf>
    <dxf>
      <font>
        <b/>
        <i val="0"/>
        <color theme="8"/>
      </font>
    </dxf>
    <dxf>
      <font>
        <b/>
        <i val="0"/>
        <color rgb="FFFFC000"/>
      </font>
    </dxf>
    <dxf>
      <font>
        <b/>
        <i val="0"/>
        <color rgb="FF00B050"/>
      </font>
    </dxf>
    <dxf>
      <font>
        <b/>
        <i val="0"/>
        <color rgb="FFFF0000"/>
      </font>
    </dxf>
    <dxf>
      <font>
        <b/>
        <i val="0"/>
        <color theme="8"/>
      </font>
    </dxf>
    <dxf>
      <font>
        <b/>
        <i val="0"/>
        <color rgb="FFFFC000"/>
      </font>
    </dxf>
    <dxf>
      <font>
        <b/>
        <i val="0"/>
        <color rgb="FF00B050"/>
      </font>
    </dxf>
    <dxf>
      <font>
        <b/>
        <i val="0"/>
        <color rgb="FFFF0000"/>
      </font>
    </dxf>
    <dxf>
      <font>
        <b/>
        <i val="0"/>
        <color theme="8"/>
      </font>
    </dxf>
    <dxf>
      <font>
        <b/>
        <i val="0"/>
        <color rgb="FFFFC000"/>
      </font>
    </dxf>
    <dxf>
      <font>
        <b/>
        <i val="0"/>
        <color rgb="FF00B050"/>
      </font>
    </dxf>
    <dxf>
      <font>
        <b/>
        <i val="0"/>
        <color rgb="FFFF0000"/>
      </font>
    </dxf>
    <dxf>
      <font>
        <b/>
        <i val="0"/>
        <color theme="8"/>
      </font>
    </dxf>
    <dxf>
      <font>
        <b/>
        <i val="0"/>
        <color rgb="FFFFC000"/>
      </font>
    </dxf>
    <dxf>
      <font>
        <b/>
        <i val="0"/>
        <color rgb="FF00B050"/>
      </font>
    </dxf>
    <dxf>
      <font>
        <b/>
        <i val="0"/>
        <color rgb="FFFF0000"/>
      </font>
    </dxf>
    <dxf>
      <font>
        <b/>
        <i val="0"/>
        <color theme="8"/>
      </font>
    </dxf>
    <dxf>
      <font>
        <b/>
        <i val="0"/>
        <color rgb="FFFFC000"/>
      </font>
    </dxf>
    <dxf>
      <font>
        <b/>
        <i val="0"/>
        <color rgb="FF00B050"/>
      </font>
    </dxf>
    <dxf>
      <font>
        <b/>
        <i val="0"/>
        <color rgb="FFFF0000"/>
      </font>
    </dxf>
    <dxf>
      <font>
        <b/>
        <i val="0"/>
        <color theme="8"/>
      </font>
    </dxf>
    <dxf>
      <font>
        <b/>
        <i val="0"/>
        <color rgb="FFFFC000"/>
      </font>
    </dxf>
    <dxf>
      <font>
        <b/>
        <i val="0"/>
        <color rgb="FF00B050"/>
      </font>
    </dxf>
    <dxf>
      <font>
        <b/>
        <i val="0"/>
        <color rgb="FFFF0000"/>
      </font>
    </dxf>
    <dxf>
      <font>
        <b/>
        <i val="0"/>
        <color theme="8"/>
      </font>
    </dxf>
    <dxf>
      <font>
        <b/>
        <i val="0"/>
        <color rgb="FFFFC000"/>
      </font>
    </dxf>
    <dxf>
      <font>
        <b/>
        <i val="0"/>
        <color rgb="FF00B050"/>
      </font>
    </dxf>
    <dxf>
      <font>
        <b/>
        <i val="0"/>
        <color rgb="FFFF0000"/>
      </font>
    </dxf>
    <dxf>
      <font>
        <b/>
        <i val="0"/>
        <color theme="8"/>
      </font>
    </dxf>
    <dxf>
      <font>
        <b/>
        <i val="0"/>
        <color rgb="FFFFC000"/>
      </font>
    </dxf>
    <dxf>
      <font>
        <b/>
        <i val="0"/>
        <color rgb="FF00B050"/>
      </font>
    </dxf>
    <dxf>
      <font>
        <b/>
        <i val="0"/>
        <color rgb="FFFF0000"/>
      </font>
    </dxf>
    <dxf>
      <font>
        <b/>
        <i val="0"/>
        <color theme="8"/>
      </font>
    </dxf>
    <dxf>
      <font>
        <b/>
        <i val="0"/>
        <color rgb="FFFFC000"/>
      </font>
    </dxf>
    <dxf>
      <font>
        <b/>
        <i val="0"/>
        <color rgb="FF00B050"/>
      </font>
    </dxf>
    <dxf>
      <font>
        <b/>
        <i val="0"/>
        <color rgb="FFFF0000"/>
      </font>
    </dxf>
    <dxf>
      <font>
        <b/>
        <i val="0"/>
        <color theme="8"/>
      </font>
    </dxf>
    <dxf>
      <font>
        <b/>
        <i val="0"/>
        <color rgb="FFFFC000"/>
      </font>
    </dxf>
    <dxf>
      <font>
        <b/>
        <i val="0"/>
        <color rgb="FF00B050"/>
      </font>
    </dxf>
    <dxf>
      <font>
        <b/>
        <i val="0"/>
        <color rgb="FFFF0000"/>
      </font>
    </dxf>
    <dxf>
      <font>
        <b/>
        <i val="0"/>
        <color theme="8"/>
      </font>
    </dxf>
    <dxf>
      <font>
        <b/>
        <i val="0"/>
        <color rgb="FFFFC000"/>
      </font>
    </dxf>
    <dxf>
      <font>
        <b/>
        <i val="0"/>
        <color rgb="FF00B050"/>
      </font>
    </dxf>
    <dxf>
      <font>
        <b/>
        <i val="0"/>
        <color rgb="FFFF0000"/>
      </font>
    </dxf>
    <dxf>
      <font>
        <b/>
        <i val="0"/>
        <color theme="8"/>
      </font>
    </dxf>
    <dxf>
      <font>
        <b/>
        <i val="0"/>
        <color rgb="FFFFC000"/>
      </font>
    </dxf>
    <dxf>
      <font>
        <b/>
        <i val="0"/>
        <color rgb="FF00B050"/>
      </font>
    </dxf>
    <dxf>
      <font>
        <b/>
        <i val="0"/>
        <color rgb="FFFF0000"/>
      </font>
    </dxf>
    <dxf>
      <font>
        <b/>
        <i val="0"/>
        <color theme="8"/>
      </font>
    </dxf>
    <dxf>
      <font>
        <b/>
        <i val="0"/>
        <color rgb="FFFFC000"/>
      </font>
    </dxf>
    <dxf>
      <font>
        <b/>
        <i val="0"/>
        <color rgb="FF00B050"/>
      </font>
    </dxf>
    <dxf>
      <font>
        <b/>
        <i val="0"/>
        <color rgb="FFFF0000"/>
      </font>
    </dxf>
    <dxf>
      <font>
        <b/>
        <i val="0"/>
        <color theme="8"/>
      </font>
    </dxf>
    <dxf>
      <font>
        <b/>
        <i val="0"/>
        <color rgb="FFFFC000"/>
      </font>
    </dxf>
    <dxf>
      <font>
        <b/>
        <i val="0"/>
        <color rgb="FF00B050"/>
      </font>
    </dxf>
    <dxf>
      <font>
        <b/>
        <i val="0"/>
        <color rgb="FFFF0000"/>
      </font>
    </dxf>
    <dxf>
      <font>
        <b/>
        <i val="0"/>
        <color theme="8"/>
      </font>
    </dxf>
    <dxf>
      <font>
        <b/>
        <i val="0"/>
        <color rgb="FFFFC000"/>
      </font>
    </dxf>
    <dxf>
      <font>
        <b/>
        <i val="0"/>
        <color rgb="FF00B050"/>
      </font>
    </dxf>
    <dxf>
      <font>
        <b/>
        <i val="0"/>
        <color rgb="FFFF0000"/>
      </font>
    </dxf>
    <dxf>
      <font>
        <b/>
        <i val="0"/>
        <color theme="8"/>
      </font>
    </dxf>
    <dxf>
      <font>
        <b/>
        <i val="0"/>
        <color rgb="FFFFC000"/>
      </font>
    </dxf>
    <dxf>
      <font>
        <b/>
        <i val="0"/>
        <color rgb="FF00B050"/>
      </font>
    </dxf>
    <dxf>
      <font>
        <b/>
        <i val="0"/>
        <color rgb="FFFF0000"/>
      </font>
    </dxf>
    <dxf>
      <font>
        <b/>
        <i val="0"/>
        <color theme="8"/>
      </font>
    </dxf>
    <dxf>
      <font>
        <b/>
        <i val="0"/>
        <color rgb="FFFFC000"/>
      </font>
    </dxf>
    <dxf>
      <font>
        <b/>
        <i val="0"/>
        <color rgb="FF00B050"/>
      </font>
    </dxf>
    <dxf>
      <font>
        <b/>
        <i val="0"/>
        <color rgb="FFFF0000"/>
      </font>
    </dxf>
    <dxf>
      <font>
        <b/>
        <i val="0"/>
        <color theme="8"/>
      </font>
    </dxf>
    <dxf>
      <font>
        <b/>
        <i val="0"/>
        <color rgb="FFFFC000"/>
      </font>
    </dxf>
    <dxf>
      <font>
        <b/>
        <i val="0"/>
        <color rgb="FF00B050"/>
      </font>
    </dxf>
    <dxf>
      <font>
        <b/>
        <i val="0"/>
        <color rgb="FFFF0000"/>
      </font>
    </dxf>
    <dxf>
      <font>
        <b/>
        <i val="0"/>
        <color theme="8"/>
      </font>
    </dxf>
    <dxf>
      <font>
        <b/>
        <i val="0"/>
        <color rgb="FFFFC000"/>
      </font>
    </dxf>
    <dxf>
      <font>
        <b/>
        <i val="0"/>
        <color rgb="FF00B050"/>
      </font>
    </dxf>
    <dxf>
      <font>
        <b/>
        <i val="0"/>
        <color rgb="FFFF0000"/>
      </font>
    </dxf>
    <dxf>
      <font>
        <b/>
        <i val="0"/>
        <color theme="8"/>
      </font>
    </dxf>
    <dxf>
      <font>
        <b/>
        <i val="0"/>
        <color rgb="FFFFC000"/>
      </font>
    </dxf>
    <dxf>
      <font>
        <b/>
        <i val="0"/>
        <color rgb="FF00B050"/>
      </font>
    </dxf>
    <dxf>
      <font>
        <b/>
        <i val="0"/>
        <color rgb="FFFF0000"/>
      </font>
    </dxf>
    <dxf>
      <font>
        <b/>
        <i val="0"/>
        <color theme="8"/>
      </font>
    </dxf>
    <dxf>
      <font>
        <b/>
        <i val="0"/>
        <color rgb="FFFFC000"/>
      </font>
    </dxf>
    <dxf>
      <font>
        <b/>
        <i val="0"/>
        <color rgb="FF00B050"/>
      </font>
    </dxf>
    <dxf>
      <font>
        <b/>
        <i val="0"/>
        <color rgb="FFFF0000"/>
      </font>
    </dxf>
    <dxf>
      <font>
        <b/>
        <i val="0"/>
        <color theme="8"/>
      </font>
    </dxf>
    <dxf>
      <font>
        <b/>
        <i val="0"/>
        <color rgb="FFFFC000"/>
      </font>
    </dxf>
    <dxf>
      <font>
        <b/>
        <i val="0"/>
        <color rgb="FF00B050"/>
      </font>
    </dxf>
    <dxf>
      <font>
        <b/>
        <i val="0"/>
        <color rgb="FFFF0000"/>
      </font>
    </dxf>
    <dxf>
      <font>
        <b/>
        <i val="0"/>
        <color theme="8"/>
      </font>
    </dxf>
    <dxf>
      <font>
        <b/>
        <i val="0"/>
        <color rgb="FFFFC000"/>
      </font>
    </dxf>
    <dxf>
      <font>
        <b/>
        <i val="0"/>
        <color rgb="FF00B050"/>
      </font>
    </dxf>
    <dxf>
      <font>
        <b/>
        <i val="0"/>
        <color rgb="FFFF0000"/>
      </font>
    </dxf>
    <dxf>
      <font>
        <b/>
        <i val="0"/>
        <color theme="8"/>
      </font>
    </dxf>
    <dxf>
      <font>
        <b/>
        <i val="0"/>
        <color rgb="FFFFC000"/>
      </font>
    </dxf>
    <dxf>
      <font>
        <b/>
        <i val="0"/>
        <color rgb="FF00B050"/>
      </font>
    </dxf>
    <dxf>
      <font>
        <b/>
        <i val="0"/>
        <color rgb="FFFF0000"/>
      </font>
    </dxf>
    <dxf>
      <font>
        <b/>
        <i val="0"/>
        <color theme="8"/>
      </font>
    </dxf>
    <dxf>
      <font>
        <b/>
        <i val="0"/>
        <color rgb="FFFFC000"/>
      </font>
    </dxf>
    <dxf>
      <font>
        <b/>
        <i val="0"/>
        <color rgb="FF00B050"/>
      </font>
    </dxf>
    <dxf>
      <font>
        <b/>
        <i val="0"/>
        <color rgb="FFFF0000"/>
      </font>
    </dxf>
    <dxf>
      <font>
        <b/>
        <i val="0"/>
        <color theme="8"/>
      </font>
    </dxf>
    <dxf>
      <font>
        <b/>
        <i val="0"/>
        <color rgb="FFFFC000"/>
      </font>
    </dxf>
    <dxf>
      <font>
        <b/>
        <i val="0"/>
        <color rgb="FF00B050"/>
      </font>
    </dxf>
    <dxf>
      <font>
        <b/>
        <i val="0"/>
        <color rgb="FFFF0000"/>
      </font>
    </dxf>
    <dxf>
      <font>
        <b/>
        <i val="0"/>
        <color theme="8"/>
      </font>
    </dxf>
    <dxf>
      <font>
        <b/>
        <i val="0"/>
        <color rgb="FFFFC000"/>
      </font>
    </dxf>
    <dxf>
      <font>
        <b/>
        <i val="0"/>
        <color rgb="FF00B050"/>
      </font>
    </dxf>
    <dxf>
      <font>
        <b/>
        <i val="0"/>
        <color rgb="FFFF0000"/>
      </font>
    </dxf>
    <dxf>
      <font>
        <b/>
        <i val="0"/>
        <color theme="8"/>
      </font>
    </dxf>
    <dxf>
      <font>
        <b/>
        <i val="0"/>
        <color rgb="FFFFC000"/>
      </font>
    </dxf>
    <dxf>
      <font>
        <b/>
        <i val="0"/>
        <color rgb="FF00B050"/>
      </font>
    </dxf>
    <dxf>
      <font>
        <b/>
        <i val="0"/>
        <color rgb="FFFF0000"/>
      </font>
    </dxf>
    <dxf>
      <font>
        <b/>
        <i val="0"/>
        <color theme="8"/>
      </font>
    </dxf>
    <dxf>
      <font>
        <b/>
        <i val="0"/>
        <color rgb="FFFFC000"/>
      </font>
    </dxf>
    <dxf>
      <font>
        <b/>
        <i val="0"/>
        <color rgb="FF00B050"/>
      </font>
    </dxf>
    <dxf>
      <font>
        <b/>
        <i val="0"/>
        <color rgb="FFFF0000"/>
      </font>
    </dxf>
    <dxf>
      <font>
        <b/>
        <i val="0"/>
        <color theme="8"/>
      </font>
    </dxf>
    <dxf>
      <font>
        <b/>
        <i val="0"/>
        <color rgb="FFFFC000"/>
      </font>
    </dxf>
    <dxf>
      <font>
        <b/>
        <i val="0"/>
        <color rgb="FF00B050"/>
      </font>
    </dxf>
    <dxf>
      <font>
        <b/>
        <i val="0"/>
        <color rgb="FFFF0000"/>
      </font>
    </dxf>
    <dxf>
      <font>
        <b/>
        <i val="0"/>
        <color theme="8"/>
      </font>
    </dxf>
    <dxf>
      <font>
        <b/>
        <i val="0"/>
        <color rgb="FFFFC000"/>
      </font>
    </dxf>
    <dxf>
      <font>
        <b/>
        <i val="0"/>
        <color rgb="FF00B050"/>
      </font>
    </dxf>
    <dxf>
      <font>
        <b/>
        <i val="0"/>
        <color rgb="FFFF0000"/>
      </font>
    </dxf>
    <dxf>
      <font>
        <b/>
        <i val="0"/>
        <color theme="8"/>
      </font>
    </dxf>
    <dxf>
      <font>
        <b/>
        <i val="0"/>
        <color rgb="FFFFC000"/>
      </font>
    </dxf>
    <dxf>
      <font>
        <b/>
        <i val="0"/>
        <color rgb="FF00B050"/>
      </font>
    </dxf>
    <dxf>
      <font>
        <b/>
        <i val="0"/>
        <color rgb="FFFF0000"/>
      </font>
    </dxf>
    <dxf>
      <font>
        <b/>
        <i val="0"/>
        <color theme="8"/>
      </font>
    </dxf>
    <dxf>
      <font>
        <b/>
        <i val="0"/>
        <color rgb="FFFFC000"/>
      </font>
    </dxf>
    <dxf>
      <font>
        <b/>
        <i val="0"/>
        <color rgb="FF00B050"/>
      </font>
    </dxf>
    <dxf>
      <font>
        <b/>
        <i val="0"/>
        <color rgb="FFFF0000"/>
      </font>
    </dxf>
    <dxf>
      <font>
        <b/>
        <i val="0"/>
        <color theme="8"/>
      </font>
    </dxf>
    <dxf>
      <font>
        <b/>
        <i val="0"/>
        <color rgb="FFFFC000"/>
      </font>
    </dxf>
    <dxf>
      <font>
        <b/>
        <i val="0"/>
        <color rgb="FF00B050"/>
      </font>
    </dxf>
    <dxf>
      <font>
        <b/>
        <i val="0"/>
        <color rgb="FFFF0000"/>
      </font>
    </dxf>
    <dxf>
      <font>
        <b/>
        <i val="0"/>
        <color theme="8"/>
      </font>
    </dxf>
    <dxf>
      <font>
        <b/>
        <i val="0"/>
        <color rgb="FFFFC000"/>
      </font>
    </dxf>
    <dxf>
      <font>
        <b/>
        <i val="0"/>
        <color rgb="FF00B050"/>
      </font>
    </dxf>
    <dxf>
      <font>
        <b/>
        <i val="0"/>
        <color rgb="FFFF0000"/>
      </font>
    </dxf>
    <dxf>
      <font>
        <b/>
        <i val="0"/>
        <color theme="8"/>
      </font>
    </dxf>
    <dxf>
      <font>
        <b/>
        <i val="0"/>
        <color rgb="FFFFC000"/>
      </font>
    </dxf>
    <dxf>
      <font>
        <b/>
        <i val="0"/>
        <color rgb="FF00B050"/>
      </font>
    </dxf>
    <dxf>
      <font>
        <b/>
        <i val="0"/>
        <color rgb="FFFF0000"/>
      </font>
    </dxf>
    <dxf>
      <font>
        <b/>
        <i val="0"/>
        <color theme="8"/>
      </font>
    </dxf>
    <dxf>
      <font>
        <b/>
        <i val="0"/>
        <color rgb="FFFFC000"/>
      </font>
    </dxf>
    <dxf>
      <font>
        <b/>
        <i val="0"/>
        <color rgb="FF00B050"/>
      </font>
    </dxf>
    <dxf>
      <font>
        <b/>
        <i val="0"/>
        <color rgb="FFFF0000"/>
      </font>
    </dxf>
    <dxf>
      <font>
        <b/>
        <i val="0"/>
        <color theme="8"/>
      </font>
    </dxf>
    <dxf>
      <font>
        <b/>
        <i val="0"/>
        <color rgb="FFFFC000"/>
      </font>
    </dxf>
    <dxf>
      <font>
        <b/>
        <i val="0"/>
        <color rgb="FF00B050"/>
      </font>
    </dxf>
    <dxf>
      <font>
        <b/>
        <i val="0"/>
        <color rgb="FFFF0000"/>
      </font>
    </dxf>
    <dxf>
      <font>
        <b/>
        <i val="0"/>
        <color theme="8"/>
      </font>
    </dxf>
    <dxf>
      <font>
        <b/>
        <i val="0"/>
        <color rgb="FFFFC000"/>
      </font>
    </dxf>
    <dxf>
      <font>
        <b/>
        <i val="0"/>
        <color rgb="FF00B050"/>
      </font>
    </dxf>
    <dxf>
      <font>
        <b/>
        <i val="0"/>
        <color rgb="FFFF0000"/>
      </font>
    </dxf>
    <dxf>
      <font>
        <b/>
        <i val="0"/>
        <color theme="8"/>
      </font>
    </dxf>
    <dxf>
      <font>
        <b/>
        <i val="0"/>
        <color rgb="FFFFC000"/>
      </font>
    </dxf>
    <dxf>
      <font>
        <b/>
        <i val="0"/>
        <color rgb="FF00B050"/>
      </font>
    </dxf>
    <dxf>
      <font>
        <b/>
        <i val="0"/>
        <color rgb="FFFF0000"/>
      </font>
    </dxf>
    <dxf>
      <font>
        <b/>
        <i val="0"/>
        <color theme="8"/>
      </font>
    </dxf>
    <dxf>
      <font>
        <b/>
        <i val="0"/>
        <color rgb="FFFFC000"/>
      </font>
    </dxf>
    <dxf>
      <font>
        <b/>
        <i val="0"/>
        <color rgb="FF00B050"/>
      </font>
    </dxf>
    <dxf>
      <font>
        <b/>
        <i val="0"/>
        <color rgb="FFFF0000"/>
      </font>
    </dxf>
    <dxf>
      <font>
        <b/>
        <i val="0"/>
        <color theme="8"/>
      </font>
    </dxf>
    <dxf>
      <font>
        <b/>
        <i val="0"/>
        <color rgb="FFFFC000"/>
      </font>
    </dxf>
    <dxf>
      <font>
        <b/>
        <i val="0"/>
        <color rgb="FF00B050"/>
      </font>
    </dxf>
    <dxf>
      <font>
        <b/>
        <i val="0"/>
        <color rgb="FFFF0000"/>
      </font>
    </dxf>
    <dxf>
      <font>
        <b/>
        <i val="0"/>
        <color theme="8"/>
      </font>
    </dxf>
    <dxf>
      <font>
        <b/>
        <i val="0"/>
        <color rgb="FFFFC000"/>
      </font>
    </dxf>
    <dxf>
      <font>
        <b/>
        <i val="0"/>
        <color rgb="FF00B050"/>
      </font>
    </dxf>
    <dxf>
      <font>
        <b/>
        <i val="0"/>
        <color rgb="FFFF0000"/>
      </font>
    </dxf>
    <dxf>
      <font>
        <b/>
        <i val="0"/>
        <color theme="8"/>
      </font>
    </dxf>
    <dxf>
      <font>
        <b/>
        <i val="0"/>
        <color rgb="FFFFC000"/>
      </font>
    </dxf>
    <dxf>
      <font>
        <b/>
        <i val="0"/>
        <color rgb="FF00B050"/>
      </font>
    </dxf>
    <dxf>
      <font>
        <b/>
        <i val="0"/>
        <color rgb="FFFF0000"/>
      </font>
    </dxf>
    <dxf>
      <font>
        <b/>
        <i val="0"/>
        <color theme="8"/>
      </font>
    </dxf>
    <dxf>
      <font>
        <b/>
        <i val="0"/>
        <color rgb="FFFFC000"/>
      </font>
    </dxf>
    <dxf>
      <font>
        <b/>
        <i val="0"/>
        <color rgb="FF00B050"/>
      </font>
    </dxf>
    <dxf>
      <font>
        <b/>
        <i val="0"/>
        <color rgb="FFFF0000"/>
      </font>
    </dxf>
    <dxf>
      <font>
        <b/>
        <i val="0"/>
        <color theme="8"/>
      </font>
    </dxf>
    <dxf>
      <font>
        <b/>
        <i val="0"/>
        <color rgb="FFFFC000"/>
      </font>
    </dxf>
    <dxf>
      <font>
        <b/>
        <i val="0"/>
        <color rgb="FF00B050"/>
      </font>
    </dxf>
    <dxf>
      <font>
        <b/>
        <i val="0"/>
        <color rgb="FFFF0000"/>
      </font>
    </dxf>
    <dxf>
      <font>
        <b/>
        <i val="0"/>
        <color theme="8"/>
      </font>
    </dxf>
    <dxf>
      <font>
        <b/>
        <i val="0"/>
        <color rgb="FFFFC000"/>
      </font>
    </dxf>
    <dxf>
      <font>
        <b/>
        <i val="0"/>
        <color rgb="FF00B050"/>
      </font>
    </dxf>
    <dxf>
      <font>
        <b/>
        <i val="0"/>
        <color rgb="FFFF0000"/>
      </font>
    </dxf>
    <dxf>
      <font>
        <b/>
        <i val="0"/>
        <color theme="8"/>
      </font>
    </dxf>
    <dxf>
      <font>
        <b/>
        <i val="0"/>
        <color rgb="FFFFC000"/>
      </font>
    </dxf>
    <dxf>
      <font>
        <b/>
        <i val="0"/>
        <color rgb="FF00B050"/>
      </font>
    </dxf>
    <dxf>
      <font>
        <b/>
        <i val="0"/>
        <color rgb="FFFF0000"/>
      </font>
    </dxf>
    <dxf>
      <font>
        <b/>
        <i val="0"/>
        <color theme="8"/>
      </font>
    </dxf>
    <dxf>
      <font>
        <b/>
        <i val="0"/>
        <color rgb="FFFFC000"/>
      </font>
    </dxf>
    <dxf>
      <font>
        <b/>
        <i val="0"/>
        <color rgb="FF00B050"/>
      </font>
    </dxf>
    <dxf>
      <font>
        <b/>
        <i val="0"/>
        <color rgb="FFFF0000"/>
      </font>
    </dxf>
    <dxf>
      <font>
        <b/>
        <i val="0"/>
        <color theme="8"/>
      </font>
    </dxf>
    <dxf>
      <font>
        <b/>
        <i val="0"/>
        <color rgb="FFFFC000"/>
      </font>
    </dxf>
    <dxf>
      <font>
        <b/>
        <i val="0"/>
        <color rgb="FF00B050"/>
      </font>
    </dxf>
    <dxf>
      <font>
        <b/>
        <i val="0"/>
        <color rgb="FFFF0000"/>
      </font>
    </dxf>
    <dxf>
      <font>
        <b/>
        <i val="0"/>
        <color theme="8"/>
      </font>
    </dxf>
    <dxf>
      <font>
        <b/>
        <i val="0"/>
        <color rgb="FFFFC000"/>
      </font>
    </dxf>
    <dxf>
      <font>
        <b/>
        <i val="0"/>
        <color rgb="FF00B050"/>
      </font>
    </dxf>
    <dxf>
      <font>
        <b/>
        <i val="0"/>
        <color rgb="FFFF0000"/>
      </font>
    </dxf>
    <dxf>
      <font>
        <b/>
        <i val="0"/>
        <color theme="8"/>
      </font>
    </dxf>
    <dxf>
      <font>
        <b/>
        <i val="0"/>
        <color rgb="FFFFC000"/>
      </font>
    </dxf>
    <dxf>
      <font>
        <b/>
        <i val="0"/>
        <color rgb="FF00B050"/>
      </font>
    </dxf>
    <dxf>
      <font>
        <b/>
        <i val="0"/>
        <color rgb="FFFF0000"/>
      </font>
    </dxf>
    <dxf>
      <font>
        <b/>
        <i val="0"/>
        <color theme="8"/>
      </font>
    </dxf>
    <dxf>
      <font>
        <b/>
        <i val="0"/>
        <color rgb="FFFFC000"/>
      </font>
    </dxf>
    <dxf>
      <font>
        <b/>
        <i val="0"/>
        <color rgb="FF00B050"/>
      </font>
    </dxf>
    <dxf>
      <font>
        <b/>
        <i val="0"/>
        <color rgb="FFFF0000"/>
      </font>
    </dxf>
    <dxf>
      <font>
        <b/>
        <i val="0"/>
        <color theme="8"/>
      </font>
    </dxf>
    <dxf>
      <font>
        <b/>
        <i val="0"/>
        <color rgb="FFFFC000"/>
      </font>
    </dxf>
    <dxf>
      <font>
        <b/>
        <i val="0"/>
        <color rgb="FF00B050"/>
      </font>
    </dxf>
    <dxf>
      <font>
        <b/>
        <i val="0"/>
        <color rgb="FFFF0000"/>
      </font>
    </dxf>
    <dxf>
      <font>
        <b/>
        <i val="0"/>
        <color theme="8"/>
      </font>
    </dxf>
    <dxf>
      <font>
        <b/>
        <i val="0"/>
        <color rgb="FFFFC000"/>
      </font>
    </dxf>
    <dxf>
      <font>
        <b/>
        <i val="0"/>
        <color rgb="FF00B050"/>
      </font>
    </dxf>
    <dxf>
      <font>
        <b/>
        <i val="0"/>
        <color rgb="FFFF0000"/>
      </font>
    </dxf>
    <dxf>
      <font>
        <b/>
        <i val="0"/>
        <color theme="8"/>
      </font>
    </dxf>
    <dxf>
      <font>
        <b/>
        <i val="0"/>
        <color rgb="FFFFC000"/>
      </font>
    </dxf>
    <dxf>
      <font>
        <b/>
        <i val="0"/>
        <color rgb="FF00B050"/>
      </font>
    </dxf>
    <dxf>
      <font>
        <b/>
        <i val="0"/>
        <color rgb="FFFF0000"/>
      </font>
    </dxf>
    <dxf>
      <font>
        <b/>
        <i val="0"/>
        <color theme="8"/>
      </font>
    </dxf>
    <dxf>
      <font>
        <b/>
        <i val="0"/>
        <color rgb="FFFFC000"/>
      </font>
    </dxf>
    <dxf>
      <font>
        <b/>
        <i val="0"/>
        <color rgb="FF00B050"/>
      </font>
    </dxf>
    <dxf>
      <font>
        <b/>
        <i val="0"/>
        <color rgb="FFFF0000"/>
      </font>
    </dxf>
    <dxf>
      <font>
        <b/>
        <i val="0"/>
        <color theme="8"/>
      </font>
    </dxf>
    <dxf>
      <font>
        <b/>
        <i val="0"/>
        <color rgb="FFFFC000"/>
      </font>
    </dxf>
    <dxf>
      <font>
        <b/>
        <i val="0"/>
        <color rgb="FF00B050"/>
      </font>
    </dxf>
    <dxf>
      <font>
        <b/>
        <i val="0"/>
        <color rgb="FFFF0000"/>
      </font>
    </dxf>
    <dxf>
      <font>
        <b/>
        <i val="0"/>
        <color theme="8"/>
      </font>
    </dxf>
    <dxf>
      <font>
        <b/>
        <i val="0"/>
        <color rgb="FFFFC000"/>
      </font>
    </dxf>
    <dxf>
      <font>
        <b/>
        <i val="0"/>
        <color rgb="FF00B050"/>
      </font>
    </dxf>
    <dxf>
      <font>
        <b/>
        <i val="0"/>
        <color rgb="FFFF0000"/>
      </font>
    </dxf>
    <dxf>
      <font>
        <b/>
        <i val="0"/>
        <color theme="8"/>
      </font>
    </dxf>
    <dxf>
      <font>
        <b/>
        <i val="0"/>
        <color rgb="FFFFC000"/>
      </font>
    </dxf>
    <dxf>
      <font>
        <b/>
        <i val="0"/>
        <color rgb="FF00B050"/>
      </font>
    </dxf>
    <dxf>
      <font>
        <b/>
        <i val="0"/>
        <color rgb="FFFF0000"/>
      </font>
    </dxf>
    <dxf>
      <font>
        <b/>
        <i val="0"/>
        <color theme="8"/>
      </font>
    </dxf>
    <dxf>
      <font>
        <b/>
        <i val="0"/>
        <color rgb="FFFFC000"/>
      </font>
    </dxf>
    <dxf>
      <font>
        <b/>
        <i val="0"/>
        <color rgb="FF00B050"/>
      </font>
    </dxf>
    <dxf>
      <font>
        <b/>
        <i val="0"/>
        <color rgb="FFFF0000"/>
      </font>
    </dxf>
    <dxf>
      <font>
        <b/>
        <i val="0"/>
        <color theme="8"/>
      </font>
    </dxf>
    <dxf>
      <font>
        <b/>
        <i val="0"/>
        <color rgb="FFFFC000"/>
      </font>
    </dxf>
    <dxf>
      <font>
        <b/>
        <i val="0"/>
        <color rgb="FF00B050"/>
      </font>
    </dxf>
    <dxf>
      <font>
        <b/>
        <i val="0"/>
        <color rgb="FFFF0000"/>
      </font>
    </dxf>
    <dxf>
      <font>
        <b/>
        <i val="0"/>
        <color theme="8"/>
      </font>
    </dxf>
    <dxf>
      <font>
        <b/>
        <i val="0"/>
        <color rgb="FFFFC000"/>
      </font>
    </dxf>
    <dxf>
      <font>
        <b/>
        <i val="0"/>
        <color rgb="FF00B050"/>
      </font>
    </dxf>
    <dxf>
      <font>
        <b/>
        <i val="0"/>
        <color rgb="FFFF0000"/>
      </font>
    </dxf>
    <dxf>
      <font>
        <b/>
        <i val="0"/>
        <color theme="8"/>
      </font>
    </dxf>
    <dxf>
      <font>
        <b/>
        <i val="0"/>
        <color rgb="FFFFC000"/>
      </font>
    </dxf>
    <dxf>
      <font>
        <b/>
        <i val="0"/>
        <color rgb="FF00B050"/>
      </font>
    </dxf>
    <dxf>
      <font>
        <b/>
        <i val="0"/>
        <color rgb="FFFF0000"/>
      </font>
    </dxf>
    <dxf>
      <font>
        <b/>
        <i val="0"/>
        <color theme="8"/>
      </font>
    </dxf>
    <dxf>
      <font>
        <b/>
        <i val="0"/>
        <color rgb="FFFFC000"/>
      </font>
    </dxf>
    <dxf>
      <font>
        <b/>
        <i val="0"/>
        <color rgb="FF00B050"/>
      </font>
    </dxf>
    <dxf>
      <font>
        <b/>
        <i val="0"/>
        <color rgb="FFFF0000"/>
      </font>
    </dxf>
    <dxf>
      <font>
        <b/>
        <i val="0"/>
        <color theme="8"/>
      </font>
    </dxf>
    <dxf>
      <font>
        <b/>
        <i val="0"/>
        <color rgb="FFFFC000"/>
      </font>
    </dxf>
    <dxf>
      <font>
        <b/>
        <i val="0"/>
        <color rgb="FF00B050"/>
      </font>
    </dxf>
    <dxf>
      <font>
        <b/>
        <i val="0"/>
        <color rgb="FFFF0000"/>
      </font>
    </dxf>
    <dxf>
      <font>
        <b/>
        <i val="0"/>
        <color theme="8"/>
      </font>
    </dxf>
    <dxf>
      <font>
        <b/>
        <i val="0"/>
        <color rgb="FFFFC000"/>
      </font>
    </dxf>
    <dxf>
      <font>
        <b/>
        <i val="0"/>
        <color rgb="FF00B050"/>
      </font>
    </dxf>
    <dxf>
      <font>
        <b/>
        <i val="0"/>
        <color rgb="FFFF0000"/>
      </font>
    </dxf>
    <dxf>
      <font>
        <b/>
        <i val="0"/>
        <color theme="8"/>
      </font>
    </dxf>
    <dxf>
      <font>
        <b/>
        <i val="0"/>
        <color rgb="FFFFC000"/>
      </font>
    </dxf>
    <dxf>
      <font>
        <b/>
        <i val="0"/>
        <color rgb="FF00B050"/>
      </font>
    </dxf>
    <dxf>
      <font>
        <b/>
        <i val="0"/>
        <color rgb="FFFF0000"/>
      </font>
    </dxf>
    <dxf>
      <font>
        <b/>
        <i val="0"/>
        <color theme="8"/>
      </font>
    </dxf>
    <dxf>
      <font>
        <b/>
        <i val="0"/>
        <color rgb="FFFFC000"/>
      </font>
    </dxf>
    <dxf>
      <font>
        <b/>
        <i val="0"/>
        <color rgb="FF00B050"/>
      </font>
    </dxf>
    <dxf>
      <font>
        <b/>
        <i val="0"/>
        <color rgb="FFFF0000"/>
      </font>
    </dxf>
    <dxf>
      <font>
        <b/>
        <i val="0"/>
        <color theme="8"/>
      </font>
    </dxf>
    <dxf>
      <font>
        <b/>
        <i val="0"/>
        <color rgb="FFFFC000"/>
      </font>
    </dxf>
    <dxf>
      <font>
        <b/>
        <i val="0"/>
        <color rgb="FF00B050"/>
      </font>
    </dxf>
    <dxf>
      <font>
        <b/>
        <i val="0"/>
        <color rgb="FFFF0000"/>
      </font>
    </dxf>
    <dxf>
      <font>
        <b/>
        <i val="0"/>
        <color theme="8"/>
      </font>
    </dxf>
    <dxf>
      <font>
        <b/>
        <i val="0"/>
        <color rgb="FFFFC000"/>
      </font>
    </dxf>
    <dxf>
      <font>
        <b/>
        <i val="0"/>
        <color rgb="FF00B050"/>
      </font>
    </dxf>
    <dxf>
      <font>
        <b/>
        <i val="0"/>
        <color rgb="FFFF0000"/>
      </font>
    </dxf>
    <dxf>
      <font>
        <b/>
        <i val="0"/>
        <color theme="8"/>
      </font>
    </dxf>
    <dxf>
      <font>
        <b/>
        <i val="0"/>
        <color rgb="FFFFC000"/>
      </font>
    </dxf>
    <dxf>
      <font>
        <b/>
        <i val="0"/>
        <color rgb="FF00B050"/>
      </font>
    </dxf>
    <dxf>
      <font>
        <b/>
        <i val="0"/>
        <color rgb="FFFF0000"/>
      </font>
    </dxf>
    <dxf>
      <font>
        <b/>
        <i val="0"/>
        <color theme="8"/>
      </font>
    </dxf>
    <dxf>
      <font>
        <b/>
        <i val="0"/>
        <color rgb="FFFFC000"/>
      </font>
    </dxf>
    <dxf>
      <font>
        <b/>
        <i val="0"/>
        <color rgb="FF00B050"/>
      </font>
    </dxf>
    <dxf>
      <font>
        <b/>
        <i val="0"/>
        <color rgb="FFFF0000"/>
      </font>
    </dxf>
    <dxf>
      <font>
        <b/>
        <i val="0"/>
        <color theme="8"/>
      </font>
    </dxf>
    <dxf>
      <font>
        <b/>
        <i val="0"/>
        <color rgb="FFFFC000"/>
      </font>
    </dxf>
    <dxf>
      <font>
        <b/>
        <i val="0"/>
        <color rgb="FF00B050"/>
      </font>
    </dxf>
    <dxf>
      <font>
        <b/>
        <i val="0"/>
        <color rgb="FFFF0000"/>
      </font>
    </dxf>
    <dxf>
      <font>
        <b/>
        <i val="0"/>
        <color theme="8"/>
      </font>
    </dxf>
    <dxf>
      <font>
        <b/>
        <i val="0"/>
        <color rgb="FFFFC000"/>
      </font>
    </dxf>
    <dxf>
      <font>
        <b/>
        <i val="0"/>
        <color rgb="FF00B050"/>
      </font>
    </dxf>
    <dxf>
      <font>
        <b/>
        <i val="0"/>
        <color rgb="FFFF0000"/>
      </font>
    </dxf>
    <dxf>
      <font>
        <b/>
        <i val="0"/>
        <color theme="8"/>
      </font>
    </dxf>
    <dxf>
      <font>
        <b/>
        <i val="0"/>
        <color rgb="FFFFC000"/>
      </font>
    </dxf>
    <dxf>
      <font>
        <b/>
        <i val="0"/>
        <color rgb="FF00B050"/>
      </font>
    </dxf>
    <dxf>
      <font>
        <b/>
        <i val="0"/>
        <color rgb="FFFF0000"/>
      </font>
    </dxf>
    <dxf>
      <font>
        <b/>
        <i val="0"/>
        <color theme="8"/>
      </font>
    </dxf>
    <dxf>
      <font>
        <b/>
        <i val="0"/>
        <color rgb="FFFFC000"/>
      </font>
    </dxf>
    <dxf>
      <font>
        <b/>
        <i val="0"/>
        <color rgb="FF00B050"/>
      </font>
    </dxf>
    <dxf>
      <font>
        <b/>
        <i val="0"/>
        <color rgb="FFFF0000"/>
      </font>
    </dxf>
    <dxf>
      <font>
        <b/>
        <i val="0"/>
        <color theme="8"/>
      </font>
    </dxf>
    <dxf>
      <font>
        <b/>
        <i val="0"/>
        <color rgb="FFFFC000"/>
      </font>
    </dxf>
    <dxf>
      <font>
        <b/>
        <i val="0"/>
        <color rgb="FF00B050"/>
      </font>
    </dxf>
    <dxf>
      <font>
        <b/>
        <i val="0"/>
        <color rgb="FFFF0000"/>
      </font>
    </dxf>
    <dxf>
      <font>
        <b/>
        <i val="0"/>
        <color theme="8"/>
      </font>
    </dxf>
    <dxf>
      <font>
        <b/>
        <i val="0"/>
        <color rgb="FFFFC000"/>
      </font>
    </dxf>
    <dxf>
      <font>
        <b/>
        <i val="0"/>
        <color rgb="FF00B050"/>
      </font>
    </dxf>
    <dxf>
      <font>
        <b/>
        <i val="0"/>
        <color rgb="FFFF0000"/>
      </font>
    </dxf>
    <dxf>
      <font>
        <b/>
        <i val="0"/>
        <color theme="8"/>
      </font>
    </dxf>
    <dxf>
      <font>
        <b/>
        <i val="0"/>
        <color rgb="FFFFC000"/>
      </font>
    </dxf>
    <dxf>
      <font>
        <b/>
        <i val="0"/>
        <color rgb="FF00B050"/>
      </font>
    </dxf>
    <dxf>
      <font>
        <b/>
        <i val="0"/>
        <color rgb="FFFF0000"/>
      </font>
    </dxf>
    <dxf>
      <font>
        <b/>
        <i val="0"/>
        <color theme="8"/>
      </font>
    </dxf>
    <dxf>
      <font>
        <b/>
        <i val="0"/>
        <color rgb="FFFFC000"/>
      </font>
    </dxf>
    <dxf>
      <font>
        <b/>
        <i val="0"/>
        <color rgb="FF00B050"/>
      </font>
    </dxf>
    <dxf>
      <font>
        <b/>
        <i val="0"/>
        <color rgb="FFFF0000"/>
      </font>
    </dxf>
    <dxf>
      <font>
        <b/>
        <i val="0"/>
        <color theme="8"/>
      </font>
    </dxf>
    <dxf>
      <font>
        <b/>
        <i val="0"/>
        <color rgb="FFFFC000"/>
      </font>
    </dxf>
    <dxf>
      <font>
        <b/>
        <i val="0"/>
        <color rgb="FF00B050"/>
      </font>
    </dxf>
    <dxf>
      <font>
        <b/>
        <i val="0"/>
        <color rgb="FFFF0000"/>
      </font>
    </dxf>
    <dxf>
      <font>
        <b/>
        <i val="0"/>
        <color theme="8"/>
      </font>
    </dxf>
    <dxf>
      <font>
        <b/>
        <i val="0"/>
        <color rgb="FFFFC000"/>
      </font>
    </dxf>
    <dxf>
      <font>
        <b/>
        <i val="0"/>
        <color rgb="FF00B050"/>
      </font>
    </dxf>
    <dxf>
      <font>
        <b/>
        <i val="0"/>
        <color rgb="FFFF0000"/>
      </font>
    </dxf>
    <dxf>
      <font>
        <b/>
        <i val="0"/>
        <color theme="8"/>
      </font>
    </dxf>
    <dxf>
      <font>
        <b/>
        <i val="0"/>
        <color rgb="FFFFC000"/>
      </font>
    </dxf>
    <dxf>
      <font>
        <b/>
        <i val="0"/>
        <color rgb="FF00B050"/>
      </font>
    </dxf>
    <dxf>
      <font>
        <b/>
        <i val="0"/>
        <color rgb="FFFF0000"/>
      </font>
    </dxf>
    <dxf>
      <font>
        <b/>
        <i val="0"/>
        <color theme="8"/>
      </font>
    </dxf>
    <dxf>
      <font>
        <b/>
        <i val="0"/>
        <color rgb="FFFFC000"/>
      </font>
    </dxf>
    <dxf>
      <font>
        <b/>
        <i val="0"/>
        <color rgb="FF00B050"/>
      </font>
    </dxf>
    <dxf>
      <font>
        <b/>
        <i val="0"/>
        <color rgb="FFFF0000"/>
      </font>
    </dxf>
    <dxf>
      <font>
        <b/>
        <i val="0"/>
        <color theme="8"/>
      </font>
    </dxf>
    <dxf>
      <font>
        <b/>
        <i val="0"/>
        <color rgb="FFFFC000"/>
      </font>
    </dxf>
    <dxf>
      <font>
        <b/>
        <i val="0"/>
        <color rgb="FF00B050"/>
      </font>
    </dxf>
    <dxf>
      <font>
        <b/>
        <i val="0"/>
        <color rgb="FFFF0000"/>
      </font>
    </dxf>
    <dxf>
      <font>
        <b/>
        <i val="0"/>
        <color theme="8"/>
      </font>
    </dxf>
    <dxf>
      <font>
        <b/>
        <i val="0"/>
        <color rgb="FFFFC000"/>
      </font>
    </dxf>
    <dxf>
      <font>
        <b/>
        <i val="0"/>
        <color rgb="FF00B050"/>
      </font>
    </dxf>
    <dxf>
      <font>
        <b/>
        <i val="0"/>
        <color rgb="FFFF0000"/>
      </font>
    </dxf>
    <dxf>
      <font>
        <b/>
        <i val="0"/>
        <color theme="8"/>
      </font>
    </dxf>
    <dxf>
      <font>
        <b/>
        <i val="0"/>
        <color rgb="FFFFC000"/>
      </font>
    </dxf>
    <dxf>
      <font>
        <b/>
        <i val="0"/>
        <color rgb="FF00B050"/>
      </font>
    </dxf>
    <dxf>
      <font>
        <b/>
        <i val="0"/>
        <color rgb="FFFF0000"/>
      </font>
    </dxf>
    <dxf>
      <font>
        <b/>
        <i val="0"/>
        <color theme="8"/>
      </font>
    </dxf>
    <dxf>
      <font>
        <b/>
        <i val="0"/>
        <color rgb="FFFFC000"/>
      </font>
    </dxf>
    <dxf>
      <font>
        <b/>
        <i val="0"/>
        <color rgb="FF00B050"/>
      </font>
    </dxf>
    <dxf>
      <font>
        <b/>
        <i val="0"/>
        <color rgb="FFFF0000"/>
      </font>
    </dxf>
    <dxf>
      <font>
        <b/>
        <i val="0"/>
        <color theme="8"/>
      </font>
    </dxf>
    <dxf>
      <font>
        <b/>
        <i val="0"/>
        <color rgb="FFFFC000"/>
      </font>
    </dxf>
    <dxf>
      <font>
        <b/>
        <i val="0"/>
        <color rgb="FF00B050"/>
      </font>
    </dxf>
    <dxf>
      <font>
        <b/>
        <i val="0"/>
        <color rgb="FFFF0000"/>
      </font>
    </dxf>
    <dxf>
      <font>
        <b/>
        <i val="0"/>
        <color theme="8"/>
      </font>
    </dxf>
    <dxf>
      <font>
        <b/>
        <i val="0"/>
        <color rgb="FFFFC000"/>
      </font>
    </dxf>
    <dxf>
      <font>
        <b/>
        <i val="0"/>
        <color rgb="FF00B050"/>
      </font>
    </dxf>
    <dxf>
      <font>
        <b/>
        <i val="0"/>
        <color rgb="FFFF0000"/>
      </font>
    </dxf>
    <dxf>
      <font>
        <b/>
        <i val="0"/>
        <color theme="8"/>
      </font>
    </dxf>
    <dxf>
      <font>
        <b/>
        <i val="0"/>
        <color rgb="FFFFC000"/>
      </font>
    </dxf>
    <dxf>
      <font>
        <b/>
        <i val="0"/>
        <color rgb="FF00B050"/>
      </font>
    </dxf>
    <dxf>
      <font>
        <b/>
        <i val="0"/>
        <color rgb="FFFF0000"/>
      </font>
    </dxf>
    <dxf>
      <font>
        <b/>
        <i val="0"/>
        <color theme="8"/>
      </font>
    </dxf>
    <dxf>
      <font>
        <b/>
        <i val="0"/>
        <color rgb="FFFFC000"/>
      </font>
    </dxf>
    <dxf>
      <font>
        <b/>
        <i val="0"/>
        <color rgb="FF00B050"/>
      </font>
    </dxf>
    <dxf>
      <font>
        <b/>
        <i val="0"/>
        <color rgb="FFFF0000"/>
      </font>
    </dxf>
    <dxf>
      <font>
        <b/>
        <i val="0"/>
        <color theme="8"/>
      </font>
    </dxf>
    <dxf>
      <font>
        <b/>
        <i val="0"/>
        <color rgb="FFFFC000"/>
      </font>
    </dxf>
    <dxf>
      <font>
        <b/>
        <i val="0"/>
        <color rgb="FF00B050"/>
      </font>
    </dxf>
    <dxf>
      <font>
        <b/>
        <i val="0"/>
        <color rgb="FFFF0000"/>
      </font>
    </dxf>
    <dxf>
      <font>
        <b/>
        <i val="0"/>
        <color theme="8"/>
      </font>
    </dxf>
    <dxf>
      <font>
        <b/>
        <i val="0"/>
        <color rgb="FFFFC000"/>
      </font>
    </dxf>
    <dxf>
      <font>
        <b/>
        <i val="0"/>
        <color rgb="FF00B050"/>
      </font>
    </dxf>
    <dxf>
      <font>
        <b/>
        <i val="0"/>
        <color rgb="FFFF0000"/>
      </font>
    </dxf>
    <dxf>
      <font>
        <b/>
        <i val="0"/>
        <color theme="8"/>
      </font>
    </dxf>
    <dxf>
      <font>
        <b/>
        <i val="0"/>
        <color rgb="FFFFC000"/>
      </font>
    </dxf>
    <dxf>
      <font>
        <b/>
        <i val="0"/>
        <color rgb="FF00B050"/>
      </font>
    </dxf>
    <dxf>
      <font>
        <b/>
        <i val="0"/>
        <color rgb="FFFF0000"/>
      </font>
    </dxf>
    <dxf>
      <font>
        <b/>
        <i val="0"/>
        <color theme="8"/>
      </font>
    </dxf>
    <dxf>
      <font>
        <b/>
        <i val="0"/>
        <color rgb="FFFFC000"/>
      </font>
    </dxf>
    <dxf>
      <font>
        <b/>
        <i val="0"/>
        <color rgb="FF00B050"/>
      </font>
    </dxf>
    <dxf>
      <font>
        <b/>
        <i val="0"/>
        <color rgb="FFFF0000"/>
      </font>
    </dxf>
    <dxf>
      <font>
        <b/>
        <i val="0"/>
        <color theme="8"/>
      </font>
    </dxf>
    <dxf>
      <font>
        <b/>
        <i val="0"/>
        <color rgb="FFFFC000"/>
      </font>
    </dxf>
    <dxf>
      <font>
        <b/>
        <i val="0"/>
        <color rgb="FF00B050"/>
      </font>
    </dxf>
    <dxf>
      <font>
        <b/>
        <i val="0"/>
        <color rgb="FFFF0000"/>
      </font>
    </dxf>
    <dxf>
      <font>
        <b/>
        <i val="0"/>
        <color theme="8"/>
      </font>
    </dxf>
    <dxf>
      <font>
        <b/>
        <i val="0"/>
        <color rgb="FFFFC000"/>
      </font>
    </dxf>
    <dxf>
      <font>
        <b/>
        <i val="0"/>
        <color rgb="FF00B050"/>
      </font>
    </dxf>
    <dxf>
      <font>
        <b/>
        <i val="0"/>
        <color rgb="FFFF0000"/>
      </font>
    </dxf>
    <dxf>
      <font>
        <b/>
        <i val="0"/>
        <color theme="8"/>
      </font>
    </dxf>
    <dxf>
      <font>
        <b/>
        <i val="0"/>
        <color rgb="FFFFC000"/>
      </font>
    </dxf>
    <dxf>
      <font>
        <b/>
        <i val="0"/>
        <color rgb="FF00B050"/>
      </font>
    </dxf>
    <dxf>
      <font>
        <b/>
        <i val="0"/>
        <color rgb="FFFF0000"/>
      </font>
    </dxf>
    <dxf>
      <font>
        <b/>
        <i val="0"/>
        <color theme="8"/>
      </font>
    </dxf>
    <dxf>
      <font>
        <b/>
        <i val="0"/>
        <color rgb="FFFFC000"/>
      </font>
    </dxf>
    <dxf>
      <font>
        <b/>
        <i val="0"/>
        <color rgb="FF00B050"/>
      </font>
    </dxf>
    <dxf>
      <font>
        <b/>
        <i val="0"/>
        <color rgb="FFFF0000"/>
      </font>
    </dxf>
    <dxf>
      <font>
        <b/>
        <i val="0"/>
        <color theme="8"/>
      </font>
    </dxf>
    <dxf>
      <font>
        <b/>
        <i val="0"/>
        <color rgb="FFFFC000"/>
      </font>
    </dxf>
    <dxf>
      <font>
        <b/>
        <i val="0"/>
        <color rgb="FF00B050"/>
      </font>
    </dxf>
    <dxf>
      <font>
        <b/>
        <i val="0"/>
        <color rgb="FFFF0000"/>
      </font>
    </dxf>
    <dxf>
      <font>
        <b/>
        <i val="0"/>
        <color theme="8"/>
      </font>
    </dxf>
    <dxf>
      <font>
        <b/>
        <i val="0"/>
        <color rgb="FFFFC000"/>
      </font>
    </dxf>
    <dxf>
      <numFmt numFmtId="164" formatCode="_(* #,##0_);_(* \(#,##0\);_(* &quot;-&quot;??_);_(@_)"/>
    </dxf>
    <dxf>
      <numFmt numFmtId="164" formatCode="_(* #,##0_);_(* \(#,##0\);_(* &quot;-&quot;??_);_(@_)"/>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2.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pivotCacheDefinition" Target="pivotCache/pivotCacheDefinition4.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3.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pivotCacheDefinition1.xml><?xml version="1.0" encoding="utf-8"?>
<pivotCacheDefinition xmlns="http://schemas.openxmlformats.org/spreadsheetml/2006/main" xmlns:r="http://schemas.openxmlformats.org/officeDocument/2006/relationships" r:id="rId1" refreshedBy="Admin" refreshedDate="43634.643860185184" createdVersion="6" refreshedVersion="6" minRefreshableVersion="3" recordCount="1868">
  <cacheSource type="worksheet">
    <worksheetSource ref="A1:AJ1986" sheet="Customer Contract 2019"/>
  </cacheSource>
  <cacheFields count="35">
    <cacheField name="Customer Contract ID" numFmtId="0">
      <sharedItems containsBlank="1" containsMixedTypes="1" containsNumber="1" containsInteger="1" minValue="3" maxValue="3"/>
    </cacheField>
    <cacheField name="Effective date" numFmtId="0">
      <sharedItems containsNonDate="0" containsDate="1" containsString="0" containsBlank="1" minDate="2018-08-24T00:00:00" maxDate="2019-12-22T00:00:00"/>
    </cacheField>
    <cacheField name="In Charge" numFmtId="0">
      <sharedItems containsBlank="1"/>
    </cacheField>
    <cacheField name="Customer code" numFmtId="0">
      <sharedItems containsBlank="1"/>
    </cacheField>
    <cacheField name="Customer Name" numFmtId="0">
      <sharedItems containsBlank="1" count="167">
        <s v="VŨ THỊ ÚT"/>
        <s v="VŨ THỊ HUYỀN THƯƠNG"/>
        <s v="VŨ ĐÌNH CHIẾN"/>
        <s v="VÕ VĂN TRÍ"/>
        <s v="VÕ VĂN QUÝ"/>
        <s v="VÕ THỊ PHƯƠNG"/>
        <s v="VÕ THỊ DUNG"/>
        <s v="VÕ ĐÌNH TRAI"/>
        <s v="VÕ ĐÌNH DŨNG"/>
        <s v="VÕ ĐĂNG PHƯỚC"/>
        <s v="TRƯƠNG CÔNG VIÊN"/>
        <s v="TRƯƠNG CÔNG PHÚC LONG"/>
        <s v="TRẦN VIỆT KIỀU"/>
        <s v="TRẦN VIẾT DUY"/>
        <s v="TRẦN VĂN LỘC"/>
        <s v="TRẦN VĂN ĐỨC"/>
        <s v="TRẦN THỊ KIM NGỌC"/>
        <s v="TRẦN THỊ BÍCH LỢI"/>
        <s v="TRẦN THỊ ÁNH"/>
        <s v="TRẦN PHÚ HOÀNG"/>
        <s v="TRẦN PHÚ CƯ"/>
        <s v="TRẦN NGỌC HỞI"/>
        <s v="TRẦN MINH SƠN"/>
        <s v="TRẦN MINH PHỤNG"/>
        <s v="TRẦN KIM KHIÊM"/>
        <s v="TRẦN HƯNG"/>
        <s v="THÁI NGUYỄN HOÀNG YẾN"/>
        <s v="QUAN THU BÌNH"/>
        <s v="PHAN VĂN THÀNH"/>
        <s v="PHAN VĂN QUANG"/>
        <s v="PHAN VĂN CHÂU"/>
        <s v="PHAN THỊ TUYẾT NHUNG"/>
        <s v="PHAN THỊ HUỆ"/>
        <s v="PHAN THỊ HOA"/>
        <s v="PHAN NGỌC LỄ"/>
        <s v="PHAN NGỌC HÙNG"/>
        <s v="PHAN ĐỨC MINH"/>
        <s v="PHẠM VĂN THỦY"/>
        <s v="PHẠM VĂN MINH"/>
        <s v="PHẠM VĂN LỢI"/>
        <s v="PHẠM THỊ MỸ HẠNH"/>
        <s v="PHẠM THỊ HẠNH"/>
        <s v="PHẠM NGỌC VŨ"/>
        <s v="PHẠM NGỌC TRAI"/>
        <s v="PHẠM NGỌC DƯỠNG"/>
        <s v="PHẠM MINH THẠNH"/>
        <s v="PHẠM MINH PHỤNG"/>
        <s v="PHẠM CÔNG TUÂN"/>
        <s v="NGUYỄN VĂN TUẤN"/>
        <s v="NGUYỄN VĂN TÍN"/>
        <s v="NGUYỄN VĂN NGUYÊN"/>
        <s v="NGUYỄN VĂN ĐƯƠNG"/>
        <s v="NGUYỄN VĂN CƯƠNG"/>
        <s v="NGUYỄN TRƯỜNG VY"/>
        <s v="NGUYỄN THƠM"/>
        <s v="NGUYỄN THỊ ÚT"/>
        <s v="NGUYỄN THỊ THỦY"/>
        <s v="NGUYỄN THỊ THU HÒA"/>
        <s v="NGUYỄN THỊ THU"/>
        <s v="NGUYỄN THỊ THANH CHI"/>
        <s v="NGUYỄN THỊ THÁI HÒA"/>
        <s v="NGUYỄN THỊ OANH"/>
        <s v="NGUYỄN THỊ NHƯ HIẾU"/>
        <s v="NGUYỄN THỊ MẾN"/>
        <s v="NGUYỄN THỊ LAN"/>
        <s v="NGUYỄN THỊ KIM AN"/>
        <s v="NGUYỄN THỊ HUẾ"/>
        <s v="NGUYỄN THỊ HỒNG"/>
        <s v="NGUYỄN THỊ CẨM THÚY"/>
        <s v="NGUYỄN THỊ BIẾT"/>
        <s v="NGUYỄN THANH TÂN"/>
        <s v="NGUYỄN THANH BÌNH"/>
        <s v="NGUYỄN THẮNG"/>
        <s v="NGUYỄN QUỐC THÁI"/>
        <s v="NGUYỄN QUANG TUẤN"/>
        <s v="NGUYỄN PHÚC AN"/>
        <s v="NGUYỄN PHÚC"/>
        <s v="NGUYỄN HỮU TRỊ"/>
        <s v="NGUYỄN HỮU TRÍ"/>
        <s v="NGUYỄN HỮU CƯƠNG"/>
        <s v="NGUYỄN HÙNG CHÂU"/>
        <s v="NGUYỄN HOÀNG LINH CHI"/>
        <s v="NGUYỄN ĐÌNH TÁM"/>
        <s v="NGUYỄN CÔNG LÂM"/>
        <s v="NGUYỄN CÔNG HÒA"/>
        <s v="NGUYỄN CÔNG ĐẠT"/>
        <s v="NGUYỄN CHUNG TUYÊN"/>
        <s v="NGUYỄN BỒI"/>
        <s v="NGUYỄN ANH TÚ"/>
        <s v="NGÔ VĂN ĐẠT"/>
        <s v="MAI THỊ HẰNG"/>
        <s v="LƯƠNG VĂN VIỆT"/>
        <s v="LƯƠNG VĂN HƯNG"/>
        <s v="LÊ VĂN THÀNH"/>
        <s v="LÊ VĂN SÁU"/>
        <s v="LÊ VĂN DIỆP"/>
        <s v="LÊ THỊ VÂN"/>
        <s v="LÊ THỊ TUYẾT ANH"/>
        <s v="LÊ THỊ THANH HUYỀN"/>
        <s v="LÊ THỊ SƠN"/>
        <s v="LÊ THỊ HỒNG TÂM"/>
        <s v="LÊ THỊ DIỄM THÚY"/>
        <s v="LÊ THÀNH THÔNG"/>
        <s v="LÊ THANH AN"/>
        <s v="LÊ NGỌC HUẤN"/>
        <s v="LÊ HỒNG NHÂN"/>
        <s v="LÊ HẢI"/>
        <s v="LÊ DUY HÙNG"/>
        <s v="LÊ BÌNH"/>
        <s v="HUỲNH VĂN HOÀNG"/>
        <s v="HUỲNH THỊ HƯƠNG"/>
        <s v="HUỲNH MINH NGHĨA"/>
        <s v="HUỲNH DŨNG"/>
        <s v="HOÀNG VĂN XUÂN"/>
        <s v="HOÀNG VĂN KHOA"/>
        <s v="HOÀNG VĂN DIÊU"/>
        <s v="HOÀNG TUYỀN"/>
        <s v="HOÀNG THỊ XUÂN KHÁNH"/>
        <s v="HOÀNG THỊ TUYỀN"/>
        <s v="HOÀNG THỊ PHƯƠNG UYÊN"/>
        <s v="HOÀNG SƠN"/>
        <s v="HOÀNG NGUYỄN MỸ PHƯƠNG"/>
        <s v="HOÀNG LỢI"/>
        <s v="HỒ XUÂN LỘC"/>
        <s v="HỒ QUỐC HƯNG"/>
        <s v="HỒ MINH HÙNG"/>
        <s v="HỒ ĐỨC TOẠI"/>
        <s v="HỒ ĐẮC PHƯƠNG DUNG"/>
        <s v="DƯƠNG VĂN HƠN"/>
        <s v="DƯƠNG THỊ BÍCH HUYỀN"/>
        <s v="DƯƠNG TẤN DŨNG"/>
        <s v="DƯƠNG HIẾU NGHĨA"/>
        <s v="ĐỖ VĂN TRÀ ( NA)"/>
        <s v="ĐỖ VĂN TRÀ ( MINH ANH)"/>
        <s v="ĐỖ VĂN TRÀ"/>
        <s v="ĐỖ VĂN TIẾN"/>
        <s v="ĐỖ VĂN KHÁNH"/>
        <s v="ĐỖ VĂN CƯỜNG"/>
        <s v="ĐỖ THỊ NGUYÊN TRÂM"/>
        <s v="ĐINH VĂN THIỆN"/>
        <s v="ĐINH THỊ ĐÀO"/>
        <s v="ĐINH DUY TIÊN(NGA)"/>
        <s v="ĐINH DUY TIÊN"/>
        <s v="ĐÀO THỊ HẰNG"/>
        <s v="ĐÀO THỊ GẤM"/>
        <s v="ĐẶNG VÕ VĂN KHANH"/>
        <s v="ĐẶNG VĂN THANH"/>
        <s v="ĐẶNG TRẦN CÔNG LỘC"/>
        <s v="ĐẶNG QUANG HÙNG"/>
        <s v="ĐẶNG PHƯỚC VINH"/>
        <s v="CTY TNHH PHÚC KHANG LỘC"/>
        <s v="CTY NGỌC MAI TRANG"/>
        <s v="CHU ĐỨC NGỌC"/>
        <s v="CAO THỊ MAI LOAN"/>
        <s v="STOCK 5/5AL"/>
        <s v="STOCK 18/5"/>
        <m/>
        <s v="STOCK 5/5AL = CHỊ OANH VT" u="1"/>
        <s v="STOCK 5/5AL= TRẦN VIẾT DUY (13/6 ANH QUA LẤY CỦ ROBINA ANH XEM CỦ ĐƯỢC ANH LẤY)" u="1"/>
        <s v="PHẠM MINH THÀNH" u="1"/>
        <s v="STOCK 18/5AL = MỸ PHƯƠNG" u="1"/>
        <s v="STOCK 17/4AL" u="1"/>
        <s v="STOCK 18/5AL/MỸ PHƯƠNG" u="1"/>
        <s v="STOCK 18/5AL = VŨ THỊ ÚT" u="1"/>
        <s v="STOCK 5/5AL " u="1"/>
        <s v="STOCK 5/5AL = A KHOA" u="1"/>
        <s v="STOCK 17/4AL = CHÚ PHÚC" u="1"/>
      </sharedItems>
    </cacheField>
    <cacheField name="Item ID" numFmtId="0">
      <sharedItems containsBlank="1" count="200">
        <s v="ELDI_14.16_300_NL2018"/>
        <s v="EREM_14.16_300_NL2018"/>
        <s v="NASH_14.16_300_NL2018"/>
        <s v="PAVI_12.14_400_NL2018"/>
        <s v="TEBA_14.16_300_NL2018"/>
        <s v="PROF_16.18_200_NL2018"/>
        <s v="CONC_20.22_125_NL2018"/>
        <s v="PROF_18.20_150_NL2018"/>
        <s v="TEBA_16.18_200_NL2018"/>
        <s v="MANI_22.24_100_NL2018"/>
        <s v="ARVA_16.18_200_NL2018"/>
        <s v="YELL_12.14_400_NL2018"/>
        <s v="AMAT_14.16_300_NL2018"/>
        <s v="AMAT_14.16_275_NL2018"/>
        <s v="TARR_20.22_125_NL2018"/>
        <s v="CONC_16.18_200_NL2018"/>
        <s v="ROBI_20.22_125_NL2018"/>
        <s v="NELL_12.14_400_NL2018"/>
        <s v="STEN_16.18_200_NL2017"/>
        <s v="PAVI_12.14_400_NL2017"/>
        <s v="AMAT_12.14_400_NL2018"/>
        <s v="SERA_18.20_150_NL2018"/>
        <s v="ROBI_16.18_200_NL2018"/>
        <s v="FELI_15.16_250_NL2018"/>
        <s v="SERA_14.16_300_NL2018"/>
        <s v="CONC_18.20_150_NL2018"/>
        <s v="ROBI_22.24_100_NL2018"/>
        <s v="MANI_24+_75_NL2018"/>
        <s v="YELL_14.16_300_NL2018"/>
        <s v="MANI_16.18_200_NL2018"/>
        <s v="MALD_16.18_200_NL2018"/>
        <s v="TARR_14.16_300_NL2018"/>
        <s v="BACA_16.18_200_NL2018"/>
        <s v="PARA_16.18_175_NL2018"/>
        <s v="TARR_16.18_200_NL2018"/>
        <s v="BACA_20.22_125_NL2018"/>
        <s v="MANI_20.22_125_NL2018"/>
        <s v="PROF_20.22_125_NL2018"/>
        <s v="YELL_16.18_200_NL2018"/>
        <s v="MANI_PR_16.18_200_NL2018"/>
        <s v="PARA_14.16_300_NL2018"/>
        <s v="PAVI_14.16_300_NL2018"/>
        <s v="PAVI_16.18_200_NL2018"/>
        <s v="GENE_14.16_300_NL2018"/>
        <s v="ROBI_24.26_80_NL2018"/>
        <s v="CONC_24.26_80_NL2018"/>
        <s v="CONC_22.24_100_NL2018"/>
        <s v="ROBI_18.20_150_NL2018"/>
        <s v="SERA_16.18_200_NL2018"/>
        <s v="MARE_16.18_200_NL2018"/>
        <s v="PROF_14.16_275_NL2018"/>
        <s v="THAL_RL_12.14_400_NL2018"/>
        <s v="MALD_15.16_300_NL2018"/>
        <s v="SENS_16.18_200_NL2018"/>
        <s v="MALD_14.16_300_NL2018"/>
        <s v="MALD_20.22_125_NL2018"/>
        <s v="OUTB_14.16_300_NL2018"/>
        <s v="DALI_14.16_300_NL2018"/>
        <s v="OUTB_18.20_150_NL2018"/>
        <s v="DALI_18.20_150_NL2018"/>
        <s v="PATR_RL_12.14_400_NL2018"/>
        <s v="BACA_15.16_250_NL2018"/>
        <s v="BACA_15.16_300_NL2018"/>
        <s v="MANI_24.26_80_NL2018"/>
        <s v="TARR_18.20_150_NL2018"/>
        <s v="ROBI_14.16_300_NL2018"/>
        <s v="ALUS_14.16_300_NL2018"/>
        <s v="INDI_14.16_300_NL2018"/>
        <s v="TEBA_12.14_400_NL2018"/>
        <s v="GENE_12.14_400_NL2018"/>
        <s v="INDI_18.20_150_NL2018"/>
        <s v="CONC_24+_75_NL2018"/>
        <s v="YELL_DN_16.18_200_NL2018"/>
        <s v="YELL_14.16_300_NL2017"/>
        <s v="LESO_18.20_150_NL2017"/>
        <s v="SEDO_16.18_200_NL2018"/>
        <s v="SEDO_18.20_150_NL2018"/>
        <s v="SEDO_20.22_125_NL2018"/>
        <s v="NATA_RL_12.14_400_NL2018"/>
        <s v="YELL_16.18_200_NL2017"/>
        <s v="PROF_14.16_300_NL2018"/>
        <s v="BEAU_12.14_400_NL2018"/>
        <s v="BEAU_14.16_300_NL2018"/>
        <s v="ANGE_RL_12.14_400_NL2018"/>
        <s v="PROF_15.16_300_NL2018"/>
        <s v="DALI_20.22_125_NL2018"/>
        <s v="STEN_18.20_150_NL2017"/>
        <s v="PROF_22.24_100_NL2018"/>
        <s v="CIAR_RL_12.14_350_NL2018"/>
        <s v="TATS_RL_12.14_350_NL2018"/>
        <s v="CARB_16.18_200_NL2018"/>
        <s v="FERR_13.14_400_NL2018"/>
        <s v="CLAR_RL_12.14_400_NL2018"/>
        <s v="DORI_RL_12.14_400_NL2018"/>
        <s v="PETE_14.16_300_NL2018"/>
        <s v="ARVA_18.20_150_CL2019"/>
        <s v="TARR_16.18_200_CL2019"/>
        <s v="LAKE_16.18_200_NL2018"/>
        <s v="CONC_18.20_150_NZ2019"/>
        <s v="PROF_18.20_150_CL2019"/>
        <s v="ZIVA_RL_POT_12.14_400_NL2018"/>
        <s v="ZIVA_RL_POT_14.16_300_NL2018"/>
        <s v="COMP_16.18_200_NL2018"/>
        <s v="LARG_16.18_200_NL2018"/>
        <s v="LARG_22.24_100_NL2018"/>
        <s v="LODI_18.20_150_NL2018"/>
        <s v="ARVA_18.20_150_NL2018"/>
        <s v="PROF_20.22_125_CL2019"/>
        <s v="ROBI_20.22_125_NZ2019"/>
        <s v="ROBI_22.24_100_NZ2019"/>
        <s v="CONC_20.22_125_NZ2019"/>
        <s v="SERA_20.22_125_NL2018"/>
        <s v="MARE_18.20_150_NL2018"/>
        <s v="YELL_DI_18.20_150_NL2018"/>
        <s v="MAYT_18.20_150_NL2018"/>
        <s v="PARA_18.20_150_NL2018"/>
        <s v="SENS_18.20_150_NL2018"/>
        <s v="MALD_18.20_150_NL2018"/>
        <s v="EREM_16.18_200_NL2018"/>
        <s v="DYNA_16.18_200_NL2018"/>
        <s v="BUZZ_POT_10.12_500_NL2018"/>
        <s v="CLAS_POT_10.12_500_NL2018"/>
        <s v="CLAS_POT_12.14_400_NL2018"/>
        <s v="GOLD_POT_10.12_500_NL2018"/>
        <s v="GOLD_POT_12.14_400_NL2018"/>
        <s v="ISLA_POT_11.12_400_NL2018"/>
        <s v="MAJE_POT_10.12_500_NL2018"/>
        <s v="SUGA_POT_10.12_500_NL2018"/>
        <s v="CONF_POT_12.14_400_NL2018"/>
        <s v="SORO_POT_10.12_500_NL2018"/>
        <s v="TREN_POT_10.12_500_NL2018"/>
        <s v="SORO_POT_12.14_400_NL2018"/>
        <s v="TANG_POT_11.12_500_NL2018"/>
        <s v="MANI_14.16_300_NL2018"/>
        <s v="CIAR_RL_12.14_400_NL2018"/>
        <s v="BACA_15.16_275_NL2018"/>
        <s v="PALA_16.18_200_NL2018"/>
        <s v="COMP_20.22_125_CL2019"/>
        <s v="BACA_22.24_85_NL2018"/>
        <s v="BACA_22.24_100_NL2018"/>
        <s v="LODI_16.18_200_NL2018"/>
        <s v="MANI_18.20_150_NL2018"/>
        <s v="LARG_20.22_125_NL2018"/>
        <s v="NELL_18.20_150_NL2018"/>
        <s v="INDI_16.18_200_NL2018"/>
        <s v="DALI_16.18_200_NL2018"/>
        <s v="TARR_18.20_150_CL2019"/>
        <s v="BACA_20.22_125_CL2019"/>
        <s v="AMAR_16.18_200_NL2018"/>
        <s v="PARA_14.16_275_NL2018"/>
        <s v="TRES_16.18_200_NL2018"/>
        <s v="ROBI_20.22_125_NL2017"/>
        <s v="MANI_PR_20.22_125_NL2018"/>
        <s v="ROBI_18.20_150_NZ2019"/>
        <s v="YELL_18.20_150_NL2018"/>
        <s v="HYDE_14.16_300_NL2018"/>
        <s v="CONC_14.16_250_NL2018"/>
        <s v="CARB_18.20_150_NL2018"/>
        <s v="LAKE_14.16_300_NL2018"/>
        <s v="REDD_16.18_200_NL2018"/>
        <s v="BORR_18.20_150_NL2018"/>
        <s v="MONT_16.18_200_NL2018"/>
        <s v="ZAMB_16.18_200_NL2018"/>
        <s v="DIGA_16.18_200_NL2018"/>
        <s v="FELI_16.18_200_NL2018"/>
        <s v="TATS_RL_14.16_300_NL2018"/>
        <s v="AMIG_14.16_300_NL2018"/>
        <s v="AMIG_16.18_200_NL2018"/>
        <s v="HONE_16.18_200_NL2017"/>
        <s v="SORB_18.20_150_NL2018"/>
        <s v="REDD_18.20_150_NL2018"/>
        <s v="THAL_RL_14.16_300_NL2018"/>
        <s v="ROBI_24+_75_NL2018"/>
        <s v="BACA_18.20_150_NL2018"/>
        <s v="SERA_14.16_300_NL2017"/>
        <s v="INDI_14.16_300_NL2017"/>
        <s v="SORB_16.18_200_NL2018"/>
        <s v="ZAMB_18.20_150_NL2018"/>
        <s v="VIRU_18.20_150_NL2017"/>
        <s v="VIRU_20.22_125_NL2017"/>
        <s v="TOUC_13.14_350_NL2018"/>
        <s v="TOUC_14.16_300_NL2018"/>
        <s v="FELI_15.16_300_NL2018"/>
        <s v="SHAD_14.16_300_NL2018"/>
        <s v="SUND_12.14_400_NL2018"/>
        <s v="YELL_DI_12.14_400_NL2018"/>
        <s v="TAMP_12.14_400_NL2018"/>
        <s v="BEAU_16.18_200_NL2018"/>
        <s v="STEN_16.18_200_NL2018"/>
        <s v="STEN_18.20_150_NL2018"/>
        <m/>
        <s v="TATS_RL_12.14_400_NL2018" u="1"/>
        <s v="NATA_12.14_400_NL2018" u="1"/>
        <s v="TARR_20.22_125_CL2019" u="1"/>
        <s v="__" u="1"/>
        <s v="THAL_12.14_400_NL2018" u="1"/>
        <s v="MANI_20.22_125_NZ2019" u="1"/>
        <s v="PATR_12.14_400_NL2018" u="1"/>
        <s v="PARA_16.18_200_NL2018" u="1"/>
        <s v="INDI_20.22_125_NL2018" u="1"/>
      </sharedItems>
    </cacheField>
    <cacheField name="Item Name" numFmtId="0">
      <sharedItems containsBlank="1"/>
    </cacheField>
    <cacheField name="Type" numFmtId="49">
      <sharedItems containsBlank="1"/>
    </cacheField>
    <cacheField name="Size" numFmtId="49">
      <sharedItems containsBlank="1" containsMixedTypes="1" containsNumber="1" minValue="12.14" maxValue="22.24"/>
    </cacheField>
    <cacheField name="Items per Pack" numFmtId="0">
      <sharedItems containsBlank="1" containsMixedTypes="1" containsNumber="1" containsInteger="1" minValue="75" maxValue="400"/>
    </cacheField>
    <cacheField name="Crop" numFmtId="164">
      <sharedItems containsBlank="1"/>
    </cacheField>
    <cacheField name="Required Supplier" numFmtId="0">
      <sharedItems containsBlank="1"/>
    </cacheField>
    <cacheField name=" -   " numFmtId="165">
      <sharedItems containsString="0" containsBlank="1" containsNumber="1" minValue="0" maxValue="1031"/>
    </cacheField>
    <cacheField name="Order Qty_Bulbs" numFmtId="164">
      <sharedItems containsString="0" containsBlank="1" containsNumber="1" containsInteger="1" minValue="0" maxValue="154650"/>
    </cacheField>
    <cacheField name="Price_VND" numFmtId="164">
      <sharedItems containsBlank="1" containsMixedTypes="1" containsNumber="1" containsInteger="1" minValue="0" maxValue="16200" count="195">
        <n v="4700"/>
        <n v="4200"/>
        <n v="4400"/>
        <n v="4100"/>
        <n v="2800"/>
        <n v="7700"/>
        <n v="3800"/>
        <n v="10600"/>
        <n v="10800"/>
        <n v="6200"/>
        <n v="15400"/>
        <n v="5400"/>
        <n v="2600"/>
        <n v="4500"/>
        <n v="2900"/>
        <n v="12300"/>
        <n v="10700"/>
        <n v="3000"/>
        <n v="5000"/>
        <n v="2000"/>
        <n v="6100"/>
        <n v="4600"/>
        <n v="10900"/>
        <n v="4800"/>
        <n v="5700"/>
        <n v="3600"/>
        <n v="5800"/>
        <n v="8000"/>
        <n v="3200"/>
        <n v="12500"/>
        <n v="16000"/>
        <n v="6900"/>
        <n v="6800"/>
        <n v="7000"/>
        <n v="7100"/>
        <n v="7200"/>
        <n v="11000"/>
        <n v="13500"/>
        <n v="15200"/>
        <n v="10100"/>
        <n v="13000"/>
        <n v="0"/>
        <n v="6300"/>
        <n v="6500"/>
        <n v="5500"/>
        <n v="6700"/>
        <n v="6000"/>
        <n v="2700"/>
        <n v="5600"/>
        <n v="3100"/>
        <n v="16200"/>
        <n v="13700"/>
        <n v="15300"/>
        <n v="12000"/>
        <n v="6400"/>
        <n v="5300"/>
        <n v="3900"/>
        <n v="4000"/>
        <n v="2750"/>
        <n v="10500"/>
        <n v="9500"/>
        <n v="8500"/>
        <n v="10200"/>
        <n v="12100"/>
        <n v="8800"/>
        <n v="4370"/>
        <n v="13600"/>
        <n v="9400"/>
        <n v="3500"/>
        <n v="3300"/>
        <n v="13800"/>
        <n v="10000"/>
        <n v="15800"/>
        <n v="6613"/>
        <n v="7500"/>
        <n v="4495"/>
        <n v="6600"/>
        <n v="4900"/>
        <n v="5100"/>
        <n v="8600"/>
        <n v="7300"/>
        <n v="3750"/>
        <n v="5200"/>
        <n v="5170"/>
        <n v="4970"/>
        <n v="14200"/>
        <n v="8063"/>
        <n v="8088"/>
        <n v="8200"/>
        <n v="9200"/>
        <n v="6785"/>
        <n v="6830"/>
        <n v="6915"/>
        <m/>
        <n v="8900"/>
        <n v="9100"/>
        <n v="5090"/>
        <n v="5590"/>
        <n v="4160"/>
        <n v="4300"/>
        <n v="5900"/>
        <n v="7800"/>
        <n v="8300"/>
        <n v="9600"/>
        <n v="11500"/>
        <n v="8255"/>
        <n v="11900"/>
        <n v="6885"/>
        <n v="7600"/>
        <s v="7.100+Phí kho lạnh"/>
        <n v="11400"/>
        <n v="4385"/>
        <n v="5350"/>
        <n v="5670"/>
        <n v="5450"/>
        <n v="9300"/>
        <n v="8400"/>
        <n v="3700"/>
        <n v="8100"/>
        <n v="3920"/>
        <n v="4040"/>
        <n v="11600"/>
        <n v="6498"/>
        <n v="6413"/>
        <n v="5585"/>
        <n v="2640"/>
        <n v="5648"/>
        <n v="9000"/>
        <n v="6618"/>
        <n v="6738"/>
        <n v="6858"/>
        <n v="9700"/>
        <n v="4730"/>
        <n v="5270"/>
        <n v="6528"/>
        <n v="7900"/>
        <n v="3914"/>
        <n v="8700"/>
        <n v="6955"/>
        <n v="6870"/>
        <n v="6171"/>
        <n v="5414"/>
        <n v="6871"/>
        <n v="6428"/>
        <n v="6999"/>
        <n v="6699"/>
        <n v="6499"/>
        <n v="3999"/>
        <n v="6299"/>
        <n v="6371"/>
        <s v="3800+ phí kho lạnh"/>
        <s v="6500+ phí kho lanh"/>
        <s v="6700+ phí kho lạnh"/>
        <n v="6584"/>
        <n v="6363"/>
        <n v="6669"/>
        <n v="6754"/>
        <n v="6839"/>
        <s v="8500+Phí kho lạnh"/>
        <s v="6000+ phí kho lạnh"/>
        <n v="13900"/>
        <n v="14300"/>
        <n v="4430"/>
        <n v="4230"/>
        <n v="6940"/>
        <n v="10300"/>
        <n v="7400"/>
        <n v="14600"/>
        <n v="11700"/>
        <s v="5.400 chưa bao gồm phí lạnh"/>
        <n v="5360"/>
        <n v="5834"/>
        <n v="5876"/>
        <n v="5770"/>
        <n v="5255"/>
        <n v="5755"/>
        <n v="5340"/>
        <n v="5840"/>
        <n v="5925"/>
        <n v="6010"/>
        <n v="5085"/>
        <n v="6470"/>
        <n v="6530"/>
        <s v="Báo giá KH sau"/>
        <n v="5413"/>
        <n v="5163"/>
        <n v="4650"/>
        <n v="6090"/>
        <n v="4350"/>
        <n v="4480"/>
        <n v="4540"/>
        <n v="5375"/>
        <n v="4850"/>
        <n v="6358"/>
        <n v="5114" u="1"/>
      </sharedItems>
    </cacheField>
    <cacheField name="Customer Contract Amount_VND" numFmtId="164">
      <sharedItems containsString="0" containsBlank="1" containsNumber="1" containsInteger="1" minValue="0" maxValue="983264700"/>
    </cacheField>
    <cacheField name="Status" numFmtId="15">
      <sharedItems containsBlank="1" count="6">
        <s v="Done"/>
        <s v="Canceled"/>
        <s v="Pending"/>
        <s v="In Transit"/>
        <s v="Inventory"/>
        <m/>
      </sharedItems>
    </cacheField>
    <cacheField name="Seeding Date_x000a_(Lunar)" numFmtId="15">
      <sharedItems containsDate="1" containsBlank="1" containsMixedTypes="1" minDate="2019-01-09T00:00:00" maxDate="2019-11-26T00:00:00"/>
    </cacheField>
    <cacheField name="Seeding Date_x000a_(Gregorian)" numFmtId="166">
      <sharedItems containsDate="1" containsBlank="1" containsMixedTypes="1" minDate="2019-02-13T00:00:00" maxDate="2019-12-21T00:00:00"/>
    </cacheField>
    <cacheField name="Estimated Arrival Date" numFmtId="166">
      <sharedItems containsDate="1" containsBlank="1" containsMixedTypes="1" minDate="2019-02-13T00:00:00" maxDate="2019-12-21T00:00:00"/>
    </cacheField>
    <cacheField name="Note" numFmtId="0">
      <sharedItems containsBlank="1"/>
    </cacheField>
    <cacheField name="CONT ID" numFmtId="15">
      <sharedItems containsBlank="1"/>
    </cacheField>
    <cacheField name="Date Arrived" numFmtId="15">
      <sharedItems containsNonDate="0" containsDate="1" containsString="0" containsBlank="1" minDate="2019-03-17T00:00:00" maxDate="2019-04-20T00:00:00"/>
    </cacheField>
    <cacheField name="Deposit" numFmtId="0">
      <sharedItems containsBlank="1"/>
    </cacheField>
    <cacheField name="Date #1" numFmtId="0">
      <sharedItems containsNonDate="0" containsDate="1" containsString="0" containsBlank="1" minDate="2019-02-13T00:00:00" maxDate="2019-06-19T00:00:00"/>
    </cacheField>
    <cacheField name="Delivery #1" numFmtId="0">
      <sharedItems containsBlank="1" containsMixedTypes="1" containsNumber="1" containsInteger="1" minValue="0" maxValue="154650"/>
    </cacheField>
    <cacheField name="Date #2" numFmtId="0">
      <sharedItems containsNonDate="0" containsDate="1" containsString="0" containsBlank="1" minDate="2019-02-23T00:00:00" maxDate="2019-06-19T00:00:00"/>
    </cacheField>
    <cacheField name="Delivery #2" numFmtId="0">
      <sharedItems containsBlank="1" containsMixedTypes="1" containsNumber="1" containsInteger="1" minValue="200" maxValue="65200"/>
    </cacheField>
    <cacheField name="Date #3" numFmtId="0">
      <sharedItems containsNonDate="0" containsDate="1" containsString="0" containsBlank="1" minDate="2019-03-18T00:00:00" maxDate="2019-06-14T00:00:00"/>
    </cacheField>
    <cacheField name="Delivery #3" numFmtId="0">
      <sharedItems containsBlank="1" containsMixedTypes="1" containsNumber="1" containsInteger="1" minValue="275" maxValue="39200"/>
    </cacheField>
    <cacheField name="Date #4" numFmtId="171">
      <sharedItems containsNonDate="0" containsDate="1" containsString="0" containsBlank="1" minDate="2019-06-18T00:00:00" maxDate="2019-06-19T00:00:00"/>
    </cacheField>
    <cacheField name="Delivery #4" numFmtId="0">
      <sharedItems containsString="0" containsBlank="1" containsNumber="1" containsInteger="1" minValue="6000" maxValue="6000"/>
    </cacheField>
    <cacheField name="Purchased Qty" numFmtId="164">
      <sharedItems containsString="0" containsBlank="1" containsNumber="1" containsInteger="1" minValue="0" maxValue="154650"/>
    </cacheField>
    <cacheField name="Remaining Qty" numFmtId="164">
      <sharedItems containsString="0" containsBlank="1" containsNumber="1" containsInteger="1" minValue="-2100" maxValue="100000"/>
    </cacheField>
    <cacheField name="Remaining amount" numFmtId="164">
      <sharedItems containsBlank="1" containsMixedTypes="1" containsNumber="1" containsInteger="1" minValue="-9660000" maxValue="636000000"/>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r:id="rId1" refreshedBy="Admin" refreshedDate="43634.733190624996" createdVersion="6" refreshedVersion="6" minRefreshableVersion="3" recordCount="1872">
  <cacheSource type="worksheet">
    <worksheetSource ref="A1:AJ2186" sheet="Customer Contract 2019"/>
  </cacheSource>
  <cacheFields count="35">
    <cacheField name="Customer Contract ID" numFmtId="0">
      <sharedItems containsBlank="1" containsMixedTypes="1" containsNumber="1" containsInteger="1" minValue="3" maxValue="3"/>
    </cacheField>
    <cacheField name="Effective date" numFmtId="0">
      <sharedItems containsNonDate="0" containsDate="1" containsString="0" containsBlank="1" minDate="2018-08-24T00:00:00" maxDate="2019-12-22T00:00:00"/>
    </cacheField>
    <cacheField name="In Charge" numFmtId="0">
      <sharedItems containsBlank="1"/>
    </cacheField>
    <cacheField name="Customer code" numFmtId="0">
      <sharedItems containsBlank="1"/>
    </cacheField>
    <cacheField name="Customer Name" numFmtId="0">
      <sharedItems containsBlank="1" count="166">
        <s v="VŨ THỊ ÚT"/>
        <s v="VŨ THỊ HUYỀN THƯƠNG"/>
        <s v="VŨ ĐÌNH CHIẾN"/>
        <s v="VÕ VĂN TRÍ"/>
        <s v="VÕ VĂN QUÝ"/>
        <s v="VÕ THỊ PHƯƠNG"/>
        <s v="VÕ THỊ DUNG"/>
        <s v="VÕ ĐÌNH TRAI"/>
        <s v="VÕ ĐÌNH DŨNG"/>
        <s v="VÕ ĐĂNG PHƯỚC"/>
        <s v="TRƯƠNG CÔNG VIÊN"/>
        <s v="TRƯƠNG CÔNG PHÚC LONG"/>
        <s v="TRẦN VIỆT KIỀU"/>
        <s v="TRẦN VIẾT DUY"/>
        <s v="TRẦN VĂN LỘC"/>
        <s v="TRẦN VĂN ĐỨC"/>
        <s v="TRẦN THỊ KIM NGỌC"/>
        <s v="TRẦN THỊ BÍCH LỢI"/>
        <s v="TRẦN THỊ ÁNH"/>
        <s v="TRẦN PHÚ HOÀNG"/>
        <s v="TRẦN PHÚ CƯ"/>
        <s v="TRẦN NGỌC HỞI"/>
        <s v="TRẦN MINH SƠN"/>
        <s v="TRẦN MINH PHỤNG"/>
        <s v="TRẦN KIM KHIÊM"/>
        <s v="TRẦN HƯNG"/>
        <s v="THÁI NGUYỄN HOÀNG YẾN"/>
        <s v="QUAN THU BÌNH"/>
        <s v="PHAN VĂN THÀNH"/>
        <s v="PHAN VĂN QUANG"/>
        <s v="PHAN VĂN CHÂU"/>
        <s v="PHAN THỊ TUYẾT NHUNG"/>
        <s v="PHAN THỊ HUỆ"/>
        <s v="PHAN THỊ HOA"/>
        <s v="PHAN NGỌC LỄ"/>
        <s v="PHAN NGỌC HÙNG"/>
        <s v="PHAN ĐỨC MINH"/>
        <s v="PHẠM VĂN THỦY"/>
        <s v="PHẠM VĂN MINH"/>
        <s v="PHẠM VĂN LỢI"/>
        <s v="PHẠM THỊ MỸ HẠNH"/>
        <s v="PHẠM THỊ HẠNH"/>
        <s v="PHẠM NGỌC VŨ"/>
        <s v="PHẠM NGỌC TRAI"/>
        <s v="PHẠM NGỌC DƯỠNG"/>
        <s v="PHẠM MINH THẠNH"/>
        <s v="PHẠM MINH PHỤNG"/>
        <s v="PHẠM CÔNG TUÂN"/>
        <s v="NGUYỄN VĂN TUẤN"/>
        <s v="NGUYỄN VĂN TÍN"/>
        <s v="NGUYỄN VĂN NGUYÊN"/>
        <s v="NGUYỄN VĂN ĐƯƠNG"/>
        <s v="NGUYỄN VĂN CƯƠNG"/>
        <s v="NGUYỄN TRƯỜNG VY"/>
        <s v="NGUYỄN THƠM"/>
        <s v="NGUYỄN THỊ ÚT"/>
        <s v="NGUYỄN THỊ THỦY"/>
        <s v="NGUYỄN THỊ THU HÒA"/>
        <s v="NGUYỄN THỊ THU"/>
        <s v="NGUYỄN THỊ THANH CHI"/>
        <s v="NGUYỄN THỊ THÁI HÒA"/>
        <s v="NGUYỄN THỊ OANH"/>
        <s v="NGUYỄN THỊ NHƯ HIẾU"/>
        <s v="NGUYỄN THỊ MẾN"/>
        <s v="NGUYỄN THỊ LAN"/>
        <s v="NGUYỄN THỊ KIM AN"/>
        <s v="NGUYỄN THỊ HUẾ"/>
        <s v="NGUYỄN THỊ HỒNG"/>
        <s v="NGUYỄN THỊ CẨM THÚY"/>
        <s v="NGUYỄN THỊ BIẾT"/>
        <s v="NGUYỄN THANH TÂN"/>
        <s v="NGUYỄN THANH BÌNH"/>
        <s v="NGUYỄN THẮNG"/>
        <s v="NGUYỄN QUỐC THÁI"/>
        <s v="NGUYỄN QUANG TUẤN"/>
        <s v="NGUYỄN PHÚC AN"/>
        <s v="NGUYỄN PHÚC"/>
        <s v="NGUYỄN HỮU TRỊ"/>
        <s v="NGUYỄN HỮU TRÍ"/>
        <s v="NGUYỄN HỮU CƯƠNG"/>
        <s v="NGUYỄN HÙNG CHÂU"/>
        <s v="NGUYỄN HOÀNG LINH CHI"/>
        <s v="NGUYỄN ĐÌNH TÁM"/>
        <s v="NGUYỄN CÔNG LÂM"/>
        <s v="NGUYỄN CÔNG HÒA"/>
        <s v="NGUYỄN CÔNG ĐẠT"/>
        <s v="NGUYỄN CHUNG TUYÊN"/>
        <s v="NGUYỄN BỒI"/>
        <s v="NGUYỄN ANH TÚ"/>
        <s v="NGÔ VĂN ĐẠT"/>
        <s v="MAI THỊ HẰNG"/>
        <s v="LƯƠNG VĂN VIỆT"/>
        <s v="LƯƠNG VĂN HƯNG"/>
        <s v="LÊ VĂN THÀNH"/>
        <s v="LÊ VĂN SÁU"/>
        <s v="LÊ VĂN DIỆP"/>
        <s v="LÊ THỊ VÂN"/>
        <s v="LÊ THỊ TUYẾT ANH"/>
        <s v="LÊ THỊ THANH HUYỀN"/>
        <s v="LÊ THỊ SƠN"/>
        <s v="LÊ THỊ HỒNG TÂM"/>
        <s v="LÊ THỊ DIỄM THÚY"/>
        <s v="LÊ THÀNH THÔNG"/>
        <s v="LÊ THANH AN"/>
        <s v="LÊ NGỌC HUẤN"/>
        <s v="LÊ HỒNG NHÂN"/>
        <s v="LÊ HẢI"/>
        <s v="LÊ DUY HÙNG"/>
        <s v="LÊ BÌNH"/>
        <s v="HUỲNH VĂN HOÀNG"/>
        <s v="HUỲNH THỊ HƯƠNG"/>
        <s v="HUỲNH MINH NGHĨA"/>
        <s v="HUỲNH DŨNG"/>
        <s v="HOÀNG VĂN XUÂN"/>
        <s v="HOÀNG VĂN KHOA"/>
        <s v="HOÀNG VĂN DIÊU"/>
        <s v="HOÀNG TUYỀN"/>
        <s v="HOÀNG THỊ XUÂN KHÁNH"/>
        <s v="HOÀNG THỊ TUYỀN"/>
        <s v="HOÀNG THỊ PHƯƠNG UYÊN"/>
        <s v="HOÀNG SƠN"/>
        <s v="HOÀNG NGUYỄN MỸ PHƯƠNG"/>
        <s v="HOÀNG LỢI"/>
        <s v="HỒ XUÂN LỘC"/>
        <s v="HỒ QUỐC HƯNG"/>
        <s v="HỒ MINH HÙNG"/>
        <s v="HỒ ĐỨC TOẠI"/>
        <s v="HỒ ĐẮC PHƯƠNG DUNG"/>
        <s v="DƯƠNG VĂN HƠN"/>
        <s v="DƯƠNG THỊ BÍCH HUYỀN"/>
        <s v="DƯƠNG TẤN DŨNG"/>
        <s v="DƯƠNG HIẾU NGHĨA"/>
        <s v="ĐỖ VĂN TRÀ ( NA)"/>
        <s v="ĐỖ VĂN TRÀ ( MINH ANH)"/>
        <s v="ĐỖ VĂN TRÀ"/>
        <s v="ĐỖ VĂN TIẾN"/>
        <s v="ĐỖ VĂN KHÁNH"/>
        <s v="ĐỖ VĂN CƯỜNG"/>
        <s v="ĐỖ THỊ NGUYÊN TRÂM"/>
        <s v="ĐINH VĂN THIỆN"/>
        <s v="ĐINH THỊ ĐÀO"/>
        <s v="ĐINH DUY TIÊN(NGA)"/>
        <s v="ĐINH DUY TIÊN"/>
        <s v="ĐÀO THỊ HẰNG"/>
        <s v="ĐÀO THỊ GẤM"/>
        <s v="ĐẶNG VÕ VĂN KHANH"/>
        <s v="ĐẶNG VĂN THANH"/>
        <s v="ĐẶNG TRẦN CÔNG LỘC"/>
        <s v="ĐẶNG QUANG HÙNG"/>
        <s v="ĐẶNG PHƯỚC VINH"/>
        <s v="CTY TNHH PHÚC KHANG LỘC"/>
        <s v="CTY NGỌC MAI TRANG"/>
        <s v="CHU ĐỨC NGỌC"/>
        <s v="CAO THỊ MAI LOAN"/>
        <s v="STOCK 5/5AL"/>
        <s v="STOCK 18/5"/>
        <m/>
        <s v="STOCK 5/5AL = CHỊ OANH VT" u="1"/>
        <s v="STOCK 5/5AL= TRẦN VIẾT DUY (13/6 ANH QUA LẤY CỦ ROBINA ANH XEM CỦ ĐƯỢC ANH LẤY)" u="1"/>
        <s v="PHẠM MINH THÀNH" u="1"/>
        <s v="STOCK 18/5AL = MỸ PHƯƠNG" u="1"/>
        <s v="STOCK 17/4AL" u="1"/>
        <s v="STOCK 18/5AL/MỸ PHƯƠNG" u="1"/>
        <s v="STOCK 18/5AL = VŨ THỊ ÚT" u="1"/>
        <s v="STOCK 5/5AL = A KHOA" u="1"/>
        <s v="STOCK 17/4AL = CHÚ PHÚC" u="1"/>
      </sharedItems>
    </cacheField>
    <cacheField name="Item ID" numFmtId="0">
      <sharedItems containsBlank="1" count="196">
        <s v="ELDI_14.16_300_NL2018"/>
        <s v="EREM_14.16_300_NL2018"/>
        <s v="NASH_14.16_300_NL2018"/>
        <s v="PAVI_12.14_400_NL2018"/>
        <s v="TEBA_14.16_300_NL2018"/>
        <s v="PROF_16.18_200_NL2018"/>
        <s v="CONC_20.22_125_NL2018"/>
        <s v="PROF_18.20_150_NL2018"/>
        <s v="TEBA_16.18_200_NL2018"/>
        <s v="MANI_22.24_100_NL2018"/>
        <s v="ARVA_16.18_200_NL2018"/>
        <s v="YELL_12.14_400_NL2018"/>
        <s v="AMAT_14.16_300_NL2018"/>
        <s v="AMAT_14.16_275_NL2018"/>
        <s v="TARR_20.22_125_NL2018"/>
        <s v="CONC_16.18_200_NL2018"/>
        <s v="ROBI_20.22_125_NL2018"/>
        <s v="NELL_12.14_400_NL2018"/>
        <s v="STEN_16.18_200_NL2017"/>
        <s v="PAVI_12.14_400_NL2017"/>
        <s v="AMAT_12.14_400_NL2018"/>
        <s v="SERA_18.20_150_NL2018"/>
        <s v="ROBI_16.18_200_NL2018"/>
        <s v="FELI_15.16_250_NL2018"/>
        <s v="SERA_14.16_300_NL2018"/>
        <s v="CONC_18.20_150_NL2018"/>
        <s v="ROBI_22.24_100_NL2018"/>
        <s v="MANI_24+_75_NL2018"/>
        <s v="YELL_14.16_300_NL2018"/>
        <s v="MANI_16.18_200_NL2018"/>
        <s v="MALD_16.18_200_NL2018"/>
        <s v="TARR_14.16_300_NL2018"/>
        <s v="BACA_16.18_200_NL2018"/>
        <s v="PARA_16.18_175_NL2018"/>
        <s v="TARR_16.18_200_NL2018"/>
        <s v="BACA_20.22_125_NL2018"/>
        <s v="MANI_20.22_125_NL2018"/>
        <s v="PROF_20.22_125_NL2018"/>
        <s v="YELL_16.18_200_NL2018"/>
        <s v="MANI_PR_16.18_200_NL2018"/>
        <s v="PARA_14.16_300_NL2018"/>
        <s v="PAVI_14.16_300_NL2018"/>
        <s v="PAVI_16.18_200_NL2018"/>
        <s v="GENE_14.16_300_NL2018"/>
        <s v="ROBI_24.26_80_NL2018"/>
        <s v="CONC_24.26_80_NL2018"/>
        <s v="CONC_22.24_100_NL2018"/>
        <s v="ROBI_18.20_150_NL2018"/>
        <s v="SERA_16.18_200_NL2018"/>
        <s v="MARE_16.18_200_NL2018"/>
        <s v="PROF_14.16_275_NL2018"/>
        <s v="THAL_RL_12.14_400_NL2018"/>
        <s v="MALD_15.16_300_NL2018"/>
        <s v="SENS_16.18_200_NL2018"/>
        <s v="MALD_14.16_300_NL2018"/>
        <s v="MALD_20.22_125_NL2018"/>
        <s v="OUTB_14.16_300_NL2018"/>
        <s v="DALI_14.16_300_NL2018"/>
        <s v="OUTB_18.20_150_NL2018"/>
        <s v="DALI_18.20_150_NL2018"/>
        <s v="PATR_RL_12.14_400_NL2018"/>
        <s v="BACA_15.16_250_NL2018"/>
        <s v="BACA_15.16_300_NL2018"/>
        <s v="MANI_24.26_80_NL2018"/>
        <s v="TARR_18.20_150_NL2018"/>
        <s v="ROBI_14.16_300_NL2018"/>
        <s v="ALUS_14.16_300_NL2018"/>
        <s v="INDI_14.16_300_NL2018"/>
        <s v="TEBA_12.14_400_NL2018"/>
        <s v="GENE_12.14_400_NL2018"/>
        <s v="INDI_18.20_150_NL2018"/>
        <s v="CONC_24+_75_NL2018"/>
        <s v="YELL_DN_16.18_200_NL2018"/>
        <s v="YELL_14.16_300_NL2017"/>
        <s v="LESO_18.20_150_NL2017"/>
        <s v="SEDO_16.18_200_NL2018"/>
        <s v="SEDO_18.20_150_NL2018"/>
        <s v="SEDO_20.22_125_NL2018"/>
        <s v="NATA_RL_12.14_400_NL2018"/>
        <s v="YELL_16.18_200_NL2017"/>
        <s v="PROF_14.16_300_NL2018"/>
        <s v="BEAU_12.14_400_NL2018"/>
        <s v="BEAU_14.16_300_NL2018"/>
        <s v="ANGE_RL_12.14_400_NL2018"/>
        <s v="PROF_15.16_300_NL2018"/>
        <s v="DALI_20.22_125_NL2018"/>
        <s v="STEN_18.20_150_NL2017"/>
        <s v="PROF_22.24_100_NL2018"/>
        <s v="CIAR_RL_12.14_350_NL2018"/>
        <s v="TATS_RL_12.14_350_NL2018"/>
        <s v="CARB_16.18_200_NL2018"/>
        <s v="FERR_13.14_400_NL2018"/>
        <s v="CLAR_RL_12.14_400_NL2018"/>
        <s v="DORI_RL_12.14_400_NL2018"/>
        <s v="PETE_14.16_300_NL2018"/>
        <s v="ARVA_18.20_150_CL2019"/>
        <s v="TARR_16.18_200_CL2019"/>
        <s v="LAKE_16.18_200_NL2018"/>
        <s v="CONC_18.20_150_NZ2019"/>
        <s v="PROF_18.20_150_CL2019"/>
        <s v="ZIVA_RL_POT_12.14_400_NL2018"/>
        <s v="ZIVA_RL_POT_14.16_300_NL2018"/>
        <s v="COMP_16.18_200_NL2018"/>
        <s v="LARG_16.18_200_NL2018"/>
        <s v="LARG_22.24_100_NL2018"/>
        <s v="LODI_18.20_150_NL2018"/>
        <s v="ARVA_18.20_150_NL2018"/>
        <s v="PROF_20.22_125_CL2019"/>
        <s v="ROBI_20.22_125_NZ2019"/>
        <s v="ROBI_22.24_100_NZ2019"/>
        <s v="CONC_20.22_125_NZ2019"/>
        <s v="SERA_20.22_125_NL2018"/>
        <s v="MARE_18.20_150_NL2018"/>
        <s v="YELL_DI_18.20_150_NL2018"/>
        <s v="MAYT_18.20_150_NL2018"/>
        <s v="PARA_18.20_150_NL2018"/>
        <s v="SENS_18.20_150_NL2018"/>
        <s v="MALD_18.20_150_NL2018"/>
        <s v="EREM_16.18_200_NL2018"/>
        <s v="DYNA_16.18_200_NL2018"/>
        <s v="BUZZ_POT_10.12_500_NL2018"/>
        <s v="CLAS_POT_10.12_500_NL2018"/>
        <s v="CLAS_POT_12.14_400_NL2018"/>
        <s v="GOLD_POT_10.12_500_NL2018"/>
        <s v="GOLD_POT_12.14_400_NL2018"/>
        <s v="ISLA_POT_11.12_400_NL2018"/>
        <s v="MAJE_POT_10.12_500_NL2018"/>
        <s v="SUGA_POT_10.12_500_NL2018"/>
        <s v="CONF_POT_12.14_400_NL2018"/>
        <s v="SORO_POT_10.12_500_NL2018"/>
        <s v="TREN_POT_10.12_500_NL2018"/>
        <s v="SORO_POT_12.14_400_NL2018"/>
        <s v="TANG_POT_11.12_500_NL2018"/>
        <s v="MANI_14.16_300_NL2018"/>
        <s v="CIAR_RL_12.14_400_NL2018"/>
        <s v="BACA_15.16_275_NL2018"/>
        <s v="PALA_16.18_200_NL2018"/>
        <s v="COMP_20.22_125_CL2019"/>
        <s v="BACA_22.24_85_NL2018"/>
        <s v="BACA_22.24_100_NL2018"/>
        <s v="LODI_16.18_200_NL2018"/>
        <s v="MANI_18.20_150_NL2018"/>
        <s v="LARG_20.22_125_NL2018"/>
        <s v="NELL_18.20_150_NL2018"/>
        <s v="INDI_16.18_200_NL2018"/>
        <s v="DALI_16.18_200_NL2018"/>
        <s v="TARR_18.20_150_CL2019"/>
        <s v="BACA_20.22_125_CL2019"/>
        <s v="AMAR_16.18_200_NL2018"/>
        <s v="PARA_14.16_275_NL2018"/>
        <s v="TRES_16.18_200_NL2018"/>
        <s v="ROBI_20.22_125_NL2017"/>
        <s v="MANI_PR_20.22_125_NL2018"/>
        <s v="ROBI_18.20_150_NZ2019"/>
        <s v="YELL_18.20_150_NL2018"/>
        <s v="HYDE_14.16_300_NL2018"/>
        <s v="CONC_14.16_250_NL2018"/>
        <s v="CARB_18.20_150_NL2018"/>
        <s v="LAKE_14.16_300_NL2018"/>
        <s v="REDD_16.18_200_NL2018"/>
        <s v="BORR_18.20_150_NL2018"/>
        <s v="MONT_16.18_200_NL2018"/>
        <s v="ZAMB_16.18_200_NL2018"/>
        <s v="DIGA_16.18_200_NL2018"/>
        <s v="FELI_16.18_200_NL2018"/>
        <s v="TATS_RL_14.16_300_NL2018"/>
        <s v="AMIG_14.16_300_NL2018"/>
        <s v="AMIG_16.18_200_NL2018"/>
        <s v="HONE_16.18_200_NL2017"/>
        <s v="SORB_18.20_150_NL2018"/>
        <s v="REDD_18.20_150_NL2018"/>
        <s v="THAL_RL_14.16_300_NL2018"/>
        <s v="ROBI_24+_75_NL2018"/>
        <s v="BACA_18.20_150_NL2018"/>
        <s v="SERA_14.16_300_NL2017"/>
        <s v="INDI_14.16_300_NL2017"/>
        <s v="SORB_16.18_200_NL2018"/>
        <s v="ZAMB_18.20_150_NL2018"/>
        <s v="VIRU_18.20_150_NL2017"/>
        <s v="VIRU_20.22_125_NL2017"/>
        <s v="TOUC_13.14_350_NL2018"/>
        <s v="TOUC_14.16_300_NL2018"/>
        <s v="FELI_15.16_300_NL2018"/>
        <s v="SHAD_14.16_300_NL2018"/>
        <s v="SUND_12.14_400_NL2018"/>
        <s v="YELL_DI_12.14_400_NL2018"/>
        <s v="TAMP_12.14_400_NL2018"/>
        <s v="BEAU_16.18_200_NL2018"/>
        <s v="STEN_16.18_200_NL2018"/>
        <s v="STEN_18.20_150_NL2018"/>
        <m/>
        <s v="TATS_RL_12.14_400_NL2018" u="1"/>
        <s v="TARR_20.22_125_CL2019" u="1"/>
        <s v="MANI_20.22_125_NZ2019" u="1"/>
        <s v="PARA_16.18_200_NL2018" u="1"/>
        <s v="INDI_20.22_125_NL2018" u="1"/>
      </sharedItems>
    </cacheField>
    <cacheField name="Item Name" numFmtId="0">
      <sharedItems containsBlank="1"/>
    </cacheField>
    <cacheField name="Type" numFmtId="49">
      <sharedItems containsBlank="1"/>
    </cacheField>
    <cacheField name="Size" numFmtId="49">
      <sharedItems containsBlank="1" containsMixedTypes="1" containsNumber="1" minValue="12.14" maxValue="22.24"/>
    </cacheField>
    <cacheField name="Items per Pack" numFmtId="0">
      <sharedItems containsBlank="1" containsMixedTypes="1" containsNumber="1" containsInteger="1" minValue="75" maxValue="400"/>
    </cacheField>
    <cacheField name="Crop" numFmtId="164">
      <sharedItems containsBlank="1"/>
    </cacheField>
    <cacheField name="Required Supplier" numFmtId="0">
      <sharedItems containsBlank="1"/>
    </cacheField>
    <cacheField name=" -   " numFmtId="165">
      <sharedItems containsString="0" containsBlank="1" containsNumber="1" minValue="0" maxValue="1031"/>
    </cacheField>
    <cacheField name="Order Qty_Bulbs" numFmtId="164">
      <sharedItems containsString="0" containsBlank="1" containsNumber="1" containsInteger="1" minValue="0" maxValue="154650"/>
    </cacheField>
    <cacheField name="Price_VND" numFmtId="164">
      <sharedItems containsBlank="1" containsMixedTypes="1" containsNumber="1" containsInteger="1" minValue="0" maxValue="16200" count="195">
        <n v="4700"/>
        <n v="4200"/>
        <n v="4400"/>
        <n v="4100"/>
        <n v="2800"/>
        <n v="7700"/>
        <n v="3800"/>
        <n v="10600"/>
        <n v="10800"/>
        <n v="6200"/>
        <n v="15400"/>
        <n v="5400"/>
        <n v="2600"/>
        <n v="4500"/>
        <n v="2900"/>
        <n v="12300"/>
        <n v="10700"/>
        <n v="3000"/>
        <n v="5000"/>
        <n v="2000"/>
        <n v="6100"/>
        <n v="4600"/>
        <n v="10900"/>
        <n v="4800"/>
        <n v="5700"/>
        <n v="3600"/>
        <n v="5800"/>
        <n v="8000"/>
        <n v="3200"/>
        <n v="12500"/>
        <n v="16000"/>
        <n v="6900"/>
        <n v="6800"/>
        <n v="7000"/>
        <n v="7100"/>
        <n v="7200"/>
        <n v="11000"/>
        <n v="13500"/>
        <n v="15200"/>
        <n v="10100"/>
        <n v="13000"/>
        <n v="0"/>
        <n v="6300"/>
        <n v="6500"/>
        <n v="5500"/>
        <n v="6700"/>
        <n v="6000"/>
        <n v="2700"/>
        <n v="5600"/>
        <n v="3100"/>
        <n v="16200"/>
        <n v="13700"/>
        <n v="15300"/>
        <n v="12000"/>
        <n v="6400"/>
        <n v="5300"/>
        <n v="3900"/>
        <n v="4000"/>
        <n v="2750"/>
        <n v="10500"/>
        <n v="9500"/>
        <n v="8500"/>
        <n v="10200"/>
        <n v="12100"/>
        <n v="8800"/>
        <n v="4370"/>
        <n v="13600"/>
        <n v="9400"/>
        <n v="3500"/>
        <n v="3300"/>
        <n v="13800"/>
        <n v="10000"/>
        <n v="15800"/>
        <n v="6613"/>
        <n v="7500"/>
        <n v="4495"/>
        <n v="6600"/>
        <n v="4900"/>
        <n v="5100"/>
        <n v="8600"/>
        <n v="7300"/>
        <n v="3750"/>
        <n v="5200"/>
        <n v="5170"/>
        <n v="4970"/>
        <n v="14200"/>
        <n v="8063"/>
        <n v="8088"/>
        <n v="8200"/>
        <n v="9200"/>
        <n v="6785"/>
        <n v="6830"/>
        <n v="6915"/>
        <m/>
        <n v="8900"/>
        <n v="9100"/>
        <n v="5090"/>
        <n v="5590"/>
        <n v="4160"/>
        <n v="4300"/>
        <n v="5900"/>
        <n v="7800"/>
        <n v="8300"/>
        <n v="9600"/>
        <n v="11500"/>
        <n v="8255"/>
        <n v="11900"/>
        <n v="6885"/>
        <n v="7600"/>
        <s v="7.100+Phí kho lạnh"/>
        <n v="11400"/>
        <n v="4385"/>
        <n v="5350"/>
        <n v="5670"/>
        <n v="5450"/>
        <n v="9300"/>
        <n v="8400"/>
        <n v="3700"/>
        <n v="8100"/>
        <n v="3920"/>
        <n v="4040"/>
        <n v="11600"/>
        <n v="6498"/>
        <n v="6413"/>
        <n v="5585"/>
        <n v="2640"/>
        <n v="5648"/>
        <n v="9000"/>
        <n v="6618"/>
        <n v="6738"/>
        <n v="6858"/>
        <n v="9700"/>
        <n v="4730"/>
        <n v="5270"/>
        <n v="6528"/>
        <n v="7900"/>
        <n v="3914"/>
        <n v="8700"/>
        <n v="6955"/>
        <n v="6870"/>
        <n v="6171"/>
        <n v="5414"/>
        <n v="6871"/>
        <n v="6428"/>
        <n v="6999"/>
        <n v="6699"/>
        <n v="6499"/>
        <n v="3999"/>
        <n v="6299"/>
        <n v="6371"/>
        <s v="3800+ phí kho lạnh"/>
        <s v="6500+ phí kho lanh"/>
        <s v="6700+ phí kho lạnh"/>
        <n v="6584"/>
        <n v="6363"/>
        <n v="6669"/>
        <n v="6754"/>
        <n v="6839"/>
        <s v="8500+Phí kho lạnh"/>
        <s v="6000+ phí kho lạnh"/>
        <n v="13900"/>
        <n v="14300"/>
        <n v="4430"/>
        <n v="4230"/>
        <n v="6940"/>
        <n v="10300"/>
        <n v="7400"/>
        <n v="14600"/>
        <n v="11700"/>
        <s v="5.400 chưa bao gồm phí lạnh"/>
        <n v="5360"/>
        <n v="5834"/>
        <n v="5876"/>
        <n v="5770"/>
        <n v="5255"/>
        <n v="5755"/>
        <n v="5340"/>
        <n v="5840"/>
        <n v="5925"/>
        <n v="6010"/>
        <n v="5085"/>
        <n v="6470"/>
        <n v="6530"/>
        <s v="Báo giá KH sau"/>
        <n v="5413"/>
        <n v="5163"/>
        <n v="4650"/>
        <n v="6090"/>
        <n v="4350"/>
        <n v="4480"/>
        <n v="4540"/>
        <n v="5375"/>
        <n v="4850"/>
        <n v="6358"/>
        <n v="5114" u="1"/>
      </sharedItems>
    </cacheField>
    <cacheField name="Customer Contract Amount_VND" numFmtId="164">
      <sharedItems containsString="0" containsBlank="1" containsNumber="1" containsInteger="1" minValue="0" maxValue="983264700"/>
    </cacheField>
    <cacheField name="Status" numFmtId="15">
      <sharedItems containsBlank="1" count="6">
        <s v="Done"/>
        <s v="Canceled"/>
        <s v="Pending"/>
        <s v="In Transit"/>
        <s v="Inventory"/>
        <m/>
      </sharedItems>
    </cacheField>
    <cacheField name="Seeding Date_x000a_(Lunar)" numFmtId="15">
      <sharedItems containsDate="1" containsBlank="1" containsMixedTypes="1" minDate="2019-01-09T00:00:00" maxDate="2019-11-26T00:00:00"/>
    </cacheField>
    <cacheField name="Seeding Date_x000a_(Gregorian)" numFmtId="166">
      <sharedItems containsDate="1" containsBlank="1" containsMixedTypes="1" minDate="2019-02-13T00:00:00" maxDate="2019-12-21T00:00:00"/>
    </cacheField>
    <cacheField name="Estimated Arrival Date" numFmtId="166">
      <sharedItems containsDate="1" containsBlank="1" containsMixedTypes="1" minDate="2019-02-13T00:00:00" maxDate="2019-12-21T00:00:00"/>
    </cacheField>
    <cacheField name="Note" numFmtId="0">
      <sharedItems containsBlank="1"/>
    </cacheField>
    <cacheField name="CONT ID" numFmtId="15">
      <sharedItems containsBlank="1"/>
    </cacheField>
    <cacheField name="Date Arrived" numFmtId="15">
      <sharedItems containsNonDate="0" containsDate="1" containsString="0" containsBlank="1" minDate="2019-03-17T00:00:00" maxDate="2019-04-20T00:00:00"/>
    </cacheField>
    <cacheField name="Deposit" numFmtId="0">
      <sharedItems containsBlank="1"/>
    </cacheField>
    <cacheField name="Date #1" numFmtId="0">
      <sharedItems containsNonDate="0" containsDate="1" containsString="0" containsBlank="1" minDate="2019-02-13T00:00:00" maxDate="2019-06-19T00:00:00"/>
    </cacheField>
    <cacheField name="Delivery #1" numFmtId="0">
      <sharedItems containsBlank="1" containsMixedTypes="1" containsNumber="1" containsInteger="1" minValue="0" maxValue="154650"/>
    </cacheField>
    <cacheField name="Date #2" numFmtId="0">
      <sharedItems containsNonDate="0" containsDate="1" containsString="0" containsBlank="1" minDate="2019-02-23T00:00:00" maxDate="2019-06-19T00:00:00"/>
    </cacheField>
    <cacheField name="Delivery #2" numFmtId="0">
      <sharedItems containsBlank="1" containsMixedTypes="1" containsNumber="1" containsInteger="1" minValue="200" maxValue="65200"/>
    </cacheField>
    <cacheField name="Date #3" numFmtId="0">
      <sharedItems containsNonDate="0" containsDate="1" containsString="0" containsBlank="1" minDate="2019-03-18T00:00:00" maxDate="2019-06-14T00:00:00"/>
    </cacheField>
    <cacheField name="Delivery #3" numFmtId="0">
      <sharedItems containsBlank="1" containsMixedTypes="1" containsNumber="1" containsInteger="1" minValue="275" maxValue="39200"/>
    </cacheField>
    <cacheField name="Date #4" numFmtId="171">
      <sharedItems containsNonDate="0" containsDate="1" containsString="0" containsBlank="1" minDate="2019-06-18T00:00:00" maxDate="2019-06-19T00:00:00"/>
    </cacheField>
    <cacheField name="Delivery #4" numFmtId="0">
      <sharedItems containsString="0" containsBlank="1" containsNumber="1" containsInteger="1" minValue="6000" maxValue="6000"/>
    </cacheField>
    <cacheField name="Purchased Qty" numFmtId="164">
      <sharedItems containsString="0" containsBlank="1" containsNumber="1" containsInteger="1" minValue="0" maxValue="154650"/>
    </cacheField>
    <cacheField name="Remaining Qty" numFmtId="164">
      <sharedItems containsString="0" containsBlank="1" containsNumber="1" containsInteger="1" minValue="-2100" maxValue="100000"/>
    </cacheField>
    <cacheField name="Remaining amount" numFmtId="164">
      <sharedItems containsBlank="1" containsMixedTypes="1" containsNumber="1" containsInteger="1" minValue="-9660000" maxValue="636000000"/>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r:id="rId1" refreshedBy="Admin" refreshedDate="43640.424435995374" createdVersion="6" refreshedVersion="6" minRefreshableVersion="3" recordCount="1921">
  <cacheSource type="worksheet">
    <worksheetSource ref="A1:AK1903" sheet="Customer Contract 2019"/>
  </cacheSource>
  <cacheFields count="36">
    <cacheField name="Customer Contract ID" numFmtId="0">
      <sharedItems containsBlank="1" containsMixedTypes="1" containsNumber="1" containsInteger="1" minValue="3" maxValue="3"/>
    </cacheField>
    <cacheField name="Effective date" numFmtId="0">
      <sharedItems containsNonDate="0" containsDate="1" containsString="0" containsBlank="1" minDate="2018-08-24T00:00:00" maxDate="2019-12-22T00:00:00"/>
    </cacheField>
    <cacheField name="In Charge" numFmtId="0">
      <sharedItems containsBlank="1"/>
    </cacheField>
    <cacheField name="Customer code" numFmtId="0">
      <sharedItems containsBlank="1"/>
    </cacheField>
    <cacheField name="Customer Name" numFmtId="0">
      <sharedItems count="159">
        <s v="CAO THỊ MAI LOAN"/>
        <s v="CHU ĐỨC NGỌC"/>
        <s v="CTY NGỌC MAI TRANG"/>
        <s v="CTY TNHH PHÚC KHANG LỘC"/>
        <s v="ĐẶNG PHƯỚC VINH"/>
        <s v="ĐẶNG QUANG HÙNG"/>
        <s v="ĐẶNG TRẦN CÔNG LỘC"/>
        <s v="ĐẶNG VĂN THANH"/>
        <s v="ĐẶNG VÕ VĂN KHANH"/>
        <s v="ĐÀO THỊ GẤM"/>
        <s v="ĐÀO THỊ HẰNG"/>
        <s v="ĐINH DUY TIÊN"/>
        <s v="ĐINH DUY TIÊN(NGA)"/>
        <s v="ĐINH THỊ ĐÀO"/>
        <s v="ĐINH VĂN THIỆN"/>
        <s v="ĐỖ THỊ NGUYÊN TRÂM"/>
        <s v="ĐỖ VĂN CƯỜNG"/>
        <s v="ĐỖ VĂN KHÁNH"/>
        <s v="ĐỖ VĂN TIẾN"/>
        <s v="ĐỖ VĂN TRÀ"/>
        <s v="ĐỖ VĂN TRÀ ( MINH ANH)"/>
        <s v="ĐỖ VĂN TRÀ ( NA)"/>
        <s v="DƯƠNG HIẾU NGHĨA"/>
        <s v="DƯƠNG TẤN DŨNG"/>
        <s v="DƯƠNG THỊ BÍCH HUYỀN"/>
        <s v="DƯƠNG VĂN HƠN"/>
        <s v="HỒ ĐẮC PHƯƠNG DUNG"/>
        <s v="HỒ ĐỨC TOẠI"/>
        <s v="HỒ MINH HÙNG"/>
        <s v="HỒ QUỐC HƯNG"/>
        <s v="HỒ XUÂN LỘC"/>
        <s v="HOÀNG LỢI"/>
        <s v="HOÀNG NGUYỄN MỸ PHƯƠNG"/>
        <s v="HOÀNG SƠN"/>
        <s v="HOÀNG THỊ PHƯƠNG UYÊN"/>
        <s v="HOÀNG THỊ TUYỀN"/>
        <s v="HOÀNG THỊ XUÂN KHÁNH"/>
        <s v="HOÀNG TUYỀN"/>
        <s v="HOÀNG VĂN DIÊU"/>
        <s v="HOÀNG VĂN KHOA"/>
        <s v="HOÀNG VĂN XUÂN"/>
        <s v="HUỲNH DŨNG"/>
        <s v="HUỲNH MINH NGHĨA"/>
        <s v="HUỲNH THỊ HƯƠNG"/>
        <s v="HUỲNH VĂN HOÀNG"/>
        <s v="LÊ BÌNH"/>
        <s v="LÊ DUY HÙNG"/>
        <s v="LÊ HẢI"/>
        <s v="LÊ HỒNG NHÂN"/>
        <s v="LÊ NGỌC HUẤN"/>
        <s v="LÊ THANH AN"/>
        <s v="LÊ THÀNH THÔNG"/>
        <s v="LÊ THỊ DIỄM THÚY"/>
        <s v="LÊ THỊ HỒNG TÂM"/>
        <s v="LÊ THỊ SƠN"/>
        <s v="LÊ THỊ THANH HUYỀN"/>
        <s v="LÊ THỊ TUYẾT ANH"/>
        <s v="LÊ THỊ VÂN"/>
        <s v="LÊ VĂN DIỆP"/>
        <s v="LÊ VĂN SÁU"/>
        <s v="LÊ VĂN THÀNH"/>
        <s v="LƯƠNG VĂN HƯNG"/>
        <s v="LƯƠNG VĂN VIỆT"/>
        <s v="MAI THỊ HẰNG"/>
        <s v="NGÔ VĂN ĐẠT"/>
        <s v="NGUYỄN ANH TÚ"/>
        <s v="NGUYỄN BỒI"/>
        <s v="NGUYỄN CHUNG TUYÊN"/>
        <s v="NGUYỄN CÔNG ĐẠT"/>
        <s v="NGUYỄN CÔNG HÒA"/>
        <s v="NGUYỄN CÔNG LÂM"/>
        <s v="NGUYỄN ĐÌNH TÁM"/>
        <s v="NGUYỄN HOÀNG LINH CHI"/>
        <s v="NGUYỄN HÙNG CHÂU"/>
        <s v="NGUYỄN HỮU CƯƠNG"/>
        <s v="NGUYỄN HỮU TRÍ"/>
        <s v="NGUYỄN HỮU TRỊ"/>
        <s v="NGUYỄN PHÚC"/>
        <s v="NGUYỄN PHÚC AN"/>
        <s v="NGUYỄN QUANG TUẤN"/>
        <s v="NGUYỄN QUỐC THÁI"/>
        <s v="NGUYỄN THẮNG"/>
        <s v="NGUYỄN THANH BÌNH"/>
        <s v="NGUYỄN THANH TÂN"/>
        <s v="NGUYỄN THỊ BIẾT"/>
        <s v="NGUYỄN THỊ CẨM THÚY"/>
        <s v="NGUYỄN THỊ HỒNG"/>
        <s v="NGUYỄN THỊ HUẾ"/>
        <s v="NGUYỄN THỊ KIM AN"/>
        <s v="NGUYỄN THỊ LAN"/>
        <s v="NGUYỄN THỊ MẾN"/>
        <s v="NGUYỄN THỊ NHƯ HIẾU"/>
        <s v="NGUYỄN THỊ OANH"/>
        <s v="NGUYỄN THỊ THÁI HÒA"/>
        <s v="NGUYỄN THỊ THANH CHI"/>
        <s v="NGUYỄN THỊ THU"/>
        <s v="NGUYỄN THỊ THU HÒA"/>
        <s v="NGUYỄN THỊ THỦY"/>
        <s v="NGUYỄN THỊ ÚT"/>
        <s v="NGUYỄN THƠM"/>
        <s v="NGUYỄN TRƯỜNG VY"/>
        <s v="NGUYỄN VĂN CƯƠNG"/>
        <s v="NGUYỄN VĂN ĐƯƠNG"/>
        <s v="NGUYỄN VĂN NGUYÊN"/>
        <s v="NGUYỄN VĂN SỸ"/>
        <s v="NGUYỄN VĂN TÍN"/>
        <s v="NGUYỄN VĂN TUẤN"/>
        <s v="PHẠM CÔNG TUÂN"/>
        <s v="PHẠM MINH PHỤNG"/>
        <s v="PHẠM MINH THẠNH"/>
        <s v="PHẠM NGỌC DƯỠNG"/>
        <s v="PHẠM NGỌC TRAI"/>
        <s v="PHẠM NGỌC VŨ"/>
        <s v="PHẠM THỊ HẠNH"/>
        <s v="PHẠM THỊ MỸ HẠNH"/>
        <s v="PHẠM VĂN LỢI"/>
        <s v="PHẠM VĂN MINH"/>
        <s v="PHẠM VĂN THỦY"/>
        <s v="PHAN ĐỨC MINH"/>
        <s v="PHAN NGỌC HÙNG"/>
        <s v="PHAN NGỌC LỄ"/>
        <s v="PHAN THỊ HOA"/>
        <s v="PHAN THỊ HUỆ"/>
        <s v="PHAN THỊ TUYẾT NHUNG"/>
        <s v="PHAN VĂN CHÂU"/>
        <s v="PHAN VĂN QUANG"/>
        <s v="PHAN VĂN THÀNH"/>
        <s v="QUAN THU BÌNH"/>
        <s v="STOCK 18/5AL"/>
        <s v="STOCK 18/6AL"/>
        <s v="STOCK 18/6AL/NGUYỄN HỮU CƯƠNG"/>
        <s v="STOCK 5/5AL"/>
        <s v="THÁI NGUYỄN HOÀNG YẾN"/>
        <s v="TRẦN HƯNG"/>
        <s v="TRẦN KIM KHIÊM"/>
        <s v="TRẦN MINH PHỤNG"/>
        <s v="TRẦN MINH SƠN"/>
        <s v="TRẦN NGỌC HỞI"/>
        <s v="TRẦN PHÚ CƯ"/>
        <s v="TRẦN PHÚ HOÀNG"/>
        <s v="TRẦN THỊ ÁNH"/>
        <s v="TRẦN THỊ BÍCH LỢI"/>
        <s v="TRẦN THỊ KIM NGỌC"/>
        <s v="TRẦN VĂN ĐỨC"/>
        <s v="TRẦN VĂN LỘC"/>
        <s v="TRẦN VIẾT DUY"/>
        <s v="TRẦN VIỆT KIỀU"/>
        <s v="TRƯƠNG CÔNG PHÚC LONG"/>
        <s v="TRƯƠNG CÔNG VIÊN"/>
        <s v="VÕ ĐĂNG PHƯỚC"/>
        <s v="VÕ ĐÌNH DŨNG"/>
        <s v="VÕ ĐÌNH TRAI"/>
        <s v="VÕ THỊ DUNG"/>
        <s v="VÕ THỊ PHƯƠNG"/>
        <s v="VÕ VĂN QUÝ"/>
        <s v="VÕ VĂN TRÍ"/>
        <s v="VŨ ĐÌNH CHIẾN"/>
        <s v="VŨ THỊ HUYỀN THƯƠNG"/>
        <s v="VŨ THỊ ÚT"/>
      </sharedItems>
    </cacheField>
    <cacheField name="Item ID" numFmtId="0">
      <sharedItems count="195">
        <s v="YELL_12.14_400_NL2018"/>
        <s v="TARR_18.20_150_NL2018"/>
        <s v="SERA_14.16_300_NL2018"/>
        <s v="ROBI_16.18_200_NL2018"/>
        <s v="ROBI_20.22_125_NL2018"/>
        <s v="ROBI_18.20_150_NL2018"/>
        <s v="CONC_16.18_200_NL2018"/>
        <s v="CONC_20.22_125_NL2018"/>
        <s v="CONC_18.20_150_NL2018"/>
        <s v="ARVA_16.18_200_NL2018"/>
        <s v="TARR_16.18_200_NL2018"/>
        <s v="PROF_16.18_200_NL2018"/>
        <s v="PROF_14.16_300_NL2018"/>
        <s v="BACA_15.16_300_NL2018"/>
        <s v="CONC_24.26_80_NL2018"/>
        <s v="STEN_16.18_200_NL2018"/>
        <s v="STEN_18.20_150_NL2018"/>
        <s v="THAL_RL_12.14_400_NL2018"/>
        <s v="TATS_RL_12.14_350_NL2018"/>
        <s v="BACA_18.20_150_NL2018"/>
        <s v="PROF_22.24_100_NL2018"/>
        <s v="CONC_22.24_100_NL2018"/>
        <s v="YELL_14.16_300_NL2017"/>
        <s v="ROBI_22.24_100_NL2018"/>
        <s v="DALI_14.16_300_NL2018"/>
        <s v="BACA_20.22_125_NL2018"/>
        <s v="SENS_16.18_200_NL2018"/>
        <s v="MALD_16.18_200_NL2018"/>
        <s v="LARG_16.18_200_NL2018"/>
        <s v="INDI_16.18_200_NL2018"/>
        <s v="YELL_DI_12.14_400_NL2018"/>
        <s v="YELL_DI_18.20_150_NL2018"/>
        <s v="TEBA_12.14_400_NL2018"/>
        <s v="TEBA_14.16_300_NL2018"/>
        <s v="TEBA_16.18_200_NL2018"/>
        <s v="TARR_14.16_300_NL2018"/>
        <s v="TAMP_12.14_400_NL2018"/>
        <s v="SUND_12.14_400_NL2018"/>
        <s v="SHAD_14.16_300_NL2018"/>
        <s v="PROF_20.22_125_NL2018"/>
        <s v="PAVI_12.14_400_NL2017"/>
        <s v="PAVI_12.14_400_NL2018"/>
        <s v="PAVI_14.16_300_NL2018"/>
        <s v="PAVI_16.18_200_NL2018"/>
        <s v="NELL_12.14_400_NL2018"/>
        <s v="MARE_16.18_200_NL2018"/>
        <s v="HONE_16.18_200_NL2017"/>
        <s v="GENE_12.14_400_NL2018"/>
        <s v="GENE_14.16_300_NL2018"/>
        <s v="FELI_15.16_300_NL2018"/>
        <s v="EREM_14.16_300_NL2018"/>
        <s v="COMP_16.18_200_NL2018"/>
        <s v="BEAU_16.18_200_NL2018"/>
        <s v="AMAT_12.14_400_NL2018"/>
        <s v="AMAT_14.16_300_NL2018"/>
        <s v="AMAT_14.16_275_NL2018"/>
        <s v="ALUS_14.16_300_NL2018"/>
        <s v="YELL_16.18_200_NL2018"/>
        <s v="ROBI_22.24_100_NZ2019"/>
        <s v="NELL_18.20_150_NL2018"/>
        <s v="MANI_24+_75_NL2018"/>
        <s v="NASH_14.16_300_NL2018"/>
        <s v="DALI_20.22_125_NL2018"/>
        <s v="BACA_15.16_250_NL2018"/>
        <s v="ARVA_18.20_150_NL2018"/>
        <s v="MANI_20.22_125_NL2018"/>
        <s v="TARR_20.22_125_NL2018"/>
        <s v="MANI_22.24_100_NL2018"/>
        <s v="LARG_22.24_100_NL2018"/>
        <s v="YELL_16.18_200_NL2017"/>
        <s v="TOUC_13.14_350_NL2018"/>
        <s v="TOUC_14.16_300_NL2018"/>
        <s v="MONT_16.18_200_NL2018"/>
        <s v="MALD_14.16_300_NL2018"/>
        <s v="MALD_18.20_150_NL2018"/>
        <s v="SERA_20.22_125_NL2018"/>
        <s v="NATA_RL_12.14_400_NL2018"/>
        <s v="YELL_DN_16.18_200_NL2018"/>
        <s v="YELL_14.16_300_NL2018"/>
        <s v="MANI_16.18_200_NL2018"/>
        <s v="INDI_18.20_150_NL2018"/>
        <s v="BACA_16.18_200_NL2018"/>
        <s v="PROF_14.16_275_NL2018"/>
        <s v="MANI_14.16_300_NL2018"/>
        <s v="INDI_14.16_300_NL2018"/>
        <s v="CONC_20.22_125_NZ2019"/>
        <s v="CONC_14.16_250_NL2018"/>
        <s v="SERA_16.18_200_NL2018"/>
        <s v="PROF_20.22_125_CL2019"/>
        <s v="PROF_18.20_150_NL2018"/>
        <s v="ROBI_20.22_125_NZ2019"/>
        <s v="ROBI_24+_75_NL2018"/>
        <s v="VIRU_18.20_150_NL2017"/>
        <s v="VIRU_20.22_125_NL2017"/>
        <s v="MALD_15.16_300_NL2018"/>
        <s v="LAKE_16.18_200_NL2018"/>
        <s v="ZAMB_16.18_200_NL2018"/>
        <s v="ZAMB_18.20_150_NL2018"/>
        <s v="SORB_16.18_200_NL2018"/>
        <s v="ROBI_14.16_300_NL2018"/>
        <s v="FERR_13.14_400_NL2018"/>
        <s v="DIGA_16.18_200_NL2018"/>
        <s v="SERA_14.16_300_NL2017"/>
        <s v="INDI_14.16_300_NL2017"/>
        <s v="BACA_22.24_85_NL2018"/>
        <s v="SEDO_20.22_125_NL2018"/>
        <s v="MANI_PR_16.18_200_NL2018"/>
        <s v="SERA_18.20_150_NL2018"/>
        <s v="FELI_16.18_200_NL2018"/>
        <s v="MANI_24.26_80_NL2018"/>
        <s v="THAL_RL_14.16_300_NL2018"/>
        <s v="LODI_16.18_200_NL2018"/>
        <s v="CONC_24+_75_NL2018"/>
        <s v="REDD_18.20_150_NL2018"/>
        <s v="MANI_18.20_150_NL2018"/>
        <s v="PARA_14.16_275_NL2018"/>
        <s v="TRES_16.18_200_NL2018"/>
        <s v="SORB_18.20_150_NL2018"/>
        <s v="AMIG_14.16_300_NL2018"/>
        <s v="AMIG_16.18_200_NL2018"/>
        <s v="FELI_15.16_250_NL2018"/>
        <s v="TATS_RL_14.16_300_NL2018"/>
        <s v="REDD_16.18_200_NL2018"/>
        <s v="PATR_RL_12.14_400_NL2018"/>
        <s v="LAKE_14.16_300_NL2018"/>
        <s v="DALI_16.18_200_NL2018"/>
        <s v="DALI_18.20_150_NL2018"/>
        <s v="CARB_16.18_200_NL2018"/>
        <s v="BORR_18.20_150_NL2018"/>
        <s v="CARB_18.20_150_NL2018"/>
        <s v="YELL_18.20_150_NL2018"/>
        <s v="HYDE_14.16_300_NL2018"/>
        <s v="ROBI_18.20_150_NZ2019"/>
        <s v="ROBI_20.22_125_NL2017"/>
        <s v="MANI_PR_20.22_125_NL2018"/>
        <s v="TARR_18.20_150_CL2019"/>
        <s v="PARA_16.18_175_NL2018"/>
        <s v="BACA_20.22_125_CL2019"/>
        <s v="AMAR_16.18_200_NL2018"/>
        <s v="LODI_18.20_150_NL2018"/>
        <s v="LARG_20.22_125_NL2018"/>
        <s v="COMP_20.22_125_CL2019"/>
        <s v="BACA_22.24_100_NL2018"/>
        <s v="PALA_16.18_200_NL2018"/>
        <s v="CIAR_RL_12.14_400_NL2018"/>
        <s v="BACA_15.16_275_NL2018"/>
        <s v="ROBI_24.26_80_NL2018"/>
        <s v="PARA_14.16_300_NL2018"/>
        <s v="TREN_POT_10.12_500_NL2018"/>
        <s v="TANG_POT_11.12_500_NL2018"/>
        <s v="SUGA_POT_10.12_500_NL2018"/>
        <s v="SORO_POT_10.12_500_NL2018"/>
        <s v="SORO_POT_12.14_400_NL2018"/>
        <s v="SENS_18.20_150_NL2018"/>
        <s v="PARA_18.20_150_NL2018"/>
        <s v="MAYT_18.20_150_NL2018"/>
        <s v="MARE_18.20_150_NL2018"/>
        <s v="MAJE_POT_10.12_500_NL2018"/>
        <s v="ISLA_POT_11.12_400_NL2018"/>
        <s v="GOLD_POT_10.12_500_NL2018"/>
        <s v="GOLD_POT_12.14_400_NL2018"/>
        <s v="EREM_16.18_200_NL2018"/>
        <s v="DYNA_16.18_200_NL2018"/>
        <s v="CONF_POT_12.14_400_NL2018"/>
        <s v="CLAS_POT_10.12_500_NL2018"/>
        <s v="CLAS_POT_12.14_400_NL2018"/>
        <s v="BUZZ_POT_10.12_500_NL2018"/>
        <s v="OUTB_14.16_300_NL2018"/>
        <s v="CONC_18.20_150_NZ2019"/>
        <s v="ZIVA_RL_POT_12.14_400_NL2018"/>
        <s v="ZIVA_RL_POT_14.16_300_NL2018"/>
        <s v="STEN_16.18_200_NL2017"/>
        <s v="STEN_18.20_150_NL2017"/>
        <s v="PROF_18.20_150_CL2019"/>
        <s v="TARR_16.18_200_CL2019"/>
        <s v="SNOW_RL_20.22_125_NL2018"/>
        <s v="SEDO_18.20_150_NL2018"/>
        <s v="PETE_14.16_300_NL2018"/>
        <s v="DORI_RL_12.14_400_NL2018"/>
        <s v="CLAR_RL_12.14_400_NL2018"/>
        <s v="CIAR_RL_12.14_350_NL2018"/>
        <s v="ARVA_18.20_150_CL2019"/>
        <s v="ANGE_RL_12.14_400_NL2018"/>
        <s v="PROF_15.16_300_NL2018"/>
        <s v="ELDI_14.16_300_NL2018"/>
        <s v="BEAU_12.14_400_NL2018"/>
        <s v="BEAU_14.16_300_NL2018"/>
        <s v="LESO_18.20_150_NL2017"/>
        <s v="SEDO_16.18_200_NL2018"/>
        <s v="FERR_14.16_300_NL2018"/>
        <s v="OUTB_18.20_150_NL2018"/>
        <s v="MALD_20.22_125_NL2018"/>
        <s v="CORA_14.16_300_NL2018"/>
        <s v="TARR_20.22_125_CL2019"/>
        <s v="MANI_24+_80_NL2018"/>
      </sharedItems>
    </cacheField>
    <cacheField name="Item Name" numFmtId="0">
      <sharedItems/>
    </cacheField>
    <cacheField name="Type" numFmtId="49">
      <sharedItems containsBlank="1"/>
    </cacheField>
    <cacheField name="Size" numFmtId="49">
      <sharedItems containsMixedTypes="1" containsNumber="1" minValue="12.14" maxValue="22.24"/>
    </cacheField>
    <cacheField name="Items per Pack" numFmtId="0">
      <sharedItems containsMixedTypes="1" containsNumber="1" containsInteger="1" minValue="75" maxValue="400"/>
    </cacheField>
    <cacheField name="Crop" numFmtId="164">
      <sharedItems/>
    </cacheField>
    <cacheField name="Required Supplier" numFmtId="0">
      <sharedItems containsBlank="1"/>
    </cacheField>
    <cacheField name=" -   " numFmtId="165">
      <sharedItems containsSemiMixedTypes="0" containsString="0" containsNumber="1" minValue="0" maxValue="1031"/>
    </cacheField>
    <cacheField name="Order Qty_Bulbs" numFmtId="164">
      <sharedItems containsString="0" containsBlank="1" containsNumber="1" containsInteger="1" minValue="0" maxValue="154650"/>
    </cacheField>
    <cacheField name="Price_VND" numFmtId="164">
      <sharedItems containsBlank="1" containsMixedTypes="1" containsNumber="1" containsInteger="1" minValue="0" maxValue="16500" count="196">
        <n v="2600"/>
        <n v="2700"/>
        <n v="9300"/>
        <n v="3500"/>
        <n v="5170"/>
        <n v="10500"/>
        <n v="5400"/>
        <n v="8100"/>
        <n v="5000"/>
        <n v="8000"/>
        <n v="5500"/>
        <n v="7700"/>
        <n v="4700"/>
        <n v="6200"/>
        <n v="4500"/>
        <n v="15200"/>
        <n v="8600"/>
        <n v="8700"/>
        <n v="4850"/>
        <n v="6358"/>
        <n v="8800"/>
        <n v="8900"/>
        <n v="9000"/>
        <n v="9100"/>
        <n v="14200"/>
        <n v="12500"/>
        <n v="3000"/>
        <n v="10800"/>
        <n v="11000"/>
        <n v="4600"/>
        <n v="5800"/>
        <n v="7500"/>
        <n v="6700"/>
        <n v="5300"/>
        <n v="10700"/>
        <n v="10600"/>
        <n v="3100"/>
        <n v="2800"/>
        <n v="4100"/>
        <n v="2900"/>
        <n v="4200"/>
        <n v="4300"/>
        <n v="6100"/>
        <n v="4800"/>
        <n v="4900"/>
        <n v="4000"/>
        <n v="8500"/>
        <n v="13000"/>
        <n v="2000"/>
        <n v="3300"/>
        <n v="4400"/>
        <n v="6000"/>
        <n v="3200"/>
        <n v="5375"/>
        <m/>
        <n v="5600"/>
        <n v="7200"/>
        <n v="16000"/>
        <n v="3900"/>
        <n v="4480"/>
        <n v="4540"/>
        <n v="13500"/>
        <n v="10900"/>
        <n v="11400"/>
        <n v="3800"/>
        <n v="4350"/>
        <n v="7000"/>
        <n v="8200"/>
        <n v="10100"/>
        <n v="6090"/>
        <n v="4650"/>
        <n v="6800"/>
        <n v="7100"/>
        <n v="5200"/>
        <n v="4370"/>
        <n v="6300"/>
        <n v="9600"/>
        <n v="5248"/>
        <n v="5163"/>
        <n v="10000"/>
        <n v="5413"/>
        <n v="12000"/>
        <n v="3700"/>
        <s v="Báo giá KH sau"/>
        <n v="6400"/>
        <n v="5700"/>
        <n v="15300"/>
        <n v="6470"/>
        <n v="6530"/>
        <n v="7600"/>
        <n v="5770"/>
        <n v="5755"/>
        <n v="5840"/>
        <n v="6010"/>
        <n v="6613"/>
        <n v="6600"/>
        <n v="6528"/>
        <n v="6500"/>
        <n v="5670"/>
        <n v="5925"/>
        <n v="5834"/>
        <n v="5876"/>
        <n v="5255"/>
        <n v="5340"/>
        <n v="5085"/>
        <n v="7300"/>
        <n v="0"/>
        <n v="10200"/>
        <n v="3600"/>
        <n v="11600"/>
        <n v="5100"/>
        <n v="15400"/>
        <n v="5360"/>
        <s v="5.400 chưa bao gồm phí lạnh"/>
        <n v="14600"/>
        <n v="11700"/>
        <n v="7400"/>
        <n v="16200"/>
        <n v="13900"/>
        <n v="11500"/>
        <n v="10300"/>
        <n v="6940"/>
        <n v="4430"/>
        <n v="4230"/>
        <n v="14300"/>
        <s v="6000+ phí kho lạnh"/>
        <s v="8500+Phí kho lạnh"/>
        <n v="6699"/>
        <n v="6871"/>
        <s v="6700+ phí kho lạnh"/>
        <n v="6870"/>
        <n v="6999"/>
        <s v="6500+ phí kho lanh"/>
        <n v="6371"/>
        <n v="6363"/>
        <n v="3914"/>
        <n v="3999"/>
        <s v="3800+ phí kho lạnh"/>
        <n v="5414"/>
        <n v="11900"/>
        <n v="6584"/>
        <n v="6669"/>
        <n v="6754"/>
        <n v="6839"/>
        <n v="6499"/>
        <n v="6171"/>
        <n v="6299"/>
        <n v="6428"/>
        <n v="6955"/>
        <n v="8300"/>
        <n v="6498"/>
        <n v="8400"/>
        <n v="9500"/>
        <n v="7900"/>
        <n v="5270"/>
        <n v="4730"/>
        <n v="2640"/>
        <n v="6618"/>
        <n v="6738"/>
        <n v="6858"/>
        <n v="9200"/>
        <n v="9700"/>
        <n v="5585"/>
        <n v="5648"/>
        <n v="6900"/>
        <n v="6413"/>
        <n v="3920"/>
        <n v="4040"/>
        <n v="7800"/>
        <n v="13600"/>
        <n v="9400"/>
        <n v="5450"/>
        <n v="5350"/>
        <n v="4385"/>
        <s v="7.100+Phí kho lạnh"/>
        <n v="6885"/>
        <n v="8255"/>
        <n v="4160"/>
        <n v="5900"/>
        <n v="5590"/>
        <n v="5090"/>
        <n v="6830"/>
        <n v="6785"/>
        <n v="8063"/>
        <n v="8088"/>
        <n v="5077"/>
        <n v="4970"/>
        <n v="3750"/>
        <n v="4495"/>
        <n v="13800"/>
        <n v="15800"/>
        <n v="12100"/>
        <n v="2750"/>
        <n v="13700"/>
        <n v="12300"/>
        <n v="16500"/>
      </sharedItems>
    </cacheField>
    <cacheField name="Customer Contract Amount_VND" numFmtId="164">
      <sharedItems containsString="0" containsBlank="1" containsNumber="1" containsInteger="1" minValue="0" maxValue="983264700"/>
    </cacheField>
    <cacheField name="Status" numFmtId="15">
      <sharedItems count="5">
        <s v="Done"/>
        <s v="Canceled"/>
        <s v="Pending"/>
        <s v="Inventory"/>
        <s v="In Transit"/>
      </sharedItems>
    </cacheField>
    <cacheField name="Seeding Date_x000a_(Lunar)" numFmtId="15">
      <sharedItems containsDate="1" containsBlank="1" containsMixedTypes="1" minDate="2019-01-09T00:00:00" maxDate="2019-11-26T00:00:00" count="85">
        <d v="2019-02-15T00:00:00"/>
        <d v="2019-04-17T00:00:00"/>
        <d v="2019-09-01T00:00:00"/>
        <d v="2019-05-18T00:00:00"/>
        <d v="2019-06-15T00:00:00"/>
        <d v="2019-03-15T00:00:00"/>
        <d v="2019-01-15T00:00:00"/>
        <d v="2019-02-05T00:00:00"/>
        <d v="2019-03-18T00:00:00"/>
        <d v="2019-05-02T00:00:00"/>
        <s v="29-Feb-19"/>
        <d v="2019-04-29T00:00:00"/>
        <d v="2019-05-29T00:00:00"/>
        <d v="2019-06-29T00:00:00"/>
        <d v="2019-07-29T00:00:00"/>
        <d v="2019-08-29T00:00:00"/>
        <d v="2019-02-07T00:00:00"/>
        <d v="2019-02-28T00:00:00"/>
        <d v="2019-05-30T00:00:00"/>
        <d v="2019-06-01T00:00:00"/>
        <d v="2019-06-25T00:00:00"/>
        <d v="2019-06-17T00:00:00"/>
        <d v="2019-01-23T00:00:00"/>
        <d v="2019-05-20T00:00:00"/>
        <d v="2019-05-13T00:00:00"/>
        <d v="2019-03-10T00:00:00"/>
        <m/>
        <d v="2019-04-10T00:00:00"/>
        <d v="2019-05-05T00:00:00"/>
        <d v="2019-01-16T00:00:00"/>
        <s v="30-Feb-19"/>
        <d v="2019-01-09T00:00:00"/>
        <d v="2019-01-11T00:00:00"/>
        <d v="2019-04-15T00:00:00"/>
        <d v="2019-07-01T00:00:00"/>
        <d v="2019-03-13T00:00:00"/>
        <d v="2019-03-30T00:00:00"/>
        <d v="2019-05-28T00:00:00"/>
        <d v="2019-04-05T00:00:00"/>
        <d v="2019-04-19T00:00:00"/>
        <d v="2019-07-15T00:00:00"/>
        <d v="2019-05-12T00:00:00"/>
        <d v="2019-06-08T00:00:00"/>
        <d v="2019-07-09T00:00:00"/>
        <d v="2019-09-10T00:00:00"/>
        <d v="2019-08-10T00:00:00"/>
        <d v="2019-05-25T00:00:00"/>
        <s v="30-02-2019"/>
        <d v="2019-07-20T00:00:00"/>
        <d v="2019-07-10T00:00:00"/>
        <d v="2019-04-14T00:00:00"/>
        <d v="2019-08-01T00:00:00"/>
        <d v="2019-08-30T00:00:00"/>
        <d v="2019-05-01T00:00:00"/>
        <d v="2019-07-25T00:00:00"/>
        <d v="2019-02-02T00:00:00"/>
        <d v="2019-08-15T00:00:00"/>
        <d v="2019-11-25T00:00:00"/>
        <d v="2019-01-28T00:00:00"/>
        <d v="2019-07-30T00:00:00"/>
        <d v="2019-06-30T00:00:00"/>
        <d v="2019-06-18T00:00:00"/>
        <d v="2019-06-05T00:00:00"/>
        <d v="2019-07-05T00:00:00"/>
        <d v="2019-04-25T00:00:00"/>
        <d v="2019-08-05T00:00:00"/>
        <d v="2019-09-05T00:00:00"/>
        <d v="2019-02-08T00:00:00"/>
        <d v="2019-02-25T00:00:00"/>
        <d v="2019-05-24T00:00:00"/>
        <d v="2019-07-02T00:00:00"/>
        <d v="2019-07-08T00:00:00"/>
        <d v="2019-05-09T00:00:00"/>
        <d v="2019-05-15T00:00:00"/>
        <d v="2019-06-03T00:00:00"/>
        <d v="2019-06-10T00:00:00"/>
        <d v="2019-02-10T00:00:00"/>
        <d v="2019-05-17T00:00:00"/>
        <d v="2019-05-10T00:00:00"/>
        <d v="2019-01-21T00:00:00"/>
        <d v="2019-02-01T00:00:00"/>
        <d v="2019-01-19T00:00:00"/>
        <d v="2019-03-04T00:00:00"/>
        <s v="ÔNG LỘC"/>
        <d v="2019-05-23T00:00:00"/>
      </sharedItems>
    </cacheField>
    <cacheField name="Seeding Date_x000a_(Gregorian)" numFmtId="166">
      <sharedItems containsDate="1" containsBlank="1" containsMixedTypes="1" minDate="2019-02-13T00:00:00" maxDate="2019-12-21T00:00:00"/>
    </cacheField>
    <cacheField name="Estimated Arrival Date" numFmtId="166">
      <sharedItems containsDate="1" containsBlank="1" containsMixedTypes="1" minDate="2019-02-13T00:00:00" maxDate="2019-12-21T00:00:00"/>
    </cacheField>
    <cacheField name="Note" numFmtId="0">
      <sharedItems containsBlank="1"/>
    </cacheField>
    <cacheField name="CONT ID" numFmtId="15">
      <sharedItems containsBlank="1"/>
    </cacheField>
    <cacheField name="Date Arrived" numFmtId="15">
      <sharedItems containsNonDate="0" containsDate="1" containsString="0" containsBlank="1" minDate="2019-03-17T00:00:00" maxDate="2019-04-20T00:00:00"/>
    </cacheField>
    <cacheField name="Deposit" numFmtId="0">
      <sharedItems containsBlank="1"/>
    </cacheField>
    <cacheField name="Date #1" numFmtId="0">
      <sharedItems containsNonDate="0" containsDate="1" containsString="0" containsBlank="1" minDate="2019-02-13T00:00:00" maxDate="2019-06-25T00:00:00"/>
    </cacheField>
    <cacheField name="Delivery #1" numFmtId="0">
      <sharedItems containsBlank="1" containsMixedTypes="1" containsNumber="1" containsInteger="1" minValue="0" maxValue="154650"/>
    </cacheField>
    <cacheField name="Date #2" numFmtId="0">
      <sharedItems containsNonDate="0" containsDate="1" containsString="0" containsBlank="1" minDate="2019-02-23T00:00:00" maxDate="2019-06-25T00:00:00"/>
    </cacheField>
    <cacheField name="Delivery #2" numFmtId="0">
      <sharedItems containsBlank="1" containsMixedTypes="1" containsNumber="1" containsInteger="1" minValue="200" maxValue="65200"/>
    </cacheField>
    <cacheField name="Date #3" numFmtId="0">
      <sharedItems containsDate="1" containsBlank="1" containsMixedTypes="1" minDate="2019-03-18T00:00:00" maxDate="2019-06-24T00:00:00"/>
    </cacheField>
    <cacheField name="Delivery #3" numFmtId="0">
      <sharedItems containsBlank="1" containsMixedTypes="1" containsNumber="1" containsInteger="1" minValue="275" maxValue="39200"/>
    </cacheField>
    <cacheField name="Date #4" numFmtId="171">
      <sharedItems containsNonDate="0" containsDate="1" containsString="0" containsBlank="1" minDate="2019-06-18T00:00:00" maxDate="2019-06-25T00:00:00"/>
    </cacheField>
    <cacheField name="Delivery #4" numFmtId="0">
      <sharedItems containsString="0" containsBlank="1" containsNumber="1" containsInteger="1" minValue="1925" maxValue="6000"/>
    </cacheField>
    <cacheField name="Purchased Qty" numFmtId="164">
      <sharedItems containsSemiMixedTypes="0" containsString="0" containsNumber="1" containsInteger="1" minValue="0" maxValue="154650"/>
    </cacheField>
    <cacheField name="Remaining Qty" numFmtId="164">
      <sharedItems containsSemiMixedTypes="0" containsString="0" containsNumber="1" containsInteger="1" minValue="-2100" maxValue="100000"/>
    </cacheField>
    <cacheField name="Remaining amount" numFmtId="164">
      <sharedItems containsMixedTypes="1" containsNumber="1" containsInteger="1" minValue="-9660000" maxValue="636000000"/>
    </cacheField>
    <cacheField name="Lưu ý" numFmtId="0">
      <sharedItems containsDate="1" containsBlank="1" containsMixedTypes="1" minDate="2019-12-10T00:00:00" maxDate="2020-12-23T00:00:00"/>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r:id="rId1" refreshedBy="Admin" refreshedDate="43642.593207060185" createdVersion="6" refreshedVersion="6" minRefreshableVersion="3" recordCount="1899">
  <cacheSource type="worksheet">
    <worksheetSource ref="A1:AK1048576" sheet="Customer Contract 2019"/>
  </cacheSource>
  <cacheFields count="36">
    <cacheField name="Customer Contract ID" numFmtId="0">
      <sharedItems containsBlank="1" containsMixedTypes="1" containsNumber="1" containsInteger="1" minValue="3" maxValue="3" count="282">
        <s v="122A/2019"/>
        <s v="150A/2019"/>
        <s v="192A/2019"/>
        <s v="193A/2019"/>
        <s v="45B/2019"/>
        <s v="165B/2019"/>
        <s v="253/2019"/>
        <s v="42B/2019"/>
        <s v="170B/2019"/>
        <s v="50B/2019"/>
        <s v="84A/2019"/>
        <s v="160A/2019"/>
        <s v="159A/2019"/>
        <s v="14A/2019"/>
        <s v="125A/2019"/>
        <s v="186A/2019"/>
        <s v="16B/2019"/>
        <s v="224A/2019"/>
        <s v="138B/2019"/>
        <s v="96B/2019"/>
        <s v="162B/2019"/>
        <s v="164A/2019"/>
        <s v="03A/2019"/>
        <s v="173A/2019"/>
        <s v="131A/2019"/>
        <s v="152A/2019"/>
        <s v="129A/2019"/>
        <s v="183A/2019"/>
        <s v="130A/2019"/>
        <s v="147A/2019"/>
        <s v="120B/2019"/>
        <s v="15B/2019"/>
        <s v="141B/2019"/>
        <s v="57A/2019"/>
        <s v="56A/2019"/>
        <s v="72A/2019"/>
        <s v="8A/2019"/>
        <s v="199A/2019"/>
        <s v="197A/2019"/>
        <s v="198A/2019"/>
        <s v="133A/2019"/>
        <s v="33A/2019"/>
        <s v="63B/2019"/>
        <s v="151B/2019"/>
        <s v="150B/2019"/>
        <s v="206A/2019"/>
        <s v="185B/2019"/>
        <s v="229/2019"/>
        <s v="61B/2019"/>
        <s v="128A/2019"/>
        <s v="179B/2019"/>
        <s v="134A/2019"/>
        <s v="18A/2019"/>
        <s v="135A/2019"/>
        <s v="182A/2019"/>
        <s v="73B/2019"/>
        <s v="146B/2019"/>
        <s v="203A/2019"/>
        <s v="240/2019"/>
        <s v="215A/2019"/>
        <s v="69A/2019"/>
        <s v="167A/2019"/>
        <s v="131B/2019"/>
        <s v="64A/2019"/>
        <s v="66B/2019"/>
        <s v="97B/2019"/>
        <s v="X"/>
        <s v="151A/2019"/>
        <s v="256/2019"/>
        <s v="104A/2019"/>
        <s v="153A/2019"/>
        <s v="30A/2019"/>
        <s v="114A/2019"/>
        <s v="185A/2019"/>
        <s v="223A/2019"/>
        <s v="91B/2019"/>
        <s v="155B/2019"/>
        <s v="154B/2019"/>
        <s v="182B/2019"/>
        <s v="227A/2019"/>
        <s v="237/2019"/>
        <s v="100A/2019"/>
        <s v="255/2019"/>
        <s v="02A/2019"/>
        <s v="183B/2019"/>
        <s v="155A/2019"/>
        <s v="28A/2019"/>
        <s v="236/2019"/>
        <s v="238/2019"/>
        <s v="49A/2019"/>
        <s v="190A/2019"/>
        <s v="231/2019"/>
        <s v="245/2019"/>
        <s v="88A/2019"/>
        <s v="137A/2019"/>
        <s v="172B/2019"/>
        <s v="171B/2019"/>
        <s v="71A/2019"/>
        <s v="168A/2019"/>
        <s v="123A/2019"/>
        <s v="165A/2019"/>
        <s v="191A/2019"/>
        <s v="202A/2019"/>
        <s v="225A/2019"/>
        <s v="176B/2019"/>
        <s v="144B/2019"/>
        <s v="232/2019"/>
        <s v="41A/2019"/>
        <s v="169A/2019"/>
        <s v="92B/2019"/>
        <s v="154A/2019"/>
        <s v="254/2019"/>
        <s v="70A/2019"/>
        <s v="162A/2019"/>
        <s v="163A/2019"/>
        <s v="74A/2019"/>
        <s v="76A/2019"/>
        <s v="166B/2019"/>
        <s v="167B/2019"/>
        <s v="137B/2019"/>
        <s v="44B/2019"/>
        <s v="210A/2019"/>
        <s v="212A/2019"/>
        <s v="36A/2019"/>
        <s v="136A/2019"/>
        <s v="189A/2019"/>
        <s v="7A/2019"/>
        <s v="235/2019"/>
        <s v="178A/2019"/>
        <s v="119A/2019"/>
        <s v="172A/2019"/>
        <s v="19A/2019"/>
        <s v="180A/2019"/>
        <s v="148A/2019"/>
        <s v="83B/2019"/>
        <s v="121B/2019"/>
        <s v="181B/2019"/>
        <s v="153B/2019"/>
        <s v="132A/2019"/>
        <s v="79A/2019"/>
        <s v="194A/2019"/>
        <s v="38A/2019"/>
        <s v="204A/2019"/>
        <s v="244/2019"/>
        <s v="176A/2019"/>
        <s v="177A/2019"/>
        <s v="80A/2019"/>
        <s v="31A/2019"/>
        <s v="138A/2019"/>
        <s v="75A/2019"/>
        <s v="35A/2019"/>
        <s v="141A/2019"/>
        <s v="55B/2019"/>
        <s v="78B/2019"/>
        <s v="257/2019"/>
        <s v="46B/2019"/>
        <s v="12B/2019"/>
        <s v="126B/2019"/>
        <s v="178B/2019"/>
        <s v="98A/2019"/>
        <s v="95A/2019"/>
        <s v="63A/2019"/>
        <s v="219A/2019"/>
        <s v="222A/2019"/>
        <s v="106B/2019"/>
        <s v="249/2018"/>
        <s v="241/2019"/>
        <s v="120A/2019"/>
        <s v="188A/2019"/>
        <s v="127B/2019"/>
        <s v="159B/2019"/>
        <s v="228A/2019"/>
        <s v="23B/2019"/>
        <s v="110B/2019"/>
        <s v="163B/2019"/>
        <s v="111B/2019"/>
        <s v="121A/2019"/>
        <s v="124A/2019"/>
        <s v="230/2019"/>
        <s v="200A/2019"/>
        <s v="181A/2019"/>
        <s v="213A/2019"/>
        <s v="22B/2019"/>
        <s v="160B/2019"/>
        <s v="230A/2019"/>
        <s v="34B/2019"/>
        <s v="134B/2019"/>
        <s v="135B/2019"/>
        <s v="67A/2019"/>
        <s v="239/2019"/>
        <s v="37B/2019"/>
        <s v="175B/2019"/>
        <s v="246/2019"/>
        <s v="251/2019"/>
        <s v="94A/2019"/>
        <s v="214A/2019"/>
        <s v="243/2019"/>
        <s v="108B/2019"/>
        <s v="226A/2019"/>
        <s v="184A/2019"/>
        <s v="99A/2019"/>
        <s v="101A/2019"/>
        <s v="201A/2019"/>
        <s v="184B/2019"/>
        <s v="65B/2019"/>
        <s v="180B/2019"/>
        <s v="86B/2019"/>
        <s v="149B/2019"/>
        <s v="152B/2019"/>
        <s v="39B/2019"/>
        <s v="174B/2019"/>
        <s v="161A/2018"/>
        <s v="108A/2019"/>
        <s v="48A/2019"/>
        <s v="126A/2019"/>
        <s v="102A/2019"/>
        <s v="59A/2019"/>
        <s v="103A/2019"/>
        <s v="149A/2019"/>
        <s v="60A/2019"/>
        <s v="22A/2019"/>
        <s v="61A/2019"/>
        <s v="187A/2019"/>
        <s v="21B/2019"/>
        <s v="158B/2019"/>
        <s v="173B/2019"/>
        <s v="133B/2019"/>
        <s v="47B/2019"/>
        <s v="248/2019"/>
        <s v="04A/2019"/>
        <s v="247/2019"/>
        <s v="142A/2019"/>
        <s v="174A/2019"/>
        <s v="90A/2019"/>
        <s v="10B/2019"/>
        <s v="148B/2019"/>
        <m/>
        <s v="216A/2019"/>
        <s v="170A/2019"/>
        <s v="4B/2019"/>
        <s v="156B/2019"/>
        <s v="196A/2019"/>
        <s v="195A/2019"/>
        <s v="109A/2019"/>
        <s v="250/2019"/>
        <s v="233/2019"/>
        <s v="93A/2019"/>
        <s v="52B/2019"/>
        <s v="217A/2019"/>
        <s v="220A/2019"/>
        <s v="43A/2019"/>
        <s v="143B/2019"/>
        <s v="13B/2019"/>
        <s v="157B/2019"/>
        <s v="77A/2019"/>
        <s v="207A/2019"/>
        <s v="209A/2019"/>
        <s v="81A/2019"/>
        <s v="211A/2019"/>
        <s v="242/2019"/>
        <s v="234/2019"/>
        <s v="54A/2019"/>
        <s v="53A/2019"/>
        <s v="156A/2019"/>
        <s v="17A/2019"/>
        <s v="127A2019"/>
        <s v="147B/2019"/>
        <s v="130B/2019"/>
        <s v="11B/2019"/>
        <s v="107A/2019"/>
        <s v="205A/2019"/>
        <s v="221A/2019"/>
        <s v="218A/2019"/>
        <s v="32A/2019"/>
        <s v="51A/2019"/>
        <s v="164B/2019"/>
        <s v="208A/2019"/>
        <s v="62A/2019"/>
        <s v="252/2019"/>
        <s v="68A/2019"/>
        <s v="171A/2019"/>
        <n v="3" u="1"/>
      </sharedItems>
    </cacheField>
    <cacheField name="Effective date" numFmtId="0">
      <sharedItems containsNonDate="0" containsDate="1" containsString="0" containsBlank="1" minDate="2018-08-24T00:00:00" maxDate="2019-12-22T00:00:00"/>
    </cacheField>
    <cacheField name="In Charge" numFmtId="0">
      <sharedItems containsBlank="1"/>
    </cacheField>
    <cacheField name="Customer code" numFmtId="0">
      <sharedItems containsBlank="1" count="164">
        <s v="ML01"/>
        <s v="DN01"/>
        <s v="MT01"/>
        <s v="PKL01"/>
        <s v="PV01"/>
        <s v="QH06"/>
        <s v="CL01"/>
        <s v="VT19"/>
        <s v="VK02"/>
        <s v="MP05"/>
        <s v="TG01"/>
        <s v="TH13"/>
        <s v="DT03"/>
        <s v="TD04"/>
        <s v="VT01"/>
        <s v="NT02"/>
        <s v="VC02"/>
        <s v="VK03"/>
        <s v="VT10"/>
        <s v="VT09"/>
        <s v="HN01"/>
        <s v="TD03"/>
        <s v="BH01"/>
        <s v="VH07"/>
        <s v="PD01"/>
        <s v="DT01"/>
        <s v="MH01"/>
        <s v="QH01"/>
        <s v="XL01"/>
        <s v="HL03"/>
        <s v="MP02"/>
        <s v="HS01"/>
        <s v="PU01"/>
        <s v="TT03"/>
        <s v="XK01"/>
        <s v="HT04"/>
        <s v="VD03"/>
        <s v="VK01"/>
        <s v="VX02"/>
        <s v="HD02"/>
        <s v="MN01"/>
        <s v="TH02"/>
        <s v="VH05"/>
        <s v="LB01"/>
        <s v="DH01"/>
        <s v="LH01"/>
        <s v="HN06"/>
        <s v="NH03"/>
        <s v="TA05"/>
        <s v="TT16"/>
        <s v="DT06"/>
        <s v="HT05"/>
        <s v="TS05"/>
        <s v="TH15"/>
        <s v="TA01"/>
        <s v="TV06"/>
        <s v="VD07"/>
        <s v="VS06"/>
        <s v="VT17"/>
        <s v="VH06"/>
        <s v="VV02"/>
        <s v="TH14"/>
        <s v="VD04"/>
        <s v="AT05"/>
        <s v="NB01"/>
        <s v="CT02"/>
        <s v="CD01"/>
        <s v="CH01"/>
        <s v="CL03"/>
        <s v="DT02"/>
        <s v="LC01"/>
        <s v="HC01"/>
        <s v="HC03"/>
        <s v="HT01"/>
        <s v="HT03"/>
        <s v="NP01"/>
        <s v="PA01"/>
        <s v="QT01"/>
        <s v="QT03"/>
        <s v="NT08"/>
        <s v="TB05"/>
        <s v="TT04"/>
        <s v="TB08"/>
        <s v="CT01"/>
        <s v="TH07"/>
        <s v="TH17"/>
        <s v="KA01"/>
        <s v="TL03"/>
        <s v="TM01"/>
        <s v="NH02"/>
        <s v="TO02"/>
        <s v="TO01"/>
        <s v="TH03"/>
        <s v="TC01"/>
        <s v="TT19"/>
        <s v="TH16"/>
        <s v="TT15"/>
        <s v="TU01"/>
        <s v="NT11"/>
        <s v="TV05"/>
        <s v="VC01"/>
        <s v="VD02"/>
        <s v="VN08"/>
        <s v="VS01"/>
        <s v="VT13"/>
        <s v="VT21"/>
        <s v="CT04"/>
        <s v="MT05"/>
        <s v="NT10"/>
        <s v="NV01"/>
        <s v="TH11"/>
        <s v="MH02"/>
        <s v="VL01"/>
        <s v="VM03"/>
        <s v="VT11"/>
        <s v="DM01"/>
        <s v="NH04"/>
        <s v="NL01"/>
        <s v="TH10"/>
        <s v="TH01"/>
        <s v="TN02"/>
        <s v="VC03"/>
        <s v="VQ02"/>
        <s v="VT04"/>
        <s v="TB02"/>
        <m/>
        <s v="HY01"/>
        <s v="TH12"/>
        <s v="KK01"/>
        <s v="MP04"/>
        <s v="MS02"/>
        <s v="NH05"/>
        <s v="LG01"/>
        <s v="PC01"/>
        <s v="PH01"/>
        <s v="TA04"/>
        <s v="BL02"/>
        <s v="KN01"/>
        <s v="VD05"/>
        <s v="VL04"/>
        <s v="VD06"/>
        <s v="VK04"/>
        <s v="PL01"/>
        <s v="CV"/>
        <s v="DP02"/>
        <s v="DD01"/>
        <s v="DT05"/>
        <s v="TD05"/>
        <s v="TP01"/>
        <s v="VQ01"/>
        <s v="VT18"/>
        <s v="DC03"/>
        <s v="HT02"/>
        <s v="TU05"/>
        <s v="TU02" u="1"/>
        <s v="TT17" u="1"/>
        <s v="HL04" u="1"/>
        <s v="TS01" u="1"/>
        <s v="VV03" u="1"/>
        <s v="HN02" u="1"/>
        <s v="TN01" u="1"/>
        <s v="DP03" u="1"/>
        <s v="TH09" u="1"/>
        <s v="ND02" u="1"/>
      </sharedItems>
    </cacheField>
    <cacheField name="Customer Name" numFmtId="0">
      <sharedItems containsBlank="1" count="162">
        <s v="CAO THỊ MAI LOAN"/>
        <s v="CHU ĐỨC NGỌC"/>
        <s v="CTY NGỌC MAI TRANG"/>
        <s v="CTY TNHH PHÚC KHANG LỘC"/>
        <s v="ĐẶNG PHƯỚC VINH"/>
        <s v="ĐẶNG QUANG HÙNG"/>
        <s v="ĐẶNG TRẦN CÔNG LỘC"/>
        <s v="ĐẶNG VĂN THANH"/>
        <s v="ĐẶNG VÕ VĂN KHANH"/>
        <s v="ĐÀO THỊ GẤM"/>
        <s v="ĐÀO THỊ HẰNG"/>
        <s v="ĐINH DUY TIÊN"/>
        <s v="ĐINH DUY TIÊN(NGA)"/>
        <s v="ĐINH THỊ ĐÀO"/>
        <s v="ĐINH VĂN THIỆN"/>
        <s v="ĐỖ THỊ NGUYÊN TRÂM"/>
        <s v="ĐỖ VĂN CƯỜNG"/>
        <s v="ĐỖ VĂN KHÁNH"/>
        <s v="ĐỖ VĂN TIẾN"/>
        <s v="ĐỖ VĂN TRÀ"/>
        <s v="ĐỖ VĂN TRÀ ( MINH ANH)"/>
        <s v="ĐỖ VĂN TRÀ ( NA)"/>
        <s v="DƯƠNG HIẾU NGHĨA"/>
        <s v="DƯƠNG TẤN DŨNG"/>
        <s v="DƯƠNG THỊ BÍCH HUYỀN"/>
        <s v="DƯƠNG VĂN HƠN"/>
        <s v="HỒ ĐẮC PHƯƠNG DUNG"/>
        <s v="HỒ ĐỨC TOẠI"/>
        <s v="HỒ MINH HÙNG"/>
        <s v="HỒ QUỐC HƯNG"/>
        <s v="HỒ XUÂN LỘC"/>
        <s v="HOÀNG LỢI"/>
        <s v="HOÀNG NGUYỄN MỸ PHƯƠNG"/>
        <s v="HOÀNG SƠN"/>
        <s v="HOÀNG THỊ PHƯƠNG UYÊN"/>
        <s v="HOÀNG THỊ TUYỀN"/>
        <s v="HOÀNG THỊ XUÂN KHÁNH"/>
        <s v="HOÀNG TUYỀN"/>
        <s v="HOÀNG VĂN DIÊU"/>
        <s v="HOÀNG VĂN KHOA"/>
        <s v="HOÀNG VĂN XUÂN"/>
        <s v="HUỲNH DŨNG"/>
        <s v="HUỲNH MINH NGHĨA"/>
        <s v="HUỲNH THỊ HƯƠNG"/>
        <s v="HUỲNH VĂN HOÀNG"/>
        <s v="LÊ BÌNH"/>
        <s v="LÊ DUY HÙNG"/>
        <s v="LÊ HẢI"/>
        <s v="LÊ HỒNG NHÂN"/>
        <s v="LÊ NGỌC HUẤN"/>
        <s v="LÊ THANH AN"/>
        <s v="LÊ THÀNH THÔNG"/>
        <s v="LÊ THỊ DIỄM THÚY"/>
        <s v="LÊ THỊ HỒNG TÂM"/>
        <s v="LÊ THỊ SƠN"/>
        <s v="LÊ THỊ THANH HUYỀN"/>
        <s v="LÊ THỊ TUYẾT ANH"/>
        <s v="LÊ THỊ VÂN"/>
        <s v="LÊ VĂN DIỆP"/>
        <s v="LÊ VĂN SÁU"/>
        <s v="LÊ VĂN THÀNH"/>
        <s v="LƯƠNG VĂN HƯNG"/>
        <s v="LƯƠNG VĂN VIỆT"/>
        <s v="MAI THỊ HẰNG"/>
        <s v="NGÔ VĂN ĐẠT"/>
        <s v="NGUYỄN ANH TÚ"/>
        <s v="NGUYỄN BỒI"/>
        <s v="NGUYỄN CHUNG TUYÊN"/>
        <s v="NGUYỄN CÔNG ĐẠT"/>
        <s v="NGUYỄN CÔNG HÒA"/>
        <s v="NGUYỄN CÔNG LÂM"/>
        <s v="NGUYỄN ĐÌNH TÁM"/>
        <s v="NGUYỄN HOÀNG LINH CHI"/>
        <s v="NGUYỄN HÙNG CHÂU"/>
        <s v="NGUYỄN HỮU CƯƠNG"/>
        <s v="NGUYỄN HỮU TRÍ"/>
        <s v="NGUYỄN HỮU TRỊ"/>
        <s v="NGUYỄN PHÚC"/>
        <s v="NGUYỄN PHÚC AN"/>
        <s v="NGUYỄN QUANG TUẤN"/>
        <s v="NGUYỄN QUỐC THÁI"/>
        <s v="NGUYỄN THẮNG"/>
        <s v="NGUYỄN THANH BÌNH"/>
        <s v="NGUYỄN THANH TÂN"/>
        <s v="NGUYỄN THỊ BIẾT"/>
        <s v="NGUYỄN THỊ CẨM THÚY"/>
        <s v="NGUYỄN THỊ HỒNG"/>
        <s v="NGUYỄN THỊ HUẾ"/>
        <s v="NGUYỄN THỊ KIM AN"/>
        <s v="NGUYỄN THỊ LAN"/>
        <s v="NGUYỄN THỊ MẾN"/>
        <s v="NGUYỄN THỊ NHƯ HIẾU"/>
        <s v="NGUYỄN THỊ OANH"/>
        <s v="NGUYỄN THỊ THÁI HÒA"/>
        <s v="NGUYỄN THỊ THANH CHI"/>
        <s v="NGUYỄN THỊ THU"/>
        <s v="NGUYỄN THỊ THU HÒA"/>
        <s v="NGUYỄN THỊ THỦY"/>
        <s v="NGUYỄN THỊ ÚT"/>
        <s v="NGUYỄN THƠM"/>
        <s v="NGUYỄN TRƯỜNG VY"/>
        <s v="NGUYỄN VĂN CƯƠNG"/>
        <s v="NGUYỄN VĂN ĐƯƠNG"/>
        <s v="NGUYỄN VĂN NGUYÊN"/>
        <s v="NGUYỄN VĂN SỸ"/>
        <s v="NGUYỄN VĂN TÍN"/>
        <s v="NGUYỄN VĂN TUẤN"/>
        <s v="PHẠM CÔNG TUÂN"/>
        <s v="PHẠM MINH PHỤNG"/>
        <s v="PHẠM MINH THẠNH"/>
        <s v="PHẠM NGỌC TRAI"/>
        <s v="PHẠM NGỌC VŨ"/>
        <s v="PHẠM THỊ HẠNH"/>
        <s v="PHẠM THỊ MỸ HẠNH"/>
        <s v="PHẠM VĂN LỢI"/>
        <s v="PHẠM VĂN MINH"/>
        <s v="PHẠM VĂN THỦY"/>
        <s v="PHAN ĐỨC MINH"/>
        <s v="PHAN NGỌC HÙNG"/>
        <s v="PHAN NGUYỄN NGỌC HÙNG"/>
        <s v="PHAN NGỌC LỄ"/>
        <s v="PHAN THỊ HOA"/>
        <s v="PHAN THỊ HUỆ"/>
        <s v="PHAN THỊ TUYẾT NHUNG"/>
        <s v="PHAN VĂN CHÂU"/>
        <s v="PHAN VĂN QUANG"/>
        <s v="PHAN VĂN THÀNH"/>
        <s v="QUAN THU BÌNH"/>
        <s v="STOCK 18/5AL"/>
        <s v="STOCK 18/6AL"/>
        <s v="STOCK 18/6AL/NGUYỄN HỮU CƯƠNG"/>
        <s v="STOCK 5/5AL"/>
        <s v="STOCK 26/4AL"/>
        <s v="THÁI NGUYỄN HOÀNG YẾN"/>
        <s v="TRẦN HƯNG"/>
        <s v="TRẦN KIM KHIÊM"/>
        <s v="TRẦN MINH PHỤNG"/>
        <s v="TRẦN MINH SƠN"/>
        <s v="TRẦN NGỌC HỞI"/>
        <s v="TRẦN PHÚ CƯ"/>
        <s v="TRẦN PHÚ HOÀNG"/>
        <s v="TRẦN THỊ ÁNH"/>
        <s v="TRẦN THỊ BÍCH LỢI"/>
        <s v="TRẦN THỊ KIM NGỌC"/>
        <s v="TRẦN VĂN ĐỨC"/>
        <s v="TRẦN VĂN LỘC"/>
        <s v="TRẦN VIẾT DUY"/>
        <s v="TRẦN VIỆT KIỀU"/>
        <s v="TRƯƠNG CÔNG PHÚC LONG"/>
        <s v="TRƯƠNG CÔNG VIÊN"/>
        <s v="VÕ ĐĂNG PHƯỚC"/>
        <s v="VÕ ĐÌNH DŨNG"/>
        <s v="VÕ ĐÌNH TRAI"/>
        <s v="VÕ THỊ DUNG"/>
        <s v="VÕ THỊ PHƯƠNG"/>
        <s v="VÕ VĂN QUÝ"/>
        <s v="VÕ VĂN TRÍ"/>
        <s v="VŨ ĐÌNH CHIẾN"/>
        <s v="VŨ THỊ HUYỀN THƯƠNG"/>
        <s v="VŨ THỊ ÚT"/>
        <m/>
        <s v="PHẠM NGỌC DƯỠNG" u="1"/>
      </sharedItems>
    </cacheField>
    <cacheField name="Item ID" numFmtId="0">
      <sharedItems containsBlank="1" count="240">
        <s v="YELL_12.14_400_NL2018"/>
        <s v="TARR_18.20_150_NL2018"/>
        <s v="SERA_14.16_300_NL2018"/>
        <s v="ROBI_16.18_200_NL2018"/>
        <s v="ROBI_20.22_125_NL2018"/>
        <s v="ROBI_18.20_150_NL2018"/>
        <s v="CONC_16.18_200_NL2018"/>
        <s v="CONC_20.22_125_NL2018"/>
        <s v="CONC_18.20_150_NL2018"/>
        <s v="ARVA_16.18_200_NL2018"/>
        <s v="TARR_16.18_200_NL2018"/>
        <s v="PROF_16.18_200_NL2018"/>
        <s v="PROF_14.16_300_NL2018"/>
        <s v="BACA_15.16_300_NL2018"/>
        <s v="CONC_24.26_80_NL2018"/>
        <s v="STEN_16.18_200_NL2018"/>
        <s v="STEN_18.20_150_NL2018"/>
        <s v="THAL_RL_12.14_400_NL2018"/>
        <s v="TATS_RL_12.14_350_NL2018"/>
        <s v="BACA_18.20_150_NL2018"/>
        <s v="PROF_22.24_100_NL2018"/>
        <s v="CONC_22.24_100_NL2018"/>
        <s v="ROBI_22.24_100_NL2018"/>
        <s v="DALI_14.16_300_NL2018"/>
        <s v="BACA_20.22_125_NL2018"/>
        <s v="SENS_16.18_200_NL2018"/>
        <s v="MALD_16.18_200_NL2018"/>
        <s v="LARG_16.18_200_NL2018"/>
        <s v="INDI_16.18_200_NL2018"/>
        <s v="YELL_DI_12.14_400_NL2018"/>
        <s v="YELL_DI_18.20_150_NL2018"/>
        <s v="TEBA_12.14_400_NL2018"/>
        <s v="TEBA_14.16_300_NL2018"/>
        <s v="TEBA_16.18_200_NL2018"/>
        <s v="TARR_14.16_300_NL2018"/>
        <s v="TAMP_12.14_400_NL2018"/>
        <s v="SUND_12.14_400_NL2018"/>
        <s v="SHAD_14.16_300_NL2018"/>
        <s v="PROF_20.22_125_NL2018"/>
        <s v="PAVI_12.14_400_NL2018"/>
        <s v="PAVI_14.16_300_NL2018"/>
        <s v="PAVI_16.18_200_NL2018"/>
        <s v="NELL_12.14_400_NL2018"/>
        <s v="MARE_16.18_200_NL2018"/>
        <s v="GENE_12.14_400_NL2018"/>
        <s v="GENE_14.16_300_NL2018"/>
        <s v="FELI_15.16_300_NL2018"/>
        <s v="EREM_14.16_300_NL2018"/>
        <s v="COMP_16.18_200_NL2018"/>
        <s v="BEAU_16.18_200_NL2018"/>
        <s v="AMAT_12.14_400_NL2018"/>
        <s v="AMAT_14.16_300_NL2018"/>
        <s v="AMAT_14.16_275_NL2018"/>
        <s v="ALUS_14.16_300_NL2018"/>
        <s v="YELL_16.18_200_NL2018"/>
        <s v="ROBI_22.24_100_NZ2019"/>
        <s v="NELL_18.20_150_NL2018"/>
        <s v="MANI_24+_75_NL2018"/>
        <s v="NASH_14.16_300_NL2018"/>
        <s v="DALI_20.22_125_NL2018"/>
        <s v="BACA_15.16_250_NL2018"/>
        <s v="ARVA_18.20_150_NL2018"/>
        <s v="MANI_20.22_125_NL2018"/>
        <s v="TARR_20.22_125_NL2018"/>
        <s v="MANI_22.24_100_NL2018"/>
        <s v="LARG_22.24_100_NL2018"/>
        <s v="TOUC_13.14_350_NL2018"/>
        <s v="TOUC_14.16_300_NL2018"/>
        <s v="MONT_16.18_200_NL2018"/>
        <s v="MALD_14.16_300_NL2018"/>
        <s v="MALD_18.20_150_NL2018"/>
        <s v="SERA_20.22_125_NL2018"/>
        <s v="NATA_RL_12.14_400_NL2018"/>
        <s v="YELL_DN_16.18_200_NL2018"/>
        <s v="YELL_14.16_300_NL2018"/>
        <s v="MANI_16.18_200_NL2018"/>
        <s v="INDI_18.20_150_NL2018"/>
        <s v="BACA_16.18_200_NL2018"/>
        <s v="PROF_14.16_275_NL2018"/>
        <s v="MANI_14.16_300_NL2018"/>
        <s v="INDI_14.16_300_NL2018"/>
        <s v="CONC_20.22_125_NZ2019"/>
        <s v="CONC_14.16_250_NL2018"/>
        <s v="SERA_16.18_200_NL2018"/>
        <s v="PROF_20.22_125_CL2019"/>
        <s v="PROF_18.20_150_NL2018"/>
        <s v="ROBI_20.22_125_NZ2019"/>
        <s v="ROBI_24+_75_NL2018"/>
        <s v="MALD_15.16_300_NL2018"/>
        <s v="LAKE_16.18_200_NL2018"/>
        <s v="ZAMB_16.18_200_NL2018"/>
        <s v="ZAMB_18.20_150_NL2018"/>
        <s v="SORB_16.18_200_NL2018"/>
        <s v="ROBI_14.16_300_NL2018"/>
        <s v="FERR_13.14_400_NL2018"/>
        <s v="DIGA_16.18_200_NL2018"/>
        <s v="BACA_22.24_85_NL2018"/>
        <s v="SEDO_20.22_125_NL2018"/>
        <s v="MANI_PR_16.18_200_NL2018"/>
        <s v="SERA_18.20_150_NL2018"/>
        <s v="FELI_16.18_200_NL2018"/>
        <s v="MANI_24.26_80_NL2018"/>
        <s v="THAL_RL_14.16_300_NL2018"/>
        <s v="LODI_16.18_200_NL2018"/>
        <s v="CONC_24+_75_NL2018"/>
        <s v="REDD_18.20_150_NL2018"/>
        <s v="MANI_18.20_150_NL2018"/>
        <s v="PARA_14.16_275_NL2018"/>
        <s v="TRES_16.18_200_NL2018"/>
        <s v="SORB_18.20_150_NL2018"/>
        <s v="AMIG_14.16_300_NL2018"/>
        <s v="AMIG_16.18_200_NL2018"/>
        <s v="FELI_15.16_250_NL2018"/>
        <s v="TATS_RL_14.16_300_NL2018"/>
        <s v="REDD_16.18_200_NL2018"/>
        <s v="PATR_RL_12.14_400_NL2018"/>
        <s v="LAKE_14.16_300_NL2018"/>
        <s v="DALI_16.18_200_NL2018"/>
        <s v="DALI_18.20_150_NL2018"/>
        <s v="CARB_16.18_200_NL2018"/>
        <s v="BORR_18.20_150_NL2018"/>
        <s v="CARB_18.20_150_NL2018"/>
        <s v="YELL_18.20_150_NL2018"/>
        <s v="HYDE_14.16_300_NL2018"/>
        <s v="ROBI_18.20_150_NZ2019"/>
        <s v="MANI_PR_20.22_125_NL2018"/>
        <s v="TARR_18.20_150_CL2019"/>
        <s v="PARA_16.18_175_NL2018"/>
        <s v="BACA_20.22_125_CL2019"/>
        <s v="AMAR_16.18_200_NL2018"/>
        <s v="LODI_18.20_150_NL2018"/>
        <s v="LARG_20.22_125_NL2018"/>
        <s v="COMP_20.22_125_CL2019"/>
        <s v="BACA_22.24_100_NL2018"/>
        <s v="PALA_16.18_200_NL2018"/>
        <s v="CIAR_RL_12.14_400_NL2018"/>
        <s v="BACA_15.16_275_NL2018"/>
        <s v="ROBI_24.26_80_NL2018"/>
        <s v="PARA_14.16_300_NL2018"/>
        <s v="TREN_POT_10.12_500_NL2018"/>
        <s v="TANG_POT_11.12_500_NL2018"/>
        <s v="SUGA_POT_10.12_500_NL2018"/>
        <s v="SORO_POT_10.12_500_NL2018"/>
        <s v="SORO_POT_12.14_400_NL2018"/>
        <s v="SENS_18.20_150_NL2018"/>
        <s v="PARA_18.20_150_NL2018"/>
        <s v="MAYT_18.20_150_NL2018"/>
        <s v="MARE_18.20_150_NL2018"/>
        <s v="MAJE_POT_10.12_500_NL2018"/>
        <s v="ISLA_POT_11.12_400_NL2018"/>
        <s v="GOLD_POT_10.12_500_NL2018"/>
        <s v="GOLD_POT_12.14_400_NL2018"/>
        <s v="EREM_16.18_200_NL2018"/>
        <s v="DYNA_16.18_200_NL2018"/>
        <s v="CONF_POT_12.14_400_NL2018"/>
        <s v="CLAS_POT_10.12_500_NL2018"/>
        <s v="CLAS_POT_12.14_400_NL2018"/>
        <s v="BUZZ_POT_10.12_500_NL2018"/>
        <s v="OUTB_14.16_300_NL2018"/>
        <s v="CONC_18.20_150_NZ2019"/>
        <s v="ZIVA_RL_POT_12.14_400_NL2018"/>
        <s v="ZIVA_RL_POT_14.16_300_NL2018"/>
        <s v="PROF_18.20_150_CL2019"/>
        <s v="TARR_16.18_200_CL2019"/>
        <s v="SNOW_RL_20.22_125_NL2018"/>
        <s v="SEDO_18.20_150_NL2018"/>
        <s v="PETE_14.16_300_NL2018"/>
        <s v="DORI_RL_12.14_400_NL2018"/>
        <s v="CLAR_RL_12.14_400_NL2018"/>
        <s v="CIAR_RL_12.14_350_NL2018"/>
        <s v="ARVA_18.20_150_CL2019"/>
        <s v="ANGE_RL_12.14_400_NL2018"/>
        <s v="PROF_15.16_300_NL2018"/>
        <s v="ELDI_14.16_300_NL2018"/>
        <s v="BEAU_12.14_400_NL2018"/>
        <s v="BEAU_14.16_300_NL2018"/>
        <s v="SEDO_16.18_200_NL2018"/>
        <s v="FERR_14.16_300_NL2018"/>
        <s v="OUTB_18.20_150_NL2018"/>
        <s v="MALD_20.22_125_NL2018"/>
        <s v="CORA_14.16_300_NL2018"/>
        <s v="TARR_20.22_125_CL2019"/>
        <s v="MANI_24+_80_NL2018"/>
        <m/>
        <s v="HONE_16.18_200_NL2017" u="1"/>
        <s v="TATS_RL_12.14_400_NL2018" u="1"/>
        <s v="ROBI_20.22_200_NL2018" u="1"/>
        <s v="STEN_18.20_150_NL2017" u="1"/>
        <s v="MONT_18.20_150_NL2018" u="1"/>
        <s v="ROBI_20.22_125_NL2017" u="1"/>
        <s v="PARA_16.18_200_NL2018" u="1"/>
        <s v="STEN_16.18_200_NL2017" u="1"/>
        <s v=" __NL2018" u="1"/>
        <s v="TARR_16.18_300_NL2018" u="1"/>
        <s v="REDF_14.16_300_NL2018" u="1"/>
        <s v="PROF__" u="1"/>
        <s v="INDI_14.16_300_NL2017" u="1"/>
        <s v="VIRU_18.20_150_NL2017" u="1"/>
        <s v="YELL_14.16_300_NL2017" u="1"/>
        <s v="YELL_16.18_200_NL2017" u="1"/>
        <s v="AMAR_18.20_150_NL2017" u="1"/>
        <s v="FERR_16.18_200_NL2018" u="1"/>
        <s v="ROBI_24.26_75_NL2018" u="1"/>
        <s v="NATA_12.14_400_NL2018" u="1"/>
        <s v="MANI_DLW_20.22_125_NL2018" u="1"/>
        <s v="INDI_20.22_125_NL2018" u="1"/>
        <s v="LARG_16.18_200_NL2019" u="1"/>
        <s v="MALD_14.16_200_NL2018" u="1"/>
        <s v="DALI_14,5.16_300_NL2018" u="1"/>
        <s v="ROBI_DLW_20.22_125_NL2018" u="1"/>
        <s v="CONC__" u="1"/>
        <s v="__NL2018" u="1"/>
        <s v="PATR_12.14_400_NL2018" u="1"/>
        <s v="TARR_VWS_20.22_125_NL2018" u="1"/>
        <s v="LESO_18.20_150_NL2017" u="1"/>
        <s v="PROF_CL_20.22_125_NL2018" u="1"/>
        <s v="SORB_18.20_200_NL2018" u="1"/>
        <s v="CONC_20.22_200_NL2018" u="1"/>
        <s v="__" u="1"/>
        <s v="AMIG_14.16_275_NL2018" u="1"/>
        <s v="SEDO_22.24_100_NL2018" u="1"/>
        <s v="MANI_20.22_125_NZ2019" u="1"/>
        <s v="CAVA_16.18_200_NL2018" u="1"/>
        <s v="ARVA_14.16_300_NL2018" u="1"/>
        <s v="YELL_12.14_200_NL2018" u="1"/>
        <s v="REDF_20.22_125_NL2018" u="1"/>
        <s v="BACA_14.16_300_NL2018" u="1"/>
        <s v="PETE_RL_14.16_300_NL2018" u="1"/>
        <s v="THAL_12.14_400_NL2018" u="1"/>
        <s v="YELL_DN_20.22_125_NL2018" u="1"/>
        <s v="ESTA_14.16_300_NL2018" u="1"/>
        <s v="ESTA_16.18_200_NL2018" u="1"/>
        <s v="CONC_24.26_75_NL2018" u="1"/>
        <s v="PAVI_12.14_400_NL2017" u="1"/>
        <s v="MANI_PR_18.20_150_NL2018" u="1"/>
        <s v="CONC_24+_80_NL2018" u="1"/>
        <s v="TARR_18.20_125_CL2019" u="1"/>
        <s v="VIRU_20.22_125_NL2017" u="1"/>
        <s v="SERA_14.16_300_NL2017" u="1"/>
        <s v="TATJ_RL_12.14_350_NL2018" u="1"/>
      </sharedItems>
    </cacheField>
    <cacheField name="Item Name" numFmtId="0">
      <sharedItems containsBlank="1" count="114">
        <s v="YELLOWEEN"/>
        <s v="TARRANGO"/>
        <s v="SERANO"/>
        <s v="ROBINA"/>
        <s v="CONCADOR"/>
        <s v="ARVANDRUD"/>
        <s v="PROFUNDO"/>
        <s v="BACARDI"/>
        <s v="STENDHAL"/>
        <s v="THALITA"/>
        <s v="TATSJANA"/>
        <s v="DALIAN"/>
        <s v="SENSI"/>
        <s v="MALDANO"/>
        <s v="LARGO"/>
        <s v="INDIANA"/>
        <s v="YELLOWEEN DIAMOND"/>
        <s v="YELLOW DIAMOND"/>
        <s v="TEBALDI"/>
        <s v="TAMPA"/>
        <s v="SUNDERLAND"/>
        <s v="SHADAI"/>
        <s v="PAVIA"/>
        <s v="NELLO "/>
        <s v="MARENGO"/>
        <s v="GENERAL LEE"/>
        <s v="FELINO"/>
        <s v="EREMO"/>
        <s v="COMPETITION"/>
        <s v="BEAU SOLEIL"/>
        <s v="AMATERAS"/>
        <s v="ALUSTA"/>
        <s v="MANISSA"/>
        <s v="NASHVILLE"/>
        <s v="TOUCHSTONE"/>
        <s v="MONTEZUMA"/>
        <s v="NATALIA"/>
        <s v="CONCADOR NEWZELAND"/>
        <s v="CONCADOR FR"/>
        <s v="CONCADOR "/>
        <s v="PROFUNDO CHILE"/>
        <s v="TARRANGO "/>
        <s v="ROBINA NEW ZEALAND"/>
        <s v="YELLOWEEN VWS"/>
        <s v="LAKE CAREY"/>
        <s v="ZAMBESSI"/>
        <s v="SORBONNE"/>
        <s v="FERRERO"/>
        <s v="DIGAME"/>
        <s v="CONCAD'OR"/>
        <s v="CONCADOR DL"/>
        <s v="ROBINA NEWZEALAND"/>
        <s v="SEDONA"/>
        <s v="ROBINA NEWZELAND"/>
        <s v="LODI"/>
        <s v="REDDESIRE"/>
        <s v="PARAGUAY"/>
        <s v="TRESOR"/>
        <s v="AMIGA"/>
        <s v="PATRICIA"/>
        <s v="CARBONERO"/>
        <s v="BORRELLO"/>
        <s v="ROBINA ZABO"/>
        <s v="ROBINA DLW"/>
        <s v="CONCADOR STEEN"/>
        <s v="HYDE PARK"/>
        <s v="MANISSA ÍT RỄ"/>
        <s v="TARRANGO CHILE"/>
        <s v="BACARDI CHILE"/>
        <s v="AMAROSSI"/>
        <s v="TARRANGO VWS"/>
        <s v="COMPETITION CHILE"/>
        <s v="PALAZZO"/>
        <s v="CIARA"/>
        <s v="TRENDY SAVANNAH ®"/>
        <s v="TRENDY SAVANAH"/>
        <s v="TANGERINE JOY ®"/>
        <s v="SUGAR LOVE"/>
        <s v="SOROCABA"/>
        <s v="MAYTIME"/>
        <s v="MAJESTIC JOY"/>
        <s v="ISLAND JOY"/>
        <s v="GOLDEN JOY"/>
        <s v="DYNAMIX"/>
        <s v="CONFETTI JOY"/>
        <s v="CLASSIC JOY"/>
        <s v="BUZZER"/>
        <s v="OUTBACK"/>
        <s v="ZIVA"/>
        <s v="MANISSA DLW"/>
        <s v="SNOWBOARD"/>
        <s v="PETER SCHENKER"/>
        <s v="DORIA"/>
        <s v="CLARISSA"/>
        <s v="ANGELA"/>
        <s v="ELDIVO"/>
        <s v="MANISSA NEW ZEALAND"/>
        <s v="ROBINA NZ"/>
        <s v="CORALLO BEACH"/>
        <m/>
        <s v="CAVALLIA" u="1"/>
        <s v="CONCADOR NZ" u="1"/>
        <s v="PAVIA 2017" u="1"/>
        <s v="LESOTHO" u="1"/>
        <s v="PAVIA 2018" u="1"/>
        <s v="ESTA BONITA" u="1"/>
        <s v="YELLOWEEN 2 MẦM" u="1"/>
        <s v="TATJANA" u="1"/>
        <s v=" " u="1"/>
        <s v="REDFORD" u="1"/>
        <s v="HONESTY" u="1"/>
        <s v="VIRUNGA" u="1"/>
        <s v="MANISSA NZ" u="1"/>
        <s v="CONCADOR CHILE" u="1"/>
      </sharedItems>
    </cacheField>
    <cacheField name="Type" numFmtId="49">
      <sharedItems containsBlank="1" count="10">
        <m/>
        <s v="RL"/>
        <s v="DI"/>
        <s v="DN"/>
        <s v="PR"/>
        <s v="POT"/>
        <s v="RL_POT"/>
        <s v="VWS" u="1"/>
        <s v="DLW" u="1"/>
        <s v="CL" u="1"/>
      </sharedItems>
    </cacheField>
    <cacheField name="Size" numFmtId="49">
      <sharedItems containsBlank="1" containsMixedTypes="1" containsNumber="1" minValue="12.14" maxValue="22.24" count="19">
        <n v="12.14"/>
        <s v="18.20"/>
        <s v="14.16"/>
        <s v="16.18"/>
        <s v="20.22"/>
        <s v="15.16"/>
        <s v="24.26"/>
        <s v="12.14"/>
        <s v="22.24"/>
        <n v="22.24"/>
        <n v="20.22"/>
        <s v="24+"/>
        <s v="13.14"/>
        <n v="14.16"/>
        <n v="15.16"/>
        <n v="16.18"/>
        <s v="10.12"/>
        <s v="11.12"/>
        <m/>
      </sharedItems>
    </cacheField>
    <cacheField name="Items per Pack" numFmtId="0">
      <sharedItems containsBlank="1" containsMixedTypes="1" containsNumber="1" containsInteger="1" minValue="75" maxValue="400" count="25">
        <s v="400"/>
        <s v="150"/>
        <s v="300"/>
        <s v="200"/>
        <s v="125"/>
        <n v="200"/>
        <n v="300"/>
        <n v="80"/>
        <n v="400"/>
        <n v="150"/>
        <n v="350"/>
        <n v="100"/>
        <s v="100"/>
        <s v="80"/>
        <n v="125"/>
        <n v="275"/>
        <s v="75"/>
        <n v="250"/>
        <n v="85"/>
        <n v="75"/>
        <s v="250"/>
        <s v="275"/>
        <n v="175"/>
        <s v="500"/>
        <m/>
      </sharedItems>
    </cacheField>
    <cacheField name="Crop" numFmtId="164">
      <sharedItems containsBlank="1"/>
    </cacheField>
    <cacheField name="Required Supplier" numFmtId="0">
      <sharedItems containsBlank="1"/>
    </cacheField>
    <cacheField name=" -   " numFmtId="165">
      <sharedItems containsString="0" containsBlank="1" containsNumber="1" minValue="0" maxValue="1031"/>
    </cacheField>
    <cacheField name="Order Qty_Bulbs" numFmtId="164">
      <sharedItems containsString="0" containsBlank="1" containsNumber="1" containsInteger="1" minValue="0" maxValue="154650"/>
    </cacheField>
    <cacheField name="Price_VND" numFmtId="164">
      <sharedItems containsBlank="1" containsMixedTypes="1" containsNumber="1" containsInteger="1" minValue="0" maxValue="31000" count="209">
        <n v="2600"/>
        <n v="2700"/>
        <n v="9300"/>
        <n v="3500"/>
        <n v="5170"/>
        <n v="10500"/>
        <n v="5400"/>
        <n v="8100"/>
        <n v="5000"/>
        <n v="8000"/>
        <n v="5500"/>
        <n v="7700"/>
        <n v="4700"/>
        <n v="6200"/>
        <n v="4500"/>
        <n v="15200"/>
        <n v="8600"/>
        <n v="8700"/>
        <n v="4850"/>
        <n v="6358"/>
        <n v="8800"/>
        <n v="8900"/>
        <n v="9000"/>
        <n v="9100"/>
        <n v="14200"/>
        <n v="12500"/>
        <n v="10800"/>
        <n v="11000"/>
        <n v="4600"/>
        <n v="5800"/>
        <n v="7500"/>
        <n v="6700"/>
        <n v="5300"/>
        <n v="10700"/>
        <n v="10600"/>
        <n v="3100"/>
        <n v="2800"/>
        <n v="4100"/>
        <n v="2900"/>
        <n v="4200"/>
        <n v="4300"/>
        <n v="6100"/>
        <n v="4800"/>
        <n v="4900"/>
        <n v="3000"/>
        <n v="4000"/>
        <n v="8500"/>
        <n v="13000"/>
        <n v="3300"/>
        <n v="4400"/>
        <n v="6000"/>
        <n v="3200"/>
        <n v="5375"/>
        <m/>
        <n v="5600"/>
        <n v="7200"/>
        <n v="16000"/>
        <n v="3900"/>
        <n v="4480"/>
        <n v="4540"/>
        <n v="6800"/>
        <n v="13500"/>
        <n v="10900"/>
        <n v="11400"/>
        <n v="4350"/>
        <n v="7000"/>
        <n v="8200"/>
        <n v="10100"/>
        <n v="6090"/>
        <n v="4650"/>
        <n v="7100"/>
        <n v="5200"/>
        <n v="4370"/>
        <n v="6300"/>
        <n v="9600"/>
        <n v="5248"/>
        <n v="5163"/>
        <n v="3800"/>
        <n v="10000"/>
        <n v="5413"/>
        <n v="12000"/>
        <n v="3700"/>
        <s v="Báo giá KH sau"/>
        <n v="6400"/>
        <n v="5700"/>
        <n v="15300"/>
        <n v="6470"/>
        <n v="6530"/>
        <n v="7600"/>
        <n v="5770"/>
        <n v="5755"/>
        <n v="5840"/>
        <n v="6010"/>
        <n v="6613"/>
        <n v="6600"/>
        <n v="6528"/>
        <n v="6500"/>
        <n v="5670"/>
        <n v="5925"/>
        <n v="5834"/>
        <n v="5876"/>
        <n v="5255"/>
        <n v="5340"/>
        <n v="5085"/>
        <n v="7300"/>
        <n v="0"/>
        <n v="3600"/>
        <n v="14300"/>
        <n v="11600"/>
        <n v="5100"/>
        <n v="15400"/>
        <n v="5360"/>
        <s v="5.400 chưa bao gồm phí lạnh"/>
        <n v="14600"/>
        <n v="11700"/>
        <n v="7400"/>
        <n v="16200"/>
        <n v="13900"/>
        <n v="11500"/>
        <n v="10300"/>
        <n v="6940"/>
        <n v="4430"/>
        <n v="4230"/>
        <s v="6000+ phí kho lạnh"/>
        <s v="8500+Phí kho lạnh"/>
        <n v="6699"/>
        <n v="6871"/>
        <s v="6700+ phí kho lạnh"/>
        <n v="6870"/>
        <n v="6999"/>
        <s v="6500+ phí kho lanh"/>
        <n v="6371"/>
        <n v="6363"/>
        <n v="3914"/>
        <n v="3999"/>
        <s v="3800+ phí kho lạnh"/>
        <n v="5414"/>
        <n v="11900"/>
        <n v="6584"/>
        <n v="6669"/>
        <n v="6754"/>
        <n v="6839"/>
        <n v="6499"/>
        <n v="6171"/>
        <n v="6299"/>
        <n v="6428"/>
        <n v="6955"/>
        <n v="8300"/>
        <n v="6498"/>
        <n v="8400"/>
        <n v="9500"/>
        <n v="7900"/>
        <n v="5270"/>
        <n v="4730"/>
        <n v="2640"/>
        <n v="6618"/>
        <n v="6738"/>
        <n v="6858"/>
        <n v="9200"/>
        <n v="9700"/>
        <n v="5585"/>
        <n v="5648"/>
        <n v="6900"/>
        <n v="6413"/>
        <n v="3920"/>
        <n v="4040"/>
        <n v="7800"/>
        <n v="13600"/>
        <n v="9400"/>
        <n v="5450"/>
        <n v="5350"/>
        <n v="4385"/>
        <s v="7.100+Phí kho lạnh"/>
        <n v="6885"/>
        <n v="8255"/>
        <n v="4160"/>
        <n v="5900"/>
        <n v="5590"/>
        <n v="5090"/>
        <n v="6830"/>
        <n v="6785"/>
        <n v="8063"/>
        <n v="8088"/>
        <n v="5077"/>
        <n v="4970"/>
        <n v="4495"/>
        <n v="13800"/>
        <n v="15800"/>
        <n v="10200"/>
        <n v="12100"/>
        <n v="2750"/>
        <n v="13700"/>
        <n v="12300"/>
        <n v="16500"/>
        <n v="6915" u="1"/>
        <n v="3913" u="1"/>
        <n v="31000" u="1"/>
        <n v="5685" u="1"/>
        <n v="6750" u="1"/>
        <n v="4214" u="1"/>
        <n v="12600" u="1"/>
        <n v="2650" u="1"/>
        <n v="5114" u="1"/>
        <n v="16400" u="1"/>
        <n v="3750" u="1"/>
        <n v="2000" u="1"/>
        <n v="5171" u="1"/>
        <n v="460" u="1"/>
        <n v="2885" u="1"/>
      </sharedItems>
    </cacheField>
    <cacheField name="Customer Contract Amount_VND" numFmtId="164">
      <sharedItems containsString="0" containsBlank="1" containsNumber="1" containsInteger="1" minValue="0" maxValue="983264700"/>
    </cacheField>
    <cacheField name="Status" numFmtId="15">
      <sharedItems containsBlank="1" count="6">
        <s v="Done"/>
        <s v="Canceled"/>
        <s v="Pending"/>
        <s v="In Transit"/>
        <s v="Inventory"/>
        <m/>
      </sharedItems>
    </cacheField>
    <cacheField name="Seeding Date_x000a_(Lunar)" numFmtId="15">
      <sharedItems containsDate="1" containsBlank="1" containsMixedTypes="1" minDate="2019-01-09T00:00:00" maxDate="2019-11-26T00:00:00"/>
    </cacheField>
    <cacheField name="Seeding Date_x000a_(Gregorian)" numFmtId="166">
      <sharedItems containsDate="1" containsBlank="1" containsMixedTypes="1" minDate="2019-02-13T00:00:00" maxDate="2019-12-21T00:00:00" count="100">
        <d v="2019-03-20T00:00:00"/>
        <d v="2019-05-21T00:00:00"/>
        <d v="2019-09-29T00:00:00"/>
        <d v="2019-06-20T00:00:00"/>
        <d v="2019-07-17T00:00:00"/>
        <d v="2019-04-19T00:00:00"/>
        <d v="2019-02-19T00:00:00"/>
        <d v="2019-03-10T00:00:00"/>
        <d v="2019-04-22T00:00:00"/>
        <d v="2019-06-04T00:00:00"/>
        <d v="2019-04-03T00:00:00"/>
        <d v="2019-06-02T00:00:00"/>
        <d v="2019-07-01T00:00:00"/>
        <d v="2019-07-31T00:00:00"/>
        <d v="2019-08-29T00:00:00"/>
        <d v="2019-09-27T00:00:00"/>
        <d v="2019-04-02T00:00:00"/>
        <d v="2019-07-02T00:00:00"/>
        <d v="2019-07-03T00:00:00"/>
        <d v="2019-07-27T00:00:00"/>
        <d v="2019-07-19T00:00:00"/>
        <d v="2019-02-27T00:00:00"/>
        <d v="2019-06-22T00:00:00"/>
        <d v="2019-06-15T00:00:00"/>
        <d v="2019-04-14T00:00:00"/>
        <m/>
        <d v="2019-05-14T00:00:00"/>
        <d v="2019-06-07T00:00:00"/>
        <d v="2019-02-20T00:00:00"/>
        <d v="2019-04-04T00:00:00"/>
        <d v="2019-08-01T00:00:00"/>
        <d v="2019-02-13T00:00:00"/>
        <d v="2019-05-19T00:00:00"/>
        <d v="2019-04-17T00:00:00"/>
        <d v="2019-05-04T00:00:00"/>
        <s v=""/>
        <d v="2019-06-30T00:00:00"/>
        <d v="2019-05-09T00:00:00"/>
        <d v="2019-05-23T00:00:00"/>
        <d v="2019-08-15T00:00:00"/>
        <d v="2019-06-14T00:00:00"/>
        <d v="2019-07-10T00:00:00"/>
        <d v="2019-08-09T00:00:00"/>
        <d v="2019-10-08T00:00:00"/>
        <d v="2019-09-08T00:00:00"/>
        <d v="2019-06-27T00:00:00"/>
        <d v="2019-08-20T00:00:00"/>
        <d v="2019-08-10T00:00:00"/>
        <d v="2019-05-18T00:00:00"/>
        <d v="2019-08-30T00:00:00"/>
        <d v="2019-09-28T00:00:00"/>
        <d v="2019-06-03T00:00:00"/>
        <d v="2019-08-25T00:00:00"/>
        <d v="2019-09-13T00:00:00"/>
        <d v="2019-12-20T00:00:00"/>
        <d v="2019-03-04T00:00:00"/>
        <d v="2019-10-13T00:00:00"/>
        <d v="2019-07-20T00:00:00"/>
        <d v="2019-07-07T00:00:00"/>
        <d v="2019-08-05T00:00:00"/>
        <d v="2019-05-29T00:00:00"/>
        <d v="2019-09-03T00:00:00"/>
        <d v="2019-10-03T00:00:00"/>
        <d v="2019-03-13T00:00:00"/>
        <d v="2019-03-30T00:00:00"/>
        <d v="2019-06-26T00:00:00"/>
        <d v="2019-08-02T00:00:00"/>
        <d v="2019-08-08T00:00:00"/>
        <d v="2019-06-11T00:00:00"/>
        <d v="2019-06-17T00:00:00"/>
        <d v="2019-07-05T00:00:00"/>
        <d v="2019-07-12T00:00:00"/>
        <d v="2019-03-15T00:00:00"/>
        <d v="2019-07-26T00:00:00"/>
        <d v="2019-06-19T00:00:00"/>
        <d v="2019-06-12T00:00:00"/>
        <d v="2019-02-23T00:00:00"/>
        <d v="2019-06-25T00:00:00"/>
        <d v="2019-04-26T00:00:00" u="1"/>
        <d v="2019-07-22T00:00:00" u="1"/>
        <d v="2019-05-05T00:00:00" u="1"/>
        <d v="2019-06-10T00:00:00" u="1"/>
        <d v="2019-05-24T00:00:00" u="1"/>
        <d v="2019-03-07T00:00:00" u="1"/>
        <d v="2019-09-18T00:00:00" u="1"/>
        <d v="2019-05-10T00:00:00" u="1"/>
        <d v="2019-04-24T00:00:00" u="1"/>
        <d v="2019-03-12T00:00:00" u="1"/>
        <d v="2019-03-31T00:00:00" u="1"/>
        <d v="2019-03-17T00:00:00" u="1"/>
        <d v="2019-05-01T00:00:00" u="1"/>
        <d v="2019-04-08T00:00:00" u="1"/>
        <d v="2019-07-04T00:00:00" u="1"/>
        <d v="2019-02-15T00:00:00" u="1"/>
        <d v="2019-03-06T00:00:00" u="1"/>
        <d v="2019-03-25T00:00:00" u="1"/>
        <d v="2019-04-23T00:00:00" u="1"/>
        <d v="2019-02-25T00:00:00" u="1"/>
        <d v="2019-04-28T00:00:00" u="1"/>
        <s v="PAVIA" u="1"/>
      </sharedItems>
    </cacheField>
    <cacheField name="Estimated Arrival Date" numFmtId="166">
      <sharedItems containsDate="1" containsBlank="1" containsMixedTypes="1" minDate="1899-12-30T00:00:00" maxDate="2019-12-21T00:00:00" count="95">
        <d v="2019-03-20T00:00:00"/>
        <d v="2019-05-21T00:00:00"/>
        <d v="2019-09-29T00:00:00"/>
        <d v="2019-06-20T00:00:00"/>
        <d v="2019-07-17T00:00:00"/>
        <d v="2019-04-19T00:00:00"/>
        <d v="2019-02-19T00:00:00"/>
        <d v="2019-03-10T00:00:00"/>
        <d v="2019-04-22T00:00:00"/>
        <d v="2019-06-04T00:00:00"/>
        <d v="2019-04-03T00:00:00"/>
        <d v="2019-06-02T00:00:00"/>
        <d v="2019-07-01T00:00:00"/>
        <d v="2019-07-31T00:00:00"/>
        <d v="2019-08-29T00:00:00"/>
        <d v="2019-09-27T00:00:00"/>
        <d v="2019-04-02T00:00:00"/>
        <d v="2019-07-02T00:00:00"/>
        <d v="2019-07-03T00:00:00"/>
        <d v="2019-07-27T00:00:00"/>
        <d v="2019-07-19T00:00:00"/>
        <d v="2019-02-27T00:00:00"/>
        <d v="2019-06-22T00:00:00"/>
        <d v="2019-06-15T00:00:00"/>
        <d v="2019-04-14T00:00:00"/>
        <m/>
        <d v="2019-05-14T00:00:00"/>
        <d v="2019-06-07T00:00:00"/>
        <d v="2019-02-20T00:00:00"/>
        <d v="2019-04-04T00:00:00"/>
        <d v="2019-08-01T00:00:00"/>
        <d v="2019-02-13T00:00:00"/>
        <d v="2019-05-19T00:00:00"/>
        <d v="2019-04-17T00:00:00"/>
        <d v="2019-05-04T00:00:00"/>
        <s v=""/>
        <d v="2019-06-30T00:00:00"/>
        <d v="2019-05-09T00:00:00"/>
        <d v="2019-05-23T00:00:00"/>
        <d v="2019-08-15T00:00:00"/>
        <d v="2019-06-14T00:00:00"/>
        <d v="2019-07-10T00:00:00"/>
        <d v="2019-08-09T00:00:00"/>
        <d v="2019-10-08T00:00:00"/>
        <d v="2019-09-08T00:00:00"/>
        <d v="2019-06-27T00:00:00"/>
        <d v="2019-08-20T00:00:00"/>
        <d v="2019-08-10T00:00:00"/>
        <d v="2019-05-18T00:00:00"/>
        <d v="2019-08-30T00:00:00"/>
        <d v="2019-09-28T00:00:00"/>
        <d v="2019-06-03T00:00:00"/>
        <d v="2019-08-25T00:00:00"/>
        <d v="2019-09-13T00:00:00"/>
        <d v="2019-12-20T00:00:00"/>
        <d v="2019-03-04T00:00:00"/>
        <d v="2019-10-13T00:00:00"/>
        <d v="2019-07-20T00:00:00"/>
        <d v="2019-07-07T00:00:00"/>
        <d v="2019-08-05T00:00:00"/>
        <d v="2019-05-29T00:00:00"/>
        <d v="2019-09-03T00:00:00"/>
        <d v="2019-10-03T00:00:00"/>
        <d v="2019-03-13T00:00:00"/>
        <d v="2019-03-30T00:00:00"/>
        <d v="2019-06-26T00:00:00"/>
        <d v="2019-08-02T00:00:00"/>
        <d v="2019-08-08T00:00:00"/>
        <d v="2019-06-11T00:00:00"/>
        <d v="2019-06-17T00:00:00"/>
        <d v="2019-07-05T00:00:00"/>
        <d v="2019-07-12T00:00:00"/>
        <d v="2019-03-15T00:00:00"/>
        <d v="2019-07-26T00:00:00"/>
        <d v="2019-06-19T00:00:00"/>
        <d v="2019-06-12T00:00:00"/>
        <d v="2019-02-23T00:00:00"/>
        <d v="2019-06-25T00:00:00"/>
        <d v="2019-07-22T00:00:00" u="1"/>
        <d v="2019-05-05T00:00:00" u="1"/>
        <d v="2019-06-10T00:00:00" u="1"/>
        <d v="2019-03-07T00:00:00" u="1"/>
        <d v="2019-09-18T00:00:00" u="1"/>
        <d v="2019-05-10T00:00:00" u="1"/>
        <d v="2019-03-12T00:00:00" u="1"/>
        <d v="2019-03-31T00:00:00" u="1"/>
        <d v="2019-03-17T00:00:00" u="1"/>
        <d v="2019-04-08T00:00:00" u="1"/>
        <d v="2019-07-04T00:00:00" u="1"/>
        <d v="2019-02-15T00:00:00" u="1"/>
        <d v="2019-06-16T00:00:00" u="1"/>
        <d v="1899-12-30T00:00:00" u="1"/>
        <d v="2019-03-06T00:00:00" u="1"/>
        <d v="2019-02-25T00:00:00" u="1"/>
        <s v="PAVIA" u="1"/>
      </sharedItems>
    </cacheField>
    <cacheField name="Note" numFmtId="0">
      <sharedItems containsBlank="1"/>
    </cacheField>
    <cacheField name="CONT ID" numFmtId="15">
      <sharedItems containsBlank="1"/>
    </cacheField>
    <cacheField name="Date Arrived" numFmtId="15">
      <sharedItems containsNonDate="0" containsDate="1" containsString="0" containsBlank="1" minDate="2019-03-17T00:00:00" maxDate="2019-04-20T00:00:00"/>
    </cacheField>
    <cacheField name="Deposit" numFmtId="0">
      <sharedItems containsBlank="1"/>
    </cacheField>
    <cacheField name="Date #1" numFmtId="0">
      <sharedItems containsNonDate="0" containsDate="1" containsString="0" containsBlank="1" minDate="2019-02-19T00:00:00" maxDate="2019-06-27T00:00:00"/>
    </cacheField>
    <cacheField name="Delivery #1" numFmtId="0">
      <sharedItems containsBlank="1" containsMixedTypes="1" containsNumber="1" containsInteger="1" minValue="0" maxValue="154650"/>
    </cacheField>
    <cacheField name="Date #2" numFmtId="0">
      <sharedItems containsNonDate="0" containsDate="1" containsString="0" containsBlank="1" minDate="2019-02-23T00:00:00" maxDate="2019-06-26T00:00:00"/>
    </cacheField>
    <cacheField name="Delivery #2" numFmtId="0">
      <sharedItems containsBlank="1" containsMixedTypes="1" containsNumber="1" containsInteger="1" minValue="200" maxValue="65200"/>
    </cacheField>
    <cacheField name="Date #3" numFmtId="0">
      <sharedItems containsDate="1" containsBlank="1" containsMixedTypes="1" minDate="2019-03-20T00:00:00" maxDate="2019-06-24T00:00:00"/>
    </cacheField>
    <cacheField name="Delivery #3" numFmtId="0">
      <sharedItems containsBlank="1" containsMixedTypes="1" containsNumber="1" containsInteger="1" minValue="275" maxValue="39200"/>
    </cacheField>
    <cacheField name="Date #4" numFmtId="171">
      <sharedItems containsNonDate="0" containsDate="1" containsString="0" containsBlank="1" minDate="2019-06-18T00:00:00" maxDate="2019-06-25T00:00:00"/>
    </cacheField>
    <cacheField name="Delivery #4" numFmtId="0">
      <sharedItems containsString="0" containsBlank="1" containsNumber="1" containsInteger="1" minValue="1925" maxValue="6000"/>
    </cacheField>
    <cacheField name="Purchased Qty" numFmtId="164">
      <sharedItems containsString="0" containsBlank="1" containsNumber="1" containsInteger="1" minValue="0" maxValue="154650"/>
    </cacheField>
    <cacheField name="Remaining Qty" numFmtId="164">
      <sharedItems containsString="0" containsBlank="1" containsNumber="1" containsInteger="1" minValue="-2100" maxValue="100000"/>
    </cacheField>
    <cacheField name="Remaining amount" numFmtId="164">
      <sharedItems containsBlank="1" containsMixedTypes="1" containsNumber="1" containsInteger="1" minValue="-9660000" maxValue="636000000"/>
    </cacheField>
    <cacheField name="Lưu ý" numFmtId="0">
      <sharedItems containsDate="1" containsBlank="1" containsMixedTypes="1" minDate="2019-12-10T00:00:00" maxDate="2020-12-23T00:00:00"/>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868">
  <r>
    <s v="68A/2019"/>
    <d v="2019-04-25T00:00:00"/>
    <s v="KIỀU THY"/>
    <s v="TU05"/>
    <x v="0"/>
    <x v="0"/>
    <s v="ELDIVO"/>
    <m/>
    <s v="14.16"/>
    <n v="300"/>
    <s v="NL2018"/>
    <m/>
    <n v="10"/>
    <n v="3000"/>
    <x v="0"/>
    <n v="14100000"/>
    <x v="0"/>
    <d v="2019-05-05T00:00:00"/>
    <d v="2019-06-07T00:00:00"/>
    <d v="2019-06-07T00:00:00"/>
    <s v="5/5AL"/>
    <m/>
    <m/>
    <m/>
    <d v="2019-06-08T00:00:00"/>
    <n v="3000"/>
    <m/>
    <m/>
    <m/>
    <m/>
    <m/>
    <m/>
    <n v="3000"/>
    <n v="0"/>
    <n v="0"/>
  </r>
  <r>
    <s v="68A/2019"/>
    <d v="2019-05-09T00:00:00"/>
    <s v="KIỀU THY"/>
    <s v="TU05"/>
    <x v="0"/>
    <x v="1"/>
    <s v="EREMO"/>
    <m/>
    <s v="14.16"/>
    <n v="300"/>
    <s v="NL2018"/>
    <m/>
    <n v="10"/>
    <n v="3000"/>
    <x v="1"/>
    <n v="12600000"/>
    <x v="0"/>
    <d v="2019-05-05T00:00:00"/>
    <d v="2019-06-07T00:00:00"/>
    <d v="2019-06-07T00:00:00"/>
    <s v="5/5AL"/>
    <m/>
    <m/>
    <m/>
    <d v="2019-06-08T00:00:00"/>
    <n v="3000"/>
    <m/>
    <m/>
    <m/>
    <m/>
    <m/>
    <m/>
    <n v="3000"/>
    <n v="0"/>
    <n v="0"/>
  </r>
  <r>
    <s v="68A/2019"/>
    <d v="2019-05-30T00:00:00"/>
    <s v="KIỀU THY"/>
    <s v="TU05"/>
    <x v="0"/>
    <x v="1"/>
    <s v="EREMO"/>
    <m/>
    <s v="14.16"/>
    <n v="300"/>
    <s v="NL2018"/>
    <m/>
    <n v="0"/>
    <n v="0"/>
    <x v="2"/>
    <n v="0"/>
    <x v="1"/>
    <d v="2019-06-15T00:00:00"/>
    <d v="2019-07-17T00:00:00"/>
    <d v="2019-07-17T00:00:00"/>
    <m/>
    <m/>
    <m/>
    <m/>
    <m/>
    <m/>
    <m/>
    <m/>
    <m/>
    <m/>
    <m/>
    <m/>
    <n v="0"/>
    <n v="0"/>
    <n v="0"/>
  </r>
  <r>
    <s v="68A/2019"/>
    <d v="2019-05-30T00:00:00"/>
    <s v="KIỀU THY"/>
    <s v="TU05"/>
    <x v="0"/>
    <x v="2"/>
    <s v="NASHVILLE"/>
    <m/>
    <s v="14.16"/>
    <n v="300"/>
    <s v="NL2018"/>
    <m/>
    <n v="0"/>
    <n v="0"/>
    <x v="3"/>
    <n v="0"/>
    <x v="1"/>
    <d v="2019-06-15T00:00:00"/>
    <d v="2019-07-17T00:00:00"/>
    <d v="2019-07-17T00:00:00"/>
    <m/>
    <m/>
    <m/>
    <m/>
    <m/>
    <m/>
    <m/>
    <m/>
    <m/>
    <m/>
    <m/>
    <m/>
    <n v="0"/>
    <n v="0"/>
    <n v="0"/>
  </r>
  <r>
    <s v="68A/2019"/>
    <d v="2019-02-22T00:00:00"/>
    <s v="KIỀU THY"/>
    <s v="TU05"/>
    <x v="0"/>
    <x v="3"/>
    <s v="PAVIA"/>
    <m/>
    <s v="12.14"/>
    <n v="400"/>
    <s v="NL2018"/>
    <m/>
    <n v="8"/>
    <n v="3200"/>
    <x v="4"/>
    <n v="8960000"/>
    <x v="0"/>
    <d v="2019-03-15T00:00:00"/>
    <d v="2019-04-19T00:00:00"/>
    <d v="2019-04-19T00:00:00"/>
    <s v="15/3AL"/>
    <s v="CONT 20/2019"/>
    <d v="2019-04-14T00:00:00"/>
    <m/>
    <d v="2019-04-03T00:00:00"/>
    <n v="3200"/>
    <m/>
    <m/>
    <m/>
    <m/>
    <m/>
    <m/>
    <n v="3200"/>
    <n v="0"/>
    <n v="0"/>
  </r>
  <r>
    <s v="68A/2019"/>
    <d v="2019-02-22T00:00:00"/>
    <s v="KIỀU THY"/>
    <s v="TU05"/>
    <x v="0"/>
    <x v="4"/>
    <s v="TEBALDI"/>
    <m/>
    <s v="14.16"/>
    <n v="300"/>
    <s v="NL2018"/>
    <m/>
    <n v="10"/>
    <n v="3000"/>
    <x v="3"/>
    <n v="12300000"/>
    <x v="0"/>
    <d v="2019-03-15T00:00:00"/>
    <d v="2019-04-19T00:00:00"/>
    <d v="2019-04-19T00:00:00"/>
    <s v="15/3AL"/>
    <s v="CONT 24/2019"/>
    <d v="2019-04-14T00:00:00"/>
    <m/>
    <d v="2019-04-03T00:00:00"/>
    <n v="3000"/>
    <m/>
    <m/>
    <m/>
    <m/>
    <m/>
    <m/>
    <n v="3000"/>
    <n v="0"/>
    <n v="0"/>
  </r>
  <r>
    <s v="68A/2019"/>
    <d v="2019-05-09T00:00:00"/>
    <s v="KIỀU THY"/>
    <s v="TU05"/>
    <x v="0"/>
    <x v="5"/>
    <s v="PROFUNDO"/>
    <m/>
    <s v="16.18"/>
    <n v="200"/>
    <s v="NL2018"/>
    <m/>
    <n v="5"/>
    <n v="1000"/>
    <x v="5"/>
    <n v="7700000"/>
    <x v="0"/>
    <d v="2019-03-15T00:00:00"/>
    <d v="2019-04-19T00:00:00"/>
    <d v="2019-04-19T00:00:00"/>
    <s v="15/3AL"/>
    <m/>
    <m/>
    <m/>
    <d v="2019-05-09T00:00:00"/>
    <n v="1000"/>
    <m/>
    <m/>
    <m/>
    <m/>
    <m/>
    <m/>
    <n v="1000"/>
    <n v="0"/>
    <n v="0"/>
  </r>
  <r>
    <s v="68A/2019"/>
    <d v="2019-02-22T00:00:00"/>
    <s v="KIỀU THY"/>
    <s v="TU05"/>
    <x v="0"/>
    <x v="2"/>
    <s v="NASHVILLE"/>
    <m/>
    <s v="14.16"/>
    <n v="300"/>
    <s v="NL2018"/>
    <m/>
    <n v="10"/>
    <n v="3000"/>
    <x v="6"/>
    <n v="11400000"/>
    <x v="0"/>
    <d v="2019-04-17T00:00:00"/>
    <d v="2019-05-21T00:00:00"/>
    <d v="2019-05-21T00:00:00"/>
    <s v="30/3AL"/>
    <m/>
    <m/>
    <m/>
    <d v="2019-05-24T00:00:00"/>
    <n v="3000"/>
    <m/>
    <m/>
    <m/>
    <m/>
    <m/>
    <m/>
    <n v="3000"/>
    <n v="0"/>
    <n v="0"/>
  </r>
  <r>
    <s v="68A/2019"/>
    <d v="2019-02-22T00:00:00"/>
    <s v="KIỀU THY"/>
    <s v="TU05"/>
    <x v="0"/>
    <x v="4"/>
    <s v="TEBALDI"/>
    <m/>
    <s v="14.16"/>
    <n v="300"/>
    <s v="NL2018"/>
    <m/>
    <n v="10"/>
    <n v="3000"/>
    <x v="3"/>
    <n v="12300000"/>
    <x v="0"/>
    <d v="2019-04-17T00:00:00"/>
    <d v="2019-05-21T00:00:00"/>
    <d v="2019-05-21T00:00:00"/>
    <s v="30/3AL"/>
    <m/>
    <m/>
    <m/>
    <d v="2019-05-24T00:00:00"/>
    <n v="3000"/>
    <m/>
    <m/>
    <m/>
    <m/>
    <m/>
    <m/>
    <n v="3000"/>
    <n v="0"/>
    <n v="0"/>
  </r>
  <r>
    <s v="171A/2019"/>
    <d v="2019-04-04T00:00:00"/>
    <s v="KIỀU THY"/>
    <s v="TU05"/>
    <x v="0"/>
    <x v="6"/>
    <s v="CONCADOR"/>
    <m/>
    <s v="20.22"/>
    <n v="125"/>
    <s v="NL2018"/>
    <m/>
    <n v="80"/>
    <n v="10000"/>
    <x v="7"/>
    <n v="106000000"/>
    <x v="2"/>
    <d v="2019-09-01T00:00:00"/>
    <d v="2019-09-29T00:00:00"/>
    <d v="2019-09-29T00:00:00"/>
    <s v="TẾT"/>
    <m/>
    <m/>
    <m/>
    <m/>
    <m/>
    <m/>
    <m/>
    <m/>
    <m/>
    <m/>
    <m/>
    <n v="0"/>
    <n v="10000"/>
    <n v="106000000"/>
  </r>
  <r>
    <s v="171A/2019"/>
    <d v="2019-04-04T00:00:00"/>
    <s v="KIỀU THY"/>
    <s v="TU05"/>
    <x v="0"/>
    <x v="7"/>
    <s v="PROFUNDO"/>
    <m/>
    <s v="18.20"/>
    <n v="150"/>
    <s v="NL2018"/>
    <m/>
    <n v="34"/>
    <n v="5100"/>
    <x v="8"/>
    <n v="55080000"/>
    <x v="2"/>
    <d v="2019-09-01T00:00:00"/>
    <d v="2019-09-29T00:00:00"/>
    <d v="2019-09-29T00:00:00"/>
    <s v="TẾT"/>
    <m/>
    <m/>
    <m/>
    <m/>
    <m/>
    <m/>
    <m/>
    <m/>
    <m/>
    <m/>
    <m/>
    <n v="0"/>
    <n v="5100"/>
    <n v="55080000"/>
  </r>
  <r>
    <s v="171A/2019"/>
    <d v="2019-04-04T00:00:00"/>
    <s v="KIỀU THY"/>
    <s v="TU05"/>
    <x v="0"/>
    <x v="8"/>
    <s v="TEBALDI"/>
    <m/>
    <s v="16.18"/>
    <n v="200"/>
    <s v="NL2018"/>
    <m/>
    <n v="25"/>
    <n v="5000"/>
    <x v="9"/>
    <n v="31000000"/>
    <x v="2"/>
    <d v="2019-09-01T00:00:00"/>
    <d v="2019-09-29T00:00:00"/>
    <d v="2019-09-29T00:00:00"/>
    <s v="TẾT"/>
    <m/>
    <m/>
    <m/>
    <m/>
    <m/>
    <m/>
    <m/>
    <m/>
    <m/>
    <m/>
    <m/>
    <n v="0"/>
    <n v="5000"/>
    <n v="31000000"/>
  </r>
  <r>
    <s v="171A/2019"/>
    <d v="2019-04-04T00:00:00"/>
    <s v="KIỀU THY"/>
    <s v="TU05"/>
    <x v="0"/>
    <x v="9"/>
    <s v="MANISSA"/>
    <m/>
    <s v="22.24"/>
    <n v="100"/>
    <s v="NL2018"/>
    <m/>
    <n v="50"/>
    <n v="5000"/>
    <x v="10"/>
    <n v="77000000"/>
    <x v="2"/>
    <d v="2019-09-01T00:00:00"/>
    <d v="2019-09-29T00:00:00"/>
    <d v="2019-09-29T00:00:00"/>
    <s v="TẾT"/>
    <m/>
    <m/>
    <m/>
    <m/>
    <m/>
    <m/>
    <m/>
    <m/>
    <m/>
    <m/>
    <m/>
    <n v="0"/>
    <n v="5000"/>
    <n v="77000000"/>
  </r>
  <r>
    <s v="68A/2019"/>
    <d v="2019-06-14T00:00:00"/>
    <s v="KIỀU THY"/>
    <s v="TU05"/>
    <x v="0"/>
    <x v="10"/>
    <s v="ARVANDRUD"/>
    <m/>
    <s v="16.18"/>
    <n v="200"/>
    <s v="NL2018"/>
    <m/>
    <n v="15"/>
    <n v="3000"/>
    <x v="11"/>
    <n v="16200000"/>
    <x v="0"/>
    <d v="2019-04-17T00:00:00"/>
    <d v="2019-05-21T00:00:00"/>
    <d v="2019-05-21T00:00:00"/>
    <m/>
    <m/>
    <m/>
    <m/>
    <d v="2019-06-14T00:00:00"/>
    <n v="3000"/>
    <m/>
    <m/>
    <m/>
    <m/>
    <m/>
    <m/>
    <n v="3000"/>
    <n v="0"/>
    <n v="0"/>
  </r>
  <r>
    <s v="68A/2019"/>
    <d v="2019-02-22T00:00:00"/>
    <s v="KIỀU THY"/>
    <s v="TU05"/>
    <x v="0"/>
    <x v="3"/>
    <s v="PAVIA"/>
    <m/>
    <s v="12.14"/>
    <n v="400"/>
    <s v="NL2018"/>
    <m/>
    <n v="8"/>
    <n v="3200"/>
    <x v="4"/>
    <n v="8960000"/>
    <x v="0"/>
    <s v="30-Feb-19"/>
    <d v="2019-04-04T00:00:00"/>
    <d v="2019-04-04T00:00:00"/>
    <s v="30/2AL"/>
    <s v="CONT 14/2019"/>
    <d v="2019-03-31T00:00:00"/>
    <s v="R"/>
    <d v="2019-05-09T00:00:00"/>
    <n v="3200"/>
    <m/>
    <m/>
    <m/>
    <m/>
    <m/>
    <m/>
    <n v="3200"/>
    <n v="0"/>
    <n v="0"/>
  </r>
  <r>
    <s v="68A/2019"/>
    <d v="2019-02-22T00:00:00"/>
    <s v="KIỀU THY"/>
    <s v="TU05"/>
    <x v="0"/>
    <x v="4"/>
    <s v="TEBALDI"/>
    <m/>
    <s v="14.16"/>
    <n v="300"/>
    <s v="NL2018"/>
    <m/>
    <n v="10"/>
    <n v="3000"/>
    <x v="3"/>
    <n v="12300000"/>
    <x v="0"/>
    <s v="30-Feb-19"/>
    <d v="2019-04-04T00:00:00"/>
    <d v="2019-04-04T00:00:00"/>
    <s v="30/2AL"/>
    <s v="CONT 15/2019"/>
    <d v="2019-03-31T00:00:00"/>
    <s v="R"/>
    <d v="2019-05-09T00:00:00"/>
    <n v="3000"/>
    <m/>
    <m/>
    <m/>
    <m/>
    <m/>
    <m/>
    <n v="3000"/>
    <n v="0"/>
    <n v="0"/>
  </r>
  <r>
    <s v="62A/2019"/>
    <d v="2019-02-19T00:00:00"/>
    <s v="KIỀU THY"/>
    <s v="HT02"/>
    <x v="1"/>
    <x v="2"/>
    <s v="NASHVILLE"/>
    <m/>
    <s v="14.16"/>
    <n v="300"/>
    <s v="NL2018"/>
    <m/>
    <n v="14"/>
    <n v="4200"/>
    <x v="6"/>
    <n v="15960000"/>
    <x v="0"/>
    <d v="2019-04-17T00:00:00"/>
    <d v="2019-05-21T00:00:00"/>
    <d v="2019-05-21T00:00:00"/>
    <s v="30/3AL"/>
    <m/>
    <m/>
    <m/>
    <d v="2019-05-19T00:00:00"/>
    <n v="4200"/>
    <m/>
    <m/>
    <m/>
    <m/>
    <m/>
    <m/>
    <n v="4200"/>
    <n v="0"/>
    <n v="0"/>
  </r>
  <r>
    <s v="62A/2019"/>
    <d v="2019-02-19T00:00:00"/>
    <s v="KIỀU THY"/>
    <s v="HT02"/>
    <x v="1"/>
    <x v="11"/>
    <s v="YELLOWEEN"/>
    <m/>
    <s v="12.14"/>
    <n v="400"/>
    <s v="NL2018"/>
    <m/>
    <n v="10"/>
    <n v="4000"/>
    <x v="12"/>
    <n v="10400000"/>
    <x v="0"/>
    <d v="2019-01-15T00:00:00"/>
    <d v="2019-02-19T00:00:00"/>
    <d v="2019-02-19T00:00:00"/>
    <s v="15/1AL"/>
    <m/>
    <m/>
    <s v="R"/>
    <d v="2019-02-22T00:00:00"/>
    <n v="4000"/>
    <m/>
    <m/>
    <m/>
    <m/>
    <m/>
    <m/>
    <n v="4000"/>
    <n v="0"/>
    <n v="0"/>
  </r>
  <r>
    <s v="62A/2019"/>
    <d v="2019-02-19T00:00:00"/>
    <s v="KIỀU THY"/>
    <s v="HT02"/>
    <x v="1"/>
    <x v="11"/>
    <s v="YELLOWEEN"/>
    <m/>
    <s v="12.14"/>
    <n v="400"/>
    <s v="NL2018"/>
    <m/>
    <n v="5"/>
    <n v="2000"/>
    <x v="12"/>
    <n v="5200000"/>
    <x v="0"/>
    <s v="30-Feb-19"/>
    <d v="2019-04-04T00:00:00"/>
    <d v="2019-04-04T00:00:00"/>
    <s v="30/2AL"/>
    <s v="CONT 18/2019"/>
    <d v="2019-03-31T00:00:00"/>
    <m/>
    <d v="2019-04-03T00:00:00"/>
    <n v="2000"/>
    <m/>
    <m/>
    <m/>
    <m/>
    <m/>
    <m/>
    <n v="2000"/>
    <n v="0"/>
    <n v="0"/>
  </r>
  <r>
    <s v="208A/2019"/>
    <d v="2019-04-29T00:00:00"/>
    <s v="KIỀU THY"/>
    <s v="DC03"/>
    <x v="2"/>
    <x v="12"/>
    <s v="AMATERAS"/>
    <m/>
    <s v="14.16"/>
    <s v="300"/>
    <s v="NL2018"/>
    <m/>
    <n v="50"/>
    <n v="15000"/>
    <x v="13"/>
    <n v="67500000"/>
    <x v="0"/>
    <d v="2019-05-05T00:00:00"/>
    <d v="2019-06-07T00:00:00"/>
    <d v="2019-06-07T00:00:00"/>
    <s v="5/5AL"/>
    <m/>
    <m/>
    <m/>
    <d v="2019-06-08T00:00:00"/>
    <n v="15000"/>
    <m/>
    <m/>
    <m/>
    <m/>
    <m/>
    <m/>
    <n v="15000"/>
    <n v="0"/>
    <n v="0"/>
  </r>
  <r>
    <s v="208A/2019"/>
    <d v="2019-04-29T00:00:00"/>
    <s v="KIỀU THY"/>
    <s v="DC03"/>
    <x v="2"/>
    <x v="3"/>
    <s v="PAVIA"/>
    <m/>
    <s v="12.14"/>
    <s v="400"/>
    <s v="NL2018"/>
    <m/>
    <n v="18"/>
    <n v="7200"/>
    <x v="14"/>
    <n v="20880000"/>
    <x v="0"/>
    <d v="2019-05-05T00:00:00"/>
    <d v="2019-06-07T00:00:00"/>
    <d v="2019-06-07T00:00:00"/>
    <s v="5/5AL"/>
    <m/>
    <m/>
    <m/>
    <d v="2019-06-08T00:00:00"/>
    <n v="5200"/>
    <d v="2019-06-18T00:00:00"/>
    <s v="2000"/>
    <m/>
    <m/>
    <m/>
    <m/>
    <n v="7200"/>
    <n v="0"/>
    <n v="0"/>
  </r>
  <r>
    <s v="208A/2019"/>
    <d v="2019-05-08T00:00:00"/>
    <s v="KIỀU THY"/>
    <s v="DC03"/>
    <x v="2"/>
    <x v="3"/>
    <s v="PAVIA"/>
    <m/>
    <s v="12.14"/>
    <s v="400"/>
    <s v="NL2018"/>
    <m/>
    <n v="0"/>
    <n v="0"/>
    <x v="14"/>
    <n v="0"/>
    <x v="1"/>
    <d v="2019-05-25T00:00:00"/>
    <d v="2019-06-27T00:00:00"/>
    <d v="2019-06-27T00:00:00"/>
    <m/>
    <m/>
    <m/>
    <m/>
    <m/>
    <m/>
    <m/>
    <m/>
    <m/>
    <m/>
    <m/>
    <m/>
    <n v="0"/>
    <n v="0"/>
    <n v="0"/>
  </r>
  <r>
    <s v="208A/2019"/>
    <d v="2019-05-08T00:00:00"/>
    <s v="KIỀU THY"/>
    <s v="DC03"/>
    <x v="2"/>
    <x v="13"/>
    <s v="AMATERAS"/>
    <m/>
    <s v="14.16"/>
    <s v="275"/>
    <s v="NL2018"/>
    <m/>
    <n v="0"/>
    <n v="0"/>
    <x v="13"/>
    <n v="0"/>
    <x v="1"/>
    <d v="2019-05-18T00:00:00"/>
    <d v="2019-06-20T00:00:00"/>
    <d v="2019-06-20T00:00:00"/>
    <m/>
    <m/>
    <m/>
    <m/>
    <m/>
    <m/>
    <m/>
    <m/>
    <m/>
    <m/>
    <m/>
    <m/>
    <n v="0"/>
    <n v="0"/>
    <n v="0"/>
  </r>
  <r>
    <s v="164B/2019"/>
    <d v="2019-04-09T00:00:00"/>
    <s v="THANH THÚY"/>
    <s v="VT18"/>
    <x v="3"/>
    <x v="9"/>
    <s v="MANISSA"/>
    <m/>
    <s v="22.24"/>
    <s v="100"/>
    <s v="NL2018"/>
    <m/>
    <n v="200"/>
    <n v="20000"/>
    <x v="10"/>
    <n v="308000000"/>
    <x v="2"/>
    <d v="2019-09-01T00:00:00"/>
    <d v="2019-09-29T00:00:00"/>
    <d v="2019-09-29T00:00:00"/>
    <s v="TẾT"/>
    <m/>
    <m/>
    <m/>
    <m/>
    <n v="0"/>
    <m/>
    <m/>
    <m/>
    <m/>
    <m/>
    <m/>
    <n v="0"/>
    <n v="20000"/>
    <n v="308000000"/>
  </r>
  <r>
    <s v="164B/2019"/>
    <d v="2019-04-09T00:00:00"/>
    <s v="THANH THÚY"/>
    <s v="VT18"/>
    <x v="3"/>
    <x v="14"/>
    <s v="TARRANGO CHILE"/>
    <m/>
    <s v="20.22"/>
    <s v="125"/>
    <s v="NL2018"/>
    <m/>
    <n v="160"/>
    <n v="20000"/>
    <x v="15"/>
    <n v="246000000"/>
    <x v="2"/>
    <d v="2019-09-01T00:00:00"/>
    <d v="2019-09-29T00:00:00"/>
    <d v="2019-09-29T00:00:00"/>
    <s v="TẾT"/>
    <m/>
    <m/>
    <m/>
    <m/>
    <n v="0"/>
    <m/>
    <m/>
    <m/>
    <m/>
    <m/>
    <m/>
    <n v="0"/>
    <n v="20000"/>
    <n v="246000000"/>
  </r>
  <r>
    <s v="51A/2019"/>
    <d v="2019-02-16T00:00:00"/>
    <s v="KIỀU THY"/>
    <s v="VQ01"/>
    <x v="4"/>
    <x v="15"/>
    <s v="CONCADOR "/>
    <m/>
    <s v="16.18"/>
    <n v="200"/>
    <s v="NL2018"/>
    <m/>
    <n v="0"/>
    <n v="0"/>
    <x v="0"/>
    <n v="0"/>
    <x v="1"/>
    <d v="2019-07-15T00:00:00"/>
    <d v="2019-08-15T00:00:00"/>
    <d v="2019-08-15T00:00:00"/>
    <s v="NHẮC KH CỌC. KH TRỒNG RẰM THÁNG 7"/>
    <m/>
    <m/>
    <s v="CHƯA CỌC, CHƯA XẾP LỊCH"/>
    <m/>
    <n v="0"/>
    <m/>
    <m/>
    <m/>
    <m/>
    <m/>
    <m/>
    <n v="0"/>
    <n v="0"/>
    <n v="0"/>
  </r>
  <r>
    <s v="51A/2019"/>
    <d v="2019-05-20T00:00:00"/>
    <s v="KIỀU THY"/>
    <s v="VQ01"/>
    <x v="4"/>
    <x v="6"/>
    <s v="CONCADOR "/>
    <m/>
    <s v="20.22"/>
    <n v="125"/>
    <s v="NL2018"/>
    <m/>
    <n v="80"/>
    <n v="10000"/>
    <x v="7"/>
    <n v="106000000"/>
    <x v="2"/>
    <d v="2019-09-01T00:00:00"/>
    <d v="2019-09-29T00:00:00"/>
    <d v="2019-09-29T00:00:00"/>
    <s v="TẾT"/>
    <m/>
    <m/>
    <m/>
    <m/>
    <m/>
    <m/>
    <m/>
    <m/>
    <m/>
    <m/>
    <m/>
    <n v="0"/>
    <n v="10000"/>
    <n v="106000000"/>
  </r>
  <r>
    <s v="51A/2019"/>
    <d v="2019-05-20T00:00:00"/>
    <s v="KIỀU THY"/>
    <s v="VQ01"/>
    <x v="4"/>
    <x v="16"/>
    <s v="ROBINA"/>
    <m/>
    <s v="20.22"/>
    <n v="125"/>
    <s v="NL2018"/>
    <m/>
    <n v="80"/>
    <n v="10000"/>
    <x v="16"/>
    <n v="107000000"/>
    <x v="2"/>
    <d v="2019-09-01T00:00:00"/>
    <d v="2019-09-29T00:00:00"/>
    <d v="2019-09-29T00:00:00"/>
    <s v="TẾT"/>
    <m/>
    <m/>
    <m/>
    <m/>
    <m/>
    <m/>
    <m/>
    <m/>
    <m/>
    <m/>
    <m/>
    <n v="0"/>
    <n v="10000"/>
    <n v="107000000"/>
  </r>
  <r>
    <s v="32A/2019"/>
    <d v="2019-01-15T00:00:00"/>
    <s v="KIỀU THY"/>
    <s v="TP01"/>
    <x v="5"/>
    <x v="17"/>
    <s v="NELLO "/>
    <m/>
    <s v="12.14"/>
    <n v="400"/>
    <s v="NL2018"/>
    <m/>
    <n v="6"/>
    <n v="2400"/>
    <x v="17"/>
    <n v="7200000"/>
    <x v="0"/>
    <d v="2019-01-15T00:00:00"/>
    <d v="2019-02-19T00:00:00"/>
    <d v="2019-02-19T00:00:00"/>
    <s v="15/1AL"/>
    <m/>
    <m/>
    <s v="R"/>
    <d v="2019-02-22T00:00:00"/>
    <n v="2400"/>
    <m/>
    <m/>
    <m/>
    <m/>
    <m/>
    <m/>
    <n v="2400"/>
    <n v="0"/>
    <n v="0"/>
  </r>
  <r>
    <s v="32A/2019"/>
    <d v="2019-01-15T00:00:00"/>
    <s v="KIỀU THY"/>
    <s v="TP01"/>
    <x v="5"/>
    <x v="3"/>
    <s v="PAVIA"/>
    <m/>
    <s v="12.14"/>
    <n v="400"/>
    <s v="NL2018"/>
    <m/>
    <n v="6"/>
    <n v="2400"/>
    <x v="4"/>
    <n v="6720000"/>
    <x v="0"/>
    <d v="2019-01-15T00:00:00"/>
    <d v="2019-02-19T00:00:00"/>
    <d v="2019-02-19T00:00:00"/>
    <s v="15/1AL"/>
    <m/>
    <m/>
    <s v="R"/>
    <d v="2019-02-22T00:00:00"/>
    <n v="2400"/>
    <m/>
    <m/>
    <m/>
    <m/>
    <m/>
    <m/>
    <n v="2400"/>
    <n v="0"/>
    <n v="0"/>
  </r>
  <r>
    <s v="32A/2019"/>
    <d v="2019-01-15T00:00:00"/>
    <s v="KIỀU THY"/>
    <s v="TP01"/>
    <x v="5"/>
    <x v="11"/>
    <s v="YELLOWEEN"/>
    <m/>
    <s v="12.14"/>
    <n v="400"/>
    <s v="NL2018"/>
    <m/>
    <n v="6"/>
    <n v="2400"/>
    <x v="12"/>
    <n v="6240000"/>
    <x v="0"/>
    <d v="2019-01-15T00:00:00"/>
    <d v="2019-02-19T00:00:00"/>
    <d v="2019-02-19T00:00:00"/>
    <s v="15/1AL"/>
    <m/>
    <m/>
    <s v="R"/>
    <d v="2019-02-22T00:00:00"/>
    <n v="2400"/>
    <m/>
    <m/>
    <m/>
    <m/>
    <m/>
    <m/>
    <n v="2400"/>
    <n v="0"/>
    <n v="0"/>
  </r>
  <r>
    <s v="32A/2019"/>
    <d v="2019-01-15T00:00:00"/>
    <s v="KIỀU THY"/>
    <s v="TP01"/>
    <x v="5"/>
    <x v="18"/>
    <s v="STENDHAL"/>
    <m/>
    <s v="16.18"/>
    <n v="200"/>
    <s v="NL2017"/>
    <m/>
    <n v="25"/>
    <n v="5000"/>
    <x v="18"/>
    <n v="25000000"/>
    <x v="0"/>
    <d v="2019-02-07T00:00:00"/>
    <d v="2019-03-12T00:00:00"/>
    <d v="2019-03-12T00:00:00"/>
    <s v="07/2AL"/>
    <s v="CONT 87/2018"/>
    <m/>
    <s v="R"/>
    <d v="2019-03-16T00:00:00"/>
    <n v="5000"/>
    <m/>
    <m/>
    <m/>
    <m/>
    <m/>
    <m/>
    <n v="5000"/>
    <n v="0"/>
    <n v="0"/>
  </r>
  <r>
    <s v="32A/2019"/>
    <d v="2019-01-15T00:00:00"/>
    <s v="KIỀU THY"/>
    <s v="TP01"/>
    <x v="5"/>
    <x v="19"/>
    <s v="PAVIA"/>
    <m/>
    <s v="12.14"/>
    <n v="400"/>
    <s v="NL2017"/>
    <m/>
    <n v="18"/>
    <n v="7200"/>
    <x v="19"/>
    <n v="14400000"/>
    <x v="0"/>
    <d v="2019-02-15T00:00:00"/>
    <d v="2019-03-20T00:00:00"/>
    <d v="2019-03-20T00:00:00"/>
    <s v="15/2AL"/>
    <s v="CONT 9/2019"/>
    <d v="2019-03-17T00:00:00"/>
    <s v="R"/>
    <d v="2019-03-19T00:00:00"/>
    <n v="7200"/>
    <m/>
    <m/>
    <m/>
    <m/>
    <m/>
    <m/>
    <n v="7200"/>
    <n v="0"/>
    <n v="0"/>
  </r>
  <r>
    <s v="32A/2019"/>
    <d v="2019-01-15T00:00:00"/>
    <s v="KIỀU THY"/>
    <s v="TP01"/>
    <x v="5"/>
    <x v="8"/>
    <s v="TEBALDI"/>
    <m/>
    <s v="16.18"/>
    <n v="200"/>
    <s v="NL2018"/>
    <m/>
    <n v="5"/>
    <n v="1000"/>
    <x v="20"/>
    <n v="6100000"/>
    <x v="2"/>
    <d v="2019-09-01T00:00:00"/>
    <d v="2019-09-29T00:00:00"/>
    <d v="2019-09-29T00:00:00"/>
    <s v="TẾT"/>
    <m/>
    <m/>
    <m/>
    <m/>
    <m/>
    <m/>
    <m/>
    <m/>
    <m/>
    <m/>
    <m/>
    <n v="0"/>
    <n v="1000"/>
    <n v="6100000"/>
  </r>
  <r>
    <s v="32A/2019"/>
    <d v="2019-01-15T00:00:00"/>
    <s v="KIỀU THY"/>
    <s v="TP01"/>
    <x v="5"/>
    <x v="20"/>
    <s v="AMATERAS"/>
    <m/>
    <s v="12.14"/>
    <n v="400"/>
    <s v="NL2018"/>
    <m/>
    <n v="12"/>
    <n v="4800"/>
    <x v="4"/>
    <n v="13440000"/>
    <x v="0"/>
    <s v="30-Feb-19"/>
    <d v="2019-04-04T00:00:00"/>
    <d v="2019-04-04T00:00:00"/>
    <s v="30/2AL"/>
    <s v="CONT 16/2019"/>
    <d v="2019-03-31T00:00:00"/>
    <s v="R"/>
    <d v="2019-04-03T00:00:00"/>
    <n v="4800"/>
    <m/>
    <m/>
    <m/>
    <m/>
    <m/>
    <m/>
    <n v="4800"/>
    <n v="0"/>
    <n v="0"/>
  </r>
  <r>
    <s v="32A/2019"/>
    <d v="2019-01-15T00:00:00"/>
    <s v="KIỀU THY"/>
    <s v="TP01"/>
    <x v="5"/>
    <x v="3"/>
    <s v="PAVIA"/>
    <m/>
    <s v="12.14"/>
    <n v="400"/>
    <s v="NL2018"/>
    <m/>
    <n v="6"/>
    <n v="2400"/>
    <x v="4"/>
    <n v="6720000"/>
    <x v="0"/>
    <s v="30-Feb-19"/>
    <d v="2019-04-04T00:00:00"/>
    <d v="2019-04-04T00:00:00"/>
    <s v="30/2AL"/>
    <s v="CONT 14/2019"/>
    <d v="2019-03-31T00:00:00"/>
    <s v="R"/>
    <d v="2019-04-03T00:00:00"/>
    <n v="2400"/>
    <m/>
    <m/>
    <m/>
    <m/>
    <m/>
    <m/>
    <n v="2400"/>
    <n v="0"/>
    <n v="0"/>
  </r>
  <r>
    <s v="218A/2019"/>
    <d v="2019-05-18T00:00:00"/>
    <s v="KIỀU THY"/>
    <s v="TD05"/>
    <x v="6"/>
    <x v="12"/>
    <s v="AMATERAS"/>
    <m/>
    <s v="14.16"/>
    <s v="300"/>
    <s v="NL2018"/>
    <m/>
    <n v="34"/>
    <n v="10200"/>
    <x v="13"/>
    <n v="45900000"/>
    <x v="3"/>
    <d v="2019-05-30T00:00:00"/>
    <d v="2019-07-02T00:00:00"/>
    <d v="2019-07-02T00:00:00"/>
    <m/>
    <m/>
    <m/>
    <m/>
    <m/>
    <m/>
    <m/>
    <m/>
    <m/>
    <m/>
    <m/>
    <m/>
    <n v="0"/>
    <n v="10200"/>
    <n v="45900000"/>
  </r>
  <r>
    <s v="218A/2019"/>
    <d v="2019-06-18T00:00:00"/>
    <s v="KIỀU THY"/>
    <s v="TD05"/>
    <x v="6"/>
    <x v="2"/>
    <s v="NASHVILLE"/>
    <m/>
    <s v="14.16"/>
    <s v="300"/>
    <s v="NL2018"/>
    <m/>
    <n v="34"/>
    <n v="10200"/>
    <x v="3"/>
    <n v="41820000"/>
    <x v="3"/>
    <d v="2019-06-15T00:00:00"/>
    <d v="2019-07-17T00:00:00"/>
    <d v="2019-07-17T00:00:00"/>
    <m/>
    <m/>
    <m/>
    <m/>
    <m/>
    <m/>
    <m/>
    <m/>
    <m/>
    <m/>
    <m/>
    <m/>
    <n v="0"/>
    <n v="10200"/>
    <n v="41820000"/>
  </r>
  <r>
    <s v="218A/2019"/>
    <d v="2019-05-21T00:00:00"/>
    <s v="KIỀU THY"/>
    <s v="TD05"/>
    <x v="6"/>
    <x v="12"/>
    <s v="AMATERAS"/>
    <m/>
    <s v="14.16"/>
    <s v="300"/>
    <s v="NL2018"/>
    <m/>
    <n v="27"/>
    <n v="8100"/>
    <x v="21"/>
    <n v="37260000"/>
    <x v="2"/>
    <d v="2019-06-25T00:00:00"/>
    <d v="2019-07-27T00:00:00"/>
    <d v="2019-07-27T00:00:00"/>
    <m/>
    <m/>
    <m/>
    <m/>
    <m/>
    <m/>
    <m/>
    <m/>
    <m/>
    <m/>
    <m/>
    <m/>
    <n v="0"/>
    <n v="8100"/>
    <n v="37260000"/>
  </r>
  <r>
    <s v="218A/2019"/>
    <d v="2019-05-28T00:00:00"/>
    <s v="KIỀU THY"/>
    <s v="TD05"/>
    <x v="6"/>
    <x v="10"/>
    <s v="ARVANDRUD"/>
    <m/>
    <s v="16.18"/>
    <s v="200"/>
    <s v="NL2018"/>
    <m/>
    <n v="31"/>
    <n v="6200"/>
    <x v="11"/>
    <n v="33480000"/>
    <x v="0"/>
    <d v="2019-04-17T00:00:00"/>
    <d v="2019-05-21T00:00:00"/>
    <d v="2019-05-21T00:00:00"/>
    <m/>
    <m/>
    <m/>
    <m/>
    <d v="2019-06-14T00:00:00"/>
    <n v="6200"/>
    <m/>
    <m/>
    <m/>
    <m/>
    <m/>
    <m/>
    <n v="6200"/>
    <n v="0"/>
    <n v="0"/>
  </r>
  <r>
    <s v="218A/2019"/>
    <d v="2019-05-21T00:00:00"/>
    <s v="KIỀU THY"/>
    <s v="TD05"/>
    <x v="6"/>
    <x v="1"/>
    <s v="EREMO"/>
    <m/>
    <s v="14.16"/>
    <s v="300"/>
    <s v="NL2018"/>
    <m/>
    <n v="7"/>
    <n v="2100"/>
    <x v="2"/>
    <n v="9240000"/>
    <x v="2"/>
    <d v="2019-06-25T00:00:00"/>
    <d v="2019-07-27T00:00:00"/>
    <d v="2019-07-27T00:00:00"/>
    <m/>
    <m/>
    <m/>
    <m/>
    <m/>
    <m/>
    <m/>
    <m/>
    <m/>
    <m/>
    <m/>
    <m/>
    <n v="0"/>
    <n v="2100"/>
    <n v="9240000"/>
  </r>
  <r>
    <s v="221A/2019"/>
    <d v="2019-05-21T00:00:00"/>
    <s v="KIỀU THY"/>
    <s v="TD05"/>
    <x v="6"/>
    <x v="21"/>
    <s v="SERANO"/>
    <m/>
    <s v="18.20"/>
    <s v="150"/>
    <s v="NL2018"/>
    <m/>
    <n v="67"/>
    <n v="10050"/>
    <x v="5"/>
    <n v="77385000"/>
    <x v="2"/>
    <d v="2019-09-01T00:00:00"/>
    <d v="2019-09-29T00:00:00"/>
    <d v="2019-09-29T00:00:00"/>
    <s v="TẾT"/>
    <m/>
    <m/>
    <m/>
    <m/>
    <m/>
    <m/>
    <m/>
    <m/>
    <m/>
    <m/>
    <m/>
    <n v="0"/>
    <n v="10050"/>
    <n v="77385000"/>
  </r>
  <r>
    <s v="221A/2019"/>
    <d v="2019-05-21T00:00:00"/>
    <s v="KIỀU THY"/>
    <s v="TD05"/>
    <x v="6"/>
    <x v="7"/>
    <s v="PROFUNDO"/>
    <m/>
    <s v="18.20"/>
    <s v="150"/>
    <s v="NL2018"/>
    <m/>
    <n v="67"/>
    <n v="10050"/>
    <x v="22"/>
    <n v="109545000"/>
    <x v="2"/>
    <d v="2019-09-01T00:00:00"/>
    <d v="2019-09-29T00:00:00"/>
    <d v="2019-09-29T00:00:00"/>
    <s v="TẾT"/>
    <m/>
    <m/>
    <m/>
    <m/>
    <m/>
    <m/>
    <m/>
    <m/>
    <m/>
    <m/>
    <m/>
    <n v="0"/>
    <n v="10050"/>
    <n v="109545000"/>
  </r>
  <r>
    <s v="107A/2019"/>
    <d v="2019-03-11T00:00:00"/>
    <s v="KIỀU THY"/>
    <s v="DT05"/>
    <x v="7"/>
    <x v="15"/>
    <s v="CONCADOR"/>
    <m/>
    <n v="16.18"/>
    <n v="200"/>
    <s v="NL2018"/>
    <m/>
    <n v="5"/>
    <n v="1000"/>
    <x v="18"/>
    <n v="5000000"/>
    <x v="0"/>
    <d v="2019-03-15T00:00:00"/>
    <d v="2019-04-19T00:00:00"/>
    <d v="2019-04-19T00:00:00"/>
    <s v="15/3AL"/>
    <s v="CONT 21/2019"/>
    <d v="2019-04-14T00:00:00"/>
    <m/>
    <d v="2019-04-24T00:00:00"/>
    <n v="1000"/>
    <m/>
    <m/>
    <m/>
    <m/>
    <m/>
    <m/>
    <n v="1000"/>
    <n v="0"/>
    <n v="0"/>
  </r>
  <r>
    <s v="107A/2019"/>
    <d v="2019-03-11T00:00:00"/>
    <s v="KIỀU THY"/>
    <s v="DT05"/>
    <x v="7"/>
    <x v="22"/>
    <s v="ROBINA"/>
    <m/>
    <n v="16.18"/>
    <n v="200"/>
    <s v="NL2018"/>
    <m/>
    <n v="15"/>
    <n v="3000"/>
    <x v="23"/>
    <n v="14400000"/>
    <x v="0"/>
    <d v="2019-03-15T00:00:00"/>
    <d v="2019-04-19T00:00:00"/>
    <d v="2019-04-19T00:00:00"/>
    <s v="15/3AL"/>
    <s v="CONT 25/2019"/>
    <d v="2019-04-14T00:00:00"/>
    <m/>
    <d v="2019-04-24T00:00:00"/>
    <n v="3000"/>
    <m/>
    <m/>
    <m/>
    <m/>
    <m/>
    <m/>
    <n v="3000"/>
    <n v="0"/>
    <n v="0"/>
  </r>
  <r>
    <s v="107A/2019"/>
    <d v="2019-03-11T00:00:00"/>
    <s v="KIỀU THY"/>
    <s v="DT05"/>
    <x v="7"/>
    <x v="23"/>
    <s v="FELINO"/>
    <m/>
    <n v="15.16"/>
    <n v="250"/>
    <s v="NL2018"/>
    <m/>
    <n v="5"/>
    <n v="1250"/>
    <x v="24"/>
    <n v="7125000"/>
    <x v="0"/>
    <d v="2019-03-15T00:00:00"/>
    <d v="2019-04-19T00:00:00"/>
    <d v="2019-04-19T00:00:00"/>
    <s v="15/3AL"/>
    <m/>
    <m/>
    <m/>
    <d v="2019-04-24T00:00:00"/>
    <n v="1250"/>
    <m/>
    <m/>
    <m/>
    <m/>
    <m/>
    <m/>
    <n v="1250"/>
    <n v="0"/>
    <n v="0"/>
  </r>
  <r>
    <s v="107A/2019"/>
    <d v="2019-03-11T00:00:00"/>
    <s v="KIỀU THY"/>
    <s v="DT05"/>
    <x v="7"/>
    <x v="22"/>
    <s v="ROBINA"/>
    <m/>
    <n v="16.18"/>
    <n v="200"/>
    <s v="NL2018"/>
    <m/>
    <n v="15"/>
    <n v="3000"/>
    <x v="23"/>
    <n v="14400000"/>
    <x v="0"/>
    <d v="2019-03-15T00:00:00"/>
    <d v="2019-04-19T00:00:00"/>
    <d v="2019-04-19T00:00:00"/>
    <s v="15/3AL"/>
    <m/>
    <m/>
    <m/>
    <d v="2019-04-24T00:00:00"/>
    <n v="3000"/>
    <m/>
    <m/>
    <m/>
    <m/>
    <m/>
    <m/>
    <n v="3000"/>
    <n v="0"/>
    <n v="0"/>
  </r>
  <r>
    <s v="107A/2019"/>
    <d v="2019-03-11T00:00:00"/>
    <s v="KIỀU THY"/>
    <s v="DT05"/>
    <x v="7"/>
    <x v="24"/>
    <s v="SERANO"/>
    <m/>
    <s v="14.16"/>
    <n v="300"/>
    <s v="NL2018"/>
    <m/>
    <n v="10"/>
    <n v="3000"/>
    <x v="25"/>
    <n v="10800000"/>
    <x v="0"/>
    <d v="2019-04-17T00:00:00"/>
    <d v="2019-05-21T00:00:00"/>
    <d v="2019-05-21T00:00:00"/>
    <s v="15/4AL"/>
    <m/>
    <m/>
    <m/>
    <d v="2019-05-20T00:00:00"/>
    <n v="3000"/>
    <m/>
    <m/>
    <m/>
    <m/>
    <m/>
    <m/>
    <n v="3000"/>
    <n v="0"/>
    <n v="0"/>
  </r>
  <r>
    <s v="107A/2019"/>
    <d v="2019-03-11T00:00:00"/>
    <s v="KIỀU THY"/>
    <s v="DT05"/>
    <x v="7"/>
    <x v="22"/>
    <s v="ROBINA"/>
    <m/>
    <n v="16.18"/>
    <n v="200"/>
    <s v="NL2018"/>
    <m/>
    <n v="35"/>
    <n v="7000"/>
    <x v="18"/>
    <n v="35000000"/>
    <x v="0"/>
    <d v="2019-04-17T00:00:00"/>
    <d v="2019-05-21T00:00:00"/>
    <d v="2019-05-21T00:00:00"/>
    <s v="15/4AL"/>
    <m/>
    <m/>
    <m/>
    <d v="2019-05-20T00:00:00"/>
    <n v="7000"/>
    <m/>
    <m/>
    <m/>
    <m/>
    <m/>
    <m/>
    <n v="7000"/>
    <n v="0"/>
    <n v="0"/>
  </r>
  <r>
    <s v="205A/2019"/>
    <d v="2019-04-24T00:00:00"/>
    <s v="KIỀU THY"/>
    <s v="DT05"/>
    <x v="7"/>
    <x v="22"/>
    <s v="ROBINA"/>
    <m/>
    <n v="16.18"/>
    <n v="200"/>
    <s v="NL2018"/>
    <m/>
    <n v="35"/>
    <n v="7000"/>
    <x v="26"/>
    <n v="40600000"/>
    <x v="2"/>
    <d v="2019-09-01T00:00:00"/>
    <d v="2019-09-29T00:00:00"/>
    <d v="2019-09-29T00:00:00"/>
    <s v="TẾT"/>
    <m/>
    <m/>
    <m/>
    <m/>
    <m/>
    <m/>
    <m/>
    <m/>
    <m/>
    <m/>
    <m/>
    <n v="0"/>
    <n v="7000"/>
    <n v="40600000"/>
  </r>
  <r>
    <s v="205A/2019"/>
    <d v="2019-04-24T00:00:00"/>
    <s v="KIỀU THY"/>
    <s v="DT05"/>
    <x v="7"/>
    <x v="25"/>
    <s v="CONCADOR"/>
    <m/>
    <s v="18.20"/>
    <n v="150"/>
    <s v="NL2018"/>
    <m/>
    <n v="20"/>
    <n v="3000"/>
    <x v="27"/>
    <n v="24000000"/>
    <x v="2"/>
    <d v="2019-09-01T00:00:00"/>
    <d v="2019-09-29T00:00:00"/>
    <d v="2019-09-29T00:00:00"/>
    <s v="TẾT"/>
    <m/>
    <m/>
    <m/>
    <m/>
    <m/>
    <m/>
    <m/>
    <m/>
    <m/>
    <m/>
    <m/>
    <n v="0"/>
    <n v="3000"/>
    <n v="24000000"/>
  </r>
  <r>
    <s v="11B/2019"/>
    <d v="2019-12-21T00:00:00"/>
    <s v="THANH THÚY"/>
    <s v="DD01"/>
    <x v="8"/>
    <x v="17"/>
    <s v="NELLO "/>
    <m/>
    <s v="12.14"/>
    <n v="400"/>
    <s v="NL2018"/>
    <m/>
    <n v="63"/>
    <n v="25200"/>
    <x v="17"/>
    <n v="75600000"/>
    <x v="0"/>
    <d v="2019-01-15T00:00:00"/>
    <d v="2019-02-19T00:00:00"/>
    <d v="2019-02-19T00:00:00"/>
    <s v="15/1AL"/>
    <m/>
    <m/>
    <m/>
    <d v="2019-02-22T00:00:00"/>
    <n v="17600"/>
    <d v="2019-04-23T00:00:00"/>
    <n v="6000"/>
    <d v="2019-05-02T00:00:00"/>
    <n v="1600"/>
    <m/>
    <m/>
    <n v="25200"/>
    <n v="0"/>
    <n v="0"/>
  </r>
  <r>
    <s v="11B/2019"/>
    <d v="2019-12-21T00:00:00"/>
    <s v="THANH THÚY"/>
    <s v="DD01"/>
    <x v="8"/>
    <x v="20"/>
    <s v="AMATERAS"/>
    <m/>
    <s v="12.14"/>
    <n v="400"/>
    <s v="NL2018"/>
    <m/>
    <n v="23"/>
    <n v="9200"/>
    <x v="4"/>
    <n v="25760000"/>
    <x v="0"/>
    <d v="2019-02-15T00:00:00"/>
    <d v="2019-03-20T00:00:00"/>
    <d v="2019-03-20T00:00:00"/>
    <s v="15/2AL"/>
    <s v="CONT 9/2019"/>
    <m/>
    <m/>
    <d v="2019-03-29T00:00:00"/>
    <n v="4800"/>
    <d v="2019-04-01T00:00:00"/>
    <n v="4400"/>
    <m/>
    <m/>
    <m/>
    <m/>
    <n v="9200"/>
    <n v="0"/>
    <n v="0"/>
  </r>
  <r>
    <s v="147B/2019"/>
    <d v="2019-04-01T00:00:00"/>
    <s v="THANH THÚY"/>
    <s v="DD01"/>
    <x v="8"/>
    <x v="13"/>
    <s v="AMATERAS"/>
    <m/>
    <s v="14.16"/>
    <n v="275"/>
    <s v="NL2018"/>
    <m/>
    <n v="15"/>
    <n v="4125"/>
    <x v="1"/>
    <n v="17325000"/>
    <x v="0"/>
    <s v="ÔNG LỘC"/>
    <s v=""/>
    <s v=""/>
    <s v="15/3AL"/>
    <m/>
    <m/>
    <m/>
    <d v="2019-04-17T00:00:00"/>
    <n v="4125"/>
    <m/>
    <m/>
    <m/>
    <m/>
    <m/>
    <m/>
    <n v="4125"/>
    <n v="0"/>
    <n v="0"/>
  </r>
  <r>
    <s v="147B/2019"/>
    <d v="2019-04-01T00:00:00"/>
    <s v="THANH THÚY"/>
    <s v="DD01"/>
    <x v="8"/>
    <x v="4"/>
    <s v="TEBALDI"/>
    <m/>
    <s v="14.16"/>
    <n v="300"/>
    <s v="NL2018"/>
    <m/>
    <n v="7"/>
    <n v="2100"/>
    <x v="1"/>
    <n v="8820000"/>
    <x v="0"/>
    <d v="2019-03-10T00:00:00"/>
    <d v="2019-04-14T00:00:00"/>
    <d v="2019-04-14T00:00:00"/>
    <s v="15/3AL"/>
    <m/>
    <m/>
    <m/>
    <d v="2019-04-17T00:00:00"/>
    <n v="2100"/>
    <m/>
    <m/>
    <m/>
    <m/>
    <m/>
    <m/>
    <n v="2100"/>
    <n v="0"/>
    <n v="0"/>
  </r>
  <r>
    <s v="161B/2019"/>
    <d v="2019-04-08T00:00:00"/>
    <s v="THANH THÚY"/>
    <s v="DD01"/>
    <x v="8"/>
    <x v="19"/>
    <s v="PAVIA 2017"/>
    <m/>
    <s v="12.14"/>
    <n v="400"/>
    <s v="NL2017"/>
    <m/>
    <n v="13"/>
    <n v="5200"/>
    <x v="19"/>
    <n v="10400000"/>
    <x v="0"/>
    <d v="2019-03-04T00:00:00"/>
    <d v="2019-04-08T00:00:00"/>
    <d v="2019-04-08T00:00:00"/>
    <s v="4/3AL"/>
    <m/>
    <m/>
    <m/>
    <d v="2019-04-08T00:00:00"/>
    <n v="5200"/>
    <m/>
    <m/>
    <m/>
    <m/>
    <m/>
    <m/>
    <n v="5200"/>
    <n v="0"/>
    <n v="0"/>
  </r>
  <r>
    <s v="11B/2019"/>
    <d v="2019-12-21T00:00:00"/>
    <s v="THANH THÚY"/>
    <s v="DD01"/>
    <x v="8"/>
    <x v="17"/>
    <s v="NELLO "/>
    <m/>
    <s v="12.14"/>
    <n v="400"/>
    <s v="NL2018"/>
    <m/>
    <n v="75"/>
    <n v="30000"/>
    <x v="17"/>
    <n v="90000000"/>
    <x v="0"/>
    <d v="2019-03-10T00:00:00"/>
    <d v="2019-04-14T00:00:00"/>
    <d v="2019-04-14T00:00:00"/>
    <s v="15/3AL"/>
    <s v="CONT 20/2019"/>
    <m/>
    <m/>
    <d v="2019-05-02T00:00:00"/>
    <n v="4400"/>
    <d v="2019-05-08T00:00:00"/>
    <n v="5200"/>
    <d v="2019-05-17T00:00:00"/>
    <n v="20400"/>
    <m/>
    <m/>
    <n v="30000"/>
    <n v="0"/>
    <n v="0"/>
  </r>
  <r>
    <s v="147B/2019"/>
    <d v="2019-04-01T00:00:00"/>
    <s v="THANH THÚY"/>
    <s v="DD01"/>
    <x v="8"/>
    <x v="17"/>
    <s v="NELLO "/>
    <m/>
    <s v="12.14"/>
    <n v="400"/>
    <s v="NL2018"/>
    <m/>
    <n v="10"/>
    <n v="4000"/>
    <x v="17"/>
    <n v="12000000"/>
    <x v="0"/>
    <d v="2019-03-10T00:00:00"/>
    <d v="2019-04-14T00:00:00"/>
    <d v="2019-04-14T00:00:00"/>
    <s v="15/3AL"/>
    <m/>
    <m/>
    <m/>
    <m/>
    <n v="4000"/>
    <m/>
    <m/>
    <m/>
    <m/>
    <m/>
    <m/>
    <n v="4000"/>
    <n v="0"/>
    <n v="0"/>
  </r>
  <r>
    <s v="147B/2019"/>
    <d v="2019-04-01T00:00:00"/>
    <s v="THANH THÚY"/>
    <s v="DD01"/>
    <x v="8"/>
    <x v="17"/>
    <s v="NELLO "/>
    <m/>
    <s v="12.14"/>
    <n v="400"/>
    <s v="NL2018"/>
    <m/>
    <n v="49"/>
    <n v="19600"/>
    <x v="28"/>
    <n v="62720000"/>
    <x v="4"/>
    <d v="2019-04-29T00:00:00"/>
    <d v="2019-06-02T00:00:00"/>
    <d v="2019-06-02T00:00:00"/>
    <s v="29/4AL"/>
    <m/>
    <m/>
    <m/>
    <d v="2019-06-14T00:00:00"/>
    <n v="5600"/>
    <d v="2019-06-17T00:00:00"/>
    <n v="8000"/>
    <m/>
    <m/>
    <m/>
    <m/>
    <n v="13600"/>
    <n v="6000"/>
    <n v="19200000"/>
  </r>
  <r>
    <s v="147B/2019"/>
    <d v="2019-06-05T00:00:00"/>
    <s v="THANH THÚY"/>
    <s v="DD01"/>
    <x v="8"/>
    <x v="3"/>
    <s v="PAVIA"/>
    <m/>
    <s v="12.14"/>
    <n v="400"/>
    <s v="NL2018"/>
    <m/>
    <n v="8"/>
    <n v="3200"/>
    <x v="14"/>
    <n v="9280000"/>
    <x v="0"/>
    <d v="2019-04-17T00:00:00"/>
    <d v="2019-05-21T00:00:00"/>
    <d v="2019-05-21T00:00:00"/>
    <s v="29/4AL"/>
    <m/>
    <m/>
    <m/>
    <d v="2019-06-06T00:00:00"/>
    <n v="3200"/>
    <m/>
    <m/>
    <m/>
    <m/>
    <m/>
    <m/>
    <n v="3200"/>
    <n v="0"/>
    <n v="0"/>
  </r>
  <r>
    <s v="147B/2019"/>
    <d v="2019-04-01T00:00:00"/>
    <s v="THANH THÚY"/>
    <s v="DD01"/>
    <x v="8"/>
    <x v="12"/>
    <s v="AMATERAS"/>
    <m/>
    <s v="14.16"/>
    <n v="300"/>
    <s v="NL2018"/>
    <m/>
    <n v="0"/>
    <n v="0"/>
    <x v="13"/>
    <n v="0"/>
    <x v="1"/>
    <d v="2019-04-29T00:00:00"/>
    <d v="2019-06-02T00:00:00"/>
    <d v="2019-06-02T00:00:00"/>
    <s v="29/4AL"/>
    <m/>
    <m/>
    <m/>
    <m/>
    <m/>
    <m/>
    <m/>
    <m/>
    <m/>
    <m/>
    <m/>
    <n v="0"/>
    <n v="0"/>
    <n v="0"/>
  </r>
  <r>
    <s v="130B/2019"/>
    <d v="2019-12-21T00:00:00"/>
    <s v="THANH THÚY"/>
    <s v="DD01"/>
    <x v="8"/>
    <x v="26"/>
    <s v="ROBINA"/>
    <m/>
    <s v="22.24"/>
    <n v="100"/>
    <s v="NL2018"/>
    <m/>
    <n v="70"/>
    <n v="7000"/>
    <x v="29"/>
    <n v="87500000"/>
    <x v="2"/>
    <d v="2019-09-01T00:00:00"/>
    <d v="2019-09-29T00:00:00"/>
    <d v="2019-09-29T00:00:00"/>
    <s v="TẾT"/>
    <m/>
    <m/>
    <m/>
    <m/>
    <m/>
    <m/>
    <m/>
    <m/>
    <m/>
    <m/>
    <m/>
    <n v="0"/>
    <n v="7000"/>
    <n v="87500000"/>
  </r>
  <r>
    <s v="130B/2019"/>
    <d v="2019-12-21T00:00:00"/>
    <s v="THANH THÚY"/>
    <s v="DD01"/>
    <x v="8"/>
    <x v="27"/>
    <s v="MANISSA"/>
    <m/>
    <s v="24+"/>
    <n v="75"/>
    <s v="NL2018"/>
    <m/>
    <n v="27"/>
    <n v="2025"/>
    <x v="30"/>
    <n v="32400000"/>
    <x v="2"/>
    <d v="2019-09-01T00:00:00"/>
    <d v="2019-09-29T00:00:00"/>
    <d v="2019-09-29T00:00:00"/>
    <s v="TẾT"/>
    <m/>
    <m/>
    <m/>
    <m/>
    <m/>
    <m/>
    <m/>
    <m/>
    <m/>
    <m/>
    <m/>
    <n v="0"/>
    <n v="2025"/>
    <n v="32400000"/>
  </r>
  <r>
    <s v="130B/2019"/>
    <d v="2019-12-21T00:00:00"/>
    <s v="THANH THÚY"/>
    <s v="DD01"/>
    <x v="8"/>
    <x v="8"/>
    <s v="TEBALDI"/>
    <m/>
    <s v="16.18"/>
    <n v="200"/>
    <s v="NL2018"/>
    <m/>
    <n v="25"/>
    <n v="5000"/>
    <x v="20"/>
    <n v="30500000"/>
    <x v="2"/>
    <d v="2019-09-01T00:00:00"/>
    <d v="2019-09-29T00:00:00"/>
    <d v="2019-09-29T00:00:00"/>
    <s v="TẾT"/>
    <m/>
    <m/>
    <m/>
    <m/>
    <m/>
    <m/>
    <m/>
    <m/>
    <m/>
    <m/>
    <m/>
    <n v="0"/>
    <n v="5000"/>
    <n v="30500000"/>
  </r>
  <r>
    <s v="156A/2019"/>
    <d v="2019-03-29T00:00:00"/>
    <s v="KIỀU THY"/>
    <s v="DP02"/>
    <x v="9"/>
    <x v="28"/>
    <s v="YELLOWEEN"/>
    <m/>
    <s v="14.16"/>
    <n v="300"/>
    <s v="NL2018"/>
    <m/>
    <n v="0"/>
    <n v="0"/>
    <x v="6"/>
    <n v="0"/>
    <x v="1"/>
    <d v="2019-04-17T00:00:00"/>
    <d v="2019-05-21T00:00:00"/>
    <d v="2019-05-21T00:00:00"/>
    <s v="17/4AL"/>
    <m/>
    <m/>
    <m/>
    <m/>
    <m/>
    <m/>
    <m/>
    <m/>
    <m/>
    <m/>
    <m/>
    <n v="0"/>
    <n v="0"/>
    <n v="0"/>
  </r>
  <r>
    <s v="156A/2019"/>
    <d v="2019-03-29T00:00:00"/>
    <s v="KIỀU THY"/>
    <s v="DP02"/>
    <x v="9"/>
    <x v="28"/>
    <s v="YELLOWEEN"/>
    <m/>
    <s v="14.16"/>
    <n v="300"/>
    <s v="NL2018"/>
    <m/>
    <n v="0"/>
    <n v="0"/>
    <x v="6"/>
    <n v="0"/>
    <x v="1"/>
    <d v="2019-04-29T00:00:00"/>
    <d v="2019-06-02T00:00:00"/>
    <d v="2019-06-02T00:00:00"/>
    <s v="29/4AL"/>
    <m/>
    <m/>
    <m/>
    <m/>
    <m/>
    <m/>
    <m/>
    <m/>
    <m/>
    <m/>
    <m/>
    <n v="0"/>
    <n v="0"/>
    <n v="0"/>
  </r>
  <r>
    <s v="156A/2019"/>
    <d v="2019-03-29T00:00:00"/>
    <s v="KIỀU THY"/>
    <s v="DP02"/>
    <x v="9"/>
    <x v="29"/>
    <s v="MANISSA"/>
    <m/>
    <s v="16.18"/>
    <n v="200"/>
    <s v="NL2018"/>
    <m/>
    <n v="100"/>
    <n v="20000"/>
    <x v="31"/>
    <n v="138000000"/>
    <x v="0"/>
    <d v="2019-04-17T00:00:00"/>
    <d v="2019-05-21T00:00:00"/>
    <d v="2019-05-21T00:00:00"/>
    <s v="17/4AL"/>
    <m/>
    <m/>
    <m/>
    <d v="2019-05-18T00:00:00"/>
    <n v="20000"/>
    <m/>
    <m/>
    <m/>
    <m/>
    <m/>
    <m/>
    <n v="20000"/>
    <n v="0"/>
    <n v="0"/>
  </r>
  <r>
    <s v="156A/2019"/>
    <d v="2019-03-29T00:00:00"/>
    <s v="KIỀU THY"/>
    <s v="DP02"/>
    <x v="9"/>
    <x v="30"/>
    <s v="MALDANO"/>
    <m/>
    <s v="16.18"/>
    <n v="200"/>
    <s v="NL2018"/>
    <m/>
    <n v="150"/>
    <n v="30000"/>
    <x v="11"/>
    <n v="162000000"/>
    <x v="0"/>
    <d v="2019-04-17T00:00:00"/>
    <d v="2019-05-21T00:00:00"/>
    <d v="2019-05-21T00:00:00"/>
    <s v="17/4AL"/>
    <m/>
    <m/>
    <m/>
    <d v="2019-05-18T00:00:00"/>
    <n v="30000"/>
    <m/>
    <m/>
    <m/>
    <m/>
    <m/>
    <m/>
    <n v="30000"/>
    <n v="0"/>
    <n v="0"/>
  </r>
  <r>
    <s v="156A/2019"/>
    <d v="2019-03-29T00:00:00"/>
    <s v="KIỀU THY"/>
    <s v="DP02"/>
    <x v="9"/>
    <x v="31"/>
    <s v="TARRANGO"/>
    <m/>
    <s v="14.16"/>
    <n v="300"/>
    <s v="NL2018"/>
    <m/>
    <n v="100"/>
    <n v="30000"/>
    <x v="23"/>
    <n v="144000000"/>
    <x v="0"/>
    <d v="2019-04-17T00:00:00"/>
    <d v="2019-05-21T00:00:00"/>
    <d v="2019-05-21T00:00:00"/>
    <s v="17/4AL"/>
    <m/>
    <m/>
    <m/>
    <d v="2019-05-18T00:00:00"/>
    <n v="30000"/>
    <m/>
    <m/>
    <m/>
    <m/>
    <m/>
    <m/>
    <n v="30000"/>
    <n v="0"/>
    <n v="0"/>
  </r>
  <r>
    <s v="156A/2019"/>
    <d v="2019-03-29T00:00:00"/>
    <s v="KIỀU THY"/>
    <s v="DP02"/>
    <x v="9"/>
    <x v="32"/>
    <s v="BACARDI"/>
    <m/>
    <s v="16.18"/>
    <n v="200"/>
    <s v="NL2018"/>
    <m/>
    <n v="100"/>
    <n v="20000"/>
    <x v="32"/>
    <n v="136000000"/>
    <x v="0"/>
    <d v="2019-04-17T00:00:00"/>
    <d v="2019-05-21T00:00:00"/>
    <d v="2019-05-21T00:00:00"/>
    <s v="17/4AL"/>
    <m/>
    <m/>
    <m/>
    <d v="2019-05-18T00:00:00"/>
    <n v="20000"/>
    <m/>
    <m/>
    <m/>
    <m/>
    <m/>
    <m/>
    <n v="20000"/>
    <n v="0"/>
    <n v="0"/>
  </r>
  <r>
    <s v="156A/2019"/>
    <d v="2019-03-29T00:00:00"/>
    <s v="KIỀU THY"/>
    <s v="DP02"/>
    <x v="9"/>
    <x v="29"/>
    <s v="MANISSA"/>
    <m/>
    <s v="16.18"/>
    <n v="200"/>
    <s v="NL2018"/>
    <m/>
    <n v="100"/>
    <n v="20000"/>
    <x v="31"/>
    <n v="138000000"/>
    <x v="0"/>
    <d v="2019-05-05T00:00:00"/>
    <d v="2019-06-07T00:00:00"/>
    <d v="2019-06-07T00:00:00"/>
    <s v="05/5AL"/>
    <m/>
    <m/>
    <m/>
    <d v="2019-06-08T00:00:00"/>
    <n v="20000"/>
    <m/>
    <m/>
    <m/>
    <m/>
    <m/>
    <m/>
    <n v="20000"/>
    <n v="0"/>
    <n v="0"/>
  </r>
  <r>
    <s v="156A/2019"/>
    <d v="2019-03-29T00:00:00"/>
    <s v="KIỀU THY"/>
    <s v="DP02"/>
    <x v="9"/>
    <x v="32"/>
    <s v="BACARDI"/>
    <m/>
    <s v="16.18"/>
    <n v="200"/>
    <s v="NL2018"/>
    <m/>
    <n v="150"/>
    <n v="30000"/>
    <x v="31"/>
    <n v="207000000"/>
    <x v="0"/>
    <d v="2019-05-05T00:00:00"/>
    <d v="2019-06-07T00:00:00"/>
    <d v="2019-06-07T00:00:00"/>
    <s v="05/5AL"/>
    <m/>
    <m/>
    <m/>
    <d v="2019-06-08T00:00:00"/>
    <n v="20000"/>
    <d v="2019-06-17T00:00:00"/>
    <n v="10000"/>
    <m/>
    <m/>
    <m/>
    <m/>
    <n v="30000"/>
    <n v="0"/>
    <n v="0"/>
  </r>
  <r>
    <s v="156A/2019"/>
    <d v="2019-03-29T00:00:00"/>
    <s v="KIỀU THY"/>
    <s v="DP02"/>
    <x v="9"/>
    <x v="29"/>
    <s v="MANISSA"/>
    <m/>
    <s v="16.18"/>
    <n v="200"/>
    <s v="NL2018"/>
    <m/>
    <n v="100"/>
    <n v="20000"/>
    <x v="33"/>
    <n v="140000000"/>
    <x v="3"/>
    <d v="2019-05-18T00:00:00"/>
    <d v="2019-06-20T00:00:00"/>
    <d v="2019-06-20T00:00:00"/>
    <s v="30/5AL"/>
    <m/>
    <m/>
    <m/>
    <m/>
    <n v="0"/>
    <m/>
    <m/>
    <m/>
    <m/>
    <m/>
    <m/>
    <n v="0"/>
    <n v="20000"/>
    <n v="140000000"/>
  </r>
  <r>
    <s v="156A/2019"/>
    <d v="2019-03-29T00:00:00"/>
    <s v="KIỀU THY"/>
    <s v="DP02"/>
    <x v="9"/>
    <x v="32"/>
    <s v="BACARDI"/>
    <m/>
    <s v="16.18"/>
    <n v="200"/>
    <s v="NL2018"/>
    <m/>
    <n v="150"/>
    <n v="30000"/>
    <x v="33"/>
    <n v="210000000"/>
    <x v="3"/>
    <d v="2019-06-15T00:00:00"/>
    <d v="2019-07-17T00:00:00"/>
    <d v="2019-07-17T00:00:00"/>
    <s v="05/6AL"/>
    <m/>
    <m/>
    <m/>
    <m/>
    <m/>
    <m/>
    <m/>
    <m/>
    <m/>
    <m/>
    <m/>
    <n v="0"/>
    <n v="30000"/>
    <n v="210000000"/>
  </r>
  <r>
    <s v="156A/2019"/>
    <d v="2019-06-14T00:00:00"/>
    <s v="KIỀU THY"/>
    <s v="DP02"/>
    <x v="9"/>
    <x v="29"/>
    <s v="MANISSA"/>
    <m/>
    <s v="16.18"/>
    <n v="200"/>
    <s v="NL2018"/>
    <m/>
    <n v="150"/>
    <n v="30000"/>
    <x v="33"/>
    <n v="210000000"/>
    <x v="3"/>
    <d v="2019-06-15T00:00:00"/>
    <d v="2019-07-17T00:00:00"/>
    <d v="2019-07-17T00:00:00"/>
    <m/>
    <m/>
    <m/>
    <m/>
    <m/>
    <m/>
    <m/>
    <m/>
    <m/>
    <m/>
    <m/>
    <m/>
    <n v="0"/>
    <n v="30000"/>
    <n v="210000000"/>
  </r>
  <r>
    <s v="156A/2019"/>
    <d v="2019-06-11T00:00:00"/>
    <s v="KIỀU THY"/>
    <s v="DP02"/>
    <x v="9"/>
    <x v="33"/>
    <s v="PARAGUAY"/>
    <m/>
    <s v="16.18"/>
    <n v="175"/>
    <s v="NL2018"/>
    <m/>
    <n v="2"/>
    <n v="350"/>
    <x v="9"/>
    <n v="2170000"/>
    <x v="0"/>
    <d v="2019-05-05T00:00:00"/>
    <d v="2019-06-07T00:00:00"/>
    <d v="2019-06-07T00:00:00"/>
    <m/>
    <m/>
    <m/>
    <m/>
    <d v="2019-06-17T00:00:00"/>
    <n v="350"/>
    <m/>
    <m/>
    <m/>
    <m/>
    <m/>
    <m/>
    <n v="350"/>
    <n v="0"/>
    <n v="0"/>
  </r>
  <r>
    <s v="156A/2019"/>
    <d v="2019-06-11T00:00:00"/>
    <s v="KIỀU THY"/>
    <s v="DP02"/>
    <x v="9"/>
    <x v="34"/>
    <s v="TARRANGO"/>
    <m/>
    <s v="16.18"/>
    <n v="200"/>
    <s v="NL2018"/>
    <m/>
    <n v="100"/>
    <n v="20000"/>
    <x v="34"/>
    <n v="142000000"/>
    <x v="3"/>
    <d v="2019-06-25T00:00:00"/>
    <d v="2019-07-27T00:00:00"/>
    <d v="2019-07-27T00:00:00"/>
    <m/>
    <m/>
    <m/>
    <m/>
    <m/>
    <m/>
    <m/>
    <m/>
    <m/>
    <m/>
    <m/>
    <m/>
    <n v="0"/>
    <n v="20000"/>
    <n v="142000000"/>
  </r>
  <r>
    <s v="156A/2019"/>
    <d v="2019-06-11T00:00:00"/>
    <s v="KIỀU THY"/>
    <s v="DP02"/>
    <x v="9"/>
    <x v="34"/>
    <s v="TARRANGO"/>
    <m/>
    <s v="16.18"/>
    <n v="200"/>
    <s v="NL2018"/>
    <m/>
    <n v="113"/>
    <n v="22600"/>
    <x v="35"/>
    <n v="162720000"/>
    <x v="2"/>
    <d v="2019-07-15T00:00:00"/>
    <d v="2019-08-15T00:00:00"/>
    <d v="2019-08-15T00:00:00"/>
    <m/>
    <m/>
    <m/>
    <m/>
    <m/>
    <m/>
    <m/>
    <m/>
    <m/>
    <m/>
    <m/>
    <m/>
    <n v="0"/>
    <n v="22600"/>
    <n v="162720000"/>
  </r>
  <r>
    <s v="156A/2019"/>
    <d v="2019-06-11T00:00:00"/>
    <s v="KIỀU THY"/>
    <s v="DP02"/>
    <x v="9"/>
    <x v="29"/>
    <s v="MANISSA"/>
    <m/>
    <s v="16.18"/>
    <n v="200"/>
    <s v="NL2018"/>
    <m/>
    <n v="150"/>
    <n v="30000"/>
    <x v="35"/>
    <n v="216000000"/>
    <x v="2"/>
    <d v="2019-07-15T00:00:00"/>
    <d v="2019-08-15T00:00:00"/>
    <d v="2019-08-15T00:00:00"/>
    <m/>
    <m/>
    <m/>
    <m/>
    <m/>
    <m/>
    <m/>
    <m/>
    <m/>
    <m/>
    <m/>
    <m/>
    <n v="0"/>
    <n v="30000"/>
    <n v="216000000"/>
  </r>
  <r>
    <s v="127A2019"/>
    <d v="2019-01-05T00:00:00"/>
    <s v="KIỀU THY"/>
    <s v="DP02"/>
    <x v="9"/>
    <x v="35"/>
    <s v="BACARDI"/>
    <m/>
    <s v="20.22"/>
    <n v="125"/>
    <s v="NL2018"/>
    <m/>
    <n v="240"/>
    <n v="30000"/>
    <x v="8"/>
    <n v="324000000"/>
    <x v="2"/>
    <d v="2019-09-01T00:00:00"/>
    <d v="2019-09-29T00:00:00"/>
    <d v="2019-09-29T00:00:00"/>
    <s v="TẾT"/>
    <m/>
    <m/>
    <m/>
    <m/>
    <n v="0"/>
    <m/>
    <m/>
    <m/>
    <m/>
    <m/>
    <m/>
    <n v="0"/>
    <n v="30000"/>
    <n v="324000000"/>
  </r>
  <r>
    <s v="127A2019"/>
    <d v="2019-01-05T00:00:00"/>
    <s v="KIỀU THY"/>
    <s v="DP02"/>
    <x v="9"/>
    <x v="35"/>
    <s v="BACARDI"/>
    <m/>
    <s v="20.22"/>
    <n v="125"/>
    <s v="NL2018"/>
    <m/>
    <n v="80"/>
    <n v="10000"/>
    <x v="36"/>
    <n v="110000000"/>
    <x v="2"/>
    <d v="2019-09-01T00:00:00"/>
    <d v="2019-09-29T00:00:00"/>
    <d v="2019-09-29T00:00:00"/>
    <s v="TẾT"/>
    <m/>
    <m/>
    <m/>
    <m/>
    <n v="0"/>
    <m/>
    <m/>
    <m/>
    <m/>
    <m/>
    <m/>
    <n v="0"/>
    <n v="10000"/>
    <n v="110000000"/>
  </r>
  <r>
    <s v="127A2019"/>
    <d v="2019-01-05T00:00:00"/>
    <s v="KIỀU THY"/>
    <s v="DP02"/>
    <x v="9"/>
    <x v="36"/>
    <s v="MANISSA"/>
    <m/>
    <s v="20.22"/>
    <n v="125"/>
    <s v="NL2018"/>
    <m/>
    <n v="320"/>
    <n v="40000"/>
    <x v="37"/>
    <n v="540000000"/>
    <x v="2"/>
    <d v="2019-09-01T00:00:00"/>
    <d v="2019-09-29T00:00:00"/>
    <d v="2019-09-29T00:00:00"/>
    <s v="TẾT"/>
    <m/>
    <m/>
    <m/>
    <m/>
    <n v="0"/>
    <m/>
    <m/>
    <m/>
    <m/>
    <m/>
    <m/>
    <n v="0"/>
    <n v="40000"/>
    <n v="540000000"/>
  </r>
  <r>
    <s v="127A2019"/>
    <d v="2019-01-05T00:00:00"/>
    <s v="KIỀU THY"/>
    <s v="DP02"/>
    <x v="9"/>
    <x v="9"/>
    <s v="MANISSA"/>
    <m/>
    <s v="22.24"/>
    <n v="100"/>
    <s v="NL2018"/>
    <m/>
    <n v="200"/>
    <n v="20000"/>
    <x v="38"/>
    <n v="304000000"/>
    <x v="2"/>
    <d v="2019-09-01T00:00:00"/>
    <d v="2019-09-29T00:00:00"/>
    <d v="2019-09-29T00:00:00"/>
    <s v="TẾT"/>
    <m/>
    <m/>
    <m/>
    <m/>
    <n v="0"/>
    <m/>
    <m/>
    <m/>
    <m/>
    <m/>
    <m/>
    <n v="0"/>
    <n v="20000"/>
    <n v="304000000"/>
  </r>
  <r>
    <s v="127A2019"/>
    <d v="2019-01-05T00:00:00"/>
    <s v="KIỀU THY"/>
    <s v="DP02"/>
    <x v="9"/>
    <x v="14"/>
    <s v="TARRANGO"/>
    <m/>
    <s v="20.22"/>
    <n v="125"/>
    <s v="NL2018"/>
    <m/>
    <n v="160"/>
    <n v="20000"/>
    <x v="39"/>
    <n v="202000000"/>
    <x v="2"/>
    <d v="2019-09-01T00:00:00"/>
    <d v="2019-09-29T00:00:00"/>
    <d v="2019-09-29T00:00:00"/>
    <s v="TẾT"/>
    <m/>
    <m/>
    <m/>
    <m/>
    <n v="0"/>
    <m/>
    <m/>
    <m/>
    <m/>
    <m/>
    <m/>
    <n v="0"/>
    <n v="20000"/>
    <n v="202000000"/>
  </r>
  <r>
    <s v="127A2019"/>
    <d v="2019-01-05T00:00:00"/>
    <s v="KIỀU THY"/>
    <s v="DP02"/>
    <x v="9"/>
    <x v="37"/>
    <s v="PROFUNDO"/>
    <m/>
    <s v="20.22"/>
    <n v="125"/>
    <s v="NL2018"/>
    <m/>
    <n v="160"/>
    <n v="20000"/>
    <x v="40"/>
    <n v="260000000"/>
    <x v="2"/>
    <d v="2019-09-01T00:00:00"/>
    <d v="2019-09-29T00:00:00"/>
    <d v="2019-09-29T00:00:00"/>
    <s v="TẾT"/>
    <m/>
    <m/>
    <m/>
    <m/>
    <n v="0"/>
    <m/>
    <m/>
    <m/>
    <m/>
    <m/>
    <m/>
    <n v="0"/>
    <n v="20000"/>
    <n v="260000000"/>
  </r>
  <r>
    <s v="127A2019"/>
    <d v="2019-01-05T00:00:00"/>
    <s v="KIỀU THY"/>
    <s v="DP02"/>
    <x v="9"/>
    <x v="37"/>
    <s v="PROFUNDO CHILE"/>
    <m/>
    <s v="20.22"/>
    <n v="125"/>
    <s v="NL2018"/>
    <m/>
    <n v="80"/>
    <n v="10000"/>
    <x v="37"/>
    <n v="135000000"/>
    <x v="2"/>
    <d v="2019-09-01T00:00:00"/>
    <d v="2019-09-29T00:00:00"/>
    <d v="2019-09-29T00:00:00"/>
    <s v="TẾT"/>
    <m/>
    <m/>
    <m/>
    <m/>
    <n v="0"/>
    <m/>
    <m/>
    <m/>
    <m/>
    <m/>
    <m/>
    <n v="0"/>
    <n v="10000"/>
    <n v="135000000"/>
  </r>
  <r>
    <s v="156A/2019"/>
    <d v="2019-03-29T00:00:00"/>
    <s v="KIỀU THY"/>
    <s v="DP02"/>
    <x v="9"/>
    <x v="29"/>
    <s v="MANISSA"/>
    <m/>
    <s v="16.18"/>
    <n v="200"/>
    <s v="NL2018"/>
    <m/>
    <n v="350"/>
    <n v="70000"/>
    <x v="41"/>
    <n v="0"/>
    <x v="2"/>
    <m/>
    <s v=""/>
    <s v=""/>
    <m/>
    <m/>
    <m/>
    <m/>
    <m/>
    <n v="0"/>
    <m/>
    <m/>
    <m/>
    <m/>
    <m/>
    <m/>
    <n v="0"/>
    <n v="70000"/>
    <n v="0"/>
  </r>
  <r>
    <s v="17A/2019"/>
    <d v="2019-01-05T00:00:00"/>
    <s v="KIỀU THY"/>
    <s v="DP02"/>
    <x v="9"/>
    <x v="32"/>
    <s v="BACARDI"/>
    <m/>
    <s v="16.18"/>
    <n v="200"/>
    <s v="NL2018"/>
    <m/>
    <n v="140"/>
    <n v="28000"/>
    <x v="42"/>
    <n v="176400000"/>
    <x v="0"/>
    <d v="2019-01-15T00:00:00"/>
    <d v="2019-02-19T00:00:00"/>
    <d v="2019-02-19T00:00:00"/>
    <s v="15/1AL"/>
    <m/>
    <m/>
    <m/>
    <d v="2019-02-19T00:00:00"/>
    <n v="28000"/>
    <m/>
    <m/>
    <m/>
    <m/>
    <m/>
    <m/>
    <n v="28000"/>
    <n v="0"/>
    <n v="0"/>
  </r>
  <r>
    <s v="17A/2019"/>
    <d v="2019-01-05T00:00:00"/>
    <s v="KIỀU THY"/>
    <s v="DP02"/>
    <x v="9"/>
    <x v="5"/>
    <s v="PROFUNDO"/>
    <m/>
    <s v="16.18"/>
    <n v="200"/>
    <s v="NL2018"/>
    <m/>
    <n v="150"/>
    <n v="30000"/>
    <x v="43"/>
    <n v="195000000"/>
    <x v="0"/>
    <d v="2019-01-15T00:00:00"/>
    <d v="2019-02-19T00:00:00"/>
    <d v="2019-02-19T00:00:00"/>
    <s v="15/1AL"/>
    <m/>
    <m/>
    <m/>
    <d v="2019-02-19T00:00:00"/>
    <n v="30000"/>
    <m/>
    <m/>
    <m/>
    <m/>
    <m/>
    <m/>
    <n v="30000"/>
    <n v="0"/>
    <n v="0"/>
  </r>
  <r>
    <s v="17A/2019"/>
    <d v="2019-01-05T00:00:00"/>
    <s v="KIỀU THY"/>
    <s v="DP02"/>
    <x v="9"/>
    <x v="34"/>
    <s v="TARRANGO"/>
    <m/>
    <s v="16.18"/>
    <n v="200"/>
    <s v="NL2018"/>
    <m/>
    <n v="50"/>
    <n v="10000"/>
    <x v="44"/>
    <n v="55000000"/>
    <x v="0"/>
    <d v="2019-01-15T00:00:00"/>
    <d v="2019-02-19T00:00:00"/>
    <d v="2019-02-19T00:00:00"/>
    <s v="15/1AL"/>
    <m/>
    <m/>
    <m/>
    <d v="2019-02-19T00:00:00"/>
    <n v="10000"/>
    <m/>
    <m/>
    <m/>
    <m/>
    <m/>
    <m/>
    <n v="10000"/>
    <n v="0"/>
    <n v="0"/>
  </r>
  <r>
    <s v="17A/2019"/>
    <d v="2019-01-05T00:00:00"/>
    <s v="KIỀU THY"/>
    <s v="DP02"/>
    <x v="9"/>
    <x v="38"/>
    <s v="YELLOWEEN"/>
    <m/>
    <s v="16.18"/>
    <n v="200"/>
    <s v="NL2018"/>
    <m/>
    <n v="250"/>
    <n v="50000"/>
    <x v="18"/>
    <n v="250000000"/>
    <x v="0"/>
    <d v="2019-01-15T00:00:00"/>
    <d v="2019-02-19T00:00:00"/>
    <d v="2019-02-19T00:00:00"/>
    <s v="15/1AL"/>
    <m/>
    <m/>
    <m/>
    <d v="2019-02-22T00:00:00"/>
    <n v="20000"/>
    <d v="2019-02-23T00:00:00"/>
    <n v="30000"/>
    <m/>
    <m/>
    <m/>
    <m/>
    <n v="50000"/>
    <n v="0"/>
    <n v="0"/>
  </r>
  <r>
    <s v="17A/2019"/>
    <d v="2019-01-05T00:00:00"/>
    <s v="KIỀU THY"/>
    <s v="DP02"/>
    <x v="9"/>
    <x v="32"/>
    <s v="BACARDI"/>
    <m/>
    <s v="16.18"/>
    <n v="200"/>
    <s v="NL2018"/>
    <m/>
    <n v="100"/>
    <n v="20000"/>
    <x v="42"/>
    <n v="126000000"/>
    <x v="0"/>
    <d v="2019-02-15T00:00:00"/>
    <d v="2019-03-20T00:00:00"/>
    <d v="2019-03-20T00:00:00"/>
    <s v="15/2AL"/>
    <s v="CONT 11/2019"/>
    <d v="2019-03-17T00:00:00"/>
    <m/>
    <d v="2019-03-19T00:00:00"/>
    <n v="20000"/>
    <m/>
    <m/>
    <m/>
    <m/>
    <m/>
    <m/>
    <n v="20000"/>
    <n v="0"/>
    <n v="0"/>
  </r>
  <r>
    <s v="17A/2019"/>
    <d v="2019-01-05T00:00:00"/>
    <s v="KIỀU THY"/>
    <s v="DP02"/>
    <x v="9"/>
    <x v="5"/>
    <s v="PROFUNDO"/>
    <m/>
    <s v="16.18"/>
    <n v="200"/>
    <s v="NL2018"/>
    <m/>
    <n v="100"/>
    <n v="20000"/>
    <x v="45"/>
    <n v="134000000"/>
    <x v="0"/>
    <d v="2019-02-15T00:00:00"/>
    <d v="2019-03-20T00:00:00"/>
    <d v="2019-03-20T00:00:00"/>
    <s v="15/2AL"/>
    <s v="CONT 12/2019"/>
    <d v="2019-03-17T00:00:00"/>
    <m/>
    <d v="2019-03-19T00:00:00"/>
    <n v="20000"/>
    <m/>
    <m/>
    <m/>
    <m/>
    <m/>
    <m/>
    <n v="20000"/>
    <n v="0"/>
    <n v="0"/>
  </r>
  <r>
    <s v="17A/2019"/>
    <d v="2019-01-05T00:00:00"/>
    <s v="KIỀU THY"/>
    <s v="DP02"/>
    <x v="9"/>
    <x v="34"/>
    <s v="TARRANGO"/>
    <m/>
    <s v="16.18"/>
    <n v="200"/>
    <s v="NL2018"/>
    <m/>
    <n v="50"/>
    <n v="10000"/>
    <x v="44"/>
    <n v="55000000"/>
    <x v="0"/>
    <d v="2019-02-15T00:00:00"/>
    <d v="2019-03-20T00:00:00"/>
    <d v="2019-03-20T00:00:00"/>
    <s v="15/2AL"/>
    <s v="CONT 12/2019"/>
    <d v="2019-03-17T00:00:00"/>
    <m/>
    <d v="2019-03-19T00:00:00"/>
    <n v="10000"/>
    <m/>
    <m/>
    <m/>
    <m/>
    <m/>
    <m/>
    <n v="10000"/>
    <n v="0"/>
    <n v="0"/>
  </r>
  <r>
    <s v="17A/2019"/>
    <d v="2019-01-05T00:00:00"/>
    <s v="KIỀU THY"/>
    <s v="DP02"/>
    <x v="9"/>
    <x v="39"/>
    <s v="MANISSA"/>
    <s v="PR"/>
    <s v="16.18"/>
    <n v="200"/>
    <s v="NL2018"/>
    <m/>
    <n v="117"/>
    <n v="23400"/>
    <x v="46"/>
    <n v="140400000"/>
    <x v="0"/>
    <d v="2019-02-28T00:00:00"/>
    <d v="2019-04-02T00:00:00"/>
    <d v="2019-04-02T00:00:00"/>
    <s v="28/2AL"/>
    <s v="CONT 16/2019"/>
    <d v="2019-03-31T00:00:00"/>
    <m/>
    <d v="2019-04-02T00:00:00"/>
    <n v="11400"/>
    <d v="2019-04-15T00:00:00"/>
    <n v="12000"/>
    <m/>
    <m/>
    <m/>
    <m/>
    <n v="23400"/>
    <n v="0"/>
    <n v="0"/>
  </r>
  <r>
    <s v="17A/2019"/>
    <d v="2019-01-05T00:00:00"/>
    <s v="KIỀU THY"/>
    <s v="DP02"/>
    <x v="9"/>
    <x v="29"/>
    <s v="MANISSA"/>
    <m/>
    <s v="16.18"/>
    <n v="200"/>
    <s v="NL2018"/>
    <m/>
    <n v="180"/>
    <n v="36000"/>
    <x v="45"/>
    <n v="241200000"/>
    <x v="0"/>
    <d v="2019-02-28T00:00:00"/>
    <d v="2019-04-02T00:00:00"/>
    <d v="2019-04-02T00:00:00"/>
    <s v="28/2AL"/>
    <m/>
    <m/>
    <m/>
    <d v="2019-04-02T00:00:00"/>
    <n v="36000"/>
    <m/>
    <m/>
    <m/>
    <m/>
    <m/>
    <m/>
    <n v="36000"/>
    <n v="0"/>
    <n v="0"/>
  </r>
  <r>
    <s v="17A/2019"/>
    <d v="2019-01-05T00:00:00"/>
    <s v="KIỀU THY"/>
    <s v="DP02"/>
    <x v="9"/>
    <x v="32"/>
    <s v="BACARDI"/>
    <m/>
    <s v="16.18"/>
    <n v="200"/>
    <s v="NL2018"/>
    <m/>
    <n v="80"/>
    <n v="16000"/>
    <x v="42"/>
    <n v="100800000"/>
    <x v="0"/>
    <d v="2019-02-28T00:00:00"/>
    <d v="2019-04-02T00:00:00"/>
    <d v="2019-04-02T00:00:00"/>
    <s v="28/2AL"/>
    <s v="CONT 14/2019"/>
    <d v="2019-03-31T00:00:00"/>
    <m/>
    <d v="2019-04-15T00:00:00"/>
    <n v="16000"/>
    <m/>
    <m/>
    <m/>
    <m/>
    <m/>
    <m/>
    <n v="16000"/>
    <n v="0"/>
    <n v="0"/>
  </r>
  <r>
    <s v="17A/2019"/>
    <d v="2019-01-05T00:00:00"/>
    <s v="KIỀU THY"/>
    <s v="DP02"/>
    <x v="9"/>
    <x v="5"/>
    <s v="PROFUNDO"/>
    <m/>
    <s v="16.18"/>
    <n v="200"/>
    <s v="NL2018"/>
    <m/>
    <n v="50"/>
    <n v="10000"/>
    <x v="45"/>
    <n v="67000000"/>
    <x v="0"/>
    <d v="2019-02-28T00:00:00"/>
    <d v="2019-04-02T00:00:00"/>
    <d v="2019-04-02T00:00:00"/>
    <s v="28/2AL"/>
    <s v="CONT 17/2019"/>
    <d v="2019-03-31T00:00:00"/>
    <m/>
    <d v="2019-04-15T00:00:00"/>
    <n v="10000"/>
    <m/>
    <m/>
    <m/>
    <m/>
    <m/>
    <m/>
    <n v="10000"/>
    <n v="0"/>
    <n v="0"/>
  </r>
  <r>
    <s v="17A/2019"/>
    <d v="2019-01-05T00:00:00"/>
    <s v="KIỀU THY"/>
    <s v="DP02"/>
    <x v="9"/>
    <x v="34"/>
    <s v="TARRANGO"/>
    <m/>
    <s v="16.18"/>
    <n v="200"/>
    <s v="NL2018"/>
    <m/>
    <n v="100"/>
    <n v="20000"/>
    <x v="44"/>
    <n v="110000000"/>
    <x v="0"/>
    <d v="2019-02-28T00:00:00"/>
    <d v="2019-04-02T00:00:00"/>
    <d v="2019-04-02T00:00:00"/>
    <s v="28/2AL"/>
    <s v="CONT 14/2019"/>
    <d v="2019-03-31T00:00:00"/>
    <m/>
    <d v="2019-04-15T00:00:00"/>
    <n v="20000"/>
    <m/>
    <m/>
    <m/>
    <m/>
    <m/>
    <m/>
    <n v="20000"/>
    <n v="0"/>
    <n v="0"/>
  </r>
  <r>
    <s v="17A/2019"/>
    <d v="2019-01-05T00:00:00"/>
    <s v="KIỀU THY"/>
    <s v="DP02"/>
    <x v="9"/>
    <x v="34"/>
    <s v="TARRANGO"/>
    <m/>
    <s v="16.18"/>
    <n v="200"/>
    <s v="NL2018"/>
    <m/>
    <n v="50"/>
    <n v="10000"/>
    <x v="44"/>
    <n v="55000000"/>
    <x v="0"/>
    <d v="2019-03-15T00:00:00"/>
    <d v="2019-04-19T00:00:00"/>
    <d v="2019-04-19T00:00:00"/>
    <s v="15/3AL"/>
    <s v="CONT 14/2019"/>
    <d v="2019-03-31T00:00:00"/>
    <m/>
    <d v="2019-04-17T00:00:00"/>
    <n v="10000"/>
    <m/>
    <m/>
    <m/>
    <m/>
    <m/>
    <m/>
    <n v="10000"/>
    <n v="0"/>
    <n v="0"/>
  </r>
  <r>
    <s v="53A/2019"/>
    <d v="2019-02-16T00:00:00"/>
    <s v="KIỀU THY"/>
    <s v="CV"/>
    <x v="10"/>
    <x v="31"/>
    <s v="TARRANGO"/>
    <m/>
    <s v="14.16"/>
    <n v="300"/>
    <s v="NL2018"/>
    <m/>
    <n v="0"/>
    <n v="0"/>
    <x v="21"/>
    <n v="0"/>
    <x v="1"/>
    <s v="30-Feb-19"/>
    <d v="2019-04-04T00:00:00"/>
    <d v="2019-04-04T00:00:00"/>
    <s v="30/2AL"/>
    <s v="CONT 17/2019"/>
    <d v="2019-03-31T00:00:00"/>
    <s v="NHẮC CỌC"/>
    <m/>
    <n v="0"/>
    <m/>
    <m/>
    <m/>
    <m/>
    <m/>
    <m/>
    <n v="0"/>
    <n v="0"/>
    <n v="0"/>
  </r>
  <r>
    <s v="53A/2019"/>
    <d v="2019-02-16T00:00:00"/>
    <s v="KIỀU THY"/>
    <s v="CV"/>
    <x v="10"/>
    <x v="28"/>
    <s v="YELLOWEEN"/>
    <m/>
    <s v="14.16"/>
    <n v="300"/>
    <s v="NL2018"/>
    <m/>
    <n v="0"/>
    <n v="0"/>
    <x v="6"/>
    <n v="0"/>
    <x v="1"/>
    <s v="30-Feb-19"/>
    <d v="2019-04-04T00:00:00"/>
    <d v="2019-04-04T00:00:00"/>
    <s v="30/2AL"/>
    <s v="CONT 18/2019"/>
    <d v="2019-03-31T00:00:00"/>
    <s v="NHẮC CỌC"/>
    <m/>
    <n v="0"/>
    <m/>
    <m/>
    <m/>
    <m/>
    <m/>
    <m/>
    <n v="0"/>
    <n v="0"/>
    <n v="0"/>
  </r>
  <r>
    <s v="53A/2019"/>
    <d v="2019-02-16T00:00:00"/>
    <s v="KIỀU THY"/>
    <s v="CV"/>
    <x v="10"/>
    <x v="40"/>
    <s v="PARAGUAY"/>
    <m/>
    <s v="14.16"/>
    <n v="300"/>
    <s v="NL2018"/>
    <m/>
    <n v="0"/>
    <n v="0"/>
    <x v="23"/>
    <n v="0"/>
    <x v="1"/>
    <d v="2019-03-15T00:00:00"/>
    <d v="2019-04-19T00:00:00"/>
    <d v="2019-04-19T00:00:00"/>
    <s v="15/3AL"/>
    <m/>
    <m/>
    <m/>
    <m/>
    <m/>
    <m/>
    <m/>
    <m/>
    <m/>
    <m/>
    <m/>
    <n v="0"/>
    <n v="0"/>
    <n v="0"/>
  </r>
  <r>
    <s v="53A/2019"/>
    <d v="2019-02-16T00:00:00"/>
    <s v="KIỀU THY"/>
    <s v="CV"/>
    <x v="10"/>
    <x v="11"/>
    <s v="YELLOWEEN"/>
    <m/>
    <s v="12.14"/>
    <n v="400"/>
    <s v="NL2018"/>
    <m/>
    <n v="0"/>
    <n v="0"/>
    <x v="47"/>
    <n v="0"/>
    <x v="1"/>
    <d v="2019-03-15T00:00:00"/>
    <d v="2019-04-19T00:00:00"/>
    <d v="2019-04-19T00:00:00"/>
    <s v="15/3AL"/>
    <m/>
    <m/>
    <m/>
    <m/>
    <m/>
    <m/>
    <m/>
    <m/>
    <m/>
    <m/>
    <m/>
    <n v="0"/>
    <n v="0"/>
    <n v="0"/>
  </r>
  <r>
    <s v="54A/2019"/>
    <d v="2019-02-16T00:00:00"/>
    <s v="KIỀU THY"/>
    <s v="PL01"/>
    <x v="11"/>
    <x v="19"/>
    <s v="PAVIA"/>
    <m/>
    <s v="12.14"/>
    <n v="400"/>
    <s v="NL2017"/>
    <m/>
    <n v="28"/>
    <n v="11200"/>
    <x v="19"/>
    <n v="22400000"/>
    <x v="0"/>
    <d v="2019-02-15T00:00:00"/>
    <d v="2019-03-20T00:00:00"/>
    <d v="2019-03-20T00:00:00"/>
    <s v="15/2AL"/>
    <s v="CONT 9/2019"/>
    <d v="2019-03-17T00:00:00"/>
    <s v="R"/>
    <d v="2019-03-23T00:00:00"/>
    <n v="7200"/>
    <d v="2019-04-03T00:00:00"/>
    <n v="4000"/>
    <m/>
    <m/>
    <m/>
    <m/>
    <n v="11200"/>
    <n v="0"/>
    <n v="0"/>
  </r>
  <r>
    <s v="54A/2019"/>
    <d v="2019-02-16T00:00:00"/>
    <s v="KIỀU THY"/>
    <s v="PL01"/>
    <x v="11"/>
    <x v="3"/>
    <s v="PAVIA"/>
    <m/>
    <s v="12.14"/>
    <n v="400"/>
    <s v="NL2018"/>
    <m/>
    <n v="5"/>
    <n v="2000"/>
    <x v="4"/>
    <n v="5600000"/>
    <x v="0"/>
    <s v="30-Feb-19"/>
    <d v="2019-04-04T00:00:00"/>
    <d v="2019-04-04T00:00:00"/>
    <s v="30/2AL"/>
    <s v="CONT 14/2019"/>
    <d v="2019-03-31T00:00:00"/>
    <m/>
    <d v="2019-04-03T00:00:00"/>
    <n v="2000"/>
    <m/>
    <m/>
    <m/>
    <m/>
    <m/>
    <m/>
    <n v="2000"/>
    <n v="0"/>
    <n v="0"/>
  </r>
  <r>
    <s v="54A/2019"/>
    <d v="2019-02-16T00:00:00"/>
    <s v="KIỀU THY"/>
    <s v="PL01"/>
    <x v="11"/>
    <x v="4"/>
    <s v="TEBALDI"/>
    <m/>
    <s v="14.16"/>
    <n v="300"/>
    <s v="NL2018"/>
    <m/>
    <n v="1"/>
    <n v="300"/>
    <x v="3"/>
    <n v="1230000"/>
    <x v="0"/>
    <s v="30-Feb-19"/>
    <d v="2019-04-04T00:00:00"/>
    <d v="2019-04-04T00:00:00"/>
    <s v="30/2AL"/>
    <s v="CONT 15/2019"/>
    <d v="2019-03-31T00:00:00"/>
    <s v="R"/>
    <d v="2019-04-03T00:00:00"/>
    <n v="300"/>
    <m/>
    <m/>
    <m/>
    <m/>
    <m/>
    <m/>
    <n v="300"/>
    <n v="0"/>
    <n v="0"/>
  </r>
  <r>
    <s v="54A/2019"/>
    <d v="2019-05-29T00:00:00"/>
    <s v="KIỀU THY"/>
    <s v="PL01"/>
    <x v="11"/>
    <x v="3"/>
    <s v="PAVIA"/>
    <m/>
    <s v="12.14"/>
    <n v="400"/>
    <s v="NL2018"/>
    <m/>
    <n v="7"/>
    <n v="2800"/>
    <x v="14"/>
    <n v="8120000"/>
    <x v="0"/>
    <d v="2019-05-05T00:00:00"/>
    <d v="2019-06-07T00:00:00"/>
    <d v="2019-06-07T00:00:00"/>
    <m/>
    <m/>
    <m/>
    <m/>
    <d v="2019-06-08T00:00:00"/>
    <n v="2800"/>
    <m/>
    <m/>
    <m/>
    <m/>
    <m/>
    <m/>
    <n v="2800"/>
    <n v="0"/>
    <n v="0"/>
  </r>
  <r>
    <s v="54A/2019"/>
    <d v="2019-05-31T00:00:00"/>
    <s v="KIỀU THY"/>
    <s v="PL01"/>
    <x v="11"/>
    <x v="22"/>
    <s v="ROBINA"/>
    <m/>
    <s v="16.18"/>
    <n v="200"/>
    <s v="NL2018"/>
    <m/>
    <n v="1"/>
    <n v="200"/>
    <x v="44"/>
    <n v="1100000"/>
    <x v="0"/>
    <d v="2019-05-05T00:00:00"/>
    <d v="2019-06-07T00:00:00"/>
    <d v="2019-06-07T00:00:00"/>
    <m/>
    <m/>
    <m/>
    <m/>
    <d v="2019-06-08T00:00:00"/>
    <n v="200"/>
    <m/>
    <m/>
    <m/>
    <m/>
    <m/>
    <m/>
    <n v="200"/>
    <n v="0"/>
    <n v="0"/>
  </r>
  <r>
    <s v="54A/2019"/>
    <d v="2019-05-31T00:00:00"/>
    <s v="KIỀU THY"/>
    <s v="PL01"/>
    <x v="11"/>
    <x v="3"/>
    <s v="PAVIA"/>
    <m/>
    <s v="12.14"/>
    <n v="400"/>
    <s v="NL2018"/>
    <m/>
    <n v="10"/>
    <n v="4000"/>
    <x v="17"/>
    <n v="12000000"/>
    <x v="4"/>
    <d v="2019-05-05T00:00:00"/>
    <d v="2019-06-07T00:00:00"/>
    <d v="2019-06-07T00:00:00"/>
    <s v="8/6al TRỒNG"/>
    <m/>
    <m/>
    <m/>
    <m/>
    <m/>
    <m/>
    <m/>
    <m/>
    <m/>
    <m/>
    <m/>
    <n v="0"/>
    <n v="4000"/>
    <n v="12000000"/>
  </r>
  <r>
    <s v="54A/2019"/>
    <d v="2019-06-11T00:00:00"/>
    <s v="KIỀU THY"/>
    <s v="PL01"/>
    <x v="11"/>
    <x v="22"/>
    <s v="ROBINA"/>
    <m/>
    <s v="16.18"/>
    <n v="200"/>
    <s v="NL2018"/>
    <m/>
    <n v="12"/>
    <n v="2400"/>
    <x v="48"/>
    <n v="13440000"/>
    <x v="3"/>
    <d v="2019-05-18T00:00:00"/>
    <d v="2019-06-20T00:00:00"/>
    <d v="2019-06-20T00:00:00"/>
    <m/>
    <m/>
    <m/>
    <m/>
    <m/>
    <m/>
    <m/>
    <m/>
    <m/>
    <m/>
    <m/>
    <m/>
    <n v="0"/>
    <n v="2400"/>
    <n v="13440000"/>
  </r>
  <r>
    <s v="54A/2019"/>
    <d v="2019-06-07T00:00:00"/>
    <s v="KIỀU THY"/>
    <s v="PL01"/>
    <x v="11"/>
    <x v="3"/>
    <s v="PAVIA"/>
    <m/>
    <s v="12.14"/>
    <n v="400"/>
    <s v="NL2018"/>
    <m/>
    <n v="15"/>
    <n v="6000"/>
    <x v="17"/>
    <n v="18000000"/>
    <x v="2"/>
    <d v="2019-07-20T00:00:00"/>
    <d v="2019-08-20T00:00:00"/>
    <d v="2019-08-20T00:00:00"/>
    <m/>
    <m/>
    <m/>
    <m/>
    <m/>
    <m/>
    <m/>
    <m/>
    <m/>
    <m/>
    <m/>
    <m/>
    <n v="0"/>
    <n v="6000"/>
    <n v="18000000"/>
  </r>
  <r>
    <s v="54A/2019"/>
    <d v="2019-06-07T00:00:00"/>
    <s v="KIỀU THY"/>
    <s v="PL01"/>
    <x v="11"/>
    <x v="3"/>
    <s v="PAVIA"/>
    <m/>
    <s v="12.14"/>
    <n v="400"/>
    <s v="NL2018"/>
    <m/>
    <n v="18"/>
    <n v="7200"/>
    <x v="49"/>
    <n v="22320000"/>
    <x v="2"/>
    <d v="2019-07-10T00:00:00"/>
    <d v="2019-08-10T00:00:00"/>
    <d v="2019-08-10T00:00:00"/>
    <m/>
    <m/>
    <m/>
    <m/>
    <m/>
    <m/>
    <m/>
    <m/>
    <m/>
    <m/>
    <m/>
    <m/>
    <n v="0"/>
    <n v="7200"/>
    <n v="22320000"/>
  </r>
  <r>
    <s v="54A/2019"/>
    <d v="2019-06-07T00:00:00"/>
    <s v="KIỀU THY"/>
    <s v="PL01"/>
    <x v="11"/>
    <x v="3"/>
    <s v="PAVIA"/>
    <m/>
    <s v="12.14"/>
    <n v="400"/>
    <s v="NL2018"/>
    <m/>
    <n v="18"/>
    <n v="7200"/>
    <x v="49"/>
    <n v="22320000"/>
    <x v="2"/>
    <d v="2019-08-10T00:00:00"/>
    <d v="2019-09-08T00:00:00"/>
    <d v="2019-09-08T00:00:00"/>
    <m/>
    <m/>
    <m/>
    <m/>
    <m/>
    <m/>
    <m/>
    <m/>
    <m/>
    <m/>
    <m/>
    <m/>
    <n v="0"/>
    <n v="7200"/>
    <n v="22320000"/>
  </r>
  <r>
    <s v="234/2019"/>
    <d v="2019-05-31T00:00:00"/>
    <s v="KIỀU THY"/>
    <s v="PL01"/>
    <x v="11"/>
    <x v="16"/>
    <s v="ROBINA"/>
    <m/>
    <s v="20.22"/>
    <n v="125"/>
    <s v="NL2018"/>
    <m/>
    <n v="24"/>
    <n v="3000"/>
    <x v="16"/>
    <n v="32100000"/>
    <x v="2"/>
    <d v="2019-09-01T00:00:00"/>
    <d v="2019-09-29T00:00:00"/>
    <d v="2019-09-29T00:00:00"/>
    <s v="TẾT"/>
    <m/>
    <m/>
    <m/>
    <m/>
    <m/>
    <m/>
    <m/>
    <m/>
    <m/>
    <m/>
    <m/>
    <n v="0"/>
    <n v="3000"/>
    <n v="32100000"/>
  </r>
  <r>
    <s v="234/2019"/>
    <d v="2019-05-31T00:00:00"/>
    <s v="KIỀU THY"/>
    <s v="PL01"/>
    <x v="11"/>
    <x v="41"/>
    <s v="PAVIA"/>
    <m/>
    <s v="14.16"/>
    <n v="300"/>
    <s v="NL2018"/>
    <m/>
    <n v="4"/>
    <n v="1200"/>
    <x v="21"/>
    <n v="5520000"/>
    <x v="2"/>
    <d v="2019-09-01T00:00:00"/>
    <d v="2019-09-29T00:00:00"/>
    <d v="2019-09-29T00:00:00"/>
    <s v="TẾT"/>
    <m/>
    <m/>
    <m/>
    <m/>
    <m/>
    <m/>
    <m/>
    <m/>
    <m/>
    <m/>
    <m/>
    <n v="0"/>
    <n v="1200"/>
    <n v="5520000"/>
  </r>
  <r>
    <s v="234/2019"/>
    <d v="2019-05-31T00:00:00"/>
    <s v="KIỀU THY"/>
    <s v="PL01"/>
    <x v="11"/>
    <x v="42"/>
    <s v="PAVIA"/>
    <m/>
    <s v="16.18"/>
    <n v="200"/>
    <s v="NL2018"/>
    <m/>
    <n v="10"/>
    <n v="2000"/>
    <x v="42"/>
    <n v="12600000"/>
    <x v="2"/>
    <d v="2019-09-01T00:00:00"/>
    <d v="2019-09-29T00:00:00"/>
    <d v="2019-09-29T00:00:00"/>
    <s v="TẾT"/>
    <m/>
    <m/>
    <m/>
    <m/>
    <m/>
    <m/>
    <m/>
    <m/>
    <m/>
    <m/>
    <m/>
    <n v="0"/>
    <n v="2000"/>
    <n v="12600000"/>
  </r>
  <r>
    <s v="234/2019"/>
    <d v="2019-05-31T00:00:00"/>
    <s v="KIỀU THY"/>
    <s v="PL01"/>
    <x v="11"/>
    <x v="8"/>
    <s v="TEBALDI"/>
    <m/>
    <s v="16.18"/>
    <n v="200"/>
    <s v="NL2018"/>
    <m/>
    <n v="15"/>
    <n v="3000"/>
    <x v="9"/>
    <n v="18600000"/>
    <x v="2"/>
    <d v="2019-09-01T00:00:00"/>
    <d v="2019-09-29T00:00:00"/>
    <d v="2019-09-29T00:00:00"/>
    <s v="TẾT"/>
    <m/>
    <m/>
    <m/>
    <m/>
    <m/>
    <m/>
    <m/>
    <m/>
    <m/>
    <m/>
    <m/>
    <n v="0"/>
    <n v="3000"/>
    <n v="18600000"/>
  </r>
  <r>
    <s v="234/2019"/>
    <d v="2019-05-31T00:00:00"/>
    <s v="KIỀU THY"/>
    <s v="PL01"/>
    <x v="11"/>
    <x v="38"/>
    <s v="YELLOWEEN"/>
    <m/>
    <s v="16.18"/>
    <n v="200"/>
    <s v="NL2018"/>
    <m/>
    <n v="10"/>
    <n v="2000"/>
    <x v="44"/>
    <n v="11000000"/>
    <x v="2"/>
    <d v="2019-09-01T00:00:00"/>
    <d v="2019-09-29T00:00:00"/>
    <d v="2019-09-29T00:00:00"/>
    <s v="TẾT"/>
    <m/>
    <m/>
    <m/>
    <m/>
    <m/>
    <m/>
    <m/>
    <m/>
    <m/>
    <m/>
    <m/>
    <n v="0"/>
    <n v="2000"/>
    <n v="11000000"/>
  </r>
  <r>
    <s v="242/2019"/>
    <d v="2019-06-14T00:00:00"/>
    <s v="KIỀU THY"/>
    <s v="VK04"/>
    <x v="12"/>
    <x v="10"/>
    <s v="ARVANDRUD"/>
    <m/>
    <s v="16.18"/>
    <s v="200"/>
    <s v="NL2018"/>
    <m/>
    <n v="30"/>
    <n v="6000"/>
    <x v="11"/>
    <n v="32400000"/>
    <x v="0"/>
    <d v="2019-04-17T00:00:00"/>
    <d v="2019-05-21T00:00:00"/>
    <d v="2019-05-21T00:00:00"/>
    <m/>
    <m/>
    <m/>
    <m/>
    <d v="2019-06-14T00:00:00"/>
    <n v="3000"/>
    <m/>
    <m/>
    <m/>
    <m/>
    <m/>
    <m/>
    <n v="3000"/>
    <n v="3000"/>
    <n v="16200000"/>
  </r>
  <r>
    <s v="242/2019"/>
    <d v="2019-06-14T00:00:00"/>
    <s v="KIỀU THY"/>
    <s v="VK04"/>
    <x v="12"/>
    <x v="3"/>
    <s v="PAVIA"/>
    <m/>
    <s v="12.14"/>
    <s v="400"/>
    <s v="NL2018"/>
    <m/>
    <n v="25"/>
    <n v="10000"/>
    <x v="17"/>
    <n v="30000000"/>
    <x v="3"/>
    <d v="2019-06-15T00:00:00"/>
    <d v="2019-07-17T00:00:00"/>
    <d v="2019-07-17T00:00:00"/>
    <m/>
    <m/>
    <m/>
    <m/>
    <m/>
    <m/>
    <m/>
    <m/>
    <m/>
    <m/>
    <m/>
    <m/>
    <n v="0"/>
    <n v="10000"/>
    <n v="30000000"/>
  </r>
  <r>
    <s v="242/2019"/>
    <d v="2019-06-14T00:00:00"/>
    <s v="KIỀU THY"/>
    <s v="VK04"/>
    <x v="12"/>
    <x v="43"/>
    <s v="GENERAL LEE"/>
    <m/>
    <s v="14.16"/>
    <s v="300"/>
    <s v="NL2018"/>
    <m/>
    <n v="17"/>
    <n v="5100"/>
    <x v="13"/>
    <n v="22950000"/>
    <x v="2"/>
    <d v="2019-06-29T00:00:00"/>
    <d v="2019-07-31T00:00:00"/>
    <d v="2019-07-31T00:00:00"/>
    <m/>
    <m/>
    <m/>
    <m/>
    <m/>
    <m/>
    <m/>
    <m/>
    <m/>
    <m/>
    <m/>
    <m/>
    <n v="0"/>
    <n v="5100"/>
    <n v="22950000"/>
  </r>
  <r>
    <s v="211A/2019"/>
    <d v="2019-05-02T00:00:00"/>
    <s v="KIỀU THY"/>
    <s v="VD06"/>
    <x v="13"/>
    <x v="9"/>
    <s v="MANISSA"/>
    <m/>
    <s v="22.24"/>
    <n v="100"/>
    <s v="NL2018"/>
    <m/>
    <n v="75"/>
    <n v="7500"/>
    <x v="10"/>
    <n v="115500000"/>
    <x v="2"/>
    <d v="2019-09-01T00:00:00"/>
    <d v="2019-09-29T00:00:00"/>
    <d v="2019-09-29T00:00:00"/>
    <s v="TẾT"/>
    <m/>
    <m/>
    <m/>
    <m/>
    <m/>
    <m/>
    <m/>
    <m/>
    <m/>
    <m/>
    <m/>
    <n v="0"/>
    <n v="7500"/>
    <n v="115500000"/>
  </r>
  <r>
    <s v="211A/2019"/>
    <d v="2019-05-02T00:00:00"/>
    <s v="KIỀU THY"/>
    <s v="VD06"/>
    <x v="13"/>
    <x v="27"/>
    <s v="MANISSA"/>
    <m/>
    <s v="24+"/>
    <n v="75"/>
    <s v="NL2018"/>
    <m/>
    <n v="100"/>
    <n v="7500"/>
    <x v="50"/>
    <n v="121500000"/>
    <x v="2"/>
    <d v="2019-09-01T00:00:00"/>
    <d v="2019-09-29T00:00:00"/>
    <d v="2019-09-29T00:00:00"/>
    <s v="TẾT"/>
    <m/>
    <m/>
    <m/>
    <m/>
    <m/>
    <m/>
    <m/>
    <m/>
    <m/>
    <m/>
    <m/>
    <n v="0"/>
    <n v="7500"/>
    <n v="121500000"/>
  </r>
  <r>
    <s v="211A/2019"/>
    <d v="2019-05-02T00:00:00"/>
    <s v="KIỀU THY"/>
    <s v="VD06"/>
    <x v="13"/>
    <x v="26"/>
    <s v="ROBINA"/>
    <m/>
    <s v="22.24"/>
    <n v="100"/>
    <s v="NL2018"/>
    <m/>
    <n v="100"/>
    <n v="10000"/>
    <x v="51"/>
    <n v="137000000"/>
    <x v="2"/>
    <d v="2019-09-01T00:00:00"/>
    <d v="2019-09-29T00:00:00"/>
    <d v="2019-09-29T00:00:00"/>
    <s v="TẾT"/>
    <m/>
    <m/>
    <m/>
    <m/>
    <m/>
    <m/>
    <m/>
    <m/>
    <m/>
    <m/>
    <m/>
    <n v="0"/>
    <n v="10000"/>
    <n v="137000000"/>
  </r>
  <r>
    <s v="211A/2019"/>
    <d v="2019-05-07T00:00:00"/>
    <s v="KIỀU THY"/>
    <s v="VD06"/>
    <x v="13"/>
    <x v="26"/>
    <s v="ROBINA NZ"/>
    <m/>
    <s v="22.24"/>
    <n v="100"/>
    <s v="NL2018"/>
    <m/>
    <n v="180"/>
    <n v="18000"/>
    <x v="37"/>
    <n v="243000000"/>
    <x v="2"/>
    <d v="2019-09-01T00:00:00"/>
    <d v="2019-09-29T00:00:00"/>
    <d v="2019-09-29T00:00:00"/>
    <s v="TẾT"/>
    <m/>
    <m/>
    <m/>
    <m/>
    <m/>
    <m/>
    <m/>
    <m/>
    <m/>
    <m/>
    <m/>
    <n v="0"/>
    <n v="18000"/>
    <n v="243000000"/>
  </r>
  <r>
    <s v="211A/2019"/>
    <d v="2019-05-20T00:00:00"/>
    <s v="KIỀU THY"/>
    <s v="VD06"/>
    <x v="13"/>
    <x v="44"/>
    <s v="ROBINA"/>
    <m/>
    <s v="24.26"/>
    <n v="80"/>
    <s v="NL2018"/>
    <m/>
    <n v="88"/>
    <n v="7040"/>
    <x v="52"/>
    <n v="107712000"/>
    <x v="2"/>
    <d v="2019-09-01T00:00:00"/>
    <d v="2019-09-29T00:00:00"/>
    <d v="2019-09-29T00:00:00"/>
    <s v="TẾT"/>
    <m/>
    <m/>
    <m/>
    <m/>
    <m/>
    <m/>
    <m/>
    <m/>
    <m/>
    <m/>
    <m/>
    <n v="0"/>
    <n v="7040"/>
    <n v="107712000"/>
  </r>
  <r>
    <s v="211A/2019"/>
    <d v="2019-05-07T00:00:00"/>
    <s v="KIỀU THY"/>
    <s v="VD06"/>
    <x v="13"/>
    <x v="6"/>
    <s v="CONCADOR NEWZELAND"/>
    <m/>
    <s v="20.22"/>
    <n v="125"/>
    <s v="NL2018"/>
    <m/>
    <n v="40"/>
    <n v="5000"/>
    <x v="53"/>
    <n v="60000000"/>
    <x v="2"/>
    <d v="2019-09-01T00:00:00"/>
    <d v="2019-09-29T00:00:00"/>
    <d v="2019-09-29T00:00:00"/>
    <s v="TẾT"/>
    <m/>
    <m/>
    <m/>
    <m/>
    <m/>
    <m/>
    <m/>
    <m/>
    <m/>
    <m/>
    <m/>
    <n v="0"/>
    <n v="5000"/>
    <n v="60000000"/>
  </r>
  <r>
    <s v="211A/2019"/>
    <d v="2019-05-07T00:00:00"/>
    <s v="KIỀU THY"/>
    <s v="VD06"/>
    <x v="13"/>
    <x v="45"/>
    <s v="CONCADOR"/>
    <m/>
    <s v="24.26"/>
    <n v="80"/>
    <s v="NL2018"/>
    <m/>
    <n v="63"/>
    <n v="5040"/>
    <x v="38"/>
    <n v="76608000"/>
    <x v="2"/>
    <d v="2019-09-01T00:00:00"/>
    <d v="2019-09-29T00:00:00"/>
    <d v="2019-09-29T00:00:00"/>
    <s v="TẾT"/>
    <m/>
    <m/>
    <m/>
    <m/>
    <m/>
    <m/>
    <m/>
    <m/>
    <m/>
    <m/>
    <m/>
    <n v="0"/>
    <n v="5040"/>
    <n v="76608000"/>
  </r>
  <r>
    <s v="211A/2019"/>
    <d v="2019-05-02T00:00:00"/>
    <s v="KIỀU THY"/>
    <s v="VD06"/>
    <x v="13"/>
    <x v="46"/>
    <s v="CONCADOR"/>
    <m/>
    <s v="22.24"/>
    <n v="100"/>
    <s v="NL2018"/>
    <m/>
    <n v="50"/>
    <n v="5000"/>
    <x v="29"/>
    <n v="62500000"/>
    <x v="2"/>
    <d v="2019-09-01T00:00:00"/>
    <d v="2019-09-29T00:00:00"/>
    <d v="2019-09-29T00:00:00"/>
    <s v="TẾT"/>
    <m/>
    <m/>
    <m/>
    <m/>
    <m/>
    <m/>
    <m/>
    <m/>
    <m/>
    <m/>
    <m/>
    <n v="0"/>
    <n v="5000"/>
    <n v="62500000"/>
  </r>
  <r>
    <s v="81A/2019"/>
    <d v="2019-02-27T00:00:00"/>
    <s v="KIỀU THY"/>
    <s v="VD06"/>
    <x v="13"/>
    <x v="32"/>
    <s v="BACARDI"/>
    <m/>
    <s v="16.18"/>
    <n v="200"/>
    <s v="NL2018"/>
    <m/>
    <n v="50"/>
    <n v="10000"/>
    <x v="42"/>
    <n v="63000000"/>
    <x v="0"/>
    <d v="2019-03-15T00:00:00"/>
    <d v="2019-04-19T00:00:00"/>
    <d v="2019-04-19T00:00:00"/>
    <s v="15/3AL"/>
    <s v="CONT 20/2019"/>
    <d v="2019-04-14T00:00:00"/>
    <m/>
    <d v="2019-05-02T00:00:00"/>
    <n v="10000"/>
    <m/>
    <m/>
    <m/>
    <m/>
    <m/>
    <m/>
    <n v="10000"/>
    <n v="0"/>
    <n v="0"/>
  </r>
  <r>
    <s v="81A/2019"/>
    <d v="2019-02-27T00:00:00"/>
    <s v="KIỀU THY"/>
    <s v="VD06"/>
    <x v="13"/>
    <x v="15"/>
    <s v="CONCADOR"/>
    <m/>
    <s v="16.18"/>
    <n v="200"/>
    <s v="NL2018"/>
    <m/>
    <n v="150"/>
    <n v="30000"/>
    <x v="18"/>
    <n v="150000000"/>
    <x v="0"/>
    <d v="2019-03-15T00:00:00"/>
    <d v="2019-04-19T00:00:00"/>
    <d v="2019-04-19T00:00:00"/>
    <s v="15/3AL"/>
    <s v="CONT 22/2019"/>
    <d v="2019-04-14T00:00:00"/>
    <m/>
    <d v="2019-05-02T00:00:00"/>
    <n v="10000"/>
    <d v="2019-05-06T00:00:00"/>
    <n v="20000"/>
    <m/>
    <m/>
    <m/>
    <m/>
    <n v="30000"/>
    <n v="0"/>
    <n v="0"/>
  </r>
  <r>
    <s v="81A/2019"/>
    <d v="2019-02-27T00:00:00"/>
    <s v="KIỀU THY"/>
    <s v="VD06"/>
    <x v="13"/>
    <x v="5"/>
    <s v="PROFUNDO"/>
    <m/>
    <s v="16.18"/>
    <n v="200"/>
    <s v="NL2018"/>
    <m/>
    <n v="50"/>
    <n v="10000"/>
    <x v="45"/>
    <n v="67000000"/>
    <x v="0"/>
    <d v="2019-03-15T00:00:00"/>
    <d v="2019-04-19T00:00:00"/>
    <d v="2019-04-19T00:00:00"/>
    <s v="15/3AL"/>
    <s v="CONT 23/2019"/>
    <d v="2019-04-14T00:00:00"/>
    <m/>
    <d v="2019-05-18T00:00:00"/>
    <n v="10000"/>
    <m/>
    <m/>
    <m/>
    <m/>
    <m/>
    <m/>
    <n v="10000"/>
    <n v="0"/>
    <n v="0"/>
  </r>
  <r>
    <s v="81A/2019"/>
    <d v="2019-02-27T00:00:00"/>
    <s v="KIỀU THY"/>
    <s v="VD06"/>
    <x v="13"/>
    <x v="47"/>
    <s v="ROBINA"/>
    <m/>
    <s v="18.20"/>
    <n v="150"/>
    <s v="NL2018"/>
    <m/>
    <n v="200"/>
    <n v="30000"/>
    <x v="42"/>
    <n v="189000000"/>
    <x v="0"/>
    <d v="2019-03-15T00:00:00"/>
    <d v="2019-04-19T00:00:00"/>
    <d v="2019-04-19T00:00:00"/>
    <s v="15/3AL"/>
    <s v="CONT 25/2019"/>
    <d v="2019-04-14T00:00:00"/>
    <m/>
    <d v="2019-05-02T00:00:00"/>
    <n v="10050"/>
    <d v="2019-05-06T00:00:00"/>
    <n v="19950"/>
    <m/>
    <m/>
    <m/>
    <m/>
    <n v="30000"/>
    <n v="0"/>
    <n v="0"/>
  </r>
  <r>
    <s v="81A/2019"/>
    <d v="2019-02-27T00:00:00"/>
    <s v="KIỀU THY"/>
    <s v="VD06"/>
    <x v="13"/>
    <x v="48"/>
    <s v="SERANO"/>
    <m/>
    <s v="16.18"/>
    <n v="200"/>
    <s v="NL2018"/>
    <m/>
    <n v="50"/>
    <n v="10000"/>
    <x v="18"/>
    <n v="50000000"/>
    <x v="0"/>
    <d v="2019-03-15T00:00:00"/>
    <d v="2019-04-19T00:00:00"/>
    <d v="2019-04-19T00:00:00"/>
    <s v="15/3AL"/>
    <s v="CONT 27/2019"/>
    <d v="2019-04-14T00:00:00"/>
    <m/>
    <d v="2019-05-18T00:00:00"/>
    <n v="10000"/>
    <m/>
    <m/>
    <m/>
    <m/>
    <m/>
    <m/>
    <n v="10000"/>
    <n v="0"/>
    <n v="0"/>
  </r>
  <r>
    <s v="81A/2019"/>
    <d v="2019-05-07T00:00:00"/>
    <s v="KIỀU THY"/>
    <s v="VD06"/>
    <x v="13"/>
    <x v="22"/>
    <s v="ROBINA"/>
    <m/>
    <s v="16.18"/>
    <n v="200"/>
    <s v="NL2018"/>
    <m/>
    <n v="150"/>
    <n v="30000"/>
    <x v="11"/>
    <n v="162000000"/>
    <x v="0"/>
    <d v="2019-04-17T00:00:00"/>
    <d v="2019-05-21T00:00:00"/>
    <d v="2019-05-21T00:00:00"/>
    <s v="29/4AL"/>
    <m/>
    <m/>
    <m/>
    <m/>
    <m/>
    <m/>
    <m/>
    <m/>
    <m/>
    <m/>
    <m/>
    <n v="0"/>
    <n v="30000"/>
    <n v="162000000"/>
  </r>
  <r>
    <s v="81A/2019"/>
    <d v="2019-06-11T00:00:00"/>
    <s v="KIỀU THY"/>
    <s v="VD06"/>
    <x v="13"/>
    <x v="49"/>
    <s v="MARENGO"/>
    <m/>
    <s v="16.18"/>
    <n v="200"/>
    <s v="NL2018"/>
    <m/>
    <n v="15"/>
    <n v="3000"/>
    <x v="54"/>
    <n v="19200000"/>
    <x v="3"/>
    <d v="2019-06-15T00:00:00"/>
    <d v="2019-07-17T00:00:00"/>
    <d v="2019-07-17T00:00:00"/>
    <m/>
    <m/>
    <m/>
    <m/>
    <m/>
    <m/>
    <m/>
    <m/>
    <m/>
    <m/>
    <m/>
    <m/>
    <n v="0"/>
    <n v="3000"/>
    <n v="19200000"/>
  </r>
  <r>
    <s v="81A/2019"/>
    <d v="2019-05-06T00:00:00"/>
    <s v="KIỀU THY"/>
    <s v="VD06"/>
    <x v="13"/>
    <x v="22"/>
    <s v="ROBINA"/>
    <m/>
    <s v="16.18"/>
    <n v="200"/>
    <s v="NL2018"/>
    <m/>
    <n v="500"/>
    <n v="100000"/>
    <x v="44"/>
    <n v="550000000"/>
    <x v="3"/>
    <d v="2019-05-18T00:00:00"/>
    <d v="2019-06-20T00:00:00"/>
    <d v="2019-06-20T00:00:00"/>
    <s v="25/5AL"/>
    <m/>
    <m/>
    <m/>
    <m/>
    <m/>
    <m/>
    <m/>
    <m/>
    <m/>
    <m/>
    <m/>
    <n v="0"/>
    <n v="100000"/>
    <n v="550000000"/>
  </r>
  <r>
    <s v="209A/2019"/>
    <d v="2019-04-29T00:00:00"/>
    <s v="KIỀU THY"/>
    <s v="VL04"/>
    <x v="14"/>
    <x v="50"/>
    <s v="PROFUNDO"/>
    <m/>
    <s v="14.16"/>
    <s v="275"/>
    <s v="NL2018"/>
    <m/>
    <n v="20"/>
    <n v="5500"/>
    <x v="18"/>
    <n v="27500000"/>
    <x v="0"/>
    <d v="2019-04-17T00:00:00"/>
    <d v="2019-05-21T00:00:00"/>
    <d v="2019-05-21T00:00:00"/>
    <s v="30/3AL"/>
    <m/>
    <m/>
    <m/>
    <d v="2019-06-12T00:00:00"/>
    <n v="5500"/>
    <m/>
    <m/>
    <m/>
    <m/>
    <m/>
    <m/>
    <n v="5500"/>
    <n v="0"/>
    <n v="0"/>
  </r>
  <r>
    <s v="207A/2019"/>
    <d v="2019-05-08T00:00:00"/>
    <s v="KIỀU THY"/>
    <s v="VL04"/>
    <x v="14"/>
    <x v="16"/>
    <s v="ROBINA"/>
    <m/>
    <s v="20.22"/>
    <s v="125"/>
    <s v="NL2018"/>
    <m/>
    <n v="80"/>
    <n v="10000"/>
    <x v="16"/>
    <n v="107000000"/>
    <x v="2"/>
    <d v="2019-09-01T00:00:00"/>
    <d v="2019-09-29T00:00:00"/>
    <d v="2019-09-29T00:00:00"/>
    <s v="TẾT"/>
    <m/>
    <m/>
    <m/>
    <m/>
    <m/>
    <m/>
    <m/>
    <m/>
    <m/>
    <m/>
    <m/>
    <n v="0"/>
    <n v="10000"/>
    <n v="107000000"/>
  </r>
  <r>
    <s v="207A/2019"/>
    <d v="2019-06-13T00:00:00"/>
    <s v="KIỀU THY"/>
    <s v="VL04"/>
    <x v="14"/>
    <x v="45"/>
    <s v="CONCADOR"/>
    <m/>
    <s v="24.26"/>
    <s v="80"/>
    <s v="NL2018"/>
    <m/>
    <n v="125"/>
    <n v="10000"/>
    <x v="38"/>
    <n v="152000000"/>
    <x v="2"/>
    <d v="2019-09-01T00:00:00"/>
    <d v="2019-09-29T00:00:00"/>
    <d v="2019-09-29T00:00:00"/>
    <s v="TẾT"/>
    <m/>
    <m/>
    <m/>
    <m/>
    <m/>
    <m/>
    <m/>
    <m/>
    <m/>
    <m/>
    <m/>
    <n v="0"/>
    <n v="10000"/>
    <n v="152000000"/>
  </r>
  <r>
    <s v="77A/2019"/>
    <d v="2019-02-25T00:00:00"/>
    <s v="KIỀU THY"/>
    <s v="VD05"/>
    <x v="15"/>
    <x v="4"/>
    <s v="TEBALDI"/>
    <m/>
    <s v="14.16"/>
    <n v="300"/>
    <s v="NL2018"/>
    <m/>
    <n v="45"/>
    <n v="13500"/>
    <x v="3"/>
    <n v="55350000"/>
    <x v="0"/>
    <d v="2019-02-28T00:00:00"/>
    <d v="2019-04-02T00:00:00"/>
    <d v="2019-04-02T00:00:00"/>
    <s v="28/2 AL"/>
    <s v="CONT 15/2019"/>
    <d v="2019-03-31T00:00:00"/>
    <s v="08/03/2019 KH THANH TOÁN"/>
    <d v="2019-04-03T00:00:00"/>
    <n v="13500"/>
    <m/>
    <m/>
    <m/>
    <m/>
    <m/>
    <m/>
    <n v="13500"/>
    <n v="0"/>
    <n v="0"/>
  </r>
  <r>
    <s v="77A/2019"/>
    <d v="2019-02-25T00:00:00"/>
    <s v="KIỀU THY"/>
    <s v="VD05"/>
    <x v="15"/>
    <x v="28"/>
    <s v="YELLOWEEN"/>
    <m/>
    <s v="14.16"/>
    <n v="300"/>
    <s v="NL2018"/>
    <m/>
    <n v="65"/>
    <n v="19500"/>
    <x v="6"/>
    <n v="74100000"/>
    <x v="0"/>
    <d v="2019-02-28T00:00:00"/>
    <d v="2019-04-02T00:00:00"/>
    <d v="2019-04-02T00:00:00"/>
    <s v="28/2 AL"/>
    <s v="CONT 18/2019"/>
    <d v="2019-03-31T00:00:00"/>
    <s v="08/03/2019 KH THANH TOÁN"/>
    <d v="2019-04-03T00:00:00"/>
    <n v="19500"/>
    <m/>
    <m/>
    <m/>
    <m/>
    <m/>
    <m/>
    <n v="19500"/>
    <n v="0"/>
    <n v="0"/>
  </r>
  <r>
    <s v="13B/2019"/>
    <d v="2019-01-05T00:00:00"/>
    <s v="THANH THÚY"/>
    <s v="KN01"/>
    <x v="16"/>
    <x v="51"/>
    <s v="THALITA"/>
    <s v="RL"/>
    <s v="12.14"/>
    <n v="400"/>
    <s v="NL2018"/>
    <m/>
    <n v="0"/>
    <n v="0"/>
    <x v="27"/>
    <n v="0"/>
    <x v="1"/>
    <d v="2019-01-19T00:00:00"/>
    <d v="2019-02-23T00:00:00"/>
    <d v="2019-02-23T00:00:00"/>
    <s v="23/1AL. Kh chưa lấy"/>
    <m/>
    <m/>
    <m/>
    <m/>
    <n v="0"/>
    <m/>
    <m/>
    <m/>
    <m/>
    <m/>
    <m/>
    <n v="0"/>
    <n v="0"/>
    <n v="0"/>
  </r>
  <r>
    <s v="13B/2019"/>
    <d v="2019-01-05T00:00:00"/>
    <s v="THANH THÚY"/>
    <s v="KN01"/>
    <x v="16"/>
    <x v="30"/>
    <s v="MALDANO"/>
    <m/>
    <s v="16.18"/>
    <n v="200"/>
    <s v="NL2018"/>
    <m/>
    <n v="0"/>
    <n v="0"/>
    <x v="55"/>
    <n v="0"/>
    <x v="1"/>
    <d v="2019-03-15T00:00:00"/>
    <d v="2019-04-19T00:00:00"/>
    <d v="2019-04-19T00:00:00"/>
    <m/>
    <m/>
    <m/>
    <m/>
    <m/>
    <m/>
    <m/>
    <m/>
    <m/>
    <m/>
    <m/>
    <m/>
    <n v="0"/>
    <n v="0"/>
    <n v="0"/>
  </r>
  <r>
    <s v="13B/2019"/>
    <d v="2019-01-05T00:00:00"/>
    <s v="THANH THÚY"/>
    <s v="KN01"/>
    <x v="16"/>
    <x v="11"/>
    <s v="YELLOWEEN"/>
    <m/>
    <s v="12.14"/>
    <n v="400"/>
    <s v="NL2018"/>
    <m/>
    <n v="75"/>
    <n v="30000"/>
    <x v="12"/>
    <n v="78000000"/>
    <x v="0"/>
    <d v="2019-01-15T00:00:00"/>
    <d v="2019-02-19T00:00:00"/>
    <d v="2019-02-19T00:00:00"/>
    <s v="15/1AL"/>
    <m/>
    <m/>
    <m/>
    <d v="2019-02-19T00:00:00"/>
    <n v="30000"/>
    <m/>
    <m/>
    <m/>
    <m/>
    <m/>
    <m/>
    <n v="30000"/>
    <n v="0"/>
    <n v="0"/>
  </r>
  <r>
    <s v="13B/2019"/>
    <d v="2019-01-05T00:00:00"/>
    <s v="THANH THÚY"/>
    <s v="KN01"/>
    <x v="16"/>
    <x v="52"/>
    <s v="MALDANO"/>
    <m/>
    <s v="15.16"/>
    <n v="300"/>
    <s v="NL2018"/>
    <m/>
    <n v="34"/>
    <n v="10200"/>
    <x v="56"/>
    <n v="39780000"/>
    <x v="0"/>
    <d v="2019-01-15T00:00:00"/>
    <d v="2019-02-19T00:00:00"/>
    <d v="2019-02-19T00:00:00"/>
    <s v="15/1AL"/>
    <m/>
    <m/>
    <m/>
    <d v="2019-05-19T00:00:00"/>
    <n v="10200"/>
    <m/>
    <m/>
    <m/>
    <m/>
    <m/>
    <m/>
    <n v="10200"/>
    <n v="0"/>
    <n v="0"/>
  </r>
  <r>
    <s v="13B/2019"/>
    <d v="2019-01-05T00:00:00"/>
    <s v="THANH THÚY"/>
    <s v="KN01"/>
    <x v="16"/>
    <x v="51"/>
    <s v="THALITA"/>
    <s v="RL"/>
    <s v="12.14"/>
    <n v="400"/>
    <s v="NL2018"/>
    <m/>
    <n v="5"/>
    <n v="2000"/>
    <x v="27"/>
    <n v="16000000"/>
    <x v="0"/>
    <d v="2019-01-19T00:00:00"/>
    <d v="2019-02-23T00:00:00"/>
    <d v="2019-02-23T00:00:00"/>
    <s v="23/1AL"/>
    <m/>
    <m/>
    <m/>
    <d v="2019-02-27T00:00:00"/>
    <n v="2000"/>
    <m/>
    <m/>
    <m/>
    <m/>
    <m/>
    <m/>
    <n v="2000"/>
    <n v="0"/>
    <n v="0"/>
  </r>
  <r>
    <s v="13B/2019"/>
    <d v="2019-01-05T00:00:00"/>
    <s v="THANH THÚY"/>
    <s v="KN01"/>
    <x v="16"/>
    <x v="53"/>
    <s v="SENSI"/>
    <m/>
    <s v="16.18"/>
    <n v="200"/>
    <s v="NL2018"/>
    <m/>
    <n v="25"/>
    <n v="5000"/>
    <x v="44"/>
    <n v="27500000"/>
    <x v="0"/>
    <d v="2019-01-19T00:00:00"/>
    <d v="2019-02-23T00:00:00"/>
    <d v="2019-02-23T00:00:00"/>
    <s v="23/1AL"/>
    <m/>
    <m/>
    <m/>
    <d v="2019-02-27T00:00:00"/>
    <n v="5000"/>
    <m/>
    <m/>
    <m/>
    <m/>
    <m/>
    <m/>
    <n v="5000"/>
    <n v="0"/>
    <n v="0"/>
  </r>
  <r>
    <s v="13B/2019"/>
    <d v="2019-01-05T00:00:00"/>
    <s v="THANH THÚY"/>
    <s v="KN01"/>
    <x v="16"/>
    <x v="53"/>
    <s v="SENSI"/>
    <m/>
    <s v="16.18"/>
    <n v="200"/>
    <s v="NL2018"/>
    <m/>
    <n v="25"/>
    <n v="5000"/>
    <x v="44"/>
    <n v="27500000"/>
    <x v="0"/>
    <d v="2019-01-19T00:00:00"/>
    <d v="2019-02-23T00:00:00"/>
    <d v="2019-02-23T00:00:00"/>
    <s v="23/1AL"/>
    <m/>
    <m/>
    <m/>
    <d v="2019-03-14T00:00:00"/>
    <n v="5000"/>
    <m/>
    <m/>
    <m/>
    <m/>
    <m/>
    <m/>
    <n v="5000"/>
    <n v="0"/>
    <n v="0"/>
  </r>
  <r>
    <s v="13B/2019"/>
    <d v="2019-01-05T00:00:00"/>
    <s v="THANH THÚY"/>
    <s v="KN01"/>
    <x v="16"/>
    <x v="52"/>
    <s v="MALDANO"/>
    <m/>
    <s v="15.16"/>
    <n v="300"/>
    <s v="NL2018"/>
    <m/>
    <n v="34"/>
    <n v="10200"/>
    <x v="56"/>
    <n v="39780000"/>
    <x v="0"/>
    <d v="2019-02-15T00:00:00"/>
    <d v="2019-03-20T00:00:00"/>
    <d v="2019-03-20T00:00:00"/>
    <s v="15/2AL"/>
    <s v="CONT 10/2019"/>
    <m/>
    <m/>
    <d v="2019-03-19T00:00:00"/>
    <n v="5100"/>
    <d v="2019-03-29T00:00:00"/>
    <n v="5100"/>
    <m/>
    <m/>
    <m/>
    <m/>
    <n v="10200"/>
    <n v="0"/>
    <n v="0"/>
  </r>
  <r>
    <s v="13B/2019"/>
    <d v="2019-01-05T00:00:00"/>
    <s v="THANH THÚY"/>
    <s v="KN01"/>
    <x v="16"/>
    <x v="11"/>
    <s v="YELLOWEEN"/>
    <m/>
    <s v="12.14"/>
    <n v="400"/>
    <s v="NL2018"/>
    <m/>
    <n v="38"/>
    <n v="15200"/>
    <x v="12"/>
    <n v="39520000"/>
    <x v="0"/>
    <d v="2019-02-15T00:00:00"/>
    <d v="2019-03-20T00:00:00"/>
    <d v="2019-03-20T00:00:00"/>
    <s v="15/2AL"/>
    <s v="CONT 12/2019"/>
    <m/>
    <m/>
    <d v="2019-03-19T00:00:00"/>
    <n v="15200"/>
    <m/>
    <m/>
    <m/>
    <m/>
    <m/>
    <m/>
    <n v="15200"/>
    <n v="0"/>
    <n v="0"/>
  </r>
  <r>
    <s v="13B/2019"/>
    <d v="2019-01-05T00:00:00"/>
    <s v="THANH THÚY"/>
    <s v="KN01"/>
    <x v="16"/>
    <x v="52"/>
    <s v="MALDANO"/>
    <m/>
    <s v="15.16"/>
    <n v="300"/>
    <s v="NL2018"/>
    <m/>
    <n v="0"/>
    <n v="0"/>
    <x v="56"/>
    <n v="0"/>
    <x v="1"/>
    <d v="2019-04-15T00:00:00"/>
    <d v="2019-05-19T00:00:00"/>
    <d v="2019-05-19T00:00:00"/>
    <s v="15/4AL"/>
    <m/>
    <m/>
    <m/>
    <m/>
    <m/>
    <m/>
    <m/>
    <m/>
    <m/>
    <m/>
    <m/>
    <n v="0"/>
    <n v="0"/>
    <n v="0"/>
  </r>
  <r>
    <s v="13B/2019"/>
    <d v="2019-01-05T00:00:00"/>
    <s v="THANH THÚY"/>
    <s v="KN01"/>
    <x v="16"/>
    <x v="52"/>
    <s v="MALDANO"/>
    <m/>
    <s v="15.16"/>
    <n v="300"/>
    <s v="NL2018"/>
    <m/>
    <n v="34"/>
    <n v="10200"/>
    <x v="56"/>
    <n v="39780000"/>
    <x v="0"/>
    <s v="29-Feb-19"/>
    <d v="2019-04-03T00:00:00"/>
    <d v="2019-04-03T00:00:00"/>
    <s v="28/2AL"/>
    <s v="CONT 18/2019"/>
    <m/>
    <m/>
    <d v="2019-05-19T00:00:00"/>
    <n v="10200"/>
    <m/>
    <m/>
    <m/>
    <m/>
    <m/>
    <m/>
    <n v="10200"/>
    <n v="0"/>
    <n v="0"/>
  </r>
  <r>
    <s v="13B/2019"/>
    <d v="2019-01-05T00:00:00"/>
    <s v="THANH THÚY"/>
    <s v="KN01"/>
    <x v="16"/>
    <x v="11"/>
    <s v="YELLOWEEN"/>
    <m/>
    <s v="12.14"/>
    <n v="400"/>
    <s v="NL2018"/>
    <m/>
    <n v="38"/>
    <n v="15200"/>
    <x v="12"/>
    <n v="39520000"/>
    <x v="0"/>
    <s v="29-Feb-19"/>
    <d v="2019-04-03T00:00:00"/>
    <d v="2019-04-03T00:00:00"/>
    <s v="28/2AL"/>
    <s v="CONT 15/2019"/>
    <m/>
    <m/>
    <d v="2019-04-05T00:00:00"/>
    <n v="15200"/>
    <m/>
    <m/>
    <m/>
    <m/>
    <m/>
    <m/>
    <n v="15200"/>
    <n v="0"/>
    <n v="0"/>
  </r>
  <r>
    <s v="13B/2019"/>
    <d v="2019-01-05T00:00:00"/>
    <s v="THANH THÚY"/>
    <s v="KN01"/>
    <x v="16"/>
    <x v="11"/>
    <s v="YELLOWEEN"/>
    <m/>
    <s v="12.14"/>
    <n v="400"/>
    <s v="NL2018"/>
    <m/>
    <n v="75"/>
    <n v="30000"/>
    <x v="12"/>
    <n v="78000000"/>
    <x v="0"/>
    <d v="2019-03-15T00:00:00"/>
    <d v="2019-04-19T00:00:00"/>
    <d v="2019-04-19T00:00:00"/>
    <s v="15/3AL"/>
    <s v="CONT 24/2019"/>
    <m/>
    <m/>
    <d v="2019-04-17T00:00:00"/>
    <n v="15200"/>
    <d v="2019-05-06T00:00:00"/>
    <n v="14800"/>
    <m/>
    <m/>
    <m/>
    <m/>
    <n v="30000"/>
    <n v="0"/>
    <n v="0"/>
  </r>
  <r>
    <s v="13B/2019"/>
    <d v="2019-05-16T00:00:00"/>
    <s v="THANH THÚY"/>
    <s v="KN01"/>
    <x v="16"/>
    <x v="54"/>
    <s v="MALDANO"/>
    <m/>
    <s v="14.16"/>
    <n v="300"/>
    <s v="NL2018"/>
    <m/>
    <n v="33"/>
    <n v="9900"/>
    <x v="57"/>
    <n v="39600000"/>
    <x v="4"/>
    <d v="2019-04-29T00:00:00"/>
    <d v="2019-06-02T00:00:00"/>
    <d v="2019-06-02T00:00:00"/>
    <m/>
    <m/>
    <m/>
    <m/>
    <d v="2019-06-12T00:00:00"/>
    <n v="5100"/>
    <m/>
    <m/>
    <m/>
    <m/>
    <m/>
    <m/>
    <n v="5100"/>
    <n v="4800"/>
    <n v="19200000"/>
  </r>
  <r>
    <s v="13B/2019"/>
    <d v="2019-06-18T00:00:00"/>
    <s v="THANH THÚY"/>
    <s v="KN01"/>
    <x v="16"/>
    <x v="28"/>
    <s v="YELLOWEEN"/>
    <m/>
    <s v="14.16"/>
    <n v="300"/>
    <s v="NL2018"/>
    <m/>
    <n v="17"/>
    <n v="5100"/>
    <x v="56"/>
    <n v="19890000"/>
    <x v="0"/>
    <d v="2019-06-18T00:00:00"/>
    <d v="2019-07-20T00:00:00"/>
    <d v="2019-07-20T00:00:00"/>
    <m/>
    <m/>
    <m/>
    <m/>
    <d v="2019-06-18T00:00:00"/>
    <n v="5100"/>
    <m/>
    <m/>
    <m/>
    <m/>
    <m/>
    <m/>
    <n v="5100"/>
    <n v="0"/>
    <n v="0"/>
  </r>
  <r>
    <s v="13B/2019"/>
    <d v="2019-01-05T00:00:00"/>
    <s v="THANH THÚY"/>
    <s v="KN01"/>
    <x v="16"/>
    <x v="53"/>
    <s v="SENSI"/>
    <m/>
    <s v="16.18"/>
    <n v="200"/>
    <s v="NL2018"/>
    <m/>
    <n v="50"/>
    <n v="10000"/>
    <x v="44"/>
    <n v="55000000"/>
    <x v="0"/>
    <s v="29-Feb-19"/>
    <d v="2019-04-03T00:00:00"/>
    <d v="2019-04-03T00:00:00"/>
    <s v="28/2AL"/>
    <s v="CONT 15/2019"/>
    <m/>
    <m/>
    <d v="2019-04-05T00:00:00"/>
    <n v="5000"/>
    <d v="2019-05-06T00:00:00"/>
    <n v="5000"/>
    <m/>
    <m/>
    <m/>
    <m/>
    <n v="10000"/>
    <n v="0"/>
    <n v="0"/>
  </r>
  <r>
    <s v="13B/2019"/>
    <d v="2019-01-05T00:00:00"/>
    <s v="THANH THÚY"/>
    <s v="KN01"/>
    <x v="16"/>
    <x v="54"/>
    <s v="MALDANO"/>
    <m/>
    <s v="14.16"/>
    <n v="300"/>
    <s v="NL2018"/>
    <m/>
    <n v="34"/>
    <n v="10200"/>
    <x v="57"/>
    <n v="40800000"/>
    <x v="0"/>
    <d v="2019-04-17T00:00:00"/>
    <d v="2019-05-21T00:00:00"/>
    <d v="2019-05-21T00:00:00"/>
    <s v="29/4AL"/>
    <m/>
    <m/>
    <m/>
    <d v="2019-04-17T00:00:00"/>
    <n v="10200"/>
    <m/>
    <m/>
    <m/>
    <m/>
    <m/>
    <m/>
    <n v="10200"/>
    <n v="0"/>
    <n v="0"/>
  </r>
  <r>
    <s v="13B/2019"/>
    <d v="2019-01-05T00:00:00"/>
    <s v="THANH THÚY"/>
    <s v="KN01"/>
    <x v="16"/>
    <x v="11"/>
    <s v="YELLOWEEN"/>
    <m/>
    <s v="12.14"/>
    <n v="400"/>
    <s v="NL2018"/>
    <m/>
    <n v="0"/>
    <n v="0"/>
    <x v="58"/>
    <n v="0"/>
    <x v="1"/>
    <d v="2019-05-15T00:00:00"/>
    <d v="2019-06-17T00:00:00"/>
    <d v="2019-06-17T00:00:00"/>
    <s v="15/5AL"/>
    <m/>
    <m/>
    <m/>
    <m/>
    <m/>
    <m/>
    <m/>
    <m/>
    <m/>
    <m/>
    <m/>
    <n v="0"/>
    <n v="0"/>
    <n v="0"/>
  </r>
  <r>
    <s v="13B/2019"/>
    <d v="2019-01-05T00:00:00"/>
    <s v="THANH THÚY"/>
    <s v="KN01"/>
    <x v="16"/>
    <x v="54"/>
    <s v="MALDANO"/>
    <m/>
    <s v="14.16"/>
    <n v="300"/>
    <s v="NL2018"/>
    <m/>
    <n v="34"/>
    <n v="10200"/>
    <x v="57"/>
    <n v="40800000"/>
    <x v="3"/>
    <d v="2019-06-15T00:00:00"/>
    <d v="2019-07-17T00:00:00"/>
    <d v="2019-07-17T00:00:00"/>
    <s v="15/5AL"/>
    <m/>
    <m/>
    <m/>
    <m/>
    <m/>
    <m/>
    <m/>
    <m/>
    <m/>
    <m/>
    <m/>
    <n v="0"/>
    <n v="10200"/>
    <n v="40800000"/>
  </r>
  <r>
    <s v="13B/2019"/>
    <d v="2019-06-14T00:00:00"/>
    <s v="THANH THÚY"/>
    <s v="KN01"/>
    <x v="16"/>
    <x v="28"/>
    <s v="YELLOWEEN"/>
    <m/>
    <s v="14.16"/>
    <n v="300"/>
    <s v="NL2018"/>
    <m/>
    <n v="67"/>
    <n v="20100"/>
    <x v="57"/>
    <n v="80400000"/>
    <x v="3"/>
    <d v="2019-06-15T00:00:00"/>
    <d v="2019-07-17T00:00:00"/>
    <d v="2019-07-17T00:00:00"/>
    <m/>
    <m/>
    <m/>
    <m/>
    <m/>
    <m/>
    <m/>
    <m/>
    <m/>
    <m/>
    <m/>
    <m/>
    <n v="0"/>
    <n v="20100"/>
    <n v="80400000"/>
  </r>
  <r>
    <s v="13B/2019"/>
    <d v="2019-05-28T00:00:00"/>
    <s v="THANH THÚY"/>
    <s v="KN01"/>
    <x v="16"/>
    <x v="28"/>
    <s v="YELLOWEEN"/>
    <m/>
    <s v="14.16"/>
    <n v="300"/>
    <s v="NL2018"/>
    <m/>
    <n v="50"/>
    <n v="15000"/>
    <x v="56"/>
    <n v="58500000"/>
    <x v="3"/>
    <d v="2019-05-18T00:00:00"/>
    <d v="2019-06-20T00:00:00"/>
    <d v="2019-06-20T00:00:00"/>
    <m/>
    <m/>
    <m/>
    <m/>
    <m/>
    <m/>
    <m/>
    <m/>
    <m/>
    <m/>
    <m/>
    <m/>
    <n v="0"/>
    <n v="15000"/>
    <n v="58500000"/>
  </r>
  <r>
    <s v="157B/2019"/>
    <d v="2019-04-03T00:00:00"/>
    <s v="THANH THÚY"/>
    <s v="KN01"/>
    <x v="16"/>
    <x v="6"/>
    <s v="CONCADOR"/>
    <m/>
    <s v="20.22"/>
    <n v="125"/>
    <s v="NL2018"/>
    <m/>
    <n v="80"/>
    <n v="10000"/>
    <x v="59"/>
    <n v="105000000"/>
    <x v="2"/>
    <d v="2019-09-01T00:00:00"/>
    <d v="2019-09-29T00:00:00"/>
    <d v="2019-09-29T00:00:00"/>
    <s v="TẾT"/>
    <m/>
    <m/>
    <m/>
    <m/>
    <m/>
    <m/>
    <m/>
    <m/>
    <m/>
    <m/>
    <m/>
    <n v="0"/>
    <n v="10000"/>
    <n v="105000000"/>
  </r>
  <r>
    <s v="157B/2019"/>
    <d v="2019-05-19T00:00:00"/>
    <s v="THANH THÚY"/>
    <s v="KN01"/>
    <x v="16"/>
    <x v="55"/>
    <s v="MALDANO"/>
    <m/>
    <s v="20.22"/>
    <n v="125"/>
    <s v="NL2018"/>
    <m/>
    <n v="120"/>
    <n v="15000"/>
    <x v="60"/>
    <n v="142500000"/>
    <x v="2"/>
    <d v="2019-09-01T00:00:00"/>
    <d v="2019-09-29T00:00:00"/>
    <d v="2019-09-29T00:00:00"/>
    <m/>
    <m/>
    <m/>
    <m/>
    <m/>
    <m/>
    <m/>
    <m/>
    <m/>
    <m/>
    <m/>
    <m/>
    <n v="0"/>
    <n v="15000"/>
    <n v="142500000"/>
  </r>
  <r>
    <s v="157B/2019"/>
    <d v="2019-05-19T00:00:00"/>
    <s v="THANH THÚY"/>
    <s v="KN01"/>
    <x v="16"/>
    <x v="16"/>
    <s v="ROBINA"/>
    <m/>
    <s v="20.22"/>
    <n v="125"/>
    <s v="NL2018"/>
    <m/>
    <n v="40"/>
    <n v="5000"/>
    <x v="16"/>
    <n v="53500000"/>
    <x v="2"/>
    <d v="2019-09-01T00:00:00"/>
    <d v="2019-09-29T00:00:00"/>
    <d v="2019-09-29T00:00:00"/>
    <m/>
    <m/>
    <m/>
    <m/>
    <m/>
    <m/>
    <m/>
    <m/>
    <m/>
    <m/>
    <m/>
    <m/>
    <n v="0"/>
    <n v="5000"/>
    <n v="53500000"/>
  </r>
  <r>
    <s v="13B/2019"/>
    <d v="2019-01-05T00:00:00"/>
    <s v="THANH THÚY"/>
    <s v="KN01"/>
    <x v="16"/>
    <x v="5"/>
    <s v="PROFUNDO"/>
    <m/>
    <s v="16.18"/>
    <n v="200"/>
    <s v="NL2018"/>
    <m/>
    <n v="90"/>
    <n v="18000"/>
    <x v="45"/>
    <n v="120600000"/>
    <x v="4"/>
    <s v="29-Feb-19"/>
    <d v="2019-04-03T00:00:00"/>
    <d v="2019-04-03T00:00:00"/>
    <s v="28/2AL"/>
    <s v="CONT 17/2019"/>
    <m/>
    <m/>
    <d v="2019-05-17T00:00:00"/>
    <n v="8000"/>
    <m/>
    <m/>
    <m/>
    <m/>
    <m/>
    <m/>
    <n v="8000"/>
    <n v="10000"/>
    <n v="67000000"/>
  </r>
  <r>
    <s v="13B/2019"/>
    <d v="2019-01-05T00:00:00"/>
    <s v="THANH THÚY"/>
    <s v="KN01"/>
    <x v="16"/>
    <x v="54"/>
    <s v="MALDANO"/>
    <m/>
    <s v="14.16"/>
    <n v="300"/>
    <s v="NL2018"/>
    <m/>
    <n v="100"/>
    <n v="30000"/>
    <x v="57"/>
    <n v="120000000"/>
    <x v="2"/>
    <m/>
    <s v=""/>
    <s v=""/>
    <m/>
    <m/>
    <m/>
    <m/>
    <m/>
    <m/>
    <m/>
    <m/>
    <m/>
    <m/>
    <m/>
    <m/>
    <n v="0"/>
    <n v="30000"/>
    <n v="120000000"/>
  </r>
  <r>
    <s v="13B/2019"/>
    <d v="2019-01-05T00:00:00"/>
    <s v="THANH THÚY"/>
    <s v="KN01"/>
    <x v="16"/>
    <x v="28"/>
    <s v="YELLOWEEN"/>
    <m/>
    <s v="14.16"/>
    <n v="300"/>
    <s v="NL2018"/>
    <m/>
    <n v="0"/>
    <n v="0"/>
    <x v="6"/>
    <n v="0"/>
    <x v="1"/>
    <m/>
    <s v=""/>
    <s v=""/>
    <m/>
    <m/>
    <m/>
    <m/>
    <m/>
    <n v="0"/>
    <m/>
    <m/>
    <m/>
    <m/>
    <m/>
    <m/>
    <n v="0"/>
    <n v="0"/>
    <n v="0"/>
  </r>
  <r>
    <s v="13B/2019"/>
    <d v="2019-01-05T00:00:00"/>
    <s v="THANH THÚY"/>
    <s v="KN01"/>
    <x v="16"/>
    <x v="30"/>
    <s v="MALDANO"/>
    <m/>
    <s v="16.18"/>
    <n v="200"/>
    <s v="NL2018"/>
    <m/>
    <n v="103"/>
    <n v="20600"/>
    <x v="18"/>
    <n v="103000000"/>
    <x v="2"/>
    <m/>
    <s v=""/>
    <s v=""/>
    <s v="T6AL bắt đầu về hàng size lớn"/>
    <m/>
    <m/>
    <m/>
    <m/>
    <n v="0"/>
    <m/>
    <m/>
    <m/>
    <m/>
    <m/>
    <m/>
    <n v="0"/>
    <n v="20600"/>
    <n v="103000000"/>
  </r>
  <r>
    <s v="13B/2019"/>
    <d v="2019-01-05T00:00:00"/>
    <s v="THANH THÚY"/>
    <s v="KN01"/>
    <x v="16"/>
    <x v="11"/>
    <s v="YELLOWEEN"/>
    <m/>
    <s v="12.14"/>
    <n v="400"/>
    <s v="NL2018"/>
    <m/>
    <n v="75"/>
    <n v="30000"/>
    <x v="47"/>
    <n v="81000000"/>
    <x v="0"/>
    <d v="2019-04-17T00:00:00"/>
    <d v="2019-05-21T00:00:00"/>
    <d v="2019-05-21T00:00:00"/>
    <s v="29/4AL"/>
    <m/>
    <m/>
    <m/>
    <m/>
    <n v="14800"/>
    <d v="2019-05-31T00:00:00"/>
    <n v="15200"/>
    <m/>
    <m/>
    <m/>
    <m/>
    <n v="30000"/>
    <n v="0"/>
    <n v="0"/>
  </r>
  <r>
    <s v="143B/2019"/>
    <d v="2019-03-19T00:00:00"/>
    <s v="THANH THÚY"/>
    <s v="BL02"/>
    <x v="17"/>
    <x v="56"/>
    <s v="OUTBACK"/>
    <m/>
    <s v="14.16"/>
    <n v="300"/>
    <s v="NL2018"/>
    <m/>
    <n v="7"/>
    <n v="2100"/>
    <x v="18"/>
    <n v="10500000"/>
    <x v="0"/>
    <d v="2019-03-30T00:00:00"/>
    <d v="2019-05-04T00:00:00"/>
    <d v="2019-05-04T00:00:00"/>
    <s v="30/3AL"/>
    <m/>
    <m/>
    <m/>
    <d v="2019-06-05T00:00:00"/>
    <n v="2100"/>
    <m/>
    <m/>
    <m/>
    <m/>
    <m/>
    <m/>
    <n v="2100"/>
    <n v="0"/>
    <n v="0"/>
  </r>
  <r>
    <s v="143B/2019"/>
    <d v="2019-03-19T00:00:00"/>
    <s v="THANH THÚY"/>
    <s v="BL02"/>
    <x v="17"/>
    <x v="51"/>
    <s v="THALITA"/>
    <s v="RL"/>
    <s v="12.14"/>
    <n v="400"/>
    <s v="NL2018"/>
    <m/>
    <n v="1"/>
    <n v="400"/>
    <x v="61"/>
    <n v="3400000"/>
    <x v="0"/>
    <d v="2019-03-30T00:00:00"/>
    <d v="2019-05-04T00:00:00"/>
    <d v="2019-05-04T00:00:00"/>
    <s v="30/3AL"/>
    <m/>
    <m/>
    <m/>
    <d v="2019-06-05T00:00:00"/>
    <n v="400"/>
    <m/>
    <m/>
    <m/>
    <m/>
    <m/>
    <m/>
    <n v="400"/>
    <n v="0"/>
    <n v="0"/>
  </r>
  <r>
    <s v="143B/2019"/>
    <d v="2019-06-11T00:00:00"/>
    <s v="THANH THÚY"/>
    <s v="BL02"/>
    <x v="17"/>
    <x v="57"/>
    <s v="DALIAN"/>
    <m/>
    <s v="14.16"/>
    <n v="300"/>
    <s v="NL2018"/>
    <m/>
    <n v="2"/>
    <n v="600"/>
    <x v="44"/>
    <n v="3300000"/>
    <x v="0"/>
    <d v="2019-05-05T00:00:00"/>
    <d v="2019-06-07T00:00:00"/>
    <d v="2019-06-07T00:00:00"/>
    <m/>
    <m/>
    <m/>
    <m/>
    <d v="2019-06-11T00:00:00"/>
    <n v="600"/>
    <m/>
    <m/>
    <m/>
    <m/>
    <m/>
    <m/>
    <n v="600"/>
    <n v="0"/>
    <n v="0"/>
  </r>
  <r>
    <s v="143B/2019"/>
    <d v="2019-03-19T00:00:00"/>
    <s v="THANH THÚY"/>
    <s v="BL02"/>
    <x v="17"/>
    <x v="58"/>
    <s v="OUTBACK"/>
    <m/>
    <s v="18.20"/>
    <n v="150"/>
    <s v="NL2018"/>
    <m/>
    <n v="14"/>
    <n v="2100"/>
    <x v="62"/>
    <n v="21420000"/>
    <x v="2"/>
    <d v="2019-09-01T00:00:00"/>
    <d v="2019-09-29T00:00:00"/>
    <d v="2019-09-29T00:00:00"/>
    <s v="TẾT"/>
    <m/>
    <m/>
    <m/>
    <m/>
    <m/>
    <m/>
    <m/>
    <m/>
    <m/>
    <m/>
    <m/>
    <n v="0"/>
    <n v="2100"/>
    <n v="21420000"/>
  </r>
  <r>
    <s v="143B/2019"/>
    <d v="2019-03-19T00:00:00"/>
    <s v="THANH THÚY"/>
    <s v="BL02"/>
    <x v="17"/>
    <x v="16"/>
    <s v="ROBINA"/>
    <m/>
    <s v="20.22"/>
    <n v="125"/>
    <s v="NL2018"/>
    <m/>
    <n v="16"/>
    <n v="2000"/>
    <x v="59"/>
    <n v="21000000"/>
    <x v="2"/>
    <d v="2019-09-01T00:00:00"/>
    <d v="2019-09-29T00:00:00"/>
    <d v="2019-09-29T00:00:00"/>
    <s v="TẾT"/>
    <m/>
    <m/>
    <m/>
    <m/>
    <m/>
    <m/>
    <m/>
    <m/>
    <m/>
    <m/>
    <m/>
    <n v="0"/>
    <n v="2000"/>
    <n v="21000000"/>
  </r>
  <r>
    <s v="143B/2019"/>
    <d v="2019-03-19T00:00:00"/>
    <s v="THANH THÚY"/>
    <s v="BL02"/>
    <x v="17"/>
    <x v="59"/>
    <s v="DALIAN"/>
    <m/>
    <s v="18.20"/>
    <n v="150"/>
    <s v="NL2018"/>
    <m/>
    <n v="14"/>
    <n v="2100"/>
    <x v="63"/>
    <n v="25410000"/>
    <x v="2"/>
    <d v="2019-09-01T00:00:00"/>
    <d v="2019-09-29T00:00:00"/>
    <d v="2019-09-29T00:00:00"/>
    <s v="TẾT"/>
    <m/>
    <m/>
    <m/>
    <m/>
    <m/>
    <m/>
    <m/>
    <m/>
    <m/>
    <m/>
    <m/>
    <n v="0"/>
    <n v="2100"/>
    <n v="25410000"/>
  </r>
  <r>
    <s v="143B/2019"/>
    <d v="2019-03-19T00:00:00"/>
    <s v="THANH THÚY"/>
    <s v="BL02"/>
    <x v="17"/>
    <x v="14"/>
    <s v="TARRANGO"/>
    <m/>
    <s v="20.22"/>
    <n v="125"/>
    <s v="NL2018"/>
    <m/>
    <n v="20"/>
    <n v="2500"/>
    <x v="8"/>
    <n v="27000000"/>
    <x v="2"/>
    <d v="2019-09-01T00:00:00"/>
    <d v="2019-09-29T00:00:00"/>
    <d v="2019-09-29T00:00:00"/>
    <s v="TẾT"/>
    <m/>
    <m/>
    <m/>
    <m/>
    <m/>
    <m/>
    <m/>
    <m/>
    <m/>
    <m/>
    <m/>
    <n v="0"/>
    <n v="2500"/>
    <n v="27000000"/>
  </r>
  <r>
    <s v="143B/2019"/>
    <d v="2019-03-19T00:00:00"/>
    <s v="THANH THÚY"/>
    <s v="BL02"/>
    <x v="17"/>
    <x v="60"/>
    <s v="PATRICIA"/>
    <s v="RL"/>
    <s v="12.14"/>
    <n v="400"/>
    <s v="NL2018"/>
    <m/>
    <n v="8"/>
    <n v="3200"/>
    <x v="64"/>
    <n v="28160000"/>
    <x v="2"/>
    <d v="2019-09-01T00:00:00"/>
    <d v="2019-09-29T00:00:00"/>
    <d v="2019-09-29T00:00:00"/>
    <s v="TẾT"/>
    <m/>
    <m/>
    <m/>
    <m/>
    <m/>
    <m/>
    <m/>
    <m/>
    <m/>
    <m/>
    <m/>
    <n v="0"/>
    <n v="3200"/>
    <n v="28160000"/>
  </r>
  <r>
    <s v="43A/2019"/>
    <d v="2019-02-12T00:00:00"/>
    <s v="KIỀU THY"/>
    <s v="TA04"/>
    <x v="18"/>
    <x v="32"/>
    <s v="BACARDI"/>
    <m/>
    <s v="16.18"/>
    <n v="200"/>
    <s v="NL2018"/>
    <m/>
    <n v="0"/>
    <n v="0"/>
    <x v="42"/>
    <n v="0"/>
    <x v="1"/>
    <d v="2019-02-15T00:00:00"/>
    <d v="2019-03-20T00:00:00"/>
    <d v="2019-03-20T00:00:00"/>
    <s v="15/2AL"/>
    <s v="CONT 11/2019"/>
    <d v="2019-03-17T00:00:00"/>
    <m/>
    <m/>
    <m/>
    <m/>
    <m/>
    <m/>
    <m/>
    <m/>
    <m/>
    <n v="0"/>
    <n v="0"/>
    <n v="0"/>
  </r>
  <r>
    <s v="43A/2019"/>
    <d v="2019-02-12T00:00:00"/>
    <s v="KIỀU THY"/>
    <s v="TA04"/>
    <x v="18"/>
    <x v="61"/>
    <s v="BACARDI"/>
    <m/>
    <s v="15.16"/>
    <n v="250"/>
    <s v="NL2018"/>
    <m/>
    <n v="0"/>
    <n v="0"/>
    <x v="65"/>
    <n v="0"/>
    <x v="1"/>
    <d v="2019-03-15T00:00:00"/>
    <d v="2019-04-19T00:00:00"/>
    <d v="2019-04-19T00:00:00"/>
    <s v="15/3AL"/>
    <s v="CONT 22/2019"/>
    <d v="2019-04-14T00:00:00"/>
    <s v="R"/>
    <m/>
    <n v="0"/>
    <m/>
    <m/>
    <m/>
    <m/>
    <m/>
    <m/>
    <n v="0"/>
    <n v="0"/>
    <n v="0"/>
  </r>
  <r>
    <s v="43A/2019"/>
    <d v="2019-02-12T00:00:00"/>
    <s v="KIỀU THY"/>
    <s v="TA04"/>
    <x v="18"/>
    <x v="22"/>
    <s v="ROBINA"/>
    <m/>
    <s v="16.18"/>
    <n v="200"/>
    <s v="NL2018"/>
    <m/>
    <n v="0"/>
    <n v="0"/>
    <x v="18"/>
    <n v="0"/>
    <x v="1"/>
    <d v="2019-03-15T00:00:00"/>
    <d v="2019-04-19T00:00:00"/>
    <d v="2019-04-19T00:00:00"/>
    <s v="15/3AL"/>
    <s v="CONT 26/2019"/>
    <d v="2019-04-14T00:00:00"/>
    <s v="R"/>
    <m/>
    <n v="0"/>
    <m/>
    <m/>
    <m/>
    <m/>
    <m/>
    <m/>
    <n v="0"/>
    <n v="0"/>
    <n v="0"/>
  </r>
  <r>
    <s v="43A/2019"/>
    <d v="2019-02-12T00:00:00"/>
    <s v="KIỀU THY"/>
    <s v="TA04"/>
    <x v="18"/>
    <x v="31"/>
    <s v="TARRANGO"/>
    <m/>
    <s v="14.16"/>
    <n v="300"/>
    <s v="NL2018"/>
    <m/>
    <n v="0"/>
    <n v="0"/>
    <x v="21"/>
    <n v="0"/>
    <x v="1"/>
    <d v="2019-03-15T00:00:00"/>
    <d v="2019-04-19T00:00:00"/>
    <d v="2019-04-19T00:00:00"/>
    <s v="15/2AL_3.000+10/03AL_4.000"/>
    <s v="CONT 24/2019"/>
    <d v="2019-04-14T00:00:00"/>
    <s v="R"/>
    <m/>
    <n v="0"/>
    <m/>
    <m/>
    <m/>
    <m/>
    <m/>
    <m/>
    <n v="0"/>
    <n v="0"/>
    <n v="0"/>
  </r>
  <r>
    <s v="43A/2019"/>
    <d v="2019-02-12T00:00:00"/>
    <s v="KIỀU THY"/>
    <s v="TA04"/>
    <x v="18"/>
    <x v="62"/>
    <s v="BACARDI"/>
    <m/>
    <s v="15.16"/>
    <n v="300"/>
    <s v="NL2018"/>
    <m/>
    <n v="7"/>
    <n v="2100"/>
    <x v="65"/>
    <n v="9177000"/>
    <x v="0"/>
    <d v="2019-02-15T00:00:00"/>
    <d v="2019-03-20T00:00:00"/>
    <d v="2019-03-20T00:00:00"/>
    <s v="15/2AL"/>
    <s v="CONT 11/2019"/>
    <d v="2019-03-17T00:00:00"/>
    <s v="R"/>
    <d v="2019-03-23T00:00:00"/>
    <n v="2100"/>
    <m/>
    <m/>
    <m/>
    <m/>
    <m/>
    <m/>
    <n v="2100"/>
    <n v="0"/>
    <n v="0"/>
  </r>
  <r>
    <s v="43A/2019"/>
    <d v="2019-02-12T00:00:00"/>
    <s v="KIỀU THY"/>
    <s v="TA04"/>
    <x v="18"/>
    <x v="31"/>
    <s v="TARRANGO"/>
    <m/>
    <s v="14.16"/>
    <n v="300"/>
    <s v="NL2018"/>
    <m/>
    <n v="7"/>
    <n v="2100"/>
    <x v="21"/>
    <n v="9660000"/>
    <x v="0"/>
    <d v="2019-02-15T00:00:00"/>
    <d v="2019-03-20T00:00:00"/>
    <d v="2019-03-20T00:00:00"/>
    <s v="15/2AL_3.000+10/03AL_4.000"/>
    <s v="CONT 10/2019"/>
    <d v="2019-03-17T00:00:00"/>
    <s v="R"/>
    <d v="2019-03-23T00:00:00"/>
    <n v="2100"/>
    <m/>
    <m/>
    <m/>
    <m/>
    <m/>
    <m/>
    <n v="2100"/>
    <n v="0"/>
    <n v="0"/>
  </r>
  <r>
    <s v="43A/2019"/>
    <d v="2019-05-20T00:00:00"/>
    <s v="KIỀU THY"/>
    <s v="TA04"/>
    <x v="18"/>
    <x v="57"/>
    <s v="DALIAN"/>
    <m/>
    <s v="14.16"/>
    <n v="300"/>
    <s v="NL2018"/>
    <m/>
    <n v="7"/>
    <n v="2100"/>
    <x v="44"/>
    <n v="11550000"/>
    <x v="0"/>
    <d v="2019-04-17T00:00:00"/>
    <d v="2019-05-21T00:00:00"/>
    <d v="2019-05-21T00:00:00"/>
    <m/>
    <m/>
    <m/>
    <m/>
    <d v="2019-05-21T00:00:00"/>
    <n v="2100"/>
    <m/>
    <m/>
    <m/>
    <m/>
    <m/>
    <m/>
    <n v="2100"/>
    <n v="0"/>
    <n v="0"/>
  </r>
  <r>
    <s v="220A/2019"/>
    <d v="2019-05-16T00:00:00"/>
    <s v="KIỀU THY"/>
    <s v="PH01"/>
    <x v="19"/>
    <x v="63"/>
    <s v="MANISSA"/>
    <m/>
    <s v="24.26"/>
    <s v="80"/>
    <s v="NL2018"/>
    <m/>
    <n v="35"/>
    <n v="2800"/>
    <x v="50"/>
    <n v="45360000"/>
    <x v="2"/>
    <d v="2019-09-01T00:00:00"/>
    <d v="2019-09-29T00:00:00"/>
    <d v="2019-09-29T00:00:00"/>
    <m/>
    <m/>
    <m/>
    <m/>
    <m/>
    <m/>
    <m/>
    <m/>
    <m/>
    <m/>
    <m/>
    <m/>
    <n v="0"/>
    <n v="2800"/>
    <n v="45360000"/>
  </r>
  <r>
    <s v="220A/2019"/>
    <d v="2019-05-16T00:00:00"/>
    <s v="KIỀU THY"/>
    <s v="PH01"/>
    <x v="19"/>
    <x v="36"/>
    <s v="MANISSA"/>
    <m/>
    <s v="20.22"/>
    <s v="125"/>
    <s v="NL2018"/>
    <m/>
    <n v="19"/>
    <n v="2375"/>
    <x v="66"/>
    <n v="32300000"/>
    <x v="2"/>
    <d v="2019-09-01T00:00:00"/>
    <d v="2019-09-29T00:00:00"/>
    <d v="2019-09-29T00:00:00"/>
    <m/>
    <m/>
    <m/>
    <m/>
    <m/>
    <m/>
    <m/>
    <m/>
    <m/>
    <m/>
    <m/>
    <m/>
    <n v="0"/>
    <n v="2375"/>
    <n v="32300000"/>
  </r>
  <r>
    <s v="220A/2019"/>
    <d v="2019-05-20T00:00:00"/>
    <s v="KIỀU THY"/>
    <s v="PH01"/>
    <x v="19"/>
    <x v="44"/>
    <s v="ROBINA"/>
    <m/>
    <s v="24.26"/>
    <s v="80"/>
    <s v="NL2018"/>
    <m/>
    <n v="63"/>
    <n v="5040"/>
    <x v="52"/>
    <n v="77112000"/>
    <x v="2"/>
    <d v="2019-09-01T00:00:00"/>
    <d v="2019-09-29T00:00:00"/>
    <d v="2019-09-29T00:00:00"/>
    <m/>
    <m/>
    <m/>
    <m/>
    <m/>
    <m/>
    <m/>
    <m/>
    <m/>
    <m/>
    <m/>
    <m/>
    <n v="0"/>
    <n v="5040"/>
    <n v="77112000"/>
  </r>
  <r>
    <s v="220A/2019"/>
    <d v="2019-06-17T00:00:00"/>
    <s v="KIỀU THY"/>
    <s v="PH01"/>
    <x v="19"/>
    <x v="64"/>
    <s v="TARRANGO"/>
    <m/>
    <s v="18.20"/>
    <s v="150"/>
    <s v="NL2018"/>
    <m/>
    <n v="68"/>
    <n v="10200"/>
    <x v="67"/>
    <n v="95880000"/>
    <x v="2"/>
    <d v="2019-09-01T00:00:00"/>
    <d v="2019-09-29T00:00:00"/>
    <d v="2019-09-29T00:00:00"/>
    <m/>
    <m/>
    <m/>
    <m/>
    <m/>
    <m/>
    <m/>
    <m/>
    <m/>
    <m/>
    <m/>
    <m/>
    <n v="0"/>
    <n v="10200"/>
    <n v="95880000"/>
  </r>
  <r>
    <s v="220A/2019"/>
    <d v="2019-06-17T00:00:00"/>
    <s v="KIỀU THY"/>
    <s v="PH01"/>
    <x v="19"/>
    <x v="6"/>
    <s v="CONCADOR"/>
    <m/>
    <s v="20.22"/>
    <s v="125"/>
    <s v="NL2018"/>
    <m/>
    <n v="40"/>
    <n v="5000"/>
    <x v="7"/>
    <n v="53000000"/>
    <x v="2"/>
    <d v="2019-09-01T00:00:00"/>
    <d v="2019-09-29T00:00:00"/>
    <d v="2019-09-29T00:00:00"/>
    <m/>
    <m/>
    <m/>
    <m/>
    <m/>
    <m/>
    <m/>
    <m/>
    <m/>
    <m/>
    <m/>
    <m/>
    <n v="0"/>
    <n v="5000"/>
    <n v="53000000"/>
  </r>
  <r>
    <s v="220A/2019"/>
    <d v="2019-06-17T00:00:00"/>
    <s v="KIỀU THY"/>
    <s v="PH01"/>
    <x v="19"/>
    <x v="16"/>
    <s v="ROBINA"/>
    <m/>
    <s v="20.22"/>
    <s v="125"/>
    <s v="NL2018"/>
    <m/>
    <n v="40"/>
    <n v="5000"/>
    <x v="16"/>
    <n v="53500000"/>
    <x v="2"/>
    <d v="2019-09-01T00:00:00"/>
    <d v="2019-09-29T00:00:00"/>
    <d v="2019-09-29T00:00:00"/>
    <m/>
    <m/>
    <m/>
    <m/>
    <m/>
    <m/>
    <m/>
    <m/>
    <m/>
    <m/>
    <m/>
    <m/>
    <n v="0"/>
    <n v="5000"/>
    <n v="53500000"/>
  </r>
  <r>
    <s v="217A/2019"/>
    <d v="2019-05-16T00:00:00"/>
    <s v="KIỀU THY"/>
    <s v="PH01"/>
    <x v="19"/>
    <x v="11"/>
    <s v="YELLOWEEN"/>
    <m/>
    <s v="12.14"/>
    <s v="400"/>
    <s v="NL2018"/>
    <m/>
    <n v="25"/>
    <n v="10000"/>
    <x v="4"/>
    <n v="28000000"/>
    <x v="0"/>
    <d v="2019-04-17T00:00:00"/>
    <d v="2019-05-21T00:00:00"/>
    <d v="2019-05-21T00:00:00"/>
    <m/>
    <m/>
    <m/>
    <m/>
    <d v="2019-05-19T00:00:00"/>
    <n v="10000"/>
    <m/>
    <m/>
    <m/>
    <m/>
    <m/>
    <m/>
    <n v="10000"/>
    <n v="0"/>
    <n v="0"/>
  </r>
  <r>
    <s v="217A/2019"/>
    <d v="2019-05-16T00:00:00"/>
    <s v="KIỀU THY"/>
    <s v="PH01"/>
    <x v="19"/>
    <x v="28"/>
    <s v="YELLOWEEN"/>
    <m/>
    <s v="14.16"/>
    <s v="300"/>
    <s v="NL2018"/>
    <m/>
    <n v="24"/>
    <n v="7200"/>
    <x v="56"/>
    <n v="28080000"/>
    <x v="0"/>
    <d v="2019-05-05T00:00:00"/>
    <d v="2019-06-07T00:00:00"/>
    <d v="2019-06-07T00:00:00"/>
    <m/>
    <m/>
    <m/>
    <m/>
    <d v="2019-06-10T00:00:00"/>
    <n v="7200"/>
    <m/>
    <m/>
    <m/>
    <m/>
    <m/>
    <m/>
    <n v="7200"/>
    <n v="0"/>
    <n v="0"/>
  </r>
  <r>
    <s v="217A/2019"/>
    <d v="2019-05-22T00:00:00"/>
    <s v="KIỀU THY"/>
    <s v="PH01"/>
    <x v="19"/>
    <x v="65"/>
    <s v="ROBINA"/>
    <m/>
    <s v="14.16"/>
    <s v="300"/>
    <s v="NL2018"/>
    <m/>
    <n v="27"/>
    <n v="8100"/>
    <x v="6"/>
    <n v="30780000"/>
    <x v="0"/>
    <d v="2019-05-05T00:00:00"/>
    <d v="2019-06-07T00:00:00"/>
    <d v="2019-06-07T00:00:00"/>
    <m/>
    <m/>
    <m/>
    <m/>
    <d v="2019-06-17T00:00:00"/>
    <n v="8100"/>
    <m/>
    <m/>
    <m/>
    <m/>
    <m/>
    <m/>
    <n v="8100"/>
    <n v="0"/>
    <n v="0"/>
  </r>
  <r>
    <s v="217A/2019"/>
    <d v="2019-06-05T00:00:00"/>
    <s v="KIỀU THY"/>
    <s v="PH01"/>
    <x v="19"/>
    <x v="57"/>
    <s v="DALIAN"/>
    <m/>
    <s v="14.16"/>
    <s v="300"/>
    <s v="NL2018"/>
    <m/>
    <n v="9"/>
    <n v="2700"/>
    <x v="44"/>
    <n v="14850000"/>
    <x v="0"/>
    <d v="2019-05-05T00:00:00"/>
    <d v="2019-06-07T00:00:00"/>
    <d v="2019-06-07T00:00:00"/>
    <m/>
    <m/>
    <m/>
    <m/>
    <d v="2019-06-17T00:00:00"/>
    <n v="2700"/>
    <m/>
    <m/>
    <m/>
    <m/>
    <m/>
    <m/>
    <n v="2700"/>
    <n v="0"/>
    <n v="0"/>
  </r>
  <r>
    <s v="217A/2019"/>
    <d v="2019-06-12T00:00:00"/>
    <s v="KIỀU THY"/>
    <s v="PH01"/>
    <x v="19"/>
    <x v="57"/>
    <s v="DALIAN"/>
    <m/>
    <s v="14.16"/>
    <s v="300"/>
    <s v="NL2018"/>
    <m/>
    <n v="17"/>
    <n v="5100"/>
    <x v="44"/>
    <n v="28050000"/>
    <x v="0"/>
    <d v="2019-05-05T00:00:00"/>
    <d v="2019-06-07T00:00:00"/>
    <d v="2019-06-07T00:00:00"/>
    <m/>
    <m/>
    <m/>
    <m/>
    <d v="2019-06-17T00:00:00"/>
    <n v="5100"/>
    <m/>
    <m/>
    <m/>
    <m/>
    <m/>
    <m/>
    <n v="5100"/>
    <n v="0"/>
    <n v="0"/>
  </r>
  <r>
    <s v="217A/2019"/>
    <d v="2019-06-12T00:00:00"/>
    <s v="KIỀU THY"/>
    <s v="PH01"/>
    <x v="19"/>
    <x v="66"/>
    <s v="ALUSTA"/>
    <m/>
    <s v="14.16"/>
    <s v="300"/>
    <s v="NL2018"/>
    <m/>
    <n v="17"/>
    <n v="5100"/>
    <x v="1"/>
    <n v="21420000"/>
    <x v="0"/>
    <d v="2019-05-05T00:00:00"/>
    <d v="2019-06-07T00:00:00"/>
    <d v="2019-06-07T00:00:00"/>
    <m/>
    <m/>
    <m/>
    <m/>
    <d v="2019-06-17T00:00:00"/>
    <n v="5100"/>
    <m/>
    <m/>
    <m/>
    <m/>
    <m/>
    <m/>
    <n v="5100"/>
    <n v="0"/>
    <n v="0"/>
  </r>
  <r>
    <s v="217A/2019"/>
    <d v="2019-05-20T00:00:00"/>
    <s v="KIỀU THY"/>
    <s v="PH01"/>
    <x v="19"/>
    <x v="28"/>
    <s v="YELLOWEEN"/>
    <m/>
    <s v="14.16"/>
    <s v="300"/>
    <s v="NL2018"/>
    <m/>
    <n v="17"/>
    <n v="5100"/>
    <x v="57"/>
    <n v="20400000"/>
    <x v="3"/>
    <d v="2019-05-30T00:00:00"/>
    <d v="2019-07-02T00:00:00"/>
    <d v="2019-07-02T00:00:00"/>
    <m/>
    <m/>
    <m/>
    <m/>
    <m/>
    <m/>
    <m/>
    <m/>
    <m/>
    <m/>
    <m/>
    <m/>
    <n v="0"/>
    <n v="5100"/>
    <n v="20400000"/>
  </r>
  <r>
    <s v="217A/2019"/>
    <d v="2019-05-22T00:00:00"/>
    <s v="KIỀU THY"/>
    <s v="PH01"/>
    <x v="19"/>
    <x v="65"/>
    <s v="ROBINA"/>
    <m/>
    <s v="14.16"/>
    <s v="300"/>
    <s v="NL2018"/>
    <m/>
    <n v="34"/>
    <n v="10200"/>
    <x v="56"/>
    <n v="39780000"/>
    <x v="3"/>
    <d v="2019-05-30T00:00:00"/>
    <d v="2019-07-02T00:00:00"/>
    <d v="2019-07-02T00:00:00"/>
    <m/>
    <m/>
    <m/>
    <m/>
    <m/>
    <m/>
    <m/>
    <m/>
    <m/>
    <m/>
    <m/>
    <m/>
    <n v="0"/>
    <n v="10200"/>
    <n v="39780000"/>
  </r>
  <r>
    <s v="217A/2019"/>
    <d v="2019-05-31T00:00:00"/>
    <s v="KIỀU THY"/>
    <s v="PH01"/>
    <x v="19"/>
    <x v="28"/>
    <s v="YELLOWEEN"/>
    <m/>
    <s v="14.16"/>
    <s v="300"/>
    <s v="NL2018"/>
    <m/>
    <n v="17"/>
    <n v="5100"/>
    <x v="57"/>
    <n v="20400000"/>
    <x v="2"/>
    <d v="2019-07-01T00:00:00"/>
    <d v="2019-08-01T00:00:00"/>
    <d v="2019-08-01T00:00:00"/>
    <m/>
    <m/>
    <m/>
    <m/>
    <m/>
    <m/>
    <m/>
    <m/>
    <m/>
    <m/>
    <m/>
    <m/>
    <n v="0"/>
    <n v="5100"/>
    <n v="20400000"/>
  </r>
  <r>
    <s v="217A/2019"/>
    <d v="2019-05-31T00:00:00"/>
    <s v="KIỀU THY"/>
    <s v="PH01"/>
    <x v="19"/>
    <x v="65"/>
    <s v="ROBINA"/>
    <m/>
    <s v="14.16"/>
    <s v="300"/>
    <s v="NL2018"/>
    <m/>
    <n v="34"/>
    <n v="10200"/>
    <x v="56"/>
    <n v="39780000"/>
    <x v="2"/>
    <d v="2019-07-01T00:00:00"/>
    <d v="2019-08-01T00:00:00"/>
    <d v="2019-08-01T00:00:00"/>
    <m/>
    <m/>
    <m/>
    <m/>
    <m/>
    <m/>
    <m/>
    <m/>
    <m/>
    <m/>
    <m/>
    <m/>
    <n v="0"/>
    <n v="10200"/>
    <n v="39780000"/>
  </r>
  <r>
    <s v="52B/2019"/>
    <d v="2019-02-16T00:00:00"/>
    <s v="THANH THÚY"/>
    <s v="PC01"/>
    <x v="20"/>
    <x v="31"/>
    <s v="TARRANGO"/>
    <m/>
    <s v="14.16"/>
    <n v="300"/>
    <s v="NL2018"/>
    <m/>
    <n v="7"/>
    <n v="2100"/>
    <x v="21"/>
    <n v="9660000"/>
    <x v="0"/>
    <d v="2019-01-15T00:00:00"/>
    <d v="2019-02-19T00:00:00"/>
    <d v="2019-02-19T00:00:00"/>
    <s v="15/1AL"/>
    <m/>
    <m/>
    <m/>
    <d v="2019-04-06T00:00:00"/>
    <n v="2100"/>
    <m/>
    <m/>
    <m/>
    <m/>
    <m/>
    <m/>
    <n v="2100"/>
    <n v="0"/>
    <n v="0"/>
  </r>
  <r>
    <s v="52B/2019"/>
    <d v="2019-02-16T00:00:00"/>
    <s v="THANH THÚY"/>
    <s v="PC01"/>
    <x v="20"/>
    <x v="31"/>
    <s v="TARRANGO"/>
    <m/>
    <s v="14.16"/>
    <n v="300"/>
    <s v="NL2018"/>
    <m/>
    <n v="0"/>
    <n v="0"/>
    <x v="21"/>
    <n v="0"/>
    <x v="1"/>
    <s v="29-Feb-19"/>
    <d v="2019-04-03T00:00:00"/>
    <d v="2019-04-03T00:00:00"/>
    <s v="30/2AL"/>
    <s v="CONT 17/2019"/>
    <m/>
    <m/>
    <m/>
    <n v="2100"/>
    <m/>
    <m/>
    <m/>
    <m/>
    <m/>
    <m/>
    <n v="2100"/>
    <n v="-2100"/>
    <n v="-9660000"/>
  </r>
  <r>
    <s v="52B/2019"/>
    <d v="2019-02-16T00:00:00"/>
    <s v="THANH THÚY"/>
    <s v="PC01"/>
    <x v="20"/>
    <x v="28"/>
    <s v="YELLOWEEN"/>
    <m/>
    <s v="14.16"/>
    <n v="300"/>
    <s v="NL2018"/>
    <m/>
    <n v="2"/>
    <n v="600"/>
    <x v="57"/>
    <n v="2400000"/>
    <x v="0"/>
    <s v="29-Feb-19"/>
    <d v="2019-04-03T00:00:00"/>
    <d v="2019-04-03T00:00:00"/>
    <s v="30/2AL"/>
    <m/>
    <m/>
    <m/>
    <d v="2019-04-06T00:00:00"/>
    <n v="600"/>
    <m/>
    <m/>
    <m/>
    <m/>
    <m/>
    <m/>
    <n v="600"/>
    <n v="0"/>
    <n v="0"/>
  </r>
  <r>
    <s v="52B/2019"/>
    <d v="2019-02-16T00:00:00"/>
    <s v="THANH THÚY"/>
    <s v="PC01"/>
    <x v="20"/>
    <x v="38"/>
    <s v="YELLOWEEN"/>
    <m/>
    <s v="16.18"/>
    <n v="200"/>
    <s v="NL2018"/>
    <m/>
    <n v="10"/>
    <n v="2000"/>
    <x v="18"/>
    <n v="10000000"/>
    <x v="0"/>
    <d v="2019-01-15T00:00:00"/>
    <d v="2019-02-19T00:00:00"/>
    <d v="2019-02-19T00:00:00"/>
    <s v="15/1AL"/>
    <m/>
    <m/>
    <m/>
    <d v="2019-02-23T00:00:00"/>
    <n v="2000"/>
    <m/>
    <m/>
    <m/>
    <m/>
    <m/>
    <m/>
    <n v="2000"/>
    <n v="0"/>
    <n v="0"/>
  </r>
  <r>
    <s v="52B/2019"/>
    <d v="2019-02-16T00:00:00"/>
    <s v="THANH THÚY"/>
    <s v="PC01"/>
    <x v="20"/>
    <x v="24"/>
    <s v="SERANO"/>
    <m/>
    <s v="14.16"/>
    <n v="300"/>
    <s v="NL2018"/>
    <m/>
    <n v="7"/>
    <n v="2100"/>
    <x v="68"/>
    <n v="7350000"/>
    <x v="0"/>
    <d v="2019-02-15T00:00:00"/>
    <d v="2019-03-20T00:00:00"/>
    <d v="2019-03-20T00:00:00"/>
    <s v="15/2AL"/>
    <m/>
    <m/>
    <m/>
    <d v="2019-04-06T00:00:00"/>
    <n v="2100"/>
    <m/>
    <m/>
    <m/>
    <m/>
    <m/>
    <m/>
    <n v="2100"/>
    <n v="0"/>
    <n v="0"/>
  </r>
  <r>
    <s v="233/2019"/>
    <d v="2019-05-31T00:00:00"/>
    <s v="KIỀU THY"/>
    <s v="NH05"/>
    <x v="21"/>
    <x v="31"/>
    <s v="TARRANGO"/>
    <m/>
    <s v="14.16"/>
    <s v="300"/>
    <s v="NL2018"/>
    <m/>
    <n v="12"/>
    <n v="3600"/>
    <x v="23"/>
    <n v="17280000"/>
    <x v="0"/>
    <d v="2019-04-17T00:00:00"/>
    <d v="2019-05-21T00:00:00"/>
    <d v="2019-05-21T00:00:00"/>
    <m/>
    <m/>
    <m/>
    <m/>
    <d v="2019-05-31T00:00:00"/>
    <n v="3600"/>
    <m/>
    <m/>
    <m/>
    <m/>
    <m/>
    <m/>
    <n v="3600"/>
    <n v="0"/>
    <n v="0"/>
  </r>
  <r>
    <s v="233/2019"/>
    <d v="2019-05-31T00:00:00"/>
    <s v="KIỀU THY"/>
    <s v="NH05"/>
    <x v="21"/>
    <x v="57"/>
    <s v="DALIAN"/>
    <m/>
    <s v="14.16"/>
    <s v="300"/>
    <s v="NL2018"/>
    <m/>
    <n v="2"/>
    <n v="600"/>
    <x v="11"/>
    <n v="3240000"/>
    <x v="0"/>
    <d v="2019-04-17T00:00:00"/>
    <d v="2019-05-21T00:00:00"/>
    <d v="2019-05-21T00:00:00"/>
    <m/>
    <m/>
    <m/>
    <m/>
    <d v="2019-05-31T00:00:00"/>
    <s v="600"/>
    <m/>
    <m/>
    <m/>
    <m/>
    <m/>
    <m/>
    <n v="600"/>
    <n v="0"/>
    <n v="0"/>
  </r>
  <r>
    <s v="233/2019"/>
    <d v="2019-06-06T00:00:00"/>
    <s v="KIỀU THY"/>
    <s v="NH05"/>
    <x v="21"/>
    <x v="22"/>
    <s v="ROBINA"/>
    <m/>
    <s v="16.18"/>
    <s v="200"/>
    <s v="NL2018"/>
    <m/>
    <n v="15"/>
    <n v="3000"/>
    <x v="44"/>
    <n v="16500000"/>
    <x v="4"/>
    <d v="2019-05-05T00:00:00"/>
    <d v="2019-06-07T00:00:00"/>
    <d v="2019-06-07T00:00:00"/>
    <m/>
    <m/>
    <m/>
    <m/>
    <m/>
    <m/>
    <m/>
    <m/>
    <m/>
    <m/>
    <m/>
    <m/>
    <n v="0"/>
    <n v="3000"/>
    <n v="16500000"/>
  </r>
  <r>
    <s v="93A/2019"/>
    <d v="2019-03-07T00:00:00"/>
    <s v="KIỀU THY"/>
    <s v="LG01"/>
    <x v="21"/>
    <x v="67"/>
    <s v="INDIANA"/>
    <m/>
    <s v="14.16"/>
    <n v="300"/>
    <s v="NL2018"/>
    <m/>
    <n v="1"/>
    <n v="300"/>
    <x v="44"/>
    <n v="1650000"/>
    <x v="0"/>
    <s v="30-Feb-19"/>
    <d v="2019-04-04T00:00:00"/>
    <d v="2019-04-04T00:00:00"/>
    <s v="30/2AL"/>
    <s v="CONT 14/2019"/>
    <d v="2019-03-31T00:00:00"/>
    <m/>
    <d v="2019-04-03T00:00:00"/>
    <n v="300"/>
    <m/>
    <m/>
    <m/>
    <m/>
    <m/>
    <m/>
    <n v="300"/>
    <n v="0"/>
    <n v="0"/>
  </r>
  <r>
    <s v="109A/2019"/>
    <d v="2019-03-12T00:00:00"/>
    <s v="KIỀU THY"/>
    <s v="MS02"/>
    <x v="22"/>
    <x v="2"/>
    <s v="NASHVILLE"/>
    <m/>
    <s v="14.16"/>
    <s v="300"/>
    <s v="NL2018"/>
    <m/>
    <n v="21"/>
    <n v="6300"/>
    <x v="56"/>
    <n v="24570000"/>
    <x v="0"/>
    <d v="2019-04-17T00:00:00"/>
    <d v="2019-05-21T00:00:00"/>
    <d v="2019-05-21T00:00:00"/>
    <s v="15/4AL"/>
    <m/>
    <m/>
    <m/>
    <d v="2019-05-24T00:00:00"/>
    <n v="3000"/>
    <d v="2019-06-08T00:00:00"/>
    <s v="3300"/>
    <m/>
    <m/>
    <m/>
    <m/>
    <n v="6300"/>
    <n v="0"/>
    <n v="0"/>
  </r>
  <r>
    <s v="109A/2019"/>
    <d v="2019-06-04T00:00:00"/>
    <s v="KIỀU THY"/>
    <s v="MS02"/>
    <x v="22"/>
    <x v="3"/>
    <s v="PAVIA"/>
    <m/>
    <s v="12.14"/>
    <s v="400"/>
    <s v="NL2018"/>
    <m/>
    <n v="12"/>
    <n v="4800"/>
    <x v="14"/>
    <n v="13920000"/>
    <x v="4"/>
    <d v="2019-05-05T00:00:00"/>
    <d v="2019-06-07T00:00:00"/>
    <d v="2019-06-07T00:00:00"/>
    <m/>
    <m/>
    <m/>
    <m/>
    <d v="2019-06-08T00:00:00"/>
    <n v="2000"/>
    <m/>
    <m/>
    <m/>
    <m/>
    <m/>
    <m/>
    <n v="2000"/>
    <n v="2800"/>
    <n v="8120000"/>
  </r>
  <r>
    <s v="109A/2019"/>
    <d v="2019-05-29T00:00:00"/>
    <s v="KIỀU THY"/>
    <s v="MS02"/>
    <x v="22"/>
    <x v="12"/>
    <s v="AMATERAS"/>
    <m/>
    <s v="14.16"/>
    <s v="300"/>
    <s v="NL2018"/>
    <m/>
    <n v="4"/>
    <n v="1200"/>
    <x v="13"/>
    <n v="5400000"/>
    <x v="0"/>
    <d v="2019-05-05T00:00:00"/>
    <d v="2019-06-07T00:00:00"/>
    <d v="2019-06-07T00:00:00"/>
    <m/>
    <m/>
    <m/>
    <m/>
    <d v="2019-06-08T00:00:00"/>
    <n v="1200"/>
    <m/>
    <m/>
    <m/>
    <m/>
    <m/>
    <m/>
    <n v="1200"/>
    <n v="0"/>
    <n v="0"/>
  </r>
  <r>
    <s v="109A/2019"/>
    <d v="2019-03-12T00:00:00"/>
    <s v="KIỀU THY"/>
    <s v="MS02"/>
    <x v="22"/>
    <x v="2"/>
    <s v="NASHVILLE"/>
    <m/>
    <s v="14.16"/>
    <s v="300"/>
    <s v="NL2018"/>
    <m/>
    <n v="10"/>
    <n v="3000"/>
    <x v="57"/>
    <n v="12000000"/>
    <x v="0"/>
    <d v="2019-05-05T00:00:00"/>
    <d v="2019-06-07T00:00:00"/>
    <d v="2019-06-07T00:00:00"/>
    <s v="30/4AL"/>
    <m/>
    <m/>
    <m/>
    <d v="2019-06-08T00:00:00"/>
    <n v="3000"/>
    <m/>
    <m/>
    <m/>
    <m/>
    <m/>
    <m/>
    <n v="3000"/>
    <n v="0"/>
    <n v="0"/>
  </r>
  <r>
    <s v="109A/2019"/>
    <d v="2019-03-12T00:00:00"/>
    <s v="KIỀU THY"/>
    <s v="MS02"/>
    <x v="22"/>
    <x v="2"/>
    <s v="NASHVILLE"/>
    <m/>
    <s v="14.16"/>
    <s v="300"/>
    <s v="NL2018"/>
    <m/>
    <n v="2"/>
    <n v="600"/>
    <x v="3"/>
    <n v="2460000"/>
    <x v="4"/>
    <d v="2019-05-05T00:00:00"/>
    <d v="2019-06-07T00:00:00"/>
    <d v="2019-06-07T00:00:00"/>
    <s v="15/5AL"/>
    <m/>
    <m/>
    <m/>
    <m/>
    <n v="0"/>
    <m/>
    <m/>
    <m/>
    <m/>
    <m/>
    <m/>
    <n v="0"/>
    <n v="600"/>
    <n v="2460000"/>
  </r>
  <r>
    <s v="109A/2019"/>
    <d v="2019-03-12T00:00:00"/>
    <s v="KIỀU THY"/>
    <s v="MS02"/>
    <x v="22"/>
    <x v="20"/>
    <s v="AMATERAS"/>
    <m/>
    <s v="12.14"/>
    <s v="400"/>
    <s v="NL2018"/>
    <m/>
    <n v="0"/>
    <n v="0"/>
    <x v="4"/>
    <n v="0"/>
    <x v="1"/>
    <d v="2019-04-17T00:00:00"/>
    <d v="2019-05-21T00:00:00"/>
    <d v="2019-05-21T00:00:00"/>
    <s v="30/3AL"/>
    <m/>
    <m/>
    <m/>
    <m/>
    <n v="0"/>
    <m/>
    <m/>
    <m/>
    <m/>
    <m/>
    <m/>
    <n v="0"/>
    <n v="0"/>
    <n v="0"/>
  </r>
  <r>
    <s v="109A/2019"/>
    <d v="2019-05-25T00:00:00"/>
    <s v="KIỀU THY"/>
    <s v="MS02"/>
    <x v="22"/>
    <x v="3"/>
    <s v="PAVIA"/>
    <m/>
    <s v="12.14"/>
    <s v="400"/>
    <s v="NL2018"/>
    <m/>
    <n v="0"/>
    <n v="0"/>
    <x v="14"/>
    <n v="0"/>
    <x v="1"/>
    <d v="2019-05-05T00:00:00"/>
    <d v="2019-06-07T00:00:00"/>
    <d v="2019-06-07T00:00:00"/>
    <m/>
    <m/>
    <m/>
    <m/>
    <m/>
    <m/>
    <m/>
    <m/>
    <m/>
    <m/>
    <m/>
    <m/>
    <n v="0"/>
    <n v="0"/>
    <n v="0"/>
  </r>
  <r>
    <s v="109A/2019"/>
    <d v="2019-03-12T00:00:00"/>
    <s v="KIỀU THY"/>
    <s v="MS02"/>
    <x v="22"/>
    <x v="17"/>
    <s v="NELLO "/>
    <m/>
    <s v="12.14"/>
    <s v="400"/>
    <s v="NL2018"/>
    <m/>
    <n v="6"/>
    <n v="2400"/>
    <x v="17"/>
    <n v="7200000"/>
    <x v="0"/>
    <d v="2019-03-15T00:00:00"/>
    <d v="2019-04-19T00:00:00"/>
    <d v="2019-04-19T00:00:00"/>
    <s v="15/3AL/15 NGÀY XUỐNG 1 LẦN"/>
    <s v="CONT 20/2019"/>
    <d v="2019-04-14T00:00:00"/>
    <m/>
    <d v="2019-04-23T00:00:00"/>
    <n v="2400"/>
    <m/>
    <m/>
    <m/>
    <m/>
    <m/>
    <m/>
    <n v="2400"/>
    <n v="0"/>
    <n v="0"/>
  </r>
  <r>
    <s v="109A/2019"/>
    <d v="2019-03-12T00:00:00"/>
    <s v="KIỀU THY"/>
    <s v="MS02"/>
    <x v="22"/>
    <x v="3"/>
    <s v="PAVIA"/>
    <m/>
    <s v="12.14"/>
    <s v="400"/>
    <s v="NL2018"/>
    <m/>
    <n v="7"/>
    <n v="2800"/>
    <x v="4"/>
    <n v="7840000"/>
    <x v="0"/>
    <d v="2019-03-15T00:00:00"/>
    <d v="2019-04-19T00:00:00"/>
    <d v="2019-04-19T00:00:00"/>
    <s v="15/3AL/15 NGÀY XUỐNG 1 LẦN"/>
    <s v="CONT 20/2019"/>
    <d v="2019-04-14T00:00:00"/>
    <m/>
    <d v="2019-04-23T00:00:00"/>
    <n v="2800"/>
    <m/>
    <m/>
    <m/>
    <m/>
    <m/>
    <m/>
    <n v="2800"/>
    <n v="0"/>
    <n v="0"/>
  </r>
  <r>
    <s v="109A/2019"/>
    <d v="2019-03-12T00:00:00"/>
    <s v="KIỀU THY"/>
    <s v="MS02"/>
    <x v="22"/>
    <x v="4"/>
    <s v="TEBALDI"/>
    <m/>
    <s v="14.16"/>
    <s v="300"/>
    <s v="NL2018"/>
    <m/>
    <n v="7"/>
    <n v="2100"/>
    <x v="3"/>
    <n v="8610000"/>
    <x v="0"/>
    <d v="2019-03-15T00:00:00"/>
    <d v="2019-04-19T00:00:00"/>
    <d v="2019-04-19T00:00:00"/>
    <s v="15/3AL"/>
    <s v="CONT 24/2019"/>
    <d v="2019-04-14T00:00:00"/>
    <m/>
    <d v="2019-04-23T00:00:00"/>
    <n v="2100"/>
    <m/>
    <m/>
    <m/>
    <m/>
    <m/>
    <m/>
    <n v="2100"/>
    <n v="0"/>
    <n v="0"/>
  </r>
  <r>
    <s v="109A/2019"/>
    <d v="2019-03-12T00:00:00"/>
    <s v="KIỀU THY"/>
    <s v="MS02"/>
    <x v="22"/>
    <x v="3"/>
    <s v="PAVIA"/>
    <m/>
    <s v="12.14"/>
    <s v="400"/>
    <s v="NL2018"/>
    <m/>
    <n v="5"/>
    <n v="2000"/>
    <x v="14"/>
    <n v="5800000"/>
    <x v="0"/>
    <d v="2019-03-15T00:00:00"/>
    <d v="2019-04-19T00:00:00"/>
    <d v="2019-04-19T00:00:00"/>
    <s v="30/3AL"/>
    <m/>
    <m/>
    <m/>
    <d v="2019-05-04T00:00:00"/>
    <n v="2000"/>
    <m/>
    <m/>
    <m/>
    <m/>
    <m/>
    <m/>
    <n v="2000"/>
    <n v="0"/>
    <n v="0"/>
  </r>
  <r>
    <s v="109A/2019"/>
    <d v="2019-03-12T00:00:00"/>
    <s v="KIỀU THY"/>
    <s v="MS02"/>
    <x v="22"/>
    <x v="4"/>
    <s v="TEBALDI"/>
    <m/>
    <s v="14.16"/>
    <s v="300"/>
    <s v="NL2018"/>
    <m/>
    <n v="7"/>
    <n v="2100"/>
    <x v="1"/>
    <n v="8820000"/>
    <x v="0"/>
    <d v="2019-03-15T00:00:00"/>
    <d v="2019-04-19T00:00:00"/>
    <d v="2019-04-19T00:00:00"/>
    <s v="30/3AL"/>
    <m/>
    <m/>
    <m/>
    <d v="2019-05-04T00:00:00"/>
    <n v="2100"/>
    <m/>
    <m/>
    <m/>
    <m/>
    <m/>
    <m/>
    <n v="2100"/>
    <n v="0"/>
    <n v="0"/>
  </r>
  <r>
    <s v="109A/2019"/>
    <d v="2019-03-12T00:00:00"/>
    <s v="KIỀU THY"/>
    <s v="MS02"/>
    <x v="22"/>
    <x v="68"/>
    <s v="TEBALDI"/>
    <m/>
    <s v="12.14"/>
    <s v="400"/>
    <s v="NL2018"/>
    <m/>
    <n v="5"/>
    <n v="2000"/>
    <x v="4"/>
    <n v="5600000"/>
    <x v="0"/>
    <d v="2019-04-17T00:00:00"/>
    <d v="2019-05-21T00:00:00"/>
    <d v="2019-05-21T00:00:00"/>
    <s v="15/4AL"/>
    <m/>
    <m/>
    <m/>
    <d v="2019-05-24T00:00:00"/>
    <n v="2000"/>
    <m/>
    <m/>
    <m/>
    <m/>
    <m/>
    <m/>
    <n v="2000"/>
    <n v="0"/>
    <n v="0"/>
  </r>
  <r>
    <s v="109A/2019"/>
    <d v="2019-05-04T00:00:00"/>
    <s v="KIỀU THY"/>
    <s v="MS02"/>
    <x v="22"/>
    <x v="3"/>
    <s v="PAVIA"/>
    <m/>
    <s v="12.14"/>
    <s v="400"/>
    <s v="NL2018"/>
    <m/>
    <n v="10"/>
    <n v="4000"/>
    <x v="14"/>
    <n v="11600000"/>
    <x v="0"/>
    <d v="2019-04-17T00:00:00"/>
    <d v="2019-05-21T00:00:00"/>
    <d v="2019-05-21T00:00:00"/>
    <s v="15/4AL"/>
    <m/>
    <m/>
    <m/>
    <d v="2019-05-24T00:00:00"/>
    <n v="4000"/>
    <m/>
    <m/>
    <m/>
    <m/>
    <m/>
    <m/>
    <n v="4000"/>
    <n v="0"/>
    <n v="0"/>
  </r>
  <r>
    <s v="109A/2019"/>
    <d v="2019-03-12T00:00:00"/>
    <s v="KIỀU THY"/>
    <s v="MS02"/>
    <x v="22"/>
    <x v="17"/>
    <s v="NELLO "/>
    <m/>
    <s v="12.14"/>
    <s v="400"/>
    <s v="NL2018"/>
    <m/>
    <n v="5"/>
    <n v="2000"/>
    <x v="28"/>
    <n v="6400000"/>
    <x v="0"/>
    <d v="2019-05-05T00:00:00"/>
    <d v="2019-06-07T00:00:00"/>
    <d v="2019-06-07T00:00:00"/>
    <s v="30/4AL"/>
    <m/>
    <m/>
    <m/>
    <d v="2019-06-08T00:00:00"/>
    <n v="2000"/>
    <m/>
    <m/>
    <m/>
    <m/>
    <m/>
    <m/>
    <n v="2000"/>
    <n v="0"/>
    <n v="0"/>
  </r>
  <r>
    <s v="109A/2019"/>
    <d v="2019-03-12T00:00:00"/>
    <s v="KIỀU THY"/>
    <s v="MS02"/>
    <x v="22"/>
    <x v="17"/>
    <s v="NELLO "/>
    <m/>
    <s v="12.14"/>
    <s v="400"/>
    <s v="NL2018"/>
    <m/>
    <n v="5"/>
    <n v="2000"/>
    <x v="69"/>
    <n v="6600000"/>
    <x v="4"/>
    <d v="2019-05-05T00:00:00"/>
    <d v="2019-06-07T00:00:00"/>
    <d v="2019-06-07T00:00:00"/>
    <s v="15/5AL"/>
    <m/>
    <m/>
    <m/>
    <m/>
    <n v="0"/>
    <m/>
    <m/>
    <m/>
    <m/>
    <m/>
    <m/>
    <n v="0"/>
    <n v="2000"/>
    <n v="6600000"/>
  </r>
  <r>
    <s v="109A/2019"/>
    <d v="2019-06-08T00:00:00"/>
    <s v="KIỀU THY"/>
    <s v="MS02"/>
    <x v="22"/>
    <x v="3"/>
    <s v="PAVIA"/>
    <m/>
    <s v="12.14"/>
    <s v="400"/>
    <s v="NL2018"/>
    <m/>
    <n v="15"/>
    <n v="6000"/>
    <x v="17"/>
    <n v="18000000"/>
    <x v="3"/>
    <d v="2019-06-15T00:00:00"/>
    <d v="2019-07-17T00:00:00"/>
    <d v="2019-07-17T00:00:00"/>
    <m/>
    <m/>
    <m/>
    <m/>
    <m/>
    <m/>
    <m/>
    <m/>
    <m/>
    <m/>
    <m/>
    <m/>
    <n v="0"/>
    <n v="6000"/>
    <n v="18000000"/>
  </r>
  <r>
    <s v="109A/2019"/>
    <d v="2019-06-08T00:00:00"/>
    <s v="KIỀU THY"/>
    <s v="MS02"/>
    <x v="22"/>
    <x v="69"/>
    <s v="GENERAL LEE"/>
    <m/>
    <s v="12.14"/>
    <s v="400"/>
    <s v="NL2018"/>
    <m/>
    <n v="5"/>
    <n v="2000"/>
    <x v="28"/>
    <n v="6400000"/>
    <x v="3"/>
    <d v="2019-06-15T00:00:00"/>
    <d v="2019-07-17T00:00:00"/>
    <d v="2019-07-17T00:00:00"/>
    <m/>
    <m/>
    <m/>
    <m/>
    <m/>
    <m/>
    <m/>
    <m/>
    <m/>
    <m/>
    <m/>
    <m/>
    <n v="0"/>
    <n v="2000"/>
    <n v="6400000"/>
  </r>
  <r>
    <s v="195A/2019"/>
    <d v="2019-04-17T00:00:00"/>
    <s v="KIỀU THY"/>
    <s v="MP04"/>
    <x v="23"/>
    <x v="61"/>
    <s v="BACARDI"/>
    <m/>
    <s v="15.16"/>
    <s v="250"/>
    <s v="NL2018"/>
    <m/>
    <n v="14"/>
    <n v="3500"/>
    <x v="13"/>
    <n v="15750000"/>
    <x v="0"/>
    <d v="2019-03-15T00:00:00"/>
    <d v="2019-04-19T00:00:00"/>
    <d v="2019-04-19T00:00:00"/>
    <s v="15/3AL"/>
    <m/>
    <m/>
    <m/>
    <d v="2019-04-25T00:00:00"/>
    <n v="3500"/>
    <m/>
    <m/>
    <m/>
    <m/>
    <m/>
    <m/>
    <n v="3500"/>
    <n v="0"/>
    <n v="0"/>
  </r>
  <r>
    <s v="196A/2019"/>
    <d v="2019-04-17T00:00:00"/>
    <s v="KIỀU THY"/>
    <s v="MP04"/>
    <x v="23"/>
    <x v="37"/>
    <s v="PROFUNDO CHILE"/>
    <m/>
    <s v="20.22"/>
    <s v="125"/>
    <s v="NL2018"/>
    <m/>
    <n v="80"/>
    <n v="10000"/>
    <x v="70"/>
    <n v="138000000"/>
    <x v="2"/>
    <d v="2019-09-01T00:00:00"/>
    <d v="2019-09-29T00:00:00"/>
    <d v="2019-09-29T00:00:00"/>
    <s v="TẾT"/>
    <m/>
    <m/>
    <m/>
    <m/>
    <m/>
    <m/>
    <m/>
    <m/>
    <m/>
    <m/>
    <m/>
    <n v="0"/>
    <n v="10000"/>
    <n v="138000000"/>
  </r>
  <r>
    <s v="196A/2019"/>
    <d v="2019-04-17T00:00:00"/>
    <s v="KIỀU THY"/>
    <s v="MP04"/>
    <x v="23"/>
    <x v="9"/>
    <s v="MANISSA"/>
    <m/>
    <s v="22.24"/>
    <s v="100"/>
    <s v="NL2018"/>
    <m/>
    <n v="50"/>
    <n v="5000"/>
    <x v="10"/>
    <n v="77000000"/>
    <x v="2"/>
    <d v="2019-09-01T00:00:00"/>
    <d v="2019-09-29T00:00:00"/>
    <d v="2019-09-29T00:00:00"/>
    <s v="TẾT"/>
    <m/>
    <m/>
    <m/>
    <m/>
    <m/>
    <m/>
    <m/>
    <m/>
    <m/>
    <m/>
    <m/>
    <n v="0"/>
    <n v="5000"/>
    <n v="77000000"/>
  </r>
  <r>
    <s v="196A/2019"/>
    <d v="2019-04-17T00:00:00"/>
    <s v="KIỀU THY"/>
    <s v="MP04"/>
    <x v="23"/>
    <x v="70"/>
    <s v="INDIANA"/>
    <m/>
    <s v="18.20"/>
    <s v="150"/>
    <s v="NL2018"/>
    <s v="V.W.S"/>
    <n v="34"/>
    <n v="5100"/>
    <x v="71"/>
    <n v="51000000"/>
    <x v="2"/>
    <d v="2019-09-01T00:00:00"/>
    <d v="2019-09-29T00:00:00"/>
    <d v="2019-09-29T00:00:00"/>
    <s v="TẾT"/>
    <m/>
    <m/>
    <m/>
    <m/>
    <m/>
    <m/>
    <m/>
    <m/>
    <m/>
    <m/>
    <m/>
    <n v="0"/>
    <n v="5100"/>
    <n v="51000000"/>
  </r>
  <r>
    <s v="196A/2019"/>
    <d v="2019-04-17T00:00:00"/>
    <s v="KIỀU THY"/>
    <s v="MP04"/>
    <x v="23"/>
    <x v="6"/>
    <s v="CONCADOR"/>
    <m/>
    <s v="20.22"/>
    <s v="125"/>
    <s v="NL2018"/>
    <m/>
    <n v="72"/>
    <n v="9000"/>
    <x v="7"/>
    <n v="95400000"/>
    <x v="2"/>
    <d v="2019-09-01T00:00:00"/>
    <d v="2019-09-29T00:00:00"/>
    <d v="2019-09-29T00:00:00"/>
    <s v="TẾT"/>
    <m/>
    <m/>
    <m/>
    <m/>
    <m/>
    <m/>
    <m/>
    <m/>
    <m/>
    <m/>
    <m/>
    <n v="0"/>
    <n v="9000"/>
    <n v="95400000"/>
  </r>
  <r>
    <s v="196A/2019"/>
    <d v="2019-04-17T00:00:00"/>
    <s v="KIỀU THY"/>
    <s v="MP04"/>
    <x v="23"/>
    <x v="71"/>
    <s v="CONCADOR"/>
    <m/>
    <s v="24+"/>
    <s v="75"/>
    <s v="NL2018"/>
    <m/>
    <n v="80"/>
    <n v="6000"/>
    <x v="38"/>
    <n v="91200000"/>
    <x v="2"/>
    <d v="2019-09-01T00:00:00"/>
    <d v="2019-09-29T00:00:00"/>
    <d v="2019-09-29T00:00:00"/>
    <s v="TẾT"/>
    <m/>
    <m/>
    <m/>
    <m/>
    <m/>
    <m/>
    <m/>
    <m/>
    <m/>
    <m/>
    <m/>
    <n v="0"/>
    <n v="6000"/>
    <n v="91200000"/>
  </r>
  <r>
    <s v="196A/2019"/>
    <d v="2019-05-07T00:00:00"/>
    <s v="KIỀU THY"/>
    <s v="MP04"/>
    <x v="23"/>
    <x v="36"/>
    <s v="MANISSA NEW ZEALAND"/>
    <m/>
    <s v="20.22"/>
    <s v="125"/>
    <s v="NL2018"/>
    <m/>
    <n v="24"/>
    <n v="3000"/>
    <x v="72"/>
    <n v="47400000"/>
    <x v="2"/>
    <d v="2019-09-01T00:00:00"/>
    <d v="2019-09-29T00:00:00"/>
    <d v="2019-09-29T00:00:00"/>
    <s v="TẾT"/>
    <m/>
    <m/>
    <m/>
    <m/>
    <m/>
    <m/>
    <m/>
    <m/>
    <m/>
    <m/>
    <m/>
    <n v="0"/>
    <n v="3000"/>
    <n v="47400000"/>
  </r>
  <r>
    <s v="4B/2019"/>
    <d v="2018-12-27T00:00:00"/>
    <s v="THANH THÚY"/>
    <s v="KK01"/>
    <x v="24"/>
    <x v="32"/>
    <s v="BACARDI"/>
    <m/>
    <s v="16.18"/>
    <n v="200"/>
    <s v="NL2018"/>
    <m/>
    <n v="115"/>
    <n v="23000"/>
    <x v="46"/>
    <n v="138000000"/>
    <x v="0"/>
    <d v="2019-01-15T00:00:00"/>
    <d v="2019-02-19T00:00:00"/>
    <d v="2019-02-19T00:00:00"/>
    <s v="15/1AL"/>
    <m/>
    <m/>
    <m/>
    <d v="2019-02-25T00:00:00"/>
    <n v="20000"/>
    <d v="2019-02-26T00:00:00"/>
    <n v="3000"/>
    <m/>
    <m/>
    <m/>
    <m/>
    <n v="23000"/>
    <n v="0"/>
    <n v="0"/>
  </r>
  <r>
    <s v="4B/2019"/>
    <d v="2018-12-27T00:00:00"/>
    <s v="THANH THÚY"/>
    <s v="KK01"/>
    <x v="24"/>
    <x v="15"/>
    <s v="CONCADOR "/>
    <m/>
    <s v="16.18"/>
    <n v="200"/>
    <s v="NL2018"/>
    <m/>
    <n v="50"/>
    <n v="10000"/>
    <x v="21"/>
    <n v="46000000"/>
    <x v="0"/>
    <d v="2019-01-15T00:00:00"/>
    <d v="2019-02-19T00:00:00"/>
    <d v="2019-02-19T00:00:00"/>
    <s v="15/1AL"/>
    <m/>
    <m/>
    <m/>
    <d v="2019-02-25T00:00:00"/>
    <n v="10000"/>
    <m/>
    <m/>
    <m/>
    <m/>
    <m/>
    <m/>
    <n v="10000"/>
    <n v="0"/>
    <n v="0"/>
  </r>
  <r>
    <s v="4B/2019"/>
    <d v="2018-12-27T00:00:00"/>
    <s v="THANH THÚY"/>
    <s v="KK01"/>
    <x v="24"/>
    <x v="47"/>
    <s v="ROBINA"/>
    <m/>
    <s v="18.20"/>
    <n v="150"/>
    <s v="NL2018"/>
    <m/>
    <n v="81"/>
    <n v="12150"/>
    <x v="20"/>
    <n v="74115000"/>
    <x v="0"/>
    <d v="2019-01-15T00:00:00"/>
    <d v="2019-02-19T00:00:00"/>
    <d v="2019-02-19T00:00:00"/>
    <s v="15/1AL"/>
    <m/>
    <m/>
    <m/>
    <d v="2019-02-25T00:00:00"/>
    <n v="10050"/>
    <d v="2019-02-26T00:00:00"/>
    <n v="2100"/>
    <m/>
    <m/>
    <m/>
    <m/>
    <n v="12150"/>
    <n v="0"/>
    <n v="0"/>
  </r>
  <r>
    <s v="4B/2019"/>
    <d v="2018-12-27T00:00:00"/>
    <s v="THANH THÚY"/>
    <s v="KK01"/>
    <x v="24"/>
    <x v="47"/>
    <s v="ROBINA"/>
    <m/>
    <s v="18.20"/>
    <n v="150"/>
    <s v="NL2018"/>
    <m/>
    <n v="138"/>
    <n v="20700"/>
    <x v="20"/>
    <n v="126270000"/>
    <x v="0"/>
    <d v="2019-01-23T00:00:00"/>
    <d v="2019-02-27T00:00:00"/>
    <d v="2019-02-27T00:00:00"/>
    <s v="23/1AL"/>
    <m/>
    <m/>
    <m/>
    <d v="2019-03-19T00:00:00"/>
    <n v="20700"/>
    <m/>
    <m/>
    <m/>
    <m/>
    <m/>
    <m/>
    <n v="20700"/>
    <n v="0"/>
    <n v="0"/>
  </r>
  <r>
    <s v="4B/2019"/>
    <d v="2018-12-27T00:00:00"/>
    <s v="THANH THÚY"/>
    <s v="KK01"/>
    <x v="24"/>
    <x v="32"/>
    <s v="BACARDI"/>
    <m/>
    <s v="16.18"/>
    <n v="200"/>
    <s v="NL2018"/>
    <m/>
    <n v="125"/>
    <n v="25000"/>
    <x v="46"/>
    <n v="150000000"/>
    <x v="0"/>
    <d v="2019-02-15T00:00:00"/>
    <d v="2019-03-20T00:00:00"/>
    <d v="2019-03-20T00:00:00"/>
    <s v="15/2AL"/>
    <s v="CONT 11/2019"/>
    <m/>
    <m/>
    <d v="2019-05-04T00:00:00"/>
    <n v="25000"/>
    <m/>
    <m/>
    <m/>
    <m/>
    <m/>
    <m/>
    <n v="25000"/>
    <n v="0"/>
    <n v="0"/>
  </r>
  <r>
    <s v="4B/2019"/>
    <d v="2018-12-27T00:00:00"/>
    <s v="THANH THÚY"/>
    <s v="KK01"/>
    <x v="24"/>
    <x v="15"/>
    <s v="CONCADOR"/>
    <m/>
    <s v="16.18"/>
    <n v="200"/>
    <s v="NL2018"/>
    <m/>
    <n v="50"/>
    <n v="10000"/>
    <x v="21"/>
    <n v="46000000"/>
    <x v="0"/>
    <d v="2019-02-15T00:00:00"/>
    <d v="2019-03-20T00:00:00"/>
    <d v="2019-03-20T00:00:00"/>
    <s v="15/2AL"/>
    <s v="CONT 10/2019"/>
    <m/>
    <m/>
    <d v="2019-03-22T00:00:00"/>
    <n v="10000"/>
    <m/>
    <m/>
    <m/>
    <m/>
    <m/>
    <m/>
    <n v="10000"/>
    <n v="0"/>
    <n v="0"/>
  </r>
  <r>
    <s v="4B/2019"/>
    <d v="2018-12-27T00:00:00"/>
    <s v="THANH THÚY"/>
    <s v="KK01"/>
    <x v="24"/>
    <x v="47"/>
    <s v="ROBINA"/>
    <m/>
    <s v="18.20"/>
    <n v="150"/>
    <s v="NL2018"/>
    <m/>
    <n v="92"/>
    <n v="13800"/>
    <x v="20"/>
    <n v="84180000"/>
    <x v="0"/>
    <d v="2019-02-15T00:00:00"/>
    <d v="2019-03-20T00:00:00"/>
    <d v="2019-03-20T00:00:00"/>
    <s v="15/2AL"/>
    <s v="CONT 10/2019"/>
    <m/>
    <m/>
    <d v="2019-04-15T00:00:00"/>
    <n v="13800"/>
    <m/>
    <m/>
    <m/>
    <m/>
    <m/>
    <m/>
    <n v="13800"/>
    <n v="0"/>
    <n v="0"/>
  </r>
  <r>
    <s v="4B/2019"/>
    <d v="2018-12-27T00:00:00"/>
    <s v="THANH THÚY"/>
    <s v="KK01"/>
    <x v="24"/>
    <x v="47"/>
    <s v="ROBINA"/>
    <m/>
    <s v="18.20"/>
    <n v="150"/>
    <s v="NL2018"/>
    <m/>
    <n v="134"/>
    <n v="20100"/>
    <x v="42"/>
    <n v="126630000"/>
    <x v="0"/>
    <d v="2019-03-15T00:00:00"/>
    <d v="2019-04-19T00:00:00"/>
    <d v="2019-04-19T00:00:00"/>
    <s v="15/3AL"/>
    <s v="CONT 25/2019"/>
    <m/>
    <m/>
    <d v="2019-05-19T00:00:00"/>
    <n v="10050"/>
    <d v="2019-05-23T00:00:00"/>
    <n v="10050"/>
    <m/>
    <m/>
    <m/>
    <m/>
    <n v="20100"/>
    <n v="0"/>
    <n v="0"/>
  </r>
  <r>
    <s v="4B/2019"/>
    <d v="2018-12-27T00:00:00"/>
    <s v="THANH THÚY"/>
    <s v="KK01"/>
    <x v="24"/>
    <x v="47"/>
    <s v="ROBINA"/>
    <m/>
    <s v="18.20"/>
    <n v="150"/>
    <s v="NL2018"/>
    <m/>
    <n v="66"/>
    <n v="9900"/>
    <x v="73"/>
    <n v="65468700"/>
    <x v="4"/>
    <d v="2019-04-17T00:00:00"/>
    <d v="2019-05-21T00:00:00"/>
    <d v="2019-05-21T00:00:00"/>
    <m/>
    <m/>
    <m/>
    <m/>
    <m/>
    <m/>
    <m/>
    <m/>
    <m/>
    <m/>
    <m/>
    <m/>
    <n v="0"/>
    <n v="9900"/>
    <n v="65468700"/>
  </r>
  <r>
    <s v="4B/2019"/>
    <d v="2018-12-27T00:00:00"/>
    <s v="THANH THÚY"/>
    <s v="KK01"/>
    <x v="24"/>
    <x v="47"/>
    <s v="ROBINA"/>
    <m/>
    <s v="18.20"/>
    <n v="150"/>
    <s v="NL2018"/>
    <m/>
    <n v="67"/>
    <n v="10050"/>
    <x v="73"/>
    <n v="66460650"/>
    <x v="4"/>
    <d v="2019-05-05T00:00:00"/>
    <d v="2019-06-07T00:00:00"/>
    <d v="2019-06-07T00:00:00"/>
    <m/>
    <m/>
    <m/>
    <m/>
    <m/>
    <m/>
    <m/>
    <m/>
    <m/>
    <m/>
    <m/>
    <m/>
    <n v="0"/>
    <n v="10050"/>
    <n v="66460650"/>
  </r>
  <r>
    <s v="4B/2019"/>
    <d v="2018-12-27T00:00:00"/>
    <s v="THANH THÚY"/>
    <s v="KK01"/>
    <x v="24"/>
    <x v="72"/>
    <s v="YELLOWEEN"/>
    <s v="DN"/>
    <s v="16.18"/>
    <n v="200"/>
    <s v="NL2018"/>
    <m/>
    <n v="49"/>
    <n v="9800"/>
    <x v="44"/>
    <n v="53900000"/>
    <x v="0"/>
    <d v="2019-04-15T00:00:00"/>
    <d v="2019-05-19T00:00:00"/>
    <d v="2019-05-19T00:00:00"/>
    <s v="15/4AL"/>
    <m/>
    <m/>
    <m/>
    <d v="2019-06-17T00:00:00"/>
    <n v="9800"/>
    <m/>
    <m/>
    <m/>
    <m/>
    <m/>
    <m/>
    <n v="9800"/>
    <n v="0"/>
    <n v="0"/>
  </r>
  <r>
    <s v="4B/2019"/>
    <d v="2019-06-15T00:00:00"/>
    <s v="THANH THÚY"/>
    <s v="KK01"/>
    <x v="24"/>
    <x v="22"/>
    <s v="ROBINA"/>
    <m/>
    <s v="16.18"/>
    <n v="200"/>
    <s v="NL2018"/>
    <m/>
    <n v="100"/>
    <n v="20000"/>
    <x v="44"/>
    <n v="110000000"/>
    <x v="4"/>
    <d v="2019-05-15T00:00:00"/>
    <d v="2019-06-17T00:00:00"/>
    <d v="2019-06-17T00:00:00"/>
    <m/>
    <m/>
    <m/>
    <m/>
    <m/>
    <m/>
    <m/>
    <m/>
    <m/>
    <m/>
    <m/>
    <m/>
    <n v="0"/>
    <n v="20000"/>
    <n v="110000000"/>
  </r>
  <r>
    <s v="4B/2019"/>
    <d v="2019-06-15T00:00:00"/>
    <s v="THANH THÚY"/>
    <s v="KK01"/>
    <x v="24"/>
    <x v="47"/>
    <s v="ROBINA"/>
    <m/>
    <s v="18.20"/>
    <n v="150"/>
    <s v="NL2018"/>
    <m/>
    <n v="167"/>
    <n v="25050"/>
    <x v="74"/>
    <n v="187875000"/>
    <x v="3"/>
    <d v="2019-06-01T00:00:00"/>
    <d v="2019-07-03T00:00:00"/>
    <d v="2019-07-03T00:00:00"/>
    <s v="Hà Nội chuyển vô"/>
    <m/>
    <m/>
    <m/>
    <m/>
    <m/>
    <m/>
    <m/>
    <m/>
    <m/>
    <m/>
    <m/>
    <n v="0"/>
    <n v="25050"/>
    <n v="187875000"/>
  </r>
  <r>
    <s v="4B/2019"/>
    <d v="2019-06-15T00:00:00"/>
    <s v="THANH THÚY"/>
    <s v="KK01"/>
    <x v="24"/>
    <x v="47"/>
    <s v="ROBINA"/>
    <m/>
    <s v="18.20"/>
    <n v="150"/>
    <s v="NL2018"/>
    <m/>
    <n v="167"/>
    <n v="25050"/>
    <x v="74"/>
    <n v="187875000"/>
    <x v="3"/>
    <d v="2019-06-15T00:00:00"/>
    <d v="2019-07-17T00:00:00"/>
    <d v="2019-07-17T00:00:00"/>
    <m/>
    <m/>
    <m/>
    <m/>
    <m/>
    <m/>
    <m/>
    <m/>
    <m/>
    <m/>
    <m/>
    <m/>
    <n v="0"/>
    <n v="25050"/>
    <n v="187875000"/>
  </r>
  <r>
    <s v="4B/2019"/>
    <d v="2019-06-17T00:00:00"/>
    <s v="THANH THÚY"/>
    <s v="KK01"/>
    <x v="24"/>
    <x v="70"/>
    <s v="INDIANA"/>
    <m/>
    <s v="18.20"/>
    <n v="150"/>
    <s v="NL2018"/>
    <m/>
    <n v="200"/>
    <n v="30000"/>
    <x v="71"/>
    <n v="300000000"/>
    <x v="2"/>
    <m/>
    <m/>
    <m/>
    <m/>
    <m/>
    <m/>
    <m/>
    <m/>
    <m/>
    <m/>
    <m/>
    <m/>
    <m/>
    <m/>
    <m/>
    <n v="0"/>
    <n v="30000"/>
    <n v="300000000"/>
  </r>
  <r>
    <s v="156B/2019"/>
    <d v="2019-02-28T00:00:00"/>
    <s v="THANH THÚY"/>
    <s v="KK01"/>
    <x v="24"/>
    <x v="36"/>
    <s v="MANISSA"/>
    <m/>
    <s v="20.22"/>
    <n v="125"/>
    <s v="NL2018"/>
    <m/>
    <n v="240"/>
    <n v="30000"/>
    <x v="37"/>
    <n v="405000000"/>
    <x v="2"/>
    <d v="2019-09-01T00:00:00"/>
    <d v="2019-09-29T00:00:00"/>
    <d v="2019-09-29T00:00:00"/>
    <s v="TẾT"/>
    <m/>
    <m/>
    <m/>
    <m/>
    <n v="0"/>
    <m/>
    <m/>
    <m/>
    <m/>
    <m/>
    <m/>
    <n v="0"/>
    <n v="30000"/>
    <n v="405000000"/>
  </r>
  <r>
    <s v="4B/2019"/>
    <d v="2018-12-27T00:00:00"/>
    <s v="THANH THÚY"/>
    <s v="KK01"/>
    <x v="24"/>
    <x v="29"/>
    <s v="MANISSA"/>
    <m/>
    <s v="16.18"/>
    <n v="200"/>
    <s v="NL2018"/>
    <m/>
    <n v="250"/>
    <n v="50000"/>
    <x v="45"/>
    <n v="335000000"/>
    <x v="0"/>
    <s v="29-Feb-19"/>
    <d v="2019-04-03T00:00:00"/>
    <d v="2019-04-03T00:00:00"/>
    <s v="30/2AL"/>
    <s v="CONT 16/2019"/>
    <m/>
    <m/>
    <d v="2019-04-08T00:00:00"/>
    <n v="10000"/>
    <d v="2019-04-29T00:00:00"/>
    <n v="20000"/>
    <d v="2019-04-29T00:00:00"/>
    <n v="20000"/>
    <m/>
    <m/>
    <n v="50000"/>
    <n v="0"/>
    <n v="0"/>
  </r>
  <r>
    <s v="4B/2019"/>
    <d v="2018-12-27T00:00:00"/>
    <s v="THANH THÚY"/>
    <s v="KK01"/>
    <x v="24"/>
    <x v="11"/>
    <s v="YELLOWEEN"/>
    <m/>
    <s v="12.14"/>
    <n v="400"/>
    <s v="NL2018"/>
    <m/>
    <n v="71"/>
    <n v="28400"/>
    <x v="12"/>
    <n v="73840000"/>
    <x v="0"/>
    <d v="2019-04-15T00:00:00"/>
    <d v="2019-05-19T00:00:00"/>
    <d v="2019-05-19T00:00:00"/>
    <s v="15/4AL"/>
    <m/>
    <m/>
    <m/>
    <d v="2019-04-29T00:00:00"/>
    <n v="3200"/>
    <d v="2019-05-23T00:00:00"/>
    <n v="25200"/>
    <m/>
    <m/>
    <m/>
    <m/>
    <n v="28400"/>
    <n v="0"/>
    <n v="0"/>
  </r>
  <r>
    <s v="4B/2019"/>
    <d v="2018-12-27T00:00:00"/>
    <s v="THANH THÚY"/>
    <s v="KK01"/>
    <x v="24"/>
    <x v="11"/>
    <s v="YELLOWEEN"/>
    <m/>
    <s v="12.14"/>
    <n v="400"/>
    <s v="NL2018"/>
    <m/>
    <n v="12"/>
    <n v="4800"/>
    <x v="47"/>
    <n v="12960000"/>
    <x v="0"/>
    <d v="2019-04-15T00:00:00"/>
    <d v="2019-05-19T00:00:00"/>
    <d v="2019-05-19T00:00:00"/>
    <m/>
    <m/>
    <m/>
    <m/>
    <d v="2019-06-17T00:00:00"/>
    <n v="4800"/>
    <m/>
    <m/>
    <m/>
    <m/>
    <m/>
    <m/>
    <n v="4800"/>
    <n v="0"/>
    <n v="0"/>
  </r>
  <r>
    <s v="4B/2019"/>
    <d v="2018-12-27T00:00:00"/>
    <s v="THANH THÚY"/>
    <s v="KK01"/>
    <x v="24"/>
    <x v="11"/>
    <s v="YELLOWEEN"/>
    <m/>
    <s v="12.14"/>
    <n v="400"/>
    <s v="NL2018"/>
    <m/>
    <n v="117"/>
    <n v="46800"/>
    <x v="12"/>
    <n v="121680000"/>
    <x v="0"/>
    <s v="29-Feb-19"/>
    <d v="2019-04-03T00:00:00"/>
    <d v="2019-04-03T00:00:00"/>
    <s v="30/2AL"/>
    <s v="CONT 18/2019"/>
    <m/>
    <m/>
    <d v="2019-03-21T00:00:00"/>
    <n v="10000"/>
    <d v="2019-04-08T00:00:00"/>
    <n v="20000"/>
    <d v="2019-04-29T00:00:00"/>
    <n v="16800"/>
    <m/>
    <m/>
    <n v="46800"/>
    <n v="0"/>
    <n v="0"/>
  </r>
  <r>
    <s v="170A/2019"/>
    <d v="2019-04-04T00:00:00"/>
    <s v="KIỀU THY"/>
    <s v="TH12"/>
    <x v="25"/>
    <x v="36"/>
    <s v="MANISSA"/>
    <m/>
    <s v="20.22"/>
    <s v="125"/>
    <s v="NL2018"/>
    <m/>
    <n v="120"/>
    <n v="15000"/>
    <x v="66"/>
    <n v="204000000"/>
    <x v="2"/>
    <d v="2019-09-01T00:00:00"/>
    <d v="2019-09-29T00:00:00"/>
    <d v="2019-09-29T00:00:00"/>
    <s v="TẾT"/>
    <m/>
    <m/>
    <m/>
    <m/>
    <m/>
    <m/>
    <m/>
    <m/>
    <m/>
    <m/>
    <m/>
    <n v="0"/>
    <n v="15000"/>
    <n v="204000000"/>
  </r>
  <r>
    <s v="216A/2019"/>
    <d v="2019-05-08T00:00:00"/>
    <s v="KIỀU THY"/>
    <s v="HY01"/>
    <x v="26"/>
    <x v="36"/>
    <s v="MANISSA"/>
    <m/>
    <s v="20.22"/>
    <s v="125"/>
    <s v="NL2018"/>
    <m/>
    <n v="40"/>
    <n v="5000"/>
    <x v="66"/>
    <n v="68000000"/>
    <x v="2"/>
    <d v="2019-09-01T00:00:00"/>
    <d v="2019-09-29T00:00:00"/>
    <d v="2019-09-29T00:00:00"/>
    <s v="TẾT"/>
    <m/>
    <m/>
    <m/>
    <m/>
    <m/>
    <m/>
    <m/>
    <m/>
    <m/>
    <m/>
    <m/>
    <n v="0"/>
    <n v="5000"/>
    <n v="68000000"/>
  </r>
  <r>
    <s v="216A/2019"/>
    <d v="2019-05-09T00:00:00"/>
    <s v="KIỀU THY"/>
    <s v="HY01"/>
    <x v="26"/>
    <x v="14"/>
    <s v="TARRANGO"/>
    <m/>
    <s v="20.22"/>
    <s v="125"/>
    <s v="NL2018"/>
    <m/>
    <n v="24"/>
    <n v="3000"/>
    <x v="36"/>
    <n v="33000000"/>
    <x v="2"/>
    <d v="2019-09-01T00:00:00"/>
    <d v="2019-09-29T00:00:00"/>
    <d v="2019-09-29T00:00:00"/>
    <s v="TẾT"/>
    <m/>
    <m/>
    <m/>
    <m/>
    <m/>
    <m/>
    <m/>
    <m/>
    <m/>
    <m/>
    <m/>
    <n v="0"/>
    <n v="3000"/>
    <n v="33000000"/>
  </r>
  <r>
    <s v="10B/2019"/>
    <d v="2018-08-24T00:00:00"/>
    <s v="THANH THÚY"/>
    <s v="TB02"/>
    <x v="27"/>
    <x v="15"/>
    <s v="CONCADOR "/>
    <m/>
    <s v="16.18"/>
    <n v="200"/>
    <s v="NL2018"/>
    <m/>
    <n v="50"/>
    <n v="10000"/>
    <x v="21"/>
    <n v="46000000"/>
    <x v="0"/>
    <d v="2019-01-15T00:00:00"/>
    <d v="2019-02-19T00:00:00"/>
    <d v="2019-02-19T00:00:00"/>
    <s v="15/1AL"/>
    <m/>
    <m/>
    <m/>
    <d v="2019-02-19T00:00:00"/>
    <n v="10000"/>
    <m/>
    <m/>
    <m/>
    <m/>
    <m/>
    <m/>
    <n v="10000"/>
    <n v="0"/>
    <n v="0"/>
  </r>
  <r>
    <s v="10B/2019"/>
    <d v="2018-08-24T00:00:00"/>
    <s v="THANH THÚY"/>
    <s v="TB02"/>
    <x v="27"/>
    <x v="31"/>
    <s v="TARRANGO"/>
    <m/>
    <s v="14.16"/>
    <n v="300"/>
    <s v="NL2018"/>
    <m/>
    <n v="67"/>
    <n v="20100"/>
    <x v="75"/>
    <n v="90349500"/>
    <x v="0"/>
    <d v="2019-01-15T00:00:00"/>
    <d v="2019-02-19T00:00:00"/>
    <d v="2019-02-19T00:00:00"/>
    <s v="15/1AL"/>
    <m/>
    <m/>
    <m/>
    <d v="2019-02-19T00:00:00"/>
    <n v="20100"/>
    <m/>
    <m/>
    <m/>
    <m/>
    <m/>
    <m/>
    <n v="20100"/>
    <n v="0"/>
    <n v="0"/>
  </r>
  <r>
    <s v="10B/2019"/>
    <d v="2018-08-24T00:00:00"/>
    <s v="THANH THÚY"/>
    <s v="TB02"/>
    <x v="27"/>
    <x v="11"/>
    <s v="YELLOWEEN"/>
    <m/>
    <s v="12.14"/>
    <n v="400"/>
    <s v="NL2018"/>
    <m/>
    <n v="25"/>
    <n v="10000"/>
    <x v="12"/>
    <n v="26000000"/>
    <x v="0"/>
    <d v="2019-01-15T00:00:00"/>
    <d v="2019-02-19T00:00:00"/>
    <d v="2019-02-19T00:00:00"/>
    <s v="15/1AL"/>
    <m/>
    <m/>
    <m/>
    <d v="2019-02-19T00:00:00"/>
    <n v="10000"/>
    <m/>
    <m/>
    <m/>
    <m/>
    <m/>
    <m/>
    <n v="10000"/>
    <n v="0"/>
    <n v="0"/>
  </r>
  <r>
    <s v="10B/2019"/>
    <d v="2018-08-24T00:00:00"/>
    <s v="THANH THÚY"/>
    <s v="TB02"/>
    <x v="27"/>
    <x v="73"/>
    <s v="YELLOWEEN"/>
    <m/>
    <s v="14.16"/>
    <n v="300"/>
    <s v="NL2017"/>
    <m/>
    <n v="34"/>
    <n v="10200"/>
    <x v="17"/>
    <n v="30600000"/>
    <x v="0"/>
    <d v="2019-02-05T00:00:00"/>
    <d v="2019-03-10T00:00:00"/>
    <d v="2019-03-10T00:00:00"/>
    <s v="07/2AL"/>
    <m/>
    <m/>
    <m/>
    <d v="2019-03-12T00:00:00"/>
    <n v="10200"/>
    <m/>
    <m/>
    <m/>
    <m/>
    <m/>
    <m/>
    <n v="10200"/>
    <n v="0"/>
    <n v="0"/>
  </r>
  <r>
    <s v="10B/2019"/>
    <d v="2018-08-24T00:00:00"/>
    <s v="THANH THÚY"/>
    <s v="TB02"/>
    <x v="27"/>
    <x v="32"/>
    <s v="BACARDI"/>
    <m/>
    <s v="16.18"/>
    <n v="200"/>
    <s v="NL2018"/>
    <m/>
    <n v="50"/>
    <n v="10000"/>
    <x v="42"/>
    <n v="63000000"/>
    <x v="0"/>
    <d v="2019-02-15T00:00:00"/>
    <d v="2019-03-20T00:00:00"/>
    <d v="2019-03-20T00:00:00"/>
    <s v="15/2AL"/>
    <s v="CONT 11/2019"/>
    <m/>
    <m/>
    <d v="2019-03-19T00:00:00"/>
    <n v="10000"/>
    <m/>
    <m/>
    <m/>
    <m/>
    <m/>
    <m/>
    <n v="10000"/>
    <n v="0"/>
    <n v="0"/>
  </r>
  <r>
    <s v="10B/2019"/>
    <d v="2018-08-24T00:00:00"/>
    <s v="THANH THÚY"/>
    <s v="TB02"/>
    <x v="27"/>
    <x v="31"/>
    <s v="TARRANGO"/>
    <m/>
    <s v="14.16"/>
    <n v="300"/>
    <s v="NL2018"/>
    <m/>
    <n v="84"/>
    <n v="25200"/>
    <x v="13"/>
    <n v="113400000"/>
    <x v="0"/>
    <d v="2019-02-15T00:00:00"/>
    <d v="2019-03-20T00:00:00"/>
    <d v="2019-03-20T00:00:00"/>
    <s v="15/2AL"/>
    <s v="CONT 10/2019"/>
    <m/>
    <m/>
    <d v="2019-03-19T00:00:00"/>
    <n v="25200"/>
    <m/>
    <m/>
    <m/>
    <m/>
    <m/>
    <m/>
    <n v="25200"/>
    <n v="0"/>
    <n v="0"/>
  </r>
  <r>
    <s v="10B/2019"/>
    <d v="2018-08-24T00:00:00"/>
    <s v="THANH THÚY"/>
    <s v="TB02"/>
    <x v="27"/>
    <x v="11"/>
    <s v="YELLOWEEN"/>
    <m/>
    <s v="12.14"/>
    <n v="400"/>
    <s v="NL2018"/>
    <m/>
    <n v="25"/>
    <n v="10000"/>
    <x v="12"/>
    <n v="26000000"/>
    <x v="0"/>
    <d v="2019-02-15T00:00:00"/>
    <d v="2019-03-20T00:00:00"/>
    <d v="2019-03-20T00:00:00"/>
    <s v="15/2AL"/>
    <s v="CONT 12/2019"/>
    <m/>
    <m/>
    <d v="2019-02-19T00:00:00"/>
    <n v="10000"/>
    <m/>
    <m/>
    <m/>
    <m/>
    <m/>
    <m/>
    <n v="10000"/>
    <n v="0"/>
    <n v="0"/>
  </r>
  <r>
    <s v="10B/2019"/>
    <d v="2018-08-24T00:00:00"/>
    <s v="THANH THÚY"/>
    <s v="TB02"/>
    <x v="27"/>
    <x v="74"/>
    <s v="LESOTHO"/>
    <m/>
    <s v="18.20"/>
    <n v="150"/>
    <s v="NL2017"/>
    <m/>
    <n v="53"/>
    <n v="7950"/>
    <x v="23"/>
    <n v="38160000"/>
    <x v="0"/>
    <m/>
    <s v=""/>
    <s v=""/>
    <m/>
    <m/>
    <m/>
    <m/>
    <d v="2019-04-03T00:00:00"/>
    <n v="7950"/>
    <m/>
    <m/>
    <m/>
    <m/>
    <m/>
    <m/>
    <n v="7950"/>
    <n v="0"/>
    <n v="0"/>
  </r>
  <r>
    <s v="10B/2019"/>
    <d v="2018-08-24T00:00:00"/>
    <s v="THANH THÚY"/>
    <s v="TB02"/>
    <x v="27"/>
    <x v="15"/>
    <s v="CONCADOR "/>
    <m/>
    <s v="16.18"/>
    <n v="200"/>
    <s v="NL2018"/>
    <m/>
    <n v="50"/>
    <n v="10000"/>
    <x v="0"/>
    <n v="47000000"/>
    <x v="0"/>
    <s v="29-Feb-19"/>
    <d v="2019-04-03T00:00:00"/>
    <d v="2019-04-03T00:00:00"/>
    <s v="30/2AL"/>
    <s v="CONT 17/2019"/>
    <m/>
    <m/>
    <d v="2019-04-02T00:00:00"/>
    <n v="10000"/>
    <m/>
    <m/>
    <m/>
    <m/>
    <m/>
    <m/>
    <n v="10000"/>
    <n v="0"/>
    <n v="0"/>
  </r>
  <r>
    <s v="10B/2019"/>
    <d v="2018-08-24T00:00:00"/>
    <s v="THANH THÚY"/>
    <s v="TB02"/>
    <x v="27"/>
    <x v="39"/>
    <s v="MANISSA"/>
    <s v="PR"/>
    <s v="16.18"/>
    <n v="200"/>
    <s v="NL2018"/>
    <m/>
    <n v="50"/>
    <n v="10000"/>
    <x v="46"/>
    <n v="60000000"/>
    <x v="0"/>
    <s v="29-Feb-19"/>
    <d v="2019-04-03T00:00:00"/>
    <d v="2019-04-03T00:00:00"/>
    <s v="30/2AL"/>
    <s v="CONT 16/2019"/>
    <m/>
    <m/>
    <d v="2019-04-02T00:00:00"/>
    <n v="10000"/>
    <m/>
    <m/>
    <m/>
    <m/>
    <m/>
    <m/>
    <n v="10000"/>
    <n v="0"/>
    <n v="0"/>
  </r>
  <r>
    <s v="10B/2019"/>
    <d v="2018-08-24T00:00:00"/>
    <s v="THANH THÚY"/>
    <s v="TB02"/>
    <x v="27"/>
    <x v="75"/>
    <s v="SEDONA"/>
    <m/>
    <s v="16.18"/>
    <n v="200"/>
    <s v="NL2018"/>
    <m/>
    <n v="59"/>
    <n v="11800"/>
    <x v="18"/>
    <n v="59000000"/>
    <x v="0"/>
    <s v="29-Feb-19"/>
    <d v="2019-04-03T00:00:00"/>
    <d v="2019-04-03T00:00:00"/>
    <s v="30/2AL"/>
    <s v="CONT 14/2019"/>
    <m/>
    <m/>
    <d v="2019-04-03T00:00:00"/>
    <n v="11800"/>
    <m/>
    <m/>
    <m/>
    <m/>
    <m/>
    <m/>
    <n v="11800"/>
    <n v="0"/>
    <n v="0"/>
  </r>
  <r>
    <s v="10B/2019"/>
    <d v="2018-08-24T00:00:00"/>
    <s v="THANH THÚY"/>
    <s v="TB02"/>
    <x v="27"/>
    <x v="76"/>
    <s v="SEDONA"/>
    <m/>
    <s v="18.20"/>
    <n v="150"/>
    <s v="NL2018"/>
    <m/>
    <n v="134"/>
    <n v="20100"/>
    <x v="76"/>
    <n v="132660000"/>
    <x v="2"/>
    <d v="2019-07-05T00:00:00"/>
    <d v="2019-08-05T00:00:00"/>
    <d v="2019-08-05T00:00:00"/>
    <s v="1/7AL. TRỒNG RẰM T10"/>
    <m/>
    <m/>
    <m/>
    <m/>
    <n v="0"/>
    <m/>
    <m/>
    <m/>
    <m/>
    <m/>
    <m/>
    <n v="0"/>
    <n v="20100"/>
    <n v="132660000"/>
  </r>
  <r>
    <s v="10B/2019"/>
    <d v="2018-08-24T00:00:00"/>
    <s v="THANH THÚY"/>
    <s v="TB02"/>
    <x v="27"/>
    <x v="15"/>
    <s v="CONCADOR "/>
    <m/>
    <s v="16.18"/>
    <n v="200"/>
    <s v="NL2018"/>
    <m/>
    <n v="0"/>
    <n v="0"/>
    <x v="0"/>
    <n v="0"/>
    <x v="1"/>
    <m/>
    <s v=""/>
    <s v=""/>
    <m/>
    <m/>
    <m/>
    <m/>
    <m/>
    <n v="0"/>
    <m/>
    <m/>
    <m/>
    <m/>
    <m/>
    <m/>
    <n v="0"/>
    <n v="0"/>
    <n v="0"/>
  </r>
  <r>
    <s v="148B/2019"/>
    <d v="2018-08-24T00:00:00"/>
    <s v="THANH THÚY"/>
    <s v="TB02"/>
    <x v="27"/>
    <x v="77"/>
    <s v="SEDONA"/>
    <m/>
    <s v="20.22"/>
    <n v="125"/>
    <s v="NL2018"/>
    <m/>
    <n v="40"/>
    <n v="5000"/>
    <x v="7"/>
    <n v="53000000"/>
    <x v="2"/>
    <d v="2019-09-01T00:00:00"/>
    <d v="2019-09-29T00:00:00"/>
    <d v="2019-09-29T00:00:00"/>
    <s v="TẾT"/>
    <m/>
    <m/>
    <m/>
    <m/>
    <n v="0"/>
    <m/>
    <m/>
    <m/>
    <m/>
    <m/>
    <m/>
    <n v="0"/>
    <n v="5000"/>
    <n v="53000000"/>
  </r>
  <r>
    <s v="148B/2019"/>
    <d v="2018-08-24T00:00:00"/>
    <s v="THANH THÚY"/>
    <s v="TB02"/>
    <x v="27"/>
    <x v="36"/>
    <s v="MANISSA"/>
    <m/>
    <s v="20.22"/>
    <n v="125"/>
    <s v="NL2018"/>
    <m/>
    <n v="40"/>
    <n v="5000"/>
    <x v="37"/>
    <n v="67500000"/>
    <x v="2"/>
    <d v="2019-09-01T00:00:00"/>
    <d v="2019-09-29T00:00:00"/>
    <d v="2019-09-29T00:00:00"/>
    <s v="TẾT"/>
    <m/>
    <m/>
    <m/>
    <m/>
    <n v="0"/>
    <m/>
    <m/>
    <m/>
    <m/>
    <m/>
    <m/>
    <n v="0"/>
    <n v="5000"/>
    <n v="67500000"/>
  </r>
  <r>
    <s v="148B/2019"/>
    <d v="2018-08-24T00:00:00"/>
    <s v="THANH THÚY"/>
    <s v="TB02"/>
    <x v="27"/>
    <x v="9"/>
    <s v="MANISSA"/>
    <m/>
    <s v="22.24"/>
    <n v="100"/>
    <s v="NL2018"/>
    <m/>
    <n v="100"/>
    <n v="10000"/>
    <x v="38"/>
    <n v="152000000"/>
    <x v="2"/>
    <d v="2019-09-01T00:00:00"/>
    <d v="2019-09-29T00:00:00"/>
    <d v="2019-09-29T00:00:00"/>
    <s v="TẾT"/>
    <m/>
    <m/>
    <m/>
    <m/>
    <n v="0"/>
    <m/>
    <m/>
    <m/>
    <m/>
    <m/>
    <m/>
    <n v="0"/>
    <n v="10000"/>
    <n v="152000000"/>
  </r>
  <r>
    <s v="174A/2019"/>
    <d v="2019-04-05T00:00:00"/>
    <s v="KIỀU THY"/>
    <s v="VT04"/>
    <x v="28"/>
    <x v="6"/>
    <s v="CONCADOR"/>
    <m/>
    <s v="20.22"/>
    <n v="125"/>
    <s v="NL2018"/>
    <m/>
    <n v="136"/>
    <n v="17000"/>
    <x v="7"/>
    <n v="180200000"/>
    <x v="2"/>
    <d v="2019-09-01T00:00:00"/>
    <d v="2019-09-29T00:00:00"/>
    <d v="2019-09-29T00:00:00"/>
    <s v="TẾT"/>
    <m/>
    <m/>
    <m/>
    <m/>
    <m/>
    <m/>
    <m/>
    <m/>
    <m/>
    <m/>
    <m/>
    <n v="0"/>
    <n v="17000"/>
    <n v="180200000"/>
  </r>
  <r>
    <s v="174A/2019"/>
    <d v="2019-04-05T00:00:00"/>
    <s v="KIỀU THY"/>
    <s v="VT04"/>
    <x v="28"/>
    <x v="16"/>
    <s v="ROBINA"/>
    <m/>
    <s v="20.22"/>
    <n v="125"/>
    <s v="NL2018"/>
    <m/>
    <n v="56"/>
    <n v="7000"/>
    <x v="16"/>
    <n v="74900000"/>
    <x v="2"/>
    <d v="2019-09-01T00:00:00"/>
    <d v="2019-09-29T00:00:00"/>
    <d v="2019-09-29T00:00:00"/>
    <s v="TẾT"/>
    <m/>
    <m/>
    <m/>
    <m/>
    <m/>
    <m/>
    <m/>
    <m/>
    <m/>
    <m/>
    <m/>
    <n v="0"/>
    <n v="7000"/>
    <n v="74900000"/>
  </r>
  <r>
    <s v="90A/2019"/>
    <d v="2019-03-06T00:00:00"/>
    <s v="KIỀU THY"/>
    <s v="VT04"/>
    <x v="28"/>
    <x v="22"/>
    <s v="ROBINA"/>
    <m/>
    <s v="16.18"/>
    <n v="200"/>
    <s v="NL2018"/>
    <m/>
    <n v="15"/>
    <n v="3000"/>
    <x v="77"/>
    <n v="14700000"/>
    <x v="0"/>
    <d v="2019-03-15T00:00:00"/>
    <d v="2019-04-19T00:00:00"/>
    <d v="2019-04-19T00:00:00"/>
    <s v="15/3AL"/>
    <s v="CONT 26/2019"/>
    <d v="2019-04-14T00:00:00"/>
    <s v="R"/>
    <d v="2019-04-19T00:00:00"/>
    <n v="3000"/>
    <m/>
    <m/>
    <m/>
    <m/>
    <m/>
    <m/>
    <n v="3000"/>
    <n v="0"/>
    <n v="0"/>
  </r>
  <r>
    <s v="90A/2019"/>
    <d v="2019-03-06T00:00:00"/>
    <s v="KIỀU THY"/>
    <s v="VT04"/>
    <x v="28"/>
    <x v="22"/>
    <s v="ROBINA"/>
    <m/>
    <s v="16.18"/>
    <n v="200"/>
    <s v="NL2018"/>
    <m/>
    <n v="25"/>
    <n v="5000"/>
    <x v="77"/>
    <n v="24500000"/>
    <x v="0"/>
    <d v="2019-03-15T00:00:00"/>
    <d v="2019-04-19T00:00:00"/>
    <d v="2019-04-19T00:00:00"/>
    <s v="15/3AL"/>
    <m/>
    <m/>
    <s v="R"/>
    <d v="2019-05-14T00:00:00"/>
    <n v="5000"/>
    <m/>
    <m/>
    <m/>
    <m/>
    <m/>
    <m/>
    <n v="5000"/>
    <n v="0"/>
    <n v="0"/>
  </r>
  <r>
    <s v="90A/2019"/>
    <d v="2019-03-06T00:00:00"/>
    <s v="KIỀU THY"/>
    <s v="VT04"/>
    <x v="28"/>
    <x v="22"/>
    <s v="ROBINA"/>
    <m/>
    <s v="16.18"/>
    <n v="200"/>
    <s v="NL2018"/>
    <m/>
    <n v="25"/>
    <n v="5000"/>
    <x v="18"/>
    <n v="25000000"/>
    <x v="0"/>
    <d v="2019-04-17T00:00:00"/>
    <d v="2019-05-21T00:00:00"/>
    <d v="2019-05-21T00:00:00"/>
    <s v="30/3AL"/>
    <m/>
    <m/>
    <s v="R"/>
    <d v="2019-05-28T00:00:00"/>
    <n v="5000"/>
    <m/>
    <m/>
    <m/>
    <m/>
    <m/>
    <m/>
    <n v="5000"/>
    <n v="0"/>
    <n v="0"/>
  </r>
  <r>
    <s v="90A/2019"/>
    <d v="2019-03-06T00:00:00"/>
    <s v="KIỀU THY"/>
    <s v="VT04"/>
    <x v="28"/>
    <x v="22"/>
    <s v="ROBINA"/>
    <m/>
    <s v="16.18"/>
    <n v="200"/>
    <s v="NL2018"/>
    <m/>
    <n v="0"/>
    <n v="0"/>
    <x v="77"/>
    <n v="0"/>
    <x v="0"/>
    <d v="2019-04-17T00:00:00"/>
    <d v="2019-05-21T00:00:00"/>
    <d v="2019-05-21T00:00:00"/>
    <s v="30/3AL"/>
    <m/>
    <m/>
    <s v="R"/>
    <m/>
    <n v="0"/>
    <m/>
    <m/>
    <m/>
    <m/>
    <m/>
    <m/>
    <n v="0"/>
    <n v="0"/>
    <n v="0"/>
  </r>
  <r>
    <s v="90A/2019"/>
    <d v="2019-06-07T00:00:00"/>
    <s v="KIỀU THY"/>
    <s v="VT04"/>
    <x v="28"/>
    <x v="22"/>
    <s v="ROBINA"/>
    <m/>
    <s v="16.18"/>
    <n v="200"/>
    <s v="NL2018"/>
    <m/>
    <n v="35"/>
    <n v="7000"/>
    <x v="48"/>
    <n v="39200000"/>
    <x v="3"/>
    <d v="2019-06-15T00:00:00"/>
    <d v="2019-07-17T00:00:00"/>
    <d v="2019-07-17T00:00:00"/>
    <m/>
    <m/>
    <m/>
    <m/>
    <m/>
    <m/>
    <m/>
    <m/>
    <m/>
    <m/>
    <m/>
    <m/>
    <n v="0"/>
    <n v="7000"/>
    <n v="39200000"/>
  </r>
  <r>
    <s v="142A/2019"/>
    <d v="2019-03-25T00:00:00"/>
    <s v="KIỀU THY"/>
    <s v="VQ02"/>
    <x v="29"/>
    <x v="22"/>
    <s v="ROBINA"/>
    <m/>
    <s v="16.18"/>
    <s v="200"/>
    <s v="NL2018"/>
    <m/>
    <n v="150"/>
    <n v="30000"/>
    <x v="18"/>
    <n v="150000000"/>
    <x v="0"/>
    <s v="29-Feb-19"/>
    <d v="2019-04-03T00:00:00"/>
    <d v="2019-04-03T00:00:00"/>
    <m/>
    <s v="CONT 18/2019"/>
    <d v="2019-03-31T00:00:00"/>
    <m/>
    <d v="2019-04-08T00:00:00"/>
    <n v="30000"/>
    <m/>
    <m/>
    <m/>
    <m/>
    <m/>
    <m/>
    <n v="30000"/>
    <n v="0"/>
    <n v="0"/>
  </r>
  <r>
    <s v="142A/2019"/>
    <d v="2019-03-25T00:00:00"/>
    <s v="KIỀU THY"/>
    <s v="VQ02"/>
    <x v="29"/>
    <x v="31"/>
    <s v="TARRANGO"/>
    <m/>
    <s v="14.16"/>
    <s v="300"/>
    <s v="NL2018"/>
    <m/>
    <n v="100"/>
    <n v="30000"/>
    <x v="21"/>
    <n v="138000000"/>
    <x v="0"/>
    <d v="2019-04-17T00:00:00"/>
    <d v="2019-05-21T00:00:00"/>
    <d v="2019-05-21T00:00:00"/>
    <s v="30/3AL"/>
    <m/>
    <d v="2019-03-31T00:00:00"/>
    <m/>
    <d v="2019-05-19T00:00:00"/>
    <n v="30000"/>
    <m/>
    <m/>
    <m/>
    <m/>
    <m/>
    <m/>
    <n v="30000"/>
    <n v="0"/>
    <n v="0"/>
  </r>
  <r>
    <s v="142A/2019"/>
    <d v="2019-03-25T00:00:00"/>
    <s v="KIỀU THY"/>
    <s v="VQ02"/>
    <x v="29"/>
    <x v="22"/>
    <s v="ROBINA"/>
    <m/>
    <s v="16.18"/>
    <s v="200"/>
    <s v="NL2018"/>
    <m/>
    <n v="150"/>
    <n v="30000"/>
    <x v="78"/>
    <n v="153000000"/>
    <x v="0"/>
    <d v="2019-04-17T00:00:00"/>
    <d v="2019-05-21T00:00:00"/>
    <d v="2019-05-21T00:00:00"/>
    <s v="30/3AL"/>
    <m/>
    <d v="2019-03-31T00:00:00"/>
    <m/>
    <d v="2019-05-18T00:00:00"/>
    <n v="30000"/>
    <m/>
    <m/>
    <m/>
    <m/>
    <m/>
    <m/>
    <n v="30000"/>
    <n v="0"/>
    <n v="0"/>
  </r>
  <r>
    <s v="142A/2019"/>
    <d v="2019-05-10T00:00:00"/>
    <s v="KIỀU THY"/>
    <s v="VQ02"/>
    <x v="29"/>
    <x v="31"/>
    <s v="TARRANGO"/>
    <m/>
    <s v="14.16"/>
    <s v="300"/>
    <s v="NL2018"/>
    <m/>
    <n v="134"/>
    <n v="40200"/>
    <x v="18"/>
    <n v="201000000"/>
    <x v="2"/>
    <d v="2019-07-05T00:00:00"/>
    <d v="2019-08-05T00:00:00"/>
    <d v="2019-08-05T00:00:00"/>
    <m/>
    <m/>
    <m/>
    <m/>
    <m/>
    <m/>
    <m/>
    <m/>
    <m/>
    <m/>
    <m/>
    <m/>
    <n v="0"/>
    <n v="40200"/>
    <n v="201000000"/>
  </r>
  <r>
    <s v="142A/2019"/>
    <d v="2019-05-10T00:00:00"/>
    <s v="KIỀU THY"/>
    <s v="VQ02"/>
    <x v="29"/>
    <x v="78"/>
    <s v="NATALIA"/>
    <s v="RL"/>
    <s v="12.14"/>
    <s v="400"/>
    <s v="NL2018"/>
    <m/>
    <n v="3"/>
    <n v="1200"/>
    <x v="79"/>
    <n v="10320000"/>
    <x v="3"/>
    <d v="2019-05-18T00:00:00"/>
    <d v="2019-06-20T00:00:00"/>
    <d v="2019-06-20T00:00:00"/>
    <m/>
    <m/>
    <m/>
    <m/>
    <m/>
    <m/>
    <m/>
    <m/>
    <m/>
    <m/>
    <m/>
    <m/>
    <n v="0"/>
    <n v="1200"/>
    <n v="10320000"/>
  </r>
  <r>
    <s v="04A/2019"/>
    <d v="2019-03-21T00:00:00"/>
    <s v="KIỀU THY"/>
    <s v="VC03"/>
    <x v="30"/>
    <x v="31"/>
    <s v="TARRANGO"/>
    <m/>
    <s v="14.16"/>
    <s v="300"/>
    <s v="NL2018"/>
    <m/>
    <n v="0"/>
    <n v="0"/>
    <x v="21"/>
    <n v="0"/>
    <x v="1"/>
    <d v="2019-04-17T00:00:00"/>
    <d v="2019-05-21T00:00:00"/>
    <d v="2019-05-21T00:00:00"/>
    <s v="2 tháng/lần"/>
    <m/>
    <m/>
    <m/>
    <m/>
    <m/>
    <m/>
    <m/>
    <m/>
    <m/>
    <m/>
    <m/>
    <n v="0"/>
    <n v="0"/>
    <n v="0"/>
  </r>
  <r>
    <s v="04A/2019"/>
    <d v="2019-03-21T00:00:00"/>
    <s v="KIỀU THY"/>
    <s v="VC03"/>
    <x v="30"/>
    <x v="34"/>
    <s v="TARRANGO"/>
    <m/>
    <s v="16.18"/>
    <s v="200"/>
    <s v="NL2018"/>
    <m/>
    <n v="50"/>
    <n v="10000"/>
    <x v="31"/>
    <n v="69000000"/>
    <x v="0"/>
    <d v="2019-04-17T00:00:00"/>
    <d v="2019-05-21T00:00:00"/>
    <d v="2019-05-21T00:00:00"/>
    <m/>
    <m/>
    <m/>
    <m/>
    <d v="2019-05-18T00:00:00"/>
    <n v="10000"/>
    <m/>
    <m/>
    <m/>
    <m/>
    <m/>
    <m/>
    <n v="10000"/>
    <n v="0"/>
    <n v="0"/>
  </r>
  <r>
    <s v="04A/2019"/>
    <d v="2019-05-17T00:00:00"/>
    <s v="KIỀU THY"/>
    <s v="VC03"/>
    <x v="30"/>
    <x v="34"/>
    <s v="TARRANGO"/>
    <m/>
    <s v="16.18"/>
    <s v="200"/>
    <s v="NL2018"/>
    <m/>
    <n v="50"/>
    <n v="10000"/>
    <x v="33"/>
    <n v="70000000"/>
    <x v="3"/>
    <d v="2019-05-30T00:00:00"/>
    <d v="2019-07-02T00:00:00"/>
    <d v="2019-07-02T00:00:00"/>
    <m/>
    <m/>
    <m/>
    <m/>
    <m/>
    <m/>
    <m/>
    <m/>
    <m/>
    <m/>
    <m/>
    <m/>
    <n v="0"/>
    <n v="10000"/>
    <n v="70000000"/>
  </r>
  <r>
    <s v="04A/2019"/>
    <d v="2019-05-14T00:00:00"/>
    <s v="KIỀU THY"/>
    <s v="VC03"/>
    <x v="30"/>
    <x v="34"/>
    <s v="TARRANGO"/>
    <m/>
    <s v="16.18"/>
    <s v="200"/>
    <s v="NL2018"/>
    <m/>
    <n v="100"/>
    <n v="20000"/>
    <x v="80"/>
    <n v="146000000"/>
    <x v="2"/>
    <d v="2019-09-01T00:00:00"/>
    <d v="2019-09-29T00:00:00"/>
    <d v="2019-09-29T00:00:00"/>
    <m/>
    <m/>
    <m/>
    <m/>
    <m/>
    <m/>
    <m/>
    <m/>
    <m/>
    <m/>
    <m/>
    <m/>
    <n v="0"/>
    <n v="20000"/>
    <n v="146000000"/>
  </r>
  <r>
    <s v="47B/2019"/>
    <d v="2019-02-13T00:00:00"/>
    <s v="THANH THÚY"/>
    <s v="TN02"/>
    <x v="31"/>
    <x v="15"/>
    <s v="CONCADOR "/>
    <m/>
    <s v="16.18"/>
    <n v="200"/>
    <s v="NL2018"/>
    <m/>
    <n v="50"/>
    <n v="10000"/>
    <x v="21"/>
    <n v="46000000"/>
    <x v="0"/>
    <d v="2019-01-15T00:00:00"/>
    <d v="2019-02-19T00:00:00"/>
    <d v="2019-02-19T00:00:00"/>
    <s v="15/1AL"/>
    <m/>
    <m/>
    <m/>
    <d v="2019-02-19T00:00:00"/>
    <n v="10000"/>
    <m/>
    <m/>
    <m/>
    <m/>
    <m/>
    <m/>
    <n v="10000"/>
    <n v="0"/>
    <n v="0"/>
  </r>
  <r>
    <s v="47B/2019"/>
    <d v="2019-02-13T00:00:00"/>
    <s v="THANH THÚY"/>
    <s v="TN02"/>
    <x v="31"/>
    <x v="15"/>
    <s v="CONCADOR "/>
    <m/>
    <s v="16.18"/>
    <n v="200"/>
    <s v="NL2018"/>
    <m/>
    <n v="0"/>
    <n v="0"/>
    <x v="0"/>
    <n v="0"/>
    <x v="1"/>
    <d v="2019-01-15T00:00:00"/>
    <d v="2019-02-19T00:00:00"/>
    <d v="2019-02-19T00:00:00"/>
    <s v="15/1AL"/>
    <m/>
    <m/>
    <m/>
    <m/>
    <n v="0"/>
    <m/>
    <m/>
    <m/>
    <m/>
    <m/>
    <m/>
    <n v="0"/>
    <n v="0"/>
    <n v="0"/>
  </r>
  <r>
    <s v="47B/2019"/>
    <d v="2019-02-13T00:00:00"/>
    <s v="THANH THÚY"/>
    <s v="TN02"/>
    <x v="31"/>
    <x v="34"/>
    <s v="TARRANGO"/>
    <m/>
    <s v="16.18"/>
    <n v="200"/>
    <s v="NL2018"/>
    <m/>
    <n v="100"/>
    <n v="20000"/>
    <x v="44"/>
    <n v="110000000"/>
    <x v="0"/>
    <d v="2019-01-15T00:00:00"/>
    <d v="2019-02-19T00:00:00"/>
    <d v="2019-02-19T00:00:00"/>
    <s v="15/1AL"/>
    <m/>
    <m/>
    <m/>
    <d v="2019-02-19T00:00:00"/>
    <n v="20000"/>
    <m/>
    <m/>
    <m/>
    <m/>
    <m/>
    <m/>
    <n v="20000"/>
    <n v="0"/>
    <n v="0"/>
  </r>
  <r>
    <s v="47B/2019"/>
    <d v="2019-02-13T00:00:00"/>
    <s v="THANH THÚY"/>
    <s v="TN02"/>
    <x v="31"/>
    <x v="79"/>
    <s v="YELLOWEEN"/>
    <m/>
    <s v="16.18"/>
    <n v="200"/>
    <s v="NL2017"/>
    <m/>
    <n v="100"/>
    <n v="20000"/>
    <x v="81"/>
    <n v="75000000"/>
    <x v="0"/>
    <d v="2019-01-21T00:00:00"/>
    <d v="2019-02-25T00:00:00"/>
    <d v="2019-02-25T00:00:00"/>
    <s v="21/1AL"/>
    <m/>
    <m/>
    <m/>
    <d v="2019-02-25T00:00:00"/>
    <n v="20000"/>
    <m/>
    <m/>
    <m/>
    <m/>
    <m/>
    <m/>
    <n v="20000"/>
    <n v="0"/>
    <n v="0"/>
  </r>
  <r>
    <s v="47B/2019"/>
    <d v="2019-02-13T00:00:00"/>
    <s v="THANH THÚY"/>
    <s v="TN02"/>
    <x v="31"/>
    <x v="74"/>
    <s v="LESOTHO"/>
    <m/>
    <s v="18.20"/>
    <n v="150"/>
    <s v="NL2017"/>
    <m/>
    <n v="47"/>
    <n v="7050"/>
    <x v="23"/>
    <n v="33840000"/>
    <x v="0"/>
    <d v="2019-02-01T00:00:00"/>
    <d v="2019-03-06T00:00:00"/>
    <d v="2019-03-06T00:00:00"/>
    <s v="01/2AL"/>
    <m/>
    <m/>
    <m/>
    <d v="2019-03-06T00:00:00"/>
    <n v="7050"/>
    <m/>
    <m/>
    <m/>
    <m/>
    <m/>
    <m/>
    <n v="7050"/>
    <n v="0"/>
    <n v="0"/>
  </r>
  <r>
    <s v="47B/2019"/>
    <d v="2019-02-13T00:00:00"/>
    <s v="THANH THÚY"/>
    <s v="TN02"/>
    <x v="31"/>
    <x v="19"/>
    <s v="PAVIA"/>
    <m/>
    <s v="12.14"/>
    <n v="400"/>
    <s v="NL2017"/>
    <m/>
    <n v="27"/>
    <n v="10800"/>
    <x v="19"/>
    <n v="21600000"/>
    <x v="0"/>
    <d v="2019-02-15T00:00:00"/>
    <d v="2019-03-20T00:00:00"/>
    <d v="2019-03-20T00:00:00"/>
    <s v="15/2AL"/>
    <s v="CONT 9/2019"/>
    <m/>
    <m/>
    <d v="2019-03-20T00:00:00"/>
    <n v="10800"/>
    <m/>
    <m/>
    <m/>
    <m/>
    <m/>
    <m/>
    <n v="10800"/>
    <n v="0"/>
    <n v="0"/>
  </r>
  <r>
    <s v="47B/2019"/>
    <d v="2019-02-13T00:00:00"/>
    <s v="THANH THÚY"/>
    <s v="TN02"/>
    <x v="31"/>
    <x v="57"/>
    <s v="DALIAN"/>
    <m/>
    <s v="14.16"/>
    <n v="300"/>
    <s v="NL2018"/>
    <m/>
    <n v="34"/>
    <n v="10200"/>
    <x v="55"/>
    <n v="54060000"/>
    <x v="0"/>
    <d v="2019-03-15T00:00:00"/>
    <d v="2019-04-19T00:00:00"/>
    <d v="2019-04-19T00:00:00"/>
    <s v="15/3AL"/>
    <s v="CONT 23/2019"/>
    <m/>
    <m/>
    <d v="2019-04-29T00:00:00"/>
    <n v="10200"/>
    <m/>
    <m/>
    <m/>
    <m/>
    <m/>
    <m/>
    <n v="10200"/>
    <n v="0"/>
    <n v="0"/>
  </r>
  <r>
    <s v="47B/2019"/>
    <d v="2019-02-13T00:00:00"/>
    <s v="THANH THÚY"/>
    <s v="TN02"/>
    <x v="31"/>
    <x v="47"/>
    <s v="ROBINA"/>
    <m/>
    <s v="18.20"/>
    <n v="150"/>
    <s v="NL2018"/>
    <m/>
    <n v="67"/>
    <n v="10050"/>
    <x v="42"/>
    <n v="63315000"/>
    <x v="0"/>
    <d v="2019-03-15T00:00:00"/>
    <d v="2019-04-19T00:00:00"/>
    <d v="2019-04-19T00:00:00"/>
    <s v="15/3AL"/>
    <s v="CONT 25/2019"/>
    <m/>
    <m/>
    <d v="2019-04-29T00:00:00"/>
    <n v="10050"/>
    <m/>
    <m/>
    <m/>
    <m/>
    <m/>
    <m/>
    <n v="10050"/>
    <n v="0"/>
    <n v="0"/>
  </r>
  <r>
    <s v="47B/2019"/>
    <d v="2019-02-13T00:00:00"/>
    <s v="THANH THÚY"/>
    <s v="TN02"/>
    <x v="31"/>
    <x v="49"/>
    <s v="MARENGO"/>
    <m/>
    <s v="16.18"/>
    <n v="200"/>
    <s v="NL2018"/>
    <m/>
    <n v="25"/>
    <n v="5000"/>
    <x v="46"/>
    <n v="30000000"/>
    <x v="0"/>
    <s v="29-Feb-19"/>
    <d v="2019-04-03T00:00:00"/>
    <d v="2019-04-03T00:00:00"/>
    <s v="30/2AL. Thiếu 5.000"/>
    <s v="CONT 17/2019"/>
    <m/>
    <m/>
    <d v="2019-04-29T00:00:00"/>
    <n v="5000"/>
    <m/>
    <m/>
    <m/>
    <m/>
    <m/>
    <m/>
    <n v="5000"/>
    <n v="0"/>
    <n v="0"/>
  </r>
  <r>
    <s v="47B/2019"/>
    <d v="2019-06-03T00:00:00"/>
    <s v="THANH THÚY"/>
    <s v="TN02"/>
    <x v="31"/>
    <x v="65"/>
    <s v="ROBINA"/>
    <m/>
    <s v="14.16"/>
    <n v="300"/>
    <s v="NL2018"/>
    <m/>
    <n v="10"/>
    <n v="3000"/>
    <x v="6"/>
    <n v="11400000"/>
    <x v="0"/>
    <d v="2019-05-05T00:00:00"/>
    <d v="2019-06-07T00:00:00"/>
    <d v="2019-06-07T00:00:00"/>
    <m/>
    <m/>
    <m/>
    <m/>
    <d v="2019-06-17T00:00:00"/>
    <n v="3000"/>
    <m/>
    <m/>
    <m/>
    <m/>
    <m/>
    <m/>
    <n v="3000"/>
    <n v="0"/>
    <n v="0"/>
  </r>
  <r>
    <s v="47B/2019"/>
    <d v="2019-05-31T00:00:00"/>
    <s v="THANH THÚY"/>
    <s v="TN02"/>
    <x v="31"/>
    <x v="65"/>
    <s v="ROBINA"/>
    <m/>
    <s v="14.16"/>
    <n v="300"/>
    <s v="NL2018"/>
    <m/>
    <n v="0"/>
    <n v="0"/>
    <x v="6"/>
    <n v="0"/>
    <x v="1"/>
    <d v="2019-05-05T00:00:00"/>
    <d v="2019-06-07T00:00:00"/>
    <d v="2019-06-07T00:00:00"/>
    <m/>
    <m/>
    <m/>
    <m/>
    <m/>
    <m/>
    <m/>
    <m/>
    <m/>
    <m/>
    <m/>
    <m/>
    <n v="0"/>
    <n v="0"/>
    <n v="0"/>
  </r>
  <r>
    <s v="21B/2019"/>
    <d v="2019-01-05T00:00:00"/>
    <s v="THANH THÚY"/>
    <s v="TH01"/>
    <x v="32"/>
    <x v="19"/>
    <s v="PAVIA 2018"/>
    <m/>
    <s v="12.14"/>
    <n v="400"/>
    <s v="NL2017"/>
    <m/>
    <n v="0"/>
    <n v="0"/>
    <x v="19"/>
    <n v="0"/>
    <x v="1"/>
    <d v="2019-02-15T00:00:00"/>
    <d v="2019-03-20T00:00:00"/>
    <d v="2019-03-20T00:00:00"/>
    <s v="15/2AL"/>
    <s v="CONT 9/2019"/>
    <m/>
    <m/>
    <m/>
    <n v="0"/>
    <m/>
    <m/>
    <m/>
    <m/>
    <m/>
    <m/>
    <n v="0"/>
    <n v="0"/>
    <n v="0"/>
  </r>
  <r>
    <s v="133B/2019"/>
    <d v="2019-03-15T00:00:00"/>
    <s v="THANH THÚY"/>
    <s v="TH01"/>
    <x v="32"/>
    <x v="10"/>
    <s v="ARVANDRUD"/>
    <m/>
    <s v="16.18"/>
    <n v="200"/>
    <s v="NL2018"/>
    <m/>
    <n v="0"/>
    <n v="0"/>
    <x v="44"/>
    <n v="0"/>
    <x v="1"/>
    <d v="2019-03-15T00:00:00"/>
    <d v="2019-04-19T00:00:00"/>
    <d v="2019-04-19T00:00:00"/>
    <s v="15/3AL"/>
    <s v="CONT 22/2019"/>
    <m/>
    <m/>
    <m/>
    <n v="0"/>
    <m/>
    <m/>
    <m/>
    <m/>
    <m/>
    <m/>
    <n v="0"/>
    <n v="0"/>
    <n v="0"/>
  </r>
  <r>
    <s v="21B/2019"/>
    <d v="2019-01-05T00:00:00"/>
    <s v="THANH THÚY"/>
    <s v="TH01"/>
    <x v="32"/>
    <x v="34"/>
    <s v="TARRANGO"/>
    <m/>
    <s v="16.18"/>
    <n v="200"/>
    <s v="NL2018"/>
    <m/>
    <n v="150"/>
    <n v="30000"/>
    <x v="44"/>
    <n v="165000000"/>
    <x v="4"/>
    <d v="2019-03-15T00:00:00"/>
    <d v="2019-04-19T00:00:00"/>
    <d v="2019-04-19T00:00:00"/>
    <s v="15/3AL"/>
    <s v="CONT 24/2019"/>
    <m/>
    <m/>
    <d v="2019-05-07T00:00:00"/>
    <n v="20000"/>
    <m/>
    <m/>
    <m/>
    <m/>
    <m/>
    <m/>
    <n v="20000"/>
    <n v="10000"/>
    <n v="55000000"/>
  </r>
  <r>
    <s v="158B/2019"/>
    <d v="2019-01-05T00:00:00"/>
    <s v="THANH THÚY"/>
    <s v="TH01"/>
    <x v="32"/>
    <x v="36"/>
    <s v="MANISSA"/>
    <m/>
    <s v="20.22"/>
    <n v="125"/>
    <s v="NL2018"/>
    <m/>
    <n v="320"/>
    <n v="40000"/>
    <x v="37"/>
    <n v="540000000"/>
    <x v="2"/>
    <d v="2019-09-01T00:00:00"/>
    <d v="2019-09-29T00:00:00"/>
    <d v="2019-09-29T00:00:00"/>
    <s v="TẾT"/>
    <m/>
    <m/>
    <m/>
    <m/>
    <n v="0"/>
    <m/>
    <m/>
    <m/>
    <m/>
    <m/>
    <m/>
    <n v="0"/>
    <n v="40000"/>
    <n v="540000000"/>
  </r>
  <r>
    <s v="158B/2019"/>
    <d v="2019-01-05T00:00:00"/>
    <s v="THANH THÚY"/>
    <s v="TH01"/>
    <x v="32"/>
    <x v="6"/>
    <s v="CONCADOR"/>
    <m/>
    <s v="20.22"/>
    <n v="125"/>
    <s v="NL2018"/>
    <m/>
    <n v="400"/>
    <n v="50000"/>
    <x v="7"/>
    <n v="530000000"/>
    <x v="2"/>
    <d v="2019-09-01T00:00:00"/>
    <d v="2019-09-29T00:00:00"/>
    <d v="2019-09-29T00:00:00"/>
    <s v="TẾT"/>
    <m/>
    <m/>
    <m/>
    <m/>
    <n v="0"/>
    <m/>
    <m/>
    <m/>
    <m/>
    <m/>
    <m/>
    <n v="0"/>
    <n v="50000"/>
    <n v="530000000"/>
  </r>
  <r>
    <s v="158B/2019"/>
    <d v="2019-01-05T00:00:00"/>
    <s v="THANH THÚY"/>
    <s v="TH01"/>
    <x v="32"/>
    <x v="16"/>
    <s v="ROBINA"/>
    <m/>
    <s v="20.22"/>
    <n v="125"/>
    <s v="NL2018"/>
    <m/>
    <n v="400"/>
    <n v="50000"/>
    <x v="16"/>
    <n v="535000000"/>
    <x v="2"/>
    <d v="2019-09-01T00:00:00"/>
    <d v="2019-09-29T00:00:00"/>
    <d v="2019-09-29T00:00:00"/>
    <s v="TẾT"/>
    <m/>
    <m/>
    <m/>
    <m/>
    <n v="0"/>
    <m/>
    <m/>
    <m/>
    <m/>
    <m/>
    <m/>
    <n v="0"/>
    <n v="50000"/>
    <n v="535000000"/>
  </r>
  <r>
    <s v="21B/2019"/>
    <d v="2019-01-05T00:00:00"/>
    <s v="THANH THÚY"/>
    <s v="TH01"/>
    <x v="32"/>
    <x v="80"/>
    <s v="PROFUNDO"/>
    <m/>
    <s v="14.16"/>
    <n v="300"/>
    <s v="NL2018"/>
    <m/>
    <n v="0"/>
    <n v="0"/>
    <x v="82"/>
    <n v="0"/>
    <x v="1"/>
    <s v="29-Feb-19"/>
    <d v="2019-04-03T00:00:00"/>
    <d v="2019-04-03T00:00:00"/>
    <s v="15/2AL"/>
    <s v="CONT 12/2019"/>
    <m/>
    <m/>
    <m/>
    <n v="0"/>
    <m/>
    <m/>
    <m/>
    <m/>
    <m/>
    <m/>
    <n v="0"/>
    <n v="0"/>
    <n v="0"/>
  </r>
  <r>
    <s v="21B/2019"/>
    <d v="2019-01-05T00:00:00"/>
    <s v="THANH THÚY"/>
    <s v="TH01"/>
    <x v="32"/>
    <x v="80"/>
    <s v="PROFUNDO"/>
    <m/>
    <s v="14.16"/>
    <n v="300"/>
    <s v="NL2018"/>
    <m/>
    <n v="0"/>
    <n v="0"/>
    <x v="23"/>
    <n v="0"/>
    <x v="1"/>
    <s v="29-Feb-19"/>
    <d v="2019-04-03T00:00:00"/>
    <d v="2019-04-03T00:00:00"/>
    <s v="30/2AL"/>
    <s v="CONT 15/2019"/>
    <m/>
    <m/>
    <m/>
    <n v="0"/>
    <m/>
    <m/>
    <m/>
    <m/>
    <m/>
    <m/>
    <n v="0"/>
    <n v="0"/>
    <n v="0"/>
  </r>
  <r>
    <s v="21B/2019"/>
    <d v="2019-01-05T00:00:00"/>
    <s v="THANH THÚY"/>
    <s v="TH01"/>
    <x v="32"/>
    <x v="5"/>
    <s v="PROFUNDO"/>
    <m/>
    <s v="16.18"/>
    <n v="200"/>
    <s v="NL2018"/>
    <m/>
    <n v="0"/>
    <n v="0"/>
    <x v="45"/>
    <n v="0"/>
    <x v="1"/>
    <s v="29-Feb-19"/>
    <d v="2019-04-03T00:00:00"/>
    <d v="2019-04-03T00:00:00"/>
    <s v="30/2AL"/>
    <s v="CONT 17/2019"/>
    <m/>
    <m/>
    <m/>
    <n v="0"/>
    <m/>
    <m/>
    <m/>
    <m/>
    <m/>
    <m/>
    <n v="0"/>
    <n v="0"/>
    <n v="0"/>
  </r>
  <r>
    <s v="133B/2019"/>
    <d v="2019-03-19T00:00:00"/>
    <s v="THANH THÚY"/>
    <s v="TH01"/>
    <x v="32"/>
    <x v="81"/>
    <s v="BEAU SOLEIL"/>
    <m/>
    <s v="12.14"/>
    <n v="400"/>
    <s v="NL2018"/>
    <m/>
    <n v="50"/>
    <n v="20000"/>
    <x v="17"/>
    <n v="60000000"/>
    <x v="3"/>
    <d v="2019-05-10T00:00:00"/>
    <d v="2019-06-12T00:00:00"/>
    <d v="2019-06-12T00:00:00"/>
    <s v="10/5AL"/>
    <m/>
    <m/>
    <m/>
    <m/>
    <n v="0"/>
    <m/>
    <m/>
    <m/>
    <m/>
    <m/>
    <m/>
    <n v="0"/>
    <n v="20000"/>
    <n v="60000000"/>
  </r>
  <r>
    <s v="133B/2019"/>
    <d v="2019-03-19T00:00:00"/>
    <s v="THANH THÚY"/>
    <s v="TH01"/>
    <x v="32"/>
    <x v="82"/>
    <s v="BEAU SOLEIL"/>
    <m/>
    <s v="14.16"/>
    <n v="300"/>
    <s v="NL2018"/>
    <m/>
    <n v="100"/>
    <n v="30000"/>
    <x v="13"/>
    <n v="135000000"/>
    <x v="3"/>
    <d v="2019-05-10T00:00:00"/>
    <d v="2019-06-12T00:00:00"/>
    <d v="2019-06-12T00:00:00"/>
    <s v="10/5AL"/>
    <m/>
    <m/>
    <m/>
    <m/>
    <n v="0"/>
    <m/>
    <m/>
    <m/>
    <m/>
    <m/>
    <m/>
    <n v="0"/>
    <n v="30000"/>
    <n v="135000000"/>
  </r>
  <r>
    <s v="173B/2019"/>
    <d v="2019-04-20T00:00:00"/>
    <s v="THANH THÚY"/>
    <s v="TH01"/>
    <x v="32"/>
    <x v="83"/>
    <s v="ANGELA"/>
    <s v="RL"/>
    <s v="12.14"/>
    <n v="400"/>
    <s v="NL2018"/>
    <m/>
    <n v="0"/>
    <n v="0"/>
    <x v="61"/>
    <n v="0"/>
    <x v="1"/>
    <d v="2019-04-17T00:00:00"/>
    <d v="2019-05-21T00:00:00"/>
    <d v="2019-05-21T00:00:00"/>
    <s v="17/4AL"/>
    <m/>
    <m/>
    <m/>
    <m/>
    <m/>
    <m/>
    <m/>
    <m/>
    <m/>
    <m/>
    <m/>
    <n v="0"/>
    <n v="0"/>
    <n v="0"/>
  </r>
  <r>
    <s v="173B/2019"/>
    <d v="2019-04-20T00:00:00"/>
    <s v="THANH THÚY"/>
    <s v="TH01"/>
    <x v="32"/>
    <x v="0"/>
    <s v="ELDIVO"/>
    <m/>
    <s v="14.16"/>
    <n v="300"/>
    <s v="NL2018"/>
    <m/>
    <n v="16"/>
    <n v="4800"/>
    <x v="61"/>
    <n v="40800000"/>
    <x v="4"/>
    <d v="2019-04-29T00:00:00"/>
    <d v="2019-06-02T00:00:00"/>
    <d v="2019-06-02T00:00:00"/>
    <s v="29/4AL"/>
    <m/>
    <m/>
    <m/>
    <m/>
    <m/>
    <m/>
    <m/>
    <m/>
    <m/>
    <m/>
    <m/>
    <n v="0"/>
    <n v="4800"/>
    <n v="40800000"/>
  </r>
  <r>
    <s v="187A/2019"/>
    <d v="2019-04-09T00:00:00"/>
    <s v="KIỀU THY"/>
    <s v="TH10"/>
    <x v="33"/>
    <x v="10"/>
    <s v="ARVANDRUD"/>
    <m/>
    <s v="16.18"/>
    <n v="200"/>
    <s v="NL2018"/>
    <m/>
    <n v="25"/>
    <n v="5000"/>
    <x v="24"/>
    <n v="28500000"/>
    <x v="0"/>
    <d v="2019-03-15T00:00:00"/>
    <d v="2019-04-19T00:00:00"/>
    <d v="2019-04-19T00:00:00"/>
    <s v="15/3AL"/>
    <m/>
    <m/>
    <m/>
    <d v="2019-04-26T00:00:00"/>
    <n v="5000"/>
    <m/>
    <m/>
    <m/>
    <m/>
    <m/>
    <m/>
    <n v="5000"/>
    <n v="0"/>
    <n v="0"/>
  </r>
  <r>
    <s v="187A/2019"/>
    <d v="2019-04-09T00:00:00"/>
    <s v="KIỀU THY"/>
    <s v="TH10"/>
    <x v="33"/>
    <x v="80"/>
    <s v="PROFUNDO"/>
    <m/>
    <s v="14.16"/>
    <n v="300"/>
    <s v="NL2018"/>
    <m/>
    <n v="8"/>
    <n v="2400"/>
    <x v="18"/>
    <n v="12000000"/>
    <x v="0"/>
    <d v="2019-03-15T00:00:00"/>
    <d v="2019-04-19T00:00:00"/>
    <d v="2019-04-19T00:00:00"/>
    <s v="15/3AL"/>
    <m/>
    <m/>
    <m/>
    <d v="2019-04-26T00:00:00"/>
    <n v="2400"/>
    <m/>
    <m/>
    <m/>
    <m/>
    <m/>
    <m/>
    <n v="2400"/>
    <n v="0"/>
    <n v="0"/>
  </r>
  <r>
    <s v="60A/2019"/>
    <d v="2019-02-18T00:00:00"/>
    <s v="KIỀU THY"/>
    <s v="TH10"/>
    <x v="33"/>
    <x v="15"/>
    <s v="CONCADOR "/>
    <m/>
    <s v="16.18"/>
    <n v="200"/>
    <s v="NL2018"/>
    <m/>
    <n v="35"/>
    <n v="7000"/>
    <x v="18"/>
    <n v="35000000"/>
    <x v="0"/>
    <d v="2019-03-15T00:00:00"/>
    <d v="2019-04-19T00:00:00"/>
    <d v="2019-04-19T00:00:00"/>
    <s v="10/4AL XẢ"/>
    <s v="CONT 22/2019"/>
    <d v="2019-04-14T00:00:00"/>
    <s v="R"/>
    <d v="2019-05-16T00:00:00"/>
    <n v="7000"/>
    <m/>
    <m/>
    <m/>
    <m/>
    <m/>
    <m/>
    <n v="7000"/>
    <n v="0"/>
    <n v="0"/>
  </r>
  <r>
    <s v="60A/2019"/>
    <d v="2019-02-18T00:00:00"/>
    <s v="KIỀU THY"/>
    <s v="TH10"/>
    <x v="33"/>
    <x v="22"/>
    <s v="ROBINA"/>
    <m/>
    <s v="16.18"/>
    <n v="200"/>
    <s v="NL2018"/>
    <m/>
    <n v="40"/>
    <n v="8000"/>
    <x v="23"/>
    <n v="38400000"/>
    <x v="0"/>
    <d v="2019-03-15T00:00:00"/>
    <d v="2019-04-19T00:00:00"/>
    <d v="2019-04-19T00:00:00"/>
    <s v="10/4AL XẢ"/>
    <s v="CONT 26/2019"/>
    <d v="2019-04-14T00:00:00"/>
    <s v="R"/>
    <d v="2019-05-16T00:00:00"/>
    <n v="8000"/>
    <m/>
    <m/>
    <m/>
    <m/>
    <m/>
    <m/>
    <n v="8000"/>
    <n v="0"/>
    <n v="0"/>
  </r>
  <r>
    <s v="60A/2019"/>
    <d v="2019-04-26T00:00:00"/>
    <s v="KIỀU THY"/>
    <s v="TH10"/>
    <x v="33"/>
    <x v="50"/>
    <s v="PROFUNDO"/>
    <m/>
    <s v="14.16"/>
    <n v="275"/>
    <s v="NL2018"/>
    <m/>
    <n v="9"/>
    <n v="2475"/>
    <x v="18"/>
    <n v="12375000"/>
    <x v="0"/>
    <d v="2019-03-30T00:00:00"/>
    <d v="2019-05-04T00:00:00"/>
    <d v="2019-05-04T00:00:00"/>
    <s v="10/4AL XẢ"/>
    <m/>
    <m/>
    <m/>
    <d v="2019-05-16T00:00:00"/>
    <n v="2475"/>
    <m/>
    <m/>
    <m/>
    <m/>
    <m/>
    <m/>
    <n v="2475"/>
    <n v="0"/>
    <n v="0"/>
  </r>
  <r>
    <s v="60A/2019"/>
    <d v="2019-04-26T00:00:00"/>
    <s v="KIỀU THY"/>
    <s v="TH10"/>
    <x v="33"/>
    <x v="80"/>
    <s v="PROFUNDO"/>
    <m/>
    <s v="14.16"/>
    <n v="300"/>
    <s v="NL2018"/>
    <m/>
    <n v="7"/>
    <n v="2100"/>
    <x v="18"/>
    <n v="10500000"/>
    <x v="0"/>
    <d v="2019-03-30T00:00:00"/>
    <d v="2019-05-04T00:00:00"/>
    <d v="2019-05-04T00:00:00"/>
    <s v="10/4AL XẢ"/>
    <m/>
    <m/>
    <m/>
    <d v="2019-05-16T00:00:00"/>
    <n v="2100"/>
    <m/>
    <m/>
    <m/>
    <m/>
    <m/>
    <m/>
    <n v="2100"/>
    <n v="0"/>
    <n v="0"/>
  </r>
  <r>
    <s v="60A/2019"/>
    <d v="2019-04-26T00:00:00"/>
    <s v="KIỀU THY"/>
    <s v="TH10"/>
    <x v="33"/>
    <x v="84"/>
    <s v="PROFUNDO"/>
    <m/>
    <s v="15.16"/>
    <n v="300"/>
    <s v="NL2018"/>
    <m/>
    <n v="9"/>
    <n v="2700"/>
    <x v="18"/>
    <n v="13500000"/>
    <x v="0"/>
    <d v="2019-03-30T00:00:00"/>
    <d v="2019-05-04T00:00:00"/>
    <d v="2019-05-04T00:00:00"/>
    <s v="10/4AL XẢ"/>
    <m/>
    <m/>
    <m/>
    <d v="2019-05-16T00:00:00"/>
    <n v="2700"/>
    <m/>
    <m/>
    <m/>
    <m/>
    <m/>
    <m/>
    <n v="2700"/>
    <n v="0"/>
    <n v="0"/>
  </r>
  <r>
    <s v="60A/2019"/>
    <d v="2019-05-10T00:00:00"/>
    <s v="KIỀU THY"/>
    <s v="TH10"/>
    <x v="33"/>
    <x v="28"/>
    <s v="YELLOWEEN"/>
    <m/>
    <s v="14.16"/>
    <n v="300"/>
    <s v="NL2018"/>
    <m/>
    <n v="3"/>
    <n v="900"/>
    <x v="6"/>
    <n v="3420000"/>
    <x v="0"/>
    <d v="2019-03-15T00:00:00"/>
    <d v="2019-04-19T00:00:00"/>
    <d v="2019-04-19T00:00:00"/>
    <s v="10/4AL XẢ"/>
    <m/>
    <m/>
    <m/>
    <d v="2019-05-16T00:00:00"/>
    <n v="900"/>
    <m/>
    <m/>
    <m/>
    <m/>
    <m/>
    <m/>
    <n v="900"/>
    <n v="0"/>
    <n v="0"/>
  </r>
  <r>
    <s v="60A/2019"/>
    <d v="2019-02-18T00:00:00"/>
    <s v="KIỀU THY"/>
    <s v="TH10"/>
    <x v="33"/>
    <x v="15"/>
    <s v="CONCADOR "/>
    <m/>
    <s v="16.18"/>
    <n v="200"/>
    <s v="NL2018"/>
    <m/>
    <n v="25"/>
    <n v="5000"/>
    <x v="18"/>
    <n v="25000000"/>
    <x v="4"/>
    <d v="2019-04-17T00:00:00"/>
    <d v="2019-05-21T00:00:00"/>
    <d v="2019-05-21T00:00:00"/>
    <s v="T5"/>
    <m/>
    <m/>
    <s v="R"/>
    <m/>
    <n v="0"/>
    <m/>
    <m/>
    <m/>
    <m/>
    <m/>
    <m/>
    <n v="0"/>
    <n v="5000"/>
    <n v="25000000"/>
  </r>
  <r>
    <s v="60A/2019"/>
    <d v="2019-02-18T00:00:00"/>
    <s v="KIỀU THY"/>
    <s v="TH10"/>
    <x v="33"/>
    <x v="22"/>
    <s v="ROBINA"/>
    <m/>
    <s v="16.18"/>
    <n v="200"/>
    <s v="NL2018"/>
    <m/>
    <n v="25"/>
    <n v="5000"/>
    <x v="23"/>
    <n v="24000000"/>
    <x v="3"/>
    <d v="2019-05-18T00:00:00"/>
    <d v="2019-06-20T00:00:00"/>
    <d v="2019-06-20T00:00:00"/>
    <s v="T5"/>
    <m/>
    <m/>
    <s v="R"/>
    <m/>
    <n v="0"/>
    <m/>
    <m/>
    <m/>
    <m/>
    <m/>
    <m/>
    <n v="0"/>
    <n v="5000"/>
    <n v="24000000"/>
  </r>
  <r>
    <s v="60A/2019"/>
    <d v="2019-02-18T00:00:00"/>
    <s v="KIỀU THY"/>
    <s v="TH10"/>
    <x v="33"/>
    <x v="15"/>
    <s v="CONCADOR "/>
    <m/>
    <s v="16.18"/>
    <n v="200"/>
    <s v="NL2018"/>
    <m/>
    <n v="50"/>
    <n v="10000"/>
    <x v="83"/>
    <n v="51700000"/>
    <x v="4"/>
    <d v="2019-04-17T00:00:00"/>
    <d v="2019-05-21T00:00:00"/>
    <d v="2019-05-21T00:00:00"/>
    <s v="11/4AL"/>
    <m/>
    <m/>
    <s v="R"/>
    <d v="2019-06-03T00:00:00"/>
    <n v="6000"/>
    <m/>
    <m/>
    <m/>
    <m/>
    <m/>
    <m/>
    <n v="6000"/>
    <n v="4000"/>
    <n v="20680000"/>
  </r>
  <r>
    <s v="60A/2019"/>
    <d v="2019-02-18T00:00:00"/>
    <s v="KIỀU THY"/>
    <s v="TH10"/>
    <x v="33"/>
    <x v="22"/>
    <s v="ROBINA"/>
    <m/>
    <s v="16.18"/>
    <n v="200"/>
    <s v="NL2018"/>
    <m/>
    <n v="50"/>
    <n v="10000"/>
    <x v="84"/>
    <n v="49700000"/>
    <x v="4"/>
    <d v="2019-04-17T00:00:00"/>
    <d v="2019-05-21T00:00:00"/>
    <d v="2019-05-21T00:00:00"/>
    <s v="11/4AL"/>
    <m/>
    <m/>
    <s v="R"/>
    <d v="2019-06-03T00:00:00"/>
    <n v="6000"/>
    <m/>
    <m/>
    <m/>
    <m/>
    <m/>
    <m/>
    <n v="6000"/>
    <n v="4000"/>
    <n v="19880000"/>
  </r>
  <r>
    <s v="22A/2019"/>
    <d v="2019-05-22T00:00:00"/>
    <s v="KIỀU THY"/>
    <s v="TH10"/>
    <x v="33"/>
    <x v="22"/>
    <s v="ROBINA"/>
    <m/>
    <s v="16.18"/>
    <n v="200"/>
    <s v="NL2018"/>
    <m/>
    <n v="30"/>
    <n v="6000"/>
    <x v="11"/>
    <n v="32400000"/>
    <x v="0"/>
    <d v="2019-04-17T00:00:00"/>
    <d v="2019-05-21T00:00:00"/>
    <d v="2019-05-21T00:00:00"/>
    <s v="11/4AL"/>
    <m/>
    <m/>
    <s v="R"/>
    <m/>
    <m/>
    <d v="2019-06-03T00:00:00"/>
    <n v="6000"/>
    <m/>
    <m/>
    <m/>
    <m/>
    <n v="6000"/>
    <n v="0"/>
    <n v="0"/>
  </r>
  <r>
    <s v="60A/2019"/>
    <d v="2019-02-18T00:00:00"/>
    <s v="KIỀU THY"/>
    <s v="TH10"/>
    <x v="33"/>
    <x v="15"/>
    <s v="CONCADOR "/>
    <m/>
    <s v="16.18"/>
    <n v="200"/>
    <s v="NL2018"/>
    <m/>
    <n v="35"/>
    <n v="7000"/>
    <x v="0"/>
    <n v="32900000"/>
    <x v="0"/>
    <s v="30-Feb-19"/>
    <d v="2019-04-04T00:00:00"/>
    <d v="2019-04-04T00:00:00"/>
    <s v="30/2AL. 7.000 củ/ 2 tuần"/>
    <s v="CONT 17/2019"/>
    <d v="2019-03-31T00:00:00"/>
    <s v="R"/>
    <d v="2019-04-12T00:00:00"/>
    <n v="7000"/>
    <m/>
    <m/>
    <m/>
    <m/>
    <m/>
    <m/>
    <n v="7000"/>
    <n v="0"/>
    <n v="0"/>
  </r>
  <r>
    <s v="60A/2019"/>
    <d v="2019-02-18T00:00:00"/>
    <s v="KIỀU THY"/>
    <s v="TH10"/>
    <x v="33"/>
    <x v="22"/>
    <s v="ROBINA"/>
    <m/>
    <s v="16.18"/>
    <n v="200"/>
    <s v="NL2018"/>
    <m/>
    <n v="40"/>
    <n v="8000"/>
    <x v="23"/>
    <n v="38400000"/>
    <x v="0"/>
    <s v="30-Feb-19"/>
    <d v="2019-04-04T00:00:00"/>
    <d v="2019-04-04T00:00:00"/>
    <s v="30/2AL"/>
    <s v="CONT 15/2019"/>
    <d v="2019-03-31T00:00:00"/>
    <s v="R"/>
    <d v="2019-04-12T00:00:00"/>
    <n v="8000"/>
    <m/>
    <m/>
    <m/>
    <m/>
    <m/>
    <m/>
    <n v="8000"/>
    <n v="0"/>
    <n v="0"/>
  </r>
  <r>
    <s v="61A/2019"/>
    <d v="2019-02-18T00:00:00"/>
    <s v="KIỀU THY"/>
    <s v="TH10"/>
    <x v="33"/>
    <x v="25"/>
    <s v="CONCADOR"/>
    <m/>
    <s v="18.20"/>
    <n v="150"/>
    <s v="NL2018"/>
    <m/>
    <n v="34"/>
    <n v="5100"/>
    <x v="35"/>
    <n v="36720000"/>
    <x v="2"/>
    <d v="2019-09-01T00:00:00"/>
    <d v="2019-09-29T00:00:00"/>
    <d v="2019-09-29T00:00:00"/>
    <s v="TẾT"/>
    <m/>
    <m/>
    <s v="R"/>
    <m/>
    <n v="0"/>
    <m/>
    <m/>
    <m/>
    <m/>
    <m/>
    <m/>
    <n v="0"/>
    <n v="5100"/>
    <n v="36720000"/>
  </r>
  <r>
    <s v="61A/2019"/>
    <d v="2019-02-18T00:00:00"/>
    <s v="KIỀU THY"/>
    <s v="TH10"/>
    <x v="33"/>
    <x v="6"/>
    <s v="CONCADOR"/>
    <m/>
    <s v="20.22"/>
    <n v="125"/>
    <s v="NL2018"/>
    <m/>
    <n v="64"/>
    <n v="8000"/>
    <x v="59"/>
    <n v="84000000"/>
    <x v="2"/>
    <d v="2019-09-01T00:00:00"/>
    <d v="2019-09-29T00:00:00"/>
    <d v="2019-09-29T00:00:00"/>
    <s v="TẾT"/>
    <m/>
    <m/>
    <s v="R"/>
    <m/>
    <n v="0"/>
    <m/>
    <m/>
    <m/>
    <m/>
    <m/>
    <m/>
    <n v="0"/>
    <n v="8000"/>
    <n v="84000000"/>
  </r>
  <r>
    <s v="61A/2019"/>
    <d v="2019-02-18T00:00:00"/>
    <s v="KIỀU THY"/>
    <s v="TH10"/>
    <x v="33"/>
    <x v="46"/>
    <s v="CONCADOR"/>
    <m/>
    <s v="22.24"/>
    <n v="100"/>
    <s v="NL2018"/>
    <m/>
    <n v="50"/>
    <n v="5000"/>
    <x v="29"/>
    <n v="62500000"/>
    <x v="2"/>
    <d v="2019-09-01T00:00:00"/>
    <d v="2019-09-29T00:00:00"/>
    <d v="2019-09-29T00:00:00"/>
    <s v="TẾT"/>
    <m/>
    <m/>
    <s v="R"/>
    <m/>
    <n v="0"/>
    <m/>
    <m/>
    <m/>
    <m/>
    <m/>
    <m/>
    <n v="0"/>
    <n v="5000"/>
    <n v="62500000"/>
  </r>
  <r>
    <s v="61A/2019"/>
    <d v="2019-02-18T00:00:00"/>
    <s v="KIỀU THY"/>
    <s v="TH10"/>
    <x v="33"/>
    <x v="37"/>
    <s v="PROFUNDO"/>
    <m/>
    <s v="20.22"/>
    <n v="125"/>
    <s v="NL2018"/>
    <m/>
    <n v="24"/>
    <n v="3000"/>
    <x v="40"/>
    <n v="39000000"/>
    <x v="2"/>
    <d v="2019-09-01T00:00:00"/>
    <d v="2019-09-29T00:00:00"/>
    <d v="2019-09-29T00:00:00"/>
    <s v="TẾT"/>
    <m/>
    <m/>
    <s v="R"/>
    <m/>
    <n v="0"/>
    <m/>
    <m/>
    <m/>
    <m/>
    <m/>
    <m/>
    <n v="0"/>
    <n v="3000"/>
    <n v="39000000"/>
  </r>
  <r>
    <s v="61A/2019"/>
    <d v="2019-02-18T00:00:00"/>
    <s v="KIỀU THY"/>
    <s v="TH10"/>
    <x v="33"/>
    <x v="47"/>
    <s v="ROBINA"/>
    <m/>
    <s v="18.20"/>
    <n v="150"/>
    <s v="NL2018"/>
    <m/>
    <n v="34"/>
    <n v="5100"/>
    <x v="35"/>
    <n v="36720000"/>
    <x v="2"/>
    <d v="2019-09-01T00:00:00"/>
    <d v="2019-09-29T00:00:00"/>
    <d v="2019-09-29T00:00:00"/>
    <s v="TẾT"/>
    <m/>
    <m/>
    <s v="R"/>
    <m/>
    <n v="0"/>
    <m/>
    <m/>
    <m/>
    <m/>
    <m/>
    <m/>
    <n v="0"/>
    <n v="5100"/>
    <n v="36720000"/>
  </r>
  <r>
    <s v="61A/2019"/>
    <d v="2019-02-18T00:00:00"/>
    <s v="KIỀU THY"/>
    <s v="TH10"/>
    <x v="33"/>
    <x v="26"/>
    <s v="ROBINA"/>
    <m/>
    <s v="22.24"/>
    <n v="100"/>
    <s v="NL2018"/>
    <m/>
    <n v="50"/>
    <n v="5000"/>
    <x v="29"/>
    <n v="62500000"/>
    <x v="2"/>
    <d v="2019-09-01T00:00:00"/>
    <d v="2019-09-29T00:00:00"/>
    <d v="2019-09-29T00:00:00"/>
    <s v="TẾT"/>
    <m/>
    <m/>
    <s v="R"/>
    <m/>
    <n v="0"/>
    <m/>
    <m/>
    <m/>
    <m/>
    <m/>
    <m/>
    <n v="0"/>
    <n v="5000"/>
    <n v="62500000"/>
  </r>
  <r>
    <s v="149A/2019"/>
    <d v="2019-03-26T00:00:00"/>
    <s v="KIỀU THY"/>
    <s v="DT02"/>
    <x v="34"/>
    <x v="25"/>
    <s v="CONCADOR"/>
    <m/>
    <s v="18.20"/>
    <s v="150"/>
    <s v="NL2018"/>
    <m/>
    <n v="14"/>
    <n v="2100"/>
    <x v="35"/>
    <n v="15120000"/>
    <x v="2"/>
    <d v="2019-09-01T00:00:00"/>
    <d v="2019-09-29T00:00:00"/>
    <d v="2019-09-29T00:00:00"/>
    <s v="TẾT"/>
    <m/>
    <m/>
    <m/>
    <m/>
    <m/>
    <m/>
    <m/>
    <m/>
    <m/>
    <m/>
    <m/>
    <n v="0"/>
    <n v="2100"/>
    <n v="15120000"/>
  </r>
  <r>
    <s v="149A/2019"/>
    <d v="2019-03-26T00:00:00"/>
    <s v="KIỀU THY"/>
    <s v="DT02"/>
    <x v="34"/>
    <x v="6"/>
    <s v="CONCADOR"/>
    <m/>
    <s v="20.22"/>
    <s v="125"/>
    <s v="NL2018"/>
    <m/>
    <n v="72"/>
    <n v="9000"/>
    <x v="59"/>
    <n v="94500000"/>
    <x v="2"/>
    <d v="2019-09-01T00:00:00"/>
    <d v="2019-09-29T00:00:00"/>
    <d v="2019-09-29T00:00:00"/>
    <s v="TẾT"/>
    <m/>
    <m/>
    <m/>
    <m/>
    <m/>
    <m/>
    <m/>
    <m/>
    <m/>
    <m/>
    <m/>
    <n v="0"/>
    <n v="9000"/>
    <n v="94500000"/>
  </r>
  <r>
    <s v="149A/2019"/>
    <d v="2019-03-26T00:00:00"/>
    <s v="KIỀU THY"/>
    <s v="DT02"/>
    <x v="34"/>
    <x v="26"/>
    <s v="ROBINA"/>
    <m/>
    <s v="22.24"/>
    <s v="100"/>
    <s v="NL2018"/>
    <m/>
    <n v="60"/>
    <n v="6000"/>
    <x v="29"/>
    <n v="75000000"/>
    <x v="2"/>
    <d v="2019-09-01T00:00:00"/>
    <d v="2019-09-29T00:00:00"/>
    <d v="2019-09-29T00:00:00"/>
    <s v="TẾT"/>
    <m/>
    <m/>
    <m/>
    <m/>
    <m/>
    <m/>
    <m/>
    <m/>
    <m/>
    <m/>
    <m/>
    <n v="0"/>
    <n v="6000"/>
    <n v="75000000"/>
  </r>
  <r>
    <s v="102A/2019"/>
    <d v="2019-03-11T00:00:00"/>
    <s v="KIỀU THY"/>
    <s v="NH04"/>
    <x v="35"/>
    <x v="4"/>
    <s v="TEBALDI"/>
    <m/>
    <s v="14.16"/>
    <n v="300"/>
    <s v="NL2018"/>
    <m/>
    <n v="0"/>
    <n v="0"/>
    <x v="1"/>
    <n v="0"/>
    <x v="1"/>
    <d v="2019-04-17T00:00:00"/>
    <d v="2019-05-21T00:00:00"/>
    <d v="2019-05-21T00:00:00"/>
    <s v="15/4AL, trồng rằm T7"/>
    <m/>
    <m/>
    <m/>
    <m/>
    <n v="0"/>
    <m/>
    <m/>
    <m/>
    <m/>
    <m/>
    <m/>
    <n v="0"/>
    <n v="0"/>
    <n v="0"/>
  </r>
  <r>
    <s v="102A/2019"/>
    <d v="2019-03-11T00:00:00"/>
    <s v="KIỀU THY"/>
    <s v="NH04"/>
    <x v="35"/>
    <x v="28"/>
    <s v="YELLOWEEN"/>
    <m/>
    <s v="14.16"/>
    <n v="300"/>
    <s v="NL2018"/>
    <m/>
    <n v="0"/>
    <n v="0"/>
    <x v="6"/>
    <n v="0"/>
    <x v="1"/>
    <d v="2019-04-17T00:00:00"/>
    <d v="2019-05-21T00:00:00"/>
    <d v="2019-05-21T00:00:00"/>
    <s v="15/4AL, trồng rằm T7"/>
    <m/>
    <m/>
    <m/>
    <m/>
    <n v="0"/>
    <m/>
    <m/>
    <m/>
    <m/>
    <m/>
    <m/>
    <n v="0"/>
    <n v="0"/>
    <n v="0"/>
  </r>
  <r>
    <s v="103A/2019"/>
    <d v="2019-03-11T00:00:00"/>
    <s v="KIỀU THY"/>
    <s v="NH04"/>
    <x v="35"/>
    <x v="6"/>
    <s v="CONCADOR"/>
    <m/>
    <s v="20.22"/>
    <n v="125"/>
    <s v="NL2018"/>
    <m/>
    <n v="40"/>
    <n v="5000"/>
    <x v="59"/>
    <n v="52500000"/>
    <x v="2"/>
    <d v="2019-09-01T00:00:00"/>
    <d v="2019-09-29T00:00:00"/>
    <d v="2019-09-29T00:00:00"/>
    <s v="TẾT"/>
    <m/>
    <m/>
    <m/>
    <m/>
    <n v="0"/>
    <m/>
    <m/>
    <m/>
    <m/>
    <m/>
    <m/>
    <n v="0"/>
    <n v="5000"/>
    <n v="52500000"/>
  </r>
  <r>
    <s v="103A/2019"/>
    <d v="2019-03-11T00:00:00"/>
    <s v="KIỀU THY"/>
    <s v="NH04"/>
    <x v="35"/>
    <x v="85"/>
    <s v="DALIAN"/>
    <m/>
    <s v="20.22"/>
    <n v="125"/>
    <s v="NL2018"/>
    <m/>
    <n v="80"/>
    <n v="10000"/>
    <x v="85"/>
    <n v="142000000"/>
    <x v="2"/>
    <d v="2019-09-01T00:00:00"/>
    <d v="2019-09-29T00:00:00"/>
    <d v="2019-09-29T00:00:00"/>
    <s v="TẾT"/>
    <m/>
    <m/>
    <m/>
    <m/>
    <n v="0"/>
    <m/>
    <m/>
    <m/>
    <m/>
    <m/>
    <m/>
    <n v="0"/>
    <n v="10000"/>
    <n v="142000000"/>
  </r>
  <r>
    <s v="103A/2019"/>
    <d v="2019-03-11T00:00:00"/>
    <s v="KIỀU THY"/>
    <s v="NH04"/>
    <x v="35"/>
    <x v="27"/>
    <s v="MANISSA"/>
    <m/>
    <s v="24+"/>
    <n v="75"/>
    <s v="NL2018"/>
    <m/>
    <n v="200"/>
    <n v="15000"/>
    <x v="30"/>
    <n v="240000000"/>
    <x v="2"/>
    <d v="2019-09-01T00:00:00"/>
    <d v="2019-09-29T00:00:00"/>
    <d v="2019-09-29T00:00:00"/>
    <s v="TẾT"/>
    <m/>
    <m/>
    <m/>
    <m/>
    <n v="0"/>
    <m/>
    <m/>
    <m/>
    <m/>
    <m/>
    <m/>
    <n v="0"/>
    <n v="15000"/>
    <n v="240000000"/>
  </r>
  <r>
    <s v="59A/2019"/>
    <d v="2019-02-18T00:00:00"/>
    <s v="KIỀU THY"/>
    <s v="NH04"/>
    <x v="35"/>
    <x v="18"/>
    <s v="STENDHAL"/>
    <m/>
    <s v="16.18"/>
    <n v="200"/>
    <s v="NL2017"/>
    <m/>
    <n v="5"/>
    <n v="1000"/>
    <x v="18"/>
    <n v="5000000"/>
    <x v="0"/>
    <d v="2019-02-15T00:00:00"/>
    <d v="2019-03-20T00:00:00"/>
    <d v="2019-03-20T00:00:00"/>
    <s v="15/2AL"/>
    <s v="CONT 87/2018"/>
    <m/>
    <s v="R"/>
    <d v="2019-03-19T00:00:00"/>
    <n v="1000"/>
    <m/>
    <m/>
    <m/>
    <m/>
    <m/>
    <m/>
    <n v="1000"/>
    <n v="0"/>
    <n v="0"/>
  </r>
  <r>
    <s v="59A/2019"/>
    <d v="2019-02-18T00:00:00"/>
    <s v="KIỀU THY"/>
    <s v="NH04"/>
    <x v="35"/>
    <x v="86"/>
    <s v="STENDHAL"/>
    <m/>
    <s v="18.20"/>
    <n v="150"/>
    <s v="NL2017"/>
    <m/>
    <n v="4"/>
    <n v="600"/>
    <x v="44"/>
    <n v="3300000"/>
    <x v="0"/>
    <d v="2019-02-15T00:00:00"/>
    <d v="2019-03-20T00:00:00"/>
    <d v="2019-03-20T00:00:00"/>
    <s v="15/2AL"/>
    <s v="CONT 87/2018"/>
    <m/>
    <s v="R"/>
    <d v="2019-03-19T00:00:00"/>
    <n v="600"/>
    <m/>
    <m/>
    <m/>
    <m/>
    <m/>
    <m/>
    <n v="600"/>
    <n v="0"/>
    <n v="0"/>
  </r>
  <r>
    <s v="59A/2019"/>
    <d v="2019-02-18T00:00:00"/>
    <s v="KIỀU THY"/>
    <s v="NH04"/>
    <x v="35"/>
    <x v="38"/>
    <s v="YELLOWEEN"/>
    <m/>
    <s v="16.18"/>
    <n v="200"/>
    <s v="NL2018"/>
    <m/>
    <n v="25"/>
    <n v="5000"/>
    <x v="18"/>
    <n v="25000000"/>
    <x v="0"/>
    <d v="2019-01-15T00:00:00"/>
    <d v="2019-02-19T00:00:00"/>
    <d v="2019-02-19T00:00:00"/>
    <s v="15/1AL"/>
    <m/>
    <m/>
    <s v="R"/>
    <d v="2019-03-19T00:00:00"/>
    <n v="5000"/>
    <m/>
    <m/>
    <m/>
    <m/>
    <m/>
    <m/>
    <n v="5000"/>
    <n v="0"/>
    <n v="0"/>
  </r>
  <r>
    <s v="126A/2019"/>
    <d v="2019-02-13T00:00:00"/>
    <s v="KIỀU THY"/>
    <s v="DM01"/>
    <x v="36"/>
    <x v="6"/>
    <s v="CONCADOR"/>
    <m/>
    <s v="20.22"/>
    <n v="125"/>
    <s v="NL2018"/>
    <m/>
    <n v="120"/>
    <n v="15000"/>
    <x v="59"/>
    <n v="157500000"/>
    <x v="2"/>
    <d v="2019-09-01T00:00:00"/>
    <d v="2019-09-29T00:00:00"/>
    <d v="2019-09-29T00:00:00"/>
    <s v="TẾT"/>
    <m/>
    <m/>
    <m/>
    <m/>
    <n v="0"/>
    <m/>
    <m/>
    <m/>
    <m/>
    <m/>
    <m/>
    <n v="0"/>
    <n v="15000"/>
    <n v="157500000"/>
  </r>
  <r>
    <s v="126A/2019"/>
    <d v="2019-02-13T00:00:00"/>
    <s v="KIỀU THY"/>
    <s v="DM01"/>
    <x v="36"/>
    <x v="16"/>
    <s v="ROBINA"/>
    <m/>
    <s v="20.22"/>
    <n v="125"/>
    <s v="NL2018"/>
    <m/>
    <n v="120"/>
    <n v="15000"/>
    <x v="59"/>
    <n v="157500000"/>
    <x v="2"/>
    <d v="2019-09-01T00:00:00"/>
    <d v="2019-09-29T00:00:00"/>
    <d v="2019-09-29T00:00:00"/>
    <s v="TẾT"/>
    <m/>
    <m/>
    <m/>
    <m/>
    <n v="0"/>
    <m/>
    <m/>
    <m/>
    <m/>
    <m/>
    <m/>
    <n v="0"/>
    <n v="15000"/>
    <n v="157500000"/>
  </r>
  <r>
    <s v="48A/2019"/>
    <d v="2019-02-13T00:00:00"/>
    <s v="KIỀU THY"/>
    <s v="DM01"/>
    <x v="36"/>
    <x v="73"/>
    <s v="YELLOWEEN"/>
    <m/>
    <s v="14.16"/>
    <n v="300"/>
    <s v="NL2017"/>
    <m/>
    <n v="84"/>
    <n v="25200"/>
    <x v="17"/>
    <n v="75600000"/>
    <x v="0"/>
    <d v="2019-02-07T00:00:00"/>
    <d v="2019-03-12T00:00:00"/>
    <d v="2019-03-12T00:00:00"/>
    <s v="7/2AL"/>
    <s v="CONT 87/2018"/>
    <m/>
    <s v="R"/>
    <d v="2019-02-13T00:00:00"/>
    <n v="15900"/>
    <d v="2019-03-14T00:00:00"/>
    <n v="9000"/>
    <d v="2019-03-18T00:00:00"/>
    <n v="300"/>
    <m/>
    <m/>
    <n v="25200"/>
    <n v="0"/>
    <n v="0"/>
  </r>
  <r>
    <s v="48A/2019"/>
    <d v="2019-02-13T00:00:00"/>
    <s v="KIỀU THY"/>
    <s v="DM01"/>
    <x v="36"/>
    <x v="28"/>
    <s v="YELLOWEEN"/>
    <m/>
    <s v="14.16"/>
    <n v="300"/>
    <s v="NL2018"/>
    <m/>
    <n v="45"/>
    <n v="13500"/>
    <x v="6"/>
    <n v="51300000"/>
    <x v="0"/>
    <d v="2019-03-15T00:00:00"/>
    <d v="2019-04-19T00:00:00"/>
    <d v="2019-04-19T00:00:00"/>
    <s v="15/3AL"/>
    <s v="CONT 12/2019"/>
    <d v="2019-03-17T00:00:00"/>
    <s v="R"/>
    <d v="2019-05-19T00:00:00"/>
    <n v="3900"/>
    <d v="2019-06-03T00:00:00"/>
    <n v="9600"/>
    <m/>
    <m/>
    <m/>
    <m/>
    <n v="13500"/>
    <n v="0"/>
    <n v="0"/>
  </r>
  <r>
    <s v="48A/2019"/>
    <d v="2019-05-24T00:00:00"/>
    <s v="KIỀU THY"/>
    <s v="DM01"/>
    <x v="36"/>
    <x v="62"/>
    <s v="BACARDI"/>
    <m/>
    <s v="15.16"/>
    <n v="300"/>
    <s v="NL2018"/>
    <m/>
    <n v="30"/>
    <n v="9000"/>
    <x v="13"/>
    <n v="40500000"/>
    <x v="0"/>
    <d v="2019-03-15T00:00:00"/>
    <d v="2019-04-19T00:00:00"/>
    <d v="2019-04-19T00:00:00"/>
    <m/>
    <m/>
    <m/>
    <m/>
    <d v="2019-06-17T00:00:00"/>
    <n v="9000"/>
    <m/>
    <m/>
    <m/>
    <m/>
    <m/>
    <m/>
    <n v="9000"/>
    <n v="0"/>
    <n v="0"/>
  </r>
  <r>
    <s v="48A/2019"/>
    <d v="2019-06-15T00:00:00"/>
    <s v="KIỀU THY"/>
    <s v="DM01"/>
    <x v="36"/>
    <x v="28"/>
    <s v="YELLOWEEN"/>
    <m/>
    <s v="14.16"/>
    <n v="300"/>
    <s v="NL2018"/>
    <m/>
    <n v="38"/>
    <n v="11400"/>
    <x v="57"/>
    <n v="45600000"/>
    <x v="3"/>
    <d v="2019-06-15T00:00:00"/>
    <d v="2019-07-17T00:00:00"/>
    <d v="2019-07-17T00:00:00"/>
    <m/>
    <m/>
    <m/>
    <m/>
    <m/>
    <m/>
    <m/>
    <m/>
    <m/>
    <m/>
    <m/>
    <m/>
    <n v="0"/>
    <n v="11400"/>
    <n v="45600000"/>
  </r>
  <r>
    <s v="48A/2019"/>
    <d v="2019-04-24T00:00:00"/>
    <s v="KIỀU THY"/>
    <s v="DM01"/>
    <x v="36"/>
    <x v="15"/>
    <s v="CONCADOR"/>
    <m/>
    <s v="16.18"/>
    <n v="200"/>
    <s v="NL2018"/>
    <m/>
    <n v="1"/>
    <n v="200"/>
    <x v="42"/>
    <n v="1260000"/>
    <x v="0"/>
    <d v="2019-03-15T00:00:00"/>
    <d v="2019-04-19T00:00:00"/>
    <d v="2019-04-19T00:00:00"/>
    <s v="15/3AL"/>
    <m/>
    <m/>
    <m/>
    <d v="2019-04-24T00:00:00"/>
    <n v="200"/>
    <m/>
    <m/>
    <m/>
    <m/>
    <m/>
    <m/>
    <n v="200"/>
    <n v="0"/>
    <n v="0"/>
  </r>
  <r>
    <s v="48A/2019"/>
    <d v="2019-02-13T00:00:00"/>
    <s v="KIỀU THY"/>
    <s v="DM01"/>
    <x v="36"/>
    <x v="28"/>
    <s v="YELLOWEEN"/>
    <m/>
    <s v="14.16"/>
    <n v="300"/>
    <s v="NL2018"/>
    <m/>
    <n v="33"/>
    <n v="9900"/>
    <x v="6"/>
    <n v="37620000"/>
    <x v="0"/>
    <s v="30-Feb-19"/>
    <d v="2019-04-04T00:00:00"/>
    <d v="2019-04-04T00:00:00"/>
    <s v="30/2AL"/>
    <s v="CONT 14/2019"/>
    <d v="2019-03-31T00:00:00"/>
    <s v="R"/>
    <d v="2019-04-15T00:00:00"/>
    <n v="9900"/>
    <m/>
    <m/>
    <m/>
    <m/>
    <m/>
    <m/>
    <n v="9900"/>
    <n v="0"/>
    <n v="0"/>
  </r>
  <r>
    <s v="48A/2019"/>
    <d v="2019-02-13T00:00:00"/>
    <s v="KIỀU THY"/>
    <s v="DM01"/>
    <x v="36"/>
    <x v="47"/>
    <s v="ROBINA"/>
    <m/>
    <s v="18.20"/>
    <n v="150"/>
    <s v="NL2018"/>
    <m/>
    <n v="67"/>
    <n v="10050"/>
    <x v="43"/>
    <n v="65325000"/>
    <x v="0"/>
    <d v="2019-03-15T00:00:00"/>
    <d v="2019-04-19T00:00:00"/>
    <d v="2019-04-19T00:00:00"/>
    <s v="15/3AL"/>
    <m/>
    <m/>
    <m/>
    <d v="2019-04-23T00:00:00"/>
    <n v="10050"/>
    <m/>
    <m/>
    <m/>
    <m/>
    <m/>
    <m/>
    <n v="10050"/>
    <n v="0"/>
    <n v="0"/>
  </r>
  <r>
    <s v="48A/2019"/>
    <d v="2019-02-13T00:00:00"/>
    <s v="KIỀU THY"/>
    <s v="DM01"/>
    <x v="36"/>
    <x v="47"/>
    <s v="ROBINA"/>
    <m/>
    <s v="18.20"/>
    <n v="150"/>
    <s v="NL2018"/>
    <m/>
    <n v="67"/>
    <n v="10050"/>
    <x v="43"/>
    <n v="65325000"/>
    <x v="0"/>
    <d v="2019-04-17T00:00:00"/>
    <d v="2019-05-21T00:00:00"/>
    <d v="2019-05-21T00:00:00"/>
    <m/>
    <m/>
    <m/>
    <m/>
    <d v="2019-05-19T00:00:00"/>
    <n v="10050"/>
    <m/>
    <m/>
    <m/>
    <m/>
    <m/>
    <m/>
    <n v="10050"/>
    <n v="0"/>
    <n v="0"/>
  </r>
  <r>
    <s v="108A/2019"/>
    <d v="2019-03-12T00:00:00"/>
    <s v="KIỀU THY"/>
    <s v="VT11"/>
    <x v="37"/>
    <x v="46"/>
    <s v="CONCADOR"/>
    <m/>
    <s v="22.24"/>
    <n v="100"/>
    <s v="NL2018"/>
    <m/>
    <n v="100"/>
    <n v="10000"/>
    <x v="29"/>
    <n v="125000000"/>
    <x v="2"/>
    <d v="2019-09-01T00:00:00"/>
    <d v="2019-09-29T00:00:00"/>
    <d v="2019-09-29T00:00:00"/>
    <s v="TẾT"/>
    <m/>
    <m/>
    <m/>
    <m/>
    <n v="0"/>
    <m/>
    <m/>
    <m/>
    <m/>
    <m/>
    <m/>
    <n v="0"/>
    <n v="10000"/>
    <n v="125000000"/>
  </r>
  <r>
    <s v="108A/2019"/>
    <d v="2019-03-12T00:00:00"/>
    <s v="KIỀU THY"/>
    <s v="VT11"/>
    <x v="37"/>
    <x v="15"/>
    <s v="CONCADOR "/>
    <m/>
    <s v="16.18"/>
    <n v="200"/>
    <s v="NL2018"/>
    <m/>
    <n v="77"/>
    <n v="15400"/>
    <x v="21"/>
    <n v="70840000"/>
    <x v="0"/>
    <d v="2019-01-15T00:00:00"/>
    <d v="2019-02-19T00:00:00"/>
    <d v="2019-02-19T00:00:00"/>
    <s v="15/1AL"/>
    <m/>
    <m/>
    <s v="R"/>
    <d v="2019-03-04T00:00:00"/>
    <n v="9000"/>
    <d v="2019-03-07T00:00:00"/>
    <n v="6400"/>
    <m/>
    <m/>
    <m/>
    <m/>
    <n v="15400"/>
    <n v="0"/>
    <n v="0"/>
  </r>
  <r>
    <s v="108A/2019"/>
    <d v="2019-03-12T00:00:00"/>
    <s v="KIỀU THY"/>
    <s v="VT11"/>
    <x v="37"/>
    <x v="87"/>
    <s v="PROFUNDO"/>
    <m/>
    <s v="22.24"/>
    <n v="100"/>
    <s v="NL2018"/>
    <m/>
    <n v="60"/>
    <n v="6000"/>
    <x v="85"/>
    <n v="85200000"/>
    <x v="2"/>
    <d v="2019-09-01T00:00:00"/>
    <d v="2019-09-29T00:00:00"/>
    <d v="2019-09-29T00:00:00"/>
    <s v="TẾT"/>
    <m/>
    <m/>
    <m/>
    <m/>
    <n v="0"/>
    <m/>
    <m/>
    <m/>
    <m/>
    <m/>
    <m/>
    <n v="0"/>
    <n v="6000"/>
    <n v="85200000"/>
  </r>
  <r>
    <s v="108A/2019"/>
    <d v="2019-03-12T00:00:00"/>
    <s v="KIỀU THY"/>
    <s v="VT11"/>
    <x v="37"/>
    <x v="26"/>
    <s v="ROBINA"/>
    <m/>
    <s v="22.24"/>
    <n v="100"/>
    <s v="NL2018"/>
    <m/>
    <n v="60"/>
    <n v="6000"/>
    <x v="29"/>
    <n v="75000000"/>
    <x v="2"/>
    <d v="2019-09-01T00:00:00"/>
    <d v="2019-09-29T00:00:00"/>
    <d v="2019-09-29T00:00:00"/>
    <s v="TẾT"/>
    <m/>
    <m/>
    <m/>
    <m/>
    <n v="0"/>
    <m/>
    <m/>
    <m/>
    <m/>
    <m/>
    <m/>
    <n v="0"/>
    <n v="6000"/>
    <n v="75000000"/>
  </r>
  <r>
    <s v="161A/2018"/>
    <d v="2019-04-01T00:00:00"/>
    <s v="KIỀU THY"/>
    <s v="VM03"/>
    <x v="38"/>
    <x v="31"/>
    <s v="TARRANGO"/>
    <m/>
    <s v="14.16"/>
    <s v="300"/>
    <s v="NL2018"/>
    <m/>
    <n v="7"/>
    <n v="2100"/>
    <x v="23"/>
    <n v="10080000"/>
    <x v="0"/>
    <d v="2019-04-17T00:00:00"/>
    <d v="2019-05-21T00:00:00"/>
    <d v="2019-05-21T00:00:00"/>
    <s v="10/4AL"/>
    <m/>
    <m/>
    <m/>
    <d v="2019-05-19T00:00:00"/>
    <n v="2100"/>
    <m/>
    <m/>
    <m/>
    <m/>
    <m/>
    <m/>
    <n v="2100"/>
    <n v="0"/>
    <n v="0"/>
  </r>
  <r>
    <s v="161A/2018"/>
    <d v="2019-04-01T00:00:00"/>
    <s v="KIỀU THY"/>
    <s v="VM03"/>
    <x v="38"/>
    <x v="28"/>
    <s v="YELLOWEEN"/>
    <m/>
    <s v="14.16"/>
    <s v="300"/>
    <s v="NL2018"/>
    <m/>
    <n v="30"/>
    <n v="9000"/>
    <x v="57"/>
    <n v="36000000"/>
    <x v="0"/>
    <d v="2019-04-17T00:00:00"/>
    <d v="2019-05-21T00:00:00"/>
    <d v="2019-05-21T00:00:00"/>
    <s v="10/4AL"/>
    <m/>
    <m/>
    <m/>
    <d v="2019-05-25T00:00:00"/>
    <n v="9000"/>
    <m/>
    <m/>
    <m/>
    <m/>
    <m/>
    <m/>
    <n v="9000"/>
    <n v="0"/>
    <n v="0"/>
  </r>
  <r>
    <s v="152B/2019"/>
    <d v="2019-04-03T00:00:00"/>
    <s v="THANH THÚY"/>
    <s v="VL01"/>
    <x v="39"/>
    <x v="11"/>
    <s v="YELLOWEEN"/>
    <m/>
    <s v="12.14"/>
    <n v="400"/>
    <s v="NL2018"/>
    <m/>
    <n v="26"/>
    <n v="10400"/>
    <x v="47"/>
    <n v="28080000"/>
    <x v="0"/>
    <d v="2019-04-15T00:00:00"/>
    <d v="2019-05-19T00:00:00"/>
    <d v="2019-05-19T00:00:00"/>
    <s v="15/4AL"/>
    <m/>
    <m/>
    <m/>
    <d v="2019-05-29T00:00:00"/>
    <n v="6000"/>
    <d v="2019-06-11T00:00:00"/>
    <n v="4400"/>
    <m/>
    <m/>
    <m/>
    <m/>
    <n v="10400"/>
    <n v="0"/>
    <n v="0"/>
  </r>
  <r>
    <s v="39B/2019"/>
    <d v="2019-02-11T00:00:00"/>
    <s v="THANH THÚY"/>
    <s v="VL01"/>
    <x v="39"/>
    <x v="88"/>
    <s v="CIARA"/>
    <s v="RL"/>
    <s v="12.14"/>
    <n v="350"/>
    <s v="NL2018"/>
    <m/>
    <n v="15"/>
    <n v="5250"/>
    <x v="27"/>
    <n v="42000000"/>
    <x v="0"/>
    <d v="2019-01-15T00:00:00"/>
    <d v="2019-02-19T00:00:00"/>
    <d v="2019-02-19T00:00:00"/>
    <s v="15/1AL"/>
    <m/>
    <m/>
    <m/>
    <d v="2019-03-04T00:00:00"/>
    <n v="5250"/>
    <m/>
    <m/>
    <m/>
    <m/>
    <m/>
    <m/>
    <n v="5250"/>
    <n v="0"/>
    <n v="0"/>
  </r>
  <r>
    <s v="39B/2019"/>
    <d v="2019-02-11T00:00:00"/>
    <s v="THANH THÚY"/>
    <s v="VL01"/>
    <x v="39"/>
    <x v="11"/>
    <s v="YELLOWEEN"/>
    <m/>
    <s v="12.14"/>
    <n v="400"/>
    <s v="NL2018"/>
    <m/>
    <n v="36"/>
    <n v="14400"/>
    <x v="12"/>
    <n v="37440000"/>
    <x v="0"/>
    <d v="2019-01-15T00:00:00"/>
    <d v="2019-02-19T00:00:00"/>
    <d v="2019-02-19T00:00:00"/>
    <s v="15/1AL"/>
    <m/>
    <m/>
    <m/>
    <d v="2019-03-04T00:00:00"/>
    <n v="14400"/>
    <m/>
    <m/>
    <m/>
    <m/>
    <m/>
    <m/>
    <n v="14400"/>
    <n v="0"/>
    <n v="0"/>
  </r>
  <r>
    <s v="39B/2019"/>
    <d v="2019-02-11T00:00:00"/>
    <s v="THANH THÚY"/>
    <s v="VL01"/>
    <x v="39"/>
    <x v="51"/>
    <s v="THALITA"/>
    <s v="RL"/>
    <s v="12.14"/>
    <n v="400"/>
    <s v="NL2018"/>
    <m/>
    <n v="1"/>
    <n v="400"/>
    <x v="27"/>
    <n v="3200000"/>
    <x v="0"/>
    <d v="2019-02-10T00:00:00"/>
    <d v="2019-03-15T00:00:00"/>
    <d v="2019-03-15T00:00:00"/>
    <s v="23/1AL"/>
    <m/>
    <m/>
    <m/>
    <d v="2019-03-15T00:00:00"/>
    <n v="400"/>
    <m/>
    <m/>
    <m/>
    <m/>
    <m/>
    <m/>
    <n v="400"/>
    <n v="0"/>
    <n v="0"/>
  </r>
  <r>
    <s v="39B/2019"/>
    <d v="2019-02-11T00:00:00"/>
    <s v="THANH THÚY"/>
    <s v="VL01"/>
    <x v="39"/>
    <x v="79"/>
    <s v="YELLOWEEN"/>
    <m/>
    <s v="16.18"/>
    <n v="200"/>
    <s v="NL2017"/>
    <m/>
    <n v="10"/>
    <n v="2000"/>
    <x v="6"/>
    <n v="7600000"/>
    <x v="0"/>
    <d v="2019-01-15T00:00:00"/>
    <d v="2019-02-19T00:00:00"/>
    <d v="2019-02-19T00:00:00"/>
    <s v="15/1AL"/>
    <m/>
    <m/>
    <m/>
    <d v="2019-03-04T00:00:00"/>
    <n v="2000"/>
    <m/>
    <m/>
    <m/>
    <m/>
    <m/>
    <m/>
    <n v="2000"/>
    <n v="0"/>
    <n v="0"/>
  </r>
  <r>
    <s v="39B/2019"/>
    <d v="2019-02-11T00:00:00"/>
    <s v="THANH THÚY"/>
    <s v="VL01"/>
    <x v="39"/>
    <x v="79"/>
    <s v="YELLOWEEN"/>
    <m/>
    <s v="16.18"/>
    <n v="200"/>
    <s v="NL2017"/>
    <m/>
    <n v="15"/>
    <n v="3000"/>
    <x v="6"/>
    <n v="11400000"/>
    <x v="0"/>
    <d v="2019-01-15T00:00:00"/>
    <d v="2019-02-19T00:00:00"/>
    <d v="2019-02-19T00:00:00"/>
    <s v="15/1AL"/>
    <m/>
    <m/>
    <m/>
    <d v="2019-03-06T00:00:00"/>
    <n v="3000"/>
    <m/>
    <m/>
    <m/>
    <m/>
    <m/>
    <m/>
    <n v="3000"/>
    <n v="0"/>
    <n v="0"/>
  </r>
  <r>
    <s v="39B/2019"/>
    <d v="2019-02-11T00:00:00"/>
    <s v="THANH THÚY"/>
    <s v="VL01"/>
    <x v="39"/>
    <x v="31"/>
    <s v="TARRANGO"/>
    <m/>
    <s v="14.16"/>
    <n v="300"/>
    <s v="NL2018"/>
    <m/>
    <n v="17"/>
    <n v="5100"/>
    <x v="21"/>
    <n v="23460000"/>
    <x v="0"/>
    <d v="2019-02-15T00:00:00"/>
    <d v="2019-03-20T00:00:00"/>
    <d v="2019-03-20T00:00:00"/>
    <s v="15/2AL"/>
    <s v="CONT 10/2019"/>
    <m/>
    <m/>
    <d v="2019-03-20T00:00:00"/>
    <n v="5100"/>
    <m/>
    <m/>
    <m/>
    <m/>
    <m/>
    <m/>
    <n v="5100"/>
    <n v="0"/>
    <n v="0"/>
  </r>
  <r>
    <s v="39B/2019"/>
    <d v="2019-02-11T00:00:00"/>
    <s v="THANH THÚY"/>
    <s v="VL01"/>
    <x v="39"/>
    <x v="32"/>
    <s v="BACARDI"/>
    <m/>
    <s v="16.18"/>
    <n v="200"/>
    <s v="NL2018"/>
    <m/>
    <n v="20"/>
    <n v="4000"/>
    <x v="42"/>
    <n v="25200000"/>
    <x v="0"/>
    <d v="2019-02-15T00:00:00"/>
    <d v="2019-03-20T00:00:00"/>
    <d v="2019-03-20T00:00:00"/>
    <s v="15/2AL"/>
    <s v="CONT 11/2019"/>
    <m/>
    <m/>
    <d v="2019-03-20T00:00:00"/>
    <n v="4000"/>
    <m/>
    <m/>
    <m/>
    <m/>
    <m/>
    <m/>
    <n v="4000"/>
    <n v="0"/>
    <n v="0"/>
  </r>
  <r>
    <s v="39B/2019"/>
    <d v="2019-02-11T00:00:00"/>
    <s v="THANH THÚY"/>
    <s v="VL01"/>
    <x v="39"/>
    <x v="11"/>
    <s v="YELLOWEEN"/>
    <m/>
    <s v="12.14"/>
    <n v="400"/>
    <s v="NL2018"/>
    <m/>
    <n v="13"/>
    <n v="5200"/>
    <x v="12"/>
    <n v="13520000"/>
    <x v="0"/>
    <d v="2019-02-15T00:00:00"/>
    <d v="2019-03-20T00:00:00"/>
    <d v="2019-03-20T00:00:00"/>
    <s v="15/2AL"/>
    <s v="CONT 12/2019"/>
    <m/>
    <m/>
    <d v="2019-03-20T00:00:00"/>
    <n v="5200"/>
    <m/>
    <m/>
    <m/>
    <m/>
    <m/>
    <m/>
    <n v="5200"/>
    <n v="0"/>
    <n v="0"/>
  </r>
  <r>
    <s v="39B/2019"/>
    <d v="2019-02-11T00:00:00"/>
    <s v="THANH THÚY"/>
    <s v="VL01"/>
    <x v="39"/>
    <x v="10"/>
    <s v="ARVANDRUD"/>
    <m/>
    <s v="16.18"/>
    <n v="200"/>
    <s v="NL2018"/>
    <m/>
    <n v="50"/>
    <n v="10000"/>
    <x v="55"/>
    <n v="53000000"/>
    <x v="0"/>
    <s v="29-Feb-19"/>
    <d v="2019-04-03T00:00:00"/>
    <d v="2019-04-03T00:00:00"/>
    <s v="28/2AL"/>
    <s v="CONT 17/2019"/>
    <m/>
    <m/>
    <d v="2019-04-03T00:00:00"/>
    <n v="10000"/>
    <m/>
    <m/>
    <m/>
    <m/>
    <m/>
    <m/>
    <n v="10000"/>
    <n v="0"/>
    <n v="0"/>
  </r>
  <r>
    <s v="39B/2019"/>
    <d v="2019-02-11T00:00:00"/>
    <s v="THANH THÚY"/>
    <s v="VL01"/>
    <x v="39"/>
    <x v="78"/>
    <s v="NATALIA"/>
    <s v="RL"/>
    <s v="12.14"/>
    <n v="400"/>
    <s v="NL2018"/>
    <m/>
    <n v="8"/>
    <n v="3200"/>
    <x v="27"/>
    <n v="25600000"/>
    <x v="0"/>
    <s v="29-Feb-19"/>
    <d v="2019-04-03T00:00:00"/>
    <d v="2019-04-03T00:00:00"/>
    <s v="28/2AL"/>
    <s v="CONT 17/2019"/>
    <m/>
    <m/>
    <d v="2019-04-03T00:00:00"/>
    <n v="3200"/>
    <m/>
    <m/>
    <m/>
    <m/>
    <m/>
    <m/>
    <n v="3200"/>
    <n v="0"/>
    <n v="0"/>
  </r>
  <r>
    <s v="39B/2019"/>
    <d v="2019-02-11T00:00:00"/>
    <s v="THANH THÚY"/>
    <s v="VL01"/>
    <x v="39"/>
    <x v="31"/>
    <s v="TARRANGO"/>
    <m/>
    <s v="14.16"/>
    <n v="300"/>
    <s v="NL2018"/>
    <m/>
    <n v="34"/>
    <n v="10200"/>
    <x v="21"/>
    <n v="46920000"/>
    <x v="0"/>
    <s v="29-Feb-19"/>
    <d v="2019-04-03T00:00:00"/>
    <d v="2019-04-03T00:00:00"/>
    <s v="28/2AL"/>
    <s v="CONT 17/2019"/>
    <m/>
    <m/>
    <d v="2019-04-03T00:00:00"/>
    <n v="10200"/>
    <m/>
    <m/>
    <m/>
    <m/>
    <m/>
    <m/>
    <n v="10200"/>
    <n v="0"/>
    <n v="0"/>
  </r>
  <r>
    <s v="39B/2019"/>
    <d v="2019-02-11T00:00:00"/>
    <s v="THANH THÚY"/>
    <s v="VL01"/>
    <x v="39"/>
    <x v="51"/>
    <s v="THALITA"/>
    <s v="RL"/>
    <s v="12.14"/>
    <n v="400"/>
    <s v="NL2018"/>
    <m/>
    <n v="5"/>
    <n v="2000"/>
    <x v="27"/>
    <n v="16000000"/>
    <x v="0"/>
    <s v="29-Feb-19"/>
    <d v="2019-04-03T00:00:00"/>
    <d v="2019-04-03T00:00:00"/>
    <s v="28/2AL"/>
    <s v="CONT 17/2019"/>
    <m/>
    <m/>
    <d v="2019-04-03T00:00:00"/>
    <n v="2000"/>
    <m/>
    <m/>
    <m/>
    <m/>
    <m/>
    <m/>
    <n v="2000"/>
    <n v="0"/>
    <n v="0"/>
  </r>
  <r>
    <s v="39B/2019"/>
    <d v="2019-02-11T00:00:00"/>
    <s v="THANH THÚY"/>
    <s v="VL01"/>
    <x v="39"/>
    <x v="11"/>
    <s v="YELLOWEEN"/>
    <m/>
    <s v="12.14"/>
    <n v="400"/>
    <s v="NL2018"/>
    <m/>
    <n v="13"/>
    <n v="5200"/>
    <x v="12"/>
    <n v="13520000"/>
    <x v="0"/>
    <s v="29-Feb-19"/>
    <d v="2019-04-03T00:00:00"/>
    <d v="2019-04-03T00:00:00"/>
    <s v="28/2AL"/>
    <s v="CONT 18/2019"/>
    <m/>
    <m/>
    <d v="2019-04-03T00:00:00"/>
    <n v="5200"/>
    <m/>
    <m/>
    <m/>
    <m/>
    <m/>
    <m/>
    <n v="5200"/>
    <n v="0"/>
    <n v="0"/>
  </r>
  <r>
    <s v="39B/2019"/>
    <d v="2019-02-11T00:00:00"/>
    <s v="THANH THÚY"/>
    <s v="VL01"/>
    <x v="39"/>
    <x v="67"/>
    <s v="INDIANA"/>
    <m/>
    <s v="14.16"/>
    <n v="300"/>
    <s v="NL2018"/>
    <m/>
    <n v="17"/>
    <n v="5100"/>
    <x v="0"/>
    <n v="23970000"/>
    <x v="0"/>
    <s v="29-Feb-19"/>
    <d v="2019-04-03T00:00:00"/>
    <d v="2019-04-03T00:00:00"/>
    <s v="28/2AL"/>
    <s v="CONT 14/2019"/>
    <m/>
    <m/>
    <d v="2019-04-03T00:00:00"/>
    <n v="5100"/>
    <m/>
    <m/>
    <m/>
    <m/>
    <m/>
    <m/>
    <n v="5100"/>
    <n v="0"/>
    <n v="0"/>
  </r>
  <r>
    <s v="152B/2019"/>
    <d v="2019-04-03T00:00:00"/>
    <s v="THANH THÚY"/>
    <s v="VL01"/>
    <x v="39"/>
    <x v="10"/>
    <s v="ARVANDRUD"/>
    <m/>
    <s v="16.18"/>
    <n v="200"/>
    <s v="NL2018"/>
    <m/>
    <n v="65"/>
    <n v="13000"/>
    <x v="55"/>
    <n v="68900000"/>
    <x v="0"/>
    <d v="2019-03-15T00:00:00"/>
    <d v="2019-04-19T00:00:00"/>
    <d v="2019-04-19T00:00:00"/>
    <s v="15/3AL"/>
    <s v="CONT 22/2019"/>
    <m/>
    <m/>
    <d v="2019-04-18T00:00:00"/>
    <n v="13000"/>
    <m/>
    <m/>
    <m/>
    <m/>
    <m/>
    <m/>
    <n v="13000"/>
    <n v="0"/>
    <n v="0"/>
  </r>
  <r>
    <s v="152B/2019"/>
    <d v="2019-04-03T00:00:00"/>
    <s v="THANH THÚY"/>
    <s v="VL01"/>
    <x v="39"/>
    <x v="31"/>
    <s v="TARRANGO"/>
    <m/>
    <s v="14.16"/>
    <n v="300"/>
    <s v="NL2018"/>
    <m/>
    <n v="51"/>
    <n v="15300"/>
    <x v="21"/>
    <n v="70380000"/>
    <x v="0"/>
    <d v="2019-03-15T00:00:00"/>
    <d v="2019-04-19T00:00:00"/>
    <d v="2019-04-19T00:00:00"/>
    <s v="15/3AL"/>
    <s v="CONT 22/2019"/>
    <m/>
    <m/>
    <d v="2019-04-18T00:00:00"/>
    <n v="8400"/>
    <d v="2019-04-26T00:00:00"/>
    <n v="2700"/>
    <d v="2019-04-26T00:00:00"/>
    <n v="4200"/>
    <m/>
    <m/>
    <n v="15300"/>
    <n v="0"/>
    <n v="0"/>
  </r>
  <r>
    <s v="152B/2019"/>
    <d v="2019-04-03T00:00:00"/>
    <s v="THANH THÚY"/>
    <s v="VL01"/>
    <x v="39"/>
    <x v="11"/>
    <s v="YELLOWEEN"/>
    <m/>
    <s v="12.14"/>
    <n v="400"/>
    <s v="NL2018"/>
    <m/>
    <n v="41"/>
    <n v="16400"/>
    <x v="12"/>
    <n v="42640000"/>
    <x v="0"/>
    <d v="2019-03-15T00:00:00"/>
    <d v="2019-04-19T00:00:00"/>
    <d v="2019-04-19T00:00:00"/>
    <s v="15/3AL"/>
    <s v="CONT 24/2019"/>
    <m/>
    <m/>
    <d v="2019-04-18T00:00:00"/>
    <n v="8000"/>
    <d v="2019-04-26T00:00:00"/>
    <n v="2400"/>
    <d v="2019-05-08T00:00:00"/>
    <n v="6000"/>
    <m/>
    <m/>
    <n v="16400"/>
    <n v="0"/>
    <n v="0"/>
  </r>
  <r>
    <s v="152B/2019"/>
    <d v="2019-04-03T00:00:00"/>
    <s v="THANH THÚY"/>
    <s v="VL01"/>
    <x v="39"/>
    <x v="51"/>
    <s v="THALITA"/>
    <s v="RL"/>
    <s v="12.14"/>
    <n v="400"/>
    <s v="NL2018"/>
    <m/>
    <n v="4"/>
    <n v="1600"/>
    <x v="86"/>
    <n v="12900800"/>
    <x v="0"/>
    <m/>
    <s v=""/>
    <s v=""/>
    <m/>
    <s v="CONT 24/2019"/>
    <m/>
    <m/>
    <d v="2019-05-08T00:00:00"/>
    <n v="1600"/>
    <m/>
    <m/>
    <m/>
    <m/>
    <m/>
    <m/>
    <n v="1600"/>
    <n v="0"/>
    <n v="0"/>
  </r>
  <r>
    <s v="152B/2019"/>
    <d v="2019-04-03T00:00:00"/>
    <s v="THANH THÚY"/>
    <s v="VL01"/>
    <x v="39"/>
    <x v="30"/>
    <s v="MALDANO"/>
    <m/>
    <s v="16.18"/>
    <n v="200"/>
    <s v="NL2018"/>
    <m/>
    <n v="50"/>
    <n v="10000"/>
    <x v="18"/>
    <n v="50000000"/>
    <x v="0"/>
    <m/>
    <s v=""/>
    <s v=""/>
    <m/>
    <s v="CONT 24/2019"/>
    <m/>
    <m/>
    <d v="2019-05-08T00:00:00"/>
    <n v="10000"/>
    <m/>
    <m/>
    <m/>
    <m/>
    <m/>
    <m/>
    <n v="10000"/>
    <n v="0"/>
    <n v="0"/>
  </r>
  <r>
    <s v="152B/2019"/>
    <d v="2019-04-03T00:00:00"/>
    <s v="THANH THÚY"/>
    <s v="VL01"/>
    <x v="39"/>
    <x v="10"/>
    <s v="ARVANDRUD"/>
    <m/>
    <s v="16.18"/>
    <n v="200"/>
    <s v="NL2018"/>
    <m/>
    <n v="50"/>
    <n v="10000"/>
    <x v="11"/>
    <n v="54000000"/>
    <x v="4"/>
    <d v="2019-04-15T00:00:00"/>
    <d v="2019-05-19T00:00:00"/>
    <d v="2019-05-19T00:00:00"/>
    <s v="15/4AL"/>
    <m/>
    <m/>
    <m/>
    <m/>
    <m/>
    <m/>
    <m/>
    <m/>
    <m/>
    <m/>
    <m/>
    <n v="0"/>
    <n v="10000"/>
    <n v="54000000"/>
  </r>
  <r>
    <s v="152B/2019"/>
    <d v="2019-06-06T00:00:00"/>
    <s v="THANH THÚY"/>
    <s v="VL01"/>
    <x v="39"/>
    <x v="89"/>
    <s v="TATSJANA"/>
    <s v="RL"/>
    <s v="12.14"/>
    <n v="350"/>
    <s v="NL2018"/>
    <m/>
    <n v="3"/>
    <n v="1050"/>
    <x v="87"/>
    <n v="8492400"/>
    <x v="0"/>
    <d v="2019-05-05T00:00:00"/>
    <d v="2019-06-07T00:00:00"/>
    <d v="2019-06-07T00:00:00"/>
    <m/>
    <m/>
    <m/>
    <m/>
    <d v="2019-06-13T00:00:00"/>
    <n v="1050"/>
    <m/>
    <m/>
    <m/>
    <m/>
    <m/>
    <m/>
    <n v="1050"/>
    <n v="0"/>
    <n v="0"/>
  </r>
  <r>
    <s v="152B/2019"/>
    <d v="2019-04-03T00:00:00"/>
    <s v="THANH THÚY"/>
    <s v="VL01"/>
    <x v="39"/>
    <x v="90"/>
    <s v="CARBONERO"/>
    <m/>
    <s v="16.18"/>
    <n v="200"/>
    <s v="NL2018"/>
    <m/>
    <n v="100"/>
    <n v="20000"/>
    <x v="42"/>
    <n v="126000000"/>
    <x v="0"/>
    <d v="2019-04-15T00:00:00"/>
    <d v="2019-05-19T00:00:00"/>
    <d v="2019-05-19T00:00:00"/>
    <s v="15/4AL"/>
    <m/>
    <m/>
    <m/>
    <d v="2019-05-29T00:00:00"/>
    <n v="12000"/>
    <d v="2019-06-11T00:00:00"/>
    <n v="8000"/>
    <m/>
    <m/>
    <m/>
    <m/>
    <n v="20000"/>
    <n v="0"/>
    <n v="0"/>
  </r>
  <r>
    <s v="152B/2019"/>
    <d v="2019-05-27T00:00:00"/>
    <s v="THANH THÚY"/>
    <s v="VL01"/>
    <x v="39"/>
    <x v="91"/>
    <s v="FERRERO"/>
    <m/>
    <s v="13.14"/>
    <n v="400"/>
    <s v="NL2018"/>
    <m/>
    <n v="8"/>
    <n v="3200"/>
    <x v="13"/>
    <n v="14400000"/>
    <x v="4"/>
    <d v="2019-05-05T00:00:00"/>
    <d v="2019-06-07T00:00:00"/>
    <d v="2019-06-07T00:00:00"/>
    <m/>
    <m/>
    <m/>
    <m/>
    <m/>
    <m/>
    <m/>
    <m/>
    <m/>
    <m/>
    <m/>
    <m/>
    <n v="0"/>
    <n v="3200"/>
    <n v="14400000"/>
  </r>
  <r>
    <s v="152B/2019"/>
    <d v="2019-06-04T00:00:00"/>
    <s v="THANH THÚY"/>
    <s v="VL01"/>
    <x v="39"/>
    <x v="54"/>
    <s v="MALDANO"/>
    <m/>
    <s v="14.16"/>
    <n v="300"/>
    <s v="NL2018"/>
    <m/>
    <n v="33"/>
    <n v="9900"/>
    <x v="57"/>
    <n v="39600000"/>
    <x v="4"/>
    <d v="2019-05-05T00:00:00"/>
    <d v="2019-06-07T00:00:00"/>
    <d v="2019-06-07T00:00:00"/>
    <m/>
    <m/>
    <m/>
    <m/>
    <d v="2019-06-13T00:00:00"/>
    <n v="4200"/>
    <m/>
    <m/>
    <m/>
    <m/>
    <m/>
    <m/>
    <n v="4200"/>
    <n v="5700"/>
    <n v="22800000"/>
  </r>
  <r>
    <s v="152B/2019"/>
    <d v="2019-06-06T00:00:00"/>
    <s v="THANH THÚY"/>
    <s v="VL01"/>
    <x v="39"/>
    <x v="51"/>
    <s v="THALITA"/>
    <s v="RL"/>
    <s v="12.14"/>
    <n v="400"/>
    <s v="NL2018"/>
    <m/>
    <n v="3"/>
    <n v="1200"/>
    <x v="87"/>
    <n v="9705600"/>
    <x v="0"/>
    <d v="2019-05-05T00:00:00"/>
    <d v="2019-06-07T00:00:00"/>
    <d v="2019-06-07T00:00:00"/>
    <m/>
    <m/>
    <m/>
    <m/>
    <d v="2019-06-11T00:00:00"/>
    <n v="1200"/>
    <m/>
    <m/>
    <m/>
    <m/>
    <m/>
    <m/>
    <n v="1200"/>
    <n v="0"/>
    <n v="0"/>
  </r>
  <r>
    <s v="152B/2019"/>
    <d v="2019-06-07T00:00:00"/>
    <s v="THANH THÚY"/>
    <s v="VL01"/>
    <x v="39"/>
    <x v="83"/>
    <s v="ANGELA"/>
    <s v="RL"/>
    <s v="12.14"/>
    <n v="400"/>
    <s v="NL2018"/>
    <m/>
    <n v="6"/>
    <n v="2400"/>
    <x v="87"/>
    <n v="19411200"/>
    <x v="4"/>
    <d v="2019-04-17T00:00:00"/>
    <d v="2019-05-21T00:00:00"/>
    <d v="2019-05-21T00:00:00"/>
    <m/>
    <m/>
    <m/>
    <m/>
    <d v="2019-06-11T00:00:00"/>
    <n v="1200"/>
    <m/>
    <m/>
    <m/>
    <m/>
    <m/>
    <m/>
    <n v="1200"/>
    <n v="1200"/>
    <n v="9705600"/>
  </r>
  <r>
    <s v="152B/2019"/>
    <d v="2019-04-03T00:00:00"/>
    <s v="THANH THÚY"/>
    <s v="VL01"/>
    <x v="39"/>
    <x v="31"/>
    <s v="TARRANGO"/>
    <m/>
    <s v="14.16"/>
    <n v="300"/>
    <s v="NL2018"/>
    <m/>
    <n v="34"/>
    <n v="10200"/>
    <x v="0"/>
    <n v="47940000"/>
    <x v="0"/>
    <d v="2019-04-15T00:00:00"/>
    <d v="2019-05-19T00:00:00"/>
    <d v="2019-05-19T00:00:00"/>
    <s v="15/4AL"/>
    <m/>
    <m/>
    <m/>
    <d v="2019-05-19T00:00:00"/>
    <n v="10200"/>
    <m/>
    <m/>
    <m/>
    <m/>
    <m/>
    <m/>
    <n v="10200"/>
    <n v="0"/>
    <n v="0"/>
  </r>
  <r>
    <s v="152B/2019"/>
    <d v="2019-04-03T00:00:00"/>
    <s v="THANH THÚY"/>
    <s v="VL01"/>
    <x v="39"/>
    <x v="83"/>
    <s v="ANGELA"/>
    <s v="RL"/>
    <s v="12.14"/>
    <n v="400"/>
    <s v="NL2018"/>
    <m/>
    <n v="3"/>
    <n v="1200"/>
    <x v="86"/>
    <n v="9675600"/>
    <x v="0"/>
    <d v="2019-04-15T00:00:00"/>
    <d v="2019-05-19T00:00:00"/>
    <d v="2019-05-19T00:00:00"/>
    <s v="15/4AL"/>
    <m/>
    <m/>
    <m/>
    <d v="2019-05-19T00:00:00"/>
    <n v="1200"/>
    <m/>
    <m/>
    <m/>
    <m/>
    <m/>
    <m/>
    <n v="1200"/>
    <n v="0"/>
    <n v="0"/>
  </r>
  <r>
    <s v="152B/2019"/>
    <d v="2019-04-03T00:00:00"/>
    <s v="THANH THÚY"/>
    <s v="VL01"/>
    <x v="39"/>
    <x v="78"/>
    <s v="NATALIA"/>
    <s v="RL"/>
    <s v="12.14"/>
    <n v="400"/>
    <s v="NL2018"/>
    <m/>
    <n v="8"/>
    <n v="3200"/>
    <x v="86"/>
    <n v="25801600"/>
    <x v="0"/>
    <d v="2019-04-15T00:00:00"/>
    <d v="2019-05-19T00:00:00"/>
    <d v="2019-05-19T00:00:00"/>
    <s v="15/4AL"/>
    <m/>
    <m/>
    <m/>
    <d v="2019-05-19T00:00:00"/>
    <n v="3200"/>
    <m/>
    <m/>
    <m/>
    <m/>
    <m/>
    <m/>
    <n v="3200"/>
    <n v="0"/>
    <n v="0"/>
  </r>
  <r>
    <s v="152B/2019"/>
    <d v="2019-04-03T00:00:00"/>
    <s v="THANH THÚY"/>
    <s v="VL01"/>
    <x v="39"/>
    <x v="60"/>
    <s v="PATRICIA"/>
    <s v="RL"/>
    <s v="12.14"/>
    <n v="400"/>
    <s v="NL2018"/>
    <m/>
    <n v="5"/>
    <n v="2000"/>
    <x v="86"/>
    <n v="16126000"/>
    <x v="0"/>
    <d v="2019-04-15T00:00:00"/>
    <d v="2019-05-19T00:00:00"/>
    <d v="2019-05-19T00:00:00"/>
    <s v="15/4AL"/>
    <m/>
    <m/>
    <m/>
    <d v="2019-05-19T00:00:00"/>
    <n v="2000"/>
    <m/>
    <m/>
    <m/>
    <m/>
    <m/>
    <m/>
    <n v="2000"/>
    <n v="0"/>
    <n v="0"/>
  </r>
  <r>
    <s v="152B/2019"/>
    <d v="2019-04-03T00:00:00"/>
    <s v="THANH THÚY"/>
    <s v="VL01"/>
    <x v="39"/>
    <x v="92"/>
    <s v="CLARISSA"/>
    <s v="RL"/>
    <s v="12.14"/>
    <n v="400"/>
    <s v="NL2018"/>
    <m/>
    <n v="4"/>
    <n v="1600"/>
    <x v="87"/>
    <n v="12940800"/>
    <x v="4"/>
    <d v="2019-05-02T00:00:00"/>
    <d v="2019-06-04T00:00:00"/>
    <d v="2019-06-04T00:00:00"/>
    <s v="02/5AL"/>
    <m/>
    <m/>
    <m/>
    <d v="2019-06-11T00:00:00"/>
    <n v="800"/>
    <m/>
    <m/>
    <m/>
    <m/>
    <m/>
    <m/>
    <n v="800"/>
    <n v="800"/>
    <n v="6470400"/>
  </r>
  <r>
    <s v="152B/2019"/>
    <d v="2019-04-03T00:00:00"/>
    <s v="THANH THÚY"/>
    <s v="VL01"/>
    <x v="39"/>
    <x v="93"/>
    <s v="DORIA"/>
    <s v="RL"/>
    <s v="12.14"/>
    <n v="400"/>
    <s v="NL2018"/>
    <m/>
    <n v="3"/>
    <n v="1200"/>
    <x v="87"/>
    <n v="9705600"/>
    <x v="4"/>
    <d v="2019-05-02T00:00:00"/>
    <d v="2019-06-04T00:00:00"/>
    <d v="2019-06-04T00:00:00"/>
    <s v="02/5AL"/>
    <m/>
    <m/>
    <m/>
    <m/>
    <m/>
    <m/>
    <m/>
    <m/>
    <m/>
    <m/>
    <m/>
    <n v="0"/>
    <n v="1200"/>
    <n v="9705600"/>
  </r>
  <r>
    <s v="152B/2019"/>
    <d v="2019-04-03T00:00:00"/>
    <s v="THANH THÚY"/>
    <s v="VL01"/>
    <x v="39"/>
    <x v="78"/>
    <s v="NATALIA"/>
    <s v="RL"/>
    <s v="12.14"/>
    <n v="400"/>
    <s v="NL2018"/>
    <m/>
    <n v="3"/>
    <n v="1200"/>
    <x v="87"/>
    <n v="9705600"/>
    <x v="0"/>
    <d v="2019-05-02T00:00:00"/>
    <d v="2019-06-04T00:00:00"/>
    <d v="2019-06-04T00:00:00"/>
    <s v="02/5AL"/>
    <m/>
    <m/>
    <m/>
    <d v="2019-06-11T00:00:00"/>
    <n v="1200"/>
    <m/>
    <m/>
    <m/>
    <m/>
    <m/>
    <m/>
    <n v="1200"/>
    <n v="0"/>
    <n v="0"/>
  </r>
  <r>
    <s v="152B/2019"/>
    <d v="2019-04-03T00:00:00"/>
    <s v="THANH THÚY"/>
    <s v="VL01"/>
    <x v="39"/>
    <x v="76"/>
    <s v="SEDONA"/>
    <m/>
    <s v="18.20"/>
    <n v="150"/>
    <s v="NL2018"/>
    <m/>
    <n v="4"/>
    <n v="600"/>
    <x v="35"/>
    <n v="4320000"/>
    <x v="4"/>
    <d v="2019-05-02T00:00:00"/>
    <d v="2019-06-04T00:00:00"/>
    <d v="2019-06-04T00:00:00"/>
    <s v="02/5AL"/>
    <m/>
    <m/>
    <m/>
    <m/>
    <m/>
    <m/>
    <m/>
    <m/>
    <m/>
    <m/>
    <m/>
    <n v="0"/>
    <n v="600"/>
    <n v="4320000"/>
  </r>
  <r>
    <s v="152B/2019"/>
    <d v="2019-04-03T00:00:00"/>
    <s v="THANH THÚY"/>
    <s v="VL01"/>
    <x v="39"/>
    <x v="94"/>
    <s v="PETER SCHENKER"/>
    <m/>
    <s v="14.16"/>
    <n v="300"/>
    <s v="NL2018"/>
    <m/>
    <n v="6"/>
    <n v="1800"/>
    <x v="3"/>
    <n v="7380000"/>
    <x v="4"/>
    <d v="2019-05-02T00:00:00"/>
    <d v="2019-06-04T00:00:00"/>
    <d v="2019-06-04T00:00:00"/>
    <s v="02/5AL"/>
    <m/>
    <m/>
    <m/>
    <m/>
    <m/>
    <m/>
    <m/>
    <m/>
    <m/>
    <m/>
    <m/>
    <n v="0"/>
    <n v="1800"/>
    <n v="7380000"/>
  </r>
  <r>
    <s v="152B/2019"/>
    <d v="2019-06-18T00:00:00"/>
    <s v="THANH THÚY"/>
    <s v="VL01"/>
    <x v="39"/>
    <x v="10"/>
    <s v="ARVANDRUD"/>
    <m/>
    <s v="16.18"/>
    <n v="200"/>
    <s v="NL2018"/>
    <m/>
    <n v="20"/>
    <n v="4000"/>
    <x v="11"/>
    <n v="21600000"/>
    <x v="4"/>
    <d v="2019-05-02T00:00:00"/>
    <d v="2019-06-04T00:00:00"/>
    <d v="2019-06-04T00:00:00"/>
    <m/>
    <m/>
    <m/>
    <m/>
    <m/>
    <m/>
    <m/>
    <m/>
    <m/>
    <m/>
    <m/>
    <m/>
    <n v="0"/>
    <n v="4000"/>
    <n v="21600000"/>
  </r>
  <r>
    <s v="152B/2019"/>
    <d v="2019-04-03T00:00:00"/>
    <s v="THANH THÚY"/>
    <s v="VL01"/>
    <x v="39"/>
    <x v="31"/>
    <s v="TARRANGO"/>
    <m/>
    <s v="14.16"/>
    <n v="300"/>
    <s v="NL2018"/>
    <m/>
    <n v="0"/>
    <n v="0"/>
    <x v="23"/>
    <n v="0"/>
    <x v="1"/>
    <d v="2019-05-02T00:00:00"/>
    <d v="2019-06-04T00:00:00"/>
    <d v="2019-06-04T00:00:00"/>
    <s v="02/5AL"/>
    <m/>
    <m/>
    <m/>
    <m/>
    <n v="0"/>
    <m/>
    <m/>
    <m/>
    <m/>
    <m/>
    <m/>
    <n v="0"/>
    <n v="0"/>
    <n v="0"/>
  </r>
  <r>
    <s v="152B/2019"/>
    <d v="2019-04-03T00:00:00"/>
    <s v="THANH THÚY"/>
    <s v="VL01"/>
    <x v="39"/>
    <x v="31"/>
    <s v="TARRANGO"/>
    <m/>
    <s v="14.16"/>
    <n v="300"/>
    <s v="NL2018"/>
    <m/>
    <n v="33"/>
    <n v="9900"/>
    <x v="23"/>
    <n v="47520000"/>
    <x v="3"/>
    <d v="2019-05-18T00:00:00"/>
    <d v="2019-06-20T00:00:00"/>
    <d v="2019-06-20T00:00:00"/>
    <m/>
    <m/>
    <m/>
    <m/>
    <m/>
    <m/>
    <m/>
    <m/>
    <m/>
    <m/>
    <m/>
    <m/>
    <n v="0"/>
    <n v="9900"/>
    <n v="47520000"/>
  </r>
  <r>
    <s v="152B/2019"/>
    <d v="2019-06-14T00:00:00"/>
    <s v="THANH THÚY"/>
    <s v="VL01"/>
    <x v="39"/>
    <x v="78"/>
    <s v="NATALIA"/>
    <s v="RL"/>
    <s v="12.14"/>
    <n v="400"/>
    <s v="NL2018"/>
    <m/>
    <n v="7"/>
    <n v="2800"/>
    <x v="87"/>
    <n v="22646400"/>
    <x v="3"/>
    <d v="2019-05-18T00:00:00"/>
    <d v="2019-06-20T00:00:00"/>
    <d v="2019-06-20T00:00:00"/>
    <m/>
    <m/>
    <m/>
    <m/>
    <m/>
    <m/>
    <m/>
    <m/>
    <m/>
    <m/>
    <m/>
    <m/>
    <n v="0"/>
    <n v="2800"/>
    <n v="22646400"/>
  </r>
  <r>
    <s v="152B/2019"/>
    <d v="2019-04-03T00:00:00"/>
    <s v="THANH THÚY"/>
    <s v="VL01"/>
    <x v="39"/>
    <x v="10"/>
    <s v="ARVANDRUD"/>
    <m/>
    <s v="16.18"/>
    <n v="200"/>
    <s v="NL2018"/>
    <m/>
    <n v="0"/>
    <n v="0"/>
    <x v="55"/>
    <n v="0"/>
    <x v="1"/>
    <d v="2019-04-29T00:00:00"/>
    <d v="2019-06-02T00:00:00"/>
    <d v="2019-06-02T00:00:00"/>
    <s v="29/4AL.chưa tính phí lạnh"/>
    <m/>
    <m/>
    <m/>
    <m/>
    <n v="0"/>
    <m/>
    <m/>
    <m/>
    <m/>
    <m/>
    <m/>
    <n v="0"/>
    <n v="0"/>
    <n v="0"/>
  </r>
  <r>
    <s v="152B/2019"/>
    <d v="2019-04-03T00:00:00"/>
    <s v="THANH THÚY"/>
    <s v="VL01"/>
    <x v="39"/>
    <x v="11"/>
    <s v="YELLOWEEN"/>
    <m/>
    <s v="12.14"/>
    <n v="400"/>
    <s v="NL2018"/>
    <m/>
    <n v="19"/>
    <n v="7600"/>
    <x v="47"/>
    <n v="20520000"/>
    <x v="4"/>
    <d v="2019-04-17T00:00:00"/>
    <d v="2019-05-21T00:00:00"/>
    <d v="2019-05-21T00:00:00"/>
    <s v="Cho hàng về sớm do chuyến 29/4 ko có"/>
    <m/>
    <m/>
    <m/>
    <d v="2019-06-11T00:00:00"/>
    <n v="5600"/>
    <m/>
    <m/>
    <m/>
    <m/>
    <m/>
    <m/>
    <n v="5600"/>
    <n v="2000"/>
    <n v="5400000"/>
  </r>
  <r>
    <s v="152B/2019"/>
    <d v="2019-04-03T00:00:00"/>
    <s v="THANH THÚY"/>
    <s v="VL01"/>
    <x v="39"/>
    <x v="31"/>
    <s v="TARRANGO"/>
    <m/>
    <s v="14.16"/>
    <n v="300"/>
    <s v="NL2018"/>
    <m/>
    <n v="100"/>
    <n v="30000"/>
    <x v="18"/>
    <n v="150000000"/>
    <x v="2"/>
    <m/>
    <s v=""/>
    <s v=""/>
    <s v="chưa tính phí lạnh"/>
    <m/>
    <m/>
    <m/>
    <m/>
    <n v="0"/>
    <m/>
    <m/>
    <m/>
    <m/>
    <m/>
    <m/>
    <n v="0"/>
    <n v="30000"/>
    <n v="150000000"/>
  </r>
  <r>
    <s v="152B/2019"/>
    <d v="2019-04-03T00:00:00"/>
    <s v="THANH THÚY"/>
    <s v="VL01"/>
    <x v="39"/>
    <x v="31"/>
    <s v="TARRANGO"/>
    <m/>
    <s v="14.16"/>
    <n v="300"/>
    <s v="NL2018"/>
    <m/>
    <n v="34"/>
    <n v="10200"/>
    <x v="18"/>
    <n v="51000000"/>
    <x v="3"/>
    <d v="2019-06-15T00:00:00"/>
    <m/>
    <m/>
    <m/>
    <m/>
    <m/>
    <m/>
    <m/>
    <m/>
    <m/>
    <m/>
    <m/>
    <m/>
    <m/>
    <m/>
    <n v="0"/>
    <n v="10200"/>
    <n v="51000000"/>
  </r>
  <r>
    <s v="152B/2019"/>
    <d v="2019-04-03T00:00:00"/>
    <s v="THANH THÚY"/>
    <s v="VL01"/>
    <x v="39"/>
    <x v="10"/>
    <s v="ARVANDRUD"/>
    <m/>
    <s v="16.18"/>
    <n v="200"/>
    <s v="NL2018"/>
    <m/>
    <n v="0"/>
    <n v="0"/>
    <x v="55"/>
    <n v="0"/>
    <x v="1"/>
    <m/>
    <s v=""/>
    <s v=""/>
    <s v="chưa tính phí lạnh"/>
    <m/>
    <m/>
    <m/>
    <m/>
    <n v="0"/>
    <m/>
    <m/>
    <m/>
    <m/>
    <m/>
    <m/>
    <n v="0"/>
    <n v="0"/>
    <n v="0"/>
  </r>
  <r>
    <s v="152B/2019"/>
    <d v="2019-04-03T00:00:00"/>
    <s v="THANH THÚY"/>
    <s v="VL01"/>
    <x v="39"/>
    <x v="11"/>
    <s v="YELLOWEEN"/>
    <m/>
    <s v="12.14"/>
    <n v="400"/>
    <s v="NL2018"/>
    <m/>
    <n v="0"/>
    <n v="0"/>
    <x v="47"/>
    <n v="0"/>
    <x v="1"/>
    <m/>
    <s v=""/>
    <s v=""/>
    <s v="chưa tính phí lạnh"/>
    <m/>
    <m/>
    <m/>
    <m/>
    <n v="0"/>
    <m/>
    <m/>
    <m/>
    <m/>
    <m/>
    <m/>
    <n v="0"/>
    <n v="0"/>
    <n v="0"/>
  </r>
  <r>
    <s v="152B/2019"/>
    <d v="2019-06-14T00:00:00"/>
    <s v="THANH THÚY"/>
    <s v="VL01"/>
    <x v="39"/>
    <x v="78"/>
    <s v="NATALIA"/>
    <s v="RL"/>
    <s v="12.14"/>
    <n v="400"/>
    <s v="NL2018"/>
    <m/>
    <n v="10"/>
    <n v="4000"/>
    <x v="88"/>
    <n v="32800000"/>
    <x v="3"/>
    <d v="2019-06-15T00:00:00"/>
    <d v="2019-07-17T00:00:00"/>
    <d v="2019-07-17T00:00:00"/>
    <m/>
    <m/>
    <m/>
    <m/>
    <m/>
    <m/>
    <m/>
    <m/>
    <m/>
    <m/>
    <m/>
    <m/>
    <n v="0"/>
    <n v="4000"/>
    <n v="32800000"/>
  </r>
  <r>
    <s v="152B/2019"/>
    <d v="2019-06-14T00:00:00"/>
    <s v="THANH THÚY"/>
    <s v="VL01"/>
    <x v="39"/>
    <x v="60"/>
    <s v="PATRICIA"/>
    <s v="RL"/>
    <s v="12.14"/>
    <n v="400"/>
    <s v="NL2018"/>
    <m/>
    <n v="10"/>
    <n v="4000"/>
    <x v="88"/>
    <n v="32800000"/>
    <x v="3"/>
    <d v="2019-06-15T00:00:00"/>
    <d v="2019-07-17T00:00:00"/>
    <d v="2019-07-17T00:00:00"/>
    <m/>
    <m/>
    <m/>
    <m/>
    <m/>
    <m/>
    <m/>
    <m/>
    <m/>
    <m/>
    <m/>
    <m/>
    <n v="0"/>
    <n v="4000"/>
    <n v="32800000"/>
  </r>
  <r>
    <s v="152B/2019"/>
    <d v="2019-06-14T00:00:00"/>
    <s v="THANH THÚY"/>
    <s v="VL01"/>
    <x v="39"/>
    <x v="51"/>
    <s v="THALITA"/>
    <s v="RL"/>
    <s v="12.14"/>
    <n v="400"/>
    <s v="NL2018"/>
    <m/>
    <n v="10"/>
    <n v="4000"/>
    <x v="88"/>
    <n v="32800000"/>
    <x v="3"/>
    <d v="2019-06-15T00:00:00"/>
    <d v="2019-07-17T00:00:00"/>
    <d v="2019-07-17T00:00:00"/>
    <m/>
    <m/>
    <m/>
    <m/>
    <m/>
    <m/>
    <m/>
    <m/>
    <m/>
    <m/>
    <m/>
    <m/>
    <n v="0"/>
    <n v="4000"/>
    <n v="32800000"/>
  </r>
  <r>
    <s v="152B/2019"/>
    <d v="2019-06-14T00:00:00"/>
    <s v="THANH THÚY"/>
    <s v="VL01"/>
    <x v="39"/>
    <x v="11"/>
    <s v="YELLOWEEN"/>
    <m/>
    <s v="12.14"/>
    <n v="400"/>
    <s v="NL2018"/>
    <m/>
    <n v="35"/>
    <n v="14000"/>
    <x v="4"/>
    <n v="39200000"/>
    <x v="2"/>
    <m/>
    <s v=""/>
    <s v=""/>
    <m/>
    <m/>
    <m/>
    <m/>
    <m/>
    <m/>
    <m/>
    <m/>
    <m/>
    <m/>
    <m/>
    <m/>
    <n v="0"/>
    <n v="14000"/>
    <n v="39200000"/>
  </r>
  <r>
    <s v="174B/2019"/>
    <d v="2019-04-20T00:00:00"/>
    <s v="THANH THÚY"/>
    <s v="VL01"/>
    <x v="39"/>
    <x v="95"/>
    <s v="ARVANDRUD"/>
    <m/>
    <s v="18.20"/>
    <n v="150"/>
    <s v="CL2019"/>
    <m/>
    <n v="0"/>
    <n v="0"/>
    <x v="59"/>
    <n v="0"/>
    <x v="1"/>
    <m/>
    <s v=""/>
    <s v=""/>
    <s v="TẾT"/>
    <m/>
    <m/>
    <m/>
    <m/>
    <m/>
    <m/>
    <m/>
    <m/>
    <m/>
    <m/>
    <m/>
    <n v="0"/>
    <n v="0"/>
    <n v="0"/>
  </r>
  <r>
    <s v="174B/2019"/>
    <d v="2019-04-20T00:00:00"/>
    <s v="THANH THÚY"/>
    <s v="VL01"/>
    <x v="39"/>
    <x v="96"/>
    <s v="TARRANGO"/>
    <m/>
    <s v="16.18"/>
    <n v="200"/>
    <s v="CL2019"/>
    <m/>
    <n v="100"/>
    <n v="20000"/>
    <x v="89"/>
    <n v="184000000"/>
    <x v="2"/>
    <d v="2019-09-01T00:00:00"/>
    <d v="2019-09-29T00:00:00"/>
    <d v="2019-09-29T00:00:00"/>
    <s v="TẾT"/>
    <m/>
    <m/>
    <m/>
    <m/>
    <m/>
    <m/>
    <m/>
    <m/>
    <m/>
    <m/>
    <m/>
    <n v="0"/>
    <n v="20000"/>
    <n v="184000000"/>
  </r>
  <r>
    <s v="174B/2019"/>
    <d v="2019-04-20T00:00:00"/>
    <s v="THANH THÚY"/>
    <s v="VL01"/>
    <x v="39"/>
    <x v="77"/>
    <s v="SEDONA"/>
    <m/>
    <s v="20.22"/>
    <n v="125"/>
    <s v="NL2018"/>
    <m/>
    <n v="80"/>
    <n v="10000"/>
    <x v="22"/>
    <n v="109000000"/>
    <x v="2"/>
    <d v="2019-09-01T00:00:00"/>
    <d v="2019-09-29T00:00:00"/>
    <d v="2019-09-29T00:00:00"/>
    <s v="TẾT"/>
    <m/>
    <m/>
    <m/>
    <m/>
    <m/>
    <m/>
    <m/>
    <m/>
    <m/>
    <m/>
    <m/>
    <n v="0"/>
    <n v="10000"/>
    <n v="109000000"/>
  </r>
  <r>
    <s v="86B/2019"/>
    <d v="2019-03-04T00:00:00"/>
    <s v="THANH THÚY"/>
    <s v="MH02"/>
    <x v="40"/>
    <x v="29"/>
    <s v="MANISSA"/>
    <m/>
    <s v="16.18"/>
    <n v="200"/>
    <s v="NL2018"/>
    <m/>
    <n v="70"/>
    <n v="14000"/>
    <x v="45"/>
    <n v="93800000"/>
    <x v="0"/>
    <s v="29-Feb-19"/>
    <d v="2019-04-03T00:00:00"/>
    <d v="2019-04-03T00:00:00"/>
    <s v="30/2AL"/>
    <s v="CONT 16/2019"/>
    <m/>
    <m/>
    <d v="2019-04-02T00:00:00"/>
    <n v="14000"/>
    <m/>
    <m/>
    <m/>
    <m/>
    <m/>
    <m/>
    <n v="14000"/>
    <n v="0"/>
    <n v="0"/>
  </r>
  <r>
    <s v="86B/2019"/>
    <d v="2019-03-04T00:00:00"/>
    <s v="THANH THÚY"/>
    <s v="MH02"/>
    <x v="40"/>
    <x v="39"/>
    <s v="MANISSA"/>
    <s v="PR"/>
    <s v="16.18"/>
    <n v="200"/>
    <s v="NL2018"/>
    <m/>
    <n v="5"/>
    <n v="1000"/>
    <x v="45"/>
    <n v="6700000"/>
    <x v="0"/>
    <s v="29-Feb-19"/>
    <d v="2019-04-03T00:00:00"/>
    <d v="2019-04-03T00:00:00"/>
    <s v="30/2AL"/>
    <m/>
    <m/>
    <m/>
    <d v="2019-04-02T00:00:00"/>
    <n v="1000"/>
    <m/>
    <m/>
    <m/>
    <m/>
    <m/>
    <m/>
    <n v="1000"/>
    <n v="0"/>
    <n v="0"/>
  </r>
  <r>
    <s v="86B/2019"/>
    <d v="2019-03-04T00:00:00"/>
    <s v="THANH THÚY"/>
    <s v="MH02"/>
    <x v="40"/>
    <x v="29"/>
    <s v="MANISSA"/>
    <m/>
    <s v="16.18"/>
    <n v="200"/>
    <s v="NL2018"/>
    <s v="dlw"/>
    <n v="50"/>
    <n v="10000"/>
    <x v="90"/>
    <n v="67850000"/>
    <x v="0"/>
    <d v="2019-04-17T00:00:00"/>
    <d v="2019-05-21T00:00:00"/>
    <d v="2019-05-21T00:00:00"/>
    <s v="17/4AL"/>
    <m/>
    <m/>
    <m/>
    <d v="2019-05-20T00:00:00"/>
    <n v="10000"/>
    <m/>
    <m/>
    <m/>
    <m/>
    <m/>
    <m/>
    <n v="10000"/>
    <n v="0"/>
    <n v="0"/>
  </r>
  <r>
    <s v="86B/2019"/>
    <d v="2019-03-04T00:00:00"/>
    <s v="THANH THÚY"/>
    <s v="MH02"/>
    <x v="40"/>
    <x v="29"/>
    <s v="MANISSA"/>
    <m/>
    <s v="16.18"/>
    <n v="200"/>
    <s v="NL2018"/>
    <m/>
    <n v="125"/>
    <n v="25000"/>
    <x v="45"/>
    <n v="167500000"/>
    <x v="0"/>
    <d v="2019-03-15T00:00:00"/>
    <d v="2019-04-19T00:00:00"/>
    <d v="2019-04-19T00:00:00"/>
    <s v="15/3AL"/>
    <s v="CONT 27/2019"/>
    <m/>
    <m/>
    <d v="2019-04-23T00:00:00"/>
    <n v="25000"/>
    <m/>
    <m/>
    <m/>
    <m/>
    <m/>
    <m/>
    <n v="25000"/>
    <n v="0"/>
    <n v="0"/>
  </r>
  <r>
    <s v="86B/2019"/>
    <d v="2019-03-04T00:00:00"/>
    <s v="THANH THÚY"/>
    <s v="MH02"/>
    <x v="40"/>
    <x v="29"/>
    <s v="MANISSA DLW"/>
    <m/>
    <s v="16.18"/>
    <n v="200"/>
    <s v="NL2018"/>
    <m/>
    <n v="150"/>
    <n v="30000"/>
    <x v="91"/>
    <n v="204900000"/>
    <x v="0"/>
    <d v="2019-04-29T00:00:00"/>
    <d v="2019-06-02T00:00:00"/>
    <d v="2019-06-02T00:00:00"/>
    <s v="29/4AL"/>
    <m/>
    <m/>
    <m/>
    <d v="2019-06-10T00:00:00"/>
    <n v="30000"/>
    <m/>
    <m/>
    <m/>
    <m/>
    <m/>
    <m/>
    <n v="30000"/>
    <n v="0"/>
    <n v="0"/>
  </r>
  <r>
    <s v="86B/2019"/>
    <d v="2019-03-04T00:00:00"/>
    <s v="THANH THÚY"/>
    <s v="MH02"/>
    <x v="40"/>
    <x v="29"/>
    <s v="MANISSA"/>
    <m/>
    <s v="16.18"/>
    <n v="200"/>
    <s v="NL2018"/>
    <m/>
    <n v="100"/>
    <n v="20000"/>
    <x v="92"/>
    <n v="138300000"/>
    <x v="3"/>
    <d v="2019-06-15T00:00:00"/>
    <d v="2019-07-17T00:00:00"/>
    <d v="2019-07-17T00:00:00"/>
    <s v="29/5AL"/>
    <m/>
    <m/>
    <m/>
    <m/>
    <n v="0"/>
    <m/>
    <m/>
    <m/>
    <m/>
    <m/>
    <m/>
    <n v="0"/>
    <n v="20000"/>
    <n v="138300000"/>
  </r>
  <r>
    <s v="86B/2019"/>
    <d v="2019-06-11T00:00:00"/>
    <s v="THANH THÚY"/>
    <s v="MH02"/>
    <x v="40"/>
    <x v="29"/>
    <s v="MANISSA"/>
    <m/>
    <s v="16.18"/>
    <n v="200"/>
    <s v="NL2018"/>
    <m/>
    <n v="200"/>
    <n v="40000"/>
    <x v="93"/>
    <n v="0"/>
    <x v="2"/>
    <m/>
    <m/>
    <m/>
    <m/>
    <m/>
    <m/>
    <m/>
    <m/>
    <m/>
    <m/>
    <m/>
    <m/>
    <m/>
    <m/>
    <m/>
    <n v="0"/>
    <n v="40000"/>
    <n v="0"/>
  </r>
  <r>
    <s v="86B/2019"/>
    <d v="2019-03-04T00:00:00"/>
    <s v="THANH THÚY"/>
    <s v="MH02"/>
    <x v="40"/>
    <x v="28"/>
    <s v="YELLOWEEN"/>
    <m/>
    <s v="14.16"/>
    <n v="300"/>
    <s v="NL2018"/>
    <m/>
    <n v="0"/>
    <n v="0"/>
    <x v="25"/>
    <n v="0"/>
    <x v="1"/>
    <m/>
    <s v=""/>
    <s v=""/>
    <s v="chưa có KH trồng, chưa phí kho lạnh"/>
    <m/>
    <m/>
    <m/>
    <m/>
    <n v="0"/>
    <m/>
    <m/>
    <m/>
    <m/>
    <m/>
    <m/>
    <n v="0"/>
    <n v="0"/>
    <n v="0"/>
  </r>
  <r>
    <s v="149B/2019"/>
    <d v="2019-03-04T00:00:00"/>
    <s v="THANH THÚY"/>
    <s v="MH02"/>
    <x v="40"/>
    <x v="9"/>
    <s v="MANISSA"/>
    <m/>
    <s v="22.24"/>
    <n v="100"/>
    <s v="NL2018"/>
    <m/>
    <n v="243"/>
    <n v="24300"/>
    <x v="10"/>
    <n v="374220000"/>
    <x v="2"/>
    <d v="2019-09-01T00:00:00"/>
    <d v="2019-09-29T00:00:00"/>
    <d v="2019-09-29T00:00:00"/>
    <s v="TẾT"/>
    <m/>
    <m/>
    <m/>
    <m/>
    <m/>
    <m/>
    <m/>
    <m/>
    <m/>
    <m/>
    <m/>
    <n v="0"/>
    <n v="24300"/>
    <n v="374220000"/>
  </r>
  <r>
    <s v="149B/2019"/>
    <d v="2019-03-04T00:00:00"/>
    <s v="THANH THÚY"/>
    <s v="MH02"/>
    <x v="40"/>
    <x v="27"/>
    <s v="MANISSA"/>
    <m/>
    <s v="24+"/>
    <n v="75"/>
    <s v="NL2018"/>
    <m/>
    <n v="208.46666666666667"/>
    <n v="15635"/>
    <x v="50"/>
    <n v="253287000"/>
    <x v="2"/>
    <d v="2019-09-01T00:00:00"/>
    <d v="2019-09-29T00:00:00"/>
    <d v="2019-09-29T00:00:00"/>
    <s v="TẾT"/>
    <m/>
    <m/>
    <m/>
    <m/>
    <m/>
    <m/>
    <m/>
    <m/>
    <m/>
    <m/>
    <m/>
    <n v="0"/>
    <n v="15635"/>
    <n v="253287000"/>
  </r>
  <r>
    <s v="149B/2019"/>
    <d v="2019-03-04T00:00:00"/>
    <s v="THANH THÚY"/>
    <s v="MH02"/>
    <x v="40"/>
    <x v="44"/>
    <s v="ROBINA"/>
    <m/>
    <s v="24.26"/>
    <n v="80"/>
    <s v="NL2018"/>
    <m/>
    <n v="188"/>
    <n v="15040"/>
    <x v="10"/>
    <n v="231616000"/>
    <x v="2"/>
    <d v="2019-09-01T00:00:00"/>
    <d v="2019-09-29T00:00:00"/>
    <d v="2019-09-29T00:00:00"/>
    <s v="TẾT"/>
    <m/>
    <m/>
    <m/>
    <m/>
    <m/>
    <m/>
    <m/>
    <m/>
    <m/>
    <m/>
    <m/>
    <n v="0"/>
    <n v="15040"/>
    <n v="231616000"/>
  </r>
  <r>
    <s v="149B/2019"/>
    <d v="2019-03-04T00:00:00"/>
    <s v="THANH THÚY"/>
    <s v="MH02"/>
    <x v="40"/>
    <x v="14"/>
    <s v="TARRANGO"/>
    <m/>
    <s v="20.22"/>
    <n v="125"/>
    <s v="NL2018"/>
    <m/>
    <n v="120"/>
    <n v="15000"/>
    <x v="36"/>
    <n v="165000000"/>
    <x v="2"/>
    <d v="2019-09-01T00:00:00"/>
    <d v="2019-09-29T00:00:00"/>
    <d v="2019-09-29T00:00:00"/>
    <s v="TẾT"/>
    <m/>
    <m/>
    <m/>
    <m/>
    <m/>
    <m/>
    <m/>
    <m/>
    <m/>
    <m/>
    <m/>
    <n v="0"/>
    <n v="15000"/>
    <n v="165000000"/>
  </r>
  <r>
    <s v="184B/2019"/>
    <d v="2019-05-21T00:00:00"/>
    <s v="THANH THÚY"/>
    <s v="TH11"/>
    <x v="41"/>
    <x v="64"/>
    <s v="TARRANGO"/>
    <m/>
    <s v="18.20"/>
    <n v="150"/>
    <s v="NL2018"/>
    <m/>
    <n v="20"/>
    <n v="3000"/>
    <x v="94"/>
    <n v="26700000"/>
    <x v="3"/>
    <d v="2019-06-15T00:00:00"/>
    <d v="2019-07-17T00:00:00"/>
    <d v="2019-07-17T00:00:00"/>
    <m/>
    <m/>
    <m/>
    <m/>
    <m/>
    <m/>
    <m/>
    <m/>
    <m/>
    <m/>
    <m/>
    <m/>
    <n v="0"/>
    <n v="3000"/>
    <n v="26700000"/>
  </r>
  <r>
    <s v="184B/2019"/>
    <d v="2019-05-21T00:00:00"/>
    <s v="THANH THÚY"/>
    <s v="TH11"/>
    <x v="41"/>
    <x v="64"/>
    <s v="TARRANGO"/>
    <m/>
    <s v="18.20"/>
    <n v="150"/>
    <s v="NL2018"/>
    <m/>
    <n v="20"/>
    <n v="3000"/>
    <x v="95"/>
    <n v="27300000"/>
    <x v="2"/>
    <d v="2019-07-01T00:00:00"/>
    <d v="2019-08-01T00:00:00"/>
    <d v="2019-08-01T00:00:00"/>
    <m/>
    <m/>
    <m/>
    <m/>
    <m/>
    <m/>
    <m/>
    <m/>
    <m/>
    <m/>
    <m/>
    <m/>
    <n v="0"/>
    <n v="3000"/>
    <n v="27300000"/>
  </r>
  <r>
    <s v="184B/2019"/>
    <d v="2019-05-21T00:00:00"/>
    <s v="THANH THÚY"/>
    <s v="TH11"/>
    <x v="41"/>
    <x v="64"/>
    <s v="TARRANGO"/>
    <m/>
    <s v="18.20"/>
    <n v="150"/>
    <s v="NL2018"/>
    <m/>
    <n v="20"/>
    <n v="3000"/>
    <x v="95"/>
    <n v="27300000"/>
    <x v="2"/>
    <d v="2019-07-20T00:00:00"/>
    <d v="2019-08-20T00:00:00"/>
    <d v="2019-08-20T00:00:00"/>
    <m/>
    <m/>
    <m/>
    <m/>
    <m/>
    <m/>
    <m/>
    <m/>
    <m/>
    <m/>
    <m/>
    <m/>
    <n v="0"/>
    <n v="3000"/>
    <n v="27300000"/>
  </r>
  <r>
    <s v="184B/2019"/>
    <d v="2019-05-21T00:00:00"/>
    <s v="THANH THÚY"/>
    <s v="TH11"/>
    <x v="41"/>
    <x v="64"/>
    <s v="TARRANGO"/>
    <m/>
    <s v="18.20"/>
    <n v="150"/>
    <s v="NL2018"/>
    <m/>
    <n v="20"/>
    <n v="3000"/>
    <x v="89"/>
    <n v="27600000"/>
    <x v="2"/>
    <d v="2019-08-01T00:00:00"/>
    <d v="2019-08-30T00:00:00"/>
    <d v="2019-08-30T00:00:00"/>
    <m/>
    <m/>
    <m/>
    <m/>
    <m/>
    <m/>
    <m/>
    <m/>
    <m/>
    <m/>
    <m/>
    <m/>
    <n v="0"/>
    <n v="3000"/>
    <n v="27600000"/>
  </r>
  <r>
    <s v="65B/2019"/>
    <d v="2019-02-21T00:00:00"/>
    <s v="THANH THÚY"/>
    <s v="TH11"/>
    <x v="41"/>
    <x v="15"/>
    <s v="CONCADOR"/>
    <m/>
    <s v="16.18"/>
    <n v="200"/>
    <s v="NL2018"/>
    <m/>
    <n v="15"/>
    <n v="3000"/>
    <x v="96"/>
    <n v="15270000"/>
    <x v="0"/>
    <d v="2019-04-17T00:00:00"/>
    <d v="2019-05-21T00:00:00"/>
    <d v="2019-05-21T00:00:00"/>
    <s v="15/3AL"/>
    <s v="CONT 21/2019"/>
    <m/>
    <m/>
    <d v="2019-06-03T00:00:00"/>
    <n v="3000"/>
    <m/>
    <m/>
    <m/>
    <m/>
    <m/>
    <m/>
    <n v="3000"/>
    <n v="0"/>
    <n v="0"/>
  </r>
  <r>
    <s v="65B/2019"/>
    <d v="2019-02-21T00:00:00"/>
    <s v="THANH THÚY"/>
    <s v="TH11"/>
    <x v="41"/>
    <x v="34"/>
    <s v="TARRANGO"/>
    <m/>
    <s v="16.18"/>
    <n v="200"/>
    <s v="NL2018"/>
    <m/>
    <n v="20"/>
    <n v="4000"/>
    <x v="97"/>
    <n v="22360000"/>
    <x v="0"/>
    <d v="2019-03-15T00:00:00"/>
    <d v="2019-04-19T00:00:00"/>
    <d v="2019-04-19T00:00:00"/>
    <s v="15/3AL"/>
    <s v="CONT 26/2019"/>
    <m/>
    <m/>
    <d v="2019-06-03T00:00:00"/>
    <n v="3000"/>
    <d v="2019-06-11T00:00:00"/>
    <n v="1000"/>
    <m/>
    <m/>
    <m/>
    <m/>
    <n v="4000"/>
    <n v="0"/>
    <n v="0"/>
  </r>
  <r>
    <s v="65B/2019"/>
    <d v="2019-02-21T00:00:00"/>
    <s v="THANH THÚY"/>
    <s v="TH11"/>
    <x v="41"/>
    <x v="4"/>
    <s v="TEBALDI"/>
    <m/>
    <s v="14.16"/>
    <n v="300"/>
    <s v="NL2018"/>
    <m/>
    <n v="0"/>
    <n v="0"/>
    <x v="98"/>
    <n v="0"/>
    <x v="1"/>
    <d v="2019-04-17T00:00:00"/>
    <d v="2019-05-21T00:00:00"/>
    <d v="2019-05-21T00:00:00"/>
    <s v="15/3AL"/>
    <s v="CONT 24/2019"/>
    <m/>
    <m/>
    <m/>
    <n v="0"/>
    <m/>
    <m/>
    <m/>
    <m/>
    <m/>
    <m/>
    <n v="0"/>
    <n v="0"/>
    <n v="0"/>
  </r>
  <r>
    <s v="184B/2019"/>
    <d v="2019-05-21T00:00:00"/>
    <s v="THANH THÚY"/>
    <s v="TH11"/>
    <x v="41"/>
    <x v="33"/>
    <s v="PARAGUAY"/>
    <m/>
    <s v="16.18"/>
    <n v="175"/>
    <s v="NL2018"/>
    <m/>
    <n v="23"/>
    <n v="4025"/>
    <x v="9"/>
    <n v="24955000"/>
    <x v="4"/>
    <d v="2019-05-05T00:00:00"/>
    <d v="2019-06-07T00:00:00"/>
    <d v="2019-06-07T00:00:00"/>
    <m/>
    <m/>
    <m/>
    <m/>
    <m/>
    <m/>
    <m/>
    <m/>
    <m/>
    <m/>
    <m/>
    <m/>
    <n v="0"/>
    <n v="4025"/>
    <n v="24955000"/>
  </r>
  <r>
    <s v="184B/2019"/>
    <d v="2019-05-21T00:00:00"/>
    <s v="THANH THÚY"/>
    <s v="TH11"/>
    <x v="41"/>
    <x v="56"/>
    <s v="OUTBACK"/>
    <m/>
    <s v="14.16"/>
    <n v="300"/>
    <s v="NL2018"/>
    <m/>
    <n v="10"/>
    <n v="3000"/>
    <x v="11"/>
    <n v="16200000"/>
    <x v="4"/>
    <d v="2019-05-05T00:00:00"/>
    <d v="2019-06-07T00:00:00"/>
    <d v="2019-06-07T00:00:00"/>
    <m/>
    <m/>
    <m/>
    <m/>
    <m/>
    <m/>
    <m/>
    <m/>
    <m/>
    <m/>
    <m/>
    <m/>
    <n v="0"/>
    <n v="3000"/>
    <n v="16200000"/>
  </r>
  <r>
    <s v="184B/2019"/>
    <d v="2019-05-21T00:00:00"/>
    <s v="THANH THÚY"/>
    <s v="TH11"/>
    <x v="41"/>
    <x v="65"/>
    <s v="ROBINA"/>
    <m/>
    <s v="14.16"/>
    <n v="300"/>
    <s v="NL2018"/>
    <m/>
    <n v="10"/>
    <n v="3000"/>
    <x v="6"/>
    <n v="11400000"/>
    <x v="4"/>
    <d v="2019-05-05T00:00:00"/>
    <d v="2019-06-07T00:00:00"/>
    <d v="2019-06-07T00:00:00"/>
    <m/>
    <m/>
    <m/>
    <m/>
    <m/>
    <m/>
    <m/>
    <m/>
    <m/>
    <m/>
    <m/>
    <m/>
    <n v="0"/>
    <n v="3000"/>
    <n v="11400000"/>
  </r>
  <r>
    <s v="65B/2019"/>
    <d v="2019-06-10T00:00:00"/>
    <s v="THANH THÚY"/>
    <s v="TH11"/>
    <x v="41"/>
    <x v="4"/>
    <s v="TEBALDI"/>
    <m/>
    <s v="14.16"/>
    <n v="300"/>
    <s v="NL2018"/>
    <m/>
    <n v="7"/>
    <n v="2100"/>
    <x v="99"/>
    <n v="9030000"/>
    <x v="0"/>
    <d v="2019-05-05T00:00:00"/>
    <d v="2019-06-07T00:00:00"/>
    <d v="2019-06-07T00:00:00"/>
    <m/>
    <m/>
    <m/>
    <m/>
    <d v="2019-06-11T00:00:00"/>
    <n v="2100"/>
    <m/>
    <m/>
    <m/>
    <m/>
    <m/>
    <m/>
    <n v="2100"/>
    <n v="0"/>
    <n v="0"/>
  </r>
  <r>
    <s v="184B/2019"/>
    <d v="2019-05-21T00:00:00"/>
    <s v="THANH THÚY"/>
    <s v="TH11"/>
    <x v="41"/>
    <x v="47"/>
    <s v="ROBINA"/>
    <m/>
    <s v="18.20"/>
    <n v="150"/>
    <s v="NL2018"/>
    <m/>
    <n v="34"/>
    <n v="5100"/>
    <x v="27"/>
    <n v="40800000"/>
    <x v="3"/>
    <d v="2019-05-18T00:00:00"/>
    <d v="2019-06-20T00:00:00"/>
    <d v="2019-06-20T00:00:00"/>
    <m/>
    <m/>
    <m/>
    <m/>
    <m/>
    <m/>
    <m/>
    <m/>
    <m/>
    <m/>
    <m/>
    <m/>
    <n v="0"/>
    <n v="5100"/>
    <n v="40800000"/>
  </r>
  <r>
    <s v="184B/2019"/>
    <d v="2019-05-21T00:00:00"/>
    <s v="THANH THÚY"/>
    <s v="TH11"/>
    <x v="41"/>
    <x v="28"/>
    <s v="YELLOWEEN"/>
    <m/>
    <s v="14.16"/>
    <n v="300"/>
    <s v="NL2018"/>
    <m/>
    <n v="10"/>
    <n v="3000"/>
    <x v="56"/>
    <n v="11700000"/>
    <x v="3"/>
    <d v="2019-05-18T00:00:00"/>
    <d v="2019-06-20T00:00:00"/>
    <d v="2019-06-20T00:00:00"/>
    <m/>
    <m/>
    <m/>
    <m/>
    <m/>
    <m/>
    <m/>
    <m/>
    <m/>
    <m/>
    <m/>
    <m/>
    <n v="0"/>
    <n v="3000"/>
    <n v="11700000"/>
  </r>
  <r>
    <s v="65B/2019"/>
    <d v="2019-06-01T00:00:00"/>
    <s v="THANH THÚY"/>
    <s v="TH11"/>
    <x v="41"/>
    <x v="13"/>
    <s v="AMATERAS"/>
    <m/>
    <s v="14.16"/>
    <n v="275"/>
    <s v="NL2018"/>
    <m/>
    <n v="0"/>
    <n v="0"/>
    <x v="13"/>
    <n v="0"/>
    <x v="1"/>
    <d v="2019-05-18T00:00:00"/>
    <d v="2019-06-20T00:00:00"/>
    <d v="2019-06-20T00:00:00"/>
    <m/>
    <m/>
    <m/>
    <m/>
    <m/>
    <m/>
    <m/>
    <m/>
    <m/>
    <m/>
    <m/>
    <m/>
    <n v="0"/>
    <n v="0"/>
    <n v="0"/>
  </r>
  <r>
    <s v="184B/2019"/>
    <d v="2019-05-21T00:00:00"/>
    <s v="THANH THÚY"/>
    <s v="TH11"/>
    <x v="41"/>
    <x v="25"/>
    <s v="CONCADOR"/>
    <m/>
    <s v="18.20"/>
    <n v="150"/>
    <s v="NL2018"/>
    <m/>
    <n v="20"/>
    <n v="3000"/>
    <x v="74"/>
    <n v="22500000"/>
    <x v="3"/>
    <d v="2019-06-15T00:00:00"/>
    <d v="2019-07-17T00:00:00"/>
    <d v="2019-07-17T00:00:00"/>
    <m/>
    <m/>
    <m/>
    <m/>
    <m/>
    <m/>
    <m/>
    <m/>
    <m/>
    <m/>
    <m/>
    <m/>
    <n v="0"/>
    <n v="3000"/>
    <n v="22500000"/>
  </r>
  <r>
    <s v="184B/2019"/>
    <d v="2019-05-21T00:00:00"/>
    <s v="THANH THÚY"/>
    <s v="TH11"/>
    <x v="41"/>
    <x v="47"/>
    <s v="ROBINA"/>
    <m/>
    <s v="18.20"/>
    <n v="150"/>
    <s v="NL2018"/>
    <m/>
    <n v="20"/>
    <n v="3000"/>
    <x v="27"/>
    <n v="24000000"/>
    <x v="3"/>
    <d v="2019-06-15T00:00:00"/>
    <d v="2019-07-17T00:00:00"/>
    <d v="2019-07-17T00:00:00"/>
    <m/>
    <m/>
    <m/>
    <m/>
    <m/>
    <m/>
    <m/>
    <m/>
    <m/>
    <m/>
    <m/>
    <m/>
    <n v="0"/>
    <n v="3000"/>
    <n v="24000000"/>
  </r>
  <r>
    <s v="184B/2019"/>
    <d v="2019-05-21T00:00:00"/>
    <s v="THANH THÚY"/>
    <s v="TH11"/>
    <x v="41"/>
    <x v="8"/>
    <s v="TEBALDI"/>
    <m/>
    <s v="16.18"/>
    <n v="200"/>
    <s v="NL2018"/>
    <m/>
    <n v="10"/>
    <n v="2000"/>
    <x v="100"/>
    <n v="11800000"/>
    <x v="3"/>
    <d v="2019-06-15T00:00:00"/>
    <d v="2019-07-17T00:00:00"/>
    <d v="2019-07-17T00:00:00"/>
    <m/>
    <m/>
    <m/>
    <m/>
    <m/>
    <m/>
    <m/>
    <m/>
    <m/>
    <m/>
    <m/>
    <m/>
    <n v="0"/>
    <n v="2000"/>
    <n v="11800000"/>
  </r>
  <r>
    <s v="184B/2019"/>
    <d v="2019-05-21T00:00:00"/>
    <s v="THANH THÚY"/>
    <s v="TH11"/>
    <x v="41"/>
    <x v="28"/>
    <s v="YELLOWEEN"/>
    <m/>
    <s v="14.16"/>
    <n v="300"/>
    <s v="NL2018"/>
    <m/>
    <n v="7"/>
    <n v="2100"/>
    <x v="56"/>
    <n v="8190000"/>
    <x v="3"/>
    <d v="2019-06-15T00:00:00"/>
    <d v="2019-07-17T00:00:00"/>
    <d v="2019-07-17T00:00:00"/>
    <m/>
    <m/>
    <m/>
    <m/>
    <m/>
    <m/>
    <m/>
    <m/>
    <m/>
    <m/>
    <m/>
    <m/>
    <n v="0"/>
    <n v="2100"/>
    <n v="8190000"/>
  </r>
  <r>
    <s v="184B/2019"/>
    <d v="2019-05-21T00:00:00"/>
    <s v="THANH THÚY"/>
    <s v="TH11"/>
    <x v="41"/>
    <x v="25"/>
    <s v="CONCADOR"/>
    <m/>
    <s v="18.20"/>
    <n v="150"/>
    <s v="NL2018"/>
    <m/>
    <n v="20"/>
    <n v="3000"/>
    <x v="5"/>
    <n v="23100000"/>
    <x v="2"/>
    <d v="2019-07-01T00:00:00"/>
    <d v="2019-08-01T00:00:00"/>
    <d v="2019-08-01T00:00:00"/>
    <m/>
    <m/>
    <m/>
    <m/>
    <m/>
    <m/>
    <m/>
    <m/>
    <m/>
    <m/>
    <m/>
    <m/>
    <n v="0"/>
    <n v="3000"/>
    <n v="23100000"/>
  </r>
  <r>
    <s v="184B/2019"/>
    <d v="2019-05-21T00:00:00"/>
    <s v="THANH THÚY"/>
    <s v="TH11"/>
    <x v="41"/>
    <x v="47"/>
    <s v="ROBINA"/>
    <m/>
    <s v="18.20"/>
    <n v="150"/>
    <s v="NL2018"/>
    <m/>
    <n v="20"/>
    <n v="3000"/>
    <x v="88"/>
    <n v="24600000"/>
    <x v="2"/>
    <d v="2019-07-01T00:00:00"/>
    <d v="2019-08-01T00:00:00"/>
    <d v="2019-08-01T00:00:00"/>
    <m/>
    <m/>
    <m/>
    <m/>
    <m/>
    <m/>
    <m/>
    <m/>
    <m/>
    <m/>
    <m/>
    <m/>
    <n v="0"/>
    <n v="3000"/>
    <n v="24600000"/>
  </r>
  <r>
    <s v="184B/2019"/>
    <d v="2019-05-21T00:00:00"/>
    <s v="THANH THÚY"/>
    <s v="TH11"/>
    <x v="41"/>
    <x v="8"/>
    <s v="TEBALDI"/>
    <m/>
    <s v="16.18"/>
    <n v="200"/>
    <s v="NL2018"/>
    <m/>
    <n v="10"/>
    <n v="2000"/>
    <x v="20"/>
    <n v="12200000"/>
    <x v="2"/>
    <d v="2019-07-01T00:00:00"/>
    <d v="2019-08-01T00:00:00"/>
    <d v="2019-08-01T00:00:00"/>
    <m/>
    <m/>
    <m/>
    <m/>
    <m/>
    <m/>
    <m/>
    <m/>
    <m/>
    <m/>
    <m/>
    <m/>
    <n v="0"/>
    <n v="2000"/>
    <n v="12200000"/>
  </r>
  <r>
    <s v="184B/2019"/>
    <d v="2019-05-21T00:00:00"/>
    <s v="THANH THÚY"/>
    <s v="TH11"/>
    <x v="41"/>
    <x v="28"/>
    <s v="YELLOWEEN"/>
    <m/>
    <s v="14.16"/>
    <n v="300"/>
    <s v="NL2018"/>
    <m/>
    <n v="7"/>
    <n v="2100"/>
    <x v="57"/>
    <n v="8400000"/>
    <x v="2"/>
    <d v="2019-07-01T00:00:00"/>
    <d v="2019-08-01T00:00:00"/>
    <d v="2019-08-01T00:00:00"/>
    <m/>
    <m/>
    <m/>
    <m/>
    <m/>
    <m/>
    <m/>
    <m/>
    <m/>
    <m/>
    <m/>
    <m/>
    <n v="0"/>
    <n v="2100"/>
    <n v="8400000"/>
  </r>
  <r>
    <s v="184B/2019"/>
    <d v="2019-05-21T00:00:00"/>
    <s v="THANH THÚY"/>
    <s v="TH11"/>
    <x v="41"/>
    <x v="47"/>
    <s v="ROBINA"/>
    <m/>
    <s v="18.20"/>
    <n v="150"/>
    <s v="NL2018"/>
    <m/>
    <n v="20"/>
    <n v="3000"/>
    <x v="88"/>
    <n v="24600000"/>
    <x v="2"/>
    <d v="2019-07-20T00:00:00"/>
    <d v="2019-08-20T00:00:00"/>
    <d v="2019-08-20T00:00:00"/>
    <m/>
    <m/>
    <m/>
    <m/>
    <m/>
    <m/>
    <m/>
    <m/>
    <m/>
    <m/>
    <m/>
    <m/>
    <n v="0"/>
    <n v="3000"/>
    <n v="24600000"/>
  </r>
  <r>
    <s v="184B/2019"/>
    <d v="2019-05-21T00:00:00"/>
    <s v="THANH THÚY"/>
    <s v="TH11"/>
    <x v="41"/>
    <x v="8"/>
    <s v="TEBALDI"/>
    <m/>
    <s v="16.18"/>
    <n v="200"/>
    <s v="NL2018"/>
    <m/>
    <n v="10"/>
    <n v="2000"/>
    <x v="20"/>
    <n v="12200000"/>
    <x v="2"/>
    <d v="2019-07-20T00:00:00"/>
    <d v="2019-08-20T00:00:00"/>
    <d v="2019-08-20T00:00:00"/>
    <m/>
    <m/>
    <m/>
    <m/>
    <m/>
    <m/>
    <m/>
    <m/>
    <m/>
    <m/>
    <m/>
    <m/>
    <n v="0"/>
    <n v="2000"/>
    <n v="12200000"/>
  </r>
  <r>
    <s v="184B/2019"/>
    <d v="2019-05-21T00:00:00"/>
    <s v="THANH THÚY"/>
    <s v="TH11"/>
    <x v="41"/>
    <x v="28"/>
    <s v="YELLOWEEN"/>
    <m/>
    <s v="14.16"/>
    <n v="300"/>
    <s v="NL2018"/>
    <m/>
    <n v="7"/>
    <n v="2100"/>
    <x v="57"/>
    <n v="8400000"/>
    <x v="2"/>
    <d v="2019-07-20T00:00:00"/>
    <d v="2019-08-20T00:00:00"/>
    <d v="2019-08-20T00:00:00"/>
    <m/>
    <m/>
    <m/>
    <m/>
    <m/>
    <m/>
    <m/>
    <m/>
    <m/>
    <m/>
    <m/>
    <m/>
    <n v="0"/>
    <n v="2100"/>
    <n v="8400000"/>
  </r>
  <r>
    <s v="184B/2019"/>
    <d v="2019-05-21T00:00:00"/>
    <s v="THANH THÚY"/>
    <s v="TH11"/>
    <x v="41"/>
    <x v="25"/>
    <s v="CONCADOR"/>
    <m/>
    <s v="18.20"/>
    <n v="150"/>
    <s v="NL2018"/>
    <m/>
    <n v="20"/>
    <n v="3000"/>
    <x v="101"/>
    <n v="23400000"/>
    <x v="2"/>
    <d v="2019-08-01T00:00:00"/>
    <d v="2019-08-30T00:00:00"/>
    <d v="2019-08-30T00:00:00"/>
    <m/>
    <m/>
    <m/>
    <m/>
    <m/>
    <m/>
    <m/>
    <m/>
    <m/>
    <m/>
    <m/>
    <m/>
    <n v="0"/>
    <n v="3000"/>
    <n v="23400000"/>
  </r>
  <r>
    <s v="184B/2019"/>
    <d v="2019-05-21T00:00:00"/>
    <s v="THANH THÚY"/>
    <s v="TH11"/>
    <x v="41"/>
    <x v="47"/>
    <s v="ROBINA"/>
    <m/>
    <s v="18.20"/>
    <n v="150"/>
    <s v="NL2018"/>
    <m/>
    <n v="20"/>
    <n v="3000"/>
    <x v="102"/>
    <n v="24900000"/>
    <x v="2"/>
    <d v="2019-08-01T00:00:00"/>
    <d v="2019-08-30T00:00:00"/>
    <d v="2019-08-30T00:00:00"/>
    <m/>
    <m/>
    <m/>
    <m/>
    <m/>
    <m/>
    <m/>
    <m/>
    <m/>
    <m/>
    <m/>
    <m/>
    <n v="0"/>
    <n v="3000"/>
    <n v="24900000"/>
  </r>
  <r>
    <s v="184B/2019"/>
    <d v="2019-05-21T00:00:00"/>
    <s v="THANH THÚY"/>
    <s v="TH11"/>
    <x v="41"/>
    <x v="8"/>
    <s v="TEBALDI"/>
    <m/>
    <s v="16.18"/>
    <n v="200"/>
    <s v="NL2018"/>
    <m/>
    <n v="10"/>
    <n v="2000"/>
    <x v="9"/>
    <n v="12400000"/>
    <x v="2"/>
    <d v="2019-08-01T00:00:00"/>
    <d v="2019-08-30T00:00:00"/>
    <d v="2019-08-30T00:00:00"/>
    <m/>
    <m/>
    <m/>
    <m/>
    <m/>
    <m/>
    <m/>
    <m/>
    <m/>
    <m/>
    <m/>
    <m/>
    <n v="0"/>
    <n v="2000"/>
    <n v="12400000"/>
  </r>
  <r>
    <s v="184B/2019"/>
    <d v="2019-05-21T00:00:00"/>
    <s v="THANH THÚY"/>
    <s v="TH11"/>
    <x v="41"/>
    <x v="28"/>
    <s v="YELLOWEEN"/>
    <m/>
    <s v="14.16"/>
    <n v="300"/>
    <s v="NL2018"/>
    <m/>
    <n v="7"/>
    <n v="2100"/>
    <x v="3"/>
    <n v="8610000"/>
    <x v="2"/>
    <d v="2019-08-01T00:00:00"/>
    <d v="2019-08-30T00:00:00"/>
    <d v="2019-08-30T00:00:00"/>
    <m/>
    <m/>
    <m/>
    <m/>
    <m/>
    <m/>
    <m/>
    <m/>
    <m/>
    <m/>
    <m/>
    <m/>
    <n v="0"/>
    <n v="2100"/>
    <n v="8610000"/>
  </r>
  <r>
    <s v="180B/2019"/>
    <d v="2019-05-10T00:00:00"/>
    <s v="THANH THÚY"/>
    <s v="TH11"/>
    <x v="41"/>
    <x v="14"/>
    <s v="TARRANGO"/>
    <m/>
    <s v="20.22"/>
    <n v="125"/>
    <s v="NL2018"/>
    <m/>
    <n v="80"/>
    <n v="10000"/>
    <x v="36"/>
    <n v="110000000"/>
    <x v="2"/>
    <d v="2019-09-01T00:00:00"/>
    <d v="2019-09-29T00:00:00"/>
    <d v="2019-09-29T00:00:00"/>
    <m/>
    <m/>
    <m/>
    <m/>
    <m/>
    <m/>
    <m/>
    <m/>
    <m/>
    <m/>
    <m/>
    <m/>
    <n v="0"/>
    <n v="10000"/>
    <n v="110000000"/>
  </r>
  <r>
    <s v="180B/2019"/>
    <d v="2019-05-10T00:00:00"/>
    <s v="THANH THÚY"/>
    <s v="TH11"/>
    <x v="41"/>
    <x v="16"/>
    <s v="ROBINA"/>
    <m/>
    <s v="20.22"/>
    <n v="125"/>
    <s v="NL2018"/>
    <m/>
    <n v="64"/>
    <n v="8000"/>
    <x v="16"/>
    <n v="85600000"/>
    <x v="2"/>
    <d v="2019-09-01T00:00:00"/>
    <d v="2019-09-29T00:00:00"/>
    <d v="2019-09-29T00:00:00"/>
    <m/>
    <m/>
    <m/>
    <m/>
    <m/>
    <m/>
    <m/>
    <m/>
    <m/>
    <m/>
    <m/>
    <m/>
    <n v="0"/>
    <n v="8000"/>
    <n v="85600000"/>
  </r>
  <r>
    <s v="180B/2019"/>
    <d v="2019-05-10T00:00:00"/>
    <s v="THANH THÚY"/>
    <s v="TH11"/>
    <x v="41"/>
    <x v="36"/>
    <s v="MANISSA"/>
    <m/>
    <s v="20.22"/>
    <n v="125"/>
    <s v="NL2018"/>
    <m/>
    <n v="64"/>
    <n v="8000"/>
    <x v="66"/>
    <n v="108800000"/>
    <x v="2"/>
    <d v="2019-09-01T00:00:00"/>
    <d v="2019-09-29T00:00:00"/>
    <d v="2019-09-29T00:00:00"/>
    <m/>
    <m/>
    <m/>
    <m/>
    <m/>
    <m/>
    <m/>
    <m/>
    <m/>
    <m/>
    <m/>
    <m/>
    <n v="0"/>
    <n v="8000"/>
    <n v="108800000"/>
  </r>
  <r>
    <s v="101A/2019"/>
    <d v="2019-03-11T00:00:00"/>
    <s v="KIỀU THY"/>
    <s v="NV01"/>
    <x v="42"/>
    <x v="90"/>
    <s v="CARBONERO"/>
    <m/>
    <n v="16.18"/>
    <s v="200"/>
    <s v="NL2018"/>
    <m/>
    <n v="50"/>
    <n v="10000"/>
    <x v="46"/>
    <n v="60000000"/>
    <x v="0"/>
    <d v="2019-04-17T00:00:00"/>
    <d v="2019-05-21T00:00:00"/>
    <d v="2019-05-21T00:00:00"/>
    <s v="30/3AL"/>
    <m/>
    <m/>
    <m/>
    <d v="2019-05-27T00:00:00"/>
    <n v="10000"/>
    <m/>
    <m/>
    <m/>
    <m/>
    <m/>
    <m/>
    <n v="10000"/>
    <n v="0"/>
    <n v="0"/>
  </r>
  <r>
    <s v="101A/2019"/>
    <d v="2019-03-11T00:00:00"/>
    <s v="KIỀU THY"/>
    <s v="NV01"/>
    <x v="42"/>
    <x v="97"/>
    <s v="LAKE CAREY"/>
    <m/>
    <n v="16.18"/>
    <s v="200"/>
    <s v="NL2018"/>
    <m/>
    <n v="100"/>
    <n v="20000"/>
    <x v="48"/>
    <n v="112000000"/>
    <x v="0"/>
    <d v="2019-04-17T00:00:00"/>
    <d v="2019-05-21T00:00:00"/>
    <d v="2019-05-21T00:00:00"/>
    <s v="15/4AL"/>
    <m/>
    <m/>
    <m/>
    <d v="2019-05-27T00:00:00"/>
    <n v="5000"/>
    <d v="2019-06-04T00:00:00"/>
    <s v="3000"/>
    <d v="2019-06-10T00:00:00"/>
    <s v="12000"/>
    <m/>
    <m/>
    <n v="20000"/>
    <n v="0"/>
    <n v="0"/>
  </r>
  <r>
    <s v="101A/2019"/>
    <d v="2019-05-13T00:00:00"/>
    <s v="KIỀU THY"/>
    <s v="NV01"/>
    <x v="42"/>
    <x v="80"/>
    <s v="PROFUNDO"/>
    <m/>
    <s v="14.16"/>
    <s v="300"/>
    <s v="NL2018"/>
    <m/>
    <n v="50"/>
    <n v="15000"/>
    <x v="18"/>
    <n v="75000000"/>
    <x v="4"/>
    <d v="2019-05-05T00:00:00"/>
    <d v="2019-06-07T00:00:00"/>
    <d v="2019-06-07T00:00:00"/>
    <m/>
    <m/>
    <m/>
    <m/>
    <d v="2019-06-17T00:00:00"/>
    <n v="6000"/>
    <m/>
    <m/>
    <m/>
    <m/>
    <m/>
    <m/>
    <n v="6000"/>
    <n v="9000"/>
    <n v="45000000"/>
  </r>
  <r>
    <s v="101A/2019"/>
    <d v="2019-03-11T00:00:00"/>
    <s v="KIỀU THY"/>
    <s v="NV01"/>
    <x v="42"/>
    <x v="22"/>
    <s v="ROBINA"/>
    <m/>
    <n v="16.18"/>
    <s v="200"/>
    <s v="NL2018"/>
    <m/>
    <n v="25"/>
    <n v="5000"/>
    <x v="77"/>
    <n v="24500000"/>
    <x v="0"/>
    <d v="2019-03-15T00:00:00"/>
    <d v="2019-04-19T00:00:00"/>
    <d v="2019-04-19T00:00:00"/>
    <s v="15/3AL"/>
    <s v="CONT 25/2019"/>
    <d v="2019-04-14T00:00:00"/>
    <m/>
    <d v="2019-04-17T00:00:00"/>
    <n v="5000"/>
    <m/>
    <m/>
    <m/>
    <m/>
    <m/>
    <m/>
    <n v="5000"/>
    <n v="0"/>
    <n v="0"/>
  </r>
  <r>
    <s v="101A/2019"/>
    <d v="2019-04-18T00:00:00"/>
    <s v="KIỀU THY"/>
    <s v="NV01"/>
    <x v="42"/>
    <x v="61"/>
    <s v="BACARDI"/>
    <m/>
    <s v="15.16"/>
    <s v="250"/>
    <s v="NL2018"/>
    <m/>
    <n v="48"/>
    <n v="12000"/>
    <x v="13"/>
    <n v="54000000"/>
    <x v="0"/>
    <d v="2019-03-15T00:00:00"/>
    <d v="2019-04-19T00:00:00"/>
    <d v="2019-04-19T00:00:00"/>
    <s v="15/3AL"/>
    <m/>
    <m/>
    <m/>
    <d v="2019-04-24T00:00:00"/>
    <n v="12000"/>
    <m/>
    <m/>
    <m/>
    <m/>
    <m/>
    <m/>
    <n v="12000"/>
    <n v="0"/>
    <n v="0"/>
  </r>
  <r>
    <s v="201A/2019"/>
    <d v="2019-04-19T00:00:00"/>
    <s v="KIỀU THY"/>
    <s v="NV01"/>
    <x v="42"/>
    <x v="98"/>
    <s v="CONCADOR NEWZELAND"/>
    <m/>
    <s v="18.20"/>
    <s v="150"/>
    <s v="NZ2019"/>
    <m/>
    <n v="54"/>
    <n v="8100"/>
    <x v="103"/>
    <n v="77760000"/>
    <x v="2"/>
    <d v="2019-09-01T00:00:00"/>
    <d v="2019-09-29T00:00:00"/>
    <d v="2019-09-29T00:00:00"/>
    <s v="TẾT"/>
    <m/>
    <m/>
    <m/>
    <m/>
    <m/>
    <m/>
    <m/>
    <m/>
    <m/>
    <m/>
    <m/>
    <n v="0"/>
    <n v="8100"/>
    <n v="77760000"/>
  </r>
  <r>
    <s v="201A/2019"/>
    <d v="2019-04-19T00:00:00"/>
    <s v="KIỀU THY"/>
    <s v="NV01"/>
    <x v="42"/>
    <x v="99"/>
    <s v="PROFUNDO CHILE"/>
    <m/>
    <s v="18.20"/>
    <s v="150"/>
    <s v="CL2019"/>
    <m/>
    <n v="34"/>
    <n v="5100"/>
    <x v="104"/>
    <n v="58650000"/>
    <x v="2"/>
    <d v="2019-09-01T00:00:00"/>
    <d v="2019-09-29T00:00:00"/>
    <d v="2019-09-29T00:00:00"/>
    <s v="TẾT"/>
    <m/>
    <m/>
    <m/>
    <m/>
    <m/>
    <m/>
    <m/>
    <m/>
    <m/>
    <m/>
    <m/>
    <n v="0"/>
    <n v="5100"/>
    <n v="58650000"/>
  </r>
  <r>
    <s v="201A/2019"/>
    <d v="2019-06-14T00:00:00"/>
    <s v="KIỀU THY"/>
    <s v="NV01"/>
    <x v="42"/>
    <x v="10"/>
    <s v="ARVANDRUD"/>
    <m/>
    <n v="16.18"/>
    <s v="200"/>
    <s v="NL2018"/>
    <m/>
    <n v="20"/>
    <n v="4000"/>
    <x v="11"/>
    <n v="21600000"/>
    <x v="4"/>
    <d v="2019-05-20T00:00:00"/>
    <d v="2019-06-22T00:00:00"/>
    <d v="2019-06-22T00:00:00"/>
    <m/>
    <m/>
    <m/>
    <m/>
    <m/>
    <m/>
    <m/>
    <m/>
    <m/>
    <m/>
    <m/>
    <m/>
    <n v="0"/>
    <n v="4000"/>
    <n v="21600000"/>
  </r>
  <r>
    <s v="184A/2019"/>
    <d v="2019-04-09T00:00:00"/>
    <s v="KIỀU THY"/>
    <s v="NT10"/>
    <x v="43"/>
    <x v="28"/>
    <s v="YELLOWEEN"/>
    <m/>
    <s v="14.16"/>
    <s v="300"/>
    <s v="NL2018"/>
    <m/>
    <n v="17"/>
    <n v="5100"/>
    <x v="57"/>
    <n v="20400000"/>
    <x v="1"/>
    <d v="2019-05-05T00:00:00"/>
    <d v="2019-06-07T00:00:00"/>
    <d v="2019-06-07T00:00:00"/>
    <s v="10/4AL"/>
    <m/>
    <m/>
    <m/>
    <m/>
    <m/>
    <m/>
    <m/>
    <m/>
    <m/>
    <m/>
    <m/>
    <n v="0"/>
    <n v="5100"/>
    <n v="20400000"/>
  </r>
  <r>
    <s v="184A/2019"/>
    <d v="2019-05-31T00:00:00"/>
    <s v="KIỀU THY"/>
    <s v="NT10"/>
    <x v="43"/>
    <x v="28"/>
    <s v="YELLOWEEN"/>
    <m/>
    <s v="14.16"/>
    <s v="300"/>
    <s v="NL2018"/>
    <m/>
    <n v="17"/>
    <n v="5100"/>
    <x v="56"/>
    <n v="19890000"/>
    <x v="0"/>
    <d v="2019-04-17T00:00:00"/>
    <d v="2019-05-21T00:00:00"/>
    <d v="2019-05-21T00:00:00"/>
    <m/>
    <m/>
    <m/>
    <m/>
    <d v="2019-06-08T00:00:00"/>
    <n v="5100"/>
    <m/>
    <m/>
    <m/>
    <m/>
    <m/>
    <m/>
    <n v="5100"/>
    <n v="0"/>
    <n v="0"/>
  </r>
  <r>
    <s v="184A/2019"/>
    <d v="2019-06-06T00:00:00"/>
    <s v="KIỀU THY"/>
    <s v="NT10"/>
    <x v="43"/>
    <x v="72"/>
    <s v="YELLOWEEN"/>
    <s v="DN"/>
    <s v="16.18"/>
    <s v="200"/>
    <s v="NL2018"/>
    <m/>
    <n v="0"/>
    <n v="0"/>
    <x v="46"/>
    <n v="0"/>
    <x v="1"/>
    <d v="2019-04-17T00:00:00"/>
    <d v="2019-05-21T00:00:00"/>
    <d v="2019-05-21T00:00:00"/>
    <m/>
    <m/>
    <m/>
    <m/>
    <m/>
    <m/>
    <m/>
    <m/>
    <m/>
    <m/>
    <m/>
    <m/>
    <n v="0"/>
    <n v="0"/>
    <n v="0"/>
  </r>
  <r>
    <s v="184A/2019"/>
    <d v="2019-05-10T00:00:00"/>
    <s v="KIỀU THY"/>
    <s v="NT10"/>
    <x v="43"/>
    <x v="29"/>
    <s v="MANISSA"/>
    <m/>
    <s v="16.18"/>
    <s v="200"/>
    <s v="NL2018"/>
    <m/>
    <n v="18"/>
    <n v="3600"/>
    <x v="33"/>
    <n v="25200000"/>
    <x v="4"/>
    <d v="2019-05-05T00:00:00"/>
    <d v="2019-06-07T00:00:00"/>
    <d v="2019-06-07T00:00:00"/>
    <s v="10/4AL"/>
    <m/>
    <m/>
    <m/>
    <m/>
    <m/>
    <m/>
    <m/>
    <m/>
    <m/>
    <m/>
    <m/>
    <n v="0"/>
    <n v="3600"/>
    <n v="25200000"/>
  </r>
  <r>
    <s v="184A/2019"/>
    <d v="2019-05-10T00:00:00"/>
    <s v="KIỀU THY"/>
    <s v="NT10"/>
    <x v="43"/>
    <x v="29"/>
    <s v="MANISSA"/>
    <m/>
    <s v="16.18"/>
    <s v="200"/>
    <s v="NL2018"/>
    <m/>
    <n v="25"/>
    <n v="5000"/>
    <x v="33"/>
    <n v="35000000"/>
    <x v="3"/>
    <d v="2019-05-18T00:00:00"/>
    <d v="2019-06-20T00:00:00"/>
    <d v="2019-06-20T00:00:00"/>
    <s v="10/4AL"/>
    <m/>
    <m/>
    <m/>
    <m/>
    <m/>
    <m/>
    <m/>
    <m/>
    <m/>
    <m/>
    <m/>
    <n v="0"/>
    <n v="5000"/>
    <n v="35000000"/>
  </r>
  <r>
    <s v="184A/2019"/>
    <d v="2019-05-31T00:00:00"/>
    <s v="KIỀU THY"/>
    <s v="NT10"/>
    <x v="43"/>
    <x v="38"/>
    <s v="YELLOWEEN"/>
    <m/>
    <s v="16.18"/>
    <s v="200"/>
    <s v="NL2018"/>
    <m/>
    <n v="24"/>
    <n v="4800"/>
    <x v="55"/>
    <n v="25440000"/>
    <x v="3"/>
    <d v="2019-06-10T00:00:00"/>
    <d v="2019-07-12T00:00:00"/>
    <d v="2019-07-12T00:00:00"/>
    <s v="10/6AL"/>
    <m/>
    <m/>
    <m/>
    <m/>
    <m/>
    <m/>
    <m/>
    <m/>
    <m/>
    <m/>
    <m/>
    <n v="0"/>
    <n v="4800"/>
    <n v="25440000"/>
  </r>
  <r>
    <s v="99A/2019"/>
    <d v="2019-03-04T00:00:00"/>
    <s v="KIỀU THY"/>
    <s v="NT10"/>
    <x v="43"/>
    <x v="28"/>
    <s v="YELLOWEEN"/>
    <m/>
    <s v="14.16"/>
    <s v="300"/>
    <s v="NL2018"/>
    <m/>
    <n v="16"/>
    <n v="4800"/>
    <x v="6"/>
    <n v="18240000"/>
    <x v="0"/>
    <d v="2019-02-15T00:00:00"/>
    <d v="2019-03-20T00:00:00"/>
    <d v="2019-03-20T00:00:00"/>
    <s v="15/2AL"/>
    <s v="CONT 18/2019"/>
    <d v="2019-03-31T00:00:00"/>
    <m/>
    <d v="2019-04-01T00:00:00"/>
    <n v="4800"/>
    <m/>
    <m/>
    <m/>
    <m/>
    <m/>
    <m/>
    <n v="4800"/>
    <n v="0"/>
    <n v="0"/>
  </r>
  <r>
    <s v="139A/2019"/>
    <d v="2019-03-23T00:00:00"/>
    <s v="KIỀU THY"/>
    <s v="ND02"/>
    <x v="44"/>
    <x v="73"/>
    <s v="YELLOWEEN"/>
    <m/>
    <s v="14.16"/>
    <s v="300"/>
    <s v="NL2017"/>
    <m/>
    <n v="50"/>
    <n v="15000"/>
    <x v="93"/>
    <n v="0"/>
    <x v="1"/>
    <m/>
    <s v=""/>
    <s v=""/>
    <m/>
    <m/>
    <m/>
    <m/>
    <m/>
    <m/>
    <m/>
    <m/>
    <m/>
    <m/>
    <m/>
    <m/>
    <n v="0"/>
    <n v="15000"/>
    <n v="0"/>
  </r>
  <r>
    <s v="139A/2019"/>
    <d v="2019-03-23T00:00:00"/>
    <s v="KIỀU THY"/>
    <s v="ND02"/>
    <x v="44"/>
    <x v="79"/>
    <s v="YELLOWEEN"/>
    <m/>
    <s v="16.18"/>
    <s v="200"/>
    <s v="NL2017"/>
    <m/>
    <n v="0"/>
    <n v="0"/>
    <x v="68"/>
    <n v="0"/>
    <x v="1"/>
    <m/>
    <s v=""/>
    <s v=""/>
    <m/>
    <m/>
    <m/>
    <m/>
    <m/>
    <m/>
    <m/>
    <m/>
    <m/>
    <m/>
    <m/>
    <m/>
    <n v="0"/>
    <n v="0"/>
    <n v="0"/>
  </r>
  <r>
    <s v="139A/2019"/>
    <d v="2019-03-23T00:00:00"/>
    <s v="KIỀU THY"/>
    <s v="ND02"/>
    <x v="44"/>
    <x v="18"/>
    <s v="STENDHAL"/>
    <m/>
    <s v="16.18"/>
    <s v="200"/>
    <s v="NL2017"/>
    <m/>
    <n v="6"/>
    <n v="1200"/>
    <x v="93"/>
    <n v="0"/>
    <x v="0"/>
    <m/>
    <s v=""/>
    <s v=""/>
    <m/>
    <m/>
    <m/>
    <m/>
    <d v="2019-04-22T00:00:00"/>
    <n v="1200"/>
    <m/>
    <m/>
    <m/>
    <m/>
    <m/>
    <m/>
    <n v="1200"/>
    <n v="0"/>
    <n v="0"/>
  </r>
  <r>
    <s v="139A/2019"/>
    <d v="2019-03-23T00:00:00"/>
    <s v="KIỀU THY"/>
    <s v="ND02"/>
    <x v="44"/>
    <x v="86"/>
    <s v="STENDHAL"/>
    <m/>
    <s v="18.20"/>
    <s v="150"/>
    <s v="NL2017"/>
    <m/>
    <n v="41"/>
    <n v="6150"/>
    <x v="93"/>
    <n v="0"/>
    <x v="0"/>
    <m/>
    <s v=""/>
    <s v=""/>
    <m/>
    <m/>
    <m/>
    <m/>
    <d v="2019-04-22T00:00:00"/>
    <n v="6150"/>
    <m/>
    <m/>
    <m/>
    <m/>
    <m/>
    <m/>
    <n v="6150"/>
    <n v="0"/>
    <n v="0"/>
  </r>
  <r>
    <s v="226A/2019"/>
    <d v="2019-05-29T00:00:00"/>
    <s v="KIỀU THY"/>
    <s v="MT05"/>
    <x v="45"/>
    <x v="11"/>
    <s v="YELLOWEEN"/>
    <m/>
    <s v="12.14"/>
    <s v="400"/>
    <s v="NL2018"/>
    <m/>
    <n v="25"/>
    <n v="10000"/>
    <x v="4"/>
    <n v="28000000"/>
    <x v="0"/>
    <d v="2019-04-17T00:00:00"/>
    <d v="2019-05-21T00:00:00"/>
    <d v="2019-05-21T00:00:00"/>
    <m/>
    <m/>
    <m/>
    <m/>
    <d v="2019-05-31T00:00:00"/>
    <n v="10000"/>
    <m/>
    <m/>
    <m/>
    <m/>
    <m/>
    <m/>
    <n v="10000"/>
    <n v="0"/>
    <n v="0"/>
  </r>
  <r>
    <s v="226A/2019"/>
    <d v="2019-05-31T00:00:00"/>
    <s v="KIỀU THY"/>
    <s v="MT05"/>
    <x v="45"/>
    <x v="11"/>
    <s v="YELLOWEEN"/>
    <m/>
    <s v="12.14"/>
    <s v="400"/>
    <s v="NL2018"/>
    <m/>
    <n v="0"/>
    <n v="0"/>
    <x v="4"/>
    <n v="0"/>
    <x v="1"/>
    <d v="2019-04-17T00:00:00"/>
    <d v="2019-05-21T00:00:00"/>
    <d v="2019-05-21T00:00:00"/>
    <m/>
    <m/>
    <m/>
    <m/>
    <m/>
    <m/>
    <m/>
    <m/>
    <m/>
    <m/>
    <m/>
    <m/>
    <n v="0"/>
    <n v="0"/>
    <n v="0"/>
  </r>
  <r>
    <s v="226A/2019"/>
    <d v="2019-05-31T00:00:00"/>
    <s v="KIỀU THY"/>
    <s v="MT05"/>
    <x v="45"/>
    <x v="54"/>
    <s v="MALDANO"/>
    <m/>
    <s v="14.16"/>
    <s v="300"/>
    <s v="NL2018"/>
    <m/>
    <n v="17"/>
    <n v="5100"/>
    <x v="57"/>
    <n v="20400000"/>
    <x v="0"/>
    <d v="2019-05-05T00:00:00"/>
    <d v="2019-06-07T00:00:00"/>
    <d v="2019-06-07T00:00:00"/>
    <m/>
    <m/>
    <m/>
    <m/>
    <d v="2019-06-13T00:00:00"/>
    <n v="5100"/>
    <m/>
    <m/>
    <m/>
    <m/>
    <m/>
    <m/>
    <n v="5100"/>
    <n v="0"/>
    <n v="0"/>
  </r>
  <r>
    <s v="224A/2019"/>
    <d v="2019-05-27T00:00:00"/>
    <s v="KIỀU THY"/>
    <s v="MP05"/>
    <x v="46"/>
    <x v="11"/>
    <s v="YELLOWEEN"/>
    <m/>
    <s v="12.14"/>
    <s v="400"/>
    <s v="NL2018"/>
    <m/>
    <n v="9"/>
    <n v="3600"/>
    <x v="47"/>
    <n v="9720000"/>
    <x v="0"/>
    <d v="2019-03-15T00:00:00"/>
    <d v="2019-04-19T00:00:00"/>
    <d v="2019-04-19T00:00:00"/>
    <m/>
    <m/>
    <m/>
    <m/>
    <d v="2019-05-27T00:00:00"/>
    <n v="3600"/>
    <m/>
    <m/>
    <m/>
    <m/>
    <m/>
    <m/>
    <n v="3600"/>
    <n v="0"/>
    <n v="0"/>
  </r>
  <r>
    <s v="108B/2019"/>
    <d v="2019-03-12T00:00:00"/>
    <s v="THANH THÚY"/>
    <s v="CT04"/>
    <x v="47"/>
    <x v="25"/>
    <s v="CONCADOR"/>
    <m/>
    <s v="18.20"/>
    <s v="150"/>
    <s v="NL2018"/>
    <m/>
    <n v="40"/>
    <n v="6000"/>
    <x v="35"/>
    <n v="43200000"/>
    <x v="2"/>
    <m/>
    <s v=""/>
    <s v=""/>
    <s v="TẾT"/>
    <m/>
    <m/>
    <m/>
    <m/>
    <n v="0"/>
    <m/>
    <m/>
    <m/>
    <m/>
    <m/>
    <m/>
    <n v="0"/>
    <n v="6000"/>
    <n v="43200000"/>
  </r>
  <r>
    <s v="108B/2019"/>
    <d v="2019-03-12T00:00:00"/>
    <s v="THANH THÚY"/>
    <s v="CT04"/>
    <x v="47"/>
    <x v="100"/>
    <s v="ZIVA"/>
    <s v="RL_POT"/>
    <s v="12.14"/>
    <n v="400"/>
    <s v="NL2018"/>
    <m/>
    <n v="3"/>
    <n v="1200"/>
    <x v="105"/>
    <n v="9906000"/>
    <x v="2"/>
    <m/>
    <s v=""/>
    <s v=""/>
    <s v="TẾT"/>
    <m/>
    <m/>
    <m/>
    <m/>
    <n v="0"/>
    <m/>
    <m/>
    <m/>
    <m/>
    <m/>
    <m/>
    <n v="0"/>
    <n v="1200"/>
    <n v="9906000"/>
  </r>
  <r>
    <s v="108B/2019"/>
    <d v="2019-03-12T00:00:00"/>
    <s v="THANH THÚY"/>
    <s v="CT04"/>
    <x v="47"/>
    <x v="101"/>
    <s v="ZIVA"/>
    <s v="RL_POT"/>
    <s v="14.16"/>
    <n v="300"/>
    <s v="NL2018"/>
    <m/>
    <n v="2"/>
    <n v="600"/>
    <x v="106"/>
    <n v="7140000"/>
    <x v="2"/>
    <m/>
    <s v=""/>
    <s v=""/>
    <s v="TẾT"/>
    <m/>
    <m/>
    <m/>
    <m/>
    <n v="0"/>
    <m/>
    <m/>
    <m/>
    <m/>
    <m/>
    <m/>
    <n v="0"/>
    <n v="600"/>
    <n v="7140000"/>
  </r>
  <r>
    <s v="243/2019"/>
    <d v="2019-06-14T00:00:00"/>
    <s v="KIỀU THY"/>
    <s v="VT21"/>
    <x v="48"/>
    <x v="6"/>
    <s v="CONCADOR"/>
    <m/>
    <s v="20.22"/>
    <s v="125"/>
    <s v="NL2018"/>
    <m/>
    <n v="12"/>
    <n v="1500"/>
    <x v="7"/>
    <n v="15900000"/>
    <x v="2"/>
    <d v="2019-09-01T00:00:00"/>
    <d v="2019-09-29T00:00:00"/>
    <d v="2019-09-29T00:00:00"/>
    <m/>
    <m/>
    <m/>
    <m/>
    <m/>
    <m/>
    <m/>
    <m/>
    <m/>
    <m/>
    <m/>
    <m/>
    <n v="0"/>
    <n v="1500"/>
    <n v="15900000"/>
  </r>
  <r>
    <s v="243/2019"/>
    <d v="2019-06-14T00:00:00"/>
    <s v="KIỀU THY"/>
    <s v="VT21"/>
    <x v="48"/>
    <x v="16"/>
    <s v="ROBINA"/>
    <m/>
    <s v="20.22"/>
    <s v="125"/>
    <s v="NL2018"/>
    <m/>
    <n v="28"/>
    <n v="3500"/>
    <x v="16"/>
    <n v="37450000"/>
    <x v="2"/>
    <d v="2019-09-01T00:00:00"/>
    <d v="2019-09-29T00:00:00"/>
    <d v="2019-09-29T00:00:00"/>
    <m/>
    <m/>
    <m/>
    <m/>
    <m/>
    <m/>
    <m/>
    <m/>
    <m/>
    <m/>
    <m/>
    <m/>
    <n v="0"/>
    <n v="3500"/>
    <n v="37450000"/>
  </r>
  <r>
    <s v="94A/2019"/>
    <d v="2019-03-07T00:00:00"/>
    <s v="KIỀU THY"/>
    <s v="VT13"/>
    <x v="49"/>
    <x v="34"/>
    <s v="TARRANGO"/>
    <m/>
    <s v="16.18"/>
    <n v="200"/>
    <s v="NL2018"/>
    <m/>
    <n v="0"/>
    <n v="0"/>
    <x v="44"/>
    <n v="0"/>
    <x v="1"/>
    <d v="2019-04-17T00:00:00"/>
    <d v="2019-05-21T00:00:00"/>
    <d v="2019-05-21T00:00:00"/>
    <s v="17/4AL"/>
    <m/>
    <m/>
    <m/>
    <m/>
    <n v="0"/>
    <m/>
    <m/>
    <m/>
    <m/>
    <m/>
    <m/>
    <n v="0"/>
    <n v="0"/>
    <n v="0"/>
  </r>
  <r>
    <s v="214A/2019"/>
    <d v="2019-05-02T00:00:00"/>
    <s v="KIỀU THY"/>
    <s v="VT13"/>
    <x v="49"/>
    <x v="22"/>
    <s v="ROBINA"/>
    <m/>
    <s v="16.18"/>
    <n v="200"/>
    <s v="NL2018"/>
    <m/>
    <n v="39"/>
    <n v="7800"/>
    <x v="55"/>
    <n v="41340000"/>
    <x v="0"/>
    <d v="2019-03-15T00:00:00"/>
    <d v="2019-04-19T00:00:00"/>
    <d v="2019-04-19T00:00:00"/>
    <s v="15/3AL"/>
    <m/>
    <m/>
    <m/>
    <d v="2019-05-20T00:00:00"/>
    <n v="7800"/>
    <m/>
    <m/>
    <m/>
    <m/>
    <m/>
    <m/>
    <n v="7800"/>
    <n v="0"/>
    <n v="0"/>
  </r>
  <r>
    <s v="94A/2019"/>
    <d v="2019-03-07T00:00:00"/>
    <s v="KIỀU THY"/>
    <s v="VT13"/>
    <x v="49"/>
    <x v="102"/>
    <s v="COMPETITION"/>
    <m/>
    <s v="16.18"/>
    <n v="200"/>
    <s v="NL2018"/>
    <m/>
    <n v="50"/>
    <n v="10000"/>
    <x v="32"/>
    <n v="68000000"/>
    <x v="0"/>
    <d v="2019-03-15T00:00:00"/>
    <d v="2019-04-19T00:00:00"/>
    <d v="2019-04-19T00:00:00"/>
    <s v="15/3AL"/>
    <m/>
    <m/>
    <m/>
    <d v="2019-04-23T00:00:00"/>
    <n v="5000"/>
    <d v="2019-05-20T00:00:00"/>
    <s v="5000"/>
    <m/>
    <m/>
    <m/>
    <m/>
    <n v="10000"/>
    <n v="0"/>
    <n v="0"/>
  </r>
  <r>
    <s v="94A/2019"/>
    <d v="2019-03-07T00:00:00"/>
    <s v="KIỀU THY"/>
    <s v="VT13"/>
    <x v="49"/>
    <x v="34"/>
    <s v="TARRANGO"/>
    <m/>
    <s v="16.18"/>
    <n v="200"/>
    <s v="NL2018"/>
    <m/>
    <n v="50"/>
    <n v="10000"/>
    <x v="44"/>
    <n v="55000000"/>
    <x v="0"/>
    <d v="2019-03-15T00:00:00"/>
    <d v="2019-04-19T00:00:00"/>
    <d v="2019-04-19T00:00:00"/>
    <s v="15/3AL"/>
    <s v="CONT 26/2019"/>
    <d v="2019-04-14T00:00:00"/>
    <m/>
    <d v="2019-04-23T00:00:00"/>
    <n v="9000"/>
    <d v="2019-05-13T00:00:00"/>
    <s v="1000"/>
    <m/>
    <m/>
    <m/>
    <m/>
    <n v="10000"/>
    <n v="0"/>
    <n v="0"/>
  </r>
  <r>
    <s v="94A/2019"/>
    <d v="2019-03-07T00:00:00"/>
    <s v="KIỀU THY"/>
    <s v="VT13"/>
    <x v="49"/>
    <x v="34"/>
    <s v="TARRANGO"/>
    <m/>
    <s v="16.18"/>
    <n v="200"/>
    <s v="NL2018"/>
    <m/>
    <n v="40"/>
    <n v="8000"/>
    <x v="44"/>
    <n v="44000000"/>
    <x v="0"/>
    <d v="2019-03-15T00:00:00"/>
    <d v="2019-04-19T00:00:00"/>
    <d v="2019-04-19T00:00:00"/>
    <s v="15/3AL"/>
    <s v="CONT 26/2019"/>
    <d v="2019-04-14T00:00:00"/>
    <m/>
    <d v="2019-05-13T00:00:00"/>
    <n v="8000"/>
    <m/>
    <m/>
    <m/>
    <m/>
    <m/>
    <m/>
    <n v="8000"/>
    <n v="0"/>
    <n v="0"/>
  </r>
  <r>
    <s v="94A/2019"/>
    <d v="2019-05-27T00:00:00"/>
    <s v="KIỀU THY"/>
    <s v="VT13"/>
    <x v="49"/>
    <x v="15"/>
    <s v="CONCADOR"/>
    <m/>
    <s v="16.18"/>
    <n v="200"/>
    <s v="NL2018"/>
    <m/>
    <n v="32"/>
    <n v="6400"/>
    <x v="54"/>
    <n v="40960000"/>
    <x v="0"/>
    <d v="2019-04-17T00:00:00"/>
    <d v="2019-05-21T00:00:00"/>
    <d v="2019-05-21T00:00:00"/>
    <m/>
    <m/>
    <m/>
    <m/>
    <d v="2019-06-10T00:00:00"/>
    <n v="6400"/>
    <m/>
    <m/>
    <m/>
    <m/>
    <m/>
    <m/>
    <n v="6400"/>
    <n v="0"/>
    <n v="0"/>
  </r>
  <r>
    <s v="94A/2019"/>
    <d v="2019-03-07T00:00:00"/>
    <s v="KIỀU THY"/>
    <s v="VT13"/>
    <x v="49"/>
    <x v="102"/>
    <s v="COMPETITION"/>
    <m/>
    <s v="16.18"/>
    <n v="200"/>
    <s v="NL2018"/>
    <m/>
    <n v="50"/>
    <n v="10000"/>
    <x v="107"/>
    <n v="68850000"/>
    <x v="0"/>
    <d v="2019-05-05T00:00:00"/>
    <d v="2019-06-07T00:00:00"/>
    <d v="2019-06-07T00:00:00"/>
    <s v="19/4AL"/>
    <s v="CONT 20/2019"/>
    <d v="2019-04-14T00:00:00"/>
    <m/>
    <d v="2019-06-10T00:00:00"/>
    <n v="10000"/>
    <m/>
    <m/>
    <m/>
    <m/>
    <m/>
    <m/>
    <n v="10000"/>
    <n v="0"/>
    <n v="0"/>
  </r>
  <r>
    <s v="94A/2019"/>
    <d v="2019-03-07T00:00:00"/>
    <s v="KIỀU THY"/>
    <s v="VT13"/>
    <x v="49"/>
    <x v="102"/>
    <s v="COMPETITION"/>
    <m/>
    <s v="16.18"/>
    <n v="200"/>
    <s v="NL2018"/>
    <m/>
    <n v="50"/>
    <n v="10000"/>
    <x v="107"/>
    <n v="68850000"/>
    <x v="0"/>
    <d v="2019-05-05T00:00:00"/>
    <d v="2019-06-07T00:00:00"/>
    <d v="2019-06-07T00:00:00"/>
    <s v="17/4AL"/>
    <m/>
    <m/>
    <m/>
    <d v="2019-06-17T00:00:00"/>
    <n v="10000"/>
    <m/>
    <m/>
    <m/>
    <m/>
    <m/>
    <m/>
    <n v="10000"/>
    <n v="0"/>
    <n v="0"/>
  </r>
  <r>
    <s v="94A/2019"/>
    <d v="2019-05-02T00:00:00"/>
    <s v="KIỀU THY"/>
    <s v="VT13"/>
    <x v="49"/>
    <x v="22"/>
    <s v="ROBINA"/>
    <m/>
    <s v="16.18"/>
    <n v="200"/>
    <s v="NL2018"/>
    <m/>
    <n v="50"/>
    <n v="10000"/>
    <x v="44"/>
    <n v="55000000"/>
    <x v="3"/>
    <d v="2019-05-18T00:00:00"/>
    <d v="2019-06-20T00:00:00"/>
    <d v="2019-06-20T00:00:00"/>
    <m/>
    <m/>
    <m/>
    <m/>
    <m/>
    <m/>
    <m/>
    <m/>
    <m/>
    <m/>
    <m/>
    <m/>
    <n v="0"/>
    <n v="10000"/>
    <n v="55000000"/>
  </r>
  <r>
    <s v="94A/2019"/>
    <d v="2019-05-02T00:00:00"/>
    <s v="KIỀU THY"/>
    <s v="VT13"/>
    <x v="49"/>
    <x v="25"/>
    <s v="CONCADOR"/>
    <m/>
    <s v="18.20"/>
    <n v="150"/>
    <s v="NL2018"/>
    <m/>
    <n v="67"/>
    <n v="10050"/>
    <x v="108"/>
    <n v="76380000"/>
    <x v="3"/>
    <d v="2019-06-15T00:00:00"/>
    <d v="2019-07-17T00:00:00"/>
    <d v="2019-07-17T00:00:00"/>
    <m/>
    <m/>
    <m/>
    <m/>
    <m/>
    <m/>
    <m/>
    <m/>
    <m/>
    <m/>
    <m/>
    <m/>
    <n v="0"/>
    <n v="10050"/>
    <n v="76380000"/>
  </r>
  <r>
    <s v="94A/2019"/>
    <d v="2019-06-12T00:00:00"/>
    <s v="KIỀU THY"/>
    <s v="VT13"/>
    <x v="49"/>
    <x v="28"/>
    <s v="YELLOWEEN"/>
    <m/>
    <s v="14.16"/>
    <n v="300"/>
    <s v="NL2018"/>
    <m/>
    <n v="34"/>
    <n v="10200"/>
    <x v="57"/>
    <n v="40800000"/>
    <x v="3"/>
    <d v="2019-06-15T00:00:00"/>
    <d v="2019-07-17T00:00:00"/>
    <d v="2019-07-17T00:00:00"/>
    <m/>
    <m/>
    <m/>
    <m/>
    <m/>
    <m/>
    <m/>
    <m/>
    <m/>
    <m/>
    <m/>
    <m/>
    <n v="0"/>
    <n v="10200"/>
    <n v="40800000"/>
  </r>
  <r>
    <s v="214A/2019"/>
    <d v="2019-05-02T00:00:00"/>
    <s v="KIỀU THY"/>
    <s v="VT13"/>
    <x v="49"/>
    <x v="25"/>
    <s v="CONCADOR"/>
    <m/>
    <s v="18.20"/>
    <n v="150"/>
    <s v="NL2018"/>
    <m/>
    <n v="0"/>
    <n v="0"/>
    <x v="5"/>
    <n v="0"/>
    <x v="1"/>
    <d v="2019-07-01T00:00:00"/>
    <d v="2019-08-01T00:00:00"/>
    <d v="2019-08-01T00:00:00"/>
    <m/>
    <m/>
    <m/>
    <m/>
    <m/>
    <m/>
    <m/>
    <m/>
    <m/>
    <m/>
    <m/>
    <m/>
    <n v="0"/>
    <n v="0"/>
    <n v="0"/>
  </r>
  <r>
    <s v="94A/2019"/>
    <d v="2019-06-08T00:00:00"/>
    <s v="KIỀU THY"/>
    <s v="VT13"/>
    <x v="49"/>
    <x v="22"/>
    <s v="ROBINA"/>
    <m/>
    <s v="16.18"/>
    <n v="200"/>
    <s v="NL2018"/>
    <m/>
    <n v="50"/>
    <n v="10000"/>
    <x v="24"/>
    <n v="57000000"/>
    <x v="2"/>
    <d v="2019-07-01T00:00:00"/>
    <d v="2019-08-01T00:00:00"/>
    <d v="2019-08-01T00:00:00"/>
    <m/>
    <m/>
    <m/>
    <m/>
    <m/>
    <m/>
    <m/>
    <m/>
    <m/>
    <m/>
    <m/>
    <m/>
    <n v="0"/>
    <n v="10000"/>
    <n v="57000000"/>
  </r>
  <r>
    <s v="94A/2019"/>
    <d v="2019-06-12T00:00:00"/>
    <s v="KIỀU THY"/>
    <s v="VT13"/>
    <x v="49"/>
    <x v="28"/>
    <s v="YELLOWEEN"/>
    <m/>
    <s v="14.16"/>
    <n v="300"/>
    <s v="NL2018"/>
    <m/>
    <n v="34"/>
    <n v="10200"/>
    <x v="3"/>
    <n v="41820000"/>
    <x v="2"/>
    <d v="2019-08-01T00:00:00"/>
    <d v="2019-08-30T00:00:00"/>
    <d v="2019-08-30T00:00:00"/>
    <m/>
    <m/>
    <m/>
    <m/>
    <m/>
    <m/>
    <m/>
    <m/>
    <m/>
    <m/>
    <m/>
    <m/>
    <n v="0"/>
    <n v="10200"/>
    <n v="41820000"/>
  </r>
  <r>
    <s v="94A/2019"/>
    <d v="2019-06-08T00:00:00"/>
    <s v="KIỀU THY"/>
    <s v="VT13"/>
    <x v="49"/>
    <x v="22"/>
    <s v="ROBINA"/>
    <m/>
    <s v="16.18"/>
    <n v="200"/>
    <s v="NL2018"/>
    <m/>
    <n v="50"/>
    <n v="10000"/>
    <x v="26"/>
    <n v="58000000"/>
    <x v="2"/>
    <d v="2019-08-01T00:00:00"/>
    <d v="2019-08-30T00:00:00"/>
    <d v="2019-08-30T00:00:00"/>
    <m/>
    <m/>
    <m/>
    <m/>
    <m/>
    <m/>
    <m/>
    <m/>
    <m/>
    <m/>
    <m/>
    <m/>
    <n v="0"/>
    <n v="10000"/>
    <n v="58000000"/>
  </r>
  <r>
    <s v="246/2019"/>
    <d v="2019-06-17T00:00:00"/>
    <s v="KIỀU THY"/>
    <s v="VT13"/>
    <x v="49"/>
    <x v="6"/>
    <s v="CONCADOR"/>
    <m/>
    <s v="20.22"/>
    <s v="125"/>
    <s v="NL2018"/>
    <m/>
    <n v="80"/>
    <n v="10000"/>
    <x v="7"/>
    <n v="106000000"/>
    <x v="2"/>
    <d v="2019-09-01T00:00:00"/>
    <d v="2019-09-29T00:00:00"/>
    <d v="2019-09-29T00:00:00"/>
    <m/>
    <m/>
    <m/>
    <m/>
    <m/>
    <m/>
    <m/>
    <m/>
    <m/>
    <m/>
    <m/>
    <m/>
    <n v="0"/>
    <n v="10000"/>
    <n v="106000000"/>
  </r>
  <r>
    <s v="214A/2019"/>
    <d v="2019-05-02T00:00:00"/>
    <s v="KIỀU THY"/>
    <s v="VT13"/>
    <x v="49"/>
    <x v="25"/>
    <s v="CONCADOR"/>
    <m/>
    <s v="18.20"/>
    <n v="150"/>
    <s v="NL2018"/>
    <m/>
    <n v="0"/>
    <m/>
    <x v="109"/>
    <m/>
    <x v="1"/>
    <m/>
    <s v=""/>
    <s v=""/>
    <m/>
    <m/>
    <m/>
    <m/>
    <m/>
    <m/>
    <m/>
    <m/>
    <m/>
    <m/>
    <m/>
    <m/>
    <n v="0"/>
    <n v="0"/>
    <e v="#VALUE!"/>
  </r>
  <r>
    <s v="214A/2019"/>
    <d v="2019-05-02T00:00:00"/>
    <s v="KIỀU THY"/>
    <s v="VT13"/>
    <x v="49"/>
    <x v="22"/>
    <s v="ROBINA"/>
    <m/>
    <s v="16.18"/>
    <n v="200"/>
    <s v="NL2018"/>
    <m/>
    <n v="0"/>
    <n v="0"/>
    <x v="93"/>
    <m/>
    <x v="1"/>
    <m/>
    <s v=""/>
    <s v=""/>
    <m/>
    <m/>
    <m/>
    <m/>
    <m/>
    <m/>
    <m/>
    <m/>
    <m/>
    <m/>
    <m/>
    <m/>
    <n v="0"/>
    <n v="0"/>
    <n v="0"/>
  </r>
  <r>
    <s v="246/2019"/>
    <d v="2019-06-14T00:00:00"/>
    <s v="KIỀU THY"/>
    <s v="VN08"/>
    <x v="50"/>
    <x v="10"/>
    <s v="ARVANDRUD"/>
    <m/>
    <s v="16.18"/>
    <s v="200"/>
    <s v="NL2018"/>
    <m/>
    <n v="75"/>
    <n v="15000"/>
    <x v="44"/>
    <n v="82500000"/>
    <x v="0"/>
    <d v="2019-05-15T00:00:00"/>
    <d v="2019-06-17T00:00:00"/>
    <d v="2019-06-17T00:00:00"/>
    <m/>
    <m/>
    <m/>
    <m/>
    <d v="2019-06-17T00:00:00"/>
    <n v="15000"/>
    <m/>
    <m/>
    <m/>
    <m/>
    <m/>
    <m/>
    <n v="15000"/>
    <n v="0"/>
    <n v="0"/>
  </r>
  <r>
    <s v="37B/2019"/>
    <d v="2019-02-11T00:00:00"/>
    <s v="THANH THÚY"/>
    <s v="VD02"/>
    <x v="51"/>
    <x v="73"/>
    <s v="YELLOWEEN"/>
    <m/>
    <s v="14.16"/>
    <n v="300"/>
    <s v="NL2017"/>
    <m/>
    <n v="26"/>
    <n v="7800"/>
    <x v="93"/>
    <n v="0"/>
    <x v="0"/>
    <m/>
    <s v=""/>
    <s v=""/>
    <m/>
    <m/>
    <m/>
    <m/>
    <d v="2019-04-02T00:00:00"/>
    <n v="7800"/>
    <m/>
    <m/>
    <m/>
    <m/>
    <m/>
    <m/>
    <n v="7800"/>
    <n v="0"/>
    <n v="0"/>
  </r>
  <r>
    <s v="37B/2019"/>
    <d v="2019-02-11T00:00:00"/>
    <s v="THANH THÚY"/>
    <s v="VD02"/>
    <x v="51"/>
    <x v="103"/>
    <s v="LARGO"/>
    <m/>
    <s v="16.18"/>
    <n v="200"/>
    <s v="NL2018"/>
    <m/>
    <n v="147"/>
    <n v="29400"/>
    <x v="44"/>
    <n v="161700000"/>
    <x v="0"/>
    <d v="2019-03-15T00:00:00"/>
    <d v="2019-04-19T00:00:00"/>
    <d v="2019-04-19T00:00:00"/>
    <s v="15/3AL"/>
    <s v="CONT 27/2019"/>
    <m/>
    <m/>
    <d v="2019-05-03T00:00:00"/>
    <n v="29400"/>
    <m/>
    <m/>
    <m/>
    <m/>
    <m/>
    <m/>
    <n v="29400"/>
    <n v="0"/>
    <n v="0"/>
  </r>
  <r>
    <s v="37B/2019"/>
    <d v="2019-02-11T00:00:00"/>
    <s v="THANH THÚY"/>
    <s v="VD02"/>
    <x v="51"/>
    <x v="68"/>
    <s v="TEBALDI"/>
    <m/>
    <s v="12.14"/>
    <n v="400"/>
    <s v="NL2018"/>
    <m/>
    <n v="25"/>
    <n v="10000"/>
    <x v="4"/>
    <n v="28000000"/>
    <x v="0"/>
    <s v="29-Feb-19"/>
    <d v="2019-04-03T00:00:00"/>
    <d v="2019-04-03T00:00:00"/>
    <s v="30/2AL"/>
    <s v="CONT 15/2019"/>
    <m/>
    <m/>
    <d v="2019-04-02T00:00:00"/>
    <n v="10000"/>
    <m/>
    <m/>
    <m/>
    <m/>
    <m/>
    <m/>
    <n v="10000"/>
    <n v="0"/>
    <n v="0"/>
  </r>
  <r>
    <s v="37B/2019"/>
    <d v="2019-02-11T00:00:00"/>
    <s v="THANH THÚY"/>
    <s v="VD02"/>
    <x v="51"/>
    <x v="11"/>
    <s v="YELLOWEEN"/>
    <m/>
    <s v="12.14"/>
    <n v="400"/>
    <s v="NL2018"/>
    <m/>
    <n v="65"/>
    <n v="26000"/>
    <x v="12"/>
    <n v="67600000"/>
    <x v="0"/>
    <d v="2019-01-15T00:00:00"/>
    <d v="2019-02-19T00:00:00"/>
    <d v="2019-02-19T00:00:00"/>
    <s v="15/1AL"/>
    <m/>
    <m/>
    <m/>
    <d v="2019-02-26T00:00:00"/>
    <n v="26000"/>
    <m/>
    <m/>
    <m/>
    <m/>
    <m/>
    <m/>
    <n v="26000"/>
    <n v="0"/>
    <n v="0"/>
  </r>
  <r>
    <s v="37B/2019"/>
    <d v="2019-02-11T00:00:00"/>
    <s v="THANH THÚY"/>
    <s v="VD02"/>
    <x v="51"/>
    <x v="11"/>
    <s v="YELLOWEEN"/>
    <m/>
    <s v="12.14"/>
    <n v="400"/>
    <s v="NL2018"/>
    <m/>
    <n v="50"/>
    <n v="20000"/>
    <x v="12"/>
    <n v="52000000"/>
    <x v="0"/>
    <d v="2019-03-15T00:00:00"/>
    <d v="2019-04-19T00:00:00"/>
    <d v="2019-04-19T00:00:00"/>
    <s v="15/3AL"/>
    <s v="CONT 26/2019"/>
    <m/>
    <m/>
    <d v="2019-04-25T00:00:00"/>
    <n v="20000"/>
    <m/>
    <m/>
    <m/>
    <m/>
    <m/>
    <m/>
    <n v="20000"/>
    <n v="0"/>
    <n v="0"/>
  </r>
  <r>
    <s v="37B/2019"/>
    <d v="2019-02-11T00:00:00"/>
    <s v="THANH THÚY"/>
    <s v="VD02"/>
    <x v="51"/>
    <x v="28"/>
    <s v="YELLOWEEN"/>
    <m/>
    <s v="14.16"/>
    <n v="300"/>
    <s v="NL2018"/>
    <m/>
    <n v="67"/>
    <n v="20100"/>
    <x v="25"/>
    <n v="72360000"/>
    <x v="0"/>
    <d v="2019-03-15T00:00:00"/>
    <d v="2019-04-19T00:00:00"/>
    <d v="2019-04-19T00:00:00"/>
    <s v="15/3AL"/>
    <s v="CONT 27/2019"/>
    <m/>
    <m/>
    <d v="2019-04-25T00:00:00"/>
    <n v="20100"/>
    <m/>
    <m/>
    <m/>
    <m/>
    <m/>
    <m/>
    <n v="20100"/>
    <n v="0"/>
    <n v="0"/>
  </r>
  <r>
    <s v="37B/2019"/>
    <d v="2019-05-31T00:00:00"/>
    <s v="THANH THÚY"/>
    <s v="VD02"/>
    <x v="51"/>
    <x v="28"/>
    <s v="YELLOWEEN"/>
    <m/>
    <s v="14.16"/>
    <n v="300"/>
    <s v="NL2018"/>
    <m/>
    <n v="100"/>
    <n v="30000"/>
    <x v="56"/>
    <n v="117000000"/>
    <x v="3"/>
    <d v="2019-05-30T00:00:00"/>
    <d v="2019-07-02T00:00:00"/>
    <d v="2019-07-02T00:00:00"/>
    <m/>
    <m/>
    <m/>
    <m/>
    <m/>
    <m/>
    <m/>
    <m/>
    <m/>
    <m/>
    <m/>
    <m/>
    <n v="0"/>
    <n v="30000"/>
    <n v="117000000"/>
  </r>
  <r>
    <s v="175B/2019"/>
    <d v="2019-04-23T00:00:00"/>
    <s v="THANH THÚY"/>
    <s v="VD02"/>
    <x v="51"/>
    <x v="104"/>
    <s v="LARGO"/>
    <m/>
    <s v="22.24"/>
    <n v="100"/>
    <s v="NL2018"/>
    <m/>
    <n v="200"/>
    <n v="20000"/>
    <x v="110"/>
    <n v="228000000"/>
    <x v="2"/>
    <d v="2019-09-01T00:00:00"/>
    <d v="2019-09-29T00:00:00"/>
    <d v="2019-09-29T00:00:00"/>
    <s v="TẾT"/>
    <m/>
    <m/>
    <m/>
    <m/>
    <n v="0"/>
    <m/>
    <m/>
    <m/>
    <m/>
    <m/>
    <m/>
    <n v="0"/>
    <n v="20000"/>
    <n v="228000000"/>
  </r>
  <r>
    <s v="67A/2019"/>
    <d v="2019-02-22T00:00:00"/>
    <s v="KIỀU THY"/>
    <s v="VC01"/>
    <x v="52"/>
    <x v="28"/>
    <s v="YELLOWEEN"/>
    <m/>
    <s v="14.16"/>
    <n v="300"/>
    <s v="NL2018"/>
    <m/>
    <n v="17"/>
    <n v="5100"/>
    <x v="6"/>
    <n v="19380000"/>
    <x v="0"/>
    <d v="2019-03-15T00:00:00"/>
    <d v="2019-04-19T00:00:00"/>
    <d v="2019-04-19T00:00:00"/>
    <s v="15/3AL"/>
    <m/>
    <m/>
    <m/>
    <d v="2019-04-05T00:00:00"/>
    <n v="5100"/>
    <m/>
    <m/>
    <m/>
    <m/>
    <m/>
    <m/>
    <n v="5100"/>
    <n v="0"/>
    <n v="0"/>
  </r>
  <r>
    <s v="67A/2019"/>
    <d v="2019-02-22T00:00:00"/>
    <s v="KIỀU THY"/>
    <s v="VC01"/>
    <x v="52"/>
    <x v="11"/>
    <s v="YELLOWEEN"/>
    <m/>
    <s v="12.14"/>
    <n v="400"/>
    <s v="NL2018"/>
    <m/>
    <n v="37"/>
    <n v="14800"/>
    <x v="47"/>
    <n v="39960000"/>
    <x v="4"/>
    <d v="2019-04-17T00:00:00"/>
    <d v="2019-05-21T00:00:00"/>
    <d v="2019-05-21T00:00:00"/>
    <s v="10/4AL"/>
    <m/>
    <m/>
    <m/>
    <d v="2019-06-04T00:00:00"/>
    <n v="10000"/>
    <m/>
    <m/>
    <m/>
    <m/>
    <m/>
    <m/>
    <n v="10000"/>
    <n v="4800"/>
    <n v="12960000"/>
  </r>
  <r>
    <s v="67A/2019"/>
    <d v="2019-06-17T00:00:00"/>
    <s v="KIỀU THY"/>
    <s v="VC01"/>
    <x v="52"/>
    <x v="28"/>
    <s v="YELLOWEEN"/>
    <m/>
    <s v="14.16"/>
    <n v="300"/>
    <s v="NL2018"/>
    <m/>
    <n v="17"/>
    <n v="5100"/>
    <x v="56"/>
    <n v="19890000"/>
    <x v="3"/>
    <d v="2019-05-30T00:00:00"/>
    <d v="2019-07-02T00:00:00"/>
    <d v="2019-07-02T00:00:00"/>
    <s v="Hà Nội chuyển vô"/>
    <m/>
    <m/>
    <m/>
    <m/>
    <m/>
    <m/>
    <m/>
    <m/>
    <m/>
    <m/>
    <m/>
    <n v="0"/>
    <n v="5100"/>
    <n v="19890000"/>
  </r>
  <r>
    <s v="67A/2019"/>
    <d v="2019-05-17T00:00:00"/>
    <s v="KIỀU THY"/>
    <s v="VC01"/>
    <x v="52"/>
    <x v="54"/>
    <s v="MALDANO"/>
    <m/>
    <s v="14.16"/>
    <n v="300"/>
    <s v="NL2018"/>
    <m/>
    <n v="0"/>
    <n v="0"/>
    <x v="57"/>
    <n v="0"/>
    <x v="1"/>
    <d v="2019-05-05T00:00:00"/>
    <d v="2019-06-07T00:00:00"/>
    <d v="2019-06-07T00:00:00"/>
    <m/>
    <m/>
    <m/>
    <m/>
    <m/>
    <m/>
    <m/>
    <m/>
    <m/>
    <m/>
    <m/>
    <m/>
    <n v="0"/>
    <n v="0"/>
    <n v="0"/>
  </r>
  <r>
    <s v="67A/2019"/>
    <d v="2019-02-22T00:00:00"/>
    <s v="KIỀU THY"/>
    <s v="VC01"/>
    <x v="52"/>
    <x v="22"/>
    <s v="ROBINA"/>
    <m/>
    <s v="16.18"/>
    <n v="200"/>
    <s v="NL2018"/>
    <m/>
    <n v="50"/>
    <n v="10000"/>
    <x v="23"/>
    <n v="48000000"/>
    <x v="0"/>
    <s v="30-Feb-19"/>
    <d v="2019-04-04T00:00:00"/>
    <d v="2019-04-04T00:00:00"/>
    <s v="30/2AL"/>
    <s v="CONT 18/2019"/>
    <d v="2019-03-31T00:00:00"/>
    <s v="R"/>
    <d v="2019-04-05T00:00:00"/>
    <n v="10000"/>
    <m/>
    <m/>
    <m/>
    <m/>
    <m/>
    <m/>
    <n v="10000"/>
    <n v="0"/>
    <n v="0"/>
  </r>
  <r>
    <s v="67A/2019"/>
    <d v="2019-02-22T00:00:00"/>
    <s v="KIỀU THY"/>
    <s v="VC01"/>
    <x v="52"/>
    <x v="24"/>
    <s v="SERANO"/>
    <m/>
    <s v="14.16"/>
    <n v="300"/>
    <s v="NL2018"/>
    <m/>
    <n v="31"/>
    <n v="9300"/>
    <x v="68"/>
    <n v="32550000"/>
    <x v="0"/>
    <s v="30-Feb-19"/>
    <d v="2019-04-04T00:00:00"/>
    <d v="2019-04-04T00:00:00"/>
    <s v="30/2AL"/>
    <s v="CONT 17/2019"/>
    <d v="2019-03-31T00:00:00"/>
    <s v="R"/>
    <d v="2019-04-05T00:00:00"/>
    <n v="9300"/>
    <m/>
    <m/>
    <m/>
    <m/>
    <m/>
    <m/>
    <n v="9300"/>
    <n v="0"/>
    <n v="0"/>
  </r>
  <r>
    <s v="67A/2019"/>
    <d v="2019-02-22T00:00:00"/>
    <s v="KIỀU THY"/>
    <s v="VC01"/>
    <x v="52"/>
    <x v="11"/>
    <s v="YELLOWEEN"/>
    <m/>
    <s v="12.14"/>
    <n v="400"/>
    <s v="NL2018"/>
    <m/>
    <n v="25"/>
    <n v="10000"/>
    <x v="12"/>
    <n v="26000000"/>
    <x v="0"/>
    <s v="30-Feb-19"/>
    <d v="2019-04-04T00:00:00"/>
    <d v="2019-04-04T00:00:00"/>
    <s v="30/2AL"/>
    <s v="CONT 18/2019"/>
    <d v="2019-03-31T00:00:00"/>
    <s v="R"/>
    <d v="2019-04-05T00:00:00"/>
    <n v="5200"/>
    <d v="2019-04-24T00:00:00"/>
    <n v="4800"/>
    <m/>
    <m/>
    <m/>
    <m/>
    <n v="10000"/>
    <n v="0"/>
    <n v="0"/>
  </r>
  <r>
    <s v="67A/2019"/>
    <d v="2019-02-22T00:00:00"/>
    <s v="KIỀU THY"/>
    <s v="VC01"/>
    <x v="52"/>
    <x v="28"/>
    <s v="YELLOWEEN"/>
    <m/>
    <s v="14.16"/>
    <n v="300"/>
    <s v="NL2018"/>
    <m/>
    <n v="10"/>
    <n v="3000"/>
    <x v="6"/>
    <n v="11400000"/>
    <x v="0"/>
    <s v="30-Feb-19"/>
    <d v="2019-04-04T00:00:00"/>
    <d v="2019-04-04T00:00:00"/>
    <s v="30/2AL"/>
    <s v="CONT 14/2019"/>
    <d v="2019-03-31T00:00:00"/>
    <m/>
    <d v="2019-04-24T00:00:00"/>
    <n v="3000"/>
    <m/>
    <m/>
    <m/>
    <m/>
    <m/>
    <m/>
    <n v="3000"/>
    <n v="0"/>
    <n v="0"/>
  </r>
  <r>
    <s v="67A/2019"/>
    <d v="2019-02-22T00:00:00"/>
    <s v="KIỀU THY"/>
    <s v="VC01"/>
    <x v="52"/>
    <x v="28"/>
    <s v="YELLOWEEN"/>
    <m/>
    <s v="14.16"/>
    <n v="300"/>
    <s v="NL2018"/>
    <m/>
    <n v="8"/>
    <n v="2400"/>
    <x v="6"/>
    <n v="9120000"/>
    <x v="0"/>
    <s v="30-Feb-19"/>
    <d v="2019-04-04T00:00:00"/>
    <d v="2019-04-04T00:00:00"/>
    <s v="30/2AL"/>
    <s v="CONT 18/2019"/>
    <d v="2019-03-31T00:00:00"/>
    <s v="R"/>
    <d v="2019-04-24T00:00:00"/>
    <n v="2400"/>
    <m/>
    <m/>
    <m/>
    <m/>
    <m/>
    <m/>
    <n v="2400"/>
    <n v="0"/>
    <n v="0"/>
  </r>
  <r>
    <s v="67A/2019"/>
    <d v="2019-05-06T00:00:00"/>
    <s v="KIỀU THY"/>
    <s v="VC01"/>
    <x v="52"/>
    <x v="50"/>
    <s v="PROFUNDO"/>
    <m/>
    <n v="14.16"/>
    <n v="275"/>
    <s v="NL2018"/>
    <m/>
    <n v="37"/>
    <n v="10175"/>
    <x v="18"/>
    <n v="50875000"/>
    <x v="0"/>
    <d v="2019-03-30T00:00:00"/>
    <d v="2019-05-04T00:00:00"/>
    <d v="2019-05-04T00:00:00"/>
    <s v="30/3AL"/>
    <m/>
    <m/>
    <m/>
    <d v="2019-05-14T00:00:00"/>
    <n v="10175"/>
    <m/>
    <m/>
    <m/>
    <m/>
    <m/>
    <m/>
    <n v="10175"/>
    <n v="0"/>
    <n v="0"/>
  </r>
  <r>
    <s v="67A/2019"/>
    <d v="2019-05-06T00:00:00"/>
    <s v="KIỀU THY"/>
    <s v="VC01"/>
    <x v="52"/>
    <x v="65"/>
    <s v="ROBINA"/>
    <m/>
    <s v="14.16"/>
    <n v="300"/>
    <s v="NL2018"/>
    <m/>
    <n v="33"/>
    <n v="9900"/>
    <x v="25"/>
    <n v="35640000"/>
    <x v="4"/>
    <d v="2019-05-05T00:00:00"/>
    <d v="2019-06-07T00:00:00"/>
    <d v="2019-06-07T00:00:00"/>
    <s v="25/4AL"/>
    <m/>
    <m/>
    <m/>
    <m/>
    <m/>
    <m/>
    <m/>
    <m/>
    <m/>
    <m/>
    <m/>
    <n v="0"/>
    <n v="9900"/>
    <n v="35640000"/>
  </r>
  <r>
    <s v="239/2019"/>
    <d v="2019-06-03T00:00:00"/>
    <s v="KIỀU THY"/>
    <s v="VC01"/>
    <x v="52"/>
    <x v="47"/>
    <s v="ROBINA"/>
    <m/>
    <s v="18.20"/>
    <n v="150"/>
    <s v="NL2018"/>
    <m/>
    <n v="34"/>
    <n v="5100"/>
    <x v="61"/>
    <n v="43350000"/>
    <x v="2"/>
    <d v="2019-09-01T00:00:00"/>
    <d v="2019-09-29T00:00:00"/>
    <d v="2019-09-29T00:00:00"/>
    <m/>
    <m/>
    <m/>
    <m/>
    <m/>
    <m/>
    <m/>
    <m/>
    <m/>
    <m/>
    <m/>
    <m/>
    <n v="0"/>
    <n v="5100"/>
    <n v="43350000"/>
  </r>
  <r>
    <s v="239/2019"/>
    <d v="2019-06-03T00:00:00"/>
    <s v="KIỀU THY"/>
    <s v="VC01"/>
    <x v="52"/>
    <x v="25"/>
    <s v="CONCADOR"/>
    <m/>
    <s v="18.20"/>
    <n v="150"/>
    <s v="NL2018"/>
    <m/>
    <n v="34"/>
    <n v="5100"/>
    <x v="27"/>
    <n v="40800000"/>
    <x v="2"/>
    <d v="2019-09-01T00:00:00"/>
    <d v="2019-09-29T00:00:00"/>
    <d v="2019-09-29T00:00:00"/>
    <m/>
    <m/>
    <m/>
    <m/>
    <m/>
    <m/>
    <m/>
    <m/>
    <m/>
    <m/>
    <m/>
    <m/>
    <n v="0"/>
    <n v="5100"/>
    <n v="40800000"/>
  </r>
  <r>
    <s v="34B/2019"/>
    <d v="2019-02-04T00:00:00"/>
    <s v="THANH THÚY"/>
    <s v="TV05"/>
    <x v="53"/>
    <x v="31"/>
    <s v="TARRANGO"/>
    <m/>
    <s v="14.16"/>
    <n v="300"/>
    <s v="NL2018"/>
    <m/>
    <n v="34"/>
    <n v="10200"/>
    <x v="111"/>
    <n v="44727000"/>
    <x v="0"/>
    <d v="2019-01-15T00:00:00"/>
    <d v="2019-02-19T00:00:00"/>
    <d v="2019-02-19T00:00:00"/>
    <s v="15/1AL"/>
    <m/>
    <m/>
    <m/>
    <d v="2019-02-20T00:00:00"/>
    <n v="10200"/>
    <m/>
    <m/>
    <m/>
    <m/>
    <m/>
    <m/>
    <n v="10200"/>
    <n v="0"/>
    <n v="0"/>
  </r>
  <r>
    <s v="34B/2019"/>
    <d v="2019-02-04T00:00:00"/>
    <s v="THANH THÚY"/>
    <s v="TV05"/>
    <x v="53"/>
    <x v="22"/>
    <s v="ROBINA"/>
    <m/>
    <s v="16.18"/>
    <n v="200"/>
    <s v="NL2018"/>
    <m/>
    <n v="50"/>
    <n v="10000"/>
    <x v="23"/>
    <n v="48000000"/>
    <x v="0"/>
    <d v="2019-01-15T00:00:00"/>
    <d v="2019-02-19T00:00:00"/>
    <d v="2019-02-19T00:00:00"/>
    <s v="15/1AL"/>
    <m/>
    <m/>
    <m/>
    <d v="2019-02-21T00:00:00"/>
    <n v="10000"/>
    <m/>
    <m/>
    <m/>
    <m/>
    <m/>
    <m/>
    <n v="10000"/>
    <n v="0"/>
    <n v="0"/>
  </r>
  <r>
    <s v="34B/2019"/>
    <d v="2019-02-04T00:00:00"/>
    <s v="THANH THÚY"/>
    <s v="TV05"/>
    <x v="53"/>
    <x v="22"/>
    <s v="ROBINA"/>
    <m/>
    <s v="16.18"/>
    <n v="200"/>
    <s v="NL2018"/>
    <m/>
    <n v="100"/>
    <n v="20000"/>
    <x v="23"/>
    <n v="96000000"/>
    <x v="0"/>
    <d v="2019-02-15T00:00:00"/>
    <d v="2019-03-20T00:00:00"/>
    <d v="2019-03-20T00:00:00"/>
    <s v="15/2AL"/>
    <s v="CONT 11/2019"/>
    <m/>
    <m/>
    <d v="2019-03-19T00:00:00"/>
    <n v="20000"/>
    <m/>
    <m/>
    <m/>
    <m/>
    <m/>
    <m/>
    <n v="20000"/>
    <n v="0"/>
    <n v="0"/>
  </r>
  <r>
    <s v="134B/2019"/>
    <d v="2019-03-19T00:00:00"/>
    <s v="THANH THÚY"/>
    <s v="TV05"/>
    <x v="53"/>
    <x v="24"/>
    <s v="SERANO"/>
    <m/>
    <s v="14.16"/>
    <n v="300"/>
    <s v="NL2018"/>
    <m/>
    <n v="10"/>
    <n v="3000"/>
    <x v="25"/>
    <n v="10800000"/>
    <x v="0"/>
    <d v="2019-02-15T00:00:00"/>
    <d v="2019-03-20T00:00:00"/>
    <d v="2019-03-20T00:00:00"/>
    <s v="15/2AL"/>
    <s v="CONT 11/2019"/>
    <m/>
    <m/>
    <d v="2019-03-19T00:00:00"/>
    <n v="3000"/>
    <m/>
    <m/>
    <m/>
    <m/>
    <m/>
    <m/>
    <n v="3000"/>
    <n v="0"/>
    <n v="0"/>
  </r>
  <r>
    <s v="34B/2019"/>
    <d v="2019-02-04T00:00:00"/>
    <s v="THANH THÚY"/>
    <s v="TV05"/>
    <x v="53"/>
    <x v="10"/>
    <s v="ARVANDRUD"/>
    <m/>
    <s v="16.18"/>
    <n v="200"/>
    <s v="NL2018"/>
    <m/>
    <n v="50"/>
    <n v="10000"/>
    <x v="18"/>
    <n v="50000000"/>
    <x v="0"/>
    <d v="2019-03-15T00:00:00"/>
    <d v="2019-04-19T00:00:00"/>
    <d v="2019-04-19T00:00:00"/>
    <s v="15/3AL"/>
    <s v="CONT 22/2019"/>
    <m/>
    <m/>
    <d v="2019-05-03T00:00:00"/>
    <n v="10000"/>
    <m/>
    <m/>
    <m/>
    <m/>
    <m/>
    <m/>
    <n v="10000"/>
    <n v="0"/>
    <n v="0"/>
  </r>
  <r>
    <s v="135B/2019"/>
    <d v="2019-03-19T00:00:00"/>
    <s v="THANH THÚY"/>
    <s v="TV05"/>
    <x v="53"/>
    <x v="22"/>
    <s v="ROBINA"/>
    <m/>
    <s v="16.18"/>
    <n v="200"/>
    <s v="NL2018"/>
    <m/>
    <n v="50"/>
    <n v="10000"/>
    <x v="78"/>
    <n v="51000000"/>
    <x v="0"/>
    <d v="2019-03-30T00:00:00"/>
    <d v="2019-05-04T00:00:00"/>
    <d v="2019-05-04T00:00:00"/>
    <s v="30/3AL"/>
    <m/>
    <m/>
    <m/>
    <d v="2019-06-04T00:00:00"/>
    <n v="10000"/>
    <m/>
    <m/>
    <m/>
    <m/>
    <m/>
    <m/>
    <n v="10000"/>
    <n v="0"/>
    <n v="0"/>
  </r>
  <r>
    <s v="135B/2019"/>
    <d v="2019-03-19T00:00:00"/>
    <s v="THANH THÚY"/>
    <s v="TV05"/>
    <x v="53"/>
    <x v="10"/>
    <s v="ARVANDRUD"/>
    <m/>
    <s v="16.18"/>
    <n v="200"/>
    <s v="NL2018"/>
    <m/>
    <n v="0"/>
    <n v="0"/>
    <x v="44"/>
    <n v="0"/>
    <x v="1"/>
    <d v="2019-03-30T00:00:00"/>
    <d v="2019-05-04T00:00:00"/>
    <d v="2019-05-04T00:00:00"/>
    <s v="30/3AL"/>
    <m/>
    <m/>
    <m/>
    <m/>
    <m/>
    <m/>
    <m/>
    <m/>
    <m/>
    <m/>
    <m/>
    <n v="0"/>
    <n v="0"/>
    <n v="0"/>
  </r>
  <r>
    <s v="230A/2019"/>
    <d v="2019-06-10T00:00:00"/>
    <s v="KIỀU THY"/>
    <s v="NT11"/>
    <x v="54"/>
    <x v="8"/>
    <s v="TEBALDI"/>
    <m/>
    <s v="16.18"/>
    <s v="200"/>
    <s v="NL2018"/>
    <m/>
    <n v="6"/>
    <n v="1200"/>
    <x v="9"/>
    <n v="7440000"/>
    <x v="2"/>
    <d v="2019-09-01T00:00:00"/>
    <d v="2019-09-29T00:00:00"/>
    <d v="2019-09-29T00:00:00"/>
    <s v="TẾT"/>
    <m/>
    <m/>
    <m/>
    <m/>
    <m/>
    <m/>
    <m/>
    <m/>
    <m/>
    <m/>
    <m/>
    <n v="0"/>
    <n v="1200"/>
    <n v="7440000"/>
  </r>
  <r>
    <s v="230A/2019"/>
    <d v="2019-06-10T00:00:00"/>
    <s v="KIỀU THY"/>
    <s v="NT11"/>
    <x v="54"/>
    <x v="98"/>
    <s v="CONCADOR NEWZELAND"/>
    <m/>
    <s v="18.20"/>
    <s v="150"/>
    <s v="NZ2019"/>
    <m/>
    <n v="4"/>
    <n v="600"/>
    <x v="103"/>
    <n v="5760000"/>
    <x v="2"/>
    <d v="2019-09-01T00:00:00"/>
    <d v="2019-09-29T00:00:00"/>
    <d v="2019-09-29T00:00:00"/>
    <s v="TẾT"/>
    <m/>
    <m/>
    <m/>
    <m/>
    <m/>
    <m/>
    <m/>
    <m/>
    <m/>
    <m/>
    <m/>
    <n v="0"/>
    <n v="600"/>
    <n v="5760000"/>
  </r>
  <r>
    <s v="230A/2019"/>
    <d v="2019-06-18T00:00:00"/>
    <s v="KIỀU THY"/>
    <s v="NT11"/>
    <x v="54"/>
    <x v="98"/>
    <s v="CONCADOR NEWZELAND"/>
    <m/>
    <s v="18.20"/>
    <s v="150"/>
    <s v="NZ2019"/>
    <m/>
    <n v="4"/>
    <n v="600"/>
    <x v="103"/>
    <n v="5760000"/>
    <x v="2"/>
    <d v="2019-09-01T00:00:00"/>
    <d v="2019-09-29T00:00:00"/>
    <d v="2019-09-29T00:00:00"/>
    <s v="TẾT"/>
    <m/>
    <m/>
    <m/>
    <m/>
    <m/>
    <m/>
    <m/>
    <m/>
    <m/>
    <m/>
    <m/>
    <n v="0"/>
    <n v="600"/>
    <n v="5760000"/>
  </r>
  <r>
    <s v="230A/2019"/>
    <d v="2019-06-18T00:00:00"/>
    <s v="KIỀU THY"/>
    <s v="NT11"/>
    <x v="54"/>
    <x v="8"/>
    <s v="TEBALDI"/>
    <m/>
    <s v="16.18"/>
    <s v="200"/>
    <s v="NL2018"/>
    <m/>
    <n v="2"/>
    <n v="400"/>
    <x v="9"/>
    <n v="2480000"/>
    <x v="2"/>
    <d v="2019-09-01T00:00:00"/>
    <d v="2019-09-29T00:00:00"/>
    <d v="2019-09-29T00:00:00"/>
    <s v="TẾT"/>
    <m/>
    <m/>
    <m/>
    <m/>
    <m/>
    <m/>
    <m/>
    <m/>
    <m/>
    <m/>
    <m/>
    <n v="0"/>
    <n v="400"/>
    <n v="2480000"/>
  </r>
  <r>
    <s v="22B/2019"/>
    <d v="2019-01-05T00:00:00"/>
    <s v="THANH THÚY"/>
    <s v="TU01"/>
    <x v="55"/>
    <x v="62"/>
    <s v="BACARDI"/>
    <m/>
    <s v="15.16"/>
    <n v="300"/>
    <s v="NL2018"/>
    <m/>
    <n v="17"/>
    <n v="5100"/>
    <x v="13"/>
    <n v="22950000"/>
    <x v="0"/>
    <d v="2019-01-15T00:00:00"/>
    <d v="2019-02-19T00:00:00"/>
    <d v="2019-02-19T00:00:00"/>
    <s v="15/1AL"/>
    <m/>
    <m/>
    <m/>
    <d v="2019-03-05T00:00:00"/>
    <n v="5100"/>
    <m/>
    <m/>
    <m/>
    <m/>
    <m/>
    <m/>
    <n v="5100"/>
    <n v="0"/>
    <n v="0"/>
  </r>
  <r>
    <s v="22B/2019"/>
    <d v="2019-01-05T00:00:00"/>
    <s v="THANH THÚY"/>
    <s v="TU01"/>
    <x v="55"/>
    <x v="32"/>
    <s v="BACARDI"/>
    <m/>
    <s v="16.18"/>
    <n v="200"/>
    <s v="NL2018"/>
    <m/>
    <n v="25"/>
    <n v="5000"/>
    <x v="42"/>
    <n v="31500000"/>
    <x v="0"/>
    <d v="2019-01-15T00:00:00"/>
    <d v="2019-02-19T00:00:00"/>
    <d v="2019-02-19T00:00:00"/>
    <s v="15/1AL"/>
    <m/>
    <m/>
    <m/>
    <d v="2019-03-05T00:00:00"/>
    <n v="5000"/>
    <m/>
    <m/>
    <m/>
    <m/>
    <m/>
    <m/>
    <n v="5000"/>
    <n v="0"/>
    <n v="0"/>
  </r>
  <r>
    <s v="22B/2019"/>
    <d v="2019-01-05T00:00:00"/>
    <s v="THANH THÚY"/>
    <s v="TU01"/>
    <x v="55"/>
    <x v="15"/>
    <s v="CONCADOR "/>
    <m/>
    <s v="16.18"/>
    <n v="200"/>
    <s v="NL2018"/>
    <m/>
    <n v="50"/>
    <n v="10000"/>
    <x v="0"/>
    <n v="47000000"/>
    <x v="0"/>
    <d v="2019-01-15T00:00:00"/>
    <d v="2019-02-19T00:00:00"/>
    <d v="2019-02-19T00:00:00"/>
    <s v="15/1AL"/>
    <m/>
    <m/>
    <m/>
    <d v="2019-02-19T00:00:00"/>
    <n v="10000"/>
    <m/>
    <m/>
    <m/>
    <m/>
    <m/>
    <m/>
    <n v="10000"/>
    <n v="0"/>
    <n v="0"/>
  </r>
  <r>
    <s v="22B/2019"/>
    <d v="2019-01-05T00:00:00"/>
    <s v="THANH THÚY"/>
    <s v="TU01"/>
    <x v="55"/>
    <x v="47"/>
    <s v="ROBINA"/>
    <m/>
    <s v="18.20"/>
    <n v="150"/>
    <s v="NL2018"/>
    <m/>
    <n v="34"/>
    <n v="5100"/>
    <x v="42"/>
    <n v="32130000"/>
    <x v="0"/>
    <d v="2019-01-15T00:00:00"/>
    <d v="2019-02-19T00:00:00"/>
    <d v="2019-02-19T00:00:00"/>
    <s v="15/1AL"/>
    <m/>
    <m/>
    <m/>
    <d v="2019-03-05T00:00:00"/>
    <n v="5100"/>
    <m/>
    <m/>
    <m/>
    <m/>
    <m/>
    <m/>
    <n v="5100"/>
    <n v="0"/>
    <n v="0"/>
  </r>
  <r>
    <s v="22B/2019"/>
    <d v="2019-01-05T00:00:00"/>
    <s v="THANH THÚY"/>
    <s v="TU01"/>
    <x v="55"/>
    <x v="47"/>
    <s v="ROBINA"/>
    <m/>
    <s v="18.20"/>
    <n v="150"/>
    <s v="NL2018"/>
    <m/>
    <n v="40"/>
    <n v="6000"/>
    <x v="42"/>
    <n v="37800000"/>
    <x v="0"/>
    <d v="2019-02-15T00:00:00"/>
    <d v="2019-03-20T00:00:00"/>
    <d v="2019-03-20T00:00:00"/>
    <s v="14/2AL"/>
    <s v="CONT 10/2019"/>
    <m/>
    <m/>
    <d v="2019-03-25T00:00:00"/>
    <n v="6000"/>
    <m/>
    <m/>
    <m/>
    <m/>
    <m/>
    <m/>
    <n v="6000"/>
    <n v="0"/>
    <n v="0"/>
  </r>
  <r>
    <s v="22B/2019"/>
    <d v="2019-01-05T00:00:00"/>
    <s v="THANH THÚY"/>
    <s v="TU01"/>
    <x v="55"/>
    <x v="72"/>
    <s v="YELLOWEEN"/>
    <s v="DN"/>
    <s v="16.18"/>
    <n v="200"/>
    <s v="NL2018"/>
    <m/>
    <n v="20"/>
    <n v="4000"/>
    <x v="44"/>
    <n v="22000000"/>
    <x v="0"/>
    <d v="2019-02-15T00:00:00"/>
    <d v="2019-03-20T00:00:00"/>
    <d v="2019-03-20T00:00:00"/>
    <s v="14/2AL"/>
    <s v="CONT 10/2019"/>
    <m/>
    <m/>
    <d v="2019-03-25T00:00:00"/>
    <n v="4000"/>
    <m/>
    <m/>
    <m/>
    <m/>
    <m/>
    <m/>
    <n v="4000"/>
    <n v="0"/>
    <n v="0"/>
  </r>
  <r>
    <s v="22B/2019"/>
    <d v="2019-01-05T00:00:00"/>
    <s v="THANH THÚY"/>
    <s v="TU01"/>
    <x v="55"/>
    <x v="15"/>
    <s v="CONCADOR"/>
    <m/>
    <s v="16.18"/>
    <n v="200"/>
    <s v="NL2018"/>
    <m/>
    <n v="50"/>
    <n v="10000"/>
    <x v="18"/>
    <n v="50000000"/>
    <x v="0"/>
    <d v="2019-03-15T00:00:00"/>
    <d v="2019-04-19T00:00:00"/>
    <d v="2019-04-19T00:00:00"/>
    <s v="15/3AL"/>
    <s v="CONT 22/2019"/>
    <m/>
    <m/>
    <d v="2019-05-21T00:00:00"/>
    <n v="10000"/>
    <m/>
    <m/>
    <m/>
    <m/>
    <m/>
    <m/>
    <n v="10000"/>
    <n v="0"/>
    <n v="0"/>
  </r>
  <r>
    <s v="22B/2019"/>
    <d v="2019-01-05T00:00:00"/>
    <s v="THANH THÚY"/>
    <s v="TU01"/>
    <x v="55"/>
    <x v="10"/>
    <s v="ARVANDRUD"/>
    <m/>
    <s v="16.18"/>
    <n v="200"/>
    <s v="NL2018"/>
    <m/>
    <n v="150"/>
    <n v="30000"/>
    <x v="44"/>
    <n v="165000000"/>
    <x v="4"/>
    <d v="2019-03-15T00:00:00"/>
    <d v="2019-04-19T00:00:00"/>
    <d v="2019-04-19T00:00:00"/>
    <s v="15/3AL"/>
    <s v="CONT 21/2019"/>
    <m/>
    <m/>
    <d v="2019-04-26T00:00:00"/>
    <n v="7000"/>
    <d v="2019-05-21T00:00:00"/>
    <n v="6000"/>
    <d v="2019-06-05T00:00:00"/>
    <n v="5000"/>
    <d v="2019-06-18T00:00:00"/>
    <n v="6000"/>
    <n v="24000"/>
    <n v="6000"/>
    <n v="33000000"/>
  </r>
  <r>
    <s v="22B/2019"/>
    <d v="2019-01-05T00:00:00"/>
    <s v="THANH THÚY"/>
    <s v="TU01"/>
    <x v="55"/>
    <x v="57"/>
    <s v="DALIAN"/>
    <m/>
    <s v="14.16"/>
    <n v="300"/>
    <s v="NL2018"/>
    <m/>
    <n v="34"/>
    <n v="10200"/>
    <x v="112"/>
    <n v="54570000"/>
    <x v="4"/>
    <d v="2019-04-15T00:00:00"/>
    <d v="2019-05-19T00:00:00"/>
    <d v="2019-05-19T00:00:00"/>
    <s v="15/4AL"/>
    <m/>
    <m/>
    <m/>
    <d v="2019-06-18T00:00:00"/>
    <n v="6000"/>
    <m/>
    <m/>
    <m/>
    <m/>
    <m/>
    <m/>
    <n v="6000"/>
    <n v="4200"/>
    <n v="22470000"/>
  </r>
  <r>
    <s v="22B/2019"/>
    <d v="2019-01-05T00:00:00"/>
    <s v="THANH THÚY"/>
    <s v="TU01"/>
    <x v="55"/>
    <x v="10"/>
    <s v="ARVANDRUD"/>
    <m/>
    <s v="16.18"/>
    <n v="200"/>
    <s v="NL2018"/>
    <m/>
    <n v="0"/>
    <n v="0"/>
    <x v="48"/>
    <n v="0"/>
    <x v="1"/>
    <d v="2019-04-15T00:00:00"/>
    <d v="2019-05-19T00:00:00"/>
    <d v="2019-05-19T00:00:00"/>
    <s v="15/4AL"/>
    <m/>
    <m/>
    <m/>
    <m/>
    <n v="0"/>
    <m/>
    <m/>
    <m/>
    <m/>
    <m/>
    <m/>
    <n v="0"/>
    <n v="0"/>
    <n v="0"/>
  </r>
  <r>
    <s v="22B/2019"/>
    <d v="2019-06-07T00:00:00"/>
    <s v="THANH THÚY"/>
    <s v="TU01"/>
    <x v="55"/>
    <x v="72"/>
    <s v="YELLOWEEN"/>
    <s v="DN"/>
    <s v="16.18"/>
    <n v="200"/>
    <s v="NL2018"/>
    <m/>
    <n v="0"/>
    <n v="0"/>
    <x v="44"/>
    <n v="0"/>
    <x v="1"/>
    <d v="2019-04-15T00:00:00"/>
    <d v="2019-05-19T00:00:00"/>
    <d v="2019-05-19T00:00:00"/>
    <s v="15/4AL"/>
    <m/>
    <m/>
    <m/>
    <m/>
    <m/>
    <m/>
    <m/>
    <m/>
    <m/>
    <m/>
    <m/>
    <n v="0"/>
    <n v="0"/>
    <n v="0"/>
  </r>
  <r>
    <s v="22B/2019"/>
    <d v="2019-06-07T00:00:00"/>
    <s v="THANH THÚY"/>
    <s v="TU01"/>
    <x v="55"/>
    <x v="22"/>
    <s v="ROBINA"/>
    <m/>
    <s v="16.18"/>
    <n v="200"/>
    <s v="NL2018"/>
    <m/>
    <n v="60"/>
    <n v="12000"/>
    <x v="44"/>
    <n v="66000000"/>
    <x v="4"/>
    <d v="2019-05-05T00:00:00"/>
    <d v="2019-06-07T00:00:00"/>
    <d v="2019-06-07T00:00:00"/>
    <m/>
    <m/>
    <m/>
    <m/>
    <m/>
    <m/>
    <m/>
    <m/>
    <m/>
    <m/>
    <m/>
    <m/>
    <n v="0"/>
    <n v="12000"/>
    <n v="66000000"/>
  </r>
  <r>
    <s v="22B/2019"/>
    <d v="2019-06-17T00:00:00"/>
    <s v="THANH THÚY"/>
    <s v="TU01"/>
    <x v="55"/>
    <x v="57"/>
    <s v="DALIAN"/>
    <m/>
    <s v="14.16"/>
    <s v="300"/>
    <s v="NL2018"/>
    <m/>
    <n v="34"/>
    <n v="10200"/>
    <x v="44"/>
    <n v="56100000"/>
    <x v="3"/>
    <d v="2019-06-15T00:00:00"/>
    <d v="2019-07-17T00:00:00"/>
    <d v="2019-07-17T00:00:00"/>
    <m/>
    <m/>
    <m/>
    <m/>
    <m/>
    <m/>
    <m/>
    <m/>
    <m/>
    <m/>
    <m/>
    <m/>
    <n v="0"/>
    <n v="10200"/>
    <n v="56100000"/>
  </r>
  <r>
    <s v="22B/2019"/>
    <d v="2019-06-17T00:00:00"/>
    <s v="THANH THÚY"/>
    <s v="TU01"/>
    <x v="55"/>
    <x v="57"/>
    <s v="DALIAN"/>
    <m/>
    <s v="14.16"/>
    <s v="300"/>
    <s v="NL2018"/>
    <m/>
    <n v="34"/>
    <n v="10200"/>
    <x v="44"/>
    <n v="56100000"/>
    <x v="2"/>
    <d v="2019-06-25T00:00:00"/>
    <d v="2019-07-27T00:00:00"/>
    <d v="2019-07-27T00:00:00"/>
    <m/>
    <m/>
    <m/>
    <m/>
    <m/>
    <m/>
    <m/>
    <m/>
    <m/>
    <m/>
    <m/>
    <m/>
    <n v="0"/>
    <n v="10200"/>
    <n v="56100000"/>
  </r>
  <r>
    <s v="22B/2019"/>
    <d v="2019-01-05T00:00:00"/>
    <s v="THANH THÚY"/>
    <s v="TU01"/>
    <x v="55"/>
    <x v="22"/>
    <s v="ROBINA"/>
    <m/>
    <s v="16.18"/>
    <n v="200"/>
    <s v="NL2018"/>
    <m/>
    <n v="45"/>
    <n v="9000"/>
    <x v="78"/>
    <n v="45900000"/>
    <x v="0"/>
    <d v="2019-04-15T00:00:00"/>
    <d v="2019-05-19T00:00:00"/>
    <d v="2019-05-19T00:00:00"/>
    <s v="15/4AL"/>
    <m/>
    <m/>
    <m/>
    <d v="2019-06-04T00:00:00"/>
    <n v="9000"/>
    <m/>
    <m/>
    <m/>
    <m/>
    <m/>
    <m/>
    <n v="9000"/>
    <n v="0"/>
    <n v="0"/>
  </r>
  <r>
    <s v="22B/2019"/>
    <d v="2019-01-05T00:00:00"/>
    <s v="THANH THÚY"/>
    <s v="TU01"/>
    <x v="55"/>
    <x v="15"/>
    <s v="CONCADOR"/>
    <m/>
    <s v="16.18"/>
    <n v="200"/>
    <s v="NL2018"/>
    <m/>
    <n v="25"/>
    <n v="5000"/>
    <x v="18"/>
    <n v="25000000"/>
    <x v="0"/>
    <d v="2019-04-17T00:00:00"/>
    <d v="2019-05-21T00:00:00"/>
    <d v="2019-05-21T00:00:00"/>
    <m/>
    <m/>
    <m/>
    <m/>
    <d v="2019-06-04T00:00:00"/>
    <n v="5000"/>
    <m/>
    <m/>
    <m/>
    <m/>
    <m/>
    <m/>
    <n v="5000"/>
    <n v="0"/>
    <n v="0"/>
  </r>
  <r>
    <s v="22B/2019"/>
    <d v="2019-01-05T00:00:00"/>
    <s v="THANH THÚY"/>
    <s v="TU01"/>
    <x v="55"/>
    <x v="57"/>
    <s v="DALIAN"/>
    <m/>
    <s v="14.16"/>
    <n v="300"/>
    <s v="NL2018"/>
    <m/>
    <n v="17"/>
    <n v="5100"/>
    <x v="55"/>
    <n v="27030000"/>
    <x v="0"/>
    <s v="29-Feb-19"/>
    <d v="2019-04-03T00:00:00"/>
    <d v="2019-04-03T00:00:00"/>
    <s v="28/2AL"/>
    <s v="CONT 17/2019"/>
    <m/>
    <m/>
    <d v="2019-04-18T00:00:00"/>
    <n v="5100"/>
    <m/>
    <m/>
    <m/>
    <m/>
    <m/>
    <m/>
    <n v="5100"/>
    <n v="0"/>
    <n v="0"/>
  </r>
  <r>
    <s v="22B/2019"/>
    <d v="2019-01-05T00:00:00"/>
    <s v="THANH THÚY"/>
    <s v="TU01"/>
    <x v="55"/>
    <x v="49"/>
    <s v="MARENGO"/>
    <m/>
    <s v="16.18"/>
    <n v="200"/>
    <s v="NL2018"/>
    <m/>
    <n v="50"/>
    <n v="10000"/>
    <x v="46"/>
    <n v="60000000"/>
    <x v="0"/>
    <s v="29-Feb-19"/>
    <d v="2019-04-03T00:00:00"/>
    <d v="2019-04-03T00:00:00"/>
    <s v="28/2AL"/>
    <s v="CONT 17/2019"/>
    <m/>
    <m/>
    <d v="2019-04-18T00:00:00"/>
    <n v="7000"/>
    <d v="2019-04-26T00:00:00"/>
    <n v="3000"/>
    <m/>
    <m/>
    <m/>
    <m/>
    <n v="10000"/>
    <n v="0"/>
    <n v="0"/>
  </r>
  <r>
    <s v="160B/2019"/>
    <d v="2019-01-05T00:00:00"/>
    <s v="THANH THÚY"/>
    <s v="TU01"/>
    <x v="55"/>
    <x v="105"/>
    <s v="LODI"/>
    <m/>
    <s v="18.20"/>
    <n v="150"/>
    <s v="NL2018"/>
    <m/>
    <n v="34"/>
    <n v="5100"/>
    <x v="89"/>
    <n v="46920000"/>
    <x v="2"/>
    <d v="2019-09-01T00:00:00"/>
    <d v="2019-09-29T00:00:00"/>
    <d v="2019-09-29T00:00:00"/>
    <s v="TẾT"/>
    <m/>
    <m/>
    <m/>
    <m/>
    <n v="0"/>
    <m/>
    <m/>
    <m/>
    <m/>
    <m/>
    <m/>
    <n v="0"/>
    <n v="5100"/>
    <n v="46920000"/>
  </r>
  <r>
    <s v="160B/2019"/>
    <d v="2019-01-05T00:00:00"/>
    <s v="THANH THÚY"/>
    <s v="TU01"/>
    <x v="55"/>
    <x v="6"/>
    <s v="CONCADOR"/>
    <m/>
    <s v="20.22"/>
    <n v="125"/>
    <s v="NL2018"/>
    <m/>
    <n v="160"/>
    <n v="20000"/>
    <x v="59"/>
    <n v="210000000"/>
    <x v="2"/>
    <d v="2019-09-01T00:00:00"/>
    <d v="2019-09-29T00:00:00"/>
    <d v="2019-09-29T00:00:00"/>
    <s v="TẾT"/>
    <m/>
    <m/>
    <m/>
    <m/>
    <n v="0"/>
    <m/>
    <m/>
    <m/>
    <m/>
    <m/>
    <m/>
    <n v="0"/>
    <n v="20000"/>
    <n v="210000000"/>
  </r>
  <r>
    <s v="160B/2019"/>
    <d v="2019-01-05T00:00:00"/>
    <s v="THANH THÚY"/>
    <s v="TU01"/>
    <x v="55"/>
    <x v="106"/>
    <s v="ARVANDRUD"/>
    <m/>
    <s v="18.20"/>
    <n v="150"/>
    <s v="NL2018"/>
    <m/>
    <n v="68"/>
    <n v="10200"/>
    <x v="61"/>
    <n v="86700000"/>
    <x v="2"/>
    <d v="2019-09-01T00:00:00"/>
    <d v="2019-09-29T00:00:00"/>
    <d v="2019-09-29T00:00:00"/>
    <s v="TẾT"/>
    <m/>
    <m/>
    <m/>
    <m/>
    <n v="0"/>
    <m/>
    <m/>
    <m/>
    <m/>
    <m/>
    <m/>
    <n v="0"/>
    <n v="10200"/>
    <n v="86700000"/>
  </r>
  <r>
    <s v="160B/2019"/>
    <d v="2019-01-05T00:00:00"/>
    <s v="THANH THÚY"/>
    <s v="TU01"/>
    <x v="55"/>
    <x v="16"/>
    <s v="ROBINA"/>
    <m/>
    <s v="20.22"/>
    <n v="125"/>
    <s v="NL2018"/>
    <m/>
    <n v="160"/>
    <n v="20000"/>
    <x v="16"/>
    <n v="214000000"/>
    <x v="2"/>
    <d v="2019-09-01T00:00:00"/>
    <d v="2019-09-29T00:00:00"/>
    <d v="2019-09-29T00:00:00"/>
    <s v="TẾT"/>
    <m/>
    <m/>
    <m/>
    <m/>
    <m/>
    <m/>
    <m/>
    <m/>
    <m/>
    <m/>
    <m/>
    <n v="0"/>
    <n v="20000"/>
    <n v="214000000"/>
  </r>
  <r>
    <s v="49A/2019"/>
    <d v="2019-02-13T00:00:00"/>
    <s v="KIỀU THY"/>
    <s v="TT15"/>
    <x v="56"/>
    <x v="38"/>
    <s v="YELLOWEEN"/>
    <m/>
    <s v="16.18"/>
    <n v="200"/>
    <s v="NL2018"/>
    <m/>
    <n v="11"/>
    <n v="2200"/>
    <x v="18"/>
    <n v="11000000"/>
    <x v="0"/>
    <d v="2019-01-15T00:00:00"/>
    <d v="2019-02-19T00:00:00"/>
    <d v="2019-02-19T00:00:00"/>
    <s v="15/1AL"/>
    <m/>
    <m/>
    <m/>
    <d v="2019-03-01T00:00:00"/>
    <n v="2200"/>
    <m/>
    <m/>
    <m/>
    <m/>
    <m/>
    <m/>
    <n v="2200"/>
    <n v="0"/>
    <n v="0"/>
  </r>
  <r>
    <s v="213A/2019"/>
    <d v="2019-05-02T00:00:00"/>
    <s v="KIỀU THY"/>
    <s v="TH16"/>
    <x v="57"/>
    <x v="57"/>
    <s v="DALIAN"/>
    <m/>
    <s v="14.16"/>
    <s v="300"/>
    <s v="NL2018"/>
    <m/>
    <n v="3"/>
    <n v="900"/>
    <x v="44"/>
    <n v="4950000"/>
    <x v="0"/>
    <d v="2019-03-30T00:00:00"/>
    <d v="2019-05-04T00:00:00"/>
    <d v="2019-05-04T00:00:00"/>
    <m/>
    <m/>
    <m/>
    <m/>
    <d v="2019-05-08T00:00:00"/>
    <n v="900"/>
    <m/>
    <m/>
    <m/>
    <m/>
    <m/>
    <m/>
    <n v="900"/>
    <n v="0"/>
    <n v="0"/>
  </r>
  <r>
    <s v="181A/2019"/>
    <d v="2019-05-29T00:00:00"/>
    <s v="KIỀU THY"/>
    <s v="TT19"/>
    <x v="58"/>
    <x v="12"/>
    <s v="AMATERAS"/>
    <m/>
    <s v="14.16"/>
    <s v="300"/>
    <s v="NL2018"/>
    <m/>
    <n v="7"/>
    <n v="2100"/>
    <x v="13"/>
    <n v="9450000"/>
    <x v="0"/>
    <d v="2019-05-05T00:00:00"/>
    <d v="2019-06-07T00:00:00"/>
    <d v="2019-06-07T00:00:00"/>
    <m/>
    <m/>
    <m/>
    <m/>
    <d v="2019-06-08T00:00:00"/>
    <n v="2100"/>
    <m/>
    <m/>
    <m/>
    <m/>
    <m/>
    <m/>
    <n v="2100"/>
    <n v="0"/>
    <n v="0"/>
  </r>
  <r>
    <s v="181A/2019"/>
    <d v="2019-06-07T00:00:00"/>
    <s v="KIỀU THY"/>
    <s v="TT19"/>
    <x v="58"/>
    <x v="3"/>
    <s v="PAVIA"/>
    <m/>
    <s v="12.14"/>
    <s v="400"/>
    <s v="NL2018"/>
    <m/>
    <n v="5"/>
    <n v="2000"/>
    <x v="14"/>
    <n v="5800000"/>
    <x v="0"/>
    <d v="2019-05-05T00:00:00"/>
    <d v="2019-06-07T00:00:00"/>
    <d v="2019-06-07T00:00:00"/>
    <m/>
    <m/>
    <m/>
    <m/>
    <d v="2019-06-08T00:00:00"/>
    <n v="2000"/>
    <m/>
    <m/>
    <m/>
    <m/>
    <m/>
    <m/>
    <n v="2000"/>
    <n v="0"/>
    <n v="0"/>
  </r>
  <r>
    <s v="181A/2019"/>
    <d v="2019-04-19T00:00:00"/>
    <s v="KIỀU THY"/>
    <s v="TT19"/>
    <x v="58"/>
    <x v="80"/>
    <s v="PROFUNDO"/>
    <m/>
    <s v="14.16"/>
    <s v="300"/>
    <s v="NL2018"/>
    <m/>
    <n v="0"/>
    <n v="0"/>
    <x v="82"/>
    <n v="0"/>
    <x v="1"/>
    <d v="2019-05-05T00:00:00"/>
    <d v="2019-06-07T00:00:00"/>
    <d v="2019-06-07T00:00:00"/>
    <s v="5/5AL"/>
    <m/>
    <m/>
    <m/>
    <m/>
    <m/>
    <m/>
    <m/>
    <m/>
    <m/>
    <m/>
    <m/>
    <n v="0"/>
    <n v="0"/>
    <n v="0"/>
  </r>
  <r>
    <s v="181A/2019"/>
    <d v="2019-04-08T00:00:00"/>
    <s v="KIỀU THY"/>
    <s v="TT19"/>
    <x v="58"/>
    <x v="2"/>
    <s v="NASHVILLE"/>
    <m/>
    <s v="14.16"/>
    <s v="300"/>
    <s v="NL2018"/>
    <m/>
    <n v="27"/>
    <n v="8100"/>
    <x v="57"/>
    <n v="32400000"/>
    <x v="0"/>
    <d v="2019-04-17T00:00:00"/>
    <d v="2019-05-21T00:00:00"/>
    <d v="2019-05-21T00:00:00"/>
    <s v="10/4AL"/>
    <m/>
    <m/>
    <m/>
    <d v="2019-05-27T00:00:00"/>
    <n v="8100"/>
    <m/>
    <m/>
    <m/>
    <m/>
    <m/>
    <m/>
    <n v="8100"/>
    <n v="0"/>
    <n v="0"/>
  </r>
  <r>
    <s v="181A/2019"/>
    <d v="2019-05-08T00:00:00"/>
    <s v="KIỀU THY"/>
    <s v="TT19"/>
    <x v="58"/>
    <x v="3"/>
    <s v="PAVIA"/>
    <m/>
    <s v="12.14"/>
    <s v="400"/>
    <s v="NL2018"/>
    <m/>
    <n v="13"/>
    <n v="5200"/>
    <x v="14"/>
    <n v="15080000"/>
    <x v="0"/>
    <d v="2019-04-17T00:00:00"/>
    <d v="2019-05-21T00:00:00"/>
    <d v="2019-05-21T00:00:00"/>
    <s v="10/4AL"/>
    <m/>
    <m/>
    <m/>
    <d v="2019-05-19T00:00:00"/>
    <n v="5200"/>
    <m/>
    <m/>
    <m/>
    <m/>
    <m/>
    <m/>
    <n v="5200"/>
    <n v="0"/>
    <n v="0"/>
  </r>
  <r>
    <s v="181A/2019"/>
    <d v="2019-05-13T00:00:00"/>
    <s v="KIỀU THY"/>
    <s v="TT19"/>
    <x v="58"/>
    <x v="50"/>
    <s v="PROFUNDO"/>
    <m/>
    <s v="14.16"/>
    <s v="275"/>
    <s v="NL2018"/>
    <m/>
    <n v="58"/>
    <n v="15950"/>
    <x v="18"/>
    <n v="79750000"/>
    <x v="0"/>
    <d v="2019-04-17T00:00:00"/>
    <d v="2019-05-21T00:00:00"/>
    <d v="2019-05-21T00:00:00"/>
    <m/>
    <m/>
    <m/>
    <m/>
    <d v="2019-05-19T00:00:00"/>
    <n v="12925"/>
    <d v="2019-05-27T00:00:00"/>
    <s v="3025"/>
    <m/>
    <m/>
    <m/>
    <m/>
    <n v="15950"/>
    <n v="0"/>
    <n v="0"/>
  </r>
  <r>
    <s v="181A/2019"/>
    <d v="2019-05-13T00:00:00"/>
    <s v="KIỀU THY"/>
    <s v="TT19"/>
    <x v="58"/>
    <x v="5"/>
    <s v="PROFUNDO"/>
    <m/>
    <s v="16.18"/>
    <s v="200"/>
    <s v="NL2018"/>
    <m/>
    <n v="5"/>
    <n v="1000"/>
    <x v="101"/>
    <n v="7800000"/>
    <x v="0"/>
    <d v="2019-04-17T00:00:00"/>
    <d v="2019-05-21T00:00:00"/>
    <d v="2019-05-21T00:00:00"/>
    <m/>
    <m/>
    <m/>
    <m/>
    <d v="2019-05-27T00:00:00"/>
    <n v="1000"/>
    <m/>
    <m/>
    <m/>
    <m/>
    <m/>
    <m/>
    <n v="1000"/>
    <n v="0"/>
    <n v="0"/>
  </r>
  <r>
    <s v="181A/2019"/>
    <d v="2019-05-24T00:00:00"/>
    <s v="KIỀU THY"/>
    <s v="TT19"/>
    <x v="58"/>
    <x v="3"/>
    <s v="PAVIA"/>
    <m/>
    <s v="12.14"/>
    <s v="400"/>
    <s v="NL2018"/>
    <m/>
    <n v="9"/>
    <n v="3600"/>
    <x v="14"/>
    <n v="10440000"/>
    <x v="0"/>
    <d v="2019-04-17T00:00:00"/>
    <d v="2019-05-21T00:00:00"/>
    <d v="2019-05-21T00:00:00"/>
    <m/>
    <m/>
    <m/>
    <m/>
    <d v="2019-05-27T00:00:00"/>
    <n v="3600"/>
    <m/>
    <m/>
    <m/>
    <m/>
    <m/>
    <m/>
    <n v="3600"/>
    <n v="0"/>
    <n v="0"/>
  </r>
  <r>
    <s v="200A/2019"/>
    <d v="2019-04-19T00:00:00"/>
    <s v="KIỀU THY"/>
    <s v="TT19"/>
    <x v="58"/>
    <x v="107"/>
    <s v="PROFUNDO CHILE"/>
    <m/>
    <s v="20.22"/>
    <s v="125"/>
    <s v="CL2019"/>
    <m/>
    <n v="24"/>
    <n v="3000"/>
    <x v="37"/>
    <n v="40500000"/>
    <x v="2"/>
    <d v="2019-09-01T00:00:00"/>
    <d v="2019-09-29T00:00:00"/>
    <d v="2019-09-29T00:00:00"/>
    <m/>
    <m/>
    <m/>
    <m/>
    <m/>
    <m/>
    <m/>
    <m/>
    <m/>
    <m/>
    <m/>
    <m/>
    <n v="0"/>
    <n v="3000"/>
    <n v="40500000"/>
  </r>
  <r>
    <s v="230/2019"/>
    <d v="2019-05-30T00:00:00"/>
    <s v="KIỀU THY"/>
    <s v="TC01"/>
    <x v="59"/>
    <x v="16"/>
    <s v="ROBINA"/>
    <m/>
    <s v="20.22"/>
    <s v="125"/>
    <s v="NL2018"/>
    <m/>
    <n v="0"/>
    <n v="0"/>
    <x v="16"/>
    <n v="0"/>
    <x v="1"/>
    <d v="2019-09-01T00:00:00"/>
    <s v=""/>
    <s v=""/>
    <m/>
    <m/>
    <m/>
    <m/>
    <m/>
    <m/>
    <m/>
    <m/>
    <m/>
    <m/>
    <m/>
    <m/>
    <n v="0"/>
    <n v="0"/>
    <n v="0"/>
  </r>
  <r>
    <s v="230/2019"/>
    <d v="2019-05-30T00:00:00"/>
    <s v="KIỀU THY"/>
    <s v="TC01"/>
    <x v="59"/>
    <x v="26"/>
    <s v="ROBINA"/>
    <m/>
    <s v="22.24"/>
    <s v="100"/>
    <s v="NL2018"/>
    <m/>
    <n v="0"/>
    <n v="0"/>
    <x v="29"/>
    <n v="0"/>
    <x v="1"/>
    <d v="2019-09-01T00:00:00"/>
    <s v=""/>
    <s v=""/>
    <m/>
    <m/>
    <m/>
    <m/>
    <m/>
    <m/>
    <m/>
    <m/>
    <m/>
    <m/>
    <m/>
    <m/>
    <n v="0"/>
    <n v="0"/>
    <n v="0"/>
  </r>
  <r>
    <s v="230/2019"/>
    <d v="2019-05-30T00:00:00"/>
    <s v="KIỀU THY"/>
    <s v="TC01"/>
    <x v="59"/>
    <x v="108"/>
    <s v="ROBINA Newzeland"/>
    <m/>
    <s v="20.22"/>
    <s v="125"/>
    <s v="NZ2019"/>
    <m/>
    <n v="40"/>
    <n v="5000"/>
    <x v="29"/>
    <n v="62500000"/>
    <x v="2"/>
    <d v="2019-09-01T00:00:00"/>
    <s v=""/>
    <s v=""/>
    <m/>
    <m/>
    <m/>
    <m/>
    <m/>
    <m/>
    <m/>
    <m/>
    <m/>
    <m/>
    <m/>
    <m/>
    <n v="0"/>
    <n v="5000"/>
    <n v="62500000"/>
  </r>
  <r>
    <s v="230/2019"/>
    <d v="2019-05-30T00:00:00"/>
    <s v="KIỀU THY"/>
    <s v="TC01"/>
    <x v="59"/>
    <x v="109"/>
    <s v="ROBINA Newzeland"/>
    <m/>
    <s v="22.24"/>
    <s v="100"/>
    <s v="NZ2019"/>
    <m/>
    <n v="50"/>
    <n v="5000"/>
    <x v="40"/>
    <n v="65000000"/>
    <x v="2"/>
    <d v="2019-09-01T00:00:00"/>
    <s v=""/>
    <s v=""/>
    <m/>
    <m/>
    <m/>
    <m/>
    <m/>
    <m/>
    <m/>
    <m/>
    <m/>
    <m/>
    <m/>
    <m/>
    <n v="0"/>
    <n v="5000"/>
    <n v="65000000"/>
  </r>
  <r>
    <s v="230/2019"/>
    <d v="2019-05-30T00:00:00"/>
    <s v="KIỀU THY"/>
    <s v="TC01"/>
    <x v="59"/>
    <x v="6"/>
    <s v="CONCADOR"/>
    <m/>
    <s v="20.22"/>
    <s v="125"/>
    <s v="NL2018"/>
    <m/>
    <n v="0"/>
    <n v="0"/>
    <x v="7"/>
    <n v="0"/>
    <x v="1"/>
    <d v="2019-09-01T00:00:00"/>
    <s v=""/>
    <s v=""/>
    <m/>
    <m/>
    <m/>
    <m/>
    <m/>
    <m/>
    <m/>
    <m/>
    <m/>
    <m/>
    <m/>
    <m/>
    <n v="0"/>
    <n v="0"/>
    <n v="0"/>
  </r>
  <r>
    <s v="230/2019"/>
    <d v="2019-05-30T00:00:00"/>
    <s v="KIỀU THY"/>
    <s v="TC01"/>
    <x v="59"/>
    <x v="46"/>
    <s v="CONCADOR"/>
    <m/>
    <s v="22.24"/>
    <s v="100"/>
    <s v="NL2018"/>
    <m/>
    <n v="0"/>
    <n v="0"/>
    <x v="29"/>
    <n v="0"/>
    <x v="1"/>
    <d v="2019-09-01T00:00:00"/>
    <s v=""/>
    <s v=""/>
    <m/>
    <m/>
    <m/>
    <m/>
    <m/>
    <m/>
    <m/>
    <m/>
    <m/>
    <m/>
    <m/>
    <m/>
    <n v="0"/>
    <n v="0"/>
    <n v="0"/>
  </r>
  <r>
    <s v="230/2019"/>
    <d v="2019-05-30T00:00:00"/>
    <s v="KIỀU THY"/>
    <s v="TC01"/>
    <x v="59"/>
    <x v="110"/>
    <s v="CONCADOR"/>
    <m/>
    <s v="20.22"/>
    <s v="125"/>
    <s v="NZ2019"/>
    <m/>
    <n v="216"/>
    <n v="27000"/>
    <x v="53"/>
    <n v="324000000"/>
    <x v="2"/>
    <d v="2019-09-01T00:00:00"/>
    <s v=""/>
    <s v=""/>
    <m/>
    <m/>
    <m/>
    <m/>
    <m/>
    <m/>
    <m/>
    <m/>
    <m/>
    <m/>
    <m/>
    <m/>
    <n v="0"/>
    <n v="27000"/>
    <n v="324000000"/>
  </r>
  <r>
    <s v="121A/2019"/>
    <d v="2019-03-15T00:00:00"/>
    <s v="KIỀU THY"/>
    <s v="TH03"/>
    <x v="60"/>
    <x v="80"/>
    <s v="PROFUNDO"/>
    <m/>
    <s v="14.16"/>
    <s v="300"/>
    <s v="NL2018"/>
    <m/>
    <n v="6"/>
    <n v="1800"/>
    <x v="23"/>
    <n v="8640000"/>
    <x v="0"/>
    <d v="2019-02-15T00:00:00"/>
    <d v="2019-03-20T00:00:00"/>
    <d v="2019-03-20T00:00:00"/>
    <m/>
    <m/>
    <m/>
    <m/>
    <d v="2019-04-22T00:00:00"/>
    <n v="1800"/>
    <m/>
    <m/>
    <m/>
    <m/>
    <m/>
    <m/>
    <n v="1800"/>
    <n v="0"/>
    <n v="0"/>
  </r>
  <r>
    <s v="121A/2019"/>
    <d v="2019-03-15T00:00:00"/>
    <s v="KIỀU THY"/>
    <s v="TH03"/>
    <x v="60"/>
    <x v="11"/>
    <s v="YELLOWEEN"/>
    <m/>
    <s v="12.14"/>
    <s v="400"/>
    <s v="NL2018"/>
    <m/>
    <n v="12"/>
    <n v="4800"/>
    <x v="12"/>
    <n v="12480000"/>
    <x v="0"/>
    <d v="2019-02-28T00:00:00"/>
    <d v="2019-04-02T00:00:00"/>
    <d v="2019-04-02T00:00:00"/>
    <m/>
    <m/>
    <m/>
    <m/>
    <d v="2019-04-22T00:00:00"/>
    <n v="4800"/>
    <m/>
    <m/>
    <m/>
    <m/>
    <m/>
    <m/>
    <n v="4800"/>
    <n v="0"/>
    <n v="0"/>
  </r>
  <r>
    <s v="121A/2019"/>
    <d v="2019-03-15T00:00:00"/>
    <s v="KIỀU THY"/>
    <s v="TH03"/>
    <x v="60"/>
    <x v="47"/>
    <s v="ROBINA"/>
    <m/>
    <s v="18.20"/>
    <s v="150"/>
    <s v="NL2018"/>
    <m/>
    <n v="14"/>
    <n v="2100"/>
    <x v="42"/>
    <n v="13230000"/>
    <x v="0"/>
    <d v="2019-03-15T00:00:00"/>
    <d v="2019-04-19T00:00:00"/>
    <d v="2019-04-19T00:00:00"/>
    <m/>
    <m/>
    <m/>
    <m/>
    <d v="2019-05-11T00:00:00"/>
    <n v="2100"/>
    <m/>
    <m/>
    <m/>
    <m/>
    <m/>
    <m/>
    <n v="2100"/>
    <n v="0"/>
    <n v="0"/>
  </r>
  <r>
    <s v="121A/2019"/>
    <d v="2019-03-15T00:00:00"/>
    <s v="KIỀU THY"/>
    <s v="TH03"/>
    <x v="60"/>
    <x v="34"/>
    <s v="TARRANGO"/>
    <m/>
    <s v="16.18"/>
    <s v="200"/>
    <s v="NL2018"/>
    <m/>
    <n v="7"/>
    <n v="1400"/>
    <x v="44"/>
    <n v="7700000"/>
    <x v="0"/>
    <d v="2019-03-15T00:00:00"/>
    <d v="2019-04-19T00:00:00"/>
    <d v="2019-04-19T00:00:00"/>
    <m/>
    <m/>
    <m/>
    <m/>
    <d v="2019-05-11T00:00:00"/>
    <n v="1400"/>
    <m/>
    <m/>
    <m/>
    <m/>
    <m/>
    <m/>
    <n v="1400"/>
    <n v="0"/>
    <n v="0"/>
  </r>
  <r>
    <s v="121A/2019"/>
    <d v="2019-03-15T00:00:00"/>
    <s v="KIỀU THY"/>
    <s v="TH03"/>
    <x v="60"/>
    <x v="11"/>
    <s v="YELLOWEEN"/>
    <m/>
    <s v="12.14"/>
    <s v="400"/>
    <s v="NL2018"/>
    <m/>
    <n v="9"/>
    <n v="3600"/>
    <x v="47"/>
    <n v="9720000"/>
    <x v="0"/>
    <d v="2019-03-15T00:00:00"/>
    <d v="2019-04-19T00:00:00"/>
    <d v="2019-04-19T00:00:00"/>
    <m/>
    <m/>
    <m/>
    <m/>
    <d v="2019-05-11T00:00:00"/>
    <n v="3600"/>
    <m/>
    <m/>
    <m/>
    <m/>
    <m/>
    <m/>
    <n v="3600"/>
    <n v="0"/>
    <n v="0"/>
  </r>
  <r>
    <s v="121A/2019"/>
    <d v="2019-03-15T00:00:00"/>
    <s v="KIỀU THY"/>
    <s v="TH03"/>
    <x v="60"/>
    <x v="22"/>
    <s v="ROBINA"/>
    <m/>
    <s v="16.18"/>
    <s v="200"/>
    <s v="NL2018"/>
    <m/>
    <n v="15"/>
    <n v="3000"/>
    <x v="18"/>
    <n v="15000000"/>
    <x v="0"/>
    <d v="2019-04-17T00:00:00"/>
    <d v="2019-05-21T00:00:00"/>
    <d v="2019-05-21T00:00:00"/>
    <m/>
    <m/>
    <m/>
    <m/>
    <d v="2019-05-31T00:00:00"/>
    <n v="3000"/>
    <m/>
    <m/>
    <m/>
    <m/>
    <m/>
    <m/>
    <n v="3000"/>
    <n v="0"/>
    <n v="0"/>
  </r>
  <r>
    <s v="121A/2019"/>
    <d v="2019-03-15T00:00:00"/>
    <s v="KIỀU THY"/>
    <s v="TH03"/>
    <x v="60"/>
    <x v="28"/>
    <s v="YELLOWEEN"/>
    <m/>
    <s v="14.16"/>
    <s v="300"/>
    <s v="NL2018"/>
    <m/>
    <n v="14"/>
    <n v="4200"/>
    <x v="6"/>
    <n v="15960000"/>
    <x v="0"/>
    <d v="2019-04-17T00:00:00"/>
    <d v="2019-05-21T00:00:00"/>
    <d v="2019-05-21T00:00:00"/>
    <m/>
    <m/>
    <m/>
    <m/>
    <d v="2019-05-31T00:00:00"/>
    <n v="4200"/>
    <m/>
    <m/>
    <m/>
    <m/>
    <m/>
    <m/>
    <n v="4200"/>
    <n v="0"/>
    <n v="0"/>
  </r>
  <r>
    <s v="124A/2019"/>
    <d v="2019-03-15T00:00:00"/>
    <s v="KIỀU THY"/>
    <s v="TH03"/>
    <x v="60"/>
    <x v="6"/>
    <s v="CONCADOR"/>
    <m/>
    <s v="20.22"/>
    <s v="125"/>
    <s v="NL2018"/>
    <m/>
    <n v="120"/>
    <n v="15000"/>
    <x v="59"/>
    <n v="157500000"/>
    <x v="2"/>
    <d v="2019-09-01T00:00:00"/>
    <d v="2019-09-29T00:00:00"/>
    <d v="2019-09-29T00:00:00"/>
    <s v="TẾT"/>
    <m/>
    <m/>
    <m/>
    <m/>
    <n v="0"/>
    <m/>
    <m/>
    <m/>
    <m/>
    <m/>
    <m/>
    <n v="0"/>
    <n v="15000"/>
    <n v="157500000"/>
  </r>
  <r>
    <s v="124A/2019"/>
    <d v="2019-03-15T00:00:00"/>
    <s v="KIỀU THY"/>
    <s v="TH03"/>
    <x v="60"/>
    <x v="26"/>
    <s v="ROBINA"/>
    <m/>
    <s v="22.24"/>
    <s v="100"/>
    <s v="NL2018"/>
    <m/>
    <n v="150"/>
    <n v="15000"/>
    <x v="29"/>
    <n v="187500000"/>
    <x v="2"/>
    <d v="2019-09-01T00:00:00"/>
    <d v="2019-09-29T00:00:00"/>
    <d v="2019-09-29T00:00:00"/>
    <s v="TẾT"/>
    <m/>
    <m/>
    <m/>
    <m/>
    <n v="0"/>
    <m/>
    <m/>
    <m/>
    <m/>
    <m/>
    <m/>
    <n v="0"/>
    <n v="15000"/>
    <n v="187500000"/>
  </r>
  <r>
    <s v="121A/2019"/>
    <d v="2019-06-15T00:00:00"/>
    <s v="KIỀU THY"/>
    <s v="TH03"/>
    <x v="60"/>
    <x v="56"/>
    <s v="OUTBACK"/>
    <m/>
    <s v="14.16"/>
    <s v="300"/>
    <s v="NL2018"/>
    <m/>
    <n v="7"/>
    <n v="2100"/>
    <x v="11"/>
    <n v="11340000"/>
    <x v="4"/>
    <d v="2019-05-15T00:00:00"/>
    <d v="2019-06-17T00:00:00"/>
    <d v="2019-06-17T00:00:00"/>
    <m/>
    <m/>
    <m/>
    <m/>
    <m/>
    <m/>
    <m/>
    <m/>
    <m/>
    <m/>
    <m/>
    <m/>
    <n v="0"/>
    <n v="2100"/>
    <n v="11340000"/>
  </r>
  <r>
    <s v="121A/2019"/>
    <d v="2019-06-15T00:00:00"/>
    <s v="KIỀU THY"/>
    <s v="TH03"/>
    <x v="60"/>
    <x v="57"/>
    <s v="DALIAN"/>
    <m/>
    <s v="14.16"/>
    <s v="300"/>
    <s v="NL2018"/>
    <m/>
    <n v="12"/>
    <n v="3600"/>
    <x v="48"/>
    <n v="20160000"/>
    <x v="4"/>
    <d v="2019-07-05T00:00:00"/>
    <d v="2019-08-05T00:00:00"/>
    <d v="2019-08-05T00:00:00"/>
    <m/>
    <m/>
    <m/>
    <m/>
    <m/>
    <m/>
    <m/>
    <m/>
    <m/>
    <m/>
    <m/>
    <m/>
    <n v="0"/>
    <n v="3600"/>
    <n v="20160000"/>
  </r>
  <r>
    <s v="121A/2019"/>
    <d v="2019-06-15T00:00:00"/>
    <s v="KIỀU THY"/>
    <s v="TH03"/>
    <x v="60"/>
    <x v="22"/>
    <s v="ROBINA"/>
    <m/>
    <s v="16.18"/>
    <s v="200"/>
    <s v="NL2018"/>
    <m/>
    <n v="15"/>
    <n v="3000"/>
    <x v="44"/>
    <n v="16500000"/>
    <x v="4"/>
    <d v="2019-05-15T00:00:00"/>
    <d v="2019-06-17T00:00:00"/>
    <d v="2019-06-17T00:00:00"/>
    <m/>
    <m/>
    <m/>
    <m/>
    <m/>
    <m/>
    <m/>
    <m/>
    <m/>
    <m/>
    <m/>
    <m/>
    <n v="0"/>
    <n v="3000"/>
    <n v="16500000"/>
  </r>
  <r>
    <s v="121A/2019"/>
    <d v="2019-06-15T00:00:00"/>
    <s v="KIỀU THY"/>
    <s v="TH03"/>
    <x v="60"/>
    <x v="22"/>
    <s v="ROBINA"/>
    <m/>
    <s v="16.18"/>
    <s v="200"/>
    <s v="NL2018"/>
    <m/>
    <n v="20"/>
    <n v="4000"/>
    <x v="44"/>
    <n v="22000000"/>
    <x v="3"/>
    <d v="2019-05-18T00:00:00"/>
    <d v="2019-06-20T00:00:00"/>
    <d v="2019-06-20T00:00:00"/>
    <m/>
    <m/>
    <m/>
    <m/>
    <m/>
    <m/>
    <m/>
    <m/>
    <m/>
    <m/>
    <m/>
    <m/>
    <n v="0"/>
    <n v="4000"/>
    <n v="22000000"/>
  </r>
  <r>
    <s v="121A/2019"/>
    <d v="2019-06-15T00:00:00"/>
    <s v="KIỀU THY"/>
    <s v="TH03"/>
    <x v="60"/>
    <x v="15"/>
    <s v="CONCADOR"/>
    <m/>
    <s v="16.18"/>
    <s v="200"/>
    <s v="NL2018"/>
    <m/>
    <n v="10"/>
    <n v="2000"/>
    <x v="43"/>
    <n v="13000000"/>
    <x v="4"/>
    <d v="2019-05-25T00:00:00"/>
    <d v="2019-06-27T00:00:00"/>
    <d v="2019-06-27T00:00:00"/>
    <m/>
    <m/>
    <m/>
    <m/>
    <m/>
    <m/>
    <m/>
    <m/>
    <m/>
    <m/>
    <m/>
    <m/>
    <n v="0"/>
    <n v="2000"/>
    <n v="13000000"/>
  </r>
  <r>
    <s v="110B/2019"/>
    <d v="2019-03-12T00:00:00"/>
    <s v="THANH THÚY"/>
    <s v="TO02"/>
    <x v="61"/>
    <x v="2"/>
    <s v="NASHVILLE"/>
    <m/>
    <s v="14.16"/>
    <n v="300"/>
    <s v="NL2018"/>
    <m/>
    <n v="38"/>
    <n v="11400"/>
    <x v="6"/>
    <n v="43320000"/>
    <x v="0"/>
    <d v="2019-04-17T00:00:00"/>
    <d v="2019-05-21T00:00:00"/>
    <d v="2019-05-21T00:00:00"/>
    <s v="30/3AL"/>
    <m/>
    <m/>
    <m/>
    <d v="2019-05-20T00:00:00"/>
    <n v="5100"/>
    <d v="2019-06-04T00:00:00"/>
    <n v="6300"/>
    <m/>
    <m/>
    <m/>
    <m/>
    <n v="11400"/>
    <n v="0"/>
    <n v="0"/>
  </r>
  <r>
    <s v="23B/2019"/>
    <d v="2019-01-05T00:00:00"/>
    <s v="THANH THÚY"/>
    <s v="TO02"/>
    <x v="61"/>
    <x v="15"/>
    <s v="CONCADOR "/>
    <m/>
    <s v="16.18"/>
    <n v="200"/>
    <s v="NL2018"/>
    <m/>
    <n v="25"/>
    <n v="5000"/>
    <x v="21"/>
    <n v="23000000"/>
    <x v="0"/>
    <d v="2019-01-15T00:00:00"/>
    <d v="2019-02-19T00:00:00"/>
    <d v="2019-02-19T00:00:00"/>
    <s v="15/1AL"/>
    <m/>
    <m/>
    <m/>
    <d v="2019-02-19T00:00:00"/>
    <n v="5000"/>
    <m/>
    <m/>
    <m/>
    <m/>
    <m/>
    <m/>
    <n v="5000"/>
    <n v="0"/>
    <n v="0"/>
  </r>
  <r>
    <s v="23B/2019"/>
    <d v="2019-01-05T00:00:00"/>
    <s v="THANH THÚY"/>
    <s v="TO02"/>
    <x v="61"/>
    <x v="17"/>
    <s v="NELLO "/>
    <m/>
    <s v="12.14"/>
    <n v="400"/>
    <s v="NL2018"/>
    <m/>
    <n v="43"/>
    <n v="17200"/>
    <x v="17"/>
    <n v="51600000"/>
    <x v="0"/>
    <d v="2019-01-15T00:00:00"/>
    <d v="2019-02-19T00:00:00"/>
    <d v="2019-02-19T00:00:00"/>
    <s v="15/1AL"/>
    <m/>
    <m/>
    <m/>
    <d v="2019-02-19T00:00:00"/>
    <n v="17200"/>
    <m/>
    <m/>
    <m/>
    <m/>
    <m/>
    <m/>
    <n v="17200"/>
    <n v="0"/>
    <n v="0"/>
  </r>
  <r>
    <s v="23B/2019"/>
    <d v="2019-01-05T00:00:00"/>
    <s v="THANH THÚY"/>
    <s v="TO02"/>
    <x v="61"/>
    <x v="3"/>
    <s v="PAVIA"/>
    <m/>
    <s v="12.14"/>
    <n v="400"/>
    <s v="NL2018"/>
    <m/>
    <n v="43"/>
    <n v="17200"/>
    <x v="4"/>
    <n v="48160000"/>
    <x v="0"/>
    <d v="2019-01-15T00:00:00"/>
    <d v="2019-02-19T00:00:00"/>
    <d v="2019-02-19T00:00:00"/>
    <s v="15/1AL"/>
    <m/>
    <m/>
    <m/>
    <d v="2019-02-19T00:00:00"/>
    <n v="17200"/>
    <m/>
    <m/>
    <m/>
    <m/>
    <m/>
    <m/>
    <n v="17200"/>
    <n v="0"/>
    <n v="0"/>
  </r>
  <r>
    <s v="23B/2019"/>
    <d v="2019-01-05T00:00:00"/>
    <s v="THANH THÚY"/>
    <s v="TO02"/>
    <x v="61"/>
    <x v="34"/>
    <s v="TARRANGO"/>
    <m/>
    <s v="16.18"/>
    <n v="200"/>
    <s v="NL2018"/>
    <m/>
    <n v="100"/>
    <n v="20000"/>
    <x v="43"/>
    <n v="130000000"/>
    <x v="0"/>
    <d v="2019-01-15T00:00:00"/>
    <d v="2019-02-19T00:00:00"/>
    <d v="2019-02-19T00:00:00"/>
    <s v="15/1AL"/>
    <m/>
    <m/>
    <m/>
    <d v="2019-02-19T00:00:00"/>
    <n v="20000"/>
    <m/>
    <m/>
    <m/>
    <m/>
    <m/>
    <m/>
    <n v="20000"/>
    <n v="0"/>
    <n v="0"/>
  </r>
  <r>
    <s v="23B/2019"/>
    <d v="2019-01-05T00:00:00"/>
    <s v="THANH THÚY"/>
    <s v="TO02"/>
    <x v="61"/>
    <x v="11"/>
    <s v="YELLOWEEN"/>
    <m/>
    <s v="12.14"/>
    <n v="400"/>
    <s v="NL2018"/>
    <m/>
    <n v="25"/>
    <n v="10000"/>
    <x v="12"/>
    <n v="26000000"/>
    <x v="0"/>
    <d v="2019-01-15T00:00:00"/>
    <d v="2019-02-19T00:00:00"/>
    <d v="2019-02-19T00:00:00"/>
    <s v="15/1AL"/>
    <m/>
    <m/>
    <m/>
    <d v="2019-02-19T00:00:00"/>
    <n v="10000"/>
    <m/>
    <m/>
    <m/>
    <m/>
    <m/>
    <m/>
    <n v="10000"/>
    <n v="0"/>
    <n v="0"/>
  </r>
  <r>
    <s v="23B/2019"/>
    <d v="2019-01-05T00:00:00"/>
    <s v="THANH THÚY"/>
    <s v="TO02"/>
    <x v="61"/>
    <x v="38"/>
    <s v="YELLOWEEN"/>
    <m/>
    <s v="16.18"/>
    <n v="200"/>
    <s v="NL2018"/>
    <m/>
    <n v="25"/>
    <n v="5000"/>
    <x v="18"/>
    <n v="25000000"/>
    <x v="0"/>
    <d v="2019-01-15T00:00:00"/>
    <d v="2019-02-19T00:00:00"/>
    <d v="2019-02-19T00:00:00"/>
    <s v="15/1AL"/>
    <m/>
    <m/>
    <m/>
    <d v="2019-02-20T00:00:00"/>
    <n v="5000"/>
    <m/>
    <m/>
    <m/>
    <m/>
    <m/>
    <m/>
    <n v="5000"/>
    <n v="0"/>
    <n v="0"/>
  </r>
  <r>
    <s v="23B/2019"/>
    <d v="2019-01-05T00:00:00"/>
    <s v="THANH THÚY"/>
    <s v="TO02"/>
    <x v="61"/>
    <x v="52"/>
    <s v="MALDANO"/>
    <m/>
    <s v="15.16"/>
    <n v="300"/>
    <s v="NL2018"/>
    <m/>
    <n v="16"/>
    <n v="4800"/>
    <x v="56"/>
    <n v="18720000"/>
    <x v="0"/>
    <d v="2019-02-15T00:00:00"/>
    <d v="2019-03-20T00:00:00"/>
    <d v="2019-03-20T00:00:00"/>
    <s v="15/2AL"/>
    <s v="CONT 10/2019"/>
    <m/>
    <m/>
    <d v="2019-03-19T00:00:00"/>
    <n v="4800"/>
    <m/>
    <m/>
    <m/>
    <m/>
    <m/>
    <m/>
    <n v="4800"/>
    <n v="0"/>
    <n v="0"/>
  </r>
  <r>
    <s v="23B/2019"/>
    <d v="2019-01-05T00:00:00"/>
    <s v="THANH THÚY"/>
    <s v="TO02"/>
    <x v="61"/>
    <x v="19"/>
    <s v="PAVIA"/>
    <m/>
    <s v="12.14"/>
    <n v="400"/>
    <s v="NL2017"/>
    <m/>
    <n v="75"/>
    <n v="30000"/>
    <x v="19"/>
    <n v="60000000"/>
    <x v="0"/>
    <d v="2019-02-15T00:00:00"/>
    <d v="2019-03-20T00:00:00"/>
    <d v="2019-03-20T00:00:00"/>
    <s v="15/2AL"/>
    <s v="CONT 9/2019"/>
    <m/>
    <m/>
    <d v="2019-03-19T00:00:00"/>
    <n v="30000"/>
    <m/>
    <m/>
    <m/>
    <m/>
    <m/>
    <m/>
    <n v="30000"/>
    <n v="0"/>
    <n v="0"/>
  </r>
  <r>
    <s v="23B/2019"/>
    <d v="2019-01-05T00:00:00"/>
    <s v="THANH THÚY"/>
    <s v="TO02"/>
    <x v="61"/>
    <x v="3"/>
    <s v="PAVIA"/>
    <m/>
    <s v="12.14"/>
    <n v="400"/>
    <s v="NL2018"/>
    <m/>
    <n v="13"/>
    <n v="5200"/>
    <x v="4"/>
    <n v="14560000"/>
    <x v="0"/>
    <d v="2019-02-15T00:00:00"/>
    <d v="2019-03-20T00:00:00"/>
    <d v="2019-03-20T00:00:00"/>
    <s v="15/2AL"/>
    <s v="CONT 9/2019"/>
    <m/>
    <m/>
    <d v="2019-03-19T00:00:00"/>
    <n v="5200"/>
    <m/>
    <m/>
    <m/>
    <m/>
    <m/>
    <m/>
    <n v="5200"/>
    <n v="0"/>
    <n v="0"/>
  </r>
  <r>
    <s v="23B/2019"/>
    <d v="2019-01-05T00:00:00"/>
    <s v="THANH THÚY"/>
    <s v="TO02"/>
    <x v="61"/>
    <x v="47"/>
    <s v="ROBINA"/>
    <m/>
    <s v="18.20"/>
    <n v="150"/>
    <s v="NL2018"/>
    <m/>
    <n v="34"/>
    <n v="5100"/>
    <x v="42"/>
    <n v="32130000"/>
    <x v="0"/>
    <d v="2019-02-15T00:00:00"/>
    <d v="2019-03-20T00:00:00"/>
    <d v="2019-03-20T00:00:00"/>
    <s v="15/2AL"/>
    <s v="CONT 11/2019"/>
    <m/>
    <m/>
    <d v="2019-03-19T00:00:00"/>
    <n v="5100"/>
    <m/>
    <m/>
    <m/>
    <m/>
    <m/>
    <m/>
    <n v="5100"/>
    <n v="0"/>
    <n v="0"/>
  </r>
  <r>
    <s v="23B/2019"/>
    <d v="2019-01-05T00:00:00"/>
    <s v="THANH THÚY"/>
    <s v="TO02"/>
    <x v="61"/>
    <x v="28"/>
    <s v="YELLOWEEN"/>
    <m/>
    <s v="14.16"/>
    <n v="300"/>
    <s v="NL2018"/>
    <m/>
    <n v="14"/>
    <n v="4200"/>
    <x v="6"/>
    <n v="15960000"/>
    <x v="0"/>
    <d v="2019-02-15T00:00:00"/>
    <d v="2019-03-20T00:00:00"/>
    <d v="2019-03-20T00:00:00"/>
    <s v="15/2AL"/>
    <s v="CONT 10/2019"/>
    <m/>
    <m/>
    <d v="2019-03-19T00:00:00"/>
    <n v="4200"/>
    <m/>
    <m/>
    <m/>
    <m/>
    <m/>
    <m/>
    <n v="4200"/>
    <n v="0"/>
    <n v="0"/>
  </r>
  <r>
    <s v="23B/2019"/>
    <d v="2019-01-05T00:00:00"/>
    <s v="THANH THÚY"/>
    <s v="TO02"/>
    <x v="61"/>
    <x v="10"/>
    <s v="ARVANDRUD"/>
    <m/>
    <s v="16.18"/>
    <n v="200"/>
    <s v="NL2018"/>
    <m/>
    <n v="125"/>
    <n v="25000"/>
    <x v="44"/>
    <n v="137500000"/>
    <x v="0"/>
    <d v="2019-03-15T00:00:00"/>
    <d v="2019-04-19T00:00:00"/>
    <d v="2019-04-19T00:00:00"/>
    <s v="15/3AL"/>
    <s v="CONT 21/2019"/>
    <m/>
    <m/>
    <d v="2019-04-23T00:00:00"/>
    <n v="10000"/>
    <d v="2019-05-06T00:00:00"/>
    <n v="5000"/>
    <d v="2019-05-24T00:00:00"/>
    <n v="10000"/>
    <m/>
    <m/>
    <n v="25000"/>
    <n v="0"/>
    <n v="0"/>
  </r>
  <r>
    <s v="23B/2019"/>
    <d v="2019-01-05T00:00:00"/>
    <s v="THANH THÚY"/>
    <s v="TO02"/>
    <x v="61"/>
    <x v="3"/>
    <s v="PAVIA"/>
    <m/>
    <s v="12.14"/>
    <n v="400"/>
    <s v="NL2018"/>
    <m/>
    <n v="25"/>
    <n v="10000"/>
    <x v="4"/>
    <n v="28000000"/>
    <x v="0"/>
    <d v="2019-03-15T00:00:00"/>
    <d v="2019-04-19T00:00:00"/>
    <d v="2019-04-19T00:00:00"/>
    <s v="15/3AL"/>
    <s v="CONT 20/2019"/>
    <m/>
    <m/>
    <d v="2019-05-06T00:00:00"/>
    <n v="5200"/>
    <d v="2019-05-20T00:00:00"/>
    <n v="4800"/>
    <m/>
    <m/>
    <m/>
    <m/>
    <n v="10000"/>
    <n v="0"/>
    <n v="0"/>
  </r>
  <r>
    <s v="23B/2019"/>
    <d v="2019-01-05T00:00:00"/>
    <s v="THANH THÚY"/>
    <s v="TO02"/>
    <x v="61"/>
    <x v="4"/>
    <s v="TEBALDI"/>
    <m/>
    <s v="14.16"/>
    <n v="300"/>
    <s v="NL2018"/>
    <m/>
    <n v="50"/>
    <n v="15000"/>
    <x v="3"/>
    <n v="61500000"/>
    <x v="0"/>
    <d v="2019-03-15T00:00:00"/>
    <d v="2019-04-19T00:00:00"/>
    <d v="2019-04-19T00:00:00"/>
    <s v="15/3AL"/>
    <s v="CONT 24/2019"/>
    <m/>
    <m/>
    <d v="2019-04-22T00:00:00"/>
    <n v="15000"/>
    <m/>
    <m/>
    <m/>
    <m/>
    <m/>
    <m/>
    <n v="15000"/>
    <n v="0"/>
    <n v="0"/>
  </r>
  <r>
    <s v="23B/2019"/>
    <d v="2019-01-05T00:00:00"/>
    <s v="THANH THÚY"/>
    <s v="TO02"/>
    <x v="61"/>
    <x v="49"/>
    <s v="MARENGO"/>
    <m/>
    <s v="16.18"/>
    <n v="200"/>
    <s v="NL2018"/>
    <m/>
    <n v="35"/>
    <n v="7000"/>
    <x v="46"/>
    <n v="42000000"/>
    <x v="0"/>
    <s v="29-Feb-19"/>
    <d v="2019-04-03T00:00:00"/>
    <d v="2019-04-03T00:00:00"/>
    <s v="28/2AL"/>
    <s v="CONT 17/2019"/>
    <m/>
    <m/>
    <d v="2019-04-09T00:00:00"/>
    <n v="7000"/>
    <m/>
    <m/>
    <m/>
    <m/>
    <m/>
    <m/>
    <n v="7000"/>
    <n v="0"/>
    <n v="0"/>
  </r>
  <r>
    <s v="23B/2019"/>
    <d v="2019-01-05T00:00:00"/>
    <s v="THANH THÚY"/>
    <s v="TO02"/>
    <x v="61"/>
    <x v="3"/>
    <s v="PAVIA"/>
    <m/>
    <s v="12.14"/>
    <n v="400"/>
    <s v="NL2018"/>
    <m/>
    <n v="25"/>
    <n v="10000"/>
    <x v="4"/>
    <n v="28000000"/>
    <x v="0"/>
    <s v="29-Feb-19"/>
    <d v="2019-04-03T00:00:00"/>
    <d v="2019-04-03T00:00:00"/>
    <s v="28/2AL"/>
    <s v="CONT 14/2019"/>
    <m/>
    <m/>
    <d v="2019-04-05T00:00:00"/>
    <n v="3200"/>
    <d v="2019-04-09T00:00:00"/>
    <n v="6800"/>
    <m/>
    <m/>
    <m/>
    <m/>
    <n v="10000"/>
    <n v="0"/>
    <n v="0"/>
  </r>
  <r>
    <s v="23B/2019"/>
    <d v="2019-01-05T00:00:00"/>
    <s v="THANH THÚY"/>
    <s v="TO02"/>
    <x v="61"/>
    <x v="68"/>
    <s v="TEBALDI"/>
    <m/>
    <s v="12.14"/>
    <n v="400"/>
    <s v="NL2018"/>
    <m/>
    <n v="15"/>
    <n v="6000"/>
    <x v="4"/>
    <n v="16800000"/>
    <x v="0"/>
    <s v="29-Feb-19"/>
    <d v="2019-04-03T00:00:00"/>
    <d v="2019-04-03T00:00:00"/>
    <s v="28/2AL"/>
    <s v="CONT 15/2019"/>
    <m/>
    <m/>
    <d v="2019-04-05T00:00:00"/>
    <n v="6000"/>
    <m/>
    <m/>
    <m/>
    <m/>
    <m/>
    <m/>
    <n v="6000"/>
    <n v="0"/>
    <n v="0"/>
  </r>
  <r>
    <s v="110B/2019"/>
    <d v="2019-03-12T00:00:00"/>
    <s v="THANH THÚY"/>
    <s v="TO02"/>
    <x v="61"/>
    <x v="10"/>
    <s v="ARVANDRUD"/>
    <m/>
    <s v="16.18"/>
    <n v="200"/>
    <s v="NL2018"/>
    <m/>
    <n v="0"/>
    <n v="0"/>
    <x v="113"/>
    <n v="0"/>
    <x v="1"/>
    <d v="2019-04-17T00:00:00"/>
    <d v="2019-05-21T00:00:00"/>
    <d v="2019-05-21T00:00:00"/>
    <s v="30/3AL"/>
    <m/>
    <m/>
    <m/>
    <m/>
    <n v="0"/>
    <m/>
    <m/>
    <m/>
    <m/>
    <m/>
    <m/>
    <n v="0"/>
    <n v="0"/>
    <n v="0"/>
  </r>
  <r>
    <s v="110B/2019"/>
    <d v="2019-03-12T00:00:00"/>
    <s v="THANH THÚY"/>
    <s v="TO02"/>
    <x v="61"/>
    <x v="57"/>
    <s v="DALIAN"/>
    <m/>
    <s v="14.16"/>
    <n v="300"/>
    <s v="NL2018"/>
    <m/>
    <n v="17"/>
    <n v="5100"/>
    <x v="11"/>
    <n v="27540000"/>
    <x v="0"/>
    <d v="2019-04-17T00:00:00"/>
    <d v="2019-05-21T00:00:00"/>
    <d v="2019-05-21T00:00:00"/>
    <s v="30/3AL"/>
    <m/>
    <m/>
    <m/>
    <d v="2019-06-04T00:00:00"/>
    <n v="5100"/>
    <m/>
    <m/>
    <m/>
    <m/>
    <m/>
    <m/>
    <n v="5100"/>
    <n v="0"/>
    <n v="0"/>
  </r>
  <r>
    <s v="110B/2019"/>
    <d v="2019-03-12T00:00:00"/>
    <s v="THANH THÚY"/>
    <s v="TO02"/>
    <x v="61"/>
    <x v="3"/>
    <s v="PAVIA"/>
    <m/>
    <s v="12.14"/>
    <n v="400"/>
    <s v="NL2018"/>
    <m/>
    <n v="23"/>
    <n v="9200"/>
    <x v="14"/>
    <n v="26680000"/>
    <x v="0"/>
    <d v="2019-04-17T00:00:00"/>
    <d v="2019-05-21T00:00:00"/>
    <d v="2019-05-21T00:00:00"/>
    <s v="30/3AL"/>
    <m/>
    <m/>
    <m/>
    <d v="2019-06-04T00:00:00"/>
    <n v="5200"/>
    <d v="2019-06-18T00:00:00"/>
    <n v="4000"/>
    <m/>
    <m/>
    <m/>
    <m/>
    <n v="9200"/>
    <n v="0"/>
    <n v="0"/>
  </r>
  <r>
    <s v="110B/2019"/>
    <d v="2019-06-12T00:00:00"/>
    <s v="THANH THÚY"/>
    <s v="TO02"/>
    <x v="61"/>
    <x v="57"/>
    <s v="DALIAN"/>
    <m/>
    <s v="14.16"/>
    <n v="300"/>
    <s v="NL2018"/>
    <m/>
    <n v="17"/>
    <n v="5100"/>
    <x v="114"/>
    <n v="27795000"/>
    <x v="4"/>
    <d v="2019-05-05T00:00:00"/>
    <d v="2019-06-07T00:00:00"/>
    <d v="2019-06-07T00:00:00"/>
    <m/>
    <m/>
    <m/>
    <m/>
    <m/>
    <m/>
    <m/>
    <m/>
    <m/>
    <m/>
    <m/>
    <m/>
    <n v="0"/>
    <n v="5100"/>
    <n v="27795000"/>
  </r>
  <r>
    <s v="110B/2019"/>
    <d v="2019-06-12T00:00:00"/>
    <s v="THANH THÚY"/>
    <s v="TO02"/>
    <x v="61"/>
    <x v="10"/>
    <s v="ARVANDRUD"/>
    <m/>
    <s v="16.18"/>
    <n v="200"/>
    <s v="NL2018"/>
    <m/>
    <n v="25"/>
    <n v="5000"/>
    <x v="82"/>
    <n v="26000000"/>
    <x v="4"/>
    <d v="2019-04-17T00:00:00"/>
    <d v="2019-05-21T00:00:00"/>
    <d v="2019-05-21T00:00:00"/>
    <m/>
    <m/>
    <m/>
    <m/>
    <m/>
    <m/>
    <m/>
    <m/>
    <m/>
    <m/>
    <m/>
    <m/>
    <n v="0"/>
    <n v="5000"/>
    <n v="26000000"/>
  </r>
  <r>
    <s v="110B/2019"/>
    <d v="2019-06-12T00:00:00"/>
    <s v="THANH THÚY"/>
    <s v="TO02"/>
    <x v="61"/>
    <x v="3"/>
    <s v="PAVIA"/>
    <m/>
    <s v="12.14"/>
    <n v="400"/>
    <s v="NL2018"/>
    <m/>
    <n v="13"/>
    <n v="5200"/>
    <x v="17"/>
    <n v="15600000"/>
    <x v="3"/>
    <d v="2019-06-15T00:00:00"/>
    <d v="2019-07-17T00:00:00"/>
    <d v="2019-07-17T00:00:00"/>
    <s v="15/6 LẤY"/>
    <m/>
    <m/>
    <m/>
    <m/>
    <m/>
    <m/>
    <m/>
    <m/>
    <m/>
    <m/>
    <m/>
    <n v="0"/>
    <n v="5200"/>
    <n v="15600000"/>
  </r>
  <r>
    <s v="110B/2019"/>
    <d v="2019-06-12T00:00:00"/>
    <s v="THANH THÚY"/>
    <s v="TO02"/>
    <x v="61"/>
    <x v="28"/>
    <s v="YELLOWEEN"/>
    <m/>
    <s v="14.16"/>
    <n v="300"/>
    <s v="NL2018"/>
    <m/>
    <n v="17"/>
    <n v="5100"/>
    <x v="57"/>
    <n v="20400000"/>
    <x v="3"/>
    <d v="2019-06-15T00:00:00"/>
    <d v="2019-07-17T00:00:00"/>
    <d v="2019-07-17T00:00:00"/>
    <s v="15/6 LẤY"/>
    <m/>
    <m/>
    <m/>
    <m/>
    <m/>
    <m/>
    <m/>
    <m/>
    <m/>
    <m/>
    <m/>
    <n v="0"/>
    <n v="5100"/>
    <n v="20400000"/>
  </r>
  <r>
    <s v="110B/2019"/>
    <d v="2019-06-12T00:00:00"/>
    <s v="THANH THÚY"/>
    <s v="TO02"/>
    <x v="61"/>
    <x v="57"/>
    <s v="DALIAN"/>
    <m/>
    <s v="14.16"/>
    <n v="300"/>
    <s v="NL2018"/>
    <m/>
    <n v="17"/>
    <n v="5100"/>
    <x v="44"/>
    <n v="28050000"/>
    <x v="3"/>
    <d v="2019-06-15T00:00:00"/>
    <d v="2019-07-17T00:00:00"/>
    <d v="2019-07-17T00:00:00"/>
    <s v="15/6 LẤY"/>
    <m/>
    <m/>
    <m/>
    <m/>
    <m/>
    <m/>
    <m/>
    <m/>
    <m/>
    <m/>
    <m/>
    <n v="0"/>
    <n v="5100"/>
    <n v="28050000"/>
  </r>
  <r>
    <s v="110B/2019"/>
    <d v="2019-06-12T00:00:00"/>
    <s v="THANH THÚY"/>
    <s v="TO02"/>
    <x v="61"/>
    <x v="41"/>
    <s v="PAVIA"/>
    <m/>
    <s v="14.16"/>
    <n v="300"/>
    <s v="NL2018"/>
    <m/>
    <n v="3"/>
    <n v="900"/>
    <x v="2"/>
    <n v="3960000"/>
    <x v="0"/>
    <d v="2019-04-17T00:00:00"/>
    <d v="2019-05-21T00:00:00"/>
    <d v="2019-05-21T00:00:00"/>
    <m/>
    <m/>
    <m/>
    <m/>
    <d v="2019-06-18T00:00:00"/>
    <n v="900"/>
    <m/>
    <m/>
    <m/>
    <m/>
    <m/>
    <m/>
    <n v="900"/>
    <n v="0"/>
    <n v="0"/>
  </r>
  <r>
    <s v="110B/2019"/>
    <d v="2019-06-12T00:00:00"/>
    <s v="THANH THÚY"/>
    <s v="TO02"/>
    <x v="61"/>
    <x v="10"/>
    <s v="ARVANDRUD"/>
    <m/>
    <s v="16.18"/>
    <n v="200"/>
    <s v="NL2018"/>
    <m/>
    <n v="25"/>
    <n v="5000"/>
    <x v="82"/>
    <n v="26000000"/>
    <x v="4"/>
    <d v="2019-04-17T00:00:00"/>
    <d v="2019-05-21T00:00:00"/>
    <d v="2019-05-21T00:00:00"/>
    <s v="15/6 LẤY"/>
    <m/>
    <m/>
    <m/>
    <m/>
    <m/>
    <m/>
    <m/>
    <m/>
    <m/>
    <m/>
    <m/>
    <n v="0"/>
    <n v="5000"/>
    <n v="26000000"/>
  </r>
  <r>
    <s v="110B/2019"/>
    <d v="2019-06-12T00:00:00"/>
    <s v="THANH THÚY"/>
    <s v="TO02"/>
    <x v="61"/>
    <x v="10"/>
    <s v="ARVANDRUD"/>
    <m/>
    <s v="16.18"/>
    <n v="200"/>
    <s v="NL2018"/>
    <m/>
    <n v="9"/>
    <n v="1800"/>
    <x v="44"/>
    <n v="9900000"/>
    <x v="0"/>
    <d v="2019-05-05T00:00:00"/>
    <d v="2019-06-07T00:00:00"/>
    <d v="2019-06-07T00:00:00"/>
    <s v="30/3AL"/>
    <m/>
    <m/>
    <m/>
    <d v="2019-06-12T00:00:00"/>
    <n v="1800"/>
    <m/>
    <m/>
    <m/>
    <m/>
    <m/>
    <m/>
    <n v="1800"/>
    <n v="0"/>
    <n v="0"/>
  </r>
  <r>
    <s v="110B/2019"/>
    <d v="2019-06-17T00:00:00"/>
    <s v="THANH THÚY"/>
    <s v="TO02"/>
    <x v="61"/>
    <x v="57"/>
    <s v="DALIAN"/>
    <m/>
    <s v="14.16"/>
    <n v="300"/>
    <s v="NL2018"/>
    <m/>
    <n v="67"/>
    <n v="20100"/>
    <x v="44"/>
    <n v="110550000"/>
    <x v="2"/>
    <d v="2019-06-25T00:00:00"/>
    <d v="2019-07-27T00:00:00"/>
    <d v="2019-07-27T00:00:00"/>
    <m/>
    <m/>
    <m/>
    <m/>
    <m/>
    <m/>
    <m/>
    <m/>
    <m/>
    <m/>
    <m/>
    <m/>
    <n v="0"/>
    <n v="20100"/>
    <n v="110550000"/>
  </r>
  <r>
    <s v="110B/2019"/>
    <d v="2019-03-12T00:00:00"/>
    <s v="THANH THÚY"/>
    <s v="TO02"/>
    <x v="61"/>
    <x v="24"/>
    <s v="SERANO"/>
    <m/>
    <s v="14.16"/>
    <n v="300"/>
    <s v="NL2018"/>
    <m/>
    <n v="17"/>
    <n v="5100"/>
    <x v="25"/>
    <n v="18360000"/>
    <x v="0"/>
    <d v="2019-04-17T00:00:00"/>
    <d v="2019-05-21T00:00:00"/>
    <d v="2019-05-21T00:00:00"/>
    <s v="17/4AL"/>
    <m/>
    <m/>
    <m/>
    <d v="2019-05-24T00:00:00"/>
    <n v="5100"/>
    <m/>
    <m/>
    <m/>
    <m/>
    <m/>
    <m/>
    <n v="5100"/>
    <n v="0"/>
    <n v="0"/>
  </r>
  <r>
    <s v="110B/2019"/>
    <d v="2019-03-12T00:00:00"/>
    <s v="THANH THÚY"/>
    <s v="TO02"/>
    <x v="61"/>
    <x v="4"/>
    <s v="TEBALDI"/>
    <m/>
    <s v="14.16"/>
    <n v="300"/>
    <s v="NL2018"/>
    <m/>
    <n v="34"/>
    <n v="10200"/>
    <x v="1"/>
    <n v="42840000"/>
    <x v="0"/>
    <d v="2019-04-17T00:00:00"/>
    <d v="2019-05-21T00:00:00"/>
    <d v="2019-05-21T00:00:00"/>
    <s v="30/3AL"/>
    <m/>
    <m/>
    <m/>
    <d v="2019-05-24T00:00:00"/>
    <n v="5100"/>
    <d v="2019-06-04T00:00:00"/>
    <n v="5100"/>
    <m/>
    <m/>
    <m/>
    <m/>
    <n v="10200"/>
    <n v="0"/>
    <n v="0"/>
  </r>
  <r>
    <s v="110B/2019"/>
    <d v="2019-03-12T00:00:00"/>
    <s v="THANH THÚY"/>
    <s v="TO02"/>
    <x v="61"/>
    <x v="24"/>
    <s v="SERANO"/>
    <m/>
    <s v="14.16"/>
    <n v="300"/>
    <s v="NL2018"/>
    <m/>
    <n v="0"/>
    <n v="0"/>
    <x v="25"/>
    <n v="0"/>
    <x v="1"/>
    <d v="2019-05-02T00:00:00"/>
    <d v="2019-06-04T00:00:00"/>
    <d v="2019-06-04T00:00:00"/>
    <s v="02/5AL"/>
    <m/>
    <m/>
    <m/>
    <m/>
    <n v="0"/>
    <m/>
    <m/>
    <m/>
    <m/>
    <m/>
    <m/>
    <n v="0"/>
    <n v="0"/>
    <n v="0"/>
  </r>
  <r>
    <s v="110B/2019"/>
    <d v="2019-03-12T00:00:00"/>
    <s v="THANH THÚY"/>
    <s v="TO02"/>
    <x v="61"/>
    <x v="3"/>
    <s v="PAVIA"/>
    <m/>
    <s v="12.14"/>
    <n v="400"/>
    <s v="NL2018"/>
    <m/>
    <n v="0"/>
    <n v="0"/>
    <x v="14"/>
    <n v="0"/>
    <x v="1"/>
    <d v="2019-04-29T00:00:00"/>
    <d v="2019-06-02T00:00:00"/>
    <d v="2019-06-02T00:00:00"/>
    <s v="29/4AL"/>
    <m/>
    <m/>
    <m/>
    <m/>
    <n v="0"/>
    <m/>
    <m/>
    <m/>
    <m/>
    <m/>
    <m/>
    <n v="0"/>
    <n v="0"/>
    <n v="0"/>
  </r>
  <r>
    <s v="110B/2019"/>
    <d v="2019-03-12T00:00:00"/>
    <s v="THANH THÚY"/>
    <s v="TO02"/>
    <x v="61"/>
    <x v="12"/>
    <s v="AMATERAS"/>
    <m/>
    <s v="14.16"/>
    <n v="300"/>
    <s v="NL2018"/>
    <m/>
    <n v="0"/>
    <n v="0"/>
    <x v="2"/>
    <n v="0"/>
    <x v="1"/>
    <d v="2019-04-29T00:00:00"/>
    <d v="2019-06-02T00:00:00"/>
    <d v="2019-06-02T00:00:00"/>
    <s v="29/4AL"/>
    <m/>
    <m/>
    <m/>
    <m/>
    <n v="0"/>
    <m/>
    <m/>
    <m/>
    <m/>
    <m/>
    <m/>
    <n v="0"/>
    <n v="0"/>
    <n v="0"/>
  </r>
  <r>
    <s v="110B/2019"/>
    <d v="2019-03-12T00:00:00"/>
    <s v="THANH THÚY"/>
    <s v="TO02"/>
    <x v="61"/>
    <x v="10"/>
    <s v="ARVANDRUD"/>
    <m/>
    <s v="16.18"/>
    <n v="200"/>
    <s v="NL2018"/>
    <m/>
    <n v="0"/>
    <n v="0"/>
    <x v="48"/>
    <n v="0"/>
    <x v="1"/>
    <d v="2019-04-29T00:00:00"/>
    <d v="2019-06-02T00:00:00"/>
    <d v="2019-06-02T00:00:00"/>
    <s v="29/4AL"/>
    <m/>
    <m/>
    <m/>
    <m/>
    <n v="0"/>
    <m/>
    <m/>
    <m/>
    <m/>
    <m/>
    <m/>
    <n v="0"/>
    <n v="0"/>
    <n v="0"/>
  </r>
  <r>
    <s v="110B/2019"/>
    <d v="2019-03-12T00:00:00"/>
    <s v="THANH THÚY"/>
    <s v="TO02"/>
    <x v="61"/>
    <x v="24"/>
    <s v="SERANO"/>
    <m/>
    <s v="14.16"/>
    <n v="300"/>
    <s v="NL2018"/>
    <m/>
    <n v="0"/>
    <n v="0"/>
    <x v="68"/>
    <n v="0"/>
    <x v="1"/>
    <m/>
    <s v=""/>
    <s v=""/>
    <s v="T4 onwards"/>
    <m/>
    <m/>
    <m/>
    <m/>
    <n v="0"/>
    <m/>
    <m/>
    <m/>
    <m/>
    <m/>
    <m/>
    <n v="0"/>
    <n v="0"/>
    <n v="0"/>
  </r>
  <r>
    <s v="110B/2019"/>
    <d v="2019-05-18T00:00:00"/>
    <s v="THANH THÚY"/>
    <s v="TO02"/>
    <x v="61"/>
    <x v="31"/>
    <s v="TARRANGO"/>
    <m/>
    <s v="14.16"/>
    <n v="300"/>
    <s v="NL2018"/>
    <m/>
    <n v="17"/>
    <n v="5100"/>
    <x v="23"/>
    <n v="24480000"/>
    <x v="0"/>
    <d v="2019-04-17T00:00:00"/>
    <d v="2019-05-21T00:00:00"/>
    <d v="2019-05-21T00:00:00"/>
    <m/>
    <m/>
    <m/>
    <m/>
    <d v="2019-05-18T00:00:00"/>
    <n v="5100"/>
    <m/>
    <m/>
    <m/>
    <m/>
    <m/>
    <m/>
    <n v="5100"/>
    <n v="0"/>
    <n v="0"/>
  </r>
  <r>
    <s v="111B/2019"/>
    <d v="2019-03-12T00:00:00"/>
    <s v="THANH THÚY"/>
    <s v="TO02"/>
    <x v="61"/>
    <x v="25"/>
    <s v="CONCADOR"/>
    <m/>
    <s v="18.20"/>
    <n v="150"/>
    <s v="NL2018"/>
    <m/>
    <n v="34"/>
    <n v="5100"/>
    <x v="27"/>
    <n v="40800000"/>
    <x v="2"/>
    <d v="2019-09-01T00:00:00"/>
    <d v="2019-09-29T00:00:00"/>
    <d v="2019-09-29T00:00:00"/>
    <s v="TẾT"/>
    <m/>
    <m/>
    <m/>
    <m/>
    <n v="0"/>
    <m/>
    <m/>
    <m/>
    <m/>
    <m/>
    <m/>
    <n v="0"/>
    <n v="5100"/>
    <n v="40800000"/>
  </r>
  <r>
    <s v="111B/2019"/>
    <d v="2019-03-12T00:00:00"/>
    <s v="THANH THÚY"/>
    <s v="TO02"/>
    <x v="61"/>
    <x v="6"/>
    <s v="CONCADOR"/>
    <m/>
    <s v="20.22"/>
    <n v="125"/>
    <s v="NL2018"/>
    <m/>
    <n v="40"/>
    <n v="5000"/>
    <x v="59"/>
    <n v="52500000"/>
    <x v="2"/>
    <d v="2019-09-01T00:00:00"/>
    <d v="2019-09-29T00:00:00"/>
    <d v="2019-09-29T00:00:00"/>
    <s v="TẾT"/>
    <m/>
    <m/>
    <m/>
    <m/>
    <n v="0"/>
    <m/>
    <m/>
    <m/>
    <m/>
    <m/>
    <m/>
    <n v="0"/>
    <n v="5000"/>
    <n v="52500000"/>
  </r>
  <r>
    <s v="111B/2019"/>
    <d v="2019-03-12T00:00:00"/>
    <s v="THANH THÚY"/>
    <s v="TO02"/>
    <x v="61"/>
    <x v="111"/>
    <s v="SERANO"/>
    <m/>
    <s v="20.22"/>
    <n v="125"/>
    <s v="NL2018"/>
    <m/>
    <n v="40"/>
    <n v="5000"/>
    <x v="115"/>
    <n v="46500000"/>
    <x v="2"/>
    <d v="2019-09-01T00:00:00"/>
    <d v="2019-09-29T00:00:00"/>
    <d v="2019-09-29T00:00:00"/>
    <s v="TẾT"/>
    <m/>
    <m/>
    <m/>
    <m/>
    <n v="0"/>
    <m/>
    <m/>
    <m/>
    <m/>
    <m/>
    <m/>
    <n v="0"/>
    <n v="5000"/>
    <n v="46500000"/>
  </r>
  <r>
    <s v="111B/2019"/>
    <d v="2019-03-12T00:00:00"/>
    <s v="THANH THÚY"/>
    <s v="TO02"/>
    <x v="61"/>
    <x v="85"/>
    <s v="DALIAN"/>
    <m/>
    <s v="20.22"/>
    <n v="125"/>
    <s v="NL2018"/>
    <m/>
    <n v="80"/>
    <n v="10000"/>
    <x v="85"/>
    <n v="142000000"/>
    <x v="2"/>
    <d v="2019-09-01T00:00:00"/>
    <d v="2019-09-29T00:00:00"/>
    <d v="2019-09-29T00:00:00"/>
    <s v="TẾT"/>
    <m/>
    <m/>
    <m/>
    <m/>
    <n v="0"/>
    <m/>
    <m/>
    <m/>
    <m/>
    <m/>
    <m/>
    <n v="0"/>
    <n v="10000"/>
    <n v="142000000"/>
  </r>
  <r>
    <s v="111B/2019"/>
    <d v="2019-03-12T00:00:00"/>
    <s v="THANH THÚY"/>
    <s v="TO02"/>
    <x v="61"/>
    <x v="105"/>
    <s v="LODI"/>
    <m/>
    <s v="18.20"/>
    <n v="150"/>
    <s v="NL2018"/>
    <m/>
    <n v="0"/>
    <n v="0"/>
    <x v="89"/>
    <n v="0"/>
    <x v="1"/>
    <d v="2019-09-01T00:00:00"/>
    <d v="2019-09-29T00:00:00"/>
    <d v="2019-09-29T00:00:00"/>
    <s v="TẾT"/>
    <m/>
    <m/>
    <m/>
    <m/>
    <n v="0"/>
    <m/>
    <m/>
    <m/>
    <m/>
    <m/>
    <m/>
    <n v="0"/>
    <n v="0"/>
    <n v="0"/>
  </r>
  <r>
    <s v="111B/2019"/>
    <d v="2019-03-12T00:00:00"/>
    <s v="THANH THÚY"/>
    <s v="TO02"/>
    <x v="61"/>
    <x v="106"/>
    <s v="ARVANDRUD"/>
    <m/>
    <s v="18.20"/>
    <n v="150"/>
    <s v="NL2018"/>
    <m/>
    <n v="67"/>
    <n v="10050"/>
    <x v="61"/>
    <n v="85425000"/>
    <x v="2"/>
    <d v="2019-09-01T00:00:00"/>
    <d v="2019-09-29T00:00:00"/>
    <d v="2019-09-29T00:00:00"/>
    <s v="TẾT"/>
    <m/>
    <m/>
    <m/>
    <m/>
    <n v="0"/>
    <m/>
    <m/>
    <m/>
    <m/>
    <m/>
    <m/>
    <n v="0"/>
    <n v="10050"/>
    <n v="85425000"/>
  </r>
  <r>
    <s v="111B/2019"/>
    <d v="2019-03-12T00:00:00"/>
    <s v="THANH THÚY"/>
    <s v="TO02"/>
    <x v="61"/>
    <x v="112"/>
    <s v="MARENGO"/>
    <m/>
    <s v="18.20"/>
    <n v="150"/>
    <s v="NL2018"/>
    <m/>
    <n v="34"/>
    <n v="5100"/>
    <x v="60"/>
    <n v="48450000"/>
    <x v="2"/>
    <d v="2019-09-01T00:00:00"/>
    <d v="2019-09-29T00:00:00"/>
    <d v="2019-09-29T00:00:00"/>
    <s v="TẾT"/>
    <m/>
    <m/>
    <m/>
    <m/>
    <n v="0"/>
    <m/>
    <m/>
    <m/>
    <m/>
    <m/>
    <m/>
    <n v="0"/>
    <n v="5100"/>
    <n v="48450000"/>
  </r>
  <r>
    <s v="111B/2019"/>
    <d v="2019-03-12T00:00:00"/>
    <s v="THANH THÚY"/>
    <s v="TO02"/>
    <x v="61"/>
    <x v="113"/>
    <s v="YELLOW DIAMOND"/>
    <s v="DI"/>
    <s v="18.20"/>
    <n v="150"/>
    <s v="NL2018"/>
    <m/>
    <n v="234"/>
    <n v="35100"/>
    <x v="9"/>
    <n v="217620000"/>
    <x v="2"/>
    <d v="2019-09-01T00:00:00"/>
    <d v="2019-09-29T00:00:00"/>
    <d v="2019-09-29T00:00:00"/>
    <s v="TẾT"/>
    <m/>
    <m/>
    <m/>
    <m/>
    <n v="0"/>
    <m/>
    <m/>
    <m/>
    <m/>
    <m/>
    <m/>
    <n v="0"/>
    <n v="35100"/>
    <n v="217620000"/>
  </r>
  <r>
    <s v="163B/2019"/>
    <d v="2019-03-30T00:00:00"/>
    <s v="THANH THÚY"/>
    <s v="TO01"/>
    <x v="61"/>
    <x v="114"/>
    <s v="MAYTIME"/>
    <m/>
    <s v="18.20"/>
    <s v="150"/>
    <s v="NL2018"/>
    <m/>
    <n v="10"/>
    <n v="1500"/>
    <x v="43"/>
    <n v="9750000"/>
    <x v="2"/>
    <m/>
    <s v=""/>
    <s v=""/>
    <m/>
    <m/>
    <m/>
    <m/>
    <m/>
    <n v="0"/>
    <m/>
    <m/>
    <m/>
    <m/>
    <m/>
    <m/>
    <n v="0"/>
    <n v="1500"/>
    <n v="9750000"/>
  </r>
  <r>
    <s v="163B/2019"/>
    <d v="2019-03-30T00:00:00"/>
    <s v="THANH THÚY"/>
    <s v="TO01"/>
    <x v="61"/>
    <x v="25"/>
    <s v="CONCADOR"/>
    <m/>
    <s v="18.20"/>
    <s v="150"/>
    <s v="NL2018"/>
    <m/>
    <n v="30"/>
    <n v="4500"/>
    <x v="27"/>
    <n v="36000000"/>
    <x v="2"/>
    <m/>
    <s v=""/>
    <s v=""/>
    <m/>
    <m/>
    <m/>
    <m/>
    <m/>
    <n v="0"/>
    <m/>
    <m/>
    <m/>
    <m/>
    <m/>
    <m/>
    <n v="0"/>
    <n v="4500"/>
    <n v="36000000"/>
  </r>
  <r>
    <s v="163B/2019"/>
    <d v="2019-03-30T00:00:00"/>
    <s v="THANH THÚY"/>
    <s v="TO01"/>
    <x v="61"/>
    <x v="21"/>
    <s v="SERANO"/>
    <m/>
    <s v="18.20"/>
    <s v="150"/>
    <s v="NL2018"/>
    <m/>
    <n v="15"/>
    <n v="2250"/>
    <x v="101"/>
    <n v="17550000"/>
    <x v="2"/>
    <m/>
    <s v=""/>
    <s v=""/>
    <m/>
    <m/>
    <m/>
    <m/>
    <m/>
    <n v="0"/>
    <m/>
    <m/>
    <m/>
    <m/>
    <m/>
    <m/>
    <n v="0"/>
    <n v="2250"/>
    <n v="17550000"/>
  </r>
  <r>
    <s v="163B/2019"/>
    <d v="2019-03-30T00:00:00"/>
    <s v="THANH THÚY"/>
    <s v="TO01"/>
    <x v="61"/>
    <x v="38"/>
    <s v="YELLOWEEN"/>
    <m/>
    <s v="16.18"/>
    <s v="200"/>
    <s v="NL2018"/>
    <m/>
    <n v="15"/>
    <n v="3000"/>
    <x v="54"/>
    <n v="19200000"/>
    <x v="2"/>
    <m/>
    <s v=""/>
    <s v=""/>
    <m/>
    <m/>
    <m/>
    <m/>
    <m/>
    <n v="0"/>
    <m/>
    <m/>
    <m/>
    <m/>
    <m/>
    <m/>
    <n v="0"/>
    <n v="3000"/>
    <n v="19200000"/>
  </r>
  <r>
    <s v="163B/2019"/>
    <d v="2019-03-30T00:00:00"/>
    <s v="THANH THÚY"/>
    <s v="TO01"/>
    <x v="61"/>
    <x v="97"/>
    <s v="LAKE CAREY"/>
    <m/>
    <s v="16.18"/>
    <s v="200"/>
    <s v="NL2018"/>
    <m/>
    <n v="15"/>
    <n v="3000"/>
    <x v="32"/>
    <n v="20400000"/>
    <x v="2"/>
    <m/>
    <s v=""/>
    <s v=""/>
    <m/>
    <m/>
    <m/>
    <m/>
    <m/>
    <n v="0"/>
    <m/>
    <m/>
    <m/>
    <m/>
    <m/>
    <m/>
    <n v="0"/>
    <n v="3000"/>
    <n v="20400000"/>
  </r>
  <r>
    <s v="163B/2019"/>
    <d v="2019-03-30T00:00:00"/>
    <s v="THANH THÚY"/>
    <s v="TO01"/>
    <x v="61"/>
    <x v="115"/>
    <s v="PARAGUAY"/>
    <m/>
    <s v="18.20"/>
    <s v="150"/>
    <s v="NL2018"/>
    <m/>
    <n v="10"/>
    <n v="1500"/>
    <x v="61"/>
    <n v="12750000"/>
    <x v="2"/>
    <m/>
    <s v=""/>
    <s v=""/>
    <m/>
    <m/>
    <m/>
    <m/>
    <m/>
    <n v="0"/>
    <m/>
    <m/>
    <m/>
    <m/>
    <m/>
    <m/>
    <n v="0"/>
    <n v="1500"/>
    <n v="12750000"/>
  </r>
  <r>
    <s v="163B/2019"/>
    <d v="2019-03-30T00:00:00"/>
    <s v="THANH THÚY"/>
    <s v="TO01"/>
    <x v="61"/>
    <x v="116"/>
    <s v="SENSI"/>
    <m/>
    <s v="18.20"/>
    <s v="150"/>
    <s v="NL2018"/>
    <m/>
    <n v="20"/>
    <n v="3000"/>
    <x v="108"/>
    <n v="22800000"/>
    <x v="2"/>
    <m/>
    <s v=""/>
    <s v=""/>
    <m/>
    <m/>
    <m/>
    <m/>
    <m/>
    <n v="0"/>
    <m/>
    <m/>
    <m/>
    <m/>
    <m/>
    <m/>
    <n v="0"/>
    <n v="3000"/>
    <n v="22800000"/>
  </r>
  <r>
    <s v="163B/2019"/>
    <d v="2019-03-30T00:00:00"/>
    <s v="THANH THÚY"/>
    <s v="TO01"/>
    <x v="61"/>
    <x v="105"/>
    <s v="LODI"/>
    <m/>
    <s v="18.20"/>
    <s v="150"/>
    <s v="NL2018"/>
    <m/>
    <n v="30"/>
    <n v="4500"/>
    <x v="89"/>
    <n v="41400000"/>
    <x v="2"/>
    <m/>
    <s v=""/>
    <s v=""/>
    <m/>
    <m/>
    <m/>
    <m/>
    <m/>
    <n v="0"/>
    <m/>
    <m/>
    <m/>
    <m/>
    <m/>
    <m/>
    <n v="0"/>
    <n v="4500"/>
    <n v="41400000"/>
  </r>
  <r>
    <s v="163B/2019"/>
    <d v="2019-03-30T00:00:00"/>
    <s v="THANH THÚY"/>
    <s v="TO01"/>
    <x v="61"/>
    <x v="117"/>
    <s v="MALDANO"/>
    <m/>
    <s v="18.20"/>
    <s v="150"/>
    <s v="NL2018"/>
    <m/>
    <n v="35"/>
    <n v="5250"/>
    <x v="116"/>
    <n v="44100000"/>
    <x v="2"/>
    <m/>
    <s v=""/>
    <s v=""/>
    <m/>
    <m/>
    <m/>
    <m/>
    <m/>
    <n v="0"/>
    <m/>
    <m/>
    <m/>
    <m/>
    <m/>
    <m/>
    <n v="0"/>
    <n v="5250"/>
    <n v="44100000"/>
  </r>
  <r>
    <s v="163B/2019"/>
    <d v="2019-03-30T00:00:00"/>
    <s v="THANH THÚY"/>
    <s v="TO01"/>
    <x v="61"/>
    <x v="118"/>
    <s v="EREMO"/>
    <m/>
    <s v="16.18"/>
    <s v="200"/>
    <s v="NL2018"/>
    <m/>
    <n v="10"/>
    <n v="2000"/>
    <x v="20"/>
    <n v="12200000"/>
    <x v="2"/>
    <m/>
    <s v=""/>
    <s v=""/>
    <m/>
    <m/>
    <m/>
    <m/>
    <m/>
    <n v="0"/>
    <m/>
    <m/>
    <m/>
    <m/>
    <m/>
    <m/>
    <n v="0"/>
    <n v="2000"/>
    <n v="12200000"/>
  </r>
  <r>
    <s v="163B/2019"/>
    <d v="2019-03-30T00:00:00"/>
    <s v="THANH THÚY"/>
    <s v="TO01"/>
    <x v="61"/>
    <x v="42"/>
    <s v="PAVIA"/>
    <m/>
    <s v="16.18"/>
    <s v="200"/>
    <s v="NL2018"/>
    <m/>
    <n v="10"/>
    <n v="2000"/>
    <x v="20"/>
    <n v="12200000"/>
    <x v="2"/>
    <m/>
    <s v=""/>
    <s v=""/>
    <m/>
    <m/>
    <m/>
    <m/>
    <m/>
    <n v="0"/>
    <m/>
    <m/>
    <m/>
    <m/>
    <m/>
    <m/>
    <n v="0"/>
    <n v="2000"/>
    <n v="12200000"/>
  </r>
  <r>
    <s v="163B/2019"/>
    <d v="2019-03-30T00:00:00"/>
    <s v="THANH THÚY"/>
    <s v="TO01"/>
    <x v="61"/>
    <x v="119"/>
    <s v="DYNAMIX"/>
    <m/>
    <s v="16.18"/>
    <s v="200"/>
    <s v="NL2018"/>
    <m/>
    <n v="10"/>
    <n v="2000"/>
    <x v="93"/>
    <n v="0"/>
    <x v="2"/>
    <m/>
    <s v=""/>
    <s v=""/>
    <m/>
    <m/>
    <m/>
    <m/>
    <m/>
    <n v="0"/>
    <m/>
    <m/>
    <m/>
    <m/>
    <m/>
    <m/>
    <n v="0"/>
    <n v="2000"/>
    <n v="0"/>
  </r>
  <r>
    <s v="163B/2019"/>
    <d v="2019-03-30T00:00:00"/>
    <s v="THANH THÚY"/>
    <s v="TO01"/>
    <x v="61"/>
    <x v="120"/>
    <s v="BUZZER"/>
    <s v="POT"/>
    <s v="10.12"/>
    <s v="500"/>
    <s v="NL2018"/>
    <m/>
    <n v="10"/>
    <n v="5000"/>
    <x v="68"/>
    <n v="17500000"/>
    <x v="2"/>
    <m/>
    <s v=""/>
    <s v=""/>
    <m/>
    <m/>
    <m/>
    <m/>
    <m/>
    <n v="0"/>
    <m/>
    <m/>
    <m/>
    <m/>
    <m/>
    <m/>
    <n v="0"/>
    <n v="5000"/>
    <n v="17500000"/>
  </r>
  <r>
    <s v="163B/2019"/>
    <d v="2019-03-30T00:00:00"/>
    <s v="THANH THÚY"/>
    <s v="TO01"/>
    <x v="61"/>
    <x v="121"/>
    <s v="CLASSIC JOY"/>
    <s v="POT"/>
    <s v="10.12"/>
    <s v="500"/>
    <s v="NL2018"/>
    <m/>
    <n v="48"/>
    <n v="24000"/>
    <x v="68"/>
    <n v="84000000"/>
    <x v="2"/>
    <m/>
    <s v=""/>
    <s v=""/>
    <m/>
    <m/>
    <m/>
    <m/>
    <m/>
    <n v="0"/>
    <m/>
    <m/>
    <m/>
    <m/>
    <m/>
    <m/>
    <n v="0"/>
    <n v="24000"/>
    <n v="84000000"/>
  </r>
  <r>
    <s v="163B/2019"/>
    <d v="2019-03-30T00:00:00"/>
    <s v="THANH THÚY"/>
    <s v="TO01"/>
    <x v="61"/>
    <x v="122"/>
    <s v="CLASSIC JOY"/>
    <s v="POT"/>
    <s v="12.14"/>
    <s v="400"/>
    <s v="NL2018"/>
    <m/>
    <n v="10"/>
    <n v="4000"/>
    <x v="82"/>
    <n v="20800000"/>
    <x v="2"/>
    <m/>
    <s v=""/>
    <s v=""/>
    <m/>
    <m/>
    <m/>
    <m/>
    <m/>
    <n v="0"/>
    <m/>
    <m/>
    <m/>
    <m/>
    <m/>
    <m/>
    <n v="0"/>
    <n v="4000"/>
    <n v="20800000"/>
  </r>
  <r>
    <s v="163B/2019"/>
    <d v="2019-03-30T00:00:00"/>
    <s v="THANH THÚY"/>
    <s v="TO01"/>
    <x v="61"/>
    <x v="123"/>
    <s v="GOLDEN JOY"/>
    <s v="POT"/>
    <s v="10.12"/>
    <s v="500"/>
    <s v="NL2018"/>
    <m/>
    <n v="54"/>
    <n v="27000"/>
    <x v="68"/>
    <n v="94500000"/>
    <x v="2"/>
    <m/>
    <s v=""/>
    <s v=""/>
    <m/>
    <m/>
    <m/>
    <m/>
    <m/>
    <n v="0"/>
    <m/>
    <m/>
    <m/>
    <m/>
    <m/>
    <m/>
    <n v="0"/>
    <n v="27000"/>
    <n v="94500000"/>
  </r>
  <r>
    <s v="163B/2019"/>
    <d v="2019-03-30T00:00:00"/>
    <s v="THANH THÚY"/>
    <s v="TO01"/>
    <x v="61"/>
    <x v="124"/>
    <s v="GOLDEN JOY"/>
    <s v="POT"/>
    <s v="12.14"/>
    <s v="400"/>
    <s v="NL2018"/>
    <m/>
    <n v="10"/>
    <n v="4000"/>
    <x v="82"/>
    <n v="20800000"/>
    <x v="2"/>
    <m/>
    <s v=""/>
    <s v=""/>
    <m/>
    <m/>
    <m/>
    <m/>
    <m/>
    <n v="0"/>
    <m/>
    <m/>
    <m/>
    <m/>
    <m/>
    <m/>
    <n v="0"/>
    <n v="4000"/>
    <n v="20800000"/>
  </r>
  <r>
    <s v="163B/2019"/>
    <d v="2019-03-30T00:00:00"/>
    <s v="THANH THÚY"/>
    <s v="TO01"/>
    <x v="61"/>
    <x v="125"/>
    <s v="ISLAND JOY"/>
    <s v="POT"/>
    <s v="11.12"/>
    <s v="400"/>
    <s v="NL2018"/>
    <m/>
    <n v="21"/>
    <n v="8400"/>
    <x v="25"/>
    <n v="30240000"/>
    <x v="2"/>
    <m/>
    <s v=""/>
    <s v=""/>
    <m/>
    <m/>
    <m/>
    <m/>
    <m/>
    <n v="0"/>
    <m/>
    <m/>
    <m/>
    <m/>
    <m/>
    <m/>
    <n v="0"/>
    <n v="8400"/>
    <n v="30240000"/>
  </r>
  <r>
    <s v="163B/2019"/>
    <d v="2019-03-30T00:00:00"/>
    <s v="THANH THÚY"/>
    <s v="TO01"/>
    <x v="61"/>
    <x v="126"/>
    <s v="MAJESTIC JOY"/>
    <s v="POT"/>
    <s v="10.12"/>
    <s v="500"/>
    <s v="NL2018"/>
    <m/>
    <n v="48"/>
    <n v="24000"/>
    <x v="68"/>
    <n v="84000000"/>
    <x v="2"/>
    <m/>
    <s v=""/>
    <s v=""/>
    <m/>
    <m/>
    <m/>
    <m/>
    <m/>
    <n v="0"/>
    <m/>
    <m/>
    <m/>
    <m/>
    <m/>
    <m/>
    <n v="0"/>
    <n v="24000"/>
    <n v="84000000"/>
  </r>
  <r>
    <s v="163B/2019"/>
    <d v="2019-03-30T00:00:00"/>
    <s v="THANH THÚY"/>
    <s v="TO01"/>
    <x v="61"/>
    <x v="127"/>
    <s v="SUGAR LOVE"/>
    <s v="POT"/>
    <s v="10.12"/>
    <s v="500"/>
    <s v="NL2018"/>
    <m/>
    <n v="16.8"/>
    <n v="8400"/>
    <x v="68"/>
    <n v="29400000"/>
    <x v="2"/>
    <m/>
    <s v=""/>
    <s v=""/>
    <m/>
    <m/>
    <m/>
    <m/>
    <m/>
    <n v="0"/>
    <m/>
    <m/>
    <m/>
    <m/>
    <m/>
    <m/>
    <n v="0"/>
    <n v="8400"/>
    <n v="29400000"/>
  </r>
  <r>
    <s v="163B/2019"/>
    <d v="2019-03-30T00:00:00"/>
    <s v="THANH THÚY"/>
    <s v="TO01"/>
    <x v="61"/>
    <x v="128"/>
    <s v="CONFETTI JOY"/>
    <s v="POT"/>
    <s v="12.14"/>
    <s v="400"/>
    <s v="NL2018"/>
    <m/>
    <n v="10"/>
    <n v="4000"/>
    <x v="82"/>
    <n v="20800000"/>
    <x v="2"/>
    <m/>
    <s v=""/>
    <s v=""/>
    <m/>
    <m/>
    <m/>
    <m/>
    <m/>
    <n v="0"/>
    <m/>
    <m/>
    <m/>
    <m/>
    <m/>
    <m/>
    <n v="0"/>
    <n v="4000"/>
    <n v="20800000"/>
  </r>
  <r>
    <s v="163B/2019"/>
    <d v="2019-03-30T00:00:00"/>
    <s v="THANH THÚY"/>
    <s v="TO01"/>
    <x v="61"/>
    <x v="129"/>
    <s v="SOROCABA"/>
    <s v="POT"/>
    <s v="10.12"/>
    <s v="500"/>
    <s v="NL2018"/>
    <m/>
    <n v="12"/>
    <n v="6000"/>
    <x v="68"/>
    <n v="21000000"/>
    <x v="2"/>
    <m/>
    <s v=""/>
    <s v=""/>
    <m/>
    <m/>
    <m/>
    <m/>
    <m/>
    <n v="0"/>
    <m/>
    <m/>
    <m/>
    <m/>
    <m/>
    <m/>
    <n v="0"/>
    <n v="6000"/>
    <n v="21000000"/>
  </r>
  <r>
    <s v="163B/2019"/>
    <d v="2019-03-30T00:00:00"/>
    <s v="THANH THÚY"/>
    <s v="TO01"/>
    <x v="61"/>
    <x v="130"/>
    <s v="TRENDY SAVANAH"/>
    <s v="POT"/>
    <s v="10.12"/>
    <s v="500"/>
    <s v="NL2018"/>
    <m/>
    <n v="9"/>
    <n v="4500"/>
    <x v="68"/>
    <n v="15750000"/>
    <x v="2"/>
    <m/>
    <s v=""/>
    <s v=""/>
    <m/>
    <m/>
    <m/>
    <m/>
    <m/>
    <n v="0"/>
    <m/>
    <m/>
    <m/>
    <m/>
    <m/>
    <m/>
    <n v="0"/>
    <n v="4500"/>
    <n v="15750000"/>
  </r>
  <r>
    <s v="163B/2019"/>
    <d v="2019-03-30T00:00:00"/>
    <s v="THANH THÚY"/>
    <s v="TO01"/>
    <x v="61"/>
    <x v="129"/>
    <s v="SOROCABA"/>
    <s v="POT"/>
    <s v="10.12"/>
    <s v="500"/>
    <s v="NL2018"/>
    <m/>
    <n v="12"/>
    <n v="6000"/>
    <x v="68"/>
    <n v="21000000"/>
    <x v="2"/>
    <m/>
    <s v=""/>
    <s v=""/>
    <m/>
    <m/>
    <m/>
    <m/>
    <m/>
    <n v="0"/>
    <m/>
    <m/>
    <m/>
    <m/>
    <m/>
    <m/>
    <n v="0"/>
    <n v="6000"/>
    <n v="21000000"/>
  </r>
  <r>
    <s v="163B/2019"/>
    <d v="2019-03-30T00:00:00"/>
    <s v="THANH THÚY"/>
    <s v="TO01"/>
    <x v="61"/>
    <x v="131"/>
    <s v="SOROCABA"/>
    <s v="POT"/>
    <s v="12.14"/>
    <s v="400"/>
    <s v="NL2018"/>
    <m/>
    <n v="10"/>
    <n v="4000"/>
    <x v="82"/>
    <n v="20800000"/>
    <x v="2"/>
    <m/>
    <s v=""/>
    <s v=""/>
    <m/>
    <m/>
    <m/>
    <m/>
    <m/>
    <n v="0"/>
    <m/>
    <m/>
    <m/>
    <m/>
    <m/>
    <m/>
    <n v="0"/>
    <n v="4000"/>
    <n v="20800000"/>
  </r>
  <r>
    <s v="163B/2019"/>
    <d v="2019-03-30T00:00:00"/>
    <s v="THANH THÚY"/>
    <s v="TO01"/>
    <x v="61"/>
    <x v="132"/>
    <s v="TANGERINE JOY ®"/>
    <s v="POT"/>
    <s v="11.12"/>
    <s v="500"/>
    <s v="NL2018"/>
    <m/>
    <n v="10"/>
    <n v="5000"/>
    <x v="25"/>
    <n v="18000000"/>
    <x v="2"/>
    <m/>
    <s v=""/>
    <s v=""/>
    <m/>
    <m/>
    <m/>
    <m/>
    <m/>
    <n v="0"/>
    <m/>
    <m/>
    <m/>
    <m/>
    <m/>
    <m/>
    <n v="0"/>
    <n v="5000"/>
    <n v="18000000"/>
  </r>
  <r>
    <s v="163B/2019"/>
    <d v="2019-03-30T00:00:00"/>
    <s v="THANH THÚY"/>
    <s v="TO01"/>
    <x v="61"/>
    <x v="130"/>
    <s v="TRENDY SAVANNAH ®"/>
    <s v="POT"/>
    <s v="10.12"/>
    <s v="500"/>
    <s v="NL2018"/>
    <m/>
    <n v="9"/>
    <n v="4500"/>
    <x v="68"/>
    <n v="15750000"/>
    <x v="2"/>
    <m/>
    <s v=""/>
    <s v=""/>
    <m/>
    <m/>
    <m/>
    <m/>
    <m/>
    <n v="0"/>
    <m/>
    <m/>
    <m/>
    <m/>
    <m/>
    <m/>
    <n v="0"/>
    <n v="4500"/>
    <n v="15750000"/>
  </r>
  <r>
    <s v="111B/2019"/>
    <d v="2019-03-12T00:00:00"/>
    <s v="THANH THÚY"/>
    <s v="TO02"/>
    <x v="61"/>
    <x v="64"/>
    <s v="TARRANGO"/>
    <m/>
    <s v="18.20"/>
    <n v="150"/>
    <s v="NL2018"/>
    <m/>
    <n v="34"/>
    <n v="5100"/>
    <x v="67"/>
    <n v="47940000"/>
    <x v="2"/>
    <d v="2019-09-01T00:00:00"/>
    <d v="2019-09-29T00:00:00"/>
    <d v="2019-09-29T00:00:00"/>
    <s v="TẾT"/>
    <m/>
    <m/>
    <m/>
    <m/>
    <n v="0"/>
    <m/>
    <m/>
    <m/>
    <m/>
    <m/>
    <m/>
    <n v="0"/>
    <n v="5100"/>
    <n v="47940000"/>
  </r>
  <r>
    <s v="228A/2019"/>
    <d v="2019-05-29T00:00:00"/>
    <s v="KIỀU THY"/>
    <s v="NH02"/>
    <x v="62"/>
    <x v="133"/>
    <s v="MANISSA"/>
    <m/>
    <s v="14.16"/>
    <s v="300"/>
    <s v="NL2018"/>
    <m/>
    <n v="8"/>
    <n v="2400"/>
    <x v="6"/>
    <n v="9120000"/>
    <x v="0"/>
    <d v="2019-05-05T00:00:00"/>
    <d v="2019-06-07T00:00:00"/>
    <d v="2019-06-07T00:00:00"/>
    <m/>
    <m/>
    <m/>
    <m/>
    <d v="2019-06-15T00:00:00"/>
    <n v="2400"/>
    <m/>
    <m/>
    <m/>
    <m/>
    <m/>
    <m/>
    <n v="2400"/>
    <n v="0"/>
    <n v="0"/>
  </r>
  <r>
    <s v="228A/2019"/>
    <d v="2019-05-29T00:00:00"/>
    <s v="KIỀU THY"/>
    <s v="NH02"/>
    <x v="62"/>
    <x v="57"/>
    <s v="DALIAN"/>
    <m/>
    <s v="14.16"/>
    <s v="300"/>
    <s v="NL2018"/>
    <m/>
    <n v="2"/>
    <n v="600"/>
    <x v="44"/>
    <n v="3300000"/>
    <x v="0"/>
    <d v="2019-05-05T00:00:00"/>
    <d v="2019-06-07T00:00:00"/>
    <d v="2019-06-07T00:00:00"/>
    <m/>
    <m/>
    <m/>
    <m/>
    <d v="2019-06-15T00:00:00"/>
    <n v="600"/>
    <m/>
    <m/>
    <m/>
    <m/>
    <m/>
    <m/>
    <n v="600"/>
    <n v="0"/>
    <n v="0"/>
  </r>
  <r>
    <s v="228A/2019"/>
    <d v="2019-05-29T00:00:00"/>
    <s v="KIỀU THY"/>
    <s v="NH02"/>
    <x v="62"/>
    <x v="65"/>
    <s v="ROBINA"/>
    <m/>
    <s v="14.16"/>
    <s v="300"/>
    <s v="NL2018"/>
    <m/>
    <n v="3"/>
    <n v="900"/>
    <x v="6"/>
    <n v="3420000"/>
    <x v="0"/>
    <d v="2019-05-05T00:00:00"/>
    <d v="2019-06-07T00:00:00"/>
    <d v="2019-06-07T00:00:00"/>
    <m/>
    <m/>
    <m/>
    <m/>
    <d v="2019-06-15T00:00:00"/>
    <s v="900"/>
    <m/>
    <m/>
    <m/>
    <m/>
    <m/>
    <m/>
    <n v="900"/>
    <n v="0"/>
    <n v="0"/>
  </r>
  <r>
    <s v="159B/2019"/>
    <d v="2019-03-15T00:00:00"/>
    <s v="THANH THÚY"/>
    <s v="TM01"/>
    <x v="63"/>
    <x v="6"/>
    <s v="CONCADOR"/>
    <m/>
    <s v="20.22"/>
    <s v="125"/>
    <s v="NL2018"/>
    <m/>
    <n v="16"/>
    <n v="2000"/>
    <x v="59"/>
    <n v="21000000"/>
    <x v="2"/>
    <d v="2019-09-01T00:00:00"/>
    <d v="2019-09-29T00:00:00"/>
    <d v="2019-09-29T00:00:00"/>
    <s v="TẾT"/>
    <m/>
    <m/>
    <m/>
    <m/>
    <n v="0"/>
    <m/>
    <m/>
    <m/>
    <m/>
    <m/>
    <m/>
    <n v="0"/>
    <n v="2000"/>
    <n v="21000000"/>
  </r>
  <r>
    <s v="159B/2019"/>
    <d v="2019-03-15T00:00:00"/>
    <s v="THANH THÚY"/>
    <s v="TM01"/>
    <x v="63"/>
    <x v="16"/>
    <s v="ROBINA"/>
    <m/>
    <s v="20.22"/>
    <s v="125"/>
    <s v="NL2018"/>
    <m/>
    <n v="24"/>
    <n v="3000"/>
    <x v="59"/>
    <n v="31500000"/>
    <x v="2"/>
    <d v="2019-09-01T00:00:00"/>
    <d v="2019-09-29T00:00:00"/>
    <d v="2019-09-29T00:00:00"/>
    <s v="TẾT"/>
    <m/>
    <m/>
    <m/>
    <m/>
    <n v="0"/>
    <m/>
    <m/>
    <m/>
    <m/>
    <m/>
    <m/>
    <n v="0"/>
    <n v="3000"/>
    <n v="31500000"/>
  </r>
  <r>
    <s v="159B/2019"/>
    <d v="2019-03-15T00:00:00"/>
    <s v="THANH THÚY"/>
    <s v="TM01"/>
    <x v="63"/>
    <x v="14"/>
    <s v="TARRANGO"/>
    <m/>
    <s v="20.22"/>
    <s v="125"/>
    <s v="NL2018"/>
    <m/>
    <n v="40"/>
    <n v="5000"/>
    <x v="8"/>
    <n v="54000000"/>
    <x v="2"/>
    <d v="2019-09-01T00:00:00"/>
    <d v="2019-09-29T00:00:00"/>
    <d v="2019-09-29T00:00:00"/>
    <s v="TẾT"/>
    <m/>
    <m/>
    <m/>
    <m/>
    <n v="0"/>
    <m/>
    <m/>
    <m/>
    <m/>
    <m/>
    <m/>
    <n v="0"/>
    <n v="5000"/>
    <n v="54000000"/>
  </r>
  <r>
    <s v="127B/2019"/>
    <d v="2019-03-15T00:00:00"/>
    <s v="THANH THÚY"/>
    <s v="TM01"/>
    <x v="63"/>
    <x v="11"/>
    <s v="YELLOWEEN"/>
    <m/>
    <s v="12.14"/>
    <s v="400"/>
    <s v="NL2018"/>
    <m/>
    <n v="8"/>
    <n v="3200"/>
    <x v="12"/>
    <n v="8320000"/>
    <x v="0"/>
    <d v="2019-02-15T00:00:00"/>
    <d v="2019-03-20T00:00:00"/>
    <d v="2019-03-20T00:00:00"/>
    <s v="15/2AL"/>
    <s v="CONT 12/2019"/>
    <m/>
    <m/>
    <m/>
    <n v="3200"/>
    <m/>
    <m/>
    <m/>
    <m/>
    <m/>
    <m/>
    <n v="3200"/>
    <n v="0"/>
    <n v="0"/>
  </r>
  <r>
    <s v="120A/2019"/>
    <d v="2019-03-18T00:00:00"/>
    <s v="KIỀU THY"/>
    <s v="TL03"/>
    <x v="64"/>
    <x v="24"/>
    <s v="SERANO"/>
    <m/>
    <s v="14.16"/>
    <s v="300"/>
    <s v="NL2018"/>
    <m/>
    <n v="10"/>
    <n v="3000"/>
    <x v="68"/>
    <n v="10500000"/>
    <x v="0"/>
    <d v="2019-02-28T00:00:00"/>
    <d v="2019-04-02T00:00:00"/>
    <d v="2019-04-02T00:00:00"/>
    <s v="30/2AL"/>
    <s v="CONT 17/2019"/>
    <d v="2019-03-31T00:00:00"/>
    <m/>
    <d v="2019-05-02T00:00:00"/>
    <n v="3000"/>
    <m/>
    <m/>
    <m/>
    <m/>
    <m/>
    <m/>
    <n v="3000"/>
    <n v="0"/>
    <n v="0"/>
  </r>
  <r>
    <s v="120A/2019"/>
    <d v="2019-03-18T00:00:00"/>
    <s v="KIỀU THY"/>
    <s v="TL03"/>
    <x v="64"/>
    <x v="80"/>
    <s v="PROFUNDO"/>
    <m/>
    <s v="14.16"/>
    <s v="300"/>
    <s v="NL2018"/>
    <m/>
    <n v="7"/>
    <n v="2100"/>
    <x v="18"/>
    <n v="10500000"/>
    <x v="0"/>
    <d v="2019-03-15T00:00:00"/>
    <d v="2019-04-19T00:00:00"/>
    <d v="2019-04-19T00:00:00"/>
    <s v="15/3AL"/>
    <s v="CONT 23/2019"/>
    <d v="2019-04-19T00:00:00"/>
    <m/>
    <d v="2019-05-02T00:00:00"/>
    <n v="2100"/>
    <m/>
    <m/>
    <m/>
    <m/>
    <m/>
    <m/>
    <n v="2100"/>
    <n v="0"/>
    <n v="0"/>
  </r>
  <r>
    <s v="120A/2019"/>
    <d v="2019-03-18T00:00:00"/>
    <s v="KIỀU THY"/>
    <s v="TL03"/>
    <x v="64"/>
    <x v="50"/>
    <s v="PROFUNDO"/>
    <m/>
    <s v="14.16"/>
    <s v="275"/>
    <s v="NL2018"/>
    <m/>
    <n v="7"/>
    <n v="1925"/>
    <x v="18"/>
    <n v="9625000"/>
    <x v="4"/>
    <d v="2019-04-17T00:00:00"/>
    <d v="2019-05-21T00:00:00"/>
    <d v="2019-05-21T00:00:00"/>
    <m/>
    <m/>
    <m/>
    <m/>
    <d v="2019-06-14T00:00:00"/>
    <n v="1925"/>
    <m/>
    <m/>
    <m/>
    <m/>
    <m/>
    <m/>
    <n v="1925"/>
    <n v="0"/>
    <n v="0"/>
  </r>
  <r>
    <s v="120A/2019"/>
    <d v="2019-03-18T00:00:00"/>
    <s v="KIỀU THY"/>
    <s v="TL03"/>
    <x v="64"/>
    <x v="50"/>
    <s v="PROFUNDO"/>
    <m/>
    <s v="14.16"/>
    <s v="275"/>
    <s v="NL2018"/>
    <m/>
    <n v="7"/>
    <n v="1925"/>
    <x v="18"/>
    <n v="9625000"/>
    <x v="4"/>
    <d v="2019-04-17T00:00:00"/>
    <d v="2019-05-21T00:00:00"/>
    <d v="2019-05-21T00:00:00"/>
    <s v="30/3AL"/>
    <m/>
    <m/>
    <m/>
    <d v="2019-06-14T00:00:00"/>
    <n v="1100"/>
    <m/>
    <m/>
    <m/>
    <m/>
    <m/>
    <m/>
    <n v="1100"/>
    <n v="825"/>
    <n v="4125000"/>
  </r>
  <r>
    <s v="120A/2019"/>
    <d v="2019-03-18T00:00:00"/>
    <s v="KIỀU THY"/>
    <s v="TL03"/>
    <x v="64"/>
    <x v="50"/>
    <s v="PROFUNDO"/>
    <m/>
    <s v="14.16"/>
    <s v="275"/>
    <s v="NL2018"/>
    <m/>
    <n v="8"/>
    <n v="2200"/>
    <x v="18"/>
    <n v="11000000"/>
    <x v="3"/>
    <d v="2019-05-18T00:00:00"/>
    <d v="2019-06-20T00:00:00"/>
    <d v="2019-06-20T00:00:00"/>
    <m/>
    <m/>
    <m/>
    <m/>
    <m/>
    <m/>
    <m/>
    <m/>
    <m/>
    <m/>
    <m/>
    <m/>
    <n v="0"/>
    <n v="2200"/>
    <n v="11000000"/>
  </r>
  <r>
    <s v="120A/2019"/>
    <d v="2019-03-18T00:00:00"/>
    <s v="KIỀU THY"/>
    <s v="TL03"/>
    <x v="64"/>
    <x v="24"/>
    <s v="SERANO"/>
    <m/>
    <s v="14.16"/>
    <s v="300"/>
    <s v="NL2018"/>
    <m/>
    <n v="10"/>
    <n v="3000"/>
    <x v="68"/>
    <n v="10500000"/>
    <x v="4"/>
    <d v="2019-04-17T00:00:00"/>
    <d v="2019-05-21T00:00:00"/>
    <d v="2019-05-21T00:00:00"/>
    <s v="30/3AL"/>
    <m/>
    <m/>
    <m/>
    <m/>
    <m/>
    <m/>
    <m/>
    <m/>
    <m/>
    <m/>
    <m/>
    <n v="0"/>
    <n v="3000"/>
    <n v="10500000"/>
  </r>
  <r>
    <s v="120A/2019"/>
    <d v="2019-03-18T00:00:00"/>
    <s v="KIỀU THY"/>
    <s v="TL03"/>
    <x v="64"/>
    <x v="24"/>
    <s v="SERANO"/>
    <m/>
    <s v="14.16"/>
    <s v="300"/>
    <s v="NL2018"/>
    <m/>
    <n v="10"/>
    <n v="3000"/>
    <x v="117"/>
    <n v="11100000"/>
    <x v="3"/>
    <d v="2019-05-12T00:00:00"/>
    <d v="2019-06-14T00:00:00"/>
    <d v="2019-06-14T00:00:00"/>
    <s v="5/5AL"/>
    <m/>
    <m/>
    <m/>
    <m/>
    <m/>
    <m/>
    <m/>
    <m/>
    <m/>
    <m/>
    <m/>
    <n v="0"/>
    <n v="3000"/>
    <n v="11100000"/>
  </r>
  <r>
    <s v="241/2019"/>
    <d v="2019-06-13T00:00:00"/>
    <s v="KIỀU THY"/>
    <s v="TL03"/>
    <x v="64"/>
    <x v="31"/>
    <s v="TARRANGO"/>
    <m/>
    <s v="14.16"/>
    <s v="300"/>
    <s v="NL2018"/>
    <m/>
    <n v="10"/>
    <n v="3000"/>
    <x v="18"/>
    <n v="15000000"/>
    <x v="3"/>
    <d v="2019-06-15T00:00:00"/>
    <d v="2019-07-17T00:00:00"/>
    <d v="2019-07-17T00:00:00"/>
    <m/>
    <m/>
    <m/>
    <m/>
    <m/>
    <m/>
    <m/>
    <m/>
    <m/>
    <m/>
    <m/>
    <m/>
    <n v="0"/>
    <n v="3000"/>
    <n v="15000000"/>
  </r>
  <r>
    <s v="241/2019"/>
    <d v="2019-06-13T00:00:00"/>
    <s v="KIỀU THY"/>
    <s v="TL03"/>
    <x v="64"/>
    <x v="28"/>
    <s v="YELLOWEEN"/>
    <m/>
    <s v="14.16"/>
    <s v="300"/>
    <s v="NL2018"/>
    <m/>
    <n v="20"/>
    <n v="6000"/>
    <x v="57"/>
    <n v="24000000"/>
    <x v="3"/>
    <d v="2019-06-15T00:00:00"/>
    <d v="2019-07-17T00:00:00"/>
    <d v="2019-07-17T00:00:00"/>
    <m/>
    <m/>
    <m/>
    <m/>
    <m/>
    <m/>
    <m/>
    <m/>
    <m/>
    <m/>
    <m/>
    <m/>
    <n v="0"/>
    <n v="6000"/>
    <n v="24000000"/>
  </r>
  <r>
    <s v="241/2019"/>
    <d v="2019-06-13T00:00:00"/>
    <s v="KIỀU THY"/>
    <s v="TL03"/>
    <x v="64"/>
    <x v="22"/>
    <s v="ROBINA"/>
    <m/>
    <s v="16.18"/>
    <s v="200"/>
    <s v="NL2018"/>
    <m/>
    <n v="15"/>
    <n v="3000"/>
    <x v="48"/>
    <n v="16800000"/>
    <x v="3"/>
    <d v="2019-06-15T00:00:00"/>
    <d v="2019-07-17T00:00:00"/>
    <d v="2019-07-17T00:00:00"/>
    <m/>
    <m/>
    <m/>
    <m/>
    <m/>
    <m/>
    <m/>
    <m/>
    <m/>
    <m/>
    <m/>
    <m/>
    <n v="0"/>
    <n v="3000"/>
    <n v="16800000"/>
  </r>
  <r>
    <s v="188A/2019"/>
    <d v="2019-03-18T00:00:00"/>
    <s v="KIỀU THY"/>
    <s v="TL03"/>
    <x v="64"/>
    <x v="6"/>
    <s v="CONCADOR"/>
    <m/>
    <s v="20.22"/>
    <s v="125"/>
    <s v="NL2018"/>
    <m/>
    <n v="40"/>
    <n v="5000"/>
    <x v="59"/>
    <n v="52500000"/>
    <x v="2"/>
    <d v="2019-09-01T00:00:00"/>
    <d v="2019-09-29T00:00:00"/>
    <d v="2019-09-29T00:00:00"/>
    <s v="TẾT"/>
    <m/>
    <m/>
    <m/>
    <m/>
    <m/>
    <m/>
    <m/>
    <m/>
    <m/>
    <m/>
    <m/>
    <n v="0"/>
    <n v="5000"/>
    <n v="52500000"/>
  </r>
  <r>
    <s v="188A/2019"/>
    <d v="2019-03-18T00:00:00"/>
    <s v="KIỀU THY"/>
    <s v="TL03"/>
    <x v="64"/>
    <x v="16"/>
    <s v="ROBINA"/>
    <m/>
    <s v="20.22"/>
    <s v="125"/>
    <s v="NL2018"/>
    <m/>
    <n v="40"/>
    <n v="5000"/>
    <x v="59"/>
    <n v="52500000"/>
    <x v="2"/>
    <d v="2019-09-01T00:00:00"/>
    <d v="2019-09-29T00:00:00"/>
    <d v="2019-09-29T00:00:00"/>
    <s v="TẾT"/>
    <m/>
    <m/>
    <m/>
    <m/>
    <m/>
    <m/>
    <m/>
    <m/>
    <m/>
    <m/>
    <m/>
    <n v="0"/>
    <n v="5000"/>
    <n v="52500000"/>
  </r>
  <r>
    <s v="106B/2019"/>
    <d v="2019-03-11T00:00:00"/>
    <s v="THANH THÚY"/>
    <s v="KA01"/>
    <x v="65"/>
    <x v="28"/>
    <s v="YELLOWEEN"/>
    <m/>
    <n v="14.16"/>
    <n v="300"/>
    <s v="NL2018"/>
    <m/>
    <n v="0"/>
    <n v="0"/>
    <x v="6"/>
    <n v="0"/>
    <x v="1"/>
    <d v="2019-03-15T00:00:00"/>
    <d v="2019-04-19T00:00:00"/>
    <d v="2019-04-19T00:00:00"/>
    <s v="15/3AL"/>
    <s v="CONT 20/2019"/>
    <m/>
    <m/>
    <m/>
    <n v="0"/>
    <m/>
    <m/>
    <m/>
    <m/>
    <m/>
    <m/>
    <n v="0"/>
    <n v="0"/>
    <n v="0"/>
  </r>
  <r>
    <s v="106B/2019"/>
    <d v="2019-03-11T00:00:00"/>
    <s v="THANH THÚY"/>
    <s v="KA01"/>
    <x v="65"/>
    <x v="133"/>
    <s v="MANISSA"/>
    <m/>
    <n v="14.16"/>
    <n v="300"/>
    <s v="NL2018"/>
    <m/>
    <n v="0"/>
    <n v="0"/>
    <x v="25"/>
    <n v="0"/>
    <x v="1"/>
    <d v="2019-03-15T00:00:00"/>
    <d v="2019-04-19T00:00:00"/>
    <d v="2019-04-19T00:00:00"/>
    <s v="15/3AL"/>
    <s v="CONT 20/2019"/>
    <m/>
    <m/>
    <m/>
    <n v="0"/>
    <m/>
    <m/>
    <m/>
    <m/>
    <m/>
    <m/>
    <n v="0"/>
    <n v="0"/>
    <n v="0"/>
  </r>
  <r>
    <s v="106B/2019"/>
    <d v="2019-03-11T00:00:00"/>
    <s v="THANH THÚY"/>
    <s v="KA01"/>
    <x v="65"/>
    <x v="40"/>
    <s v="PARAGUAY"/>
    <m/>
    <n v="14.16"/>
    <n v="300"/>
    <s v="NL2018"/>
    <m/>
    <n v="0"/>
    <n v="0"/>
    <x v="23"/>
    <n v="0"/>
    <x v="1"/>
    <d v="2019-03-15T00:00:00"/>
    <d v="2019-04-19T00:00:00"/>
    <d v="2019-04-19T00:00:00"/>
    <s v="15/3AL"/>
    <s v="CONT 20/2019"/>
    <m/>
    <m/>
    <m/>
    <n v="0"/>
    <m/>
    <m/>
    <m/>
    <m/>
    <m/>
    <m/>
    <n v="0"/>
    <n v="0"/>
    <n v="0"/>
  </r>
  <r>
    <s v="219A/2019"/>
    <d v="2019-05-19T00:00:00"/>
    <s v="KIỀU THY"/>
    <s v="TH17"/>
    <x v="66"/>
    <x v="5"/>
    <s v="PROFUNDO"/>
    <m/>
    <s v="16.18"/>
    <s v="200"/>
    <s v="NL2018"/>
    <m/>
    <n v="15"/>
    <n v="3000"/>
    <x v="101"/>
    <n v="23400000"/>
    <x v="0"/>
    <d v="2019-04-17T00:00:00"/>
    <d v="2019-05-21T00:00:00"/>
    <d v="2019-05-21T00:00:00"/>
    <m/>
    <m/>
    <m/>
    <m/>
    <d v="2019-06-13T00:00:00"/>
    <n v="3000"/>
    <m/>
    <m/>
    <m/>
    <m/>
    <m/>
    <m/>
    <n v="3000"/>
    <n v="0"/>
    <n v="0"/>
  </r>
  <r>
    <s v="219A/2019"/>
    <d v="2019-05-19T00:00:00"/>
    <s v="KIỀU THY"/>
    <s v="TH17"/>
    <x v="66"/>
    <x v="5"/>
    <s v="PROFUNDO"/>
    <m/>
    <s v="16.18"/>
    <s v="200"/>
    <s v="NL2018"/>
    <m/>
    <n v="20"/>
    <n v="4000"/>
    <x v="101"/>
    <n v="31200000"/>
    <x v="0"/>
    <d v="2019-04-17T00:00:00"/>
    <d v="2019-05-21T00:00:00"/>
    <d v="2019-05-21T00:00:00"/>
    <m/>
    <m/>
    <m/>
    <m/>
    <d v="2019-06-13T00:00:00"/>
    <n v="4000"/>
    <m/>
    <m/>
    <m/>
    <m/>
    <m/>
    <m/>
    <n v="4000"/>
    <n v="0"/>
    <n v="0"/>
  </r>
  <r>
    <s v="219A/2019"/>
    <d v="2019-05-19T00:00:00"/>
    <s v="KIỀU THY"/>
    <s v="TH17"/>
    <x v="66"/>
    <x v="80"/>
    <s v="PROFUNDO"/>
    <m/>
    <s v="14.16"/>
    <s v="300"/>
    <s v="NL2018"/>
    <m/>
    <n v="11"/>
    <n v="3300"/>
    <x v="78"/>
    <n v="16830000"/>
    <x v="0"/>
    <d v="2019-05-05T00:00:00"/>
    <d v="2019-06-07T00:00:00"/>
    <d v="2019-06-07T00:00:00"/>
    <m/>
    <m/>
    <m/>
    <m/>
    <d v="2019-06-13T00:00:00"/>
    <n v="3300"/>
    <m/>
    <m/>
    <m/>
    <m/>
    <m/>
    <m/>
    <n v="3300"/>
    <n v="0"/>
    <n v="0"/>
  </r>
  <r>
    <s v="219A/2019"/>
    <d v="2019-05-19T00:00:00"/>
    <s v="KIỀU THY"/>
    <s v="TH17"/>
    <x v="66"/>
    <x v="30"/>
    <s v="MALDANO"/>
    <m/>
    <s v="16.18"/>
    <s v="200"/>
    <s v="NL2018"/>
    <m/>
    <n v="20"/>
    <n v="4000"/>
    <x v="11"/>
    <n v="21600000"/>
    <x v="3"/>
    <d v="2019-05-12T00:00:00"/>
    <d v="2019-06-14T00:00:00"/>
    <d v="2019-06-14T00:00:00"/>
    <m/>
    <m/>
    <m/>
    <m/>
    <m/>
    <m/>
    <m/>
    <m/>
    <m/>
    <m/>
    <m/>
    <m/>
    <n v="0"/>
    <n v="4000"/>
    <n v="21600000"/>
  </r>
  <r>
    <s v="219A/2019"/>
    <d v="2019-05-19T00:00:00"/>
    <s v="KIỀU THY"/>
    <s v="TH17"/>
    <x v="66"/>
    <x v="41"/>
    <s v="PAVIA"/>
    <m/>
    <s v="14.16"/>
    <s v="300"/>
    <s v="NL2018"/>
    <m/>
    <n v="0"/>
    <n v="0"/>
    <x v="2"/>
    <n v="0"/>
    <x v="1"/>
    <d v="2019-05-05T00:00:00"/>
    <d v="2019-06-07T00:00:00"/>
    <d v="2019-06-07T00:00:00"/>
    <m/>
    <m/>
    <m/>
    <m/>
    <m/>
    <m/>
    <m/>
    <m/>
    <m/>
    <m/>
    <m/>
    <m/>
    <n v="0"/>
    <n v="0"/>
    <n v="0"/>
  </r>
  <r>
    <s v="219A/2019"/>
    <d v="2019-05-19T00:00:00"/>
    <s v="KIỀU THY"/>
    <s v="TH17"/>
    <x v="66"/>
    <x v="4"/>
    <s v="TEBALDI"/>
    <m/>
    <s v="14.16"/>
    <s v="300"/>
    <s v="NL2018"/>
    <m/>
    <n v="0"/>
    <n v="0"/>
    <x v="99"/>
    <n v="0"/>
    <x v="1"/>
    <d v="2019-05-05T00:00:00"/>
    <d v="2019-06-07T00:00:00"/>
    <d v="2019-06-07T00:00:00"/>
    <m/>
    <m/>
    <m/>
    <m/>
    <m/>
    <m/>
    <m/>
    <m/>
    <m/>
    <m/>
    <m/>
    <m/>
    <n v="0"/>
    <n v="0"/>
    <n v="0"/>
  </r>
  <r>
    <s v="219A/2019"/>
    <d v="2019-06-05T00:00:00"/>
    <s v="KIỀU THY"/>
    <s v="TH17"/>
    <x v="66"/>
    <x v="4"/>
    <s v="TEBALDI"/>
    <m/>
    <s v="14.16"/>
    <s v="300"/>
    <s v="NL2018"/>
    <m/>
    <n v="0"/>
    <n v="0"/>
    <x v="99"/>
    <n v="0"/>
    <x v="1"/>
    <d v="2019-05-05T00:00:00"/>
    <d v="2019-06-07T00:00:00"/>
    <d v="2019-06-07T00:00:00"/>
    <m/>
    <m/>
    <m/>
    <m/>
    <m/>
    <m/>
    <m/>
    <m/>
    <m/>
    <m/>
    <m/>
    <m/>
    <n v="0"/>
    <n v="0"/>
    <n v="0"/>
  </r>
  <r>
    <s v="219A/2019"/>
    <d v="2019-05-19T00:00:00"/>
    <s v="KIỀU THY"/>
    <s v="TH17"/>
    <x v="66"/>
    <x v="30"/>
    <s v="MALDANO"/>
    <m/>
    <s v="16.18"/>
    <s v="200"/>
    <s v="NL2018"/>
    <m/>
    <n v="30"/>
    <n v="6000"/>
    <x v="11"/>
    <n v="32400000"/>
    <x v="3"/>
    <d v="2019-05-12T00:00:00"/>
    <d v="2019-06-14T00:00:00"/>
    <d v="2019-06-14T00:00:00"/>
    <m/>
    <m/>
    <m/>
    <m/>
    <m/>
    <m/>
    <m/>
    <m/>
    <m/>
    <m/>
    <m/>
    <m/>
    <n v="0"/>
    <n v="6000"/>
    <n v="32400000"/>
  </r>
  <r>
    <s v="219A/2019"/>
    <d v="2019-05-19T00:00:00"/>
    <s v="KIỀU THY"/>
    <s v="TH17"/>
    <x v="66"/>
    <x v="29"/>
    <s v="MANISSA"/>
    <m/>
    <s v="16.18"/>
    <s v="200"/>
    <s v="NL2018"/>
    <m/>
    <n v="10"/>
    <n v="2000"/>
    <x v="33"/>
    <n v="14000000"/>
    <x v="0"/>
    <d v="2019-05-09T00:00:00"/>
    <d v="2019-06-11T00:00:00"/>
    <d v="2019-06-11T00:00:00"/>
    <m/>
    <m/>
    <m/>
    <m/>
    <d v="2019-06-13T00:00:00"/>
    <n v="2000"/>
    <m/>
    <m/>
    <m/>
    <m/>
    <m/>
    <m/>
    <n v="2000"/>
    <n v="0"/>
    <n v="0"/>
  </r>
  <r>
    <s v="219A/2019"/>
    <d v="2019-06-10T00:00:00"/>
    <s v="KIỀU THY"/>
    <s v="TH17"/>
    <x v="66"/>
    <x v="54"/>
    <s v="MALDANO"/>
    <m/>
    <s v="14.16"/>
    <s v="300"/>
    <s v="NL2018"/>
    <m/>
    <n v="9"/>
    <n v="2700"/>
    <x v="57"/>
    <n v="10800000"/>
    <x v="0"/>
    <d v="2019-05-09T00:00:00"/>
    <d v="2019-06-11T00:00:00"/>
    <d v="2019-06-11T00:00:00"/>
    <m/>
    <m/>
    <m/>
    <m/>
    <d v="2019-06-13T00:00:00"/>
    <n v="2700"/>
    <m/>
    <m/>
    <m/>
    <m/>
    <m/>
    <m/>
    <n v="2700"/>
    <n v="0"/>
    <n v="0"/>
  </r>
  <r>
    <s v="219A/2019"/>
    <d v="2019-06-10T00:00:00"/>
    <s v="KIỀU THY"/>
    <s v="TH17"/>
    <x v="66"/>
    <x v="57"/>
    <s v="DALIAN"/>
    <m/>
    <s v="14.16"/>
    <s v="300"/>
    <s v="NL2018"/>
    <m/>
    <n v="0"/>
    <n v="0"/>
    <x v="44"/>
    <n v="0"/>
    <x v="1"/>
    <d v="2019-05-09T00:00:00"/>
    <d v="2019-06-11T00:00:00"/>
    <d v="2019-06-11T00:00:00"/>
    <m/>
    <m/>
    <m/>
    <m/>
    <m/>
    <m/>
    <m/>
    <m/>
    <m/>
    <m/>
    <m/>
    <m/>
    <n v="0"/>
    <n v="0"/>
    <n v="0"/>
  </r>
  <r>
    <s v="219A/2019"/>
    <d v="2019-05-19T00:00:00"/>
    <s v="KIỀU THY"/>
    <s v="TH17"/>
    <x v="66"/>
    <x v="41"/>
    <s v="PAVIA"/>
    <m/>
    <s v="14.16"/>
    <s v="300"/>
    <s v="NL2018"/>
    <m/>
    <n v="0"/>
    <n v="0"/>
    <x v="2"/>
    <n v="0"/>
    <x v="0"/>
    <d v="2019-05-09T00:00:00"/>
    <d v="2019-06-11T00:00:00"/>
    <d v="2019-06-11T00:00:00"/>
    <m/>
    <m/>
    <m/>
    <m/>
    <m/>
    <m/>
    <m/>
    <m/>
    <m/>
    <m/>
    <m/>
    <m/>
    <n v="0"/>
    <n v="0"/>
    <n v="0"/>
  </r>
  <r>
    <s v="219A/2019"/>
    <d v="2019-06-14T00:00:00"/>
    <s v="KIỀU THY"/>
    <s v="TH17"/>
    <x v="66"/>
    <x v="80"/>
    <s v="PROFUNDO"/>
    <m/>
    <s v="14.16"/>
    <s v="300"/>
    <s v="NL2018"/>
    <m/>
    <n v="20"/>
    <n v="6000"/>
    <x v="82"/>
    <n v="31200000"/>
    <x v="3"/>
    <d v="2019-06-15T00:00:00"/>
    <d v="2019-07-17T00:00:00"/>
    <d v="2019-07-17T00:00:00"/>
    <m/>
    <m/>
    <m/>
    <m/>
    <m/>
    <m/>
    <m/>
    <m/>
    <m/>
    <m/>
    <m/>
    <m/>
    <n v="0"/>
    <n v="6000"/>
    <n v="31200000"/>
  </r>
  <r>
    <s v="219A/2019"/>
    <d v="2019-06-14T00:00:00"/>
    <s v="KIỀU THY"/>
    <s v="TH17"/>
    <x v="66"/>
    <x v="48"/>
    <s v="SERANO"/>
    <m/>
    <s v="16.18"/>
    <s v="200"/>
    <s v="NL2018"/>
    <m/>
    <n v="20"/>
    <n v="4000"/>
    <x v="55"/>
    <n v="21200000"/>
    <x v="3"/>
    <d v="2019-06-15T00:00:00"/>
    <d v="2019-07-17T00:00:00"/>
    <d v="2019-07-17T00:00:00"/>
    <m/>
    <m/>
    <m/>
    <m/>
    <m/>
    <m/>
    <m/>
    <m/>
    <m/>
    <m/>
    <m/>
    <m/>
    <n v="0"/>
    <n v="4000"/>
    <n v="21200000"/>
  </r>
  <r>
    <s v="219A/2019"/>
    <d v="2019-06-14T00:00:00"/>
    <s v="KIỀU THY"/>
    <s v="TH17"/>
    <x v="66"/>
    <x v="5"/>
    <s v="PROFUNDO"/>
    <m/>
    <s v="16.18"/>
    <s v="200"/>
    <s v="NL2018"/>
    <m/>
    <n v="100"/>
    <n v="20000"/>
    <x v="101"/>
    <n v="156000000"/>
    <x v="3"/>
    <d v="2019-06-15T00:00:00"/>
    <d v="2019-07-17T00:00:00"/>
    <d v="2019-07-17T00:00:00"/>
    <m/>
    <m/>
    <m/>
    <m/>
    <m/>
    <m/>
    <m/>
    <m/>
    <m/>
    <m/>
    <m/>
    <m/>
    <n v="0"/>
    <n v="20000"/>
    <n v="156000000"/>
  </r>
  <r>
    <s v="219A/2019"/>
    <d v="2019-05-20T00:00:00"/>
    <s v="KIỀU THY"/>
    <s v="TH17"/>
    <x v="66"/>
    <x v="57"/>
    <s v="DALIAN"/>
    <m/>
    <s v="14.16"/>
    <s v="300"/>
    <s v="NL2018"/>
    <m/>
    <n v="0"/>
    <n v="0"/>
    <x v="44"/>
    <n v="0"/>
    <x v="1"/>
    <d v="2019-06-15T00:00:00"/>
    <d v="2019-07-17T00:00:00"/>
    <d v="2019-07-17T00:00:00"/>
    <m/>
    <m/>
    <m/>
    <m/>
    <m/>
    <m/>
    <m/>
    <m/>
    <m/>
    <m/>
    <m/>
    <m/>
    <n v="0"/>
    <n v="0"/>
    <n v="0"/>
  </r>
  <r>
    <s v="219A/2019"/>
    <d v="2019-06-14T00:00:00"/>
    <s v="KIỀU THY"/>
    <s v="TH17"/>
    <x v="66"/>
    <x v="5"/>
    <s v="PROFUNDO"/>
    <m/>
    <s v="16.18"/>
    <s v="200"/>
    <s v="NL2018"/>
    <m/>
    <n v="25"/>
    <n v="5000"/>
    <x v="101"/>
    <n v="39000000"/>
    <x v="3"/>
    <d v="2019-06-01T00:00:00"/>
    <d v="2019-07-03T00:00:00"/>
    <d v="2019-07-03T00:00:00"/>
    <s v="Hà Nội chuyển vô"/>
    <m/>
    <m/>
    <m/>
    <m/>
    <m/>
    <m/>
    <m/>
    <m/>
    <m/>
    <m/>
    <m/>
    <n v="0"/>
    <n v="5000"/>
    <n v="39000000"/>
  </r>
  <r>
    <s v="219A/2019"/>
    <d v="2019-05-19T00:00:00"/>
    <s v="KIỀU THY"/>
    <s v="TH17"/>
    <x v="66"/>
    <x v="28"/>
    <s v="YELLOWEEN"/>
    <m/>
    <s v="14.16"/>
    <s v="300"/>
    <s v="NL2018"/>
    <m/>
    <n v="0"/>
    <n v="0"/>
    <x v="56"/>
    <n v="0"/>
    <x v="1"/>
    <d v="2019-05-30T00:00:00"/>
    <d v="2019-07-02T00:00:00"/>
    <d v="2019-07-02T00:00:00"/>
    <m/>
    <m/>
    <m/>
    <m/>
    <m/>
    <m/>
    <m/>
    <m/>
    <m/>
    <m/>
    <m/>
    <m/>
    <n v="0"/>
    <n v="0"/>
    <n v="0"/>
  </r>
  <r>
    <s v="219A/2019"/>
    <d v="2019-06-14T00:00:00"/>
    <s v="KIỀU THY"/>
    <s v="TH17"/>
    <x v="66"/>
    <x v="48"/>
    <s v="SERANO"/>
    <m/>
    <s v="16.18"/>
    <s v="200"/>
    <s v="NL2018"/>
    <m/>
    <n v="20"/>
    <n v="4000"/>
    <x v="55"/>
    <n v="21200000"/>
    <x v="2"/>
    <d v="2019-06-25T00:00:00"/>
    <d v="2019-07-27T00:00:00"/>
    <d v="2019-07-27T00:00:00"/>
    <m/>
    <m/>
    <m/>
    <m/>
    <m/>
    <m/>
    <m/>
    <m/>
    <m/>
    <m/>
    <m/>
    <m/>
    <n v="0"/>
    <n v="4000"/>
    <n v="21200000"/>
  </r>
  <r>
    <s v="219A/2019"/>
    <d v="2019-06-14T00:00:00"/>
    <s v="KIỀU THY"/>
    <s v="TH17"/>
    <x v="66"/>
    <x v="5"/>
    <s v="PROFUNDO"/>
    <m/>
    <s v="16.18"/>
    <s v="200"/>
    <s v="NL2018"/>
    <m/>
    <n v="55"/>
    <n v="11000"/>
    <x v="101"/>
    <n v="85800000"/>
    <x v="2"/>
    <d v="2019-06-25T00:00:00"/>
    <d v="2019-07-27T00:00:00"/>
    <d v="2019-07-27T00:00:00"/>
    <m/>
    <m/>
    <m/>
    <m/>
    <m/>
    <m/>
    <m/>
    <m/>
    <m/>
    <m/>
    <m/>
    <m/>
    <n v="0"/>
    <n v="11000"/>
    <n v="85800000"/>
  </r>
  <r>
    <s v="219A/2019"/>
    <d v="2019-06-14T00:00:00"/>
    <s v="KIỀU THY"/>
    <s v="TH17"/>
    <x v="66"/>
    <x v="80"/>
    <s v="PROFUNDO"/>
    <m/>
    <s v="14.16"/>
    <s v="300"/>
    <s v="NL2018"/>
    <m/>
    <n v="34"/>
    <n v="10200"/>
    <x v="82"/>
    <n v="53040000"/>
    <x v="2"/>
    <d v="2019-06-25T00:00:00"/>
    <d v="2019-07-27T00:00:00"/>
    <d v="2019-07-27T00:00:00"/>
    <m/>
    <m/>
    <m/>
    <m/>
    <m/>
    <m/>
    <m/>
    <m/>
    <m/>
    <m/>
    <m/>
    <m/>
    <n v="0"/>
    <n v="10200"/>
    <n v="53040000"/>
  </r>
  <r>
    <s v="219A/2019"/>
    <d v="2019-06-14T00:00:00"/>
    <s v="KIỀU THY"/>
    <s v="TH17"/>
    <x v="66"/>
    <x v="30"/>
    <s v="MALDANO"/>
    <m/>
    <s v="16.18"/>
    <s v="200"/>
    <s v="NL2018"/>
    <m/>
    <n v="25"/>
    <n v="5000"/>
    <x v="44"/>
    <n v="27500000"/>
    <x v="2"/>
    <d v="2019-06-25T00:00:00"/>
    <d v="2019-07-27T00:00:00"/>
    <d v="2019-07-27T00:00:00"/>
    <m/>
    <m/>
    <m/>
    <m/>
    <m/>
    <m/>
    <m/>
    <m/>
    <m/>
    <m/>
    <m/>
    <m/>
    <n v="0"/>
    <n v="5000"/>
    <n v="27500000"/>
  </r>
  <r>
    <s v="219A/2019"/>
    <d v="2019-05-20T00:00:00"/>
    <s v="KIỀU THY"/>
    <s v="TH17"/>
    <x v="66"/>
    <x v="57"/>
    <s v="DALIAN"/>
    <m/>
    <s v="14.16"/>
    <s v="300"/>
    <s v="NL2018"/>
    <m/>
    <n v="0"/>
    <n v="0"/>
    <x v="48"/>
    <n v="0"/>
    <x v="1"/>
    <d v="2019-06-25T00:00:00"/>
    <d v="2019-07-27T00:00:00"/>
    <d v="2019-07-27T00:00:00"/>
    <m/>
    <m/>
    <m/>
    <m/>
    <m/>
    <m/>
    <m/>
    <m/>
    <m/>
    <m/>
    <m/>
    <m/>
    <n v="0"/>
    <n v="0"/>
    <n v="0"/>
  </r>
  <r>
    <s v="219A/2019"/>
    <d v="2019-05-25T00:00:00"/>
    <s v="KIỀU THY"/>
    <s v="TH17"/>
    <x v="66"/>
    <x v="22"/>
    <s v="ROBINA"/>
    <m/>
    <s v="16.18"/>
    <s v="200"/>
    <s v="NL2018"/>
    <m/>
    <n v="25"/>
    <n v="5000"/>
    <x v="26"/>
    <n v="29000000"/>
    <x v="2"/>
    <d v="2019-07-25T00:00:00"/>
    <d v="2019-08-25T00:00:00"/>
    <d v="2019-08-25T00:00:00"/>
    <m/>
    <m/>
    <m/>
    <m/>
    <m/>
    <m/>
    <m/>
    <m/>
    <m/>
    <m/>
    <m/>
    <m/>
    <n v="0"/>
    <n v="5000"/>
    <n v="29000000"/>
  </r>
  <r>
    <s v="219A/2019"/>
    <d v="2019-05-25T00:00:00"/>
    <s v="KIỀU THY"/>
    <s v="TH17"/>
    <x v="66"/>
    <x v="5"/>
    <s v="PROFUNDO"/>
    <m/>
    <s v="16.18"/>
    <s v="200"/>
    <s v="NL2018"/>
    <m/>
    <n v="100"/>
    <n v="20000"/>
    <x v="118"/>
    <n v="162000000"/>
    <x v="2"/>
    <d v="2019-07-25T00:00:00"/>
    <d v="2019-08-25T00:00:00"/>
    <d v="2019-08-25T00:00:00"/>
    <m/>
    <m/>
    <m/>
    <m/>
    <m/>
    <m/>
    <m/>
    <m/>
    <m/>
    <m/>
    <m/>
    <m/>
    <n v="0"/>
    <n v="20000"/>
    <n v="162000000"/>
  </r>
  <r>
    <s v="219A/2019"/>
    <d v="2019-05-25T00:00:00"/>
    <s v="KIỀU THY"/>
    <s v="TH17"/>
    <x v="66"/>
    <x v="57"/>
    <s v="DALIAN"/>
    <m/>
    <s v="14.16"/>
    <s v="300"/>
    <s v="NL2018"/>
    <m/>
    <n v="23"/>
    <n v="6900"/>
    <x v="24"/>
    <n v="39330000"/>
    <x v="2"/>
    <d v="2019-07-25T00:00:00"/>
    <d v="2019-08-25T00:00:00"/>
    <d v="2019-08-25T00:00:00"/>
    <m/>
    <m/>
    <m/>
    <m/>
    <m/>
    <m/>
    <m/>
    <m/>
    <m/>
    <m/>
    <m/>
    <m/>
    <n v="0"/>
    <n v="6900"/>
    <n v="39330000"/>
  </r>
  <r>
    <s v="222A/2019"/>
    <d v="2019-05-25T00:00:00"/>
    <s v="KIỀU THY"/>
    <s v="TH17"/>
    <x v="66"/>
    <x v="6"/>
    <s v="CONCADOR"/>
    <m/>
    <s v="20.22"/>
    <s v="125"/>
    <s v="NL2018"/>
    <m/>
    <n v="40"/>
    <n v="5000"/>
    <x v="7"/>
    <n v="53000000"/>
    <x v="2"/>
    <d v="2019-09-01T00:00:00"/>
    <d v="2019-09-29T00:00:00"/>
    <d v="2019-09-29T00:00:00"/>
    <m/>
    <m/>
    <m/>
    <m/>
    <m/>
    <m/>
    <m/>
    <m/>
    <m/>
    <m/>
    <m/>
    <m/>
    <n v="0"/>
    <n v="5000"/>
    <n v="53000000"/>
  </r>
  <r>
    <s v="222A/2019"/>
    <d v="2019-05-25T00:00:00"/>
    <s v="KIỀU THY"/>
    <s v="TH17"/>
    <x v="66"/>
    <x v="7"/>
    <s v="PROFUNDO"/>
    <m/>
    <s v="18.20"/>
    <s v="150"/>
    <s v="NL2018"/>
    <m/>
    <n v="153"/>
    <n v="22950"/>
    <x v="22"/>
    <n v="250155000"/>
    <x v="2"/>
    <d v="2019-09-01T00:00:00"/>
    <d v="2019-09-29T00:00:00"/>
    <d v="2019-09-29T00:00:00"/>
    <m/>
    <m/>
    <m/>
    <m/>
    <m/>
    <m/>
    <m/>
    <m/>
    <m/>
    <m/>
    <m/>
    <m/>
    <n v="0"/>
    <n v="22950"/>
    <n v="250155000"/>
  </r>
  <r>
    <s v="222A/2019"/>
    <d v="2019-06-10T00:00:00"/>
    <s v="KIỀU THY"/>
    <s v="TH17"/>
    <x v="66"/>
    <x v="36"/>
    <s v="MANISSA"/>
    <m/>
    <s v="20.22"/>
    <s v="125"/>
    <s v="NL2018"/>
    <m/>
    <n v="24"/>
    <n v="3000"/>
    <x v="66"/>
    <n v="40800000"/>
    <x v="2"/>
    <d v="2019-09-01T00:00:00"/>
    <d v="2019-09-29T00:00:00"/>
    <d v="2019-09-29T00:00:00"/>
    <m/>
    <m/>
    <m/>
    <m/>
    <m/>
    <m/>
    <m/>
    <m/>
    <m/>
    <m/>
    <m/>
    <m/>
    <n v="0"/>
    <n v="3000"/>
    <n v="40800000"/>
  </r>
  <r>
    <s v="222A/2019"/>
    <d v="2019-06-10T00:00:00"/>
    <s v="KIỀU THY"/>
    <s v="TH17"/>
    <x v="66"/>
    <x v="6"/>
    <s v="CONCADOR"/>
    <m/>
    <s v="20.22"/>
    <s v="125"/>
    <s v="NL2018"/>
    <m/>
    <n v="16"/>
    <n v="2000"/>
    <x v="7"/>
    <n v="21200000"/>
    <x v="2"/>
    <d v="2019-09-01T00:00:00"/>
    <d v="2019-09-29T00:00:00"/>
    <d v="2019-09-29T00:00:00"/>
    <m/>
    <m/>
    <m/>
    <m/>
    <m/>
    <m/>
    <m/>
    <m/>
    <m/>
    <m/>
    <m/>
    <m/>
    <n v="0"/>
    <n v="2000"/>
    <n v="21200000"/>
  </r>
  <r>
    <s v="222A/2019"/>
    <d v="2019-06-10T00:00:00"/>
    <s v="KIỀU THY"/>
    <s v="TH17"/>
    <x v="66"/>
    <x v="36"/>
    <s v="MANISSA"/>
    <m/>
    <s v="20.22"/>
    <s v="125"/>
    <s v="NL2018"/>
    <m/>
    <n v="24"/>
    <n v="3000"/>
    <x v="66"/>
    <n v="40800000"/>
    <x v="2"/>
    <d v="2019-09-01T00:00:00"/>
    <d v="2019-09-29T00:00:00"/>
    <d v="2019-09-29T00:00:00"/>
    <m/>
    <m/>
    <m/>
    <m/>
    <m/>
    <m/>
    <m/>
    <m/>
    <m/>
    <m/>
    <m/>
    <m/>
    <n v="0"/>
    <n v="3000"/>
    <n v="40800000"/>
  </r>
  <r>
    <s v="222A/2019"/>
    <d v="2019-06-10T00:00:00"/>
    <s v="KIỀU THY"/>
    <s v="TH17"/>
    <x v="66"/>
    <x v="7"/>
    <s v="PROFUNDO"/>
    <m/>
    <s v="18.20"/>
    <s v="150"/>
    <s v="NL2018"/>
    <m/>
    <n v="100"/>
    <n v="15000"/>
    <x v="22"/>
    <n v="163500000"/>
    <x v="2"/>
    <d v="2019-09-01T00:00:00"/>
    <d v="2019-09-29T00:00:00"/>
    <d v="2019-09-29T00:00:00"/>
    <m/>
    <m/>
    <m/>
    <m/>
    <m/>
    <m/>
    <m/>
    <m/>
    <m/>
    <m/>
    <m/>
    <m/>
    <n v="0"/>
    <n v="15000"/>
    <n v="163500000"/>
  </r>
  <r>
    <s v="63A/2019"/>
    <d v="2019-02-21T00:00:00"/>
    <s v="KIỀU THY"/>
    <s v="TH07"/>
    <x v="67"/>
    <x v="17"/>
    <s v="NELLO "/>
    <m/>
    <s v="12.14"/>
    <n v="400"/>
    <s v="NL2018"/>
    <m/>
    <n v="13"/>
    <n v="5200"/>
    <x v="17"/>
    <n v="15600000"/>
    <x v="0"/>
    <d v="2019-01-15T00:00:00"/>
    <d v="2019-02-19T00:00:00"/>
    <d v="2019-02-19T00:00:00"/>
    <s v="15/1AL"/>
    <m/>
    <m/>
    <s v="R"/>
    <d v="2019-03-12T00:00:00"/>
    <n v="5200"/>
    <m/>
    <m/>
    <m/>
    <m/>
    <m/>
    <m/>
    <n v="5200"/>
    <n v="0"/>
    <n v="0"/>
  </r>
  <r>
    <s v="63A/2019"/>
    <d v="2019-02-21T00:00:00"/>
    <s v="KIỀU THY"/>
    <s v="TH07"/>
    <x v="67"/>
    <x v="3"/>
    <s v="PAVIA"/>
    <m/>
    <s v="12.14"/>
    <n v="400"/>
    <s v="NL2018"/>
    <m/>
    <n v="13"/>
    <n v="5200"/>
    <x v="4"/>
    <n v="14560000"/>
    <x v="0"/>
    <d v="2019-01-15T00:00:00"/>
    <d v="2019-02-19T00:00:00"/>
    <d v="2019-02-19T00:00:00"/>
    <s v="15/1AL"/>
    <m/>
    <m/>
    <s v="R"/>
    <d v="2019-03-12T00:00:00"/>
    <n v="5200"/>
    <m/>
    <m/>
    <m/>
    <m/>
    <m/>
    <m/>
    <n v="5200"/>
    <n v="0"/>
    <n v="0"/>
  </r>
  <r>
    <s v="95A/2019"/>
    <d v="2019-03-08T00:00:00"/>
    <s v="KIỀU THY"/>
    <s v="CT01"/>
    <x v="68"/>
    <x v="10"/>
    <s v="ARVANDRUD"/>
    <m/>
    <s v="16.18"/>
    <n v="200"/>
    <s v="NL2018"/>
    <m/>
    <n v="0"/>
    <n v="0"/>
    <x v="44"/>
    <n v="0"/>
    <x v="1"/>
    <d v="2019-03-15T00:00:00"/>
    <d v="2019-04-19T00:00:00"/>
    <d v="2019-04-19T00:00:00"/>
    <s v="15/3AL"/>
    <s v="CONT 21/2019"/>
    <d v="2019-04-14T00:00:00"/>
    <s v="R"/>
    <m/>
    <n v="0"/>
    <m/>
    <m/>
    <m/>
    <m/>
    <m/>
    <m/>
    <n v="0"/>
    <n v="0"/>
    <n v="0"/>
  </r>
  <r>
    <s v="95A/2019"/>
    <d v="2019-03-08T00:00:00"/>
    <s v="KIỀU THY"/>
    <s v="CT01"/>
    <x v="68"/>
    <x v="80"/>
    <s v="PROFUNDO"/>
    <m/>
    <s v="14.16"/>
    <n v="300"/>
    <s v="NL2018"/>
    <m/>
    <n v="0"/>
    <n v="0"/>
    <x v="18"/>
    <n v="0"/>
    <x v="1"/>
    <d v="2019-03-15T00:00:00"/>
    <d v="2019-04-19T00:00:00"/>
    <d v="2019-04-19T00:00:00"/>
    <s v="15/3AL"/>
    <s v="CONT 23/2019"/>
    <d v="2019-04-14T00:00:00"/>
    <s v="R"/>
    <m/>
    <n v="0"/>
    <m/>
    <m/>
    <m/>
    <m/>
    <m/>
    <m/>
    <n v="0"/>
    <n v="0"/>
    <n v="0"/>
  </r>
  <r>
    <s v="95A/2019"/>
    <d v="2019-03-08T00:00:00"/>
    <s v="KIỀU THY"/>
    <s v="CT01"/>
    <x v="68"/>
    <x v="28"/>
    <s v="YELLOWEEN"/>
    <m/>
    <s v="14.16"/>
    <n v="300"/>
    <s v="NL2018"/>
    <m/>
    <n v="0"/>
    <n v="0"/>
    <x v="6"/>
    <n v="0"/>
    <x v="1"/>
    <d v="2019-03-15T00:00:00"/>
    <d v="2019-04-19T00:00:00"/>
    <d v="2019-04-19T00:00:00"/>
    <s v="15/3AL"/>
    <s v="CONT 27/2019"/>
    <d v="2019-04-14T00:00:00"/>
    <s v="R"/>
    <m/>
    <n v="0"/>
    <m/>
    <m/>
    <m/>
    <m/>
    <m/>
    <m/>
    <n v="0"/>
    <n v="0"/>
    <n v="0"/>
  </r>
  <r>
    <s v="95A/2019"/>
    <d v="2019-03-08T00:00:00"/>
    <s v="KIỀU THY"/>
    <s v="CT01"/>
    <x v="68"/>
    <x v="10"/>
    <s v="ARVANDRUD"/>
    <m/>
    <s v="16.18"/>
    <n v="200"/>
    <s v="NL2018"/>
    <m/>
    <n v="0"/>
    <n v="0"/>
    <x v="44"/>
    <n v="0"/>
    <x v="1"/>
    <d v="2019-04-17T00:00:00"/>
    <d v="2019-05-21T00:00:00"/>
    <d v="2019-05-21T00:00:00"/>
    <s v="30/3AL"/>
    <m/>
    <m/>
    <s v="R"/>
    <m/>
    <n v="0"/>
    <m/>
    <m/>
    <m/>
    <m/>
    <m/>
    <m/>
    <n v="0"/>
    <n v="0"/>
    <n v="0"/>
  </r>
  <r>
    <s v="95A/2019"/>
    <d v="2019-03-08T00:00:00"/>
    <s v="KIỀU THY"/>
    <s v="CT01"/>
    <x v="68"/>
    <x v="10"/>
    <s v="ARVANDRUD"/>
    <m/>
    <s v="16.18"/>
    <n v="200"/>
    <s v="NL2018"/>
    <m/>
    <n v="0"/>
    <n v="0"/>
    <x v="44"/>
    <n v="0"/>
    <x v="1"/>
    <d v="2019-04-17T00:00:00"/>
    <d v="2019-05-21T00:00:00"/>
    <d v="2019-05-21T00:00:00"/>
    <s v="15/4AL"/>
    <m/>
    <m/>
    <s v="R"/>
    <m/>
    <n v="0"/>
    <m/>
    <m/>
    <m/>
    <m/>
    <m/>
    <m/>
    <n v="0"/>
    <n v="0"/>
    <n v="0"/>
  </r>
  <r>
    <s v="95A/2019"/>
    <d v="2019-03-08T00:00:00"/>
    <s v="KIỀU THY"/>
    <s v="CT01"/>
    <x v="68"/>
    <x v="10"/>
    <s v="ARVANDRUD"/>
    <m/>
    <s v="16.18"/>
    <n v="200"/>
    <s v="NL2018"/>
    <m/>
    <n v="0"/>
    <n v="0"/>
    <x v="44"/>
    <n v="0"/>
    <x v="1"/>
    <d v="2019-04-17T00:00:00"/>
    <d v="2019-05-21T00:00:00"/>
    <d v="2019-05-21T00:00:00"/>
    <s v="29/4AL"/>
    <m/>
    <m/>
    <s v="R"/>
    <m/>
    <n v="0"/>
    <m/>
    <m/>
    <m/>
    <m/>
    <m/>
    <m/>
    <n v="0"/>
    <n v="0"/>
    <n v="0"/>
  </r>
  <r>
    <s v="95A/2019"/>
    <d v="2019-03-08T00:00:00"/>
    <s v="KIỀU THY"/>
    <s v="CT01"/>
    <x v="68"/>
    <x v="50"/>
    <s v="PROFUNDO"/>
    <m/>
    <s v="14.16"/>
    <n v="275"/>
    <s v="NL2018"/>
    <m/>
    <n v="0"/>
    <n v="0"/>
    <x v="18"/>
    <n v="0"/>
    <x v="1"/>
    <d v="2019-04-17T00:00:00"/>
    <d v="2019-05-21T00:00:00"/>
    <d v="2019-05-21T00:00:00"/>
    <s v="30/3AL"/>
    <m/>
    <m/>
    <s v="R"/>
    <m/>
    <n v="0"/>
    <m/>
    <m/>
    <m/>
    <m/>
    <m/>
    <m/>
    <n v="0"/>
    <n v="0"/>
    <n v="0"/>
  </r>
  <r>
    <s v="95A/2019"/>
    <d v="2019-03-08T00:00:00"/>
    <s v="KIỀU THY"/>
    <s v="CT01"/>
    <x v="68"/>
    <x v="80"/>
    <s v="PROFUNDO"/>
    <m/>
    <s v="14.16"/>
    <n v="300"/>
    <s v="NL2018"/>
    <m/>
    <n v="0"/>
    <n v="0"/>
    <x v="78"/>
    <n v="0"/>
    <x v="1"/>
    <d v="2019-04-17T00:00:00"/>
    <d v="2019-05-21T00:00:00"/>
    <d v="2019-05-21T00:00:00"/>
    <s v="15/4AL"/>
    <m/>
    <m/>
    <s v="R"/>
    <m/>
    <n v="0"/>
    <m/>
    <m/>
    <m/>
    <m/>
    <m/>
    <m/>
    <n v="0"/>
    <n v="0"/>
    <n v="0"/>
  </r>
  <r>
    <s v="95A/2019"/>
    <d v="2019-03-08T00:00:00"/>
    <s v="KIỀU THY"/>
    <s v="CT01"/>
    <x v="68"/>
    <x v="80"/>
    <s v="PROFUNDO"/>
    <m/>
    <s v="14.16"/>
    <n v="300"/>
    <s v="NL2018"/>
    <m/>
    <n v="0"/>
    <n v="0"/>
    <x v="78"/>
    <n v="0"/>
    <x v="1"/>
    <d v="2019-04-17T00:00:00"/>
    <d v="2019-05-21T00:00:00"/>
    <d v="2019-05-21T00:00:00"/>
    <s v="30/4AL"/>
    <m/>
    <m/>
    <s v="R"/>
    <m/>
    <n v="0"/>
    <m/>
    <m/>
    <m/>
    <m/>
    <m/>
    <m/>
    <n v="0"/>
    <n v="0"/>
    <n v="0"/>
  </r>
  <r>
    <s v="95A/2019"/>
    <d v="2019-03-08T00:00:00"/>
    <s v="KIỀU THY"/>
    <s v="CT01"/>
    <x v="68"/>
    <x v="28"/>
    <s v="YELLOWEEN"/>
    <m/>
    <s v="14.16"/>
    <n v="300"/>
    <s v="NL2018"/>
    <m/>
    <n v="0"/>
    <n v="0"/>
    <x v="6"/>
    <n v="0"/>
    <x v="1"/>
    <d v="2019-04-17T00:00:00"/>
    <d v="2019-05-21T00:00:00"/>
    <d v="2019-05-21T00:00:00"/>
    <s v="30/3AL"/>
    <m/>
    <m/>
    <s v="R"/>
    <m/>
    <n v="0"/>
    <m/>
    <m/>
    <m/>
    <m/>
    <m/>
    <m/>
    <n v="0"/>
    <n v="0"/>
    <n v="0"/>
  </r>
  <r>
    <s v="95A/2019"/>
    <d v="2019-03-08T00:00:00"/>
    <s v="KIỀU THY"/>
    <s v="CT01"/>
    <x v="68"/>
    <x v="28"/>
    <s v="YELLOWEEN"/>
    <m/>
    <s v="14.16"/>
    <n v="300"/>
    <s v="NL2018"/>
    <m/>
    <n v="0"/>
    <n v="0"/>
    <x v="56"/>
    <n v="0"/>
    <x v="1"/>
    <d v="2019-04-17T00:00:00"/>
    <d v="2019-05-21T00:00:00"/>
    <d v="2019-05-21T00:00:00"/>
    <s v="15/4AL"/>
    <m/>
    <m/>
    <s v="R"/>
    <m/>
    <n v="0"/>
    <m/>
    <m/>
    <m/>
    <m/>
    <m/>
    <m/>
    <n v="0"/>
    <n v="0"/>
    <n v="0"/>
  </r>
  <r>
    <s v="95A/2019"/>
    <d v="2019-03-08T00:00:00"/>
    <s v="KIỀU THY"/>
    <s v="CT01"/>
    <x v="68"/>
    <x v="28"/>
    <s v="YELLOWEEN"/>
    <m/>
    <s v="14.16"/>
    <n v="300"/>
    <s v="NL2018"/>
    <m/>
    <n v="0"/>
    <n v="0"/>
    <x v="56"/>
    <n v="0"/>
    <x v="1"/>
    <d v="2019-04-17T00:00:00"/>
    <d v="2019-05-21T00:00:00"/>
    <d v="2019-05-21T00:00:00"/>
    <s v="30/4AL"/>
    <m/>
    <m/>
    <s v="R"/>
    <m/>
    <n v="0"/>
    <m/>
    <m/>
    <m/>
    <m/>
    <m/>
    <m/>
    <n v="0"/>
    <n v="0"/>
    <n v="0"/>
  </r>
  <r>
    <s v="98A/2019"/>
    <d v="2019-03-08T00:00:00"/>
    <s v="KIỀU THY"/>
    <s v="TB08"/>
    <x v="69"/>
    <x v="3"/>
    <s v="PAVIA"/>
    <m/>
    <s v="12.14"/>
    <n v="400"/>
    <s v="NL2018"/>
    <m/>
    <n v="1"/>
    <n v="400"/>
    <x v="69"/>
    <n v="1320000"/>
    <x v="0"/>
    <d v="2019-03-15T00:00:00"/>
    <d v="2019-04-19T00:00:00"/>
    <d v="2019-04-19T00:00:00"/>
    <s v="15/3AL"/>
    <s v="CONT 20/2019"/>
    <d v="2019-04-14T00:00:00"/>
    <m/>
    <d v="2019-04-23T00:00:00"/>
    <n v="400"/>
    <m/>
    <m/>
    <m/>
    <m/>
    <m/>
    <m/>
    <n v="400"/>
    <n v="0"/>
    <n v="0"/>
  </r>
  <r>
    <s v="98A/2019"/>
    <d v="2019-03-08T00:00:00"/>
    <s v="KIỀU THY"/>
    <s v="TB08"/>
    <x v="69"/>
    <x v="4"/>
    <s v="TEBALDI"/>
    <m/>
    <s v="14.16"/>
    <n v="300"/>
    <s v="NL2018"/>
    <m/>
    <n v="1"/>
    <n v="300"/>
    <x v="13"/>
    <n v="1350000"/>
    <x v="0"/>
    <d v="2019-03-15T00:00:00"/>
    <d v="2019-04-19T00:00:00"/>
    <d v="2019-04-19T00:00:00"/>
    <s v="15/3AL"/>
    <s v="CONT 24/2019"/>
    <d v="2019-04-14T00:00:00"/>
    <m/>
    <d v="2019-04-23T00:00:00"/>
    <n v="300"/>
    <m/>
    <m/>
    <m/>
    <m/>
    <m/>
    <m/>
    <n v="300"/>
    <n v="0"/>
    <n v="0"/>
  </r>
  <r>
    <s v="12B/2019"/>
    <d v="2019-01-05T00:00:00"/>
    <s v="THANH THÚY"/>
    <s v="TT04"/>
    <x v="70"/>
    <x v="11"/>
    <s v="YELLOWEEN"/>
    <m/>
    <s v="12.14"/>
    <n v="400"/>
    <s v="NL2018"/>
    <m/>
    <n v="125"/>
    <n v="50000"/>
    <x v="12"/>
    <n v="130000000"/>
    <x v="0"/>
    <d v="2019-01-15T00:00:00"/>
    <d v="2019-02-19T00:00:00"/>
    <d v="2019-02-19T00:00:00"/>
    <s v="15/1AL"/>
    <m/>
    <m/>
    <m/>
    <d v="2019-02-19T00:00:00"/>
    <n v="50000"/>
    <m/>
    <m/>
    <m/>
    <m/>
    <m/>
    <m/>
    <n v="50000"/>
    <n v="0"/>
    <n v="0"/>
  </r>
  <r>
    <s v="12B/2019"/>
    <d v="2019-01-05T00:00:00"/>
    <s v="THANH THÚY"/>
    <s v="TT04"/>
    <x v="70"/>
    <x v="134"/>
    <s v="CIARA"/>
    <s v="RL"/>
    <s v="12.14"/>
    <n v="400"/>
    <s v="NL2018"/>
    <m/>
    <n v="2"/>
    <n v="800"/>
    <x v="27"/>
    <n v="6400000"/>
    <x v="0"/>
    <d v="2019-01-23T00:00:00"/>
    <d v="2019-02-27T00:00:00"/>
    <d v="2019-02-27T00:00:00"/>
    <s v="23/1AL"/>
    <m/>
    <m/>
    <m/>
    <d v="2019-02-27T00:00:00"/>
    <n v="800"/>
    <m/>
    <m/>
    <m/>
    <m/>
    <m/>
    <m/>
    <n v="800"/>
    <n v="0"/>
    <n v="0"/>
  </r>
  <r>
    <s v="12B/2019"/>
    <d v="2019-01-05T00:00:00"/>
    <s v="THANH THÚY"/>
    <s v="TT04"/>
    <x v="70"/>
    <x v="135"/>
    <s v="BACARDI"/>
    <m/>
    <s v="15.16"/>
    <n v="275"/>
    <s v="NL2018"/>
    <m/>
    <n v="46"/>
    <n v="12650"/>
    <x v="65"/>
    <n v="55280500"/>
    <x v="0"/>
    <d v="2019-02-15T00:00:00"/>
    <d v="2019-03-20T00:00:00"/>
    <d v="2019-03-20T00:00:00"/>
    <s v="15/02AL"/>
    <s v="CONT 11/2019"/>
    <m/>
    <m/>
    <d v="2019-03-19T00:00:00"/>
    <n v="12650"/>
    <m/>
    <m/>
    <m/>
    <m/>
    <m/>
    <m/>
    <n v="12650"/>
    <n v="0"/>
    <n v="0"/>
  </r>
  <r>
    <s v="12B/2019"/>
    <d v="2019-01-05T00:00:00"/>
    <s v="THANH THÚY"/>
    <s v="TT04"/>
    <x v="70"/>
    <x v="62"/>
    <s v="BACARDI"/>
    <m/>
    <s v="15.16"/>
    <n v="300"/>
    <s v="NL2018"/>
    <m/>
    <n v="12"/>
    <n v="3600"/>
    <x v="65"/>
    <n v="15732000"/>
    <x v="0"/>
    <d v="2019-02-15T00:00:00"/>
    <d v="2019-03-20T00:00:00"/>
    <d v="2019-03-20T00:00:00"/>
    <s v="15/02AL"/>
    <s v="CONT 11/2019"/>
    <m/>
    <m/>
    <d v="2019-03-19T00:00:00"/>
    <n v="3600"/>
    <m/>
    <m/>
    <m/>
    <m/>
    <m/>
    <m/>
    <n v="3600"/>
    <n v="0"/>
    <n v="0"/>
  </r>
  <r>
    <s v="126B/2019"/>
    <d v="2019-03-15T00:00:00"/>
    <s v="THANH THÚY"/>
    <s v="TT04"/>
    <x v="70"/>
    <x v="11"/>
    <s v="YELLOWEEN"/>
    <m/>
    <s v="12.14"/>
    <n v="400"/>
    <s v="NL2018"/>
    <m/>
    <n v="0"/>
    <n v="0"/>
    <x v="47"/>
    <n v="0"/>
    <x v="1"/>
    <d v="2019-04-15T00:00:00"/>
    <d v="2019-05-19T00:00:00"/>
    <d v="2019-05-19T00:00:00"/>
    <s v="15/4AL"/>
    <m/>
    <m/>
    <m/>
    <m/>
    <n v="0"/>
    <m/>
    <m/>
    <m/>
    <m/>
    <m/>
    <m/>
    <n v="0"/>
    <n v="0"/>
    <n v="0"/>
  </r>
  <r>
    <s v="126B/2019"/>
    <d v="2019-03-15T00:00:00"/>
    <s v="THANH THÚY"/>
    <s v="TT04"/>
    <x v="70"/>
    <x v="28"/>
    <s v="YELLOWEEN"/>
    <m/>
    <s v="14.16"/>
    <n v="300"/>
    <s v="NL2018"/>
    <m/>
    <n v="0"/>
    <n v="0"/>
    <x v="6"/>
    <n v="0"/>
    <x v="1"/>
    <d v="2019-04-15T00:00:00"/>
    <d v="2019-05-19T00:00:00"/>
    <d v="2019-05-19T00:00:00"/>
    <s v="15/4AL"/>
    <m/>
    <m/>
    <m/>
    <m/>
    <n v="0"/>
    <m/>
    <m/>
    <m/>
    <m/>
    <m/>
    <m/>
    <n v="0"/>
    <n v="0"/>
    <n v="0"/>
  </r>
  <r>
    <s v="126B/2019"/>
    <d v="2019-03-15T00:00:00"/>
    <s v="THANH THÚY"/>
    <s v="TT04"/>
    <x v="70"/>
    <x v="22"/>
    <s v="ROBINA"/>
    <m/>
    <s v="16.18"/>
    <n v="200"/>
    <s v="NL2018"/>
    <m/>
    <n v="100"/>
    <n v="20000"/>
    <x v="78"/>
    <n v="102000000"/>
    <x v="0"/>
    <d v="2019-04-15T00:00:00"/>
    <d v="2019-05-19T00:00:00"/>
    <d v="2019-05-19T00:00:00"/>
    <s v="15/4AL"/>
    <m/>
    <m/>
    <m/>
    <d v="2019-05-18T00:00:00"/>
    <n v="20000"/>
    <m/>
    <m/>
    <m/>
    <m/>
    <m/>
    <m/>
    <n v="20000"/>
    <n v="0"/>
    <n v="0"/>
  </r>
  <r>
    <s v="126B/2019"/>
    <d v="2019-03-15T00:00:00"/>
    <s v="THANH THÚY"/>
    <s v="TT04"/>
    <x v="70"/>
    <x v="30"/>
    <s v="MALDANO"/>
    <m/>
    <s v="16.18"/>
    <n v="200"/>
    <s v="NL2018"/>
    <m/>
    <n v="0"/>
    <n v="0"/>
    <x v="18"/>
    <n v="0"/>
    <x v="1"/>
    <d v="2019-05-01T00:00:00"/>
    <d v="2019-06-03T00:00:00"/>
    <d v="2019-06-03T00:00:00"/>
    <s v="T5AL TRỞ ĐI"/>
    <m/>
    <m/>
    <m/>
    <m/>
    <n v="0"/>
    <m/>
    <m/>
    <m/>
    <m/>
    <m/>
    <m/>
    <n v="0"/>
    <n v="0"/>
    <n v="0"/>
  </r>
  <r>
    <s v="126B/2019"/>
    <d v="2019-05-13T00:00:00"/>
    <s v="THANH THÚY"/>
    <s v="TT04"/>
    <x v="70"/>
    <x v="103"/>
    <s v="LARGO"/>
    <m/>
    <s v="16.18"/>
    <n v="200"/>
    <s v="NL2018"/>
    <m/>
    <n v="50"/>
    <n v="10000"/>
    <x v="26"/>
    <n v="58000000"/>
    <x v="0"/>
    <d v="2019-05-05T00:00:00"/>
    <d v="2019-06-07T00:00:00"/>
    <d v="2019-06-07T00:00:00"/>
    <m/>
    <m/>
    <m/>
    <m/>
    <d v="2019-06-08T00:00:00"/>
    <n v="10000"/>
    <m/>
    <m/>
    <m/>
    <m/>
    <m/>
    <m/>
    <n v="10000"/>
    <n v="0"/>
    <n v="0"/>
  </r>
  <r>
    <s v="12B/2019"/>
    <d v="2019-01-05T00:00:00"/>
    <s v="THANH THÚY"/>
    <s v="TT04"/>
    <x v="70"/>
    <x v="61"/>
    <s v="BACARDI"/>
    <m/>
    <s v="15.16"/>
    <n v="250"/>
    <s v="NL2018"/>
    <m/>
    <n v="0"/>
    <n v="0"/>
    <x v="65"/>
    <n v="0"/>
    <x v="1"/>
    <d v="2019-03-15T00:00:00"/>
    <d v="2019-04-19T00:00:00"/>
    <d v="2019-04-19T00:00:00"/>
    <m/>
    <s v="CONT 22/2019"/>
    <m/>
    <m/>
    <m/>
    <n v="0"/>
    <m/>
    <m/>
    <m/>
    <m/>
    <m/>
    <m/>
    <n v="0"/>
    <n v="0"/>
    <n v="0"/>
  </r>
  <r>
    <s v="12B/2019"/>
    <d v="2019-01-05T00:00:00"/>
    <s v="THANH THÚY"/>
    <s v="TT04"/>
    <x v="70"/>
    <x v="30"/>
    <s v="MALDANO"/>
    <m/>
    <s v="16.18"/>
    <n v="200"/>
    <s v="NL2018"/>
    <m/>
    <n v="50"/>
    <n v="10000"/>
    <x v="18"/>
    <n v="50000000"/>
    <x v="0"/>
    <d v="2019-03-15T00:00:00"/>
    <d v="2019-04-19T00:00:00"/>
    <d v="2019-04-19T00:00:00"/>
    <s v="15/3AL"/>
    <s v="CONT 27/2019"/>
    <m/>
    <m/>
    <d v="2019-04-23T00:00:00"/>
    <n v="10000"/>
    <m/>
    <m/>
    <m/>
    <m/>
    <m/>
    <m/>
    <n v="10000"/>
    <n v="0"/>
    <n v="0"/>
  </r>
  <r>
    <s v="126B/2019"/>
    <d v="2019-05-13T00:00:00"/>
    <s v="THANH THÚY"/>
    <s v="TT04"/>
    <x v="70"/>
    <x v="22"/>
    <s v="ROBINA"/>
    <m/>
    <s v="16.18"/>
    <n v="200"/>
    <s v="NL2018"/>
    <m/>
    <n v="100"/>
    <n v="20000"/>
    <x v="44"/>
    <n v="110000000"/>
    <x v="3"/>
    <d v="2019-06-15T00:00:00"/>
    <d v="2019-07-17T00:00:00"/>
    <d v="2019-07-17T00:00:00"/>
    <m/>
    <m/>
    <m/>
    <m/>
    <m/>
    <m/>
    <m/>
    <m/>
    <m/>
    <m/>
    <m/>
    <m/>
    <n v="0"/>
    <n v="20000"/>
    <n v="110000000"/>
  </r>
  <r>
    <s v="126B/2019"/>
    <d v="2019-06-18T00:00:00"/>
    <s v="THANH THÚY"/>
    <s v="TT04"/>
    <x v="70"/>
    <x v="11"/>
    <s v="YELLOWEEN"/>
    <m/>
    <s v="12.14"/>
    <n v="400"/>
    <s v="NL2018"/>
    <m/>
    <n v="15"/>
    <n v="6000"/>
    <x v="14"/>
    <n v="17400000"/>
    <x v="3"/>
    <d v="2019-06-15T00:00:00"/>
    <d v="2019-07-17T00:00:00"/>
    <d v="2019-07-17T00:00:00"/>
    <m/>
    <m/>
    <m/>
    <m/>
    <m/>
    <m/>
    <m/>
    <m/>
    <m/>
    <m/>
    <m/>
    <m/>
    <n v="0"/>
    <n v="6000"/>
    <n v="17400000"/>
  </r>
  <r>
    <s v="126B/2019"/>
    <d v="2019-03-15T00:00:00"/>
    <s v="THANH THÚY"/>
    <s v="TT04"/>
    <x v="70"/>
    <x v="28"/>
    <s v="YELLOWEEN"/>
    <m/>
    <s v="14.16"/>
    <n v="300"/>
    <s v="NL2018"/>
    <m/>
    <n v="167"/>
    <n v="50100"/>
    <x v="6"/>
    <n v="190380000"/>
    <x v="2"/>
    <d v="2019-08-01T00:00:00"/>
    <d v="2019-08-30T00:00:00"/>
    <d v="2019-08-30T00:00:00"/>
    <s v="T5AL TRỞ ĐI"/>
    <m/>
    <m/>
    <m/>
    <m/>
    <n v="0"/>
    <m/>
    <m/>
    <m/>
    <m/>
    <m/>
    <m/>
    <n v="0"/>
    <n v="50100"/>
    <n v="190380000"/>
  </r>
  <r>
    <s v="12B/2019"/>
    <d v="2019-01-05T00:00:00"/>
    <s v="THANH THÚY"/>
    <s v="TT04"/>
    <x v="70"/>
    <x v="11"/>
    <s v="YELLOWEEN"/>
    <m/>
    <s v="12.14"/>
    <n v="400"/>
    <s v="NL2018"/>
    <m/>
    <n v="125"/>
    <n v="50000"/>
    <x v="12"/>
    <n v="130000000"/>
    <x v="0"/>
    <s v="29-Feb-19"/>
    <d v="2019-04-03T00:00:00"/>
    <d v="2019-04-03T00:00:00"/>
    <s v="28/2AL"/>
    <s v="CONT 18/2019"/>
    <m/>
    <m/>
    <d v="2019-04-03T00:00:00"/>
    <n v="50000"/>
    <m/>
    <m/>
    <m/>
    <m/>
    <m/>
    <m/>
    <n v="50000"/>
    <n v="0"/>
    <n v="0"/>
  </r>
  <r>
    <s v="178B/2019"/>
    <d v="2019-04-29T00:00:00"/>
    <s v="THANH THÚY"/>
    <s v="TT04"/>
    <x v="70"/>
    <x v="25"/>
    <s v="CONCADOR"/>
    <m/>
    <s v="18.20"/>
    <n v="150"/>
    <s v="NL2018"/>
    <m/>
    <n v="67"/>
    <n v="10050"/>
    <x v="27"/>
    <n v="80400000"/>
    <x v="2"/>
    <d v="2019-09-01T00:00:00"/>
    <d v="2019-09-29T00:00:00"/>
    <d v="2019-09-29T00:00:00"/>
    <s v="TẾT"/>
    <m/>
    <m/>
    <m/>
    <m/>
    <m/>
    <m/>
    <m/>
    <m/>
    <m/>
    <m/>
    <m/>
    <n v="0"/>
    <n v="10050"/>
    <n v="80400000"/>
  </r>
  <r>
    <s v="178B/2019"/>
    <d v="2019-04-29T00:00:00"/>
    <s v="THANH THÚY"/>
    <s v="TT04"/>
    <x v="70"/>
    <x v="136"/>
    <s v="PALAZZO"/>
    <m/>
    <s v="16.18"/>
    <n v="200"/>
    <s v="NL2018"/>
    <m/>
    <n v="50"/>
    <n v="10000"/>
    <x v="32"/>
    <n v="68000000"/>
    <x v="2"/>
    <d v="2019-09-01T00:00:00"/>
    <d v="2019-09-29T00:00:00"/>
    <d v="2019-09-29T00:00:00"/>
    <s v="TẾT"/>
    <m/>
    <m/>
    <m/>
    <m/>
    <m/>
    <m/>
    <m/>
    <m/>
    <m/>
    <m/>
    <m/>
    <n v="0"/>
    <n v="10000"/>
    <n v="68000000"/>
  </r>
  <r>
    <s v="126B/2019"/>
    <d v="2019-03-15T00:00:00"/>
    <s v="THANH THÚY"/>
    <s v="TT04"/>
    <x v="70"/>
    <x v="22"/>
    <s v="ROBINA"/>
    <m/>
    <s v="16.18"/>
    <n v="200"/>
    <s v="NL2018"/>
    <m/>
    <n v="200"/>
    <n v="40000"/>
    <x v="18"/>
    <n v="200000000"/>
    <x v="2"/>
    <m/>
    <s v=""/>
    <s v=""/>
    <s v="T3AL TRỞ ĐI"/>
    <m/>
    <m/>
    <m/>
    <m/>
    <n v="0"/>
    <m/>
    <m/>
    <m/>
    <m/>
    <m/>
    <m/>
    <n v="0"/>
    <n v="40000"/>
    <n v="200000000"/>
  </r>
  <r>
    <s v="46B/2019"/>
    <d v="2019-02-13T00:00:00"/>
    <s v="THANH THÚY"/>
    <s v="TB05"/>
    <x v="71"/>
    <x v="62"/>
    <s v="BACARDI"/>
    <m/>
    <s v="15.16"/>
    <n v="300"/>
    <s v="NL2018"/>
    <m/>
    <n v="17"/>
    <n v="5100"/>
    <x v="65"/>
    <n v="22287000"/>
    <x v="0"/>
    <d v="2019-02-15T00:00:00"/>
    <d v="2019-03-20T00:00:00"/>
    <d v="2019-03-20T00:00:00"/>
    <s v="15/2AL"/>
    <s v="CONT 11/2019"/>
    <m/>
    <m/>
    <d v="2019-03-21T00:00:00"/>
    <n v="5100"/>
    <m/>
    <m/>
    <m/>
    <m/>
    <m/>
    <m/>
    <n v="5100"/>
    <n v="0"/>
    <n v="0"/>
  </r>
  <r>
    <s v="46B/2019"/>
    <d v="2019-02-13T00:00:00"/>
    <s v="THANH THÚY"/>
    <s v="TB05"/>
    <x v="71"/>
    <x v="73"/>
    <s v="YELLOWEEN"/>
    <m/>
    <s v="14.16"/>
    <n v="300"/>
    <s v="NL2017"/>
    <m/>
    <n v="17"/>
    <n v="5100"/>
    <x v="17"/>
    <n v="15300000"/>
    <x v="0"/>
    <d v="2019-02-08T00:00:00"/>
    <d v="2019-03-13T00:00:00"/>
    <d v="2019-03-13T00:00:00"/>
    <s v="7/2AL"/>
    <m/>
    <m/>
    <m/>
    <d v="2019-03-21T00:00:00"/>
    <n v="5100"/>
    <m/>
    <m/>
    <m/>
    <m/>
    <m/>
    <m/>
    <n v="5100"/>
    <n v="0"/>
    <n v="0"/>
  </r>
  <r>
    <s v="46B/2019"/>
    <d v="2019-02-13T00:00:00"/>
    <s v="THANH THÚY"/>
    <s v="TB05"/>
    <x v="71"/>
    <x v="28"/>
    <s v="YELLOWEEN"/>
    <m/>
    <s v="14.16"/>
    <n v="300"/>
    <s v="NL2018"/>
    <m/>
    <n v="14"/>
    <n v="4200"/>
    <x v="6"/>
    <n v="15960000"/>
    <x v="0"/>
    <d v="2019-04-17T00:00:00"/>
    <d v="2019-05-21T00:00:00"/>
    <d v="2019-05-21T00:00:00"/>
    <s v="17/4AL"/>
    <m/>
    <m/>
    <m/>
    <d v="2019-06-01T00:00:00"/>
    <n v="4200"/>
    <m/>
    <m/>
    <m/>
    <m/>
    <m/>
    <m/>
    <n v="4200"/>
    <n v="0"/>
    <n v="0"/>
  </r>
  <r>
    <s v="46B/2019"/>
    <d v="2019-02-13T00:00:00"/>
    <s v="THANH THÚY"/>
    <s v="TB05"/>
    <x v="71"/>
    <x v="22"/>
    <s v="ROBINA"/>
    <m/>
    <s v="16.18"/>
    <n v="200"/>
    <s v="NL2018"/>
    <m/>
    <n v="25"/>
    <n v="5000"/>
    <x v="11"/>
    <n v="27000000"/>
    <x v="0"/>
    <d v="2019-04-17T00:00:00"/>
    <d v="2019-05-21T00:00:00"/>
    <d v="2019-05-21T00:00:00"/>
    <s v="17/4AL"/>
    <m/>
    <m/>
    <m/>
    <d v="2019-06-01T00:00:00"/>
    <n v="5000"/>
    <m/>
    <m/>
    <m/>
    <m/>
    <m/>
    <m/>
    <n v="5000"/>
    <n v="0"/>
    <n v="0"/>
  </r>
  <r>
    <s v="46B/2019"/>
    <d v="2019-06-04T00:00:00"/>
    <s v="THANH THÚY"/>
    <s v="TB05"/>
    <x v="71"/>
    <x v="28"/>
    <s v="YELLOWEEN"/>
    <m/>
    <s v="14.16"/>
    <n v="300"/>
    <s v="NL2018"/>
    <m/>
    <n v="2"/>
    <n v="600"/>
    <x v="56"/>
    <n v="2340000"/>
    <x v="0"/>
    <d v="2019-04-17T00:00:00"/>
    <d v="2019-05-21T00:00:00"/>
    <d v="2019-05-21T00:00:00"/>
    <m/>
    <m/>
    <m/>
    <m/>
    <d v="2019-06-04T00:00:00"/>
    <n v="600"/>
    <m/>
    <m/>
    <m/>
    <m/>
    <m/>
    <m/>
    <n v="600"/>
    <n v="0"/>
    <n v="0"/>
  </r>
  <r>
    <s v="78B/2019"/>
    <d v="2019-02-25T00:00:00"/>
    <s v="THANH THÚY"/>
    <s v="NT08"/>
    <x v="72"/>
    <x v="11"/>
    <s v="YELLOWEEN"/>
    <m/>
    <s v="12.14"/>
    <n v="400"/>
    <s v="NL2018"/>
    <m/>
    <n v="63"/>
    <n v="25200"/>
    <x v="12"/>
    <n v="65520000"/>
    <x v="0"/>
    <d v="2019-03-15T00:00:00"/>
    <d v="2019-04-19T00:00:00"/>
    <d v="2019-04-19T00:00:00"/>
    <s v="15/3AL"/>
    <s v="CONT 24/2019"/>
    <m/>
    <m/>
    <d v="2019-04-25T00:00:00"/>
    <n v="15600"/>
    <d v="2019-05-27T00:00:00"/>
    <n v="4800"/>
    <d v="2019-06-04T00:00:00"/>
    <n v="4800"/>
    <m/>
    <m/>
    <n v="25200"/>
    <n v="0"/>
    <n v="0"/>
  </r>
  <r>
    <s v="78B/2019"/>
    <d v="2019-02-25T00:00:00"/>
    <s v="THANH THÚY"/>
    <s v="NT08"/>
    <x v="72"/>
    <x v="15"/>
    <s v="CONCADOR"/>
    <m/>
    <s v="16.18"/>
    <n v="200"/>
    <s v="NL2018"/>
    <m/>
    <n v="200"/>
    <n v="40000"/>
    <x v="18"/>
    <n v="200000000"/>
    <x v="0"/>
    <d v="2019-03-15T00:00:00"/>
    <d v="2019-04-19T00:00:00"/>
    <d v="2019-04-19T00:00:00"/>
    <s v="15/3AL"/>
    <s v="CONT 21/2019"/>
    <m/>
    <m/>
    <d v="2019-04-20T00:00:00"/>
    <n v="15000"/>
    <d v="2019-05-17T00:00:00"/>
    <n v="25000"/>
    <m/>
    <m/>
    <m/>
    <m/>
    <n v="40000"/>
    <n v="0"/>
    <n v="0"/>
  </r>
  <r>
    <s v="78B/2019"/>
    <d v="2019-02-25T00:00:00"/>
    <s v="THANH THÚY"/>
    <s v="NT08"/>
    <x v="72"/>
    <x v="15"/>
    <s v="CONCADOR"/>
    <m/>
    <s v="16.18"/>
    <n v="200"/>
    <s v="NL2018"/>
    <m/>
    <n v="50"/>
    <n v="10000"/>
    <x v="18"/>
    <n v="50000000"/>
    <x v="0"/>
    <d v="2019-04-17T00:00:00"/>
    <d v="2019-05-21T00:00:00"/>
    <d v="2019-05-21T00:00:00"/>
    <m/>
    <m/>
    <m/>
    <m/>
    <d v="2019-05-27T00:00:00"/>
    <n v="5000"/>
    <d v="2019-06-04T00:00:00"/>
    <n v="5000"/>
    <m/>
    <m/>
    <m/>
    <m/>
    <n v="10000"/>
    <n v="0"/>
    <n v="0"/>
  </r>
  <r>
    <s v="78B/2019"/>
    <d v="2019-02-25T00:00:00"/>
    <s v="THANH THÚY"/>
    <s v="NT08"/>
    <x v="72"/>
    <x v="22"/>
    <s v="ROBINA"/>
    <m/>
    <s v="16.18"/>
    <n v="200"/>
    <s v="NL2018"/>
    <m/>
    <n v="75"/>
    <n v="15000"/>
    <x v="23"/>
    <n v="72000000"/>
    <x v="0"/>
    <d v="2019-03-15T00:00:00"/>
    <d v="2019-04-19T00:00:00"/>
    <d v="2019-04-19T00:00:00"/>
    <s v="15/3AL"/>
    <s v="CONT 26/2019"/>
    <m/>
    <m/>
    <d v="2019-04-25T00:00:00"/>
    <n v="15000"/>
    <m/>
    <m/>
    <m/>
    <m/>
    <m/>
    <m/>
    <n v="15000"/>
    <n v="0"/>
    <n v="0"/>
  </r>
  <r>
    <s v="78B/2019"/>
    <d v="2019-02-25T00:00:00"/>
    <s v="THANH THÚY"/>
    <s v="NT08"/>
    <x v="72"/>
    <x v="22"/>
    <s v="ROBINA"/>
    <m/>
    <s v="16.18"/>
    <n v="200"/>
    <s v="NL2018"/>
    <m/>
    <n v="75"/>
    <n v="15000"/>
    <x v="23"/>
    <n v="72000000"/>
    <x v="0"/>
    <d v="2019-04-17T00:00:00"/>
    <d v="2019-05-21T00:00:00"/>
    <d v="2019-05-21T00:00:00"/>
    <m/>
    <m/>
    <m/>
    <m/>
    <d v="2019-05-27T00:00:00"/>
    <n v="5000"/>
    <d v="2019-06-04T00:00:00"/>
    <n v="10000"/>
    <m/>
    <m/>
    <m/>
    <m/>
    <n v="15000"/>
    <n v="0"/>
    <n v="0"/>
  </r>
  <r>
    <s v="78B/2019"/>
    <d v="2019-02-25T00:00:00"/>
    <s v="THANH THÚY"/>
    <s v="NT08"/>
    <x v="72"/>
    <x v="34"/>
    <s v="TARRANGO"/>
    <m/>
    <s v="16.18"/>
    <n v="200"/>
    <s v="NL2018"/>
    <m/>
    <n v="250"/>
    <n v="50000"/>
    <x v="44"/>
    <n v="275000000"/>
    <x v="0"/>
    <d v="2019-03-15T00:00:00"/>
    <d v="2019-04-19T00:00:00"/>
    <d v="2019-04-19T00:00:00"/>
    <s v="15/3AL"/>
    <s v="CONT 26/2019"/>
    <m/>
    <m/>
    <d v="2019-04-25T00:00:00"/>
    <n v="20000"/>
    <d v="2019-05-27T00:00:00"/>
    <n v="20000"/>
    <d v="2019-06-04T00:00:00"/>
    <n v="10000"/>
    <m/>
    <m/>
    <n v="50000"/>
    <n v="0"/>
    <n v="0"/>
  </r>
  <r>
    <s v="78B/2019"/>
    <d v="2019-02-25T00:00:00"/>
    <s v="THANH THÚY"/>
    <s v="NT08"/>
    <x v="72"/>
    <x v="28"/>
    <s v="YELLOWEEN"/>
    <m/>
    <s v="14.16"/>
    <n v="300"/>
    <s v="NL2018"/>
    <m/>
    <n v="84"/>
    <n v="25200"/>
    <x v="25"/>
    <n v="90720000"/>
    <x v="0"/>
    <d v="2019-03-15T00:00:00"/>
    <d v="2019-04-19T00:00:00"/>
    <d v="2019-04-19T00:00:00"/>
    <s v="15/3AL"/>
    <s v="CONT 20/2019"/>
    <m/>
    <m/>
    <d v="2019-04-25T00:00:00"/>
    <n v="15300"/>
    <d v="2019-05-27T00:00:00"/>
    <n v="5100"/>
    <d v="2019-06-04T00:00:00"/>
    <n v="4800"/>
    <m/>
    <m/>
    <n v="25200"/>
    <n v="0"/>
    <n v="0"/>
  </r>
  <r>
    <s v="78B/2019"/>
    <d v="2019-04-25T00:00:00"/>
    <s v="THANH THÚY"/>
    <s v="NT08"/>
    <x v="72"/>
    <x v="22"/>
    <s v="ROBINA"/>
    <m/>
    <s v="16.18"/>
    <n v="200"/>
    <s v="NL2018"/>
    <m/>
    <n v="50"/>
    <n v="10000"/>
    <x v="44"/>
    <n v="55000000"/>
    <x v="4"/>
    <d v="2019-05-02T00:00:00"/>
    <d v="2019-06-04T00:00:00"/>
    <d v="2019-06-04T00:00:00"/>
    <s v="02/5AL"/>
    <m/>
    <m/>
    <m/>
    <d v="2019-06-17T00:00:00"/>
    <n v="5000"/>
    <m/>
    <m/>
    <m/>
    <m/>
    <m/>
    <m/>
    <n v="5000"/>
    <n v="5000"/>
    <n v="27500000"/>
  </r>
  <r>
    <s v="78B/2019"/>
    <d v="2019-04-25T00:00:00"/>
    <s v="THANH THÚY"/>
    <s v="NT08"/>
    <x v="72"/>
    <x v="28"/>
    <s v="YELLOWEEN"/>
    <m/>
    <s v="14.16"/>
    <n v="300"/>
    <s v="NL2018"/>
    <m/>
    <n v="83"/>
    <n v="24900"/>
    <x v="6"/>
    <n v="94620000"/>
    <x v="4"/>
    <d v="2019-05-02T00:00:00"/>
    <d v="2019-06-04T00:00:00"/>
    <d v="2019-06-04T00:00:00"/>
    <s v="02/5AL"/>
    <m/>
    <m/>
    <m/>
    <d v="2019-06-17T00:00:00"/>
    <n v="15000"/>
    <m/>
    <m/>
    <m/>
    <m/>
    <m/>
    <m/>
    <n v="15000"/>
    <n v="9900"/>
    <n v="37620000"/>
  </r>
  <r>
    <s v="78B/2019"/>
    <d v="2019-04-25T00:00:00"/>
    <s v="THANH THÚY"/>
    <s v="NT08"/>
    <x v="72"/>
    <x v="28"/>
    <s v="YELLOWEEN"/>
    <m/>
    <s v="14.16"/>
    <n v="300"/>
    <s v="NL2018"/>
    <m/>
    <n v="17"/>
    <n v="5100"/>
    <x v="6"/>
    <n v="19380000"/>
    <x v="3"/>
    <d v="2019-05-18T00:00:00"/>
    <d v="2019-06-20T00:00:00"/>
    <d v="2019-06-20T00:00:00"/>
    <m/>
    <m/>
    <m/>
    <m/>
    <m/>
    <m/>
    <m/>
    <m/>
    <m/>
    <m/>
    <m/>
    <m/>
    <n v="0"/>
    <n v="5100"/>
    <n v="19380000"/>
  </r>
  <r>
    <s v="78B/2019"/>
    <d v="2019-04-25T00:00:00"/>
    <s v="THANH THÚY"/>
    <s v="NT08"/>
    <x v="72"/>
    <x v="10"/>
    <s v="ARVANDRUD"/>
    <m/>
    <s v="16.18"/>
    <n v="200"/>
    <s v="NL2018"/>
    <m/>
    <n v="100"/>
    <n v="20000"/>
    <x v="24"/>
    <n v="114000000"/>
    <x v="4"/>
    <d v="2019-04-17T00:00:00"/>
    <d v="2019-05-21T00:00:00"/>
    <d v="2019-05-21T00:00:00"/>
    <s v="02/5AL"/>
    <m/>
    <m/>
    <m/>
    <d v="2019-06-17T00:00:00"/>
    <n v="10000"/>
    <m/>
    <m/>
    <m/>
    <m/>
    <m/>
    <m/>
    <n v="10000"/>
    <n v="10000"/>
    <n v="57000000"/>
  </r>
  <r>
    <s v="78B/2019"/>
    <d v="2019-04-25T00:00:00"/>
    <s v="THANH THÚY"/>
    <s v="NT08"/>
    <x v="72"/>
    <x v="10"/>
    <s v="ARVANDRUD"/>
    <m/>
    <s v="16.18"/>
    <n v="200"/>
    <s v="NL2018"/>
    <m/>
    <n v="50"/>
    <n v="10000"/>
    <x v="24"/>
    <n v="57000000"/>
    <x v="4"/>
    <d v="2019-05-02T00:00:00"/>
    <d v="2019-06-04T00:00:00"/>
    <d v="2019-06-04T00:00:00"/>
    <s v="02/5AL"/>
    <m/>
    <m/>
    <m/>
    <m/>
    <m/>
    <m/>
    <m/>
    <m/>
    <m/>
    <m/>
    <m/>
    <n v="0"/>
    <n v="10000"/>
    <n v="57000000"/>
  </r>
  <r>
    <s v="78B/2019"/>
    <d v="2019-04-25T00:00:00"/>
    <s v="THANH THÚY"/>
    <s v="NT08"/>
    <x v="72"/>
    <x v="30"/>
    <s v="MALDANO"/>
    <m/>
    <s v="16.18"/>
    <n v="200"/>
    <s v="NL2018"/>
    <m/>
    <n v="100"/>
    <n v="20000"/>
    <x v="11"/>
    <n v="108000000"/>
    <x v="3"/>
    <d v="2019-05-12T00:00:00"/>
    <d v="2019-06-14T00:00:00"/>
    <d v="2019-06-14T00:00:00"/>
    <s v="02/5AL"/>
    <m/>
    <m/>
    <m/>
    <d v="2019-06-17T00:00:00"/>
    <n v="5000"/>
    <m/>
    <m/>
    <m/>
    <m/>
    <m/>
    <m/>
    <n v="5000"/>
    <n v="15000"/>
    <n v="81000000"/>
  </r>
  <r>
    <s v="78B/2019"/>
    <d v="2019-04-25T00:00:00"/>
    <s v="THANH THÚY"/>
    <s v="NT08"/>
    <x v="72"/>
    <x v="30"/>
    <s v="MALDANO"/>
    <m/>
    <s v="16.18"/>
    <n v="200"/>
    <s v="NL2018"/>
    <m/>
    <n v="50"/>
    <n v="10000"/>
    <x v="11"/>
    <n v="54000000"/>
    <x v="3"/>
    <d v="2019-06-15T00:00:00"/>
    <d v="2019-07-17T00:00:00"/>
    <d v="2019-07-17T00:00:00"/>
    <s v="02/5AL"/>
    <m/>
    <m/>
    <m/>
    <m/>
    <m/>
    <m/>
    <m/>
    <m/>
    <m/>
    <m/>
    <m/>
    <n v="0"/>
    <n v="10000"/>
    <n v="54000000"/>
  </r>
  <r>
    <s v="78B/2019"/>
    <d v="2019-06-11T00:00:00"/>
    <s v="THANH THÚY"/>
    <s v="NT08"/>
    <x v="72"/>
    <x v="28"/>
    <s v="YELLOWEEN"/>
    <m/>
    <s v="14.16"/>
    <n v="300"/>
    <s v="NL2018"/>
    <m/>
    <n v="84"/>
    <n v="25200"/>
    <x v="119"/>
    <n v="98784000"/>
    <x v="2"/>
    <d v="2019-06-29T00:00:00"/>
    <d v="2019-07-31T00:00:00"/>
    <d v="2019-07-31T00:00:00"/>
    <m/>
    <m/>
    <m/>
    <m/>
    <m/>
    <m/>
    <m/>
    <m/>
    <m/>
    <m/>
    <m/>
    <m/>
    <n v="0"/>
    <n v="25200"/>
    <n v="98784000"/>
  </r>
  <r>
    <s v="78B/2019"/>
    <d v="2019-06-11T00:00:00"/>
    <s v="THANH THÚY"/>
    <s v="NT08"/>
    <x v="72"/>
    <x v="28"/>
    <s v="YELLOWEEN"/>
    <m/>
    <s v="14.16"/>
    <n v="300"/>
    <s v="NL2018"/>
    <m/>
    <n v="84"/>
    <n v="25200"/>
    <x v="120"/>
    <n v="101808000"/>
    <x v="2"/>
    <d v="2019-08-15T00:00:00"/>
    <d v="2019-09-13T00:00:00"/>
    <d v="2019-09-13T00:00:00"/>
    <m/>
    <m/>
    <m/>
    <m/>
    <m/>
    <m/>
    <m/>
    <m/>
    <m/>
    <m/>
    <m/>
    <m/>
    <n v="0"/>
    <n v="25200"/>
    <n v="101808000"/>
  </r>
  <r>
    <s v="78B/2019"/>
    <d v="2019-06-11T00:00:00"/>
    <s v="THANH THÚY"/>
    <s v="NT08"/>
    <x v="72"/>
    <x v="25"/>
    <s v="CONCADOR"/>
    <m/>
    <s v="18.20"/>
    <n v="150"/>
    <s v="NL2018"/>
    <m/>
    <n v="167"/>
    <n v="25050"/>
    <x v="80"/>
    <n v="182865000"/>
    <x v="2"/>
    <d v="2019-06-29T00:00:00"/>
    <d v="2019-07-31T00:00:00"/>
    <d v="2019-07-31T00:00:00"/>
    <m/>
    <m/>
    <m/>
    <m/>
    <m/>
    <m/>
    <m/>
    <m/>
    <m/>
    <m/>
    <m/>
    <m/>
    <n v="0"/>
    <n v="25050"/>
    <n v="182865000"/>
  </r>
  <r>
    <s v="78B/2019"/>
    <d v="2019-04-19T00:00:00"/>
    <s v="THANH THÚY"/>
    <s v="NT08"/>
    <x v="72"/>
    <x v="137"/>
    <s v="COMPETITION CHILE"/>
    <m/>
    <s v="20.22"/>
    <n v="125"/>
    <s v="CL2019"/>
    <m/>
    <n v="320"/>
    <n v="40000"/>
    <x v="29"/>
    <n v="500000000"/>
    <x v="2"/>
    <d v="2019-09-01T00:00:00"/>
    <d v="2019-09-29T00:00:00"/>
    <d v="2019-09-29T00:00:00"/>
    <s v="TẾT"/>
    <m/>
    <m/>
    <m/>
    <m/>
    <m/>
    <m/>
    <m/>
    <m/>
    <m/>
    <m/>
    <m/>
    <n v="0"/>
    <n v="40000"/>
    <n v="500000000"/>
  </r>
  <r>
    <s v="78B/2019"/>
    <d v="2019-04-19T00:00:00"/>
    <s v="THANH THÚY"/>
    <s v="NT08"/>
    <x v="72"/>
    <x v="6"/>
    <s v="CONCADOR "/>
    <m/>
    <s v="20.22"/>
    <n v="125"/>
    <s v="NL2018"/>
    <m/>
    <n v="480"/>
    <n v="60000"/>
    <x v="7"/>
    <n v="636000000"/>
    <x v="2"/>
    <d v="2019-09-01T00:00:00"/>
    <d v="2019-09-29T00:00:00"/>
    <d v="2019-09-29T00:00:00"/>
    <s v="TẾT"/>
    <m/>
    <m/>
    <m/>
    <m/>
    <m/>
    <m/>
    <m/>
    <m/>
    <m/>
    <m/>
    <m/>
    <n v="0"/>
    <n v="60000"/>
    <n v="636000000"/>
  </r>
  <r>
    <s v="78B/2019"/>
    <d v="2019-04-19T00:00:00"/>
    <s v="THANH THÚY"/>
    <s v="NT08"/>
    <x v="72"/>
    <x v="138"/>
    <s v="BACARDI"/>
    <m/>
    <s v="22.24"/>
    <n v="85"/>
    <s v="NL2018"/>
    <m/>
    <n v="85"/>
    <n v="7225"/>
    <x v="121"/>
    <n v="83810000"/>
    <x v="2"/>
    <d v="2019-09-01T00:00:00"/>
    <d v="2019-09-29T00:00:00"/>
    <d v="2019-09-29T00:00:00"/>
    <m/>
    <m/>
    <m/>
    <m/>
    <m/>
    <m/>
    <m/>
    <m/>
    <m/>
    <m/>
    <m/>
    <m/>
    <n v="0"/>
    <n v="7225"/>
    <n v="83810000"/>
  </r>
  <r>
    <s v="78B/2019"/>
    <d v="2019-04-19T00:00:00"/>
    <s v="THANH THÚY"/>
    <s v="NT08"/>
    <x v="72"/>
    <x v="139"/>
    <s v="BACARDI"/>
    <m/>
    <s v="22.24"/>
    <n v="100"/>
    <s v="NL2018"/>
    <m/>
    <n v="80"/>
    <n v="8000"/>
    <x v="121"/>
    <n v="92800000"/>
    <x v="2"/>
    <d v="2019-09-01T00:00:00"/>
    <d v="2019-09-29T00:00:00"/>
    <d v="2019-09-29T00:00:00"/>
    <s v="TẾT"/>
    <m/>
    <m/>
    <m/>
    <m/>
    <m/>
    <m/>
    <m/>
    <m/>
    <m/>
    <m/>
    <m/>
    <n v="0"/>
    <n v="8000"/>
    <n v="92800000"/>
  </r>
  <r>
    <s v="55B/2019"/>
    <d v="2019-02-16T00:00:00"/>
    <s v="THANH THÚY"/>
    <s v="QT03"/>
    <x v="73"/>
    <x v="46"/>
    <s v="CONCAD'OR"/>
    <m/>
    <s v="22.24"/>
    <n v="100"/>
    <s v="NL2018"/>
    <m/>
    <n v="0"/>
    <n v="0"/>
    <x v="29"/>
    <n v="0"/>
    <x v="1"/>
    <d v="2019-09-01T00:00:00"/>
    <d v="2019-09-29T00:00:00"/>
    <d v="2019-09-29T00:00:00"/>
    <s v="TẾT"/>
    <m/>
    <m/>
    <m/>
    <m/>
    <n v="0"/>
    <m/>
    <m/>
    <m/>
    <m/>
    <m/>
    <m/>
    <n v="0"/>
    <n v="0"/>
    <n v="0"/>
  </r>
  <r>
    <s v="55B/2019"/>
    <d v="2019-02-16T00:00:00"/>
    <s v="THANH THÚY"/>
    <s v="QT03"/>
    <x v="73"/>
    <x v="63"/>
    <s v="MANISSA"/>
    <m/>
    <s v="24.26"/>
    <n v="80"/>
    <s v="NL2018"/>
    <m/>
    <n v="0"/>
    <n v="0"/>
    <x v="30"/>
    <n v="0"/>
    <x v="1"/>
    <d v="2019-09-01T00:00:00"/>
    <d v="2019-09-29T00:00:00"/>
    <d v="2019-09-29T00:00:00"/>
    <s v="TẾT"/>
    <m/>
    <m/>
    <m/>
    <m/>
    <n v="0"/>
    <m/>
    <m/>
    <m/>
    <m/>
    <m/>
    <m/>
    <n v="0"/>
    <n v="0"/>
    <n v="0"/>
  </r>
  <r>
    <s v="55B/2019"/>
    <d v="2019-02-16T00:00:00"/>
    <s v="THANH THÚY"/>
    <s v="QT03"/>
    <x v="73"/>
    <x v="26"/>
    <s v="ROBINA"/>
    <m/>
    <s v="22.24"/>
    <n v="100"/>
    <s v="NL2018"/>
    <m/>
    <n v="0"/>
    <n v="0"/>
    <x v="29"/>
    <n v="0"/>
    <x v="1"/>
    <d v="2019-09-01T00:00:00"/>
    <d v="2019-09-29T00:00:00"/>
    <d v="2019-09-29T00:00:00"/>
    <s v="TẾT"/>
    <m/>
    <m/>
    <m/>
    <m/>
    <n v="0"/>
    <m/>
    <m/>
    <m/>
    <m/>
    <m/>
    <m/>
    <n v="0"/>
    <n v="0"/>
    <n v="0"/>
  </r>
  <r>
    <s v="35A/2019"/>
    <d v="2019-02-09T00:00:00"/>
    <s v="THANH THÚY"/>
    <s v="QT01"/>
    <x v="74"/>
    <x v="15"/>
    <s v="CONCADOR "/>
    <m/>
    <s v="16.18"/>
    <n v="200"/>
    <s v="NL2018"/>
    <m/>
    <n v="0"/>
    <n v="0"/>
    <x v="0"/>
    <n v="0"/>
    <x v="1"/>
    <d v="2019-03-15T00:00:00"/>
    <d v="2019-04-19T00:00:00"/>
    <d v="2019-04-19T00:00:00"/>
    <s v="15/3AL"/>
    <m/>
    <m/>
    <m/>
    <m/>
    <m/>
    <m/>
    <m/>
    <m/>
    <m/>
    <m/>
    <m/>
    <n v="0"/>
    <n v="0"/>
    <n v="0"/>
  </r>
  <r>
    <s v="35A/2019"/>
    <d v="2019-02-09T00:00:00"/>
    <s v="THANH THÚY"/>
    <s v="QT01"/>
    <x v="74"/>
    <x v="3"/>
    <s v="PAVIA"/>
    <m/>
    <s v="12.14"/>
    <n v="400"/>
    <s v="NL2018"/>
    <m/>
    <n v="13"/>
    <n v="5200"/>
    <x v="4"/>
    <n v="14560000"/>
    <x v="0"/>
    <d v="2019-01-15T00:00:00"/>
    <d v="2019-02-19T00:00:00"/>
    <d v="2019-02-19T00:00:00"/>
    <s v="15/1AL"/>
    <m/>
    <m/>
    <m/>
    <d v="2019-02-20T00:00:00"/>
    <n v="5200"/>
    <m/>
    <m/>
    <m/>
    <m/>
    <m/>
    <m/>
    <n v="5200"/>
    <n v="0"/>
    <n v="0"/>
  </r>
  <r>
    <s v="35A/2019"/>
    <d v="2019-02-09T00:00:00"/>
    <s v="THANH THÚY"/>
    <s v="QT01"/>
    <x v="74"/>
    <x v="11"/>
    <s v="YELLOWEEN"/>
    <m/>
    <s v="12.14"/>
    <n v="400"/>
    <s v="NL2018"/>
    <m/>
    <n v="13"/>
    <n v="5200"/>
    <x v="12"/>
    <n v="13520000"/>
    <x v="0"/>
    <d v="2019-01-15T00:00:00"/>
    <d v="2019-02-19T00:00:00"/>
    <d v="2019-02-19T00:00:00"/>
    <s v="15/1AL"/>
    <m/>
    <m/>
    <m/>
    <d v="2019-02-20T00:00:00"/>
    <n v="5200"/>
    <m/>
    <m/>
    <m/>
    <m/>
    <m/>
    <m/>
    <n v="5200"/>
    <n v="0"/>
    <n v="0"/>
  </r>
  <r>
    <s v="35A/2019"/>
    <d v="2019-02-09T00:00:00"/>
    <s v="THANH THÚY"/>
    <s v="QT01"/>
    <x v="74"/>
    <x v="12"/>
    <s v="AMATERAS"/>
    <m/>
    <s v="14.16"/>
    <n v="300"/>
    <s v="NL2018"/>
    <m/>
    <n v="17"/>
    <n v="5100"/>
    <x v="1"/>
    <n v="21420000"/>
    <x v="0"/>
    <d v="2019-02-15T00:00:00"/>
    <d v="2019-03-20T00:00:00"/>
    <d v="2019-03-20T00:00:00"/>
    <s v="15/2AL"/>
    <s v="CONT 9/2019"/>
    <m/>
    <m/>
    <d v="2019-03-19T00:00:00"/>
    <n v="5100"/>
    <m/>
    <m/>
    <m/>
    <m/>
    <m/>
    <m/>
    <n v="5100"/>
    <n v="0"/>
    <n v="0"/>
  </r>
  <r>
    <s v="35A/2019"/>
    <d v="2019-02-09T00:00:00"/>
    <s v="THANH THÚY"/>
    <s v="QT01"/>
    <x v="74"/>
    <x v="32"/>
    <s v="BACARDI"/>
    <m/>
    <s v="16.18"/>
    <n v="200"/>
    <s v="NL2018"/>
    <m/>
    <n v="50"/>
    <n v="10000"/>
    <x v="42"/>
    <n v="63000000"/>
    <x v="0"/>
    <d v="2019-02-15T00:00:00"/>
    <d v="2019-03-20T00:00:00"/>
    <d v="2019-03-20T00:00:00"/>
    <s v="15/2AL"/>
    <s v="CONT 11/2019"/>
    <m/>
    <m/>
    <d v="2019-03-19T00:00:00"/>
    <n v="10000"/>
    <m/>
    <m/>
    <m/>
    <m/>
    <m/>
    <m/>
    <n v="10000"/>
    <n v="0"/>
    <n v="0"/>
  </r>
  <r>
    <s v="35A/2019"/>
    <d v="2019-02-09T00:00:00"/>
    <s v="THANH THÚY"/>
    <s v="QT01"/>
    <x v="74"/>
    <x v="3"/>
    <s v="PAVIA"/>
    <m/>
    <s v="12.14"/>
    <n v="400"/>
    <s v="NL2018"/>
    <m/>
    <n v="50"/>
    <n v="20000"/>
    <x v="4"/>
    <n v="56000000"/>
    <x v="0"/>
    <d v="2019-02-15T00:00:00"/>
    <d v="2019-03-20T00:00:00"/>
    <d v="2019-03-20T00:00:00"/>
    <s v="15/2AL"/>
    <s v="CONT 9/2019"/>
    <m/>
    <m/>
    <d v="2019-03-19T00:00:00"/>
    <n v="20000"/>
    <m/>
    <m/>
    <m/>
    <m/>
    <m/>
    <m/>
    <n v="20000"/>
    <n v="0"/>
    <n v="0"/>
  </r>
  <r>
    <s v="35A/2019"/>
    <d v="2019-02-09T00:00:00"/>
    <s v="THANH THÚY"/>
    <s v="QT01"/>
    <x v="74"/>
    <x v="47"/>
    <s v="ROBINA"/>
    <m/>
    <s v="18.20"/>
    <n v="150"/>
    <s v="NL2018"/>
    <m/>
    <n v="67"/>
    <n v="10050"/>
    <x v="42"/>
    <n v="63315000"/>
    <x v="0"/>
    <d v="2019-02-15T00:00:00"/>
    <d v="2019-03-20T00:00:00"/>
    <d v="2019-03-20T00:00:00"/>
    <s v="15/2AL"/>
    <s v="CONT 11/2019"/>
    <m/>
    <m/>
    <d v="2019-03-19T00:00:00"/>
    <n v="10050"/>
    <m/>
    <m/>
    <m/>
    <m/>
    <m/>
    <m/>
    <n v="10050"/>
    <n v="0"/>
    <n v="0"/>
  </r>
  <r>
    <s v="35A/2019"/>
    <d v="2019-02-09T00:00:00"/>
    <s v="THANH THÚY"/>
    <s v="QT01"/>
    <x v="74"/>
    <x v="31"/>
    <s v="TARRANGO"/>
    <m/>
    <s v="14.16"/>
    <n v="300"/>
    <s v="NL2018"/>
    <m/>
    <n v="17"/>
    <n v="5100"/>
    <x v="13"/>
    <n v="22950000"/>
    <x v="0"/>
    <d v="2019-02-15T00:00:00"/>
    <d v="2019-03-20T00:00:00"/>
    <d v="2019-03-20T00:00:00"/>
    <s v="15/2AL"/>
    <s v="CONT 10/2019"/>
    <m/>
    <m/>
    <d v="2019-03-19T00:00:00"/>
    <n v="5100"/>
    <m/>
    <m/>
    <m/>
    <m/>
    <m/>
    <m/>
    <n v="5100"/>
    <n v="0"/>
    <n v="0"/>
  </r>
  <r>
    <s v="35A/2019"/>
    <d v="2019-02-09T00:00:00"/>
    <s v="THANH THÚY"/>
    <s v="QT01"/>
    <x v="74"/>
    <x v="34"/>
    <s v="TARRANGO"/>
    <m/>
    <s v="16.18"/>
    <n v="200"/>
    <s v="NL2018"/>
    <m/>
    <n v="50"/>
    <n v="10000"/>
    <x v="44"/>
    <n v="55000000"/>
    <x v="0"/>
    <d v="2019-02-15T00:00:00"/>
    <d v="2019-03-20T00:00:00"/>
    <d v="2019-03-20T00:00:00"/>
    <s v="15/2AL"/>
    <s v="CONT 12/2019"/>
    <m/>
    <m/>
    <d v="2019-03-19T00:00:00"/>
    <n v="10000"/>
    <m/>
    <m/>
    <m/>
    <m/>
    <m/>
    <m/>
    <n v="10000"/>
    <n v="0"/>
    <n v="0"/>
  </r>
  <r>
    <s v="35A/2019"/>
    <d v="2019-02-09T00:00:00"/>
    <s v="THANH THÚY"/>
    <s v="QT01"/>
    <x v="74"/>
    <x v="11"/>
    <s v="YELLOWEEN"/>
    <m/>
    <s v="12.14"/>
    <n v="400"/>
    <s v="NL2018"/>
    <m/>
    <n v="25"/>
    <n v="10000"/>
    <x v="12"/>
    <n v="26000000"/>
    <x v="0"/>
    <d v="2019-02-15T00:00:00"/>
    <d v="2019-03-20T00:00:00"/>
    <d v="2019-03-20T00:00:00"/>
    <s v="15/2AL"/>
    <s v="CONT 12/2019"/>
    <m/>
    <m/>
    <d v="2019-03-19T00:00:00"/>
    <n v="10000"/>
    <m/>
    <m/>
    <m/>
    <m/>
    <m/>
    <m/>
    <n v="10000"/>
    <n v="0"/>
    <n v="0"/>
  </r>
  <r>
    <s v="35A/2019"/>
    <d v="2019-02-09T00:00:00"/>
    <s v="THANH THÚY"/>
    <s v="QT01"/>
    <x v="74"/>
    <x v="66"/>
    <s v="ALUSTA"/>
    <m/>
    <s v="14.16"/>
    <n v="300"/>
    <s v="NL2018"/>
    <m/>
    <n v="17"/>
    <n v="5100"/>
    <x v="57"/>
    <n v="20400000"/>
    <x v="0"/>
    <s v="30-Feb-19"/>
    <d v="2019-04-04T00:00:00"/>
    <d v="2019-04-04T00:00:00"/>
    <s v="30/2AL"/>
    <s v="CONT 15/2019"/>
    <m/>
    <m/>
    <d v="2019-04-02T00:00:00"/>
    <n v="5100"/>
    <m/>
    <m/>
    <m/>
    <m/>
    <m/>
    <m/>
    <n v="5100"/>
    <n v="0"/>
    <n v="0"/>
  </r>
  <r>
    <s v="35A/2019"/>
    <d v="2019-02-09T00:00:00"/>
    <s v="THANH THÚY"/>
    <s v="QT01"/>
    <x v="74"/>
    <x v="32"/>
    <s v="BACARDI"/>
    <m/>
    <s v="16.18"/>
    <n v="200"/>
    <s v="NL2018"/>
    <m/>
    <n v="50"/>
    <n v="10000"/>
    <x v="42"/>
    <n v="63000000"/>
    <x v="0"/>
    <s v="30-Feb-19"/>
    <d v="2019-04-04T00:00:00"/>
    <d v="2019-04-04T00:00:00"/>
    <s v="30/2AL"/>
    <s v="CONT 18/2019"/>
    <m/>
    <m/>
    <d v="2019-04-03T00:00:00"/>
    <n v="10000"/>
    <m/>
    <m/>
    <m/>
    <m/>
    <m/>
    <m/>
    <n v="10000"/>
    <n v="0"/>
    <n v="0"/>
  </r>
  <r>
    <s v="35A/2019"/>
    <d v="2019-02-09T00:00:00"/>
    <s v="THANH THÚY"/>
    <s v="QT01"/>
    <x v="74"/>
    <x v="15"/>
    <s v="CONCADOR "/>
    <m/>
    <s v="16.18"/>
    <n v="200"/>
    <s v="NL2018"/>
    <m/>
    <n v="75"/>
    <n v="15000"/>
    <x v="0"/>
    <n v="70500000"/>
    <x v="0"/>
    <s v="30-Feb-19"/>
    <d v="2019-04-04T00:00:00"/>
    <d v="2019-04-04T00:00:00"/>
    <s v="30/2AL"/>
    <s v="CONT 16/2019"/>
    <m/>
    <m/>
    <d v="2019-04-02T00:00:00"/>
    <n v="15000"/>
    <m/>
    <m/>
    <m/>
    <m/>
    <m/>
    <m/>
    <n v="15000"/>
    <n v="0"/>
    <n v="0"/>
  </r>
  <r>
    <s v="35A/2019"/>
    <d v="2019-02-09T00:00:00"/>
    <s v="THANH THÚY"/>
    <s v="QT01"/>
    <x v="74"/>
    <x v="47"/>
    <s v="ROBINA"/>
    <m/>
    <s v="18.20"/>
    <n v="150"/>
    <s v="NL2018"/>
    <m/>
    <n v="67"/>
    <n v="10050"/>
    <x v="42"/>
    <n v="63315000"/>
    <x v="0"/>
    <s v="30-Feb-19"/>
    <d v="2019-04-04T00:00:00"/>
    <d v="2019-04-04T00:00:00"/>
    <s v="30/2AL"/>
    <s v="CONT 18/2019"/>
    <m/>
    <m/>
    <d v="2019-04-02T00:00:00"/>
    <n v="10050"/>
    <m/>
    <m/>
    <m/>
    <m/>
    <m/>
    <m/>
    <n v="10050"/>
    <n v="0"/>
    <n v="0"/>
  </r>
  <r>
    <s v="35A/2019"/>
    <d v="2019-02-09T00:00:00"/>
    <s v="THANH THÚY"/>
    <s v="QT01"/>
    <x v="74"/>
    <x v="34"/>
    <s v="TARRANGO"/>
    <m/>
    <s v="16.18"/>
    <n v="200"/>
    <s v="NL2018"/>
    <m/>
    <n v="50"/>
    <n v="10000"/>
    <x v="44"/>
    <n v="55000000"/>
    <x v="0"/>
    <s v="30-Feb-19"/>
    <d v="2019-04-04T00:00:00"/>
    <d v="2019-04-04T00:00:00"/>
    <s v="30/2AL"/>
    <s v="CONT 14/2019"/>
    <m/>
    <m/>
    <d v="2019-04-02T00:00:00"/>
    <n v="10000"/>
    <m/>
    <m/>
    <m/>
    <m/>
    <m/>
    <m/>
    <n v="10000"/>
    <n v="0"/>
    <n v="0"/>
  </r>
  <r>
    <s v="35A/2019"/>
    <d v="2019-02-09T00:00:00"/>
    <s v="THANH THÚY"/>
    <s v="QT01"/>
    <x v="74"/>
    <x v="31"/>
    <s v="TARRANGO"/>
    <m/>
    <s v="14.16"/>
    <n v="300"/>
    <s v="NL2018"/>
    <m/>
    <n v="18"/>
    <n v="5400"/>
    <x v="21"/>
    <n v="24840000"/>
    <x v="0"/>
    <s v="30-Feb-19"/>
    <d v="2019-04-04T00:00:00"/>
    <d v="2019-04-04T00:00:00"/>
    <s v="30/2AL"/>
    <s v="CONT 14/2019"/>
    <m/>
    <m/>
    <d v="2019-04-02T00:00:00"/>
    <n v="5400"/>
    <m/>
    <m/>
    <m/>
    <m/>
    <m/>
    <m/>
    <n v="5400"/>
    <n v="0"/>
    <n v="0"/>
  </r>
  <r>
    <s v="35A/2019"/>
    <d v="2019-02-09T00:00:00"/>
    <s v="THANH THÚY"/>
    <s v="QT01"/>
    <x v="74"/>
    <x v="28"/>
    <s v="YELLOWEEN"/>
    <m/>
    <s v="14.16"/>
    <n v="300"/>
    <s v="NL2018"/>
    <m/>
    <n v="34"/>
    <n v="10200"/>
    <x v="6"/>
    <n v="38760000"/>
    <x v="0"/>
    <s v="30-Feb-19"/>
    <d v="2019-04-04T00:00:00"/>
    <d v="2019-04-04T00:00:00"/>
    <s v="30/2AL"/>
    <s v="CONT 14/2019"/>
    <m/>
    <m/>
    <d v="2019-04-03T00:00:00"/>
    <n v="10200"/>
    <m/>
    <m/>
    <m/>
    <m/>
    <m/>
    <m/>
    <n v="10200"/>
    <n v="0"/>
    <n v="0"/>
  </r>
  <r>
    <s v="35A/2019"/>
    <d v="2019-02-09T00:00:00"/>
    <s v="THANH THÚY"/>
    <s v="QT01"/>
    <x v="74"/>
    <x v="140"/>
    <s v="LODI"/>
    <m/>
    <s v="16.18"/>
    <n v="200"/>
    <s v="NL2018"/>
    <m/>
    <n v="50"/>
    <n v="10000"/>
    <x v="34"/>
    <n v="71000000"/>
    <x v="0"/>
    <d v="2019-04-15T00:00:00"/>
    <d v="2019-05-19T00:00:00"/>
    <d v="2019-05-19T00:00:00"/>
    <s v="15/4AL"/>
    <m/>
    <m/>
    <m/>
    <d v="2019-05-20T00:00:00"/>
    <n v="10000"/>
    <m/>
    <m/>
    <m/>
    <m/>
    <m/>
    <m/>
    <n v="10000"/>
    <n v="0"/>
    <n v="0"/>
  </r>
  <r>
    <s v="35A/2019"/>
    <d v="2019-02-09T00:00:00"/>
    <s v="THANH THÚY"/>
    <s v="QT01"/>
    <x v="74"/>
    <x v="47"/>
    <s v="ROBINA"/>
    <m/>
    <s v="18.20"/>
    <n v="150"/>
    <s v="NL2018"/>
    <m/>
    <n v="67"/>
    <n v="10050"/>
    <x v="122"/>
    <n v="65304900"/>
    <x v="0"/>
    <d v="2019-04-15T00:00:00"/>
    <d v="2019-05-19T00:00:00"/>
    <d v="2019-05-19T00:00:00"/>
    <s v="15/4AL"/>
    <m/>
    <m/>
    <m/>
    <d v="2019-05-20T00:00:00"/>
    <n v="10050"/>
    <m/>
    <m/>
    <m/>
    <m/>
    <m/>
    <m/>
    <n v="10050"/>
    <n v="0"/>
    <n v="0"/>
  </r>
  <r>
    <s v="35A/2019"/>
    <d v="2019-02-09T00:00:00"/>
    <s v="THANH THÚY"/>
    <s v="QT01"/>
    <x v="74"/>
    <x v="11"/>
    <s v="YELLOWEEN"/>
    <m/>
    <s v="12.14"/>
    <n v="400"/>
    <s v="NL2018"/>
    <m/>
    <n v="0"/>
    <n v="0"/>
    <x v="47"/>
    <n v="0"/>
    <x v="1"/>
    <d v="2019-04-15T00:00:00"/>
    <d v="2019-05-19T00:00:00"/>
    <d v="2019-05-19T00:00:00"/>
    <s v="15/4AL"/>
    <m/>
    <m/>
    <m/>
    <m/>
    <n v="0"/>
    <m/>
    <m/>
    <m/>
    <m/>
    <m/>
    <m/>
    <n v="0"/>
    <n v="0"/>
    <n v="0"/>
  </r>
  <r>
    <s v="35A/2019"/>
    <d v="2019-02-09T00:00:00"/>
    <s v="THANH THÚY"/>
    <s v="QT01"/>
    <x v="74"/>
    <x v="28"/>
    <s v="YELLOWEEN"/>
    <m/>
    <s v="14.16"/>
    <n v="300"/>
    <s v="NL2018"/>
    <m/>
    <n v="34"/>
    <n v="10200"/>
    <x v="6"/>
    <n v="38760000"/>
    <x v="0"/>
    <d v="2019-04-15T00:00:00"/>
    <d v="2019-05-19T00:00:00"/>
    <d v="2019-05-19T00:00:00"/>
    <s v="15/4AL"/>
    <m/>
    <m/>
    <m/>
    <d v="2019-05-20T00:00:00"/>
    <n v="10200"/>
    <m/>
    <m/>
    <m/>
    <m/>
    <m/>
    <m/>
    <n v="10200"/>
    <n v="0"/>
    <n v="0"/>
  </r>
  <r>
    <s v="35A/2019"/>
    <d v="2019-02-09T00:00:00"/>
    <s v="THANH THÚY"/>
    <s v="QT01"/>
    <x v="74"/>
    <x v="3"/>
    <s v="PAVIA"/>
    <m/>
    <s v="12.14"/>
    <n v="400"/>
    <s v="NL2018"/>
    <m/>
    <n v="38"/>
    <n v="15200"/>
    <x v="14"/>
    <n v="44080000"/>
    <x v="0"/>
    <d v="2019-04-15T00:00:00"/>
    <d v="2019-05-19T00:00:00"/>
    <d v="2019-05-19T00:00:00"/>
    <s v="15/4AL"/>
    <m/>
    <m/>
    <m/>
    <d v="2019-05-20T00:00:00"/>
    <n v="15200"/>
    <m/>
    <m/>
    <m/>
    <m/>
    <m/>
    <m/>
    <n v="15200"/>
    <n v="0"/>
    <n v="0"/>
  </r>
  <r>
    <s v="35A/2019"/>
    <d v="2019-02-09T00:00:00"/>
    <s v="THANH THÚY"/>
    <s v="QT01"/>
    <x v="74"/>
    <x v="141"/>
    <s v="MANISSA"/>
    <m/>
    <s v="18.20"/>
    <n v="150"/>
    <s v="NL2018"/>
    <m/>
    <n v="134"/>
    <n v="20100"/>
    <x v="89"/>
    <n v="184920000"/>
    <x v="3"/>
    <d v="2019-06-15T00:00:00"/>
    <d v="2019-07-17T00:00:00"/>
    <d v="2019-07-17T00:00:00"/>
    <s v="15/4AL"/>
    <m/>
    <m/>
    <m/>
    <m/>
    <m/>
    <m/>
    <m/>
    <m/>
    <m/>
    <m/>
    <m/>
    <n v="0"/>
    <n v="20100"/>
    <n v="184920000"/>
  </r>
  <r>
    <s v="35A/2019"/>
    <d v="2019-02-09T00:00:00"/>
    <s v="THANH THÚY"/>
    <s v="QT01"/>
    <x v="74"/>
    <x v="31"/>
    <s v="TARRANGO VWS"/>
    <m/>
    <s v="14.16"/>
    <n v="300"/>
    <s v="NL2018"/>
    <s v="VWS"/>
    <n v="34"/>
    <n v="10200"/>
    <x v="21"/>
    <n v="46920000"/>
    <x v="0"/>
    <d v="2019-04-15T00:00:00"/>
    <d v="2019-05-19T00:00:00"/>
    <d v="2019-05-19T00:00:00"/>
    <s v="15/4AL"/>
    <m/>
    <m/>
    <m/>
    <d v="2019-05-20T00:00:00"/>
    <n v="10200"/>
    <m/>
    <m/>
    <m/>
    <m/>
    <m/>
    <m/>
    <n v="10200"/>
    <n v="0"/>
    <n v="0"/>
  </r>
  <r>
    <s v="35A/2019"/>
    <d v="2019-02-09T00:00:00"/>
    <s v="THANH THÚY"/>
    <s v="QT01"/>
    <x v="74"/>
    <x v="32"/>
    <s v="BACARDI"/>
    <m/>
    <s v="16.18"/>
    <n v="200"/>
    <s v="NL2018"/>
    <m/>
    <n v="50"/>
    <n v="10000"/>
    <x v="123"/>
    <n v="64130000"/>
    <x v="0"/>
    <d v="2019-03-15T00:00:00"/>
    <d v="2019-04-19T00:00:00"/>
    <d v="2019-04-19T00:00:00"/>
    <s v="15/3AL"/>
    <s v="CONT 20/2019"/>
    <m/>
    <m/>
    <d v="2019-04-24T00:00:00"/>
    <n v="10000"/>
    <m/>
    <m/>
    <m/>
    <m/>
    <m/>
    <m/>
    <n v="10000"/>
    <n v="0"/>
    <n v="0"/>
  </r>
  <r>
    <s v="35A/2019"/>
    <d v="2019-02-09T00:00:00"/>
    <s v="THANH THÚY"/>
    <s v="QT01"/>
    <x v="74"/>
    <x v="103"/>
    <s v="LARGO"/>
    <m/>
    <s v="16.18"/>
    <n v="200"/>
    <s v="NL2018"/>
    <m/>
    <n v="50"/>
    <n v="10000"/>
    <x v="124"/>
    <n v="55850000"/>
    <x v="0"/>
    <d v="2019-03-15T00:00:00"/>
    <d v="2019-04-19T00:00:00"/>
    <d v="2019-04-19T00:00:00"/>
    <s v="15/3AL"/>
    <s v="CONT 27/2019"/>
    <m/>
    <m/>
    <d v="2019-05-02T00:00:00"/>
    <n v="10000"/>
    <m/>
    <m/>
    <m/>
    <m/>
    <m/>
    <m/>
    <n v="10000"/>
    <n v="0"/>
    <n v="0"/>
  </r>
  <r>
    <s v="35A/2019"/>
    <d v="2019-02-09T00:00:00"/>
    <s v="THANH THÚY"/>
    <s v="QT01"/>
    <x v="74"/>
    <x v="140"/>
    <s v="LODI"/>
    <m/>
    <s v="16.18"/>
    <n v="200"/>
    <s v="NL2018"/>
    <m/>
    <n v="50"/>
    <n v="10000"/>
    <x v="33"/>
    <n v="70000000"/>
    <x v="0"/>
    <d v="2019-03-15T00:00:00"/>
    <d v="2019-04-19T00:00:00"/>
    <d v="2019-04-19T00:00:00"/>
    <s v="15/3AL"/>
    <s v="CONT 23/2019"/>
    <m/>
    <m/>
    <d v="2019-04-24T00:00:00"/>
    <n v="10000"/>
    <m/>
    <m/>
    <m/>
    <m/>
    <m/>
    <m/>
    <n v="10000"/>
    <n v="0"/>
    <n v="0"/>
  </r>
  <r>
    <s v="35A/2019"/>
    <d v="2019-02-09T00:00:00"/>
    <s v="THANH THÚY"/>
    <s v="QT01"/>
    <x v="74"/>
    <x v="31"/>
    <s v="TARRANGO"/>
    <m/>
    <s v="14.16"/>
    <n v="300"/>
    <s v="NL2018"/>
    <m/>
    <n v="20"/>
    <n v="6000"/>
    <x v="21"/>
    <n v="27600000"/>
    <x v="0"/>
    <d v="2019-03-15T00:00:00"/>
    <d v="2019-04-19T00:00:00"/>
    <d v="2019-04-19T00:00:00"/>
    <s v="15/3AL"/>
    <s v="CONT 23/2019"/>
    <m/>
    <m/>
    <d v="2019-04-24T00:00:00"/>
    <n v="6000"/>
    <m/>
    <m/>
    <m/>
    <m/>
    <m/>
    <m/>
    <n v="6000"/>
    <n v="0"/>
    <n v="0"/>
  </r>
  <r>
    <s v="35A/2019"/>
    <d v="2019-02-09T00:00:00"/>
    <s v="THANH THÚY"/>
    <s v="QT01"/>
    <x v="74"/>
    <x v="11"/>
    <s v="YELLOWEEN"/>
    <m/>
    <s v="12.14"/>
    <n v="400"/>
    <s v="NL2018"/>
    <m/>
    <n v="13"/>
    <n v="5200"/>
    <x v="125"/>
    <n v="13728000"/>
    <x v="0"/>
    <d v="2019-03-15T00:00:00"/>
    <d v="2019-04-19T00:00:00"/>
    <d v="2019-04-19T00:00:00"/>
    <s v="15/3AL"/>
    <s v="CONT 24/2019"/>
    <m/>
    <m/>
    <d v="2019-05-02T00:00:00"/>
    <n v="5200"/>
    <m/>
    <m/>
    <m/>
    <m/>
    <m/>
    <m/>
    <n v="5200"/>
    <n v="0"/>
    <n v="0"/>
  </r>
  <r>
    <s v="35A/2019"/>
    <d v="2019-02-09T00:00:00"/>
    <s v="THANH THÚY"/>
    <s v="QT01"/>
    <x v="74"/>
    <x v="28"/>
    <s v="YELLOWEEN"/>
    <m/>
    <s v="14.16"/>
    <n v="300"/>
    <s v="NL2018"/>
    <m/>
    <n v="17"/>
    <n v="5100"/>
    <x v="6"/>
    <n v="19380000"/>
    <x v="0"/>
    <d v="2019-03-15T00:00:00"/>
    <d v="2019-04-19T00:00:00"/>
    <d v="2019-04-19T00:00:00"/>
    <s v="15/3AL"/>
    <s v="CONT 24/2019"/>
    <m/>
    <m/>
    <d v="2019-05-02T00:00:00"/>
    <n v="5100"/>
    <m/>
    <m/>
    <m/>
    <m/>
    <m/>
    <m/>
    <n v="5100"/>
    <n v="0"/>
    <n v="0"/>
  </r>
  <r>
    <s v="35A/2019"/>
    <d v="2019-02-09T00:00:00"/>
    <s v="THANH THÚY"/>
    <s v="QT01"/>
    <x v="74"/>
    <x v="31"/>
    <s v="TARRANGO "/>
    <m/>
    <s v="14.16"/>
    <n v="300"/>
    <s v="NL2018"/>
    <s v="ZABO"/>
    <n v="34"/>
    <n v="10200"/>
    <x v="0"/>
    <n v="47940000"/>
    <x v="4"/>
    <d v="2019-04-29T00:00:00"/>
    <d v="2019-06-02T00:00:00"/>
    <d v="2019-06-02T00:00:00"/>
    <s v="29/4AL"/>
    <m/>
    <m/>
    <m/>
    <m/>
    <m/>
    <m/>
    <m/>
    <m/>
    <m/>
    <m/>
    <m/>
    <n v="0"/>
    <n v="10200"/>
    <n v="47940000"/>
  </r>
  <r>
    <s v="35A/2019"/>
    <d v="2019-02-09T00:00:00"/>
    <s v="THANH THÚY"/>
    <s v="QT01"/>
    <x v="74"/>
    <x v="103"/>
    <s v="LARGO"/>
    <m/>
    <s v="16.18"/>
    <n v="200"/>
    <s v="NL2018"/>
    <m/>
    <n v="50"/>
    <n v="10000"/>
    <x v="126"/>
    <n v="56480000"/>
    <x v="0"/>
    <d v="2019-04-29T00:00:00"/>
    <d v="2019-06-02T00:00:00"/>
    <d v="2019-06-02T00:00:00"/>
    <s v="29/4AL"/>
    <m/>
    <m/>
    <m/>
    <d v="2019-06-10T00:00:00"/>
    <n v="10000"/>
    <m/>
    <m/>
    <m/>
    <m/>
    <m/>
    <m/>
    <n v="10000"/>
    <n v="0"/>
    <n v="0"/>
  </r>
  <r>
    <s v="35A/2019"/>
    <d v="2019-02-09T00:00:00"/>
    <s v="THANH THÚY"/>
    <s v="QT01"/>
    <x v="74"/>
    <x v="141"/>
    <s v="MANISSA"/>
    <m/>
    <s v="18.20"/>
    <n v="150"/>
    <s v="NL2018"/>
    <m/>
    <n v="67"/>
    <n v="10050"/>
    <x v="95"/>
    <n v="91455000"/>
    <x v="0"/>
    <d v="2019-04-29T00:00:00"/>
    <d v="2019-06-02T00:00:00"/>
    <d v="2019-06-02T00:00:00"/>
    <s v="29/4AL"/>
    <m/>
    <m/>
    <m/>
    <d v="2019-06-10T00:00:00"/>
    <n v="10050"/>
    <m/>
    <m/>
    <m/>
    <m/>
    <m/>
    <m/>
    <n v="10050"/>
    <n v="0"/>
    <n v="0"/>
  </r>
  <r>
    <s v="35A/2019"/>
    <d v="2019-06-04T00:00:00"/>
    <s v="THANH THÚY"/>
    <s v="QT01"/>
    <x v="74"/>
    <x v="28"/>
    <s v="YELLOWEEN"/>
    <m/>
    <s v="14.16"/>
    <n v="300"/>
    <s v="NL2018"/>
    <m/>
    <n v="22"/>
    <n v="6600"/>
    <x v="56"/>
    <n v="25740000"/>
    <x v="4"/>
    <d v="2019-04-17T00:00:00"/>
    <d v="2019-05-21T00:00:00"/>
    <d v="2019-05-21T00:00:00"/>
    <m/>
    <m/>
    <m/>
    <m/>
    <m/>
    <m/>
    <m/>
    <m/>
    <m/>
    <m/>
    <m/>
    <m/>
    <n v="0"/>
    <n v="6600"/>
    <n v="25740000"/>
  </r>
  <r>
    <s v="35A/2019"/>
    <d v="2019-06-04T00:00:00"/>
    <s v="THANH THÚY"/>
    <s v="QT01"/>
    <x v="74"/>
    <x v="28"/>
    <s v="YELLOWEEN"/>
    <m/>
    <s v="14.16"/>
    <n v="300"/>
    <s v="NL2018"/>
    <m/>
    <n v="12"/>
    <n v="3600"/>
    <x v="56"/>
    <n v="14040000"/>
    <x v="4"/>
    <d v="2019-04-29T00:00:00"/>
    <d v="2019-06-02T00:00:00"/>
    <d v="2019-06-02T00:00:00"/>
    <m/>
    <m/>
    <m/>
    <m/>
    <m/>
    <m/>
    <m/>
    <m/>
    <m/>
    <m/>
    <m/>
    <m/>
    <n v="0"/>
    <n v="3600"/>
    <n v="14040000"/>
  </r>
  <r>
    <s v="35A/2019"/>
    <d v="2019-02-09T00:00:00"/>
    <s v="THANH THÚY"/>
    <s v="QT01"/>
    <x v="74"/>
    <x v="141"/>
    <s v="MANISSA"/>
    <m/>
    <s v="18.20"/>
    <n v="150"/>
    <s v="NL2018"/>
    <m/>
    <n v="267"/>
    <n v="40050"/>
    <x v="127"/>
    <n v="360450000"/>
    <x v="2"/>
    <d v="2019-07-08T00:00:00"/>
    <d v="2019-08-08T00:00:00"/>
    <d v="2019-08-08T00:00:00"/>
    <s v="chưa tính phí lạnh"/>
    <m/>
    <m/>
    <m/>
    <m/>
    <m/>
    <m/>
    <m/>
    <m/>
    <m/>
    <m/>
    <m/>
    <n v="0"/>
    <n v="40050"/>
    <n v="360450000"/>
  </r>
  <r>
    <s v="35A/2019"/>
    <d v="2019-02-09T00:00:00"/>
    <s v="THANH THÚY"/>
    <s v="QT01"/>
    <x v="74"/>
    <x v="47"/>
    <s v="ROBINA"/>
    <m/>
    <s v="18.20"/>
    <n v="150"/>
    <s v="NL2018"/>
    <m/>
    <n v="0"/>
    <n v="0"/>
    <x v="128"/>
    <n v="0"/>
    <x v="1"/>
    <d v="2019-05-02T00:00:00"/>
    <d v="2019-06-04T00:00:00"/>
    <d v="2019-06-04T00:00:00"/>
    <s v="02/5AL"/>
    <m/>
    <m/>
    <m/>
    <m/>
    <n v="0"/>
    <m/>
    <m/>
    <m/>
    <m/>
    <m/>
    <m/>
    <n v="0"/>
    <n v="0"/>
    <n v="0"/>
  </r>
  <r>
    <s v="35A/2019"/>
    <d v="2019-02-09T00:00:00"/>
    <s v="THANH THÚY"/>
    <s v="QT01"/>
    <x v="74"/>
    <x v="47"/>
    <s v="ROBINA"/>
    <m/>
    <s v="18.20"/>
    <n v="150"/>
    <s v="NL2018"/>
    <m/>
    <n v="67"/>
    <n v="10050"/>
    <x v="129"/>
    <n v="67716900"/>
    <x v="3"/>
    <d v="2019-06-15T00:00:00"/>
    <d v="2019-07-17T00:00:00"/>
    <d v="2019-07-17T00:00:00"/>
    <s v="02/6AL"/>
    <m/>
    <m/>
    <m/>
    <m/>
    <n v="0"/>
    <m/>
    <m/>
    <m/>
    <m/>
    <m/>
    <m/>
    <n v="0"/>
    <n v="10050"/>
    <n v="67716900"/>
  </r>
  <r>
    <s v="35A/2019"/>
    <d v="2019-02-09T00:00:00"/>
    <s v="THANH THÚY"/>
    <s v="QT01"/>
    <x v="74"/>
    <x v="47"/>
    <s v="ROBINA"/>
    <m/>
    <s v="18.20"/>
    <n v="150"/>
    <s v="NL2018"/>
    <m/>
    <n v="134"/>
    <n v="20100"/>
    <x v="130"/>
    <n v="137845800"/>
    <x v="2"/>
    <d v="2019-07-02T00:00:00"/>
    <d v="2019-08-02T00:00:00"/>
    <d v="2019-08-02T00:00:00"/>
    <s v="02/7AL"/>
    <m/>
    <m/>
    <m/>
    <m/>
    <n v="0"/>
    <m/>
    <m/>
    <m/>
    <m/>
    <m/>
    <m/>
    <n v="0"/>
    <n v="20100"/>
    <n v="137845800"/>
  </r>
  <r>
    <s v="35A/2019"/>
    <d v="2019-02-09T00:00:00"/>
    <s v="THANH THÚY"/>
    <s v="QT01"/>
    <x v="74"/>
    <x v="31"/>
    <s v="TARRANGO VWS"/>
    <m/>
    <s v="14.16"/>
    <n v="300"/>
    <s v="NL2018"/>
    <s v="VWS"/>
    <n v="34"/>
    <n v="10200"/>
    <x v="21"/>
    <n v="46920000"/>
    <x v="3"/>
    <d v="2019-06-15T00:00:00"/>
    <d v="2019-07-17T00:00:00"/>
    <d v="2019-07-17T00:00:00"/>
    <m/>
    <m/>
    <m/>
    <m/>
    <m/>
    <m/>
    <m/>
    <m/>
    <m/>
    <m/>
    <m/>
    <m/>
    <n v="0"/>
    <n v="10200"/>
    <n v="46920000"/>
  </r>
  <r>
    <s v="35A/2019"/>
    <d v="2019-06-14T00:00:00"/>
    <s v="THANH THÚY"/>
    <s v="QT01"/>
    <x v="74"/>
    <x v="11"/>
    <s v="YELLOWEEN"/>
    <m/>
    <s v="12.14"/>
    <n v="400"/>
    <s v="NL2018"/>
    <m/>
    <n v="50"/>
    <n v="20000"/>
    <x v="14"/>
    <n v="58000000"/>
    <x v="3"/>
    <d v="2019-06-15T00:00:00"/>
    <d v="2019-07-17T00:00:00"/>
    <d v="2019-07-17T00:00:00"/>
    <m/>
    <m/>
    <m/>
    <m/>
    <m/>
    <m/>
    <m/>
    <m/>
    <m/>
    <m/>
    <m/>
    <m/>
    <n v="0"/>
    <n v="20000"/>
    <n v="58000000"/>
  </r>
  <r>
    <s v="35A/2019"/>
    <d v="2019-02-09T00:00:00"/>
    <s v="THANH THÚY"/>
    <s v="QT01"/>
    <x v="74"/>
    <x v="31"/>
    <s v="TARRANGO VWS"/>
    <m/>
    <s v="14.16"/>
    <n v="300"/>
    <s v="NL2018"/>
    <s v="VWS"/>
    <n v="100"/>
    <n v="30000"/>
    <x v="21"/>
    <n v="138000000"/>
    <x v="2"/>
    <m/>
    <s v=""/>
    <s v=""/>
    <m/>
    <m/>
    <m/>
    <m/>
    <m/>
    <m/>
    <m/>
    <m/>
    <m/>
    <m/>
    <m/>
    <m/>
    <n v="0"/>
    <n v="30000"/>
    <n v="138000000"/>
  </r>
  <r>
    <s v="141A/2019"/>
    <d v="2019-02-09T00:00:00"/>
    <s v="THANH THÚY"/>
    <s v="QT01"/>
    <x v="74"/>
    <x v="35"/>
    <s v="BACARDI"/>
    <m/>
    <s v="20.22"/>
    <n v="125"/>
    <s v="NL2018"/>
    <m/>
    <n v="80"/>
    <n v="10000"/>
    <x v="8"/>
    <n v="108000000"/>
    <x v="2"/>
    <d v="2019-09-01T00:00:00"/>
    <d v="2019-09-29T00:00:00"/>
    <d v="2019-09-29T00:00:00"/>
    <s v="TẾT"/>
    <m/>
    <m/>
    <m/>
    <m/>
    <n v="0"/>
    <m/>
    <m/>
    <m/>
    <m/>
    <m/>
    <m/>
    <n v="0"/>
    <n v="10000"/>
    <n v="108000000"/>
  </r>
  <r>
    <s v="141A/2019"/>
    <d v="2019-02-09T00:00:00"/>
    <s v="THANH THÚY"/>
    <s v="QT01"/>
    <x v="74"/>
    <x v="6"/>
    <s v="CONCADOR"/>
    <m/>
    <s v="20.22"/>
    <n v="125"/>
    <s v="NL2018"/>
    <m/>
    <n v="80"/>
    <n v="10000"/>
    <x v="59"/>
    <n v="105000000"/>
    <x v="2"/>
    <d v="2019-09-01T00:00:00"/>
    <d v="2019-09-29T00:00:00"/>
    <d v="2019-09-29T00:00:00"/>
    <s v="TẾT"/>
    <m/>
    <m/>
    <m/>
    <m/>
    <n v="0"/>
    <m/>
    <m/>
    <m/>
    <m/>
    <m/>
    <m/>
    <n v="0"/>
    <n v="10000"/>
    <n v="105000000"/>
  </r>
  <r>
    <s v="141A/2019"/>
    <d v="2019-02-09T00:00:00"/>
    <s v="THANH THÚY"/>
    <s v="QT01"/>
    <x v="74"/>
    <x v="142"/>
    <s v="LARGO"/>
    <m/>
    <s v="20.22"/>
    <n v="125"/>
    <s v="NL2018"/>
    <m/>
    <n v="62"/>
    <n v="7750"/>
    <x v="7"/>
    <n v="82150000"/>
    <x v="2"/>
    <d v="2019-09-01T00:00:00"/>
    <d v="2019-09-29T00:00:00"/>
    <d v="2019-09-29T00:00:00"/>
    <s v="TẾT"/>
    <m/>
    <m/>
    <m/>
    <m/>
    <n v="0"/>
    <m/>
    <m/>
    <m/>
    <m/>
    <m/>
    <m/>
    <n v="0"/>
    <n v="7750"/>
    <n v="82150000"/>
  </r>
  <r>
    <s v="141A/2019"/>
    <d v="2019-02-09T00:00:00"/>
    <s v="THANH THÚY"/>
    <s v="QT01"/>
    <x v="74"/>
    <x v="104"/>
    <s v="LARGO"/>
    <m/>
    <s v="22.24"/>
    <n v="100"/>
    <s v="NL2018"/>
    <m/>
    <n v="23"/>
    <n v="2300"/>
    <x v="106"/>
    <n v="27370000"/>
    <x v="2"/>
    <d v="2019-09-01T00:00:00"/>
    <d v="2019-09-29T00:00:00"/>
    <d v="2019-09-29T00:00:00"/>
    <s v="TẾT"/>
    <m/>
    <m/>
    <m/>
    <m/>
    <n v="0"/>
    <m/>
    <m/>
    <m/>
    <m/>
    <m/>
    <m/>
    <n v="0"/>
    <n v="2300"/>
    <n v="27370000"/>
  </r>
  <r>
    <s v="141A/2019"/>
    <d v="2019-02-09T00:00:00"/>
    <s v="THANH THÚY"/>
    <s v="QT01"/>
    <x v="74"/>
    <x v="105"/>
    <s v="LODI"/>
    <m/>
    <s v="18.20"/>
    <n v="150"/>
    <s v="NL2018"/>
    <m/>
    <n v="67"/>
    <n v="10050"/>
    <x v="89"/>
    <n v="92460000"/>
    <x v="2"/>
    <d v="2019-09-01T00:00:00"/>
    <d v="2019-09-29T00:00:00"/>
    <d v="2019-09-29T00:00:00"/>
    <s v="TẾT"/>
    <m/>
    <m/>
    <m/>
    <m/>
    <n v="0"/>
    <m/>
    <m/>
    <m/>
    <m/>
    <m/>
    <m/>
    <n v="0"/>
    <n v="10050"/>
    <n v="92460000"/>
  </r>
  <r>
    <s v="141A/2019"/>
    <d v="2019-02-09T00:00:00"/>
    <s v="THANH THÚY"/>
    <s v="QT01"/>
    <x v="74"/>
    <x v="141"/>
    <s v="MANISSA"/>
    <m/>
    <s v="18.20"/>
    <n v="150"/>
    <s v="NL2018"/>
    <m/>
    <n v="67"/>
    <n v="10050"/>
    <x v="131"/>
    <n v="97485000"/>
    <x v="2"/>
    <d v="2019-09-01T00:00:00"/>
    <d v="2019-09-29T00:00:00"/>
    <d v="2019-09-29T00:00:00"/>
    <s v="TẾT"/>
    <m/>
    <m/>
    <m/>
    <m/>
    <n v="0"/>
    <m/>
    <m/>
    <m/>
    <m/>
    <m/>
    <m/>
    <n v="0"/>
    <n v="10050"/>
    <n v="97485000"/>
  </r>
  <r>
    <s v="141A/2019"/>
    <d v="2019-02-09T00:00:00"/>
    <s v="THANH THÚY"/>
    <s v="QT01"/>
    <x v="74"/>
    <x v="9"/>
    <s v="MANISSA"/>
    <m/>
    <s v="22.24"/>
    <n v="100"/>
    <s v="NL2018"/>
    <m/>
    <n v="100"/>
    <n v="10000"/>
    <x v="38"/>
    <n v="152000000"/>
    <x v="2"/>
    <d v="2019-09-01T00:00:00"/>
    <d v="2019-09-29T00:00:00"/>
    <d v="2019-09-29T00:00:00"/>
    <s v="TẾT"/>
    <m/>
    <m/>
    <m/>
    <m/>
    <n v="0"/>
    <m/>
    <m/>
    <m/>
    <m/>
    <m/>
    <m/>
    <n v="0"/>
    <n v="10000"/>
    <n v="152000000"/>
  </r>
  <r>
    <s v="141A/2019"/>
    <d v="2019-02-09T00:00:00"/>
    <s v="THANH THÚY"/>
    <s v="QT01"/>
    <x v="74"/>
    <x v="143"/>
    <s v="NELLO "/>
    <m/>
    <s v="18.20"/>
    <n v="150"/>
    <s v="NL2018"/>
    <m/>
    <n v="67"/>
    <n v="10050"/>
    <x v="34"/>
    <n v="71355000"/>
    <x v="2"/>
    <d v="2019-09-01T00:00:00"/>
    <d v="2019-09-29T00:00:00"/>
    <d v="2019-09-29T00:00:00"/>
    <s v="TẾT"/>
    <m/>
    <m/>
    <m/>
    <m/>
    <n v="0"/>
    <m/>
    <m/>
    <m/>
    <m/>
    <m/>
    <m/>
    <n v="0"/>
    <n v="10050"/>
    <n v="71355000"/>
  </r>
  <r>
    <s v="141A/2019"/>
    <d v="2019-02-09T00:00:00"/>
    <s v="THANH THÚY"/>
    <s v="QT01"/>
    <x v="74"/>
    <x v="47"/>
    <s v="ROBINA"/>
    <m/>
    <s v="18.20"/>
    <n v="150"/>
    <s v="NL2018"/>
    <m/>
    <n v="34"/>
    <n v="5100"/>
    <x v="35"/>
    <n v="36720000"/>
    <x v="2"/>
    <d v="2019-09-01T00:00:00"/>
    <d v="2019-09-29T00:00:00"/>
    <d v="2019-09-29T00:00:00"/>
    <s v="TẾT"/>
    <m/>
    <m/>
    <m/>
    <m/>
    <n v="0"/>
    <m/>
    <m/>
    <m/>
    <m/>
    <m/>
    <m/>
    <n v="0"/>
    <n v="5100"/>
    <n v="36720000"/>
  </r>
  <r>
    <s v="141A/2019"/>
    <d v="2019-02-09T00:00:00"/>
    <s v="THANH THÚY"/>
    <s v="QT01"/>
    <x v="74"/>
    <x v="16"/>
    <s v="ROBINA"/>
    <m/>
    <s v="20.22"/>
    <n v="125"/>
    <s v="NL2018"/>
    <m/>
    <n v="40"/>
    <n v="5000"/>
    <x v="59"/>
    <n v="52500000"/>
    <x v="2"/>
    <d v="2019-09-01T00:00:00"/>
    <d v="2019-09-29T00:00:00"/>
    <d v="2019-09-29T00:00:00"/>
    <s v="TẾT"/>
    <m/>
    <m/>
    <m/>
    <m/>
    <n v="0"/>
    <m/>
    <m/>
    <m/>
    <m/>
    <m/>
    <m/>
    <n v="0"/>
    <n v="5000"/>
    <n v="52500000"/>
  </r>
  <r>
    <s v="141A/2019"/>
    <d v="2019-02-09T00:00:00"/>
    <s v="THANH THÚY"/>
    <s v="QT01"/>
    <x v="74"/>
    <x v="14"/>
    <s v="TARRANGO"/>
    <m/>
    <s v="20.22"/>
    <n v="125"/>
    <s v="NL2018"/>
    <m/>
    <n v="80"/>
    <n v="10000"/>
    <x v="39"/>
    <n v="101000000"/>
    <x v="2"/>
    <d v="2019-09-01T00:00:00"/>
    <d v="2019-09-29T00:00:00"/>
    <d v="2019-09-29T00:00:00"/>
    <s v="TẾT"/>
    <m/>
    <m/>
    <m/>
    <m/>
    <n v="0"/>
    <m/>
    <m/>
    <m/>
    <m/>
    <m/>
    <m/>
    <n v="0"/>
    <n v="10000"/>
    <n v="101000000"/>
  </r>
  <r>
    <s v="141A/2019"/>
    <d v="2019-02-09T00:00:00"/>
    <s v="THANH THÚY"/>
    <s v="QT01"/>
    <x v="74"/>
    <x v="38"/>
    <s v="YELLOWEEN"/>
    <m/>
    <s v="16.18"/>
    <n v="200"/>
    <s v="NL2018"/>
    <m/>
    <n v="50"/>
    <n v="10000"/>
    <x v="46"/>
    <n v="60000000"/>
    <x v="2"/>
    <d v="2019-09-01T00:00:00"/>
    <d v="2019-09-29T00:00:00"/>
    <d v="2019-09-29T00:00:00"/>
    <s v="TẾT"/>
    <m/>
    <m/>
    <m/>
    <m/>
    <n v="0"/>
    <m/>
    <m/>
    <m/>
    <m/>
    <m/>
    <m/>
    <n v="0"/>
    <n v="10000"/>
    <n v="60000000"/>
  </r>
  <r>
    <s v="141A/2019"/>
    <d v="2019-06-14T00:00:00"/>
    <s v="THANH THÚY"/>
    <s v="QT01"/>
    <x v="74"/>
    <x v="70"/>
    <s v="INDIANA"/>
    <m/>
    <s v="18.20"/>
    <n v="150"/>
    <s v="NL2018"/>
    <m/>
    <n v="67"/>
    <n v="10050"/>
    <x v="71"/>
    <n v="100500000"/>
    <x v="2"/>
    <d v="2019-09-01T00:00:00"/>
    <d v="2019-09-29T00:00:00"/>
    <d v="2019-09-29T00:00:00"/>
    <s v="TẾT"/>
    <m/>
    <m/>
    <m/>
    <m/>
    <m/>
    <m/>
    <m/>
    <m/>
    <m/>
    <m/>
    <m/>
    <n v="0"/>
    <n v="10050"/>
    <n v="100500000"/>
  </r>
  <r>
    <s v="141A/2019"/>
    <d v="2019-06-14T00:00:00"/>
    <s v="THANH THÚY"/>
    <s v="QT01"/>
    <x v="74"/>
    <x v="144"/>
    <s v="INDIANA"/>
    <m/>
    <s v="16.18"/>
    <n v="200"/>
    <s v="NL2018"/>
    <m/>
    <n v="50"/>
    <n v="10000"/>
    <x v="45"/>
    <n v="67000000"/>
    <x v="2"/>
    <d v="2019-06-15T00:00:00"/>
    <d v="2019-07-17T00:00:00"/>
    <d v="2019-07-17T00:00:00"/>
    <m/>
    <m/>
    <m/>
    <m/>
    <m/>
    <m/>
    <m/>
    <m/>
    <m/>
    <m/>
    <m/>
    <m/>
    <n v="0"/>
    <n v="10000"/>
    <n v="67000000"/>
  </r>
  <r>
    <s v="141A/2019"/>
    <d v="2019-06-14T00:00:00"/>
    <s v="THANH THÚY"/>
    <s v="QT01"/>
    <x v="74"/>
    <x v="144"/>
    <s v="INDIANA"/>
    <m/>
    <s v="16.18"/>
    <n v="200"/>
    <s v="NL2018"/>
    <m/>
    <n v="50"/>
    <n v="10000"/>
    <x v="32"/>
    <n v="68000000"/>
    <x v="2"/>
    <d v="2019-07-15T00:00:00"/>
    <d v="2019-08-15T00:00:00"/>
    <d v="2019-08-15T00:00:00"/>
    <m/>
    <m/>
    <m/>
    <m/>
    <m/>
    <m/>
    <m/>
    <m/>
    <m/>
    <m/>
    <m/>
    <m/>
    <n v="0"/>
    <n v="10000"/>
    <n v="68000000"/>
  </r>
  <r>
    <s v="141A/2019"/>
    <d v="2019-06-14T00:00:00"/>
    <s v="THANH THÚY"/>
    <s v="QT01"/>
    <x v="74"/>
    <x v="144"/>
    <s v="INDIANA"/>
    <m/>
    <s v="16.18"/>
    <n v="200"/>
    <s v="NL2018"/>
    <m/>
    <n v="50"/>
    <n v="10000"/>
    <x v="31"/>
    <n v="69000000"/>
    <x v="2"/>
    <d v="2019-08-15T00:00:00"/>
    <d v="2019-09-13T00:00:00"/>
    <d v="2019-09-13T00:00:00"/>
    <m/>
    <m/>
    <m/>
    <m/>
    <m/>
    <m/>
    <m/>
    <m/>
    <m/>
    <m/>
    <m/>
    <m/>
    <n v="0"/>
    <n v="10000"/>
    <n v="69000000"/>
  </r>
  <r>
    <s v="35A/2019"/>
    <d v="2019-02-09T00:00:00"/>
    <s v="THANH THÚY"/>
    <s v="QT01"/>
    <x v="74"/>
    <x v="28"/>
    <s v="YELLOWEEN"/>
    <m/>
    <s v="14.16"/>
    <n v="300"/>
    <s v="NL2018"/>
    <m/>
    <n v="267"/>
    <n v="80100"/>
    <x v="6"/>
    <n v="304380000"/>
    <x v="2"/>
    <m/>
    <s v=""/>
    <s v=""/>
    <m/>
    <m/>
    <m/>
    <m/>
    <m/>
    <n v="0"/>
    <m/>
    <m/>
    <m/>
    <m/>
    <m/>
    <m/>
    <n v="0"/>
    <n v="80100"/>
    <n v="304380000"/>
  </r>
  <r>
    <s v="35A/2019"/>
    <d v="2019-02-09T00:00:00"/>
    <s v="THANH THÚY"/>
    <s v="QT01"/>
    <x v="74"/>
    <x v="140"/>
    <s v="LODI"/>
    <m/>
    <s v="16.18"/>
    <n v="200"/>
    <s v="NL2018"/>
    <m/>
    <n v="50"/>
    <n v="10000"/>
    <x v="33"/>
    <n v="70000000"/>
    <x v="3"/>
    <d v="2019-06-15T00:00:00"/>
    <d v="2019-07-17T00:00:00"/>
    <d v="2019-07-17T00:00:00"/>
    <m/>
    <m/>
    <m/>
    <m/>
    <m/>
    <n v="0"/>
    <m/>
    <m/>
    <m/>
    <m/>
    <m/>
    <m/>
    <n v="0"/>
    <n v="10000"/>
    <n v="70000000"/>
  </r>
  <r>
    <s v="35A/2019"/>
    <d v="2019-02-09T00:00:00"/>
    <s v="THANH THÚY"/>
    <s v="QT01"/>
    <x v="74"/>
    <x v="140"/>
    <s v="LODI"/>
    <m/>
    <s v="16.18"/>
    <n v="200"/>
    <s v="NL2018"/>
    <m/>
    <n v="100"/>
    <n v="20000"/>
    <x v="33"/>
    <n v="140000000"/>
    <x v="2"/>
    <m/>
    <s v=""/>
    <s v=""/>
    <m/>
    <m/>
    <m/>
    <m/>
    <m/>
    <m/>
    <m/>
    <m/>
    <m/>
    <m/>
    <m/>
    <m/>
    <n v="0"/>
    <n v="20000"/>
    <n v="140000000"/>
  </r>
  <r>
    <s v="141A/2019"/>
    <d v="2019-02-09T00:00:00"/>
    <s v="THANH THÚY"/>
    <s v="QT01"/>
    <x v="74"/>
    <x v="64"/>
    <s v="TARRANGO"/>
    <m/>
    <s v="18.20"/>
    <n v="150"/>
    <s v="NL2018"/>
    <m/>
    <n v="67"/>
    <n v="10050"/>
    <x v="95"/>
    <n v="91455000"/>
    <x v="2"/>
    <d v="2019-09-01T00:00:00"/>
    <d v="2019-09-29T00:00:00"/>
    <d v="2019-09-29T00:00:00"/>
    <s v="TẾT"/>
    <m/>
    <m/>
    <m/>
    <m/>
    <n v="0"/>
    <m/>
    <m/>
    <m/>
    <m/>
    <m/>
    <m/>
    <n v="0"/>
    <n v="10050"/>
    <n v="91455000"/>
  </r>
  <r>
    <s v="75A/2019"/>
    <d v="2019-02-25T00:00:00"/>
    <s v="KIỀU THY"/>
    <s v="PA01"/>
    <x v="75"/>
    <x v="61"/>
    <s v="BACARDI"/>
    <m/>
    <s v="15.16"/>
    <n v="250"/>
    <s v="NL2018"/>
    <m/>
    <n v="0"/>
    <n v="0"/>
    <x v="132"/>
    <n v="0"/>
    <x v="1"/>
    <d v="2019-03-15T00:00:00"/>
    <d v="2019-04-19T00:00:00"/>
    <d v="2019-04-19T00:00:00"/>
    <m/>
    <s v="CONT 22/2019"/>
    <d v="2019-04-14T00:00:00"/>
    <m/>
    <m/>
    <n v="0"/>
    <m/>
    <m/>
    <m/>
    <m/>
    <m/>
    <m/>
    <n v="0"/>
    <n v="0"/>
    <n v="0"/>
  </r>
  <r>
    <s v="75A/2019"/>
    <d v="2019-02-25T00:00:00"/>
    <s v="KIỀU THY"/>
    <s v="PA01"/>
    <x v="75"/>
    <x v="11"/>
    <s v="YELLOWEEN"/>
    <m/>
    <s v="12.14"/>
    <n v="400"/>
    <s v="NL2018"/>
    <m/>
    <n v="0"/>
    <n v="0"/>
    <x v="12"/>
    <n v="0"/>
    <x v="1"/>
    <s v="29-Feb-19"/>
    <d v="2019-04-03T00:00:00"/>
    <d v="2019-04-03T00:00:00"/>
    <s v="6.000 củ / 5 ngày"/>
    <s v="CONT 18/2019"/>
    <d v="2019-03-31T00:00:00"/>
    <m/>
    <m/>
    <n v="0"/>
    <m/>
    <m/>
    <m/>
    <m/>
    <m/>
    <m/>
    <n v="0"/>
    <n v="0"/>
    <n v="0"/>
  </r>
  <r>
    <s v="75A/2019"/>
    <d v="2019-02-25T00:00:00"/>
    <s v="KIỀU THY"/>
    <s v="PA01"/>
    <x v="75"/>
    <x v="11"/>
    <s v="YELLOWEEN"/>
    <m/>
    <s v="12.14"/>
    <n v="400"/>
    <s v="NL2018"/>
    <m/>
    <n v="0"/>
    <n v="0"/>
    <x v="12"/>
    <n v="0"/>
    <x v="1"/>
    <s v="29-Feb-19"/>
    <d v="2019-04-03T00:00:00"/>
    <d v="2019-04-03T00:00:00"/>
    <s v="6.000 củ / 5 ngày"/>
    <s v="CONT 18/2019"/>
    <d v="2019-03-31T00:00:00"/>
    <m/>
    <m/>
    <n v="0"/>
    <m/>
    <m/>
    <m/>
    <m/>
    <m/>
    <m/>
    <n v="0"/>
    <n v="0"/>
    <n v="0"/>
  </r>
  <r>
    <s v="75A/2019"/>
    <d v="2019-02-25T00:00:00"/>
    <s v="KIỀU THY"/>
    <s v="PA01"/>
    <x v="75"/>
    <x v="11"/>
    <s v="YELLOWEEN"/>
    <m/>
    <s v="12.14"/>
    <n v="400"/>
    <s v="NL2018"/>
    <m/>
    <n v="0"/>
    <n v="0"/>
    <x v="12"/>
    <n v="0"/>
    <x v="1"/>
    <d v="2019-03-15T00:00:00"/>
    <d v="2019-04-19T00:00:00"/>
    <d v="2019-04-19T00:00:00"/>
    <s v="6.000 củ / 5 ngày"/>
    <s v="CONT 26/2019"/>
    <d v="2019-04-14T00:00:00"/>
    <m/>
    <m/>
    <n v="0"/>
    <m/>
    <m/>
    <m/>
    <m/>
    <m/>
    <m/>
    <n v="0"/>
    <n v="0"/>
    <n v="0"/>
  </r>
  <r>
    <s v="31A/2019"/>
    <d v="2019-02-13T00:00:00"/>
    <s v="KIỀU THY"/>
    <s v="NP01"/>
    <x v="76"/>
    <x v="22"/>
    <s v="ROBINA"/>
    <m/>
    <s v="16.18"/>
    <n v="200"/>
    <s v="NL2018"/>
    <m/>
    <n v="50"/>
    <n v="10000"/>
    <x v="11"/>
    <n v="54000000"/>
    <x v="0"/>
    <d v="2019-03-15T00:00:00"/>
    <d v="2019-04-19T00:00:00"/>
    <d v="2019-04-19T00:00:00"/>
    <s v="15/3AL"/>
    <s v="CONT 26/2019"/>
    <d v="2019-04-14T00:00:00"/>
    <m/>
    <d v="2019-05-20T00:00:00"/>
    <n v="1000"/>
    <d v="2019-06-05T00:00:00"/>
    <n v="9000"/>
    <m/>
    <m/>
    <m/>
    <m/>
    <n v="10000"/>
    <n v="0"/>
    <n v="0"/>
  </r>
  <r>
    <s v="31A/2019"/>
    <d v="2019-05-02T00:00:00"/>
    <s v="KIỀU THY"/>
    <s v="NP01"/>
    <x v="76"/>
    <x v="57"/>
    <s v="DALIAN"/>
    <m/>
    <s v="14.16"/>
    <n v="300"/>
    <s v="NL2018"/>
    <m/>
    <n v="28"/>
    <n v="8400"/>
    <x v="11"/>
    <n v="45360000"/>
    <x v="0"/>
    <d v="2019-03-30T00:00:00"/>
    <d v="2019-05-04T00:00:00"/>
    <d v="2019-05-04T00:00:00"/>
    <m/>
    <m/>
    <m/>
    <m/>
    <d v="2019-05-18T00:00:00"/>
    <n v="3000"/>
    <d v="2019-06-05T00:00:00"/>
    <n v="5400"/>
    <m/>
    <m/>
    <m/>
    <m/>
    <n v="8400"/>
    <n v="0"/>
    <n v="0"/>
  </r>
  <r>
    <s v="31A/2019"/>
    <d v="2019-06-03T00:00:00"/>
    <s v="KIỀU THY"/>
    <s v="NP01"/>
    <x v="76"/>
    <x v="57"/>
    <s v="DALIAN"/>
    <m/>
    <s v="14.16"/>
    <n v="300"/>
    <s v="NL2018"/>
    <m/>
    <n v="21"/>
    <n v="6300"/>
    <x v="11"/>
    <n v="34020000"/>
    <x v="0"/>
    <d v="2019-04-17T00:00:00"/>
    <d v="2019-05-21T00:00:00"/>
    <d v="2019-05-21T00:00:00"/>
    <m/>
    <m/>
    <m/>
    <m/>
    <d v="2019-06-05T00:00:00"/>
    <n v="5100"/>
    <d v="2019-06-08T00:00:00"/>
    <n v="1200"/>
    <m/>
    <m/>
    <m/>
    <m/>
    <n v="6300"/>
    <n v="0"/>
    <n v="0"/>
  </r>
  <r>
    <s v="31A/2019"/>
    <d v="2019-05-07T00:00:00"/>
    <s v="KIỀU THY"/>
    <s v="NP01"/>
    <x v="76"/>
    <x v="22"/>
    <s v="ROBINA"/>
    <m/>
    <s v="16.18"/>
    <n v="200"/>
    <s v="NL2018"/>
    <m/>
    <n v="141"/>
    <n v="28200"/>
    <x v="11"/>
    <n v="152280000"/>
    <x v="0"/>
    <d v="2019-04-17T00:00:00"/>
    <d v="2019-05-21T00:00:00"/>
    <d v="2019-05-21T00:00:00"/>
    <m/>
    <m/>
    <m/>
    <m/>
    <d v="2019-05-18T00:00:00"/>
    <n v="20000"/>
    <d v="2019-06-05T00:00:00"/>
    <n v="8200"/>
    <m/>
    <m/>
    <m/>
    <m/>
    <n v="28200"/>
    <n v="0"/>
    <n v="0"/>
  </r>
  <r>
    <s v="31A/2019"/>
    <d v="2019-05-15T00:00:00"/>
    <s v="KIỀU THY"/>
    <s v="NP01"/>
    <x v="76"/>
    <x v="50"/>
    <s v="PROFUNDO"/>
    <m/>
    <s v="14.16"/>
    <n v="275"/>
    <s v="NL2018"/>
    <m/>
    <n v="20"/>
    <n v="5500"/>
    <x v="18"/>
    <n v="27500000"/>
    <x v="4"/>
    <d v="2019-04-17T00:00:00"/>
    <d v="2019-05-21T00:00:00"/>
    <d v="2019-05-21T00:00:00"/>
    <m/>
    <m/>
    <m/>
    <m/>
    <d v="2019-06-11T00:00:00"/>
    <n v="2475"/>
    <d v="2019-06-12T00:00:00"/>
    <n v="550"/>
    <d v="2019-06-13T00:00:00"/>
    <n v="275"/>
    <m/>
    <m/>
    <n v="3300"/>
    <n v="2200"/>
    <n v="11000000"/>
  </r>
  <r>
    <s v="31A/2019"/>
    <d v="2019-05-25T00:00:00"/>
    <s v="KIỀU THY"/>
    <s v="NP01"/>
    <x v="76"/>
    <x v="24"/>
    <s v="SERANO"/>
    <m/>
    <s v="14.16"/>
    <n v="300"/>
    <s v="NL2018"/>
    <m/>
    <n v="29"/>
    <n v="8700"/>
    <x v="25"/>
    <n v="31320000"/>
    <x v="0"/>
    <d v="2019-04-17T00:00:00"/>
    <d v="2019-05-21T00:00:00"/>
    <d v="2019-05-21T00:00:00"/>
    <m/>
    <m/>
    <m/>
    <m/>
    <d v="2019-06-11T00:00:00"/>
    <n v="8700"/>
    <m/>
    <m/>
    <m/>
    <m/>
    <m/>
    <m/>
    <n v="8700"/>
    <n v="0"/>
    <n v="0"/>
  </r>
  <r>
    <s v="31A/2019"/>
    <d v="2019-06-01T00:00:00"/>
    <s v="KIỀU THY"/>
    <s v="NP01"/>
    <x v="76"/>
    <x v="24"/>
    <s v="SERANO"/>
    <m/>
    <s v="14.16"/>
    <n v="300"/>
    <s v="NL2018"/>
    <m/>
    <n v="27"/>
    <n v="8100"/>
    <x v="117"/>
    <n v="29970000"/>
    <x v="3"/>
    <d v="2019-05-12T00:00:00"/>
    <d v="2019-06-14T00:00:00"/>
    <d v="2019-06-14T00:00:00"/>
    <s v="12/5 AL"/>
    <m/>
    <m/>
    <m/>
    <d v="2019-06-11T00:00:00"/>
    <n v="3000"/>
    <m/>
    <m/>
    <m/>
    <m/>
    <m/>
    <m/>
    <n v="3000"/>
    <n v="5100"/>
    <n v="18870000"/>
  </r>
  <r>
    <s v="31A/2019"/>
    <d v="2019-05-07T00:00:00"/>
    <s v="KIỀU THY"/>
    <s v="NP01"/>
    <x v="76"/>
    <x v="22"/>
    <s v="ROBINA"/>
    <m/>
    <s v="16.18"/>
    <n v="200"/>
    <s v="NL2018"/>
    <m/>
    <n v="0"/>
    <n v="0"/>
    <x v="44"/>
    <n v="0"/>
    <x v="1"/>
    <d v="2019-04-29T00:00:00"/>
    <d v="2019-06-02T00:00:00"/>
    <d v="2019-06-02T00:00:00"/>
    <m/>
    <m/>
    <m/>
    <m/>
    <m/>
    <m/>
    <m/>
    <m/>
    <m/>
    <m/>
    <m/>
    <m/>
    <n v="0"/>
    <n v="0"/>
    <n v="0"/>
  </r>
  <r>
    <s v="31A/2019"/>
    <d v="2019-05-08T00:00:00"/>
    <s v="KIỀU THY"/>
    <s v="NP01"/>
    <x v="76"/>
    <x v="48"/>
    <s v="SERANO"/>
    <m/>
    <s v="16.18"/>
    <n v="200"/>
    <s v="NL2018"/>
    <m/>
    <n v="55"/>
    <n v="11000"/>
    <x v="82"/>
    <n v="57200000"/>
    <x v="3"/>
    <d v="2019-04-29T00:00:00"/>
    <d v="2019-06-02T00:00:00"/>
    <d v="2019-06-02T00:00:00"/>
    <m/>
    <m/>
    <m/>
    <m/>
    <m/>
    <m/>
    <m/>
    <m/>
    <m/>
    <m/>
    <m/>
    <m/>
    <n v="0"/>
    <n v="11000"/>
    <n v="57200000"/>
  </r>
  <r>
    <s v="31A/2019"/>
    <d v="2019-02-13T00:00:00"/>
    <s v="KIỀU THY"/>
    <s v="NP01"/>
    <x v="76"/>
    <x v="57"/>
    <s v="DALIAN"/>
    <m/>
    <s v="14.16"/>
    <n v="300"/>
    <s v="NL2018"/>
    <m/>
    <n v="101.66666666666667"/>
    <n v="30500"/>
    <x v="44"/>
    <n v="167750000"/>
    <x v="0"/>
    <d v="2019-02-15T00:00:00"/>
    <d v="2019-03-20T00:00:00"/>
    <d v="2019-03-20T00:00:00"/>
    <s v="15/2AL"/>
    <s v="CONT 11/2019"/>
    <d v="2019-03-17T00:00:00"/>
    <m/>
    <d v="2019-03-23T00:00:00"/>
    <n v="12000"/>
    <d v="2019-04-05T00:00:00"/>
    <n v="8100"/>
    <d v="2019-04-18T00:00:00"/>
    <n v="10400"/>
    <m/>
    <m/>
    <n v="30500"/>
    <n v="0"/>
    <n v="0"/>
  </r>
  <r>
    <s v="31A/2019"/>
    <d v="2019-02-13T00:00:00"/>
    <s v="KIỀU THY"/>
    <s v="NP01"/>
    <x v="76"/>
    <x v="145"/>
    <s v="DALIAN"/>
    <m/>
    <s v="16.18"/>
    <n v="200"/>
    <s v="NL2018"/>
    <m/>
    <n v="25"/>
    <n v="5000"/>
    <x v="45"/>
    <n v="33500000"/>
    <x v="0"/>
    <d v="2019-02-15T00:00:00"/>
    <d v="2019-03-20T00:00:00"/>
    <d v="2019-03-20T00:00:00"/>
    <s v="15/2AL"/>
    <s v="CONT 11/2019"/>
    <d v="2019-03-17T00:00:00"/>
    <m/>
    <d v="2019-04-05T00:00:00"/>
    <n v="5000"/>
    <m/>
    <m/>
    <m/>
    <m/>
    <m/>
    <m/>
    <n v="5000"/>
    <n v="0"/>
    <n v="0"/>
  </r>
  <r>
    <s v="31A/2019"/>
    <d v="2019-02-13T00:00:00"/>
    <s v="KIỀU THY"/>
    <s v="NP01"/>
    <x v="76"/>
    <x v="5"/>
    <s v="PROFUNDO"/>
    <m/>
    <s v="16.18"/>
    <n v="200"/>
    <s v="NL2018"/>
    <m/>
    <n v="56"/>
    <n v="11200"/>
    <x v="45"/>
    <n v="75040000"/>
    <x v="0"/>
    <d v="2019-02-15T00:00:00"/>
    <d v="2019-03-20T00:00:00"/>
    <d v="2019-03-20T00:00:00"/>
    <s v="15/2AL"/>
    <s v="CONT 12/2019"/>
    <d v="2019-03-17T00:00:00"/>
    <m/>
    <d v="2019-03-23T00:00:00"/>
    <n v="11200"/>
    <m/>
    <m/>
    <m/>
    <m/>
    <m/>
    <m/>
    <n v="11200"/>
    <n v="0"/>
    <n v="0"/>
  </r>
  <r>
    <s v="31A/2019"/>
    <d v="2019-02-13T00:00:00"/>
    <s v="KIỀU THY"/>
    <s v="NP01"/>
    <x v="76"/>
    <x v="22"/>
    <s v="ROBINA"/>
    <m/>
    <s v="16.18"/>
    <n v="200"/>
    <s v="NL2018"/>
    <m/>
    <n v="35"/>
    <n v="7000"/>
    <x v="23"/>
    <n v="33600000"/>
    <x v="0"/>
    <d v="2019-02-15T00:00:00"/>
    <d v="2019-03-20T00:00:00"/>
    <d v="2019-03-20T00:00:00"/>
    <s v="15/2AL"/>
    <s v="CONT 11/2019"/>
    <d v="2019-03-17T00:00:00"/>
    <m/>
    <d v="2019-03-23T00:00:00"/>
    <n v="7000"/>
    <m/>
    <m/>
    <m/>
    <m/>
    <m/>
    <m/>
    <n v="7000"/>
    <n v="0"/>
    <n v="0"/>
  </r>
  <r>
    <s v="31A/2019"/>
    <d v="2019-02-13T00:00:00"/>
    <s v="KIỀU THY"/>
    <s v="NP01"/>
    <x v="76"/>
    <x v="31"/>
    <s v="TARRANGO"/>
    <m/>
    <s v="14.16"/>
    <n v="300"/>
    <s v="NL2018"/>
    <m/>
    <n v="33"/>
    <n v="9900"/>
    <x v="21"/>
    <n v="45540000"/>
    <x v="0"/>
    <d v="2019-02-15T00:00:00"/>
    <d v="2019-03-20T00:00:00"/>
    <d v="2019-03-20T00:00:00"/>
    <s v="15/2AL"/>
    <s v="CONT 10/2019"/>
    <d v="2019-03-17T00:00:00"/>
    <m/>
    <d v="2019-03-24T00:00:00"/>
    <n v="9900"/>
    <m/>
    <m/>
    <m/>
    <m/>
    <m/>
    <m/>
    <n v="9900"/>
    <n v="0"/>
    <n v="0"/>
  </r>
  <r>
    <s v="31A/2019"/>
    <d v="2019-02-13T00:00:00"/>
    <s v="KIỀU THY"/>
    <s v="NP01"/>
    <x v="76"/>
    <x v="34"/>
    <s v="TARRANGO"/>
    <m/>
    <s v="16.18"/>
    <n v="200"/>
    <s v="NL2018"/>
    <m/>
    <n v="50"/>
    <n v="10000"/>
    <x v="44"/>
    <n v="55000000"/>
    <x v="0"/>
    <d v="2019-02-15T00:00:00"/>
    <d v="2019-03-20T00:00:00"/>
    <d v="2019-03-20T00:00:00"/>
    <s v="15/2AL"/>
    <s v="CONT 12/2019"/>
    <d v="2019-03-17T00:00:00"/>
    <m/>
    <d v="2019-03-24T00:00:00"/>
    <n v="10000"/>
    <m/>
    <m/>
    <m/>
    <m/>
    <m/>
    <m/>
    <n v="10000"/>
    <n v="0"/>
    <n v="0"/>
  </r>
  <r>
    <s v="31A/2019"/>
    <d v="2019-02-13T00:00:00"/>
    <s v="KIỀU THY"/>
    <s v="NP01"/>
    <x v="76"/>
    <x v="28"/>
    <s v="YELLOWEEN"/>
    <m/>
    <s v="14.16"/>
    <n v="300"/>
    <s v="NL2018"/>
    <m/>
    <n v="65"/>
    <n v="19500"/>
    <x v="6"/>
    <n v="74100000"/>
    <x v="0"/>
    <d v="2019-02-15T00:00:00"/>
    <d v="2019-03-20T00:00:00"/>
    <d v="2019-03-20T00:00:00"/>
    <s v="15/2AL"/>
    <s v="CONT 12/2019"/>
    <d v="2019-03-17T00:00:00"/>
    <m/>
    <d v="2019-03-23T00:00:00"/>
    <n v="10200"/>
    <d v="2019-04-18T00:00:00"/>
    <n v="9300"/>
    <m/>
    <m/>
    <m/>
    <m/>
    <n v="19500"/>
    <n v="0"/>
    <n v="0"/>
  </r>
  <r>
    <s v="31A/2019"/>
    <d v="2019-02-13T00:00:00"/>
    <s v="KIỀU THY"/>
    <s v="NP01"/>
    <x v="76"/>
    <x v="15"/>
    <s v="CONCADOR"/>
    <m/>
    <s v="16.18"/>
    <n v="200"/>
    <s v="NL2018"/>
    <m/>
    <n v="50"/>
    <n v="10000"/>
    <x v="18"/>
    <n v="50000000"/>
    <x v="0"/>
    <d v="2019-03-15T00:00:00"/>
    <d v="2019-04-19T00:00:00"/>
    <d v="2019-04-19T00:00:00"/>
    <s v="15/3AL"/>
    <s v="CONT 21/2019"/>
    <d v="2019-04-14T00:00:00"/>
    <m/>
    <d v="2019-05-03T00:00:00"/>
    <n v="10000"/>
    <m/>
    <m/>
    <m/>
    <m/>
    <m/>
    <m/>
    <n v="10000"/>
    <n v="0"/>
    <n v="0"/>
  </r>
  <r>
    <s v="31A/2019"/>
    <d v="2019-05-08T00:00:00"/>
    <s v="KIỀU THY"/>
    <s v="NP01"/>
    <x v="76"/>
    <x v="22"/>
    <s v="ROBINA"/>
    <m/>
    <s v="16.18"/>
    <n v="200"/>
    <s v="NL2018"/>
    <m/>
    <n v="75"/>
    <n v="15000"/>
    <x v="44"/>
    <n v="82500000"/>
    <x v="3"/>
    <d v="2019-05-18T00:00:00"/>
    <d v="2019-06-20T00:00:00"/>
    <d v="2019-06-20T00:00:00"/>
    <m/>
    <m/>
    <m/>
    <m/>
    <m/>
    <m/>
    <m/>
    <m/>
    <m/>
    <m/>
    <m/>
    <m/>
    <n v="0"/>
    <n v="15000"/>
    <n v="82500000"/>
  </r>
  <r>
    <s v="31A/2019"/>
    <d v="2019-02-13T00:00:00"/>
    <s v="KIỀU THY"/>
    <s v="NP01"/>
    <x v="76"/>
    <x v="28"/>
    <s v="YELLOWEEN"/>
    <m/>
    <s v="14.16"/>
    <n v="300"/>
    <s v="NL2018"/>
    <m/>
    <n v="0"/>
    <n v="0"/>
    <x v="6"/>
    <n v="0"/>
    <x v="1"/>
    <d v="2019-03-15T00:00:00"/>
    <d v="2019-04-19T00:00:00"/>
    <d v="2019-04-19T00:00:00"/>
    <s v="15/3AL"/>
    <s v="CONT 27/2019"/>
    <d v="2019-04-14T00:00:00"/>
    <m/>
    <m/>
    <n v="0"/>
    <m/>
    <m/>
    <m/>
    <m/>
    <m/>
    <m/>
    <n v="0"/>
    <n v="0"/>
    <n v="0"/>
  </r>
  <r>
    <s v="31A/2019"/>
    <d v="2019-02-13T00:00:00"/>
    <s v="KIỀU THY"/>
    <s v="NP01"/>
    <x v="76"/>
    <x v="57"/>
    <s v="DALIAN"/>
    <m/>
    <s v="14.16"/>
    <n v="300"/>
    <s v="NL2018"/>
    <m/>
    <n v="36"/>
    <n v="10800"/>
    <x v="11"/>
    <n v="58320000"/>
    <x v="0"/>
    <d v="2019-03-15T00:00:00"/>
    <d v="2019-04-19T00:00:00"/>
    <d v="2019-04-19T00:00:00"/>
    <s v="15/3AL"/>
    <m/>
    <m/>
    <m/>
    <d v="2019-05-06T00:00:00"/>
    <n v="10800"/>
    <m/>
    <m/>
    <m/>
    <m/>
    <m/>
    <m/>
    <n v="10800"/>
    <n v="0"/>
    <n v="0"/>
  </r>
  <r>
    <s v="31A/2019"/>
    <d v="2019-05-15T00:00:00"/>
    <s v="KIỀU THY"/>
    <s v="NP01"/>
    <x v="76"/>
    <x v="24"/>
    <s v="SERANO"/>
    <m/>
    <s v="14.16"/>
    <n v="300"/>
    <s v="NL2018"/>
    <m/>
    <n v="34"/>
    <n v="10200"/>
    <x v="117"/>
    <n v="37740000"/>
    <x v="3"/>
    <d v="2019-06-15T00:00:00"/>
    <d v="2019-07-17T00:00:00"/>
    <d v="2019-07-17T00:00:00"/>
    <m/>
    <m/>
    <m/>
    <m/>
    <m/>
    <m/>
    <m/>
    <m/>
    <m/>
    <m/>
    <m/>
    <m/>
    <n v="0"/>
    <n v="10200"/>
    <n v="37740000"/>
  </r>
  <r>
    <s v="31A/2019"/>
    <d v="2019-06-14T00:00:00"/>
    <s v="KIỀU THY"/>
    <s v="NP01"/>
    <x v="76"/>
    <x v="22"/>
    <s v="ROBINA"/>
    <m/>
    <s v="16.18"/>
    <n v="200"/>
    <s v="NL2018"/>
    <m/>
    <n v="50"/>
    <n v="10000"/>
    <x v="48"/>
    <n v="56000000"/>
    <x v="3"/>
    <d v="2019-06-15T00:00:00"/>
    <d v="2019-07-17T00:00:00"/>
    <d v="2019-07-17T00:00:00"/>
    <m/>
    <m/>
    <m/>
    <m/>
    <m/>
    <m/>
    <m/>
    <m/>
    <m/>
    <m/>
    <m/>
    <m/>
    <n v="0"/>
    <n v="10000"/>
    <n v="56000000"/>
  </r>
  <r>
    <s v="31A/2019"/>
    <d v="2019-06-14T00:00:00"/>
    <s v="KIỀU THY"/>
    <s v="NP01"/>
    <x v="76"/>
    <x v="54"/>
    <s v="MALDANO"/>
    <m/>
    <s v="14.16"/>
    <n v="300"/>
    <s v="NL2018"/>
    <m/>
    <n v="32"/>
    <n v="9600"/>
    <x v="13"/>
    <n v="43200000"/>
    <x v="3"/>
    <d v="2019-06-15T00:00:00"/>
    <d v="2019-07-17T00:00:00"/>
    <d v="2019-07-17T00:00:00"/>
    <m/>
    <m/>
    <m/>
    <m/>
    <m/>
    <m/>
    <m/>
    <m/>
    <m/>
    <m/>
    <m/>
    <m/>
    <n v="0"/>
    <n v="9600"/>
    <n v="43200000"/>
  </r>
  <r>
    <s v="31A/2019"/>
    <d v="2019-06-14T00:00:00"/>
    <s v="KIỀU THY"/>
    <s v="NP01"/>
    <x v="76"/>
    <x v="57"/>
    <s v="DALIAN"/>
    <m/>
    <s v="14.16"/>
    <n v="300"/>
    <s v="NL2018"/>
    <m/>
    <n v="32"/>
    <n v="9600"/>
    <x v="48"/>
    <n v="53760000"/>
    <x v="3"/>
    <d v="2019-06-15T00:00:00"/>
    <d v="2019-07-17T00:00:00"/>
    <d v="2019-07-17T00:00:00"/>
    <m/>
    <m/>
    <m/>
    <m/>
    <m/>
    <m/>
    <m/>
    <m/>
    <m/>
    <m/>
    <m/>
    <m/>
    <n v="0"/>
    <n v="9600"/>
    <n v="53760000"/>
  </r>
  <r>
    <s v="31A/2019"/>
    <d v="2019-06-18T00:00:00"/>
    <s v="KIỀU THY"/>
    <s v="NP01"/>
    <x v="76"/>
    <x v="5"/>
    <s v="PROFUNDO"/>
    <m/>
    <s v="16.18"/>
    <n v="200"/>
    <s v="NL2018"/>
    <m/>
    <n v="100"/>
    <n v="20000"/>
    <x v="5"/>
    <n v="154000000"/>
    <x v="3"/>
    <d v="2019-05-30T00:00:00"/>
    <d v="2019-07-02T00:00:00"/>
    <d v="2019-07-02T00:00:00"/>
    <s v="Hà Nội chuyển vô"/>
    <m/>
    <m/>
    <m/>
    <m/>
    <m/>
    <m/>
    <m/>
    <m/>
    <m/>
    <m/>
    <m/>
    <n v="0"/>
    <n v="20000"/>
    <n v="154000000"/>
  </r>
  <r>
    <s v="31A/2019"/>
    <d v="2019-06-13T00:00:00"/>
    <s v="KIỀU THY"/>
    <s v="NP01"/>
    <x v="76"/>
    <x v="57"/>
    <s v="DALIAN"/>
    <m/>
    <s v="14.16"/>
    <n v="300"/>
    <s v="NL2018"/>
    <m/>
    <n v="50"/>
    <n v="15000"/>
    <x v="44"/>
    <n v="82500000"/>
    <x v="0"/>
    <d v="2019-05-30T00:00:00"/>
    <d v="2019-07-02T00:00:00"/>
    <d v="2019-07-02T00:00:00"/>
    <m/>
    <m/>
    <m/>
    <m/>
    <d v="2019-04-17T00:00:00"/>
    <n v="15000"/>
    <m/>
    <m/>
    <m/>
    <m/>
    <m/>
    <m/>
    <n v="15000"/>
    <n v="0"/>
    <n v="0"/>
  </r>
  <r>
    <s v="31A/2019"/>
    <d v="2019-05-07T00:00:00"/>
    <s v="KIỀU THY"/>
    <s v="NP01"/>
    <x v="76"/>
    <x v="57"/>
    <s v="DALIAN"/>
    <m/>
    <s v="14.16"/>
    <n v="300"/>
    <s v="NL2018"/>
    <m/>
    <n v="34"/>
    <n v="10200"/>
    <x v="11"/>
    <n v="55080000"/>
    <x v="0"/>
    <d v="2019-04-17T00:00:00"/>
    <d v="2019-05-21T00:00:00"/>
    <d v="2019-05-21T00:00:00"/>
    <m/>
    <m/>
    <m/>
    <m/>
    <d v="2019-05-18T00:00:00"/>
    <n v="10200"/>
    <m/>
    <m/>
    <m/>
    <m/>
    <m/>
    <m/>
    <n v="10200"/>
    <n v="0"/>
    <n v="0"/>
  </r>
  <r>
    <s v="31A/2019"/>
    <d v="2019-05-29T00:00:00"/>
    <s v="KIỀU THY"/>
    <s v="NP01"/>
    <x v="76"/>
    <x v="24"/>
    <s v="SERANO"/>
    <m/>
    <s v="14.16"/>
    <n v="300"/>
    <s v="NL2018"/>
    <m/>
    <n v="32"/>
    <n v="9600"/>
    <x v="117"/>
    <n v="35520000"/>
    <x v="2"/>
    <d v="2019-06-25T00:00:00"/>
    <d v="2019-07-27T00:00:00"/>
    <d v="2019-07-27T00:00:00"/>
    <m/>
    <m/>
    <m/>
    <m/>
    <m/>
    <m/>
    <m/>
    <m/>
    <m/>
    <m/>
    <m/>
    <m/>
    <n v="0"/>
    <n v="9600"/>
    <n v="35520000"/>
  </r>
  <r>
    <s v="31A/2019"/>
    <d v="2019-05-07T00:00:00"/>
    <s v="KIỀU THY"/>
    <s v="NP01"/>
    <x v="76"/>
    <x v="30"/>
    <s v="MALDANO"/>
    <m/>
    <s v="16.18"/>
    <n v="200"/>
    <s v="NL2018"/>
    <m/>
    <n v="55"/>
    <n v="11000"/>
    <x v="55"/>
    <n v="58300000"/>
    <x v="0"/>
    <d v="2019-04-17T00:00:00"/>
    <d v="2019-05-21T00:00:00"/>
    <d v="2019-05-21T00:00:00"/>
    <m/>
    <m/>
    <m/>
    <m/>
    <d v="2019-05-18T00:00:00"/>
    <n v="11000"/>
    <m/>
    <m/>
    <m/>
    <m/>
    <m/>
    <m/>
    <n v="11000"/>
    <n v="0"/>
    <n v="0"/>
  </r>
  <r>
    <s v="138A/2019"/>
    <d v="2019-02-13T00:00:00"/>
    <s v="KIỀU THY"/>
    <s v="NP01"/>
    <x v="76"/>
    <x v="25"/>
    <s v="CONCADOR"/>
    <m/>
    <s v="18.20"/>
    <n v="150"/>
    <s v="NL2018"/>
    <m/>
    <n v="267"/>
    <n v="40050"/>
    <x v="35"/>
    <n v="288360000"/>
    <x v="2"/>
    <d v="2019-09-01T00:00:00"/>
    <d v="2019-09-29T00:00:00"/>
    <d v="2019-09-29T00:00:00"/>
    <s v="TẾT"/>
    <m/>
    <m/>
    <m/>
    <m/>
    <n v="0"/>
    <m/>
    <m/>
    <m/>
    <m/>
    <m/>
    <m/>
    <n v="0"/>
    <n v="40050"/>
    <n v="288360000"/>
  </r>
  <r>
    <s v="138A/2019"/>
    <d v="2019-02-13T00:00:00"/>
    <s v="KIỀU THY"/>
    <s v="NP01"/>
    <x v="76"/>
    <x v="6"/>
    <s v="CONCADOR"/>
    <m/>
    <s v="20.22"/>
    <n v="125"/>
    <s v="NL2018"/>
    <m/>
    <n v="200"/>
    <n v="25000"/>
    <x v="7"/>
    <n v="265000000"/>
    <x v="2"/>
    <d v="2019-09-01T00:00:00"/>
    <d v="2019-09-29T00:00:00"/>
    <d v="2019-09-29T00:00:00"/>
    <s v="TẾT"/>
    <m/>
    <m/>
    <m/>
    <m/>
    <m/>
    <m/>
    <m/>
    <m/>
    <m/>
    <m/>
    <m/>
    <n v="0"/>
    <n v="25000"/>
    <n v="265000000"/>
  </r>
  <r>
    <s v="31A/2019"/>
    <d v="2019-05-19T00:00:00"/>
    <s v="KIỀU THY"/>
    <s v="NP01"/>
    <x v="76"/>
    <x v="103"/>
    <s v="LARGO"/>
    <m/>
    <s v="16.18"/>
    <n v="200"/>
    <s v="NL2018"/>
    <m/>
    <n v="10"/>
    <n v="2000"/>
    <x v="48"/>
    <n v="11200000"/>
    <x v="0"/>
    <d v="2019-04-17T00:00:00"/>
    <d v="2019-05-21T00:00:00"/>
    <d v="2019-05-21T00:00:00"/>
    <m/>
    <m/>
    <m/>
    <m/>
    <d v="2019-05-18T00:00:00"/>
    <n v="2000"/>
    <m/>
    <m/>
    <m/>
    <m/>
    <m/>
    <m/>
    <n v="2000"/>
    <n v="0"/>
    <n v="0"/>
  </r>
  <r>
    <s v="138A/2019"/>
    <d v="2019-02-13T00:00:00"/>
    <s v="KIỀU THY"/>
    <s v="NP01"/>
    <x v="76"/>
    <x v="46"/>
    <s v="CONCADOR"/>
    <m/>
    <s v="22.24"/>
    <n v="100"/>
    <s v="NL2018"/>
    <m/>
    <n v="100"/>
    <n v="10000"/>
    <x v="29"/>
    <n v="125000000"/>
    <x v="2"/>
    <d v="2019-09-01T00:00:00"/>
    <d v="2019-09-29T00:00:00"/>
    <d v="2019-09-29T00:00:00"/>
    <s v="TẾT"/>
    <m/>
    <m/>
    <m/>
    <m/>
    <n v="0"/>
    <m/>
    <m/>
    <m/>
    <m/>
    <m/>
    <m/>
    <n v="0"/>
    <n v="10000"/>
    <n v="125000000"/>
  </r>
  <r>
    <s v="31A/2019"/>
    <d v="2019-05-07T00:00:00"/>
    <s v="KIỀU THY"/>
    <s v="NP01"/>
    <x v="76"/>
    <x v="31"/>
    <s v="TARRANGO"/>
    <m/>
    <s v="14.16"/>
    <n v="300"/>
    <s v="NL2018"/>
    <m/>
    <n v="0"/>
    <n v="0"/>
    <x v="77"/>
    <n v="0"/>
    <x v="1"/>
    <d v="2019-04-29T00:00:00"/>
    <d v="2019-06-02T00:00:00"/>
    <d v="2019-06-02T00:00:00"/>
    <m/>
    <m/>
    <m/>
    <m/>
    <m/>
    <m/>
    <m/>
    <m/>
    <m/>
    <m/>
    <m/>
    <m/>
    <n v="0"/>
    <n v="0"/>
    <n v="0"/>
  </r>
  <r>
    <s v="138A/2019"/>
    <d v="2019-02-13T00:00:00"/>
    <s v="KIỀU THY"/>
    <s v="NP01"/>
    <x v="76"/>
    <x v="85"/>
    <s v="DALIAN"/>
    <m/>
    <s v="20.22"/>
    <n v="125"/>
    <s v="NL2018"/>
    <m/>
    <n v="120"/>
    <n v="15000"/>
    <x v="85"/>
    <n v="213000000"/>
    <x v="2"/>
    <d v="2019-09-01T00:00:00"/>
    <d v="2019-09-29T00:00:00"/>
    <d v="2019-09-29T00:00:00"/>
    <s v="TẾT"/>
    <m/>
    <m/>
    <m/>
    <m/>
    <n v="0"/>
    <m/>
    <m/>
    <m/>
    <m/>
    <m/>
    <m/>
    <n v="0"/>
    <n v="15000"/>
    <n v="213000000"/>
  </r>
  <r>
    <s v="138A/2019"/>
    <d v="2019-02-13T00:00:00"/>
    <s v="KIỀU THY"/>
    <s v="NP01"/>
    <x v="76"/>
    <x v="26"/>
    <s v="ROBINA"/>
    <m/>
    <s v="22.24"/>
    <n v="100"/>
    <s v="NL2018"/>
    <m/>
    <n v="100"/>
    <n v="10000"/>
    <x v="29"/>
    <n v="125000000"/>
    <x v="2"/>
    <d v="2019-09-01T00:00:00"/>
    <d v="2019-09-29T00:00:00"/>
    <d v="2019-09-29T00:00:00"/>
    <s v="TẾT"/>
    <m/>
    <m/>
    <m/>
    <m/>
    <n v="0"/>
    <m/>
    <m/>
    <m/>
    <m/>
    <m/>
    <m/>
    <n v="0"/>
    <n v="10000"/>
    <n v="125000000"/>
  </r>
  <r>
    <s v="138A/2019"/>
    <d v="2019-02-13T00:00:00"/>
    <s v="KIỀU THY"/>
    <s v="NP01"/>
    <x v="76"/>
    <x v="146"/>
    <s v="TARRANGO CHILE"/>
    <m/>
    <s v="18.20"/>
    <n v="150"/>
    <s v="CL2019"/>
    <m/>
    <n v="100"/>
    <n v="15000"/>
    <x v="36"/>
    <n v="165000000"/>
    <x v="2"/>
    <d v="2019-09-01T00:00:00"/>
    <d v="2019-09-29T00:00:00"/>
    <d v="2019-09-29T00:00:00"/>
    <s v="TẾT"/>
    <m/>
    <m/>
    <m/>
    <m/>
    <n v="0"/>
    <m/>
    <m/>
    <m/>
    <m/>
    <m/>
    <m/>
    <n v="0"/>
    <n v="15000"/>
    <n v="165000000"/>
  </r>
  <r>
    <s v="138A/2019"/>
    <d v="2019-02-13T00:00:00"/>
    <s v="KIỀU THY"/>
    <s v="NP01"/>
    <x v="76"/>
    <x v="147"/>
    <s v="BACARDI CHILE"/>
    <m/>
    <s v="20.22"/>
    <n v="125"/>
    <s v="CL2019"/>
    <m/>
    <n v="80"/>
    <n v="10000"/>
    <x v="40"/>
    <n v="130000000"/>
    <x v="2"/>
    <d v="2019-09-01T00:00:00"/>
    <d v="2019-09-29T00:00:00"/>
    <d v="2019-09-29T00:00:00"/>
    <s v="TẾT"/>
    <m/>
    <m/>
    <m/>
    <m/>
    <n v="0"/>
    <m/>
    <m/>
    <m/>
    <m/>
    <m/>
    <m/>
    <n v="0"/>
    <n v="10000"/>
    <n v="130000000"/>
  </r>
  <r>
    <s v="31A/2019"/>
    <d v="2019-05-07T00:00:00"/>
    <s v="KIỀU THY"/>
    <s v="NP01"/>
    <x v="76"/>
    <x v="48"/>
    <s v="SERANO"/>
    <m/>
    <s v="16.18"/>
    <n v="200"/>
    <s v="NL2018"/>
    <m/>
    <n v="0"/>
    <n v="0"/>
    <x v="82"/>
    <n v="0"/>
    <x v="1"/>
    <m/>
    <s v=""/>
    <s v=""/>
    <m/>
    <m/>
    <m/>
    <m/>
    <m/>
    <m/>
    <m/>
    <m/>
    <m/>
    <m/>
    <m/>
    <m/>
    <n v="0"/>
    <n v="0"/>
    <n v="0"/>
  </r>
  <r>
    <s v="31A/2019"/>
    <d v="2019-02-13T00:00:00"/>
    <s v="KIỀU THY"/>
    <s v="NP01"/>
    <x v="76"/>
    <x v="148"/>
    <s v="AMAROSSI"/>
    <m/>
    <s v="16.18"/>
    <n v="200"/>
    <s v="NL2018"/>
    <m/>
    <n v="180"/>
    <n v="36000"/>
    <x v="18"/>
    <n v="180000000"/>
    <x v="0"/>
    <s v="30-Feb-19"/>
    <d v="2019-04-04T00:00:00"/>
    <d v="2019-04-04T00:00:00"/>
    <s v="30/2AL"/>
    <s v="CONT 14/2019"/>
    <d v="2019-03-31T00:00:00"/>
    <m/>
    <d v="2019-04-05T00:00:00"/>
    <n v="13000"/>
    <d v="2019-04-18T00:00:00"/>
    <n v="8000"/>
    <d v="2019-05-06T00:00:00"/>
    <n v="15000"/>
    <m/>
    <m/>
    <n v="36000"/>
    <n v="0"/>
    <n v="0"/>
  </r>
  <r>
    <s v="31A/2019"/>
    <d v="2019-02-13T00:00:00"/>
    <s v="KIỀU THY"/>
    <s v="NP01"/>
    <x v="76"/>
    <x v="103"/>
    <s v="LARGO"/>
    <m/>
    <s v="16.18"/>
    <n v="200"/>
    <s v="NL2018"/>
    <m/>
    <n v="50"/>
    <n v="10000"/>
    <x v="44"/>
    <n v="55000000"/>
    <x v="2"/>
    <m/>
    <s v=""/>
    <s v=""/>
    <m/>
    <m/>
    <m/>
    <m/>
    <m/>
    <n v="0"/>
    <m/>
    <m/>
    <m/>
    <m/>
    <m/>
    <m/>
    <n v="0"/>
    <n v="10000"/>
    <n v="55000000"/>
  </r>
  <r>
    <s v="31A/2019"/>
    <d v="2019-06-13T00:00:00"/>
    <s v="KIỀU THY"/>
    <s v="NP01"/>
    <x v="76"/>
    <x v="29"/>
    <s v="MANISSA"/>
    <m/>
    <s v="16.18"/>
    <n v="200"/>
    <s v="NL2018"/>
    <m/>
    <n v="75"/>
    <n v="15000"/>
    <x v="33"/>
    <n v="105000000"/>
    <x v="3"/>
    <d v="2019-05-18T00:00:00"/>
    <d v="2019-06-20T00:00:00"/>
    <d v="2019-06-20T00:00:00"/>
    <m/>
    <m/>
    <m/>
    <m/>
    <m/>
    <m/>
    <m/>
    <m/>
    <m/>
    <m/>
    <m/>
    <m/>
    <n v="0"/>
    <n v="15000"/>
    <n v="105000000"/>
  </r>
  <r>
    <s v="31A/2019"/>
    <d v="2019-06-13T00:00:00"/>
    <s v="KIỀU THY"/>
    <s v="NP01"/>
    <x v="76"/>
    <x v="149"/>
    <s v="PARAGUAY"/>
    <m/>
    <s v="14.16"/>
    <n v="275"/>
    <s v="NL2018"/>
    <m/>
    <n v="30"/>
    <n v="8250"/>
    <x v="0"/>
    <n v="38775000"/>
    <x v="4"/>
    <d v="2019-05-30T00:00:00"/>
    <d v="2019-07-02T00:00:00"/>
    <d v="2019-07-02T00:00:00"/>
    <m/>
    <m/>
    <m/>
    <m/>
    <m/>
    <m/>
    <m/>
    <m/>
    <m/>
    <m/>
    <m/>
    <m/>
    <n v="0"/>
    <n v="8250"/>
    <n v="38775000"/>
  </r>
  <r>
    <s v="31A/2019"/>
    <d v="2019-06-13T00:00:00"/>
    <s v="KIỀU THY"/>
    <s v="NP01"/>
    <x v="76"/>
    <x v="33"/>
    <s v="PARAGUAY"/>
    <m/>
    <s v="16.18"/>
    <n v="175"/>
    <s v="NL2018"/>
    <m/>
    <n v="7.1428571428571432"/>
    <n v="1250"/>
    <x v="9"/>
    <n v="7750000"/>
    <x v="4"/>
    <d v="2019-05-30T00:00:00"/>
    <d v="2019-07-02T00:00:00"/>
    <d v="2019-07-02T00:00:00"/>
    <m/>
    <m/>
    <m/>
    <m/>
    <m/>
    <m/>
    <m/>
    <m/>
    <m/>
    <m/>
    <m/>
    <m/>
    <n v="0"/>
    <n v="1250"/>
    <n v="7750000"/>
  </r>
  <r>
    <s v="31A/2019"/>
    <d v="2019-06-13T00:00:00"/>
    <s v="KIỀU THY"/>
    <s v="NP01"/>
    <x v="76"/>
    <x v="22"/>
    <s v="ROBINA"/>
    <m/>
    <s v="16.18"/>
    <n v="200"/>
    <s v="NL2018"/>
    <m/>
    <n v="49"/>
    <n v="9800"/>
    <x v="44"/>
    <n v="53900000"/>
    <x v="0"/>
    <d v="2019-05-30T00:00:00"/>
    <d v="2019-07-02T00:00:00"/>
    <d v="2019-07-02T00:00:00"/>
    <m/>
    <m/>
    <m/>
    <m/>
    <d v="2019-06-17T00:00:00"/>
    <n v="9800"/>
    <m/>
    <m/>
    <m/>
    <m/>
    <m/>
    <m/>
    <n v="9800"/>
    <n v="0"/>
    <n v="0"/>
  </r>
  <r>
    <s v="31A/2019"/>
    <d v="2019-06-13T00:00:00"/>
    <s v="KIỀU THY"/>
    <s v="NP01"/>
    <x v="76"/>
    <x v="57"/>
    <s v="DALIAN"/>
    <m/>
    <s v="14.16"/>
    <n v="300"/>
    <s v="NL2018"/>
    <m/>
    <n v="34"/>
    <n v="10200"/>
    <x v="44"/>
    <n v="56100000"/>
    <x v="4"/>
    <d v="2019-05-30T00:00:00"/>
    <d v="2019-07-02T00:00:00"/>
    <d v="2019-07-02T00:00:00"/>
    <m/>
    <m/>
    <m/>
    <m/>
    <m/>
    <m/>
    <m/>
    <m/>
    <m/>
    <m/>
    <m/>
    <m/>
    <n v="0"/>
    <n v="10200"/>
    <n v="56100000"/>
  </r>
  <r>
    <s v="31A/2019"/>
    <d v="2019-02-13T00:00:00"/>
    <s v="KIỀU THY"/>
    <s v="NP01"/>
    <x v="76"/>
    <x v="34"/>
    <s v="TARRANGO"/>
    <m/>
    <s v="16.18"/>
    <n v="200"/>
    <s v="NL2018"/>
    <m/>
    <n v="0"/>
    <n v="0"/>
    <x v="44"/>
    <n v="0"/>
    <x v="1"/>
    <m/>
    <s v=""/>
    <s v=""/>
    <m/>
    <m/>
    <m/>
    <m/>
    <m/>
    <n v="0"/>
    <m/>
    <m/>
    <m/>
    <m/>
    <m/>
    <m/>
    <n v="0"/>
    <n v="0"/>
    <n v="0"/>
  </r>
  <r>
    <s v="176A/2019"/>
    <d v="2019-02-27T00:00:00"/>
    <s v="KIỀU THY"/>
    <s v="HT03"/>
    <x v="77"/>
    <x v="57"/>
    <s v="DALIAN"/>
    <m/>
    <s v="14.16"/>
    <n v="300"/>
    <s v="NL2018"/>
    <m/>
    <n v="34"/>
    <n v="10200"/>
    <x v="11"/>
    <n v="55080000"/>
    <x v="0"/>
    <d v="2019-04-17T00:00:00"/>
    <d v="2019-05-21T00:00:00"/>
    <d v="2019-05-21T00:00:00"/>
    <s v="10/4AL"/>
    <m/>
    <m/>
    <m/>
    <d v="2019-05-24T00:00:00"/>
    <n v="10200"/>
    <m/>
    <m/>
    <m/>
    <m/>
    <m/>
    <m/>
    <n v="10200"/>
    <n v="0"/>
    <n v="0"/>
  </r>
  <r>
    <s v="176A/2019"/>
    <d v="2019-02-27T00:00:00"/>
    <s v="KIỀU THY"/>
    <s v="HT03"/>
    <x v="77"/>
    <x v="48"/>
    <s v="SERANO"/>
    <m/>
    <s v="16.18"/>
    <n v="200"/>
    <s v="NL2018"/>
    <m/>
    <n v="50"/>
    <n v="10000"/>
    <x v="133"/>
    <n v="52700000"/>
    <x v="4"/>
    <d v="2019-04-17T00:00:00"/>
    <d v="2019-05-21T00:00:00"/>
    <d v="2019-05-21T00:00:00"/>
    <s v="10/4AL"/>
    <m/>
    <m/>
    <m/>
    <d v="2019-05-22T00:00:00"/>
    <n v="8000"/>
    <m/>
    <m/>
    <m/>
    <m/>
    <m/>
    <m/>
    <n v="8000"/>
    <n v="2000"/>
    <n v="10540000"/>
  </r>
  <r>
    <s v="176A/2019"/>
    <d v="2019-05-13T00:00:00"/>
    <s v="KIỀU THY"/>
    <s v="HT03"/>
    <x v="77"/>
    <x v="103"/>
    <s v="LARGO"/>
    <m/>
    <s v="16.18"/>
    <n v="200"/>
    <s v="NL2018"/>
    <m/>
    <n v="30"/>
    <n v="6000"/>
    <x v="26"/>
    <n v="34800000"/>
    <x v="4"/>
    <d v="2019-05-05T00:00:00"/>
    <d v="2019-06-07T00:00:00"/>
    <d v="2019-06-07T00:00:00"/>
    <m/>
    <m/>
    <m/>
    <m/>
    <m/>
    <m/>
    <m/>
    <m/>
    <m/>
    <m/>
    <m/>
    <m/>
    <n v="0"/>
    <n v="6000"/>
    <n v="34800000"/>
  </r>
  <r>
    <s v="176A/2019"/>
    <d v="2019-05-13T00:00:00"/>
    <s v="KIỀU THY"/>
    <s v="HT03"/>
    <x v="77"/>
    <x v="30"/>
    <s v="MALDANO"/>
    <m/>
    <s v="16.18"/>
    <n v="200"/>
    <s v="NL2018"/>
    <m/>
    <n v="10"/>
    <n v="2000"/>
    <x v="11"/>
    <n v="10800000"/>
    <x v="4"/>
    <d v="2019-04-17T00:00:00"/>
    <d v="2019-05-21T00:00:00"/>
    <d v="2019-05-21T00:00:00"/>
    <m/>
    <m/>
    <m/>
    <m/>
    <m/>
    <m/>
    <m/>
    <m/>
    <m/>
    <m/>
    <m/>
    <m/>
    <n v="0"/>
    <n v="2000"/>
    <n v="10800000"/>
  </r>
  <r>
    <s v="176A/2019"/>
    <d v="2019-06-05T00:00:00"/>
    <s v="KIỀU THY"/>
    <s v="HT03"/>
    <x v="77"/>
    <x v="72"/>
    <s v="YELLOWEEN"/>
    <s v="DN"/>
    <s v="16.18"/>
    <n v="200"/>
    <s v="NL2018"/>
    <m/>
    <n v="1"/>
    <n v="200"/>
    <x v="46"/>
    <n v="1200000"/>
    <x v="0"/>
    <d v="2019-04-17T00:00:00"/>
    <d v="2019-05-21T00:00:00"/>
    <d v="2019-05-21T00:00:00"/>
    <m/>
    <m/>
    <m/>
    <m/>
    <d v="2019-06-05T00:00:00"/>
    <n v="200"/>
    <m/>
    <m/>
    <m/>
    <m/>
    <m/>
    <m/>
    <n v="200"/>
    <n v="0"/>
    <n v="0"/>
  </r>
  <r>
    <s v="176A/2019"/>
    <d v="2019-02-27T00:00:00"/>
    <s v="KIỀU THY"/>
    <s v="HT03"/>
    <x v="77"/>
    <x v="31"/>
    <s v="TARRANGO"/>
    <m/>
    <s v="14.16"/>
    <n v="300"/>
    <s v="NL2018"/>
    <m/>
    <n v="20"/>
    <n v="6000"/>
    <x v="77"/>
    <n v="29400000"/>
    <x v="3"/>
    <d v="2019-05-18T00:00:00"/>
    <d v="2019-06-20T00:00:00"/>
    <d v="2019-06-20T00:00:00"/>
    <m/>
    <m/>
    <m/>
    <m/>
    <m/>
    <m/>
    <m/>
    <m/>
    <m/>
    <m/>
    <m/>
    <m/>
    <n v="0"/>
    <n v="6000"/>
    <n v="29400000"/>
  </r>
  <r>
    <s v="177A/2019"/>
    <d v="2019-04-09T00:00:00"/>
    <s v="KIỀU THY"/>
    <s v="HT03"/>
    <x v="77"/>
    <x v="27"/>
    <s v="MANISSA"/>
    <m/>
    <s v="24+"/>
    <n v="75"/>
    <s v="NL2018"/>
    <s v="dlw"/>
    <n v="160"/>
    <n v="12000"/>
    <x v="30"/>
    <n v="192000000"/>
    <x v="2"/>
    <d v="2019-09-01T00:00:00"/>
    <d v="2019-09-29T00:00:00"/>
    <d v="2019-09-29T00:00:00"/>
    <s v="TẾT"/>
    <m/>
    <m/>
    <m/>
    <m/>
    <m/>
    <m/>
    <m/>
    <m/>
    <m/>
    <m/>
    <m/>
    <n v="0"/>
    <n v="12000"/>
    <n v="192000000"/>
  </r>
  <r>
    <s v="177A/2019"/>
    <d v="2019-04-09T00:00:00"/>
    <s v="KIỀU THY"/>
    <s v="HT03"/>
    <x v="77"/>
    <x v="27"/>
    <s v="MANISSA"/>
    <m/>
    <s v="24+"/>
    <n v="75"/>
    <s v="NL2018"/>
    <s v="dlw"/>
    <n v="100"/>
    <n v="7500"/>
    <x v="50"/>
    <n v="121500000"/>
    <x v="2"/>
    <d v="2019-09-01T00:00:00"/>
    <d v="2019-09-29T00:00:00"/>
    <d v="2019-09-29T00:00:00"/>
    <s v="TẾT"/>
    <m/>
    <m/>
    <m/>
    <m/>
    <m/>
    <m/>
    <m/>
    <m/>
    <m/>
    <m/>
    <m/>
    <n v="0"/>
    <n v="7500"/>
    <n v="121500000"/>
  </r>
  <r>
    <s v="177A/2019"/>
    <d v="2019-04-09T00:00:00"/>
    <s v="KIỀU THY"/>
    <s v="HT03"/>
    <x v="77"/>
    <x v="107"/>
    <s v="PROFUNDO CHILE"/>
    <m/>
    <s v="20.22"/>
    <n v="125"/>
    <s v="CL2019"/>
    <m/>
    <n v="80"/>
    <n v="10000"/>
    <x v="37"/>
    <n v="135000000"/>
    <x v="2"/>
    <d v="2019-09-01T00:00:00"/>
    <d v="2019-09-29T00:00:00"/>
    <d v="2019-09-29T00:00:00"/>
    <s v="TẾT"/>
    <m/>
    <m/>
    <m/>
    <m/>
    <m/>
    <m/>
    <m/>
    <m/>
    <m/>
    <m/>
    <m/>
    <n v="0"/>
    <n v="10000"/>
    <n v="135000000"/>
  </r>
  <r>
    <s v="176A/2019"/>
    <d v="2019-06-14T00:00:00"/>
    <s v="KIỀU THY"/>
    <s v="HT03"/>
    <x v="77"/>
    <x v="3"/>
    <s v="PAVIA"/>
    <m/>
    <s v="12.14"/>
    <n v="400"/>
    <s v="NL2018"/>
    <m/>
    <n v="15"/>
    <n v="6000"/>
    <x v="17"/>
    <n v="18000000"/>
    <x v="2"/>
    <d v="2019-07-15T00:00:00"/>
    <d v="2019-08-15T00:00:00"/>
    <d v="2019-08-15T00:00:00"/>
    <m/>
    <m/>
    <m/>
    <m/>
    <m/>
    <m/>
    <m/>
    <m/>
    <m/>
    <m/>
    <m/>
    <m/>
    <n v="0"/>
    <n v="6000"/>
    <n v="18000000"/>
  </r>
  <r>
    <s v="176A/2019"/>
    <d v="2019-06-14T00:00:00"/>
    <s v="KIỀU THY"/>
    <s v="HT03"/>
    <x v="77"/>
    <x v="3"/>
    <s v="PAVIA"/>
    <m/>
    <s v="12.14"/>
    <n v="400"/>
    <s v="NL2018"/>
    <m/>
    <n v="15"/>
    <n v="6000"/>
    <x v="17"/>
    <n v="18000000"/>
    <x v="2"/>
    <d v="2019-07-15T00:00:00"/>
    <d v="2019-08-15T00:00:00"/>
    <d v="2019-08-15T00:00:00"/>
    <m/>
    <m/>
    <m/>
    <m/>
    <m/>
    <m/>
    <m/>
    <m/>
    <m/>
    <m/>
    <m/>
    <m/>
    <n v="0"/>
    <n v="6000"/>
    <n v="18000000"/>
  </r>
  <r>
    <s v="176A/2019"/>
    <d v="2019-06-14T00:00:00"/>
    <s v="KIỀU THY"/>
    <s v="HT03"/>
    <x v="77"/>
    <x v="3"/>
    <s v="PAVIA"/>
    <m/>
    <s v="12.14"/>
    <n v="400"/>
    <s v="NL2018"/>
    <m/>
    <n v="15"/>
    <n v="6000"/>
    <x v="17"/>
    <n v="18000000"/>
    <x v="2"/>
    <d v="2019-07-15T00:00:00"/>
    <d v="2019-08-15T00:00:00"/>
    <d v="2019-08-15T00:00:00"/>
    <m/>
    <m/>
    <m/>
    <m/>
    <m/>
    <m/>
    <m/>
    <m/>
    <m/>
    <m/>
    <m/>
    <m/>
    <n v="0"/>
    <n v="6000"/>
    <n v="18000000"/>
  </r>
  <r>
    <s v="176A/2019"/>
    <d v="2019-06-14T00:00:00"/>
    <s v="KIỀU THY"/>
    <s v="HT03"/>
    <x v="77"/>
    <x v="3"/>
    <s v="PAVIA"/>
    <m/>
    <s v="12.14"/>
    <n v="400"/>
    <s v="NL2018"/>
    <m/>
    <n v="15"/>
    <n v="6000"/>
    <x v="17"/>
    <n v="18000000"/>
    <x v="2"/>
    <d v="2019-07-15T00:00:00"/>
    <d v="2019-08-15T00:00:00"/>
    <d v="2019-08-15T00:00:00"/>
    <m/>
    <m/>
    <m/>
    <m/>
    <m/>
    <m/>
    <m/>
    <m/>
    <m/>
    <m/>
    <m/>
    <m/>
    <n v="0"/>
    <n v="6000"/>
    <n v="18000000"/>
  </r>
  <r>
    <s v="177A/2019"/>
    <d v="2019-04-09T00:00:00"/>
    <s v="KIỀU THY"/>
    <s v="HT03"/>
    <x v="77"/>
    <x v="9"/>
    <s v="MANISSA"/>
    <m/>
    <s v="22.24"/>
    <n v="100"/>
    <s v="NL2018"/>
    <m/>
    <n v="0"/>
    <n v="0"/>
    <x v="10"/>
    <n v="0"/>
    <x v="1"/>
    <d v="2019-09-01T00:00:00"/>
    <d v="2019-09-29T00:00:00"/>
    <d v="2019-09-29T00:00:00"/>
    <s v="TẾT"/>
    <m/>
    <m/>
    <m/>
    <m/>
    <m/>
    <m/>
    <m/>
    <m/>
    <m/>
    <m/>
    <m/>
    <n v="0"/>
    <n v="0"/>
    <n v="0"/>
  </r>
  <r>
    <s v="80A/2019"/>
    <d v="2019-02-27T00:00:00"/>
    <s v="KIỀU THY"/>
    <s v="HT03"/>
    <x v="77"/>
    <x v="32"/>
    <s v="BACARDI"/>
    <m/>
    <s v="16.18"/>
    <n v="200"/>
    <s v="NL2018"/>
    <m/>
    <n v="25"/>
    <n v="5000"/>
    <x v="42"/>
    <n v="31500000"/>
    <x v="0"/>
    <s v="30-Feb-19"/>
    <d v="2019-04-04T00:00:00"/>
    <d v="2019-04-04T00:00:00"/>
    <s v="30/2AL"/>
    <s v="CONT 14/2019"/>
    <d v="2019-03-31T00:00:00"/>
    <s v="R"/>
    <d v="2019-04-03T00:00:00"/>
    <n v="5000"/>
    <m/>
    <m/>
    <m/>
    <m/>
    <m/>
    <m/>
    <n v="5000"/>
    <n v="0"/>
    <n v="0"/>
  </r>
  <r>
    <s v="80A/2019"/>
    <d v="2019-02-27T00:00:00"/>
    <s v="KIỀU THY"/>
    <s v="HT03"/>
    <x v="77"/>
    <x v="62"/>
    <s v="BACARDI"/>
    <m/>
    <s v="15.16"/>
    <n v="300"/>
    <s v="NL2018"/>
    <m/>
    <n v="5"/>
    <n v="1500"/>
    <x v="2"/>
    <n v="6600000"/>
    <x v="0"/>
    <s v="30-Feb-19"/>
    <d v="2019-04-04T00:00:00"/>
    <d v="2019-04-04T00:00:00"/>
    <s v="30/2AL"/>
    <m/>
    <m/>
    <m/>
    <d v="2019-04-03T00:00:00"/>
    <n v="1500"/>
    <m/>
    <m/>
    <m/>
    <m/>
    <m/>
    <m/>
    <n v="1500"/>
    <n v="0"/>
    <n v="0"/>
  </r>
  <r>
    <s v="244/2019"/>
    <d v="2019-06-14T00:00:00"/>
    <s v="THANH THÚY"/>
    <s v="HT01"/>
    <x v="78"/>
    <x v="108"/>
    <s v="ROBINA Newzeland"/>
    <m/>
    <s v="20.22"/>
    <s v="125"/>
    <s v="NZ2019"/>
    <m/>
    <n v="48"/>
    <n v="6000"/>
    <x v="29"/>
    <n v="75000000"/>
    <x v="2"/>
    <d v="2019-09-01T00:00:00"/>
    <d v="2019-09-29T00:00:00"/>
    <d v="2019-09-29T00:00:00"/>
    <m/>
    <m/>
    <m/>
    <m/>
    <m/>
    <m/>
    <m/>
    <m/>
    <m/>
    <m/>
    <m/>
    <m/>
    <n v="0"/>
    <n v="6000"/>
    <n v="75000000"/>
  </r>
  <r>
    <s v="244/2019"/>
    <d v="2019-06-14T00:00:00"/>
    <s v="THANH THÚY"/>
    <s v="HT01"/>
    <x v="78"/>
    <x v="110"/>
    <s v="CONCADOR NEWZELAND"/>
    <m/>
    <s v="20.22"/>
    <s v="125"/>
    <s v="NZ2019"/>
    <m/>
    <n v="88"/>
    <n v="11000"/>
    <x v="53"/>
    <n v="132000000"/>
    <x v="2"/>
    <d v="2019-09-01T00:00:00"/>
    <d v="2019-09-29T00:00:00"/>
    <d v="2019-09-29T00:00:00"/>
    <m/>
    <m/>
    <m/>
    <m/>
    <m/>
    <m/>
    <m/>
    <m/>
    <m/>
    <m/>
    <m/>
    <m/>
    <n v="0"/>
    <n v="11000"/>
    <n v="132000000"/>
  </r>
  <r>
    <s v="244/2019"/>
    <d v="2019-06-14T00:00:00"/>
    <s v="THANH THÚY"/>
    <s v="HT01"/>
    <x v="78"/>
    <x v="150"/>
    <s v="TRESOR"/>
    <m/>
    <s v="16.18"/>
    <s v="200"/>
    <s v="NL2018"/>
    <m/>
    <n v="10"/>
    <n v="2000"/>
    <x v="33"/>
    <n v="14000000"/>
    <x v="2"/>
    <d v="2019-09-01T00:00:00"/>
    <d v="2019-09-29T00:00:00"/>
    <d v="2019-09-29T00:00:00"/>
    <m/>
    <m/>
    <m/>
    <m/>
    <m/>
    <m/>
    <m/>
    <m/>
    <m/>
    <m/>
    <m/>
    <m/>
    <n v="0"/>
    <n v="2000"/>
    <n v="14000000"/>
  </r>
  <r>
    <s v="38A/2019"/>
    <d v="2019-02-11T00:00:00"/>
    <s v="KIỀU THY"/>
    <s v="HC03"/>
    <x v="79"/>
    <x v="47"/>
    <s v="ROBINA"/>
    <m/>
    <s v="18.20"/>
    <n v="150"/>
    <s v="NL2018"/>
    <m/>
    <n v="133"/>
    <n v="19950"/>
    <x v="134"/>
    <n v="130233600"/>
    <x v="0"/>
    <d v="2019-04-17T00:00:00"/>
    <d v="2019-05-21T00:00:00"/>
    <d v="2019-05-21T00:00:00"/>
    <s v="30/3AL"/>
    <m/>
    <m/>
    <m/>
    <m/>
    <n v="19950"/>
    <m/>
    <m/>
    <m/>
    <m/>
    <m/>
    <m/>
    <n v="19950"/>
    <n v="0"/>
    <n v="0"/>
  </r>
  <r>
    <s v="38A/2019"/>
    <d v="2019-05-13T00:00:00"/>
    <s v="KIỀU THY"/>
    <s v="HC03"/>
    <x v="79"/>
    <x v="47"/>
    <s v="ROBINA"/>
    <m/>
    <s v="18.20"/>
    <n v="150"/>
    <s v="NL2018"/>
    <m/>
    <n v="66"/>
    <n v="9900"/>
    <x v="135"/>
    <n v="78210000"/>
    <x v="0"/>
    <d v="2019-04-17T00:00:00"/>
    <d v="2019-05-21T00:00:00"/>
    <d v="2019-05-21T00:00:00"/>
    <s v="30/3AL"/>
    <m/>
    <m/>
    <m/>
    <m/>
    <n v="9900"/>
    <m/>
    <m/>
    <m/>
    <m/>
    <m/>
    <m/>
    <n v="9900"/>
    <n v="0"/>
    <n v="0"/>
  </r>
  <r>
    <s v="38A/2019"/>
    <d v="2019-02-11T00:00:00"/>
    <s v="KIỀU THY"/>
    <s v="HC03"/>
    <x v="79"/>
    <x v="28"/>
    <s v="YELLOWEEN"/>
    <m/>
    <s v="14.16"/>
    <n v="300"/>
    <s v="NL2018"/>
    <m/>
    <n v="67"/>
    <n v="20100"/>
    <x v="136"/>
    <n v="78671400"/>
    <x v="0"/>
    <d v="2019-04-17T00:00:00"/>
    <d v="2019-05-21T00:00:00"/>
    <d v="2019-05-21T00:00:00"/>
    <s v="30/3AL"/>
    <m/>
    <m/>
    <m/>
    <m/>
    <n v="20100"/>
    <m/>
    <m/>
    <m/>
    <m/>
    <m/>
    <m/>
    <n v="20100"/>
    <n v="0"/>
    <n v="0"/>
  </r>
  <r>
    <s v="38A/2019"/>
    <d v="2019-02-11T00:00:00"/>
    <s v="KIỀU THY"/>
    <s v="HC03"/>
    <x v="79"/>
    <x v="38"/>
    <s v="YELLOWEEN"/>
    <m/>
    <s v="16.18"/>
    <n v="200"/>
    <s v="NL2018"/>
    <m/>
    <n v="150"/>
    <n v="30000"/>
    <x v="18"/>
    <n v="150000000"/>
    <x v="0"/>
    <d v="2019-01-15T00:00:00"/>
    <d v="2019-02-19T00:00:00"/>
    <d v="2019-02-19T00:00:00"/>
    <s v="15/1AL"/>
    <m/>
    <m/>
    <s v="R"/>
    <d v="2019-02-20T00:00:00"/>
    <n v="30000"/>
    <m/>
    <m/>
    <m/>
    <m/>
    <m/>
    <m/>
    <n v="30000"/>
    <n v="0"/>
    <n v="0"/>
  </r>
  <r>
    <s v="38A/2019"/>
    <d v="2019-02-11T00:00:00"/>
    <s v="KIỀU THY"/>
    <s v="HC03"/>
    <x v="79"/>
    <x v="151"/>
    <s v="ROBINA"/>
    <m/>
    <s v="20.22"/>
    <n v="125"/>
    <s v="NL2017"/>
    <m/>
    <n v="96"/>
    <n v="12000"/>
    <x v="46"/>
    <n v="72000000"/>
    <x v="0"/>
    <d v="2019-02-07T00:00:00"/>
    <d v="2019-03-12T00:00:00"/>
    <d v="2019-03-12T00:00:00"/>
    <s v="07/2AL"/>
    <s v="CONT 87/2018"/>
    <m/>
    <s v="R"/>
    <d v="2019-03-20T00:00:00"/>
    <n v="12000"/>
    <m/>
    <m/>
    <m/>
    <m/>
    <m/>
    <m/>
    <n v="12000"/>
    <n v="0"/>
    <n v="0"/>
  </r>
  <r>
    <s v="38A/2019"/>
    <d v="2019-02-11T00:00:00"/>
    <s v="KIỀU THY"/>
    <s v="HC03"/>
    <x v="79"/>
    <x v="152"/>
    <s v="MANISSA ÍT RỄ"/>
    <s v="PR"/>
    <s v="20.22"/>
    <n v="125"/>
    <s v="NL2018"/>
    <m/>
    <n v="153"/>
    <n v="19125"/>
    <x v="137"/>
    <n v="166387500"/>
    <x v="0"/>
    <d v="2019-02-28T00:00:00"/>
    <d v="2019-04-02T00:00:00"/>
    <d v="2019-04-02T00:00:00"/>
    <s v="28/2AL"/>
    <s v="CONT 16/2019"/>
    <d v="2019-03-31T00:00:00"/>
    <s v="R"/>
    <d v="2019-04-02T00:00:00"/>
    <n v="19125"/>
    <m/>
    <m/>
    <m/>
    <m/>
    <m/>
    <m/>
    <n v="19125"/>
    <n v="0"/>
    <n v="0"/>
  </r>
  <r>
    <s v="38A/2019"/>
    <d v="2019-02-11T00:00:00"/>
    <s v="KIỀU THY"/>
    <s v="HC03"/>
    <x v="79"/>
    <x v="47"/>
    <s v="ROBINA"/>
    <m/>
    <s v="18.20"/>
    <n v="150"/>
    <s v="NL2018"/>
    <m/>
    <n v="134"/>
    <n v="20100"/>
    <x v="27"/>
    <n v="160800000"/>
    <x v="3"/>
    <d v="2019-05-18T00:00:00"/>
    <d v="2019-06-20T00:00:00"/>
    <d v="2019-06-20T00:00:00"/>
    <s v="25/5AL"/>
    <m/>
    <m/>
    <m/>
    <m/>
    <m/>
    <m/>
    <m/>
    <m/>
    <m/>
    <m/>
    <m/>
    <n v="0"/>
    <n v="20100"/>
    <n v="160800000"/>
  </r>
  <r>
    <s v="38A/2019"/>
    <d v="2019-06-04T00:00:00"/>
    <s v="KIỀU THY"/>
    <s v="HC03"/>
    <x v="79"/>
    <x v="28"/>
    <s v="YELLOWEEN"/>
    <m/>
    <n v="14.16"/>
    <n v="300"/>
    <s v="NL2018"/>
    <m/>
    <n v="34"/>
    <n v="10200"/>
    <x v="56"/>
    <n v="39780000"/>
    <x v="0"/>
    <d v="2019-05-05T00:00:00"/>
    <d v="2019-06-07T00:00:00"/>
    <d v="2019-06-07T00:00:00"/>
    <m/>
    <m/>
    <m/>
    <m/>
    <d v="2019-06-08T00:00:00"/>
    <n v="10200"/>
    <m/>
    <m/>
    <m/>
    <m/>
    <m/>
    <m/>
    <n v="10200"/>
    <n v="0"/>
    <n v="0"/>
  </r>
  <r>
    <s v="204A/2019"/>
    <d v="2019-04-22T00:00:00"/>
    <s v="KIỀU THY"/>
    <s v="HC03"/>
    <x v="79"/>
    <x v="153"/>
    <s v="ROBINA Newzeland"/>
    <m/>
    <s v="18.20"/>
    <n v="150"/>
    <s v="NZ2019"/>
    <m/>
    <n v="134"/>
    <n v="20100"/>
    <x v="60"/>
    <n v="190950000"/>
    <x v="2"/>
    <d v="2019-08-01T00:00:00"/>
    <d v="2019-08-30T00:00:00"/>
    <d v="2019-08-30T00:00:00"/>
    <s v="1/8AL"/>
    <m/>
    <m/>
    <m/>
    <m/>
    <m/>
    <m/>
    <m/>
    <m/>
    <m/>
    <m/>
    <m/>
    <n v="0"/>
    <n v="20100"/>
    <n v="190950000"/>
  </r>
  <r>
    <s v="38A/2019"/>
    <d v="2019-02-11T00:00:00"/>
    <s v="KIỀU THY"/>
    <s v="HC03"/>
    <x v="79"/>
    <x v="47"/>
    <s v="ROBINA"/>
    <m/>
    <s v="18.20"/>
    <n v="150"/>
    <s v="NL2018"/>
    <m/>
    <n v="67"/>
    <n v="10050"/>
    <x v="134"/>
    <n v="65606400"/>
    <x v="0"/>
    <d v="2019-04-17T00:00:00"/>
    <d v="2019-05-21T00:00:00"/>
    <d v="2019-05-21T00:00:00"/>
    <s v="30/3AL"/>
    <m/>
    <m/>
    <m/>
    <d v="2019-05-06T00:00:00"/>
    <n v="10050"/>
    <m/>
    <m/>
    <m/>
    <m/>
    <m/>
    <m/>
    <n v="10050"/>
    <n v="0"/>
    <n v="0"/>
  </r>
  <r>
    <s v="38A/2019"/>
    <d v="2019-05-29T00:00:00"/>
    <s v="KIỀU THY"/>
    <s v="HC03"/>
    <x v="79"/>
    <x v="47"/>
    <s v="ROBINA"/>
    <m/>
    <s v="18.20"/>
    <n v="150"/>
    <s v="NL2018"/>
    <m/>
    <n v="0"/>
    <n v="0"/>
    <x v="135"/>
    <n v="0"/>
    <x v="1"/>
    <d v="2019-04-17T00:00:00"/>
    <d v="2019-05-21T00:00:00"/>
    <d v="2019-05-21T00:00:00"/>
    <s v="30/3AL"/>
    <m/>
    <m/>
    <m/>
    <m/>
    <m/>
    <m/>
    <m/>
    <m/>
    <m/>
    <m/>
    <m/>
    <n v="0"/>
    <n v="0"/>
    <n v="0"/>
  </r>
  <r>
    <s v="204A/2019"/>
    <d v="2019-04-22T00:00:00"/>
    <s v="KIỀU THY"/>
    <s v="HC03"/>
    <x v="79"/>
    <x v="16"/>
    <s v="ROBINA"/>
    <m/>
    <s v="20.22"/>
    <n v="125"/>
    <s v="NL2018"/>
    <m/>
    <n v="240"/>
    <n v="30000"/>
    <x v="16"/>
    <n v="321000000"/>
    <x v="2"/>
    <d v="2019-09-01T00:00:00"/>
    <d v="2019-09-29T00:00:00"/>
    <d v="2019-09-29T00:00:00"/>
    <s v="TẾT"/>
    <m/>
    <m/>
    <m/>
    <m/>
    <m/>
    <m/>
    <m/>
    <m/>
    <m/>
    <m/>
    <m/>
    <n v="0"/>
    <n v="30000"/>
    <n v="321000000"/>
  </r>
  <r>
    <s v="204A/2019"/>
    <d v="2019-04-22T00:00:00"/>
    <s v="KIỀU THY"/>
    <s v="HC03"/>
    <x v="79"/>
    <x v="25"/>
    <s v="CONCADOR"/>
    <m/>
    <s v="18.20"/>
    <n v="150"/>
    <s v="NL2018"/>
    <m/>
    <n v="67"/>
    <n v="10050"/>
    <x v="27"/>
    <n v="80400000"/>
    <x v="2"/>
    <d v="2019-09-01T00:00:00"/>
    <d v="2019-09-29T00:00:00"/>
    <d v="2019-09-29T00:00:00"/>
    <s v="TẾT"/>
    <m/>
    <m/>
    <m/>
    <m/>
    <m/>
    <m/>
    <m/>
    <m/>
    <m/>
    <m/>
    <m/>
    <n v="0"/>
    <n v="10050"/>
    <n v="80400000"/>
  </r>
  <r>
    <s v="132A/2019"/>
    <d v="2019-02-26T00:00:00"/>
    <s v="KIỀU THY"/>
    <s v="HC01"/>
    <x v="80"/>
    <x v="6"/>
    <s v="CONCAD'OR"/>
    <m/>
    <s v="20.22"/>
    <n v="125"/>
    <s v="NL2018"/>
    <m/>
    <n v="24"/>
    <n v="3000"/>
    <x v="59"/>
    <n v="31500000"/>
    <x v="2"/>
    <d v="2019-09-01T00:00:00"/>
    <d v="2019-09-29T00:00:00"/>
    <d v="2019-09-29T00:00:00"/>
    <s v="TẾT"/>
    <m/>
    <m/>
    <m/>
    <m/>
    <n v="0"/>
    <m/>
    <m/>
    <m/>
    <m/>
    <m/>
    <m/>
    <n v="0"/>
    <n v="3000"/>
    <n v="31500000"/>
  </r>
  <r>
    <s v="132A/2019"/>
    <d v="2019-02-26T00:00:00"/>
    <s v="KIỀU THY"/>
    <s v="HC01"/>
    <x v="80"/>
    <x v="141"/>
    <s v="MANISSA"/>
    <m/>
    <s v="18.20"/>
    <n v="150"/>
    <s v="NL2018"/>
    <s v="VZT"/>
    <n v="34"/>
    <n v="5100"/>
    <x v="16"/>
    <n v="54570000"/>
    <x v="2"/>
    <d v="2019-09-01T00:00:00"/>
    <d v="2019-09-29T00:00:00"/>
    <d v="2019-09-29T00:00:00"/>
    <s v="TẾT"/>
    <m/>
    <m/>
    <m/>
    <m/>
    <n v="0"/>
    <m/>
    <m/>
    <m/>
    <m/>
    <m/>
    <m/>
    <n v="0"/>
    <n v="5100"/>
    <n v="54570000"/>
  </r>
  <r>
    <s v="132A/2019"/>
    <d v="2019-02-26T00:00:00"/>
    <s v="KIỀU THY"/>
    <s v="HC01"/>
    <x v="80"/>
    <x v="36"/>
    <s v="MANISSA"/>
    <m/>
    <s v="20.22"/>
    <n v="125"/>
    <s v="NL2018"/>
    <s v="dlw"/>
    <n v="80"/>
    <n v="10000"/>
    <x v="37"/>
    <n v="135000000"/>
    <x v="2"/>
    <d v="2019-09-01T00:00:00"/>
    <d v="2019-09-29T00:00:00"/>
    <d v="2019-09-29T00:00:00"/>
    <s v="TẾT/DL"/>
    <m/>
    <m/>
    <m/>
    <m/>
    <n v="0"/>
    <m/>
    <m/>
    <m/>
    <m/>
    <m/>
    <m/>
    <n v="0"/>
    <n v="10000"/>
    <n v="135000000"/>
  </r>
  <r>
    <s v="132A/2019"/>
    <d v="2019-02-26T00:00:00"/>
    <s v="KIỀU THY"/>
    <s v="HC01"/>
    <x v="80"/>
    <x v="143"/>
    <s v="NELLO "/>
    <m/>
    <s v="18.20"/>
    <n v="150"/>
    <s v="NL2018"/>
    <s v="dlw"/>
    <n v="34"/>
    <n v="5100"/>
    <x v="35"/>
    <n v="36720000"/>
    <x v="2"/>
    <d v="2019-09-01T00:00:00"/>
    <d v="2019-09-29T00:00:00"/>
    <d v="2019-09-29T00:00:00"/>
    <s v="TẾT/DL"/>
    <m/>
    <m/>
    <m/>
    <m/>
    <n v="0"/>
    <m/>
    <m/>
    <m/>
    <m/>
    <m/>
    <m/>
    <n v="0"/>
    <n v="5100"/>
    <n v="36720000"/>
  </r>
  <r>
    <s v="132A/2019"/>
    <d v="2019-02-26T00:00:00"/>
    <s v="KIỀU THY"/>
    <s v="HC01"/>
    <x v="80"/>
    <x v="42"/>
    <s v="PAVIA"/>
    <m/>
    <s v="16.18"/>
    <n v="200"/>
    <s v="NL2018"/>
    <m/>
    <n v="15"/>
    <n v="3000"/>
    <x v="20"/>
    <n v="18300000"/>
    <x v="2"/>
    <d v="2019-09-01T00:00:00"/>
    <d v="2019-09-29T00:00:00"/>
    <d v="2019-09-29T00:00:00"/>
    <s v="TẾT"/>
    <m/>
    <m/>
    <m/>
    <m/>
    <n v="0"/>
    <m/>
    <m/>
    <m/>
    <m/>
    <m/>
    <m/>
    <n v="0"/>
    <n v="3000"/>
    <n v="18300000"/>
  </r>
  <r>
    <s v="132A/2019"/>
    <d v="2019-02-26T00:00:00"/>
    <s v="KIỀU THY"/>
    <s v="HC01"/>
    <x v="80"/>
    <x v="37"/>
    <s v="PROFUNDO"/>
    <m/>
    <s v="20.22"/>
    <n v="125"/>
    <s v="NL2018"/>
    <s v="ON"/>
    <n v="80"/>
    <n v="10000"/>
    <x v="40"/>
    <n v="130000000"/>
    <x v="2"/>
    <d v="2019-09-01T00:00:00"/>
    <d v="2019-09-29T00:00:00"/>
    <d v="2019-09-29T00:00:00"/>
    <s v="TẾT/ON"/>
    <m/>
    <m/>
    <m/>
    <m/>
    <n v="0"/>
    <m/>
    <m/>
    <m/>
    <m/>
    <m/>
    <m/>
    <n v="0"/>
    <n v="10000"/>
    <n v="130000000"/>
  </r>
  <r>
    <s v="132A/2019"/>
    <d v="2019-02-26T00:00:00"/>
    <s v="KIỀU THY"/>
    <s v="HC01"/>
    <x v="80"/>
    <x v="14"/>
    <s v="TARRANGO"/>
    <m/>
    <s v="20.22"/>
    <n v="125"/>
    <s v="NL2018"/>
    <s v="V.W.S"/>
    <n v="80"/>
    <n v="10000"/>
    <x v="71"/>
    <n v="100000000"/>
    <x v="2"/>
    <d v="2019-09-01T00:00:00"/>
    <d v="2019-09-29T00:00:00"/>
    <d v="2019-09-29T00:00:00"/>
    <s v="TẾT/V.W.S"/>
    <m/>
    <m/>
    <m/>
    <m/>
    <n v="0"/>
    <m/>
    <m/>
    <m/>
    <m/>
    <m/>
    <m/>
    <n v="0"/>
    <n v="10000"/>
    <n v="100000000"/>
  </r>
  <r>
    <s v="132A/2019"/>
    <d v="2019-02-26T00:00:00"/>
    <s v="KIỀU THY"/>
    <s v="HC01"/>
    <x v="80"/>
    <x v="154"/>
    <s v="YELLOWEEN"/>
    <m/>
    <s v="18.20"/>
    <n v="150"/>
    <s v="NL2018"/>
    <m/>
    <n v="20"/>
    <n v="3000"/>
    <x v="116"/>
    <n v="25200000"/>
    <x v="2"/>
    <d v="2019-09-01T00:00:00"/>
    <d v="2019-09-29T00:00:00"/>
    <d v="2019-09-29T00:00:00"/>
    <s v="TẾT"/>
    <m/>
    <m/>
    <m/>
    <m/>
    <n v="0"/>
    <m/>
    <m/>
    <m/>
    <m/>
    <m/>
    <m/>
    <n v="0"/>
    <n v="3000"/>
    <n v="25200000"/>
  </r>
  <r>
    <s v="194A/2019"/>
    <d v="2019-04-13T00:00:00"/>
    <s v="KIỀU THY"/>
    <s v="HC01"/>
    <x v="80"/>
    <x v="2"/>
    <s v="NASHVILLE"/>
    <m/>
    <s v="14.16"/>
    <n v="300"/>
    <s v="NL2018"/>
    <m/>
    <n v="10"/>
    <n v="3000"/>
    <x v="56"/>
    <n v="11700000"/>
    <x v="0"/>
    <d v="2019-04-17T00:00:00"/>
    <d v="2019-05-21T00:00:00"/>
    <d v="2019-05-21T00:00:00"/>
    <s v="17/4AL"/>
    <m/>
    <m/>
    <m/>
    <d v="2019-05-20T00:00:00"/>
    <n v="3000"/>
    <m/>
    <m/>
    <m/>
    <m/>
    <m/>
    <m/>
    <n v="3000"/>
    <n v="0"/>
    <n v="0"/>
  </r>
  <r>
    <s v="194A/2019"/>
    <d v="2019-04-13T00:00:00"/>
    <s v="KIỀU THY"/>
    <s v="HC01"/>
    <x v="80"/>
    <x v="80"/>
    <s v="PROFUNDO"/>
    <m/>
    <s v="14.16"/>
    <n v="300"/>
    <s v="NL2018"/>
    <m/>
    <n v="10"/>
    <n v="3000"/>
    <x v="18"/>
    <n v="15000000"/>
    <x v="0"/>
    <d v="2019-04-17T00:00:00"/>
    <d v="2019-05-21T00:00:00"/>
    <d v="2019-05-21T00:00:00"/>
    <s v="17/4AL"/>
    <m/>
    <m/>
    <m/>
    <d v="2019-05-20T00:00:00"/>
    <n v="3000"/>
    <m/>
    <m/>
    <m/>
    <m/>
    <m/>
    <m/>
    <n v="3000"/>
    <n v="0"/>
    <n v="0"/>
  </r>
  <r>
    <s v="194A/2019"/>
    <d v="2019-04-13T00:00:00"/>
    <s v="KIỀU THY"/>
    <s v="HC01"/>
    <x v="80"/>
    <x v="57"/>
    <s v="DALIAN"/>
    <m/>
    <s v="14.16"/>
    <n v="300"/>
    <s v="NL2018"/>
    <m/>
    <n v="7"/>
    <n v="2100"/>
    <x v="44"/>
    <n v="11550000"/>
    <x v="0"/>
    <d v="2019-04-17T00:00:00"/>
    <d v="2019-05-21T00:00:00"/>
    <d v="2019-05-21T00:00:00"/>
    <s v="17/4AL"/>
    <m/>
    <m/>
    <m/>
    <d v="2019-05-20T00:00:00"/>
    <n v="2100"/>
    <m/>
    <m/>
    <m/>
    <m/>
    <m/>
    <m/>
    <n v="2100"/>
    <n v="0"/>
    <n v="0"/>
  </r>
  <r>
    <s v="79A/2019"/>
    <d v="2019-02-26T00:00:00"/>
    <s v="KIỀU THY"/>
    <s v="HC01"/>
    <x v="80"/>
    <x v="155"/>
    <s v="HYDE PARK"/>
    <m/>
    <s v="14.16"/>
    <n v="300"/>
    <s v="NL2018"/>
    <m/>
    <n v="7"/>
    <n v="2100"/>
    <x v="57"/>
    <n v="8400000"/>
    <x v="0"/>
    <d v="2019-02-15T00:00:00"/>
    <d v="2019-03-20T00:00:00"/>
    <d v="2019-03-20T00:00:00"/>
    <s v="15/2AL"/>
    <s v="CONT 10/2019"/>
    <d v="2019-03-17T00:00:00"/>
    <m/>
    <d v="2019-03-19T00:00:00"/>
    <n v="2100"/>
    <m/>
    <m/>
    <m/>
    <m/>
    <m/>
    <m/>
    <n v="2100"/>
    <n v="0"/>
    <n v="0"/>
  </r>
  <r>
    <s v="79A/2019"/>
    <d v="2019-02-26T00:00:00"/>
    <s v="KIỀU THY"/>
    <s v="HC01"/>
    <x v="80"/>
    <x v="41"/>
    <s v="PAVIA"/>
    <m/>
    <s v="14.16"/>
    <n v="300"/>
    <s v="NL2018"/>
    <m/>
    <n v="10"/>
    <n v="3000"/>
    <x v="1"/>
    <n v="12600000"/>
    <x v="0"/>
    <d v="2019-02-15T00:00:00"/>
    <d v="2019-03-20T00:00:00"/>
    <d v="2019-03-20T00:00:00"/>
    <s v="15/2AL"/>
    <s v="CONT 10/2019"/>
    <d v="2019-03-17T00:00:00"/>
    <m/>
    <d v="2019-03-19T00:00:00"/>
    <n v="3000"/>
    <m/>
    <m/>
    <m/>
    <m/>
    <m/>
    <m/>
    <n v="3000"/>
    <n v="0"/>
    <n v="0"/>
  </r>
  <r>
    <s v="79A/2019"/>
    <d v="2019-02-26T00:00:00"/>
    <s v="KIỀU THY"/>
    <s v="HC01"/>
    <x v="80"/>
    <x v="80"/>
    <s v="PROFUNDO"/>
    <m/>
    <s v="14.16"/>
    <n v="300"/>
    <s v="NL2018"/>
    <m/>
    <n v="10"/>
    <n v="3000"/>
    <x v="82"/>
    <n v="15600000"/>
    <x v="0"/>
    <d v="2019-02-15T00:00:00"/>
    <d v="2019-03-20T00:00:00"/>
    <d v="2019-03-20T00:00:00"/>
    <s v="15/2AL"/>
    <s v="CONT 12/2019"/>
    <d v="2019-03-17T00:00:00"/>
    <m/>
    <d v="2019-03-19T00:00:00"/>
    <n v="3000"/>
    <m/>
    <m/>
    <m/>
    <m/>
    <m/>
    <m/>
    <n v="3000"/>
    <n v="0"/>
    <n v="0"/>
  </r>
  <r>
    <s v="79A/2019"/>
    <d v="2019-02-26T00:00:00"/>
    <s v="KIỀU THY"/>
    <s v="HC01"/>
    <x v="80"/>
    <x v="15"/>
    <s v="CONCADOR"/>
    <m/>
    <s v="16.18"/>
    <n v="200"/>
    <s v="NL2018"/>
    <m/>
    <n v="15"/>
    <n v="3000"/>
    <x v="18"/>
    <n v="15000000"/>
    <x v="0"/>
    <d v="2019-03-15T00:00:00"/>
    <d v="2019-04-19T00:00:00"/>
    <d v="2019-04-19T00:00:00"/>
    <s v="15/3AL"/>
    <s v="CONT 22/2019"/>
    <d v="2019-04-14T00:00:00"/>
    <m/>
    <d v="2019-04-17T00:00:00"/>
    <n v="3000"/>
    <m/>
    <m/>
    <m/>
    <m/>
    <m/>
    <m/>
    <n v="3000"/>
    <n v="0"/>
    <n v="0"/>
  </r>
  <r>
    <s v="79A/2019"/>
    <d v="2019-02-26T00:00:00"/>
    <s v="KIỀU THY"/>
    <s v="HC01"/>
    <x v="80"/>
    <x v="17"/>
    <s v="NELLO "/>
    <m/>
    <s v="12.14"/>
    <n v="400"/>
    <s v="NL2018"/>
    <m/>
    <n v="18"/>
    <n v="7200"/>
    <x v="17"/>
    <n v="21600000"/>
    <x v="0"/>
    <d v="2019-03-15T00:00:00"/>
    <d v="2019-04-19T00:00:00"/>
    <d v="2019-04-19T00:00:00"/>
    <s v="15/3AL"/>
    <s v="CONT 20/2019"/>
    <d v="2019-04-14T00:00:00"/>
    <m/>
    <d v="2019-04-23T00:00:00"/>
    <n v="7200"/>
    <m/>
    <m/>
    <m/>
    <m/>
    <m/>
    <m/>
    <n v="7200"/>
    <n v="0"/>
    <n v="0"/>
  </r>
  <r>
    <s v="79A/2019"/>
    <d v="2019-02-26T00:00:00"/>
    <s v="KIỀU THY"/>
    <s v="HC01"/>
    <x v="80"/>
    <x v="5"/>
    <s v="PROFUNDO"/>
    <m/>
    <s v="16.18"/>
    <n v="200"/>
    <s v="NL2018"/>
    <m/>
    <n v="15"/>
    <n v="3000"/>
    <x v="45"/>
    <n v="20100000"/>
    <x v="0"/>
    <d v="2019-03-15T00:00:00"/>
    <d v="2019-04-19T00:00:00"/>
    <d v="2019-04-19T00:00:00"/>
    <s v="15/3AL"/>
    <s v="CONT 23/2019"/>
    <d v="2019-04-14T00:00:00"/>
    <m/>
    <d v="2019-04-17T00:00:00"/>
    <n v="3000"/>
    <m/>
    <m/>
    <m/>
    <m/>
    <m/>
    <m/>
    <n v="3000"/>
    <n v="0"/>
    <n v="0"/>
  </r>
  <r>
    <s v="79A/2019"/>
    <d v="2019-02-26T00:00:00"/>
    <s v="KIỀU THY"/>
    <s v="HC01"/>
    <x v="80"/>
    <x v="34"/>
    <s v="TARRANGO"/>
    <m/>
    <s v="16.18"/>
    <n v="200"/>
    <s v="NL2018"/>
    <m/>
    <n v="15"/>
    <n v="3000"/>
    <x v="44"/>
    <n v="16500000"/>
    <x v="0"/>
    <d v="2019-03-15T00:00:00"/>
    <d v="2019-04-19T00:00:00"/>
    <d v="2019-04-19T00:00:00"/>
    <s v="15/3AL"/>
    <s v="CONT 26/2019"/>
    <d v="2019-04-14T00:00:00"/>
    <m/>
    <d v="2019-04-17T00:00:00"/>
    <n v="3000"/>
    <m/>
    <m/>
    <m/>
    <m/>
    <m/>
    <m/>
    <n v="3000"/>
    <n v="0"/>
    <n v="0"/>
  </r>
  <r>
    <s v="79A/2019"/>
    <d v="2019-02-26T00:00:00"/>
    <s v="KIỀU THY"/>
    <s v="HC01"/>
    <x v="80"/>
    <x v="11"/>
    <s v="YELLOWEEN"/>
    <m/>
    <s v="12.14"/>
    <n v="400"/>
    <s v="NL2018"/>
    <m/>
    <n v="13"/>
    <n v="5200"/>
    <x v="12"/>
    <n v="13520000"/>
    <x v="0"/>
    <d v="2019-03-15T00:00:00"/>
    <d v="2019-04-19T00:00:00"/>
    <d v="2019-04-19T00:00:00"/>
    <s v="15/3AL"/>
    <s v="CONT 24/2019"/>
    <d v="2019-04-14T00:00:00"/>
    <m/>
    <d v="2019-04-17T00:00:00"/>
    <n v="5200"/>
    <m/>
    <m/>
    <m/>
    <m/>
    <m/>
    <m/>
    <n v="5200"/>
    <n v="0"/>
    <n v="0"/>
  </r>
  <r>
    <s v="79A/2019"/>
    <d v="2019-02-26T00:00:00"/>
    <s v="KIỀU THY"/>
    <s v="HC01"/>
    <x v="80"/>
    <x v="28"/>
    <s v="YELLOWEEN"/>
    <m/>
    <s v="14.16"/>
    <n v="300"/>
    <s v="NL2018"/>
    <m/>
    <n v="17"/>
    <n v="5100"/>
    <x v="6"/>
    <n v="19380000"/>
    <x v="0"/>
    <d v="2019-03-15T00:00:00"/>
    <d v="2019-04-19T00:00:00"/>
    <d v="2019-04-19T00:00:00"/>
    <s v="15/3AL"/>
    <s v="CONT 27/2019"/>
    <d v="2019-04-14T00:00:00"/>
    <m/>
    <d v="2019-04-23T00:00:00"/>
    <n v="5100"/>
    <m/>
    <m/>
    <m/>
    <m/>
    <m/>
    <m/>
    <n v="5100"/>
    <n v="0"/>
    <n v="0"/>
  </r>
  <r>
    <s v="79A/2019"/>
    <d v="2019-02-26T00:00:00"/>
    <s v="KIỀU THY"/>
    <s v="HC01"/>
    <x v="80"/>
    <x v="3"/>
    <s v="PAVIA"/>
    <m/>
    <s v="12.14"/>
    <n v="400"/>
    <s v="NL2018"/>
    <m/>
    <n v="25"/>
    <n v="10000"/>
    <x v="4"/>
    <n v="28000000"/>
    <x v="0"/>
    <s v="30-Feb-19"/>
    <d v="2019-04-04T00:00:00"/>
    <d v="2019-04-04T00:00:00"/>
    <s v="30/2AL"/>
    <s v="CONT 14/2019"/>
    <d v="2019-03-31T00:00:00"/>
    <m/>
    <d v="2019-04-03T00:00:00"/>
    <n v="10000"/>
    <m/>
    <m/>
    <m/>
    <m/>
    <m/>
    <m/>
    <n v="10000"/>
    <n v="0"/>
    <n v="0"/>
  </r>
  <r>
    <s v="79A/2019"/>
    <d v="2019-02-26T00:00:00"/>
    <s v="KIỀU THY"/>
    <s v="HC01"/>
    <x v="80"/>
    <x v="68"/>
    <s v="TEBALDI"/>
    <m/>
    <s v="12.14"/>
    <n v="400"/>
    <s v="NL2018"/>
    <m/>
    <n v="8"/>
    <n v="3200"/>
    <x v="4"/>
    <n v="8960000"/>
    <x v="0"/>
    <s v="30-Feb-19"/>
    <d v="2019-04-04T00:00:00"/>
    <d v="2019-04-04T00:00:00"/>
    <s v="30/2AL"/>
    <s v="CONT 15/2019"/>
    <d v="2019-03-31T00:00:00"/>
    <m/>
    <d v="2019-04-03T00:00:00"/>
    <n v="3200"/>
    <m/>
    <m/>
    <m/>
    <m/>
    <m/>
    <m/>
    <n v="3200"/>
    <n v="0"/>
    <n v="0"/>
  </r>
  <r>
    <s v="79A/2019"/>
    <d v="2019-06-04T00:00:00"/>
    <s v="KIỀU THY"/>
    <s v="HC01"/>
    <x v="80"/>
    <x v="91"/>
    <s v="FERRERO"/>
    <m/>
    <s v="13.14"/>
    <n v="400"/>
    <s v="NL2018"/>
    <m/>
    <n v="5"/>
    <n v="2000"/>
    <x v="13"/>
    <n v="9000000"/>
    <x v="0"/>
    <d v="2019-05-05T00:00:00"/>
    <d v="2019-06-07T00:00:00"/>
    <d v="2019-06-07T00:00:00"/>
    <m/>
    <m/>
    <m/>
    <m/>
    <d v="2019-06-17T00:00:00"/>
    <n v="2000"/>
    <m/>
    <m/>
    <m/>
    <m/>
    <m/>
    <m/>
    <n v="2000"/>
    <n v="0"/>
    <n v="0"/>
  </r>
  <r>
    <s v="79A/2019"/>
    <d v="2019-06-17T00:00:00"/>
    <s v="KIỀU THY"/>
    <s v="HC01"/>
    <x v="80"/>
    <x v="31"/>
    <s v="TARRANGO"/>
    <m/>
    <s v="14.16"/>
    <n v="300"/>
    <s v="NL2018"/>
    <m/>
    <n v="15"/>
    <n v="4500"/>
    <x v="18"/>
    <n v="22500000"/>
    <x v="3"/>
    <d v="2019-06-15T00:00:00"/>
    <d v="2019-07-17T00:00:00"/>
    <d v="2019-07-17T00:00:00"/>
    <m/>
    <m/>
    <m/>
    <m/>
    <m/>
    <m/>
    <m/>
    <m/>
    <m/>
    <m/>
    <m/>
    <m/>
    <n v="0"/>
    <n v="4500"/>
    <n v="22500000"/>
  </r>
  <r>
    <s v="79A/2019"/>
    <d v="2019-06-17T00:00:00"/>
    <s v="KIỀU THY"/>
    <s v="HC01"/>
    <x v="80"/>
    <x v="3"/>
    <s v="PAVIA"/>
    <m/>
    <s v="12.14"/>
    <n v="400"/>
    <s v="NL2018"/>
    <m/>
    <n v="12"/>
    <n v="4800"/>
    <x v="17"/>
    <n v="14400000"/>
    <x v="3"/>
    <d v="2019-06-15T00:00:00"/>
    <d v="2019-07-17T00:00:00"/>
    <d v="2019-07-17T00:00:00"/>
    <m/>
    <m/>
    <m/>
    <m/>
    <m/>
    <m/>
    <m/>
    <m/>
    <m/>
    <m/>
    <m/>
    <m/>
    <n v="0"/>
    <n v="4800"/>
    <n v="14400000"/>
  </r>
  <r>
    <s v="79A/2019"/>
    <d v="2019-06-17T00:00:00"/>
    <s v="KIỀU THY"/>
    <s v="HC01"/>
    <x v="80"/>
    <x v="11"/>
    <s v="YELLOWEEN"/>
    <m/>
    <s v="12.14"/>
    <n v="400"/>
    <s v="NL2018"/>
    <m/>
    <n v="10"/>
    <n v="4000"/>
    <x v="14"/>
    <n v="11600000"/>
    <x v="3"/>
    <d v="2019-06-15T00:00:00"/>
    <d v="2019-07-17T00:00:00"/>
    <d v="2019-07-17T00:00:00"/>
    <m/>
    <m/>
    <m/>
    <m/>
    <m/>
    <m/>
    <m/>
    <m/>
    <m/>
    <m/>
    <m/>
    <m/>
    <n v="0"/>
    <n v="4000"/>
    <n v="11600000"/>
  </r>
  <r>
    <s v="79A/2019"/>
    <d v="2019-06-17T00:00:00"/>
    <s v="KIỀU THY"/>
    <s v="HC01"/>
    <x v="80"/>
    <x v="5"/>
    <s v="PROFUNDO"/>
    <m/>
    <s v="16.18"/>
    <n v="200"/>
    <s v="NL2018"/>
    <m/>
    <n v="15"/>
    <n v="3000"/>
    <x v="5"/>
    <n v="23100000"/>
    <x v="3"/>
    <d v="2019-06-15T00:00:00"/>
    <d v="2019-07-17T00:00:00"/>
    <d v="2019-07-17T00:00:00"/>
    <m/>
    <m/>
    <m/>
    <m/>
    <m/>
    <m/>
    <m/>
    <m/>
    <m/>
    <m/>
    <m/>
    <m/>
    <n v="0"/>
    <n v="3000"/>
    <n v="23100000"/>
  </r>
  <r>
    <s v="83B/2019"/>
    <d v="2019-03-02T00:00:00"/>
    <s v="THANH THÚY"/>
    <s v="LC01"/>
    <x v="81"/>
    <x v="11"/>
    <s v="YELLOWEEN"/>
    <m/>
    <s v="12.14"/>
    <n v="400"/>
    <s v="NL2018"/>
    <m/>
    <n v="0"/>
    <n v="0"/>
    <x v="12"/>
    <n v="0"/>
    <x v="1"/>
    <d v="2019-02-08T00:00:00"/>
    <d v="2019-03-13T00:00:00"/>
    <d v="2019-03-13T00:00:00"/>
    <s v="giao anh Kin 08/02AL_5.200"/>
    <m/>
    <m/>
    <m/>
    <m/>
    <n v="0"/>
    <m/>
    <m/>
    <m/>
    <m/>
    <m/>
    <m/>
    <n v="0"/>
    <n v="0"/>
    <n v="0"/>
  </r>
  <r>
    <s v="83B/2019"/>
    <d v="2019-03-02T00:00:00"/>
    <s v="THANH THÚY"/>
    <s v="LC01"/>
    <x v="81"/>
    <x v="62"/>
    <s v="BACARDI"/>
    <m/>
    <s v="15.16"/>
    <n v="300"/>
    <s v="NL2018"/>
    <m/>
    <n v="17"/>
    <n v="5100"/>
    <x v="65"/>
    <n v="22287000"/>
    <x v="0"/>
    <d v="2019-02-08T00:00:00"/>
    <d v="2019-03-13T00:00:00"/>
    <d v="2019-03-13T00:00:00"/>
    <s v="giao anh Kin 08/02AL"/>
    <m/>
    <m/>
    <m/>
    <d v="2019-03-14T00:00:00"/>
    <n v="5100"/>
    <m/>
    <m/>
    <m/>
    <m/>
    <m/>
    <m/>
    <n v="5100"/>
    <n v="0"/>
    <n v="0"/>
  </r>
  <r>
    <s v="83B/2019"/>
    <d v="2019-03-02T00:00:00"/>
    <s v="THANH THÚY"/>
    <s v="LC01"/>
    <x v="81"/>
    <x v="32"/>
    <s v="BACARDI"/>
    <m/>
    <s v="16.18"/>
    <n v="200"/>
    <s v="NL2018"/>
    <m/>
    <n v="25"/>
    <n v="5000"/>
    <x v="42"/>
    <n v="31500000"/>
    <x v="0"/>
    <d v="2019-02-08T00:00:00"/>
    <d v="2019-03-13T00:00:00"/>
    <d v="2019-03-13T00:00:00"/>
    <s v="giao anh Kin 08/02AL"/>
    <m/>
    <m/>
    <m/>
    <d v="2019-03-14T00:00:00"/>
    <n v="5000"/>
    <m/>
    <m/>
    <m/>
    <m/>
    <m/>
    <m/>
    <n v="5000"/>
    <n v="0"/>
    <n v="0"/>
  </r>
  <r>
    <s v="83B/2019"/>
    <d v="2019-03-02T00:00:00"/>
    <s v="THANH THÚY"/>
    <s v="LC01"/>
    <x v="81"/>
    <x v="156"/>
    <s v="CONCADOR"/>
    <m/>
    <s v="14.16"/>
    <n v="250"/>
    <s v="NL2018"/>
    <m/>
    <n v="20"/>
    <n v="5000"/>
    <x v="117"/>
    <n v="18500000"/>
    <x v="0"/>
    <d v="2019-02-08T00:00:00"/>
    <d v="2019-03-13T00:00:00"/>
    <d v="2019-03-13T00:00:00"/>
    <s v="giao anh Kin 08/02AL"/>
    <m/>
    <m/>
    <m/>
    <d v="2019-03-14T00:00:00"/>
    <n v="5000"/>
    <m/>
    <m/>
    <m/>
    <m/>
    <m/>
    <m/>
    <n v="5000"/>
    <n v="0"/>
    <n v="0"/>
  </r>
  <r>
    <s v="83B/2019"/>
    <d v="2019-03-02T00:00:00"/>
    <s v="THANH THÚY"/>
    <s v="LC01"/>
    <x v="81"/>
    <x v="15"/>
    <s v="CONCADOR"/>
    <m/>
    <s v="16.18"/>
    <n v="200"/>
    <s v="NL2018"/>
    <m/>
    <n v="40"/>
    <n v="8000"/>
    <x v="0"/>
    <n v="37600000"/>
    <x v="0"/>
    <d v="2019-02-25T00:00:00"/>
    <d v="2019-03-30T00:00:00"/>
    <d v="2019-03-30T00:00:00"/>
    <s v="xả mát, giao anh Kin 20/02AL"/>
    <s v="CONT 10/2019"/>
    <m/>
    <m/>
    <d v="2019-03-25T00:00:00"/>
    <n v="8000"/>
    <m/>
    <m/>
    <m/>
    <m/>
    <m/>
    <m/>
    <n v="8000"/>
    <n v="0"/>
    <n v="0"/>
  </r>
  <r>
    <s v="83B/2019"/>
    <d v="2019-03-02T00:00:00"/>
    <s v="THANH THÚY"/>
    <s v="LC01"/>
    <x v="81"/>
    <x v="47"/>
    <s v="ROBINA"/>
    <m/>
    <s v="18.20"/>
    <n v="150"/>
    <s v="NL2018"/>
    <m/>
    <n v="67"/>
    <n v="10050"/>
    <x v="42"/>
    <n v="63315000"/>
    <x v="0"/>
    <d v="2019-02-25T00:00:00"/>
    <d v="2019-03-30T00:00:00"/>
    <d v="2019-03-30T00:00:00"/>
    <s v="xả mát, giao anh Kin 20/02AL"/>
    <s v="CONT 10/2019"/>
    <m/>
    <m/>
    <d v="2019-03-30T00:00:00"/>
    <n v="10050"/>
    <m/>
    <m/>
    <m/>
    <m/>
    <m/>
    <m/>
    <n v="10050"/>
    <n v="0"/>
    <n v="0"/>
  </r>
  <r>
    <s v="121B/2019"/>
    <d v="2019-03-14T00:00:00"/>
    <s v="THANH THÚY"/>
    <s v="LC01"/>
    <x v="81"/>
    <x v="31"/>
    <s v="TARRANGO"/>
    <m/>
    <s v="14.16"/>
    <n v="300"/>
    <s v="NL2018"/>
    <m/>
    <n v="35"/>
    <n v="10500"/>
    <x v="21"/>
    <n v="48300000"/>
    <x v="0"/>
    <d v="2019-03-15T00:00:00"/>
    <d v="2019-04-19T00:00:00"/>
    <d v="2019-04-19T00:00:00"/>
    <s v="15/3AL"/>
    <s v="CONT 24/2019"/>
    <m/>
    <m/>
    <d v="2019-04-19T00:00:00"/>
    <n v="10500"/>
    <m/>
    <m/>
    <m/>
    <m/>
    <m/>
    <m/>
    <n v="10500"/>
    <n v="0"/>
    <n v="0"/>
  </r>
  <r>
    <s v="121B/2019"/>
    <d v="2019-03-14T00:00:00"/>
    <s v="THANH THÚY"/>
    <s v="LC01"/>
    <x v="81"/>
    <x v="22"/>
    <s v="ROBINA"/>
    <m/>
    <s v="16.18"/>
    <n v="200"/>
    <s v="NL2018"/>
    <m/>
    <n v="30"/>
    <n v="6000"/>
    <x v="18"/>
    <n v="30000000"/>
    <x v="0"/>
    <s v="29-Feb-19"/>
    <d v="2019-04-03T00:00:00"/>
    <d v="2019-04-03T00:00:00"/>
    <s v="28/2AL"/>
    <m/>
    <m/>
    <m/>
    <d v="2019-04-03T00:00:00"/>
    <n v="6000"/>
    <m/>
    <m/>
    <m/>
    <m/>
    <m/>
    <m/>
    <n v="6000"/>
    <n v="0"/>
    <n v="0"/>
  </r>
  <r>
    <s v="121B/2019"/>
    <d v="2019-03-14T00:00:00"/>
    <s v="THANH THÚY"/>
    <s v="LC01"/>
    <x v="81"/>
    <x v="24"/>
    <s v="SERANO"/>
    <m/>
    <s v="14.16"/>
    <n v="300"/>
    <s v="NL2018"/>
    <m/>
    <n v="17"/>
    <n v="5100"/>
    <x v="25"/>
    <n v="18360000"/>
    <x v="0"/>
    <s v="29-Feb-19"/>
    <d v="2019-04-03T00:00:00"/>
    <d v="2019-04-03T00:00:00"/>
    <s v="28/2AL"/>
    <m/>
    <m/>
    <m/>
    <d v="2019-04-03T00:00:00"/>
    <n v="5100"/>
    <m/>
    <m/>
    <m/>
    <m/>
    <m/>
    <m/>
    <n v="5100"/>
    <n v="0"/>
    <n v="0"/>
  </r>
  <r>
    <s v="121B/2019"/>
    <d v="2019-03-14T00:00:00"/>
    <s v="THANH THÚY"/>
    <s v="LC01"/>
    <x v="81"/>
    <x v="47"/>
    <s v="ROBINA"/>
    <m/>
    <s v="18.20"/>
    <n v="150"/>
    <s v="NL2018"/>
    <m/>
    <n v="67"/>
    <n v="10050"/>
    <x v="122"/>
    <n v="65304900"/>
    <x v="0"/>
    <d v="2019-04-17T00:00:00"/>
    <d v="2019-05-21T00:00:00"/>
    <d v="2019-05-21T00:00:00"/>
    <s v="30/3AL"/>
    <m/>
    <m/>
    <m/>
    <d v="2019-05-24T00:00:00"/>
    <n v="10050"/>
    <m/>
    <m/>
    <m/>
    <m/>
    <m/>
    <m/>
    <n v="10050"/>
    <n v="0"/>
    <n v="0"/>
  </r>
  <r>
    <s v="121B/2019"/>
    <d v="2019-03-14T00:00:00"/>
    <s v="THANH THÚY"/>
    <s v="LC01"/>
    <x v="81"/>
    <x v="28"/>
    <s v="YELLOWEEN"/>
    <m/>
    <s v="14.16"/>
    <n v="300"/>
    <s v="NL2018"/>
    <m/>
    <n v="34"/>
    <n v="10200"/>
    <x v="6"/>
    <n v="38760000"/>
    <x v="0"/>
    <d v="2019-03-15T00:00:00"/>
    <d v="2019-04-19T00:00:00"/>
    <d v="2019-04-19T00:00:00"/>
    <s v="15/3AL"/>
    <s v="CONT 20/2019"/>
    <m/>
    <m/>
    <d v="2019-04-23T00:00:00"/>
    <n v="10200"/>
    <m/>
    <m/>
    <m/>
    <m/>
    <m/>
    <m/>
    <n v="10200"/>
    <n v="0"/>
    <n v="0"/>
  </r>
  <r>
    <s v="121B/2019"/>
    <d v="2019-03-14T00:00:00"/>
    <s v="THANH THÚY"/>
    <s v="LC01"/>
    <x v="81"/>
    <x v="28"/>
    <s v="YELLOWEEN"/>
    <m/>
    <s v="14.16"/>
    <n v="300"/>
    <s v="NL2018"/>
    <m/>
    <n v="32"/>
    <n v="9600"/>
    <x v="6"/>
    <n v="36480000"/>
    <x v="0"/>
    <d v="2019-04-17T00:00:00"/>
    <d v="2019-05-21T00:00:00"/>
    <d v="2019-05-21T00:00:00"/>
    <s v="17/4AL"/>
    <m/>
    <m/>
    <m/>
    <d v="2019-05-24T00:00:00"/>
    <n v="9600"/>
    <m/>
    <m/>
    <m/>
    <m/>
    <m/>
    <m/>
    <n v="9600"/>
    <n v="0"/>
    <n v="0"/>
  </r>
  <r>
    <s v="121B/2019"/>
    <d v="2019-03-14T00:00:00"/>
    <s v="THANH THÚY"/>
    <s v="LC01"/>
    <x v="81"/>
    <x v="30"/>
    <s v="MALDANO"/>
    <m/>
    <s v="16.18"/>
    <n v="200"/>
    <s v="NL2018"/>
    <m/>
    <n v="10"/>
    <n v="2000"/>
    <x v="55"/>
    <n v="10600000"/>
    <x v="0"/>
    <d v="2019-04-17T00:00:00"/>
    <d v="2019-05-21T00:00:00"/>
    <d v="2019-05-21T00:00:00"/>
    <s v="17/4AL"/>
    <m/>
    <m/>
    <m/>
    <d v="2019-05-24T00:00:00"/>
    <n v="2000"/>
    <m/>
    <m/>
    <m/>
    <m/>
    <m/>
    <m/>
    <n v="2000"/>
    <n v="0"/>
    <n v="0"/>
  </r>
  <r>
    <s v="181B/2019"/>
    <d v="2019-05-15T00:00:00"/>
    <s v="THANH THÚY"/>
    <s v="LC01"/>
    <x v="81"/>
    <x v="28"/>
    <s v="YELLOWEEN"/>
    <m/>
    <s v="14.16"/>
    <n v="300"/>
    <s v="NL2018"/>
    <m/>
    <n v="34"/>
    <n v="10200"/>
    <x v="6"/>
    <n v="38760000"/>
    <x v="0"/>
    <d v="2019-05-05T00:00:00"/>
    <d v="2019-06-07T00:00:00"/>
    <d v="2019-06-07T00:00:00"/>
    <s v="05/5AL"/>
    <m/>
    <m/>
    <m/>
    <d v="2019-06-10T00:00:00"/>
    <n v="10200"/>
    <m/>
    <m/>
    <m/>
    <m/>
    <m/>
    <m/>
    <n v="10200"/>
    <n v="0"/>
    <n v="0"/>
  </r>
  <r>
    <s v="181B/2019"/>
    <d v="2019-05-29T00:00:00"/>
    <s v="THANH THÚY"/>
    <s v="LC01"/>
    <x v="81"/>
    <x v="31"/>
    <s v="TARRANGO"/>
    <m/>
    <s v="14.16"/>
    <n v="300"/>
    <s v="NL2018"/>
    <m/>
    <n v="50"/>
    <n v="15000"/>
    <x v="23"/>
    <n v="72000000"/>
    <x v="0"/>
    <d v="2019-05-05T00:00:00"/>
    <d v="2019-06-07T00:00:00"/>
    <d v="2019-06-07T00:00:00"/>
    <s v="05/5AL"/>
    <m/>
    <m/>
    <m/>
    <d v="2019-06-10T00:00:00"/>
    <n v="5100"/>
    <d v="2019-06-18T00:00:00"/>
    <n v="9900"/>
    <m/>
    <m/>
    <m/>
    <m/>
    <n v="15000"/>
    <n v="0"/>
    <n v="0"/>
  </r>
  <r>
    <s v="181B/2019"/>
    <d v="2019-05-24T00:00:00"/>
    <s v="THANH THÚY"/>
    <s v="LC01"/>
    <x v="81"/>
    <x v="57"/>
    <s v="DALIAN"/>
    <m/>
    <s v="14.16"/>
    <n v="300"/>
    <s v="NL2018"/>
    <m/>
    <n v="0"/>
    <n v="0"/>
    <x v="44"/>
    <n v="0"/>
    <x v="1"/>
    <d v="2019-05-05T00:00:00"/>
    <d v="2019-06-07T00:00:00"/>
    <d v="2019-06-07T00:00:00"/>
    <m/>
    <s v="Giao cử 30/5"/>
    <m/>
    <m/>
    <m/>
    <m/>
    <m/>
    <m/>
    <m/>
    <m/>
    <m/>
    <m/>
    <n v="0"/>
    <n v="0"/>
    <n v="0"/>
  </r>
  <r>
    <s v="181B/2019"/>
    <d v="2019-05-29T00:00:00"/>
    <s v="THANH THÚY"/>
    <s v="LC01"/>
    <x v="81"/>
    <x v="28"/>
    <s v="YELLOWEEN"/>
    <m/>
    <s v="14.16"/>
    <n v="300"/>
    <s v="NL2018"/>
    <m/>
    <n v="10"/>
    <n v="3000"/>
    <x v="56"/>
    <n v="11700000"/>
    <x v="4"/>
    <d v="2019-05-05T00:00:00"/>
    <d v="2019-06-07T00:00:00"/>
    <d v="2019-06-07T00:00:00"/>
    <m/>
    <s v="Giao cử 30/5"/>
    <m/>
    <m/>
    <m/>
    <m/>
    <m/>
    <m/>
    <m/>
    <m/>
    <m/>
    <m/>
    <n v="0"/>
    <n v="3000"/>
    <n v="11700000"/>
  </r>
  <r>
    <s v="181B/2019"/>
    <d v="2019-05-29T00:00:00"/>
    <s v="THANH THÚY"/>
    <s v="LC01"/>
    <x v="81"/>
    <x v="28"/>
    <s v="YELLOWEEN"/>
    <m/>
    <s v="14.16"/>
    <n v="300"/>
    <s v="NL2018"/>
    <m/>
    <n v="23"/>
    <n v="6900"/>
    <x v="56"/>
    <n v="26910000"/>
    <x v="3"/>
    <d v="2019-05-18T00:00:00"/>
    <d v="2019-06-20T00:00:00"/>
    <d v="2019-06-20T00:00:00"/>
    <m/>
    <s v="Giao cử 30/5"/>
    <m/>
    <m/>
    <m/>
    <m/>
    <m/>
    <m/>
    <m/>
    <m/>
    <m/>
    <m/>
    <n v="0"/>
    <n v="6900"/>
    <n v="26910000"/>
  </r>
  <r>
    <s v="181B/2019"/>
    <d v="2019-05-15T00:00:00"/>
    <s v="THANH THÚY"/>
    <s v="LC01"/>
    <x v="81"/>
    <x v="28"/>
    <s v="YELLOWEEN"/>
    <m/>
    <s v="14.16"/>
    <n v="300"/>
    <s v="NL2018"/>
    <m/>
    <n v="34"/>
    <n v="10200"/>
    <x v="57"/>
    <n v="40800000"/>
    <x v="3"/>
    <d v="2019-06-15T00:00:00"/>
    <d v="2019-07-17T00:00:00"/>
    <d v="2019-07-17T00:00:00"/>
    <s v="05/5AL"/>
    <m/>
    <m/>
    <m/>
    <m/>
    <m/>
    <m/>
    <m/>
    <m/>
    <m/>
    <m/>
    <m/>
    <n v="0"/>
    <n v="10200"/>
    <n v="40800000"/>
  </r>
  <r>
    <s v="181B/2019"/>
    <d v="2019-05-15T00:00:00"/>
    <s v="THANH THÚY"/>
    <s v="LC01"/>
    <x v="81"/>
    <x v="67"/>
    <s v="INDIANA"/>
    <m/>
    <s v="14.16"/>
    <n v="300"/>
    <s v="NL2018"/>
    <m/>
    <n v="0"/>
    <n v="0"/>
    <x v="77"/>
    <n v="0"/>
    <x v="1"/>
    <d v="2019-06-15T00:00:00"/>
    <d v="2019-07-17T00:00:00"/>
    <d v="2019-07-17T00:00:00"/>
    <s v="05/5AL"/>
    <m/>
    <m/>
    <m/>
    <m/>
    <m/>
    <m/>
    <m/>
    <m/>
    <m/>
    <m/>
    <m/>
    <n v="0"/>
    <n v="0"/>
    <n v="0"/>
  </r>
  <r>
    <s v="181B/2019"/>
    <d v="2019-05-29T00:00:00"/>
    <s v="THANH THÚY"/>
    <s v="LC01"/>
    <x v="81"/>
    <x v="28"/>
    <s v="YELLOWEEN"/>
    <m/>
    <s v="14.16"/>
    <n v="300"/>
    <s v="NL2018"/>
    <m/>
    <n v="34"/>
    <n v="10200"/>
    <x v="57"/>
    <n v="40800000"/>
    <x v="2"/>
    <d v="2019-06-29T00:00:00"/>
    <d v="2019-07-31T00:00:00"/>
    <d v="2019-07-31T00:00:00"/>
    <m/>
    <m/>
    <m/>
    <m/>
    <m/>
    <m/>
    <m/>
    <m/>
    <m/>
    <m/>
    <m/>
    <m/>
    <n v="0"/>
    <n v="10200"/>
    <n v="40800000"/>
  </r>
  <r>
    <s v="181B/2019"/>
    <d v="2019-05-29T00:00:00"/>
    <s v="THANH THÚY"/>
    <s v="LC01"/>
    <x v="81"/>
    <x v="28"/>
    <s v="YELLOWEEN"/>
    <m/>
    <s v="14.16"/>
    <n v="300"/>
    <s v="NL2018"/>
    <m/>
    <n v="34"/>
    <n v="10200"/>
    <x v="57"/>
    <n v="40800000"/>
    <x v="2"/>
    <d v="2019-07-15T00:00:00"/>
    <d v="2019-08-15T00:00:00"/>
    <d v="2019-08-15T00:00:00"/>
    <m/>
    <m/>
    <m/>
    <m/>
    <m/>
    <m/>
    <m/>
    <m/>
    <m/>
    <m/>
    <m/>
    <m/>
    <n v="0"/>
    <n v="10200"/>
    <n v="40800000"/>
  </r>
  <r>
    <s v="121B/2019"/>
    <d v="2019-03-14T00:00:00"/>
    <s v="THANH THÚY"/>
    <s v="LC01"/>
    <x v="81"/>
    <x v="48"/>
    <s v="SERANO"/>
    <m/>
    <s v="16.18"/>
    <n v="200"/>
    <s v="NL2018"/>
    <m/>
    <n v="0"/>
    <n v="0"/>
    <x v="82"/>
    <n v="0"/>
    <x v="1"/>
    <d v="2019-04-29T00:00:00"/>
    <d v="2019-06-02T00:00:00"/>
    <d v="2019-06-02T00:00:00"/>
    <s v="29/4AL"/>
    <m/>
    <m/>
    <m/>
    <m/>
    <m/>
    <m/>
    <m/>
    <m/>
    <m/>
    <m/>
    <m/>
    <n v="0"/>
    <n v="0"/>
    <n v="0"/>
  </r>
  <r>
    <s v="121B/2019"/>
    <d v="2019-03-14T00:00:00"/>
    <s v="THANH THÚY"/>
    <s v="LC01"/>
    <x v="81"/>
    <x v="62"/>
    <s v="BACARDI"/>
    <m/>
    <s v="15.16"/>
    <n v="300"/>
    <s v="NL2018"/>
    <m/>
    <n v="0"/>
    <n v="0"/>
    <x v="13"/>
    <n v="0"/>
    <x v="1"/>
    <d v="2019-03-15T00:00:00"/>
    <d v="2019-04-19T00:00:00"/>
    <d v="2019-04-19T00:00:00"/>
    <s v="15/3AL"/>
    <m/>
    <m/>
    <m/>
    <m/>
    <m/>
    <m/>
    <m/>
    <m/>
    <m/>
    <m/>
    <m/>
    <n v="0"/>
    <n v="0"/>
    <n v="0"/>
  </r>
  <r>
    <s v="153B/2019"/>
    <d v="2019-04-03T00:00:00"/>
    <s v="THANH THÚY"/>
    <s v="LC01"/>
    <x v="81"/>
    <x v="6"/>
    <s v="CONCADOR"/>
    <m/>
    <s v="20.22"/>
    <n v="125"/>
    <s v="NL2018"/>
    <m/>
    <n v="80"/>
    <n v="10000"/>
    <x v="59"/>
    <n v="105000000"/>
    <x v="2"/>
    <d v="2019-09-01T00:00:00"/>
    <d v="2019-09-29T00:00:00"/>
    <d v="2019-09-29T00:00:00"/>
    <s v="TẾT"/>
    <m/>
    <m/>
    <m/>
    <m/>
    <n v="0"/>
    <m/>
    <m/>
    <m/>
    <m/>
    <m/>
    <m/>
    <n v="0"/>
    <n v="10000"/>
    <n v="105000000"/>
  </r>
  <r>
    <s v="153B/2019"/>
    <d v="2019-04-03T00:00:00"/>
    <s v="THANH THÚY"/>
    <s v="LC01"/>
    <x v="81"/>
    <x v="16"/>
    <s v="ROBINA"/>
    <m/>
    <s v="20.22"/>
    <n v="125"/>
    <s v="NL2018"/>
    <m/>
    <n v="80"/>
    <n v="10000"/>
    <x v="59"/>
    <n v="105000000"/>
    <x v="2"/>
    <d v="2019-09-01T00:00:00"/>
    <d v="2019-09-29T00:00:00"/>
    <d v="2019-09-29T00:00:00"/>
    <s v="TẾT"/>
    <m/>
    <m/>
    <m/>
    <m/>
    <n v="0"/>
    <m/>
    <m/>
    <m/>
    <m/>
    <m/>
    <m/>
    <n v="0"/>
    <n v="10000"/>
    <n v="105000000"/>
  </r>
  <r>
    <s v="148A/2019"/>
    <d v="2019-03-26T00:00:00"/>
    <s v="KIỀU THY"/>
    <s v="DT02"/>
    <x v="82"/>
    <x v="6"/>
    <s v="CONCADOR"/>
    <m/>
    <s v="20.22"/>
    <s v="125"/>
    <s v="NL2018"/>
    <m/>
    <n v="80"/>
    <n v="10000"/>
    <x v="59"/>
    <n v="105000000"/>
    <x v="2"/>
    <d v="2019-09-01T00:00:00"/>
    <d v="2019-09-29T00:00:00"/>
    <d v="2019-09-29T00:00:00"/>
    <s v="TẾT"/>
    <m/>
    <m/>
    <m/>
    <m/>
    <m/>
    <m/>
    <m/>
    <m/>
    <m/>
    <m/>
    <m/>
    <n v="0"/>
    <n v="10000"/>
    <n v="105000000"/>
  </r>
  <r>
    <s v="148A/2019"/>
    <d v="2019-03-26T00:00:00"/>
    <s v="KIỀU THY"/>
    <s v="DT02"/>
    <x v="82"/>
    <x v="26"/>
    <s v="ROBINA"/>
    <m/>
    <s v="22.24"/>
    <s v="100"/>
    <s v="NL2018"/>
    <m/>
    <n v="60"/>
    <n v="6000"/>
    <x v="29"/>
    <n v="75000000"/>
    <x v="2"/>
    <d v="2019-09-01T00:00:00"/>
    <d v="2019-09-29T00:00:00"/>
    <d v="2019-09-29T00:00:00"/>
    <s v="TẾT"/>
    <m/>
    <m/>
    <m/>
    <m/>
    <m/>
    <m/>
    <m/>
    <m/>
    <m/>
    <m/>
    <m/>
    <n v="0"/>
    <n v="6000"/>
    <n v="75000000"/>
  </r>
  <r>
    <s v="180A/2019"/>
    <d v="2019-04-08T00:00:00"/>
    <s v="KIỀU THY"/>
    <s v="CL03"/>
    <x v="83"/>
    <x v="28"/>
    <s v="YELLOWEEN"/>
    <m/>
    <s v="14.16"/>
    <s v="300"/>
    <s v="NL2018"/>
    <m/>
    <n v="1"/>
    <n v="300"/>
    <x v="23"/>
    <n v="1440000"/>
    <x v="0"/>
    <d v="2019-02-28T00:00:00"/>
    <d v="2019-04-02T00:00:00"/>
    <d v="2019-04-02T00:00:00"/>
    <s v="30/2AL"/>
    <m/>
    <m/>
    <m/>
    <d v="2019-04-23T00:00:00"/>
    <n v="300"/>
    <m/>
    <m/>
    <m/>
    <m/>
    <m/>
    <m/>
    <n v="300"/>
    <n v="0"/>
    <n v="0"/>
  </r>
  <r>
    <s v="180A/2019"/>
    <d v="2019-04-08T00:00:00"/>
    <s v="KIỀU THY"/>
    <s v="CL03"/>
    <x v="83"/>
    <x v="66"/>
    <s v="ALUSTA"/>
    <m/>
    <s v="14.16"/>
    <s v="300"/>
    <s v="NL2018"/>
    <m/>
    <n v="1"/>
    <n v="300"/>
    <x v="18"/>
    <n v="1500000"/>
    <x v="0"/>
    <d v="2019-02-28T00:00:00"/>
    <d v="2019-04-02T00:00:00"/>
    <d v="2019-04-02T00:00:00"/>
    <s v="30/2AL"/>
    <m/>
    <m/>
    <m/>
    <d v="2019-04-23T00:00:00"/>
    <n v="300"/>
    <m/>
    <m/>
    <m/>
    <m/>
    <m/>
    <m/>
    <n v="300"/>
    <n v="0"/>
    <n v="0"/>
  </r>
  <r>
    <s v="180A/2019"/>
    <d v="2019-04-08T00:00:00"/>
    <s v="KIỀU THY"/>
    <s v="CL03"/>
    <x v="83"/>
    <x v="31"/>
    <s v="TARRANGO"/>
    <m/>
    <s v="14.16"/>
    <s v="300"/>
    <s v="NL2018"/>
    <m/>
    <n v="1"/>
    <n v="300"/>
    <x v="48"/>
    <n v="1680000"/>
    <x v="0"/>
    <d v="2019-02-28T00:00:00"/>
    <d v="2019-04-02T00:00:00"/>
    <d v="2019-04-02T00:00:00"/>
    <s v="30/2AL"/>
    <m/>
    <m/>
    <m/>
    <d v="2019-04-23T00:00:00"/>
    <n v="300"/>
    <m/>
    <m/>
    <m/>
    <m/>
    <m/>
    <m/>
    <n v="300"/>
    <n v="0"/>
    <n v="0"/>
  </r>
  <r>
    <s v="180A/2019"/>
    <d v="2019-04-08T00:00:00"/>
    <s v="KIỀU THY"/>
    <s v="CL03"/>
    <x v="83"/>
    <x v="29"/>
    <s v="MANISSA"/>
    <m/>
    <s v="16.18"/>
    <s v="200"/>
    <s v="NL2018"/>
    <m/>
    <n v="1"/>
    <n v="200"/>
    <x v="27"/>
    <n v="1600000"/>
    <x v="0"/>
    <d v="2019-03-15T00:00:00"/>
    <d v="2019-04-19T00:00:00"/>
    <d v="2019-04-19T00:00:00"/>
    <s v="15/3AL"/>
    <m/>
    <m/>
    <m/>
    <d v="2019-04-23T00:00:00"/>
    <n v="200"/>
    <m/>
    <m/>
    <m/>
    <m/>
    <m/>
    <m/>
    <n v="200"/>
    <n v="0"/>
    <n v="0"/>
  </r>
  <r>
    <s v="180A/2019"/>
    <d v="2019-04-08T00:00:00"/>
    <s v="KIỀU THY"/>
    <s v="CL03"/>
    <x v="83"/>
    <x v="140"/>
    <s v="LODI"/>
    <m/>
    <s v="16.18"/>
    <s v="200"/>
    <s v="NL2018"/>
    <m/>
    <n v="1"/>
    <n v="200"/>
    <x v="88"/>
    <n v="1640000"/>
    <x v="0"/>
    <d v="2019-03-15T00:00:00"/>
    <d v="2019-04-19T00:00:00"/>
    <d v="2019-04-19T00:00:00"/>
    <s v="15/3AL"/>
    <m/>
    <m/>
    <m/>
    <d v="2019-04-23T00:00:00"/>
    <n v="200"/>
    <m/>
    <m/>
    <m/>
    <m/>
    <m/>
    <m/>
    <n v="200"/>
    <n v="0"/>
    <n v="0"/>
  </r>
  <r>
    <s v="180A/2019"/>
    <d v="2019-04-08T00:00:00"/>
    <s v="KIỀU THY"/>
    <s v="CL03"/>
    <x v="83"/>
    <x v="149"/>
    <s v="PARAGUAY"/>
    <m/>
    <s v="14.16"/>
    <s v="275"/>
    <s v="NL2018"/>
    <m/>
    <n v="1"/>
    <n v="275"/>
    <x v="48"/>
    <n v="1540000"/>
    <x v="0"/>
    <d v="2019-03-15T00:00:00"/>
    <d v="2019-04-19T00:00:00"/>
    <d v="2019-04-19T00:00:00"/>
    <s v="15/3AL"/>
    <m/>
    <m/>
    <m/>
    <d v="2019-04-23T00:00:00"/>
    <n v="275"/>
    <m/>
    <m/>
    <m/>
    <m/>
    <m/>
    <m/>
    <n v="275"/>
    <n v="0"/>
    <n v="0"/>
  </r>
  <r>
    <s v="180A/2019"/>
    <d v="2019-04-08T00:00:00"/>
    <s v="KIỀU THY"/>
    <s v="CL03"/>
    <x v="83"/>
    <x v="80"/>
    <s v="PROFUNDO"/>
    <m/>
    <s v="14.16"/>
    <s v="300"/>
    <s v="NL2018"/>
    <m/>
    <n v="1"/>
    <n v="300"/>
    <x v="46"/>
    <n v="1800000"/>
    <x v="0"/>
    <d v="2019-03-15T00:00:00"/>
    <d v="2019-04-19T00:00:00"/>
    <d v="2019-04-19T00:00:00"/>
    <s v="15/3AL"/>
    <m/>
    <m/>
    <m/>
    <d v="2019-04-23T00:00:00"/>
    <n v="300"/>
    <m/>
    <m/>
    <m/>
    <m/>
    <m/>
    <m/>
    <n v="300"/>
    <n v="0"/>
    <n v="0"/>
  </r>
  <r>
    <s v="19A/2019"/>
    <d v="2019-01-05T00:00:00"/>
    <s v="KIỀU THY"/>
    <s v="CH01"/>
    <x v="84"/>
    <x v="15"/>
    <s v="CONCADOR "/>
    <m/>
    <s v="16.18"/>
    <n v="200"/>
    <s v="NL2018"/>
    <m/>
    <n v="75"/>
    <n v="15000"/>
    <x v="18"/>
    <n v="75000000"/>
    <x v="4"/>
    <d v="2019-03-15T00:00:00"/>
    <d v="2019-04-19T00:00:00"/>
    <d v="2019-04-19T00:00:00"/>
    <s v="15/3AL"/>
    <m/>
    <m/>
    <m/>
    <d v="2019-05-24T00:00:00"/>
    <n v="5000"/>
    <m/>
    <m/>
    <m/>
    <m/>
    <m/>
    <m/>
    <n v="5000"/>
    <n v="10000"/>
    <n v="50000000"/>
  </r>
  <r>
    <s v="19A/2019"/>
    <d v="2019-02-03T00:00:00"/>
    <s v="KIỀU THY"/>
    <s v="CH01"/>
    <x v="84"/>
    <x v="47"/>
    <s v="ROBINA"/>
    <m/>
    <s v="18.20"/>
    <n v="150"/>
    <s v="NL2018"/>
    <s v="dlw"/>
    <n v="267"/>
    <n v="40050"/>
    <x v="134"/>
    <n v="261446400"/>
    <x v="4"/>
    <d v="2019-04-17T00:00:00"/>
    <d v="2019-05-21T00:00:00"/>
    <d v="2019-05-21T00:00:00"/>
    <s v="17/4AL"/>
    <m/>
    <m/>
    <m/>
    <m/>
    <n v="0"/>
    <m/>
    <m/>
    <m/>
    <m/>
    <m/>
    <m/>
    <n v="0"/>
    <n v="40050"/>
    <n v="261446400"/>
  </r>
  <r>
    <s v="19A/2019"/>
    <d v="2019-02-03T00:00:00"/>
    <s v="KIỀU THY"/>
    <s v="CH01"/>
    <x v="84"/>
    <x v="47"/>
    <s v="ROBINA"/>
    <m/>
    <s v="18.20"/>
    <n v="150"/>
    <s v="NL2018"/>
    <m/>
    <n v="200"/>
    <n v="30000"/>
    <x v="138"/>
    <n v="208650000"/>
    <x v="2"/>
    <d v="2019-08-01T00:00:00"/>
    <d v="2019-08-30T00:00:00"/>
    <d v="2019-08-30T00:00:00"/>
    <s v="T8/AL"/>
    <m/>
    <m/>
    <m/>
    <m/>
    <n v="0"/>
    <m/>
    <m/>
    <m/>
    <m/>
    <m/>
    <m/>
    <n v="0"/>
    <n v="30000"/>
    <n v="208650000"/>
  </r>
  <r>
    <s v="19A/2019"/>
    <d v="2019-01-05T00:00:00"/>
    <s v="KIỀU THY"/>
    <s v="CH01"/>
    <x v="84"/>
    <x v="32"/>
    <s v="BACARDI"/>
    <m/>
    <s v="16.18"/>
    <n v="200"/>
    <s v="NL2018"/>
    <m/>
    <n v="50"/>
    <n v="10000"/>
    <x v="42"/>
    <n v="63000000"/>
    <x v="0"/>
    <d v="2019-01-15T00:00:00"/>
    <d v="2019-02-19T00:00:00"/>
    <d v="2019-02-19T00:00:00"/>
    <s v="15/1AL"/>
    <m/>
    <m/>
    <s v="R"/>
    <d v="2019-02-25T00:00:00"/>
    <n v="6000"/>
    <d v="2019-03-02T00:00:00"/>
    <n v="4000"/>
    <m/>
    <m/>
    <m/>
    <m/>
    <n v="10000"/>
    <n v="0"/>
    <n v="0"/>
  </r>
  <r>
    <s v="19A/2019"/>
    <d v="2019-01-05T00:00:00"/>
    <s v="KIỀU THY"/>
    <s v="CH01"/>
    <x v="84"/>
    <x v="15"/>
    <s v="CONCADOR "/>
    <m/>
    <s v="16.18"/>
    <n v="200"/>
    <s v="NL2018"/>
    <m/>
    <n v="100"/>
    <n v="20000"/>
    <x v="21"/>
    <n v="92000000"/>
    <x v="0"/>
    <d v="2019-01-15T00:00:00"/>
    <d v="2019-02-19T00:00:00"/>
    <d v="2019-02-19T00:00:00"/>
    <s v="15/1AL"/>
    <m/>
    <m/>
    <s v="R"/>
    <d v="2019-02-25T00:00:00"/>
    <n v="6600"/>
    <d v="2019-03-02T00:00:00"/>
    <n v="13400"/>
    <m/>
    <m/>
    <m/>
    <m/>
    <n v="20000"/>
    <n v="0"/>
    <n v="0"/>
  </r>
  <r>
    <s v="19A/2019"/>
    <d v="2019-01-05T00:00:00"/>
    <s v="KIỀU THY"/>
    <s v="CH01"/>
    <x v="84"/>
    <x v="15"/>
    <s v="CONCADOR "/>
    <m/>
    <s v="16.18"/>
    <n v="200"/>
    <s v="NL2018"/>
    <m/>
    <n v="50"/>
    <n v="10000"/>
    <x v="21"/>
    <n v="46000000"/>
    <x v="0"/>
    <d v="2019-01-23T00:00:00"/>
    <d v="2019-02-27T00:00:00"/>
    <d v="2019-02-27T00:00:00"/>
    <s v="23/1AL"/>
    <m/>
    <m/>
    <m/>
    <d v="2019-03-14T00:00:00"/>
    <n v="6800"/>
    <d v="2019-03-19T00:00:00"/>
    <n v="3200"/>
    <m/>
    <m/>
    <m/>
    <m/>
    <n v="10000"/>
    <n v="0"/>
    <n v="0"/>
  </r>
  <r>
    <s v="19A/2019"/>
    <d v="2019-02-03T00:00:00"/>
    <s v="KIỀU THY"/>
    <s v="CH01"/>
    <x v="84"/>
    <x v="145"/>
    <s v="DALIAN"/>
    <m/>
    <s v="16.18"/>
    <n v="200"/>
    <s v="NL2018"/>
    <m/>
    <n v="25"/>
    <n v="5000"/>
    <x v="45"/>
    <n v="33500000"/>
    <x v="0"/>
    <d v="2019-02-15T00:00:00"/>
    <d v="2019-03-20T00:00:00"/>
    <d v="2019-03-20T00:00:00"/>
    <s v="15/2AL"/>
    <s v="CONT 11/2019"/>
    <d v="2019-03-17T00:00:00"/>
    <s v="R"/>
    <d v="2019-03-19T00:00:00"/>
    <n v="5000"/>
    <m/>
    <m/>
    <m/>
    <m/>
    <m/>
    <m/>
    <n v="5000"/>
    <n v="0"/>
    <n v="0"/>
  </r>
  <r>
    <s v="19A/2019"/>
    <d v="2019-02-03T00:00:00"/>
    <s v="KIỀU THY"/>
    <s v="CH01"/>
    <x v="84"/>
    <x v="5"/>
    <s v="PROFUNDO"/>
    <m/>
    <s v="16.18"/>
    <n v="200"/>
    <s v="NL2018"/>
    <m/>
    <n v="64"/>
    <n v="12800"/>
    <x v="45"/>
    <n v="85760000"/>
    <x v="0"/>
    <d v="2019-02-15T00:00:00"/>
    <d v="2019-03-20T00:00:00"/>
    <d v="2019-03-20T00:00:00"/>
    <s v="15/2AL"/>
    <s v="CONT 12/2019"/>
    <d v="2019-03-17T00:00:00"/>
    <m/>
    <d v="2019-03-19T00:00:00"/>
    <n v="7800"/>
    <d v="2019-04-09T00:00:00"/>
    <n v="5000"/>
    <m/>
    <m/>
    <m/>
    <m/>
    <n v="12800"/>
    <n v="0"/>
    <n v="0"/>
  </r>
  <r>
    <s v="19A/2019"/>
    <d v="2019-04-23T00:00:00"/>
    <s v="KIỀU THY"/>
    <s v="CH01"/>
    <x v="84"/>
    <x v="157"/>
    <s v="CARBONERO"/>
    <m/>
    <s v="18.20"/>
    <n v="150"/>
    <s v="NL2018"/>
    <m/>
    <n v="67"/>
    <n v="10050"/>
    <x v="102"/>
    <n v="83415000"/>
    <x v="2"/>
    <d v="2019-08-01T00:00:00"/>
    <d v="2019-08-30T00:00:00"/>
    <d v="2019-08-30T00:00:00"/>
    <m/>
    <m/>
    <m/>
    <m/>
    <m/>
    <m/>
    <m/>
    <m/>
    <m/>
    <m/>
    <m/>
    <m/>
    <n v="0"/>
    <n v="10050"/>
    <n v="83415000"/>
  </r>
  <r>
    <s v="172A/2019"/>
    <d v="2019-02-03T00:00:00"/>
    <s v="KIỀU THY"/>
    <s v="CH01"/>
    <x v="84"/>
    <x v="25"/>
    <s v="CONCADOR STEEN"/>
    <m/>
    <s v="18.20"/>
    <n v="150"/>
    <s v="NL2018"/>
    <s v="STEEN"/>
    <n v="134"/>
    <n v="20100"/>
    <x v="27"/>
    <n v="160800000"/>
    <x v="2"/>
    <d v="2019-09-01T00:00:00"/>
    <d v="2019-09-29T00:00:00"/>
    <d v="2019-09-29T00:00:00"/>
    <s v="TẾT"/>
    <m/>
    <m/>
    <m/>
    <m/>
    <n v="0"/>
    <m/>
    <m/>
    <m/>
    <m/>
    <m/>
    <m/>
    <n v="0"/>
    <n v="20100"/>
    <n v="160800000"/>
  </r>
  <r>
    <s v="19A/2019"/>
    <d v="2019-01-05T00:00:00"/>
    <s v="KIỀU THY"/>
    <s v="CH01"/>
    <x v="84"/>
    <x v="15"/>
    <s v="CONCADOR "/>
    <m/>
    <s v="16.18"/>
    <n v="200"/>
    <s v="NL2018"/>
    <m/>
    <n v="0"/>
    <n v="0"/>
    <x v="18"/>
    <n v="0"/>
    <x v="1"/>
    <d v="2019-03-15T00:00:00"/>
    <d v="2019-04-19T00:00:00"/>
    <d v="2019-04-19T00:00:00"/>
    <s v="15/3AL"/>
    <m/>
    <m/>
    <m/>
    <m/>
    <m/>
    <m/>
    <m/>
    <m/>
    <m/>
    <m/>
    <m/>
    <n v="0"/>
    <n v="0"/>
    <n v="0"/>
  </r>
  <r>
    <s v="172A/2019"/>
    <d v="2019-02-03T00:00:00"/>
    <s v="KIỀU THY"/>
    <s v="CH01"/>
    <x v="84"/>
    <x v="47"/>
    <s v="ROBINA DLW"/>
    <m/>
    <s v="18.20"/>
    <n v="150"/>
    <s v="NL2018"/>
    <s v="dlw"/>
    <n v="67"/>
    <n v="10050"/>
    <x v="35"/>
    <n v="72360000"/>
    <x v="2"/>
    <d v="2019-09-01T00:00:00"/>
    <d v="2019-09-29T00:00:00"/>
    <d v="2019-09-29T00:00:00"/>
    <s v="TẾT"/>
    <m/>
    <m/>
    <m/>
    <m/>
    <n v="0"/>
    <m/>
    <m/>
    <m/>
    <m/>
    <m/>
    <m/>
    <n v="0"/>
    <n v="10050"/>
    <n v="72360000"/>
  </r>
  <r>
    <s v="172A/2019"/>
    <d v="2019-02-03T00:00:00"/>
    <s v="KIỀU THY"/>
    <s v="CH01"/>
    <x v="84"/>
    <x v="16"/>
    <s v="ROBINA ZABO"/>
    <m/>
    <s v="20.22"/>
    <n v="125"/>
    <s v="NL2018"/>
    <s v="ZABO"/>
    <n v="80"/>
    <n v="10000"/>
    <x v="59"/>
    <n v="105000000"/>
    <x v="2"/>
    <d v="2019-09-01T00:00:00"/>
    <d v="2019-09-29T00:00:00"/>
    <d v="2019-09-29T00:00:00"/>
    <s v="TẾT"/>
    <m/>
    <m/>
    <m/>
    <m/>
    <n v="0"/>
    <m/>
    <m/>
    <m/>
    <m/>
    <m/>
    <m/>
    <n v="0"/>
    <n v="10000"/>
    <n v="105000000"/>
  </r>
  <r>
    <s v="19A/2019"/>
    <d v="2019-02-03T00:00:00"/>
    <s v="KIỀU THY"/>
    <s v="CH01"/>
    <x v="84"/>
    <x v="47"/>
    <s v="ROBINA"/>
    <m/>
    <s v="18.20"/>
    <n v="150"/>
    <s v="NL2018"/>
    <m/>
    <n v="33"/>
    <n v="4950"/>
    <x v="42"/>
    <n v="31185000"/>
    <x v="0"/>
    <s v="30-Feb-19"/>
    <d v="2019-04-04T00:00:00"/>
    <d v="2019-04-04T00:00:00"/>
    <s v="30/2AL"/>
    <s v="CONT 18/2019"/>
    <d v="2019-03-31T00:00:00"/>
    <m/>
    <d v="2019-05-03T00:00:00"/>
    <n v="300"/>
    <d v="2019-05-24T00:00:00"/>
    <n v="4650"/>
    <m/>
    <m/>
    <m/>
    <m/>
    <n v="4950"/>
    <n v="0"/>
    <n v="0"/>
  </r>
  <r>
    <s v="19A/2019"/>
    <d v="2019-01-05T00:00:00"/>
    <s v="KIỀU THY"/>
    <s v="CH01"/>
    <x v="84"/>
    <x v="15"/>
    <s v="CONCADOR "/>
    <m/>
    <s v="16.18"/>
    <n v="200"/>
    <s v="NL2018"/>
    <m/>
    <n v="0"/>
    <n v="0"/>
    <x v="93"/>
    <n v="0"/>
    <x v="1"/>
    <m/>
    <s v=""/>
    <s v=""/>
    <s v="5/5AL"/>
    <m/>
    <m/>
    <m/>
    <m/>
    <n v="0"/>
    <m/>
    <m/>
    <m/>
    <m/>
    <m/>
    <m/>
    <n v="0"/>
    <n v="0"/>
    <n v="0"/>
  </r>
  <r>
    <s v="7A/2019"/>
    <d v="2019-05-20T00:00:00"/>
    <s v="KIỀU THY"/>
    <s v="CD01"/>
    <x v="85"/>
    <x v="5"/>
    <s v="PROFUNDO"/>
    <m/>
    <s v="16.18"/>
    <n v="200"/>
    <s v="NL2018"/>
    <m/>
    <n v="24"/>
    <n v="4800"/>
    <x v="139"/>
    <n v="32976000"/>
    <x v="4"/>
    <d v="2019-04-17T00:00:00"/>
    <d v="2019-05-21T00:00:00"/>
    <d v="2019-05-21T00:00:00"/>
    <m/>
    <m/>
    <m/>
    <m/>
    <m/>
    <m/>
    <m/>
    <m/>
    <m/>
    <m/>
    <m/>
    <m/>
    <n v="0"/>
    <n v="4800"/>
    <n v="32976000"/>
  </r>
  <r>
    <s v="7A/2019"/>
    <d v="2018-12-27T00:00:00"/>
    <s v="KIỀU THY"/>
    <s v="CD01"/>
    <x v="85"/>
    <x v="90"/>
    <s v="CARBONERO"/>
    <m/>
    <s v="16.18"/>
    <n v="200"/>
    <s v="NL2018"/>
    <m/>
    <n v="25"/>
    <n v="5000"/>
    <x v="140"/>
    <n v="30855000"/>
    <x v="4"/>
    <d v="2019-04-17T00:00:00"/>
    <d v="2019-05-21T00:00:00"/>
    <d v="2019-05-21T00:00:00"/>
    <s v="30/3AL"/>
    <m/>
    <m/>
    <m/>
    <d v="2019-06-11T00:00:00"/>
    <n v="3000"/>
    <m/>
    <m/>
    <m/>
    <m/>
    <m/>
    <m/>
    <n v="3000"/>
    <n v="2000"/>
    <n v="12342000"/>
  </r>
  <r>
    <s v="7A/2019"/>
    <d v="2018-12-27T00:00:00"/>
    <s v="KIỀU THY"/>
    <s v="CD01"/>
    <x v="85"/>
    <x v="57"/>
    <s v="DALIAN"/>
    <m/>
    <s v="14.16"/>
    <n v="300"/>
    <s v="NL2018"/>
    <m/>
    <n v="10"/>
    <n v="3000"/>
    <x v="141"/>
    <n v="16242000"/>
    <x v="0"/>
    <d v="2019-04-17T00:00:00"/>
    <d v="2019-05-21T00:00:00"/>
    <d v="2019-05-21T00:00:00"/>
    <s v="30/3AL"/>
    <m/>
    <m/>
    <m/>
    <d v="2019-06-01T00:00:00"/>
    <n v="3000"/>
    <m/>
    <m/>
    <m/>
    <m/>
    <m/>
    <m/>
    <n v="3000"/>
    <n v="0"/>
    <n v="0"/>
  </r>
  <r>
    <s v="7A/2019"/>
    <d v="2019-02-03T00:00:00"/>
    <s v="KIỀU THY"/>
    <s v="CD01"/>
    <x v="85"/>
    <x v="158"/>
    <s v="LAKE CAREY"/>
    <m/>
    <s v="14.16"/>
    <n v="300"/>
    <s v="NL2018"/>
    <m/>
    <n v="17"/>
    <n v="5100"/>
    <x v="136"/>
    <n v="19961400"/>
    <x v="0"/>
    <d v="2019-04-17T00:00:00"/>
    <d v="2019-05-21T00:00:00"/>
    <d v="2019-05-21T00:00:00"/>
    <s v="30/3AL"/>
    <m/>
    <m/>
    <m/>
    <d v="2019-06-01T00:00:00"/>
    <n v="1200"/>
    <d v="2019-06-06T00:00:00"/>
    <n v="2100"/>
    <d v="2019-06-11T00:00:00"/>
    <n v="1800"/>
    <m/>
    <m/>
    <n v="5100"/>
    <n v="0"/>
    <n v="0"/>
  </r>
  <r>
    <s v="7A/2019"/>
    <d v="2019-02-03T00:00:00"/>
    <s v="KIỀU THY"/>
    <s v="CD01"/>
    <x v="85"/>
    <x v="159"/>
    <s v="REDDESIRE"/>
    <m/>
    <s v="16.18"/>
    <n v="200"/>
    <s v="NL2018"/>
    <m/>
    <n v="35"/>
    <n v="7000"/>
    <x v="142"/>
    <n v="48097000"/>
    <x v="4"/>
    <d v="2019-04-17T00:00:00"/>
    <d v="2019-05-21T00:00:00"/>
    <d v="2019-05-21T00:00:00"/>
    <s v="30/3AL"/>
    <m/>
    <m/>
    <m/>
    <d v="2019-05-24T00:00:00"/>
    <n v="5000"/>
    <m/>
    <m/>
    <m/>
    <m/>
    <m/>
    <m/>
    <n v="5000"/>
    <n v="2000"/>
    <n v="13742000"/>
  </r>
  <r>
    <s v="7A/2019"/>
    <d v="2019-02-03T00:00:00"/>
    <s v="KIỀU THY"/>
    <s v="CD01"/>
    <x v="85"/>
    <x v="5"/>
    <s v="PROFUNDO"/>
    <m/>
    <s v="16.18"/>
    <n v="200"/>
    <s v="NL2018"/>
    <m/>
    <n v="122"/>
    <n v="24400"/>
    <x v="45"/>
    <n v="163480000"/>
    <x v="0"/>
    <d v="2019-03-15T00:00:00"/>
    <d v="2019-04-19T00:00:00"/>
    <d v="2019-04-19T00:00:00"/>
    <s v="15/3AL"/>
    <s v="CONT 23/2019"/>
    <d v="2019-04-14T00:00:00"/>
    <m/>
    <d v="2019-05-03T00:00:00"/>
    <n v="6000"/>
    <d v="2019-05-22T00:00:00"/>
    <n v="4000"/>
    <d v="2019-05-29T00:00:00"/>
    <n v="14400"/>
    <m/>
    <m/>
    <n v="24400"/>
    <n v="0"/>
    <n v="0"/>
  </r>
  <r>
    <s v="7A/2019"/>
    <d v="2018-12-27T00:00:00"/>
    <s v="KIỀU THY"/>
    <s v="CD01"/>
    <x v="85"/>
    <x v="15"/>
    <s v="CONCADOR "/>
    <m/>
    <s v="16.18"/>
    <n v="200"/>
    <s v="NL2018"/>
    <m/>
    <n v="25"/>
    <n v="5000"/>
    <x v="46"/>
    <n v="30000000"/>
    <x v="0"/>
    <d v="2019-04-17T00:00:00"/>
    <d v="2019-05-21T00:00:00"/>
    <d v="2019-05-21T00:00:00"/>
    <s v="10/4AL"/>
    <m/>
    <m/>
    <m/>
    <d v="2019-06-03T00:00:00"/>
    <n v="5000"/>
    <m/>
    <m/>
    <m/>
    <m/>
    <m/>
    <m/>
    <n v="5000"/>
    <n v="0"/>
    <n v="0"/>
  </r>
  <r>
    <s v="7A/2019"/>
    <d v="2019-02-03T00:00:00"/>
    <s v="KIỀU THY"/>
    <s v="CD01"/>
    <x v="85"/>
    <x v="47"/>
    <s v="ROBINA"/>
    <m/>
    <s v="18.20"/>
    <n v="150"/>
    <s v="NL2018"/>
    <m/>
    <n v="54"/>
    <n v="8100"/>
    <x v="42"/>
    <n v="51030000"/>
    <x v="0"/>
    <d v="2019-03-15T00:00:00"/>
    <d v="2019-04-19T00:00:00"/>
    <d v="2019-04-19T00:00:00"/>
    <s v="15/3AL"/>
    <m/>
    <m/>
    <m/>
    <d v="2019-05-11T00:00:00"/>
    <n v="4050"/>
    <d v="2019-05-21T00:00:00"/>
    <n v="4050"/>
    <m/>
    <m/>
    <m/>
    <m/>
    <n v="8100"/>
    <n v="0"/>
    <n v="0"/>
  </r>
  <r>
    <s v="7A/2019"/>
    <d v="2019-04-17T00:00:00"/>
    <s v="KIỀU THY"/>
    <s v="CD01"/>
    <x v="85"/>
    <x v="47"/>
    <s v="ROBINA"/>
    <m/>
    <s v="18.20"/>
    <n v="150"/>
    <s v="NL2018"/>
    <m/>
    <n v="67"/>
    <n v="10050"/>
    <x v="134"/>
    <n v="65606400"/>
    <x v="4"/>
    <d v="2019-04-17T00:00:00"/>
    <d v="2019-05-21T00:00:00"/>
    <d v="2019-05-21T00:00:00"/>
    <s v="10/4AL"/>
    <m/>
    <m/>
    <m/>
    <m/>
    <m/>
    <m/>
    <m/>
    <m/>
    <m/>
    <m/>
    <m/>
    <n v="0"/>
    <n v="10050"/>
    <n v="65606400"/>
  </r>
  <r>
    <s v="7A/2019"/>
    <d v="2019-04-23T00:00:00"/>
    <s v="KIỀU THY"/>
    <s v="CD01"/>
    <x v="85"/>
    <x v="60"/>
    <s v="PATRICIA"/>
    <s v="RL"/>
    <s v="12.14"/>
    <n v="400"/>
    <s v="NL2018"/>
    <m/>
    <n v="1"/>
    <n v="400"/>
    <x v="79"/>
    <n v="3440000"/>
    <x v="0"/>
    <d v="2019-04-17T00:00:00"/>
    <d v="2019-05-21T00:00:00"/>
    <d v="2019-05-21T00:00:00"/>
    <m/>
    <m/>
    <m/>
    <m/>
    <m/>
    <m/>
    <m/>
    <m/>
    <m/>
    <m/>
    <m/>
    <m/>
    <n v="0"/>
    <n v="400"/>
    <n v="3440000"/>
  </r>
  <r>
    <s v="7A/2019"/>
    <d v="2019-05-31T00:00:00"/>
    <s v="KIỀU THY"/>
    <s v="CD01"/>
    <x v="85"/>
    <x v="51"/>
    <s v="THALITA"/>
    <s v="RL"/>
    <s v="12.14"/>
    <n v="400"/>
    <s v="NL2018"/>
    <m/>
    <n v="1"/>
    <n v="400"/>
    <x v="79"/>
    <n v="3440000"/>
    <x v="0"/>
    <d v="2019-02-15T00:00:00"/>
    <d v="2019-03-20T00:00:00"/>
    <d v="2019-03-20T00:00:00"/>
    <m/>
    <m/>
    <m/>
    <m/>
    <m/>
    <m/>
    <m/>
    <m/>
    <m/>
    <m/>
    <m/>
    <m/>
    <n v="0"/>
    <n v="400"/>
    <n v="3440000"/>
  </r>
  <r>
    <s v="7A/2019"/>
    <d v="2019-05-20T00:00:00"/>
    <s v="KIỀU THY"/>
    <s v="CD01"/>
    <x v="85"/>
    <x v="30"/>
    <s v="MALDANO"/>
    <m/>
    <s v="16.18"/>
    <n v="200"/>
    <s v="NL2018"/>
    <m/>
    <n v="1"/>
    <n v="200"/>
    <x v="55"/>
    <n v="1060000"/>
    <x v="0"/>
    <d v="2019-04-17T00:00:00"/>
    <d v="2019-05-21T00:00:00"/>
    <d v="2019-05-21T00:00:00"/>
    <m/>
    <m/>
    <m/>
    <m/>
    <d v="2019-05-21T00:00:00"/>
    <n v="200"/>
    <m/>
    <m/>
    <m/>
    <m/>
    <m/>
    <m/>
    <n v="200"/>
    <n v="0"/>
    <n v="0"/>
  </r>
  <r>
    <s v="7A/2019"/>
    <d v="2018-12-27T00:00:00"/>
    <s v="KIỀU THY"/>
    <s v="CD01"/>
    <x v="85"/>
    <x v="15"/>
    <s v="CONCADOR "/>
    <m/>
    <s v="16.18"/>
    <n v="200"/>
    <s v="NL2018"/>
    <m/>
    <n v="25"/>
    <n v="5000"/>
    <x v="21"/>
    <n v="23000000"/>
    <x v="0"/>
    <d v="2019-01-15T00:00:00"/>
    <d v="2019-02-19T00:00:00"/>
    <d v="2019-02-19T00:00:00"/>
    <s v="15/1AL"/>
    <m/>
    <m/>
    <m/>
    <d v="2019-03-04T00:00:00"/>
    <n v="5000"/>
    <m/>
    <m/>
    <m/>
    <m/>
    <m/>
    <m/>
    <n v="5000"/>
    <n v="0"/>
    <n v="0"/>
  </r>
  <r>
    <s v="7A/2019"/>
    <d v="2018-12-27T00:00:00"/>
    <s v="KIỀU THY"/>
    <s v="CD01"/>
    <x v="85"/>
    <x v="5"/>
    <s v="PROFUNDO"/>
    <m/>
    <s v="16.18"/>
    <n v="200"/>
    <s v="NL2018"/>
    <m/>
    <n v="70"/>
    <n v="14000"/>
    <x v="43"/>
    <n v="91000000"/>
    <x v="0"/>
    <d v="2019-01-15T00:00:00"/>
    <d v="2019-02-19T00:00:00"/>
    <d v="2019-02-19T00:00:00"/>
    <s v="15/1AL"/>
    <m/>
    <m/>
    <m/>
    <d v="2019-02-19T00:00:00"/>
    <n v="14000"/>
    <m/>
    <m/>
    <m/>
    <m/>
    <m/>
    <m/>
    <n v="14000"/>
    <n v="0"/>
    <n v="0"/>
  </r>
  <r>
    <s v="7A/2019"/>
    <d v="2018-12-27T00:00:00"/>
    <s v="KIỀU THY"/>
    <s v="CD01"/>
    <x v="85"/>
    <x v="5"/>
    <s v="PROFUNDO"/>
    <m/>
    <s v="16.18"/>
    <n v="200"/>
    <s v="NL2018"/>
    <m/>
    <n v="70"/>
    <n v="14000"/>
    <x v="43"/>
    <n v="91000000"/>
    <x v="0"/>
    <d v="2019-01-15T00:00:00"/>
    <d v="2019-02-19T00:00:00"/>
    <d v="2019-02-19T00:00:00"/>
    <s v="15/1AL"/>
    <m/>
    <m/>
    <m/>
    <d v="2019-03-11T00:00:00"/>
    <n v="14000"/>
    <m/>
    <m/>
    <m/>
    <m/>
    <m/>
    <m/>
    <n v="14000"/>
    <n v="0"/>
    <n v="0"/>
  </r>
  <r>
    <s v="7A/2019"/>
    <d v="2018-12-27T00:00:00"/>
    <s v="KIỀU THY"/>
    <s v="CD01"/>
    <x v="85"/>
    <x v="160"/>
    <s v="BORRELLO"/>
    <m/>
    <s v="18.20"/>
    <n v="150"/>
    <s v="NL2018"/>
    <m/>
    <n v="20"/>
    <n v="3000"/>
    <x v="9"/>
    <n v="18600000"/>
    <x v="0"/>
    <d v="2019-02-15T00:00:00"/>
    <d v="2019-03-20T00:00:00"/>
    <d v="2019-03-20T00:00:00"/>
    <s v="15/2AL"/>
    <s v="CONT 12/2019"/>
    <d v="2019-03-17T00:00:00"/>
    <m/>
    <d v="2019-03-28T00:00:00"/>
    <n v="3000"/>
    <m/>
    <m/>
    <m/>
    <m/>
    <m/>
    <m/>
    <n v="3000"/>
    <n v="0"/>
    <n v="0"/>
  </r>
  <r>
    <s v="7A/2019"/>
    <d v="2018-12-27T00:00:00"/>
    <s v="KIỀU THY"/>
    <s v="CD01"/>
    <x v="85"/>
    <x v="102"/>
    <s v="COMPETITION"/>
    <m/>
    <s v="16.18"/>
    <n v="200"/>
    <s v="NL2018"/>
    <m/>
    <n v="90"/>
    <n v="18000"/>
    <x v="45"/>
    <n v="120600000"/>
    <x v="0"/>
    <d v="2019-02-15T00:00:00"/>
    <d v="2019-03-20T00:00:00"/>
    <d v="2019-03-20T00:00:00"/>
    <s v="15/2AL"/>
    <s v="CONT 9/2019"/>
    <d v="2019-03-17T00:00:00"/>
    <m/>
    <d v="2019-03-21T00:00:00"/>
    <n v="3000"/>
    <d v="2019-03-28T00:00:00"/>
    <n v="3000"/>
    <d v="2019-04-08T00:00:00"/>
    <n v="12000"/>
    <m/>
    <m/>
    <n v="18000"/>
    <n v="0"/>
    <n v="0"/>
  </r>
  <r>
    <s v="7A/2019"/>
    <d v="2018-12-27T00:00:00"/>
    <s v="KIỀU THY"/>
    <s v="CD01"/>
    <x v="85"/>
    <x v="15"/>
    <s v="CONCADOR"/>
    <m/>
    <s v="16.18"/>
    <n v="200"/>
    <s v="NL2018"/>
    <m/>
    <n v="45"/>
    <n v="9000"/>
    <x v="21"/>
    <n v="41400000"/>
    <x v="0"/>
    <d v="2019-02-15T00:00:00"/>
    <d v="2019-03-20T00:00:00"/>
    <d v="2019-03-20T00:00:00"/>
    <s v="15/2AL"/>
    <s v="CONT 10/2019"/>
    <d v="2019-03-17T00:00:00"/>
    <m/>
    <d v="2019-03-04T00:00:00"/>
    <n v="5000"/>
    <d v="2019-03-19T00:00:00"/>
    <n v="4000"/>
    <m/>
    <m/>
    <m/>
    <m/>
    <n v="9000"/>
    <n v="0"/>
    <n v="0"/>
  </r>
  <r>
    <s v="7A/2019"/>
    <d v="2019-03-14T00:00:00"/>
    <s v="KIỀU THY"/>
    <s v="CD01"/>
    <x v="85"/>
    <x v="145"/>
    <s v="DALIAN"/>
    <m/>
    <s v="16.18"/>
    <n v="200"/>
    <s v="NL2018"/>
    <m/>
    <n v="50"/>
    <n v="10000"/>
    <x v="45"/>
    <n v="67000000"/>
    <x v="0"/>
    <d v="2019-02-15T00:00:00"/>
    <d v="2019-03-20T00:00:00"/>
    <d v="2019-03-20T00:00:00"/>
    <s v="15/2AL"/>
    <s v="CONT 11/2019"/>
    <d v="2019-03-17T00:00:00"/>
    <m/>
    <d v="2019-03-21T00:00:00"/>
    <n v="4000"/>
    <d v="2019-04-22T00:00:00"/>
    <n v="6000"/>
    <m/>
    <m/>
    <m/>
    <m/>
    <n v="10000"/>
    <n v="0"/>
    <n v="0"/>
  </r>
  <r>
    <s v="7A/2019"/>
    <d v="2018-12-27T00:00:00"/>
    <s v="KIỀU THY"/>
    <s v="CD01"/>
    <x v="85"/>
    <x v="5"/>
    <s v="PROFUNDO"/>
    <m/>
    <s v="16.18"/>
    <n v="200"/>
    <s v="NL2018"/>
    <m/>
    <n v="45"/>
    <n v="9000"/>
    <x v="45"/>
    <n v="60300000"/>
    <x v="0"/>
    <d v="2019-02-15T00:00:00"/>
    <d v="2019-03-20T00:00:00"/>
    <d v="2019-03-20T00:00:00"/>
    <s v="15/2AL"/>
    <s v="CONT 12/2019"/>
    <d v="2019-03-17T00:00:00"/>
    <m/>
    <d v="2019-03-26T00:00:00"/>
    <n v="3000"/>
    <d v="2019-04-25T00:00:00"/>
    <n v="6000"/>
    <m/>
    <m/>
    <m/>
    <m/>
    <n v="9000"/>
    <n v="0"/>
    <n v="0"/>
  </r>
  <r>
    <s v="7A/2019"/>
    <d v="2019-02-03T00:00:00"/>
    <s v="KIỀU THY"/>
    <s v="CD01"/>
    <x v="85"/>
    <x v="15"/>
    <s v="CONCADOR"/>
    <m/>
    <s v="16.18"/>
    <n v="200"/>
    <s v="NL2018"/>
    <m/>
    <n v="20"/>
    <n v="4000"/>
    <x v="18"/>
    <n v="20000000"/>
    <x v="0"/>
    <d v="2019-03-15T00:00:00"/>
    <d v="2019-04-19T00:00:00"/>
    <d v="2019-04-19T00:00:00"/>
    <s v="15/3AL"/>
    <m/>
    <m/>
    <m/>
    <d v="2019-05-03T00:00:00"/>
    <n v="4000"/>
    <m/>
    <m/>
    <m/>
    <m/>
    <m/>
    <m/>
    <n v="4000"/>
    <n v="0"/>
    <n v="0"/>
  </r>
  <r>
    <s v="7A/2019"/>
    <d v="2019-04-23T00:00:00"/>
    <s v="KIỀU THY"/>
    <s v="CD01"/>
    <x v="85"/>
    <x v="160"/>
    <s v="BORRELLO"/>
    <m/>
    <s v="18.20"/>
    <n v="150"/>
    <s v="NL2018"/>
    <m/>
    <n v="47"/>
    <n v="7050"/>
    <x v="143"/>
    <n v="45317400"/>
    <x v="4"/>
    <d v="2019-05-05T00:00:00"/>
    <d v="2019-06-07T00:00:00"/>
    <d v="2019-06-07T00:00:00"/>
    <s v="5/5AL"/>
    <m/>
    <m/>
    <m/>
    <m/>
    <n v="0"/>
    <m/>
    <m/>
    <m/>
    <m/>
    <m/>
    <m/>
    <n v="0"/>
    <n v="7050"/>
    <n v="45317400"/>
  </r>
  <r>
    <s v="7A/2019"/>
    <d v="2019-04-23T00:00:00"/>
    <s v="KIỀU THY"/>
    <s v="CD01"/>
    <x v="85"/>
    <x v="5"/>
    <s v="PROFUNDO"/>
    <m/>
    <s v="16.18"/>
    <n v="200"/>
    <s v="NL2018"/>
    <m/>
    <n v="50"/>
    <n v="10000"/>
    <x v="144"/>
    <n v="69990000"/>
    <x v="4"/>
    <d v="2019-05-05T00:00:00"/>
    <d v="2019-06-07T00:00:00"/>
    <d v="2019-06-07T00:00:00"/>
    <s v="5/5AL"/>
    <m/>
    <m/>
    <m/>
    <d v="2019-06-15T00:00:00"/>
    <n v="4800"/>
    <m/>
    <m/>
    <m/>
    <m/>
    <m/>
    <m/>
    <n v="4800"/>
    <n v="5200"/>
    <n v="36394800"/>
  </r>
  <r>
    <s v="7A/2019"/>
    <d v="2019-02-03T00:00:00"/>
    <s v="KIỀU THY"/>
    <s v="CD01"/>
    <x v="85"/>
    <x v="31"/>
    <s v="TARRANGO"/>
    <m/>
    <s v="14.16"/>
    <n v="300"/>
    <s v="NL2018"/>
    <m/>
    <n v="10"/>
    <n v="3000"/>
    <x v="21"/>
    <n v="13800000"/>
    <x v="1"/>
    <d v="2019-03-15T00:00:00"/>
    <d v="2019-04-19T00:00:00"/>
    <d v="2019-04-19T00:00:00"/>
    <s v="15/3AL"/>
    <m/>
    <m/>
    <m/>
    <m/>
    <n v="0"/>
    <m/>
    <m/>
    <m/>
    <m/>
    <m/>
    <m/>
    <n v="0"/>
    <n v="3000"/>
    <n v="13800000"/>
  </r>
  <r>
    <s v="7A/2019"/>
    <d v="2018-12-27T00:00:00"/>
    <s v="KIỀU THY"/>
    <s v="CD01"/>
    <x v="85"/>
    <x v="34"/>
    <s v="TARRANGO"/>
    <m/>
    <s v="16.18"/>
    <n v="200"/>
    <s v="NL2018"/>
    <m/>
    <n v="15"/>
    <n v="3000"/>
    <x v="44"/>
    <n v="16500000"/>
    <x v="1"/>
    <d v="2019-03-15T00:00:00"/>
    <d v="2019-04-19T00:00:00"/>
    <d v="2019-04-19T00:00:00"/>
    <s v="15/3AL"/>
    <m/>
    <m/>
    <m/>
    <m/>
    <m/>
    <m/>
    <m/>
    <m/>
    <m/>
    <m/>
    <m/>
    <n v="0"/>
    <n v="3000"/>
    <n v="16500000"/>
  </r>
  <r>
    <s v="7A/2019"/>
    <d v="2019-04-23T00:00:00"/>
    <s v="KIỀU THY"/>
    <s v="CD01"/>
    <x v="85"/>
    <x v="47"/>
    <s v="ROBINA"/>
    <m/>
    <s v="18.20"/>
    <n v="150"/>
    <s v="NL2018"/>
    <m/>
    <n v="67"/>
    <n v="10050"/>
    <x v="145"/>
    <n v="67324950"/>
    <x v="4"/>
    <d v="2019-05-05T00:00:00"/>
    <d v="2019-06-07T00:00:00"/>
    <d v="2019-06-07T00:00:00"/>
    <s v="5/5AL"/>
    <m/>
    <m/>
    <m/>
    <d v="2019-06-15T00:00:00"/>
    <n v="8100"/>
    <d v="2019-06-17T00:00:00"/>
    <n v="1050"/>
    <m/>
    <m/>
    <m/>
    <m/>
    <n v="9150"/>
    <n v="900"/>
    <n v="6029100"/>
  </r>
  <r>
    <s v="7A/2019"/>
    <d v="2018-12-27T00:00:00"/>
    <s v="KIỀU THY"/>
    <s v="CD01"/>
    <x v="85"/>
    <x v="15"/>
    <s v="CONCADOR "/>
    <m/>
    <s v="16.18"/>
    <n v="200"/>
    <s v="NL2018"/>
    <m/>
    <n v="25"/>
    <n v="5000"/>
    <x v="46"/>
    <n v="30000000"/>
    <x v="0"/>
    <d v="2019-03-15T00:00:00"/>
    <d v="2019-04-19T00:00:00"/>
    <d v="2019-04-19T00:00:00"/>
    <m/>
    <m/>
    <m/>
    <m/>
    <d v="2019-05-14T00:00:00"/>
    <n v="5000"/>
    <m/>
    <m/>
    <m/>
    <m/>
    <m/>
    <m/>
    <n v="5000"/>
    <n v="0"/>
    <n v="0"/>
  </r>
  <r>
    <s v="7A/2019"/>
    <d v="2019-04-23T00:00:00"/>
    <s v="KIỀU THY"/>
    <s v="CD01"/>
    <x v="85"/>
    <x v="15"/>
    <s v="CONCADOR"/>
    <m/>
    <s v="16.18"/>
    <n v="200"/>
    <s v="NL2018"/>
    <m/>
    <n v="50"/>
    <n v="10000"/>
    <x v="146"/>
    <n v="64990000"/>
    <x v="4"/>
    <d v="2019-05-05T00:00:00"/>
    <d v="2019-06-07T00:00:00"/>
    <d v="2019-06-07T00:00:00"/>
    <s v="5/5AL"/>
    <m/>
    <m/>
    <m/>
    <d v="2019-06-15T00:00:00"/>
    <n v="5000"/>
    <m/>
    <m/>
    <m/>
    <m/>
    <m/>
    <m/>
    <n v="5000"/>
    <n v="5000"/>
    <n v="32495000"/>
  </r>
  <r>
    <s v="7A/2019"/>
    <d v="2019-04-23T00:00:00"/>
    <s v="KIỀU THY"/>
    <s v="CD01"/>
    <x v="85"/>
    <x v="78"/>
    <s v="NATALIA"/>
    <s v="RL"/>
    <s v="12.14"/>
    <n v="400"/>
    <s v="NL2018"/>
    <m/>
    <n v="0"/>
    <n v="0"/>
    <x v="79"/>
    <n v="0"/>
    <x v="1"/>
    <d v="2019-04-17T00:00:00"/>
    <d v="2019-05-21T00:00:00"/>
    <d v="2019-05-21T00:00:00"/>
    <m/>
    <m/>
    <m/>
    <m/>
    <m/>
    <m/>
    <m/>
    <m/>
    <m/>
    <m/>
    <m/>
    <m/>
    <n v="0"/>
    <n v="0"/>
    <n v="0"/>
  </r>
  <r>
    <s v="7A/2019"/>
    <d v="2019-04-23T00:00:00"/>
    <s v="KIỀU THY"/>
    <s v="CD01"/>
    <x v="85"/>
    <x v="158"/>
    <s v="LAKE CAREY"/>
    <m/>
    <s v="14.16"/>
    <n v="300"/>
    <s v="NL2018"/>
    <m/>
    <n v="17"/>
    <n v="5100"/>
    <x v="147"/>
    <n v="20394900"/>
    <x v="3"/>
    <d v="2019-05-12T00:00:00"/>
    <d v="2019-06-14T00:00:00"/>
    <d v="2019-06-14T00:00:00"/>
    <s v="5/5AL"/>
    <m/>
    <m/>
    <m/>
    <m/>
    <m/>
    <m/>
    <m/>
    <m/>
    <m/>
    <m/>
    <m/>
    <n v="0"/>
    <n v="5100"/>
    <n v="20394900"/>
  </r>
  <r>
    <s v="7A/2019"/>
    <d v="2019-04-23T00:00:00"/>
    <s v="KIỀU THY"/>
    <s v="CD01"/>
    <x v="85"/>
    <x v="90"/>
    <s v="CARBONERO"/>
    <m/>
    <s v="16.18"/>
    <n v="200"/>
    <s v="NL2018"/>
    <m/>
    <n v="25"/>
    <n v="5000"/>
    <x v="148"/>
    <n v="31495000"/>
    <x v="4"/>
    <d v="2019-05-05T00:00:00"/>
    <d v="2019-06-07T00:00:00"/>
    <d v="2019-06-07T00:00:00"/>
    <s v="5/5AL"/>
    <m/>
    <m/>
    <m/>
    <m/>
    <m/>
    <m/>
    <m/>
    <m/>
    <m/>
    <m/>
    <m/>
    <n v="0"/>
    <n v="5000"/>
    <n v="31495000"/>
  </r>
  <r>
    <s v="7A/2019"/>
    <d v="2019-04-23T00:00:00"/>
    <s v="KIỀU THY"/>
    <s v="CD01"/>
    <x v="85"/>
    <x v="78"/>
    <s v="NATALIA"/>
    <s v="RL"/>
    <s v="12.14"/>
    <n v="400"/>
    <s v="NL2018"/>
    <m/>
    <n v="2"/>
    <n v="800"/>
    <x v="137"/>
    <n v="6960000"/>
    <x v="4"/>
    <d v="2019-05-05T00:00:00"/>
    <d v="2019-06-07T00:00:00"/>
    <d v="2019-06-07T00:00:00"/>
    <m/>
    <m/>
    <m/>
    <m/>
    <m/>
    <m/>
    <m/>
    <m/>
    <m/>
    <m/>
    <m/>
    <m/>
    <n v="0"/>
    <n v="800"/>
    <n v="6960000"/>
  </r>
  <r>
    <s v="7A/2019"/>
    <d v="2018-12-27T00:00:00"/>
    <s v="KIỀU THY"/>
    <s v="CD01"/>
    <x v="85"/>
    <x v="34"/>
    <s v="TARRANGO"/>
    <m/>
    <s v="16.18"/>
    <n v="200"/>
    <s v="NL2018"/>
    <m/>
    <n v="0"/>
    <n v="0"/>
    <x v="44"/>
    <n v="0"/>
    <x v="1"/>
    <d v="2019-04-25T00:00:00"/>
    <d v="2019-05-29T00:00:00"/>
    <d v="2019-05-29T00:00:00"/>
    <s v="T4 AL onwards, not including cooling cost"/>
    <m/>
    <m/>
    <m/>
    <m/>
    <n v="0"/>
    <m/>
    <m/>
    <m/>
    <m/>
    <m/>
    <m/>
    <n v="0"/>
    <n v="0"/>
    <n v="0"/>
  </r>
  <r>
    <s v="7A/2019"/>
    <d v="2019-04-23T00:00:00"/>
    <s v="KIỀU THY"/>
    <s v="CD01"/>
    <x v="85"/>
    <x v="89"/>
    <s v="TATSJANA"/>
    <s v="RL"/>
    <s v="12.14"/>
    <n v="350"/>
    <s v="NL2018"/>
    <m/>
    <n v="2"/>
    <n v="700"/>
    <x v="137"/>
    <n v="6090000"/>
    <x v="4"/>
    <d v="2019-05-05T00:00:00"/>
    <d v="2019-06-07T00:00:00"/>
    <d v="2019-06-07T00:00:00"/>
    <m/>
    <m/>
    <m/>
    <m/>
    <m/>
    <m/>
    <m/>
    <m/>
    <m/>
    <m/>
    <m/>
    <m/>
    <n v="0"/>
    <n v="700"/>
    <n v="6090000"/>
  </r>
  <r>
    <s v="7A/2019"/>
    <d v="2019-04-23T00:00:00"/>
    <s v="KIỀU THY"/>
    <s v="CD01"/>
    <x v="85"/>
    <x v="161"/>
    <s v="MONTEZUMA"/>
    <m/>
    <s v="16.18"/>
    <n v="200"/>
    <s v="NL2018"/>
    <m/>
    <n v="9"/>
    <n v="1800"/>
    <x v="149"/>
    <n v="11467800"/>
    <x v="4"/>
    <d v="2019-05-05T00:00:00"/>
    <d v="2019-06-07T00:00:00"/>
    <d v="2019-06-07T00:00:00"/>
    <s v="5/5AL"/>
    <s v="CONT 27/2019"/>
    <d v="2019-04-14T00:00:00"/>
    <m/>
    <m/>
    <n v="0"/>
    <m/>
    <m/>
    <m/>
    <m/>
    <m/>
    <m/>
    <n v="0"/>
    <n v="1800"/>
    <n v="11467800"/>
  </r>
  <r>
    <s v="7A/2019"/>
    <d v="2019-04-23T00:00:00"/>
    <s v="KIỀU THY"/>
    <s v="CD01"/>
    <x v="85"/>
    <x v="51"/>
    <s v="THALITA"/>
    <s v="RL"/>
    <s v="12.14"/>
    <n v="400"/>
    <s v="NL2018"/>
    <m/>
    <n v="2"/>
    <n v="800"/>
    <x v="137"/>
    <n v="6960000"/>
    <x v="4"/>
    <d v="2019-05-05T00:00:00"/>
    <d v="2019-06-07T00:00:00"/>
    <d v="2019-06-07T00:00:00"/>
    <m/>
    <m/>
    <m/>
    <m/>
    <m/>
    <m/>
    <m/>
    <m/>
    <m/>
    <m/>
    <m/>
    <m/>
    <n v="0"/>
    <n v="800"/>
    <n v="6960000"/>
  </r>
  <r>
    <s v="7A/2019"/>
    <d v="2019-05-10T00:00:00"/>
    <s v="KIỀU THY"/>
    <s v="CD01"/>
    <x v="85"/>
    <x v="162"/>
    <s v="ZAMBESSI"/>
    <m/>
    <s v="16.18"/>
    <n v="200"/>
    <s v="NL2018"/>
    <m/>
    <n v="1"/>
    <n v="200"/>
    <x v="42"/>
    <n v="1260000"/>
    <x v="4"/>
    <d v="2019-05-05T00:00:00"/>
    <d v="2019-06-07T00:00:00"/>
    <d v="2019-06-07T00:00:00"/>
    <m/>
    <m/>
    <m/>
    <m/>
    <m/>
    <m/>
    <m/>
    <m/>
    <m/>
    <m/>
    <m/>
    <m/>
    <n v="0"/>
    <n v="200"/>
    <n v="1260000"/>
  </r>
  <r>
    <s v="7A/2019"/>
    <d v="2019-05-10T00:00:00"/>
    <s v="KIỀU THY"/>
    <s v="CD01"/>
    <x v="85"/>
    <x v="102"/>
    <s v="COMPETITION"/>
    <m/>
    <s v="16.18"/>
    <n v="200"/>
    <s v="NL2018"/>
    <m/>
    <n v="15"/>
    <n v="3000"/>
    <x v="34"/>
    <n v="21300000"/>
    <x v="4"/>
    <d v="2019-05-05T00:00:00"/>
    <d v="2019-06-07T00:00:00"/>
    <d v="2019-06-07T00:00:00"/>
    <m/>
    <m/>
    <m/>
    <m/>
    <m/>
    <m/>
    <m/>
    <m/>
    <m/>
    <m/>
    <m/>
    <m/>
    <n v="0"/>
    <n v="3000"/>
    <n v="21300000"/>
  </r>
  <r>
    <s v="235/2019"/>
    <d v="2019-05-31T00:00:00"/>
    <s v="KIỀU THY"/>
    <s v="CD01"/>
    <x v="85"/>
    <x v="158"/>
    <s v="LAKE CAREY"/>
    <m/>
    <s v="14.16"/>
    <n v="300"/>
    <s v="NL2018"/>
    <m/>
    <n v="17"/>
    <n v="5100"/>
    <x v="150"/>
    <m/>
    <x v="3"/>
    <d v="2019-06-05T00:00:00"/>
    <d v="2019-07-07T00:00:00"/>
    <d v="2019-07-07T00:00:00"/>
    <m/>
    <m/>
    <m/>
    <m/>
    <m/>
    <m/>
    <m/>
    <m/>
    <m/>
    <m/>
    <m/>
    <m/>
    <n v="0"/>
    <n v="5100"/>
    <e v="#VALUE!"/>
  </r>
  <r>
    <s v="235/2019"/>
    <d v="2019-05-31T00:00:00"/>
    <s v="KIỀU THY"/>
    <s v="CD01"/>
    <x v="85"/>
    <x v="5"/>
    <s v="PROFUNDO"/>
    <m/>
    <s v="16.18"/>
    <n v="200"/>
    <s v="NL2018"/>
    <m/>
    <n v="100"/>
    <n v="20000"/>
    <x v="151"/>
    <m/>
    <x v="3"/>
    <d v="2019-06-05T00:00:00"/>
    <d v="2019-07-07T00:00:00"/>
    <d v="2019-07-07T00:00:00"/>
    <m/>
    <m/>
    <m/>
    <m/>
    <m/>
    <m/>
    <m/>
    <m/>
    <m/>
    <m/>
    <m/>
    <m/>
    <n v="0"/>
    <n v="20000"/>
    <e v="#VALUE!"/>
  </r>
  <r>
    <s v="235/2019"/>
    <d v="2019-05-31T00:00:00"/>
    <s v="KIỀU THY"/>
    <s v="CD01"/>
    <x v="85"/>
    <x v="159"/>
    <s v="REDDESIRE"/>
    <m/>
    <s v="16.18"/>
    <n v="200"/>
    <s v="NL2018"/>
    <m/>
    <n v="75"/>
    <n v="15000"/>
    <x v="152"/>
    <m/>
    <x v="3"/>
    <d v="2019-06-05T00:00:00"/>
    <d v="2019-07-07T00:00:00"/>
    <d v="2019-07-07T00:00:00"/>
    <m/>
    <m/>
    <m/>
    <m/>
    <m/>
    <m/>
    <m/>
    <m/>
    <m/>
    <m/>
    <m/>
    <m/>
    <n v="0"/>
    <n v="15000"/>
    <e v="#VALUE!"/>
  </r>
  <r>
    <s v="235/2019"/>
    <d v="2019-05-31T00:00:00"/>
    <s v="KIỀU THY"/>
    <s v="CD01"/>
    <x v="85"/>
    <x v="89"/>
    <s v="TATSJANA"/>
    <s v="RL"/>
    <s v="12.14"/>
    <n v="350"/>
    <s v="NL2018"/>
    <m/>
    <n v="2"/>
    <n v="700"/>
    <x v="137"/>
    <n v="6090000"/>
    <x v="3"/>
    <d v="2019-06-05T00:00:00"/>
    <d v="2019-07-07T00:00:00"/>
    <d v="2019-07-07T00:00:00"/>
    <m/>
    <m/>
    <m/>
    <m/>
    <m/>
    <m/>
    <m/>
    <m/>
    <m/>
    <m/>
    <m/>
    <m/>
    <n v="0"/>
    <n v="700"/>
    <n v="6090000"/>
  </r>
  <r>
    <s v="235/2019"/>
    <d v="2019-05-31T00:00:00"/>
    <s v="KIỀU THY"/>
    <s v="CD01"/>
    <x v="85"/>
    <x v="51"/>
    <s v="THALITA"/>
    <s v="RL"/>
    <s v="12.14"/>
    <n v="400"/>
    <s v="NL2018"/>
    <m/>
    <n v="2"/>
    <n v="800"/>
    <x v="137"/>
    <n v="6960000"/>
    <x v="3"/>
    <d v="2019-06-05T00:00:00"/>
    <d v="2019-07-07T00:00:00"/>
    <d v="2019-07-07T00:00:00"/>
    <m/>
    <m/>
    <m/>
    <m/>
    <m/>
    <m/>
    <m/>
    <m/>
    <m/>
    <m/>
    <m/>
    <m/>
    <n v="0"/>
    <n v="800"/>
    <n v="6960000"/>
  </r>
  <r>
    <s v="235/2019"/>
    <d v="2019-05-31T00:00:00"/>
    <s v="KIỀU THY"/>
    <s v="CD01"/>
    <x v="85"/>
    <x v="78"/>
    <s v="NATALIA"/>
    <s v="RL"/>
    <s v="12.14"/>
    <n v="400"/>
    <s v="NL2018"/>
    <m/>
    <n v="2"/>
    <n v="800"/>
    <x v="137"/>
    <n v="6960000"/>
    <x v="3"/>
    <d v="2019-06-05T00:00:00"/>
    <d v="2019-07-07T00:00:00"/>
    <d v="2019-07-07T00:00:00"/>
    <m/>
    <m/>
    <m/>
    <m/>
    <m/>
    <m/>
    <m/>
    <m/>
    <m/>
    <m/>
    <m/>
    <m/>
    <n v="0"/>
    <n v="800"/>
    <n v="6960000"/>
  </r>
  <r>
    <s v="235/2019"/>
    <d v="2019-05-31T00:00:00"/>
    <s v="KIỀU THY"/>
    <s v="CD01"/>
    <x v="85"/>
    <x v="162"/>
    <s v="ZAMBESSI"/>
    <m/>
    <s v="16.18"/>
    <n v="200"/>
    <s v="NL2018"/>
    <m/>
    <n v="1"/>
    <n v="200"/>
    <x v="54"/>
    <n v="1280000"/>
    <x v="3"/>
    <d v="2019-06-05T00:00:00"/>
    <d v="2019-07-07T00:00:00"/>
    <d v="2019-07-07T00:00:00"/>
    <m/>
    <m/>
    <m/>
    <m/>
    <m/>
    <m/>
    <m/>
    <m/>
    <m/>
    <m/>
    <m/>
    <m/>
    <n v="0"/>
    <n v="200"/>
    <n v="1280000"/>
  </r>
  <r>
    <s v="7A/2019"/>
    <d v="2019-04-23T00:00:00"/>
    <s v="KIỀU THY"/>
    <s v="CD01"/>
    <x v="85"/>
    <x v="15"/>
    <s v="CONCADOR "/>
    <m/>
    <s v="16.18"/>
    <n v="200"/>
    <s v="NL2018"/>
    <m/>
    <n v="50"/>
    <n v="10000"/>
    <x v="153"/>
    <n v="65840000"/>
    <x v="3"/>
    <d v="2019-06-05T00:00:00"/>
    <d v="2019-07-07T00:00:00"/>
    <d v="2019-07-07T00:00:00"/>
    <s v="05/6AL"/>
    <m/>
    <m/>
    <m/>
    <m/>
    <n v="0"/>
    <m/>
    <m/>
    <m/>
    <m/>
    <m/>
    <m/>
    <n v="0"/>
    <n v="10000"/>
    <n v="65840000"/>
  </r>
  <r>
    <s v="178A/2019"/>
    <d v="2018-12-27T00:00:00"/>
    <s v="KIỀU THY"/>
    <s v="CD01"/>
    <x v="85"/>
    <x v="158"/>
    <s v="LAKE CAREY"/>
    <m/>
    <s v="14.16"/>
    <n v="300"/>
    <s v="NL2018"/>
    <m/>
    <n v="68"/>
    <n v="20400"/>
    <x v="6"/>
    <n v="77520000"/>
    <x v="2"/>
    <d v="2019-08-01T00:00:00"/>
    <d v="2019-08-30T00:00:00"/>
    <d v="2019-08-30T00:00:00"/>
    <s v="T4 AL onwards, not including cooling cost"/>
    <m/>
    <m/>
    <m/>
    <m/>
    <n v="0"/>
    <m/>
    <m/>
    <m/>
    <m/>
    <m/>
    <m/>
    <n v="0"/>
    <n v="20400"/>
    <n v="77520000"/>
  </r>
  <r>
    <s v="178A/2019"/>
    <d v="2018-12-27T00:00:00"/>
    <s v="KIỀU THY"/>
    <s v="CD01"/>
    <x v="85"/>
    <x v="5"/>
    <s v="PROFUNDO"/>
    <m/>
    <s v="16.18"/>
    <n v="200"/>
    <s v="NL2018"/>
    <m/>
    <n v="204"/>
    <n v="40800"/>
    <x v="43"/>
    <n v="265200000"/>
    <x v="2"/>
    <d v="2019-08-01T00:00:00"/>
    <d v="2019-08-30T00:00:00"/>
    <d v="2019-08-30T00:00:00"/>
    <s v="T4 AL onwards, not including cooling cost"/>
    <m/>
    <m/>
    <s v="R"/>
    <m/>
    <n v="0"/>
    <m/>
    <m/>
    <m/>
    <m/>
    <m/>
    <m/>
    <n v="0"/>
    <n v="40800"/>
    <n v="265200000"/>
  </r>
  <r>
    <s v="178A/2019"/>
    <d v="2019-02-03T00:00:00"/>
    <s v="KIỀU THY"/>
    <s v="CD01"/>
    <x v="85"/>
    <x v="159"/>
    <s v="REDDESIRE"/>
    <m/>
    <s v="16.18"/>
    <n v="200"/>
    <s v="NL2018"/>
    <m/>
    <n v="65"/>
    <n v="13000"/>
    <x v="45"/>
    <n v="87100000"/>
    <x v="2"/>
    <d v="2019-08-01T00:00:00"/>
    <d v="2019-08-30T00:00:00"/>
    <d v="2019-08-30T00:00:00"/>
    <s v="T4 AL onwards, not including cooling cost"/>
    <m/>
    <m/>
    <s v="R"/>
    <m/>
    <n v="0"/>
    <m/>
    <m/>
    <m/>
    <m/>
    <m/>
    <m/>
    <n v="0"/>
    <n v="13000"/>
    <n v="87100000"/>
  </r>
  <r>
    <s v="235/2019"/>
    <d v="2019-05-31T00:00:00"/>
    <s v="KIỀU THY"/>
    <s v="CD01"/>
    <x v="85"/>
    <x v="158"/>
    <s v="LAKE CAREY"/>
    <m/>
    <s v="14.16"/>
    <n v="300"/>
    <s v="NL2018"/>
    <m/>
    <n v="17"/>
    <n v="5100"/>
    <x v="150"/>
    <m/>
    <x v="2"/>
    <d v="2019-07-05T00:00:00"/>
    <d v="2019-08-05T00:00:00"/>
    <d v="2019-08-05T00:00:00"/>
    <m/>
    <m/>
    <m/>
    <m/>
    <m/>
    <m/>
    <m/>
    <m/>
    <m/>
    <m/>
    <m/>
    <m/>
    <n v="0"/>
    <n v="5100"/>
    <e v="#VALUE!"/>
  </r>
  <r>
    <s v="235/2019"/>
    <d v="2019-05-31T00:00:00"/>
    <s v="KIỀU THY"/>
    <s v="CD01"/>
    <x v="85"/>
    <x v="5"/>
    <s v="PROFUNDO"/>
    <m/>
    <s v="16.18"/>
    <n v="200"/>
    <s v="NL2018"/>
    <m/>
    <n v="100"/>
    <n v="20000"/>
    <x v="151"/>
    <m/>
    <x v="2"/>
    <d v="2019-07-05T00:00:00"/>
    <d v="2019-08-05T00:00:00"/>
    <d v="2019-08-05T00:00:00"/>
    <m/>
    <m/>
    <m/>
    <m/>
    <m/>
    <m/>
    <m/>
    <m/>
    <m/>
    <m/>
    <m/>
    <m/>
    <n v="0"/>
    <n v="20000"/>
    <e v="#VALUE!"/>
  </r>
  <r>
    <s v="235/2019"/>
    <d v="2019-05-31T00:00:00"/>
    <s v="KIỀU THY"/>
    <s v="CD01"/>
    <x v="85"/>
    <x v="159"/>
    <s v="REDDESIRE"/>
    <m/>
    <s v="16.18"/>
    <n v="200"/>
    <s v="NL2018"/>
    <m/>
    <n v="50"/>
    <n v="10000"/>
    <x v="152"/>
    <m/>
    <x v="2"/>
    <d v="2019-07-05T00:00:00"/>
    <d v="2019-08-05T00:00:00"/>
    <d v="2019-08-05T00:00:00"/>
    <m/>
    <m/>
    <m/>
    <m/>
    <m/>
    <m/>
    <m/>
    <m/>
    <m/>
    <m/>
    <m/>
    <m/>
    <n v="0"/>
    <n v="10000"/>
    <e v="#VALUE!"/>
  </r>
  <r>
    <s v="235/2019"/>
    <d v="2019-05-31T00:00:00"/>
    <s v="KIỀU THY"/>
    <s v="CD01"/>
    <x v="85"/>
    <x v="163"/>
    <s v="DIGAME"/>
    <m/>
    <s v="16.18"/>
    <n v="200"/>
    <s v="NL2018"/>
    <m/>
    <n v="1"/>
    <n v="200"/>
    <x v="45"/>
    <n v="1340000"/>
    <x v="2"/>
    <d v="2019-07-05T00:00:00"/>
    <d v="2019-08-05T00:00:00"/>
    <d v="2019-08-05T00:00:00"/>
    <m/>
    <m/>
    <m/>
    <m/>
    <m/>
    <m/>
    <m/>
    <m/>
    <m/>
    <m/>
    <m/>
    <m/>
    <n v="0"/>
    <n v="200"/>
    <n v="1340000"/>
  </r>
  <r>
    <s v="235/2019"/>
    <d v="2019-05-31T00:00:00"/>
    <s v="KIỀU THY"/>
    <s v="CD01"/>
    <x v="85"/>
    <x v="89"/>
    <s v="TATSJANA"/>
    <s v="RL"/>
    <s v="12.14"/>
    <n v="350"/>
    <s v="NL2018"/>
    <m/>
    <n v="2"/>
    <n v="700"/>
    <x v="137"/>
    <n v="6090000"/>
    <x v="2"/>
    <d v="2019-07-05T00:00:00"/>
    <d v="2019-08-05T00:00:00"/>
    <d v="2019-08-05T00:00:00"/>
    <m/>
    <m/>
    <m/>
    <m/>
    <m/>
    <m/>
    <m/>
    <m/>
    <m/>
    <m/>
    <m/>
    <m/>
    <n v="0"/>
    <n v="700"/>
    <n v="6090000"/>
  </r>
  <r>
    <s v="178A/2019"/>
    <d v="2018-12-27T00:00:00"/>
    <s v="KIỀU THY"/>
    <s v="CD01"/>
    <x v="85"/>
    <x v="49"/>
    <s v="MARENGO"/>
    <m/>
    <s v="16.18"/>
    <n v="200"/>
    <s v="NL2018"/>
    <m/>
    <n v="35"/>
    <n v="7000"/>
    <x v="154"/>
    <n v="44541000"/>
    <x v="3"/>
    <d v="2019-06-15T00:00:00"/>
    <d v="2019-07-17T00:00:00"/>
    <d v="2019-07-17T00:00:00"/>
    <s v="T4 AL onwards, not including cooling cost"/>
    <m/>
    <m/>
    <m/>
    <m/>
    <n v="0"/>
    <m/>
    <m/>
    <m/>
    <m/>
    <m/>
    <m/>
    <n v="0"/>
    <n v="7000"/>
    <n v="44541000"/>
  </r>
  <r>
    <s v="235/2019"/>
    <d v="2019-05-31T00:00:00"/>
    <s v="KIỀU THY"/>
    <s v="CD01"/>
    <x v="85"/>
    <x v="51"/>
    <s v="THALITA"/>
    <s v="RL"/>
    <s v="12.14"/>
    <n v="400"/>
    <s v="NL2018"/>
    <m/>
    <n v="2"/>
    <n v="800"/>
    <x v="137"/>
    <n v="6960000"/>
    <x v="2"/>
    <d v="2019-07-05T00:00:00"/>
    <d v="2019-08-05T00:00:00"/>
    <d v="2019-08-05T00:00:00"/>
    <m/>
    <m/>
    <m/>
    <m/>
    <m/>
    <m/>
    <m/>
    <m/>
    <m/>
    <m/>
    <m/>
    <m/>
    <n v="0"/>
    <n v="800"/>
    <n v="6960000"/>
  </r>
  <r>
    <s v="235/2019"/>
    <d v="2019-05-31T00:00:00"/>
    <s v="KIỀU THY"/>
    <s v="CD01"/>
    <x v="85"/>
    <x v="78"/>
    <s v="NATALIA"/>
    <s v="RL"/>
    <s v="12.14"/>
    <n v="400"/>
    <s v="NL2018"/>
    <m/>
    <n v="2"/>
    <n v="800"/>
    <x v="137"/>
    <n v="6960000"/>
    <x v="2"/>
    <d v="2019-07-05T00:00:00"/>
    <d v="2019-08-05T00:00:00"/>
    <d v="2019-08-05T00:00:00"/>
    <m/>
    <m/>
    <m/>
    <m/>
    <m/>
    <m/>
    <m/>
    <m/>
    <m/>
    <m/>
    <m/>
    <m/>
    <n v="0"/>
    <n v="800"/>
    <n v="6960000"/>
  </r>
  <r>
    <s v="178A/2019"/>
    <d v="2018-12-27T00:00:00"/>
    <s v="KIỀU THY"/>
    <s v="CD01"/>
    <x v="85"/>
    <x v="90"/>
    <s v="CARBONERO"/>
    <m/>
    <s v="16.18"/>
    <n v="200"/>
    <s v="NL2018"/>
    <m/>
    <n v="0"/>
    <n v="0"/>
    <x v="46"/>
    <n v="0"/>
    <x v="1"/>
    <d v="2019-07-01T00:00:00"/>
    <d v="2019-08-01T00:00:00"/>
    <d v="2019-08-01T00:00:00"/>
    <s v="T5 AL onwards, not including cooling cost"/>
    <m/>
    <m/>
    <m/>
    <m/>
    <n v="0"/>
    <m/>
    <m/>
    <m/>
    <m/>
    <m/>
    <m/>
    <n v="0"/>
    <n v="0"/>
    <n v="0"/>
  </r>
  <r>
    <s v="235/2019"/>
    <d v="2019-05-31T00:00:00"/>
    <s v="KIỀU THY"/>
    <s v="CD01"/>
    <x v="85"/>
    <x v="162"/>
    <s v="ZAMBESSI"/>
    <m/>
    <s v="16.18"/>
    <n v="200"/>
    <s v="NL2018"/>
    <m/>
    <n v="1"/>
    <n v="200"/>
    <x v="43"/>
    <n v="1300000"/>
    <x v="2"/>
    <d v="2019-07-05T00:00:00"/>
    <d v="2019-08-05T00:00:00"/>
    <d v="2019-08-05T00:00:00"/>
    <m/>
    <m/>
    <m/>
    <m/>
    <m/>
    <m/>
    <m/>
    <m/>
    <m/>
    <m/>
    <m/>
    <m/>
    <n v="0"/>
    <n v="200"/>
    <n v="1300000"/>
  </r>
  <r>
    <s v="7A/2019"/>
    <d v="2019-04-23T00:00:00"/>
    <s v="KIỀU THY"/>
    <s v="CD01"/>
    <x v="85"/>
    <x v="15"/>
    <s v="CONCADOR "/>
    <m/>
    <s v="16.18"/>
    <n v="200"/>
    <s v="NL2018"/>
    <m/>
    <n v="50"/>
    <n v="10000"/>
    <x v="155"/>
    <n v="66690000"/>
    <x v="2"/>
    <d v="2019-07-05T00:00:00"/>
    <d v="2019-08-05T00:00:00"/>
    <d v="2019-08-05T00:00:00"/>
    <s v="05/7AL"/>
    <m/>
    <m/>
    <m/>
    <m/>
    <n v="0"/>
    <m/>
    <m/>
    <m/>
    <m/>
    <m/>
    <m/>
    <n v="0"/>
    <n v="10000"/>
    <n v="66690000"/>
  </r>
  <r>
    <s v="7A/2019"/>
    <d v="2019-04-23T00:00:00"/>
    <s v="KIỀU THY"/>
    <s v="CD01"/>
    <x v="85"/>
    <x v="15"/>
    <s v="CONCADOR "/>
    <m/>
    <s v="16.18"/>
    <n v="200"/>
    <s v="NL2018"/>
    <m/>
    <n v="50"/>
    <n v="10000"/>
    <x v="156"/>
    <n v="67540000"/>
    <x v="2"/>
    <d v="2019-08-05T00:00:00"/>
    <d v="2019-09-03T00:00:00"/>
    <d v="2019-09-03T00:00:00"/>
    <s v="05/8AL"/>
    <m/>
    <m/>
    <m/>
    <m/>
    <n v="0"/>
    <m/>
    <m/>
    <m/>
    <m/>
    <m/>
    <m/>
    <n v="0"/>
    <n v="10000"/>
    <n v="67540000"/>
  </r>
  <r>
    <s v="119A/2019"/>
    <d v="2019-03-14T00:00:00"/>
    <s v="KIỀU THY"/>
    <s v="CD01"/>
    <x v="85"/>
    <x v="25"/>
    <s v="CONCADOR"/>
    <m/>
    <s v="18.20"/>
    <n v="150"/>
    <s v="NL2018"/>
    <m/>
    <n v="87"/>
    <n v="13050"/>
    <x v="74"/>
    <n v="97875000"/>
    <x v="2"/>
    <d v="2019-09-01T00:00:00"/>
    <d v="2019-09-29T00:00:00"/>
    <d v="2019-09-29T00:00:00"/>
    <s v="TẾT."/>
    <m/>
    <m/>
    <m/>
    <m/>
    <n v="0"/>
    <m/>
    <m/>
    <m/>
    <m/>
    <m/>
    <m/>
    <n v="0"/>
    <n v="13050"/>
    <n v="97875000"/>
  </r>
  <r>
    <s v="119A/2019"/>
    <d v="2019-03-14T00:00:00"/>
    <s v="KIỀU THY"/>
    <s v="CD01"/>
    <x v="85"/>
    <x v="59"/>
    <s v="DALIAN"/>
    <m/>
    <s v="18.20"/>
    <n v="150"/>
    <s v="NL2018"/>
    <m/>
    <n v="52"/>
    <n v="7800"/>
    <x v="106"/>
    <n v="92820000"/>
    <x v="2"/>
    <d v="2019-09-01T00:00:00"/>
    <d v="2019-09-29T00:00:00"/>
    <d v="2019-09-29T00:00:00"/>
    <s v="TẾT. Hoặc competition"/>
    <m/>
    <m/>
    <m/>
    <m/>
    <n v="0"/>
    <m/>
    <m/>
    <m/>
    <m/>
    <m/>
    <m/>
    <n v="0"/>
    <n v="7800"/>
    <n v="92820000"/>
  </r>
  <r>
    <s v="119A/2019"/>
    <d v="2019-03-14T00:00:00"/>
    <s v="KIỀU THY"/>
    <s v="CD01"/>
    <x v="85"/>
    <x v="97"/>
    <s v="LAKE CAREY"/>
    <m/>
    <s v="16.18"/>
    <n v="200"/>
    <s v="NL2018"/>
    <m/>
    <n v="25"/>
    <n v="5000"/>
    <x v="20"/>
    <n v="30500000"/>
    <x v="2"/>
    <d v="2019-09-01T00:00:00"/>
    <d v="2019-09-29T00:00:00"/>
    <d v="2019-09-29T00:00:00"/>
    <s v="TẾT"/>
    <m/>
    <m/>
    <m/>
    <m/>
    <n v="0"/>
    <m/>
    <m/>
    <m/>
    <m/>
    <m/>
    <m/>
    <n v="0"/>
    <n v="5000"/>
    <n v="30500000"/>
  </r>
  <r>
    <s v="119A/2019"/>
    <d v="2019-03-14T00:00:00"/>
    <s v="KIỀU THY"/>
    <s v="CD01"/>
    <x v="85"/>
    <x v="7"/>
    <s v="PROFUNDO"/>
    <m/>
    <s v="18.20"/>
    <n v="150"/>
    <s v="NL2018"/>
    <m/>
    <n v="67"/>
    <n v="10050"/>
    <x v="8"/>
    <n v="108540000"/>
    <x v="2"/>
    <d v="2019-09-01T00:00:00"/>
    <d v="2019-09-29T00:00:00"/>
    <d v="2019-09-29T00:00:00"/>
    <s v="TẾT."/>
    <m/>
    <m/>
    <m/>
    <m/>
    <n v="0"/>
    <m/>
    <m/>
    <m/>
    <m/>
    <m/>
    <m/>
    <n v="0"/>
    <n v="10050"/>
    <n v="108540000"/>
  </r>
  <r>
    <s v="7A/2019"/>
    <d v="2018-12-27T00:00:00"/>
    <s v="KIỀU THY"/>
    <s v="CD01"/>
    <x v="85"/>
    <x v="15"/>
    <s v="CONCADOR"/>
    <m/>
    <s v="16.18"/>
    <n v="200"/>
    <s v="NL2018"/>
    <m/>
    <n v="25"/>
    <n v="5000"/>
    <x v="21"/>
    <n v="23000000"/>
    <x v="0"/>
    <s v="30-Feb-19"/>
    <d v="2019-04-04T00:00:00"/>
    <d v="2019-04-04T00:00:00"/>
    <s v="30/2AL"/>
    <s v="CONT 17/2019"/>
    <d v="2019-03-31T00:00:00"/>
    <m/>
    <d v="2019-04-15T00:00:00"/>
    <n v="5000"/>
    <m/>
    <m/>
    <m/>
    <m/>
    <m/>
    <m/>
    <n v="5000"/>
    <n v="0"/>
    <n v="0"/>
  </r>
  <r>
    <s v="7A/2019"/>
    <d v="2019-02-03T00:00:00"/>
    <s v="KIỀU THY"/>
    <s v="CD01"/>
    <x v="85"/>
    <x v="49"/>
    <s v="MARENGO"/>
    <m/>
    <s v="16.18"/>
    <n v="200"/>
    <s v="NL2018"/>
    <m/>
    <n v="15"/>
    <n v="3000"/>
    <x v="46"/>
    <n v="18000000"/>
    <x v="0"/>
    <s v="30-Feb-19"/>
    <d v="2019-04-04T00:00:00"/>
    <d v="2019-04-04T00:00:00"/>
    <s v="30/2AL"/>
    <s v="CONT 17/2019"/>
    <d v="2019-03-31T00:00:00"/>
    <m/>
    <d v="2019-04-08T00:00:00"/>
    <n v="3000"/>
    <m/>
    <m/>
    <m/>
    <m/>
    <m/>
    <m/>
    <n v="3000"/>
    <n v="0"/>
    <n v="0"/>
  </r>
  <r>
    <s v="7A/2019"/>
    <d v="2019-04-23T00:00:00"/>
    <s v="KIỀU THY"/>
    <s v="CD01"/>
    <x v="85"/>
    <x v="15"/>
    <s v="CONCADOR "/>
    <m/>
    <s v="16.18"/>
    <n v="200"/>
    <s v="NL2018"/>
    <m/>
    <n v="50"/>
    <n v="10000"/>
    <x v="157"/>
    <n v="68390000"/>
    <x v="2"/>
    <d v="2019-09-05T00:00:00"/>
    <d v="2019-10-03T00:00:00"/>
    <d v="2019-10-03T00:00:00"/>
    <s v="05/9AL"/>
    <m/>
    <m/>
    <m/>
    <m/>
    <n v="0"/>
    <m/>
    <m/>
    <m/>
    <m/>
    <m/>
    <m/>
    <n v="0"/>
    <n v="10000"/>
    <n v="68390000"/>
  </r>
  <r>
    <s v="178A/2019"/>
    <d v="2019-05-31T00:00:00"/>
    <s v="KIỀU THY"/>
    <s v="CD01"/>
    <x v="85"/>
    <x v="89"/>
    <s v="TATSJANA"/>
    <s v="RL"/>
    <s v="12.14"/>
    <n v="350"/>
    <s v="NL2018"/>
    <m/>
    <n v="0"/>
    <n v="0"/>
    <x v="158"/>
    <m/>
    <x v="1"/>
    <m/>
    <m/>
    <m/>
    <m/>
    <m/>
    <m/>
    <m/>
    <m/>
    <m/>
    <m/>
    <m/>
    <m/>
    <m/>
    <m/>
    <m/>
    <n v="0"/>
    <n v="0"/>
    <e v="#VALUE!"/>
  </r>
  <r>
    <s v="178A/2019"/>
    <d v="2019-05-31T00:00:00"/>
    <s v="KIỀU THY"/>
    <s v="CD01"/>
    <x v="85"/>
    <x v="51"/>
    <s v="THALITA"/>
    <s v="RL"/>
    <s v="12.14"/>
    <n v="400"/>
    <s v="NL2018"/>
    <m/>
    <n v="10"/>
    <n v="4000"/>
    <x v="158"/>
    <m/>
    <x v="2"/>
    <m/>
    <m/>
    <m/>
    <m/>
    <m/>
    <m/>
    <m/>
    <m/>
    <m/>
    <m/>
    <m/>
    <m/>
    <m/>
    <m/>
    <m/>
    <n v="0"/>
    <n v="4000"/>
    <e v="#VALUE!"/>
  </r>
  <r>
    <s v="178A/2019"/>
    <d v="2019-05-31T00:00:00"/>
    <s v="KIỀU THY"/>
    <s v="CD01"/>
    <x v="85"/>
    <x v="78"/>
    <s v="NATALIA"/>
    <s v="RL"/>
    <s v="12.14"/>
    <n v="400"/>
    <s v="NL2018"/>
    <m/>
    <n v="10"/>
    <n v="4000"/>
    <x v="158"/>
    <m/>
    <x v="2"/>
    <m/>
    <m/>
    <m/>
    <m/>
    <m/>
    <m/>
    <m/>
    <m/>
    <m/>
    <m/>
    <m/>
    <m/>
    <m/>
    <m/>
    <m/>
    <n v="0"/>
    <n v="4000"/>
    <e v="#VALUE!"/>
  </r>
  <r>
    <s v="178A/2019"/>
    <d v="2019-05-31T00:00:00"/>
    <s v="KIỀU THY"/>
    <s v="CD01"/>
    <x v="85"/>
    <x v="162"/>
    <s v="ZAMBESSI"/>
    <m/>
    <s v="16.18"/>
    <n v="200"/>
    <s v="NL2018"/>
    <m/>
    <n v="5"/>
    <n v="1000"/>
    <x v="159"/>
    <m/>
    <x v="2"/>
    <m/>
    <m/>
    <m/>
    <m/>
    <m/>
    <m/>
    <m/>
    <m/>
    <m/>
    <m/>
    <m/>
    <m/>
    <m/>
    <m/>
    <m/>
    <n v="0"/>
    <n v="1000"/>
    <e v="#VALUE!"/>
  </r>
  <r>
    <s v="178A/2019"/>
    <d v="2019-04-08T00:00:00"/>
    <s v="KIỀU THY"/>
    <s v="CD01"/>
    <x v="85"/>
    <x v="28"/>
    <s v="YELLOWEEN"/>
    <m/>
    <s v="14.16"/>
    <n v="300"/>
    <s v="NL2018"/>
    <m/>
    <n v="7"/>
    <n v="2100"/>
    <x v="6"/>
    <n v="7980000"/>
    <x v="0"/>
    <s v="30-Feb-19"/>
    <d v="2019-04-04T00:00:00"/>
    <d v="2019-04-04T00:00:00"/>
    <s v="30/2AL"/>
    <m/>
    <m/>
    <m/>
    <m/>
    <n v="2100"/>
    <m/>
    <m/>
    <m/>
    <m/>
    <m/>
    <m/>
    <n v="2100"/>
    <n v="0"/>
    <n v="0"/>
  </r>
  <r>
    <s v="178A/2019"/>
    <d v="2019-06-06T00:00:00"/>
    <s v="KIỀU THY"/>
    <s v="CD01"/>
    <x v="85"/>
    <x v="28"/>
    <s v="YELLOWEEN"/>
    <m/>
    <s v="14.16"/>
    <n v="300"/>
    <s v="NL2018"/>
    <m/>
    <n v="10"/>
    <n v="3000"/>
    <x v="56"/>
    <n v="11700000"/>
    <x v="4"/>
    <d v="2019-05-05T00:00:00"/>
    <d v="2019-06-07T00:00:00"/>
    <d v="2019-06-07T00:00:00"/>
    <m/>
    <m/>
    <m/>
    <m/>
    <d v="2019-06-06T00:00:00"/>
    <n v="300"/>
    <d v="2019-06-15T00:00:00"/>
    <n v="300"/>
    <m/>
    <m/>
    <m/>
    <m/>
    <n v="600"/>
    <n v="2400"/>
    <n v="9360000"/>
  </r>
  <r>
    <s v="189A/2019"/>
    <d v="2019-04-12T00:00:00"/>
    <s v="KIỀU THY"/>
    <s v="CT02"/>
    <x v="86"/>
    <x v="66"/>
    <s v="ALUSTA"/>
    <m/>
    <s v="14.16"/>
    <s v="300"/>
    <s v="NL2018"/>
    <m/>
    <n v="23"/>
    <n v="6900"/>
    <x v="57"/>
    <n v="27600000"/>
    <x v="0"/>
    <d v="2019-02-28T00:00:00"/>
    <d v="2019-04-02T00:00:00"/>
    <d v="2019-04-02T00:00:00"/>
    <s v="30/2AL"/>
    <m/>
    <m/>
    <m/>
    <d v="2019-04-12T00:00:00"/>
    <n v="6900"/>
    <m/>
    <m/>
    <m/>
    <m/>
    <m/>
    <m/>
    <n v="6900"/>
    <n v="0"/>
    <n v="0"/>
  </r>
  <r>
    <s v="189A/2019"/>
    <d v="2019-04-12T00:00:00"/>
    <s v="KIỀU THY"/>
    <s v="CT02"/>
    <x v="86"/>
    <x v="133"/>
    <s v="MANISSA"/>
    <m/>
    <s v="14.16"/>
    <s v="300"/>
    <s v="NL2018"/>
    <m/>
    <n v="46"/>
    <n v="13800"/>
    <x v="117"/>
    <n v="51060000"/>
    <x v="0"/>
    <d v="2019-03-15T00:00:00"/>
    <d v="2019-04-19T00:00:00"/>
    <d v="2019-04-19T00:00:00"/>
    <s v="15/3AL"/>
    <m/>
    <m/>
    <m/>
    <d v="2019-04-25T00:00:00"/>
    <n v="13800"/>
    <m/>
    <m/>
    <m/>
    <m/>
    <m/>
    <m/>
    <n v="13800"/>
    <n v="0"/>
    <n v="0"/>
  </r>
  <r>
    <s v="189A/2019"/>
    <d v="2019-04-12T00:00:00"/>
    <s v="KIỀU THY"/>
    <s v="CT02"/>
    <x v="86"/>
    <x v="164"/>
    <s v="FELINO"/>
    <m/>
    <s v="16.18"/>
    <s v="200"/>
    <s v="NL2018"/>
    <m/>
    <n v="42"/>
    <n v="8400"/>
    <x v="54"/>
    <n v="53760000"/>
    <x v="0"/>
    <d v="2019-03-15T00:00:00"/>
    <d v="2019-04-19T00:00:00"/>
    <d v="2019-04-19T00:00:00"/>
    <s v="15/3AL"/>
    <m/>
    <m/>
    <m/>
    <d v="2019-04-25T00:00:00"/>
    <n v="8400"/>
    <m/>
    <m/>
    <m/>
    <m/>
    <m/>
    <m/>
    <n v="8400"/>
    <n v="0"/>
    <n v="0"/>
  </r>
  <r>
    <s v="189A/2019"/>
    <d v="2019-05-04T00:00:00"/>
    <s v="KIỀU THY"/>
    <s v="CT02"/>
    <x v="86"/>
    <x v="48"/>
    <s v="SERANO"/>
    <m/>
    <n v="16.18"/>
    <s v="200"/>
    <s v="NL2018"/>
    <m/>
    <n v="50"/>
    <n v="10000"/>
    <x v="82"/>
    <n v="52000000"/>
    <x v="3"/>
    <d v="2019-05-20T00:00:00"/>
    <d v="2019-06-22T00:00:00"/>
    <d v="2019-06-22T00:00:00"/>
    <m/>
    <m/>
    <m/>
    <m/>
    <m/>
    <m/>
    <m/>
    <m/>
    <m/>
    <m/>
    <m/>
    <m/>
    <n v="0"/>
    <n v="10000"/>
    <n v="52000000"/>
  </r>
  <r>
    <s v="189A/2019"/>
    <d v="2019-06-14T00:00:00"/>
    <s v="KIỀU THY"/>
    <s v="CT02"/>
    <x v="86"/>
    <x v="67"/>
    <s v="INDIANA"/>
    <m/>
    <s v="14.16"/>
    <s v="300"/>
    <s v="NL2018"/>
    <m/>
    <n v="36"/>
    <n v="10800"/>
    <x v="18"/>
    <n v="54000000"/>
    <x v="3"/>
    <d v="2019-06-15T00:00:00"/>
    <d v="2019-07-17T00:00:00"/>
    <d v="2019-07-17T00:00:00"/>
    <m/>
    <m/>
    <m/>
    <m/>
    <m/>
    <m/>
    <m/>
    <m/>
    <m/>
    <m/>
    <m/>
    <m/>
    <n v="0"/>
    <n v="10800"/>
    <n v="54000000"/>
  </r>
  <r>
    <s v="189A/2019"/>
    <d v="2019-06-14T00:00:00"/>
    <s v="KIỀU THY"/>
    <s v="CT02"/>
    <x v="86"/>
    <x v="48"/>
    <s v="SERANO"/>
    <m/>
    <n v="16.18"/>
    <s v="200"/>
    <s v="NL2018"/>
    <m/>
    <n v="30"/>
    <n v="6000"/>
    <x v="55"/>
    <n v="31800000"/>
    <x v="3"/>
    <d v="2019-06-15T00:00:00"/>
    <d v="2019-07-17T00:00:00"/>
    <d v="2019-07-17T00:00:00"/>
    <m/>
    <m/>
    <m/>
    <m/>
    <m/>
    <m/>
    <m/>
    <m/>
    <m/>
    <m/>
    <m/>
    <m/>
    <n v="0"/>
    <n v="6000"/>
    <n v="31800000"/>
  </r>
  <r>
    <s v="189A/2019"/>
    <d v="2019-06-14T00:00:00"/>
    <s v="KIỀU THY"/>
    <s v="CT02"/>
    <x v="86"/>
    <x v="72"/>
    <s v="YELLOWEEN"/>
    <s v="DN"/>
    <n v="16.18"/>
    <s v="200"/>
    <s v="NL2018"/>
    <m/>
    <n v="20"/>
    <n v="4000"/>
    <x v="46"/>
    <n v="24000000"/>
    <x v="3"/>
    <d v="2019-06-15T00:00:00"/>
    <d v="2019-07-17T00:00:00"/>
    <d v="2019-07-17T00:00:00"/>
    <m/>
    <m/>
    <m/>
    <m/>
    <m/>
    <m/>
    <m/>
    <m/>
    <m/>
    <m/>
    <m/>
    <m/>
    <n v="0"/>
    <n v="4000"/>
    <n v="24000000"/>
  </r>
  <r>
    <s v="189A/2019"/>
    <d v="2019-06-14T00:00:00"/>
    <s v="KIỀU THY"/>
    <s v="CT02"/>
    <x v="86"/>
    <x v="28"/>
    <s v="YELLOWEEN"/>
    <m/>
    <s v="14.16"/>
    <s v="300"/>
    <s v="NL2018"/>
    <m/>
    <n v="67"/>
    <n v="20100"/>
    <x v="57"/>
    <n v="80400000"/>
    <x v="3"/>
    <d v="2019-06-15T00:00:00"/>
    <d v="2019-07-17T00:00:00"/>
    <d v="2019-07-17T00:00:00"/>
    <m/>
    <m/>
    <m/>
    <m/>
    <m/>
    <m/>
    <m/>
    <m/>
    <m/>
    <m/>
    <m/>
    <m/>
    <n v="0"/>
    <n v="20100"/>
    <n v="80400000"/>
  </r>
  <r>
    <s v="136A/2019"/>
    <d v="2019-02-09T00:00:00"/>
    <s v="KIỀU THY"/>
    <s v="NB01"/>
    <x v="87"/>
    <x v="25"/>
    <s v="CONCADOR"/>
    <m/>
    <s v="18.20"/>
    <n v="150"/>
    <s v="NL2018"/>
    <m/>
    <n v="34"/>
    <n v="5100"/>
    <x v="35"/>
    <n v="36720000"/>
    <x v="2"/>
    <d v="2019-09-01T00:00:00"/>
    <d v="2019-09-29T00:00:00"/>
    <d v="2019-09-29T00:00:00"/>
    <s v="TẾT"/>
    <m/>
    <m/>
    <s v="R"/>
    <m/>
    <n v="0"/>
    <m/>
    <m/>
    <m/>
    <m/>
    <m/>
    <m/>
    <n v="0"/>
    <n v="5100"/>
    <n v="36720000"/>
  </r>
  <r>
    <s v="136A/2019"/>
    <d v="2019-02-09T00:00:00"/>
    <s v="KIỀU THY"/>
    <s v="NB01"/>
    <x v="87"/>
    <x v="9"/>
    <s v="MANISSA"/>
    <m/>
    <s v="22.24"/>
    <n v="100"/>
    <s v="NL2018"/>
    <m/>
    <n v="50"/>
    <n v="5000"/>
    <x v="38"/>
    <n v="76000000"/>
    <x v="2"/>
    <d v="2019-09-01T00:00:00"/>
    <d v="2019-09-29T00:00:00"/>
    <d v="2019-09-29T00:00:00"/>
    <s v="TẾT"/>
    <m/>
    <m/>
    <s v="R"/>
    <m/>
    <n v="0"/>
    <m/>
    <m/>
    <m/>
    <m/>
    <m/>
    <m/>
    <n v="0"/>
    <n v="5000"/>
    <n v="76000000"/>
  </r>
  <r>
    <s v="136A/2019"/>
    <d v="2019-02-09T00:00:00"/>
    <s v="KIỀU THY"/>
    <s v="NB01"/>
    <x v="87"/>
    <x v="26"/>
    <s v="ROBINA"/>
    <m/>
    <s v="22.24"/>
    <n v="100"/>
    <s v="NL2018"/>
    <m/>
    <n v="100"/>
    <n v="10000"/>
    <x v="29"/>
    <n v="125000000"/>
    <x v="2"/>
    <d v="2019-09-01T00:00:00"/>
    <d v="2019-09-29T00:00:00"/>
    <d v="2019-09-29T00:00:00"/>
    <s v="TẾT"/>
    <m/>
    <m/>
    <s v="R"/>
    <m/>
    <n v="0"/>
    <m/>
    <m/>
    <m/>
    <m/>
    <m/>
    <m/>
    <n v="0"/>
    <n v="10000"/>
    <n v="125000000"/>
  </r>
  <r>
    <s v="36A/2019"/>
    <d v="2019-02-09T00:00:00"/>
    <s v="KIỀU THY"/>
    <s v="NB01"/>
    <x v="87"/>
    <x v="11"/>
    <s v="YELLOWEEN"/>
    <m/>
    <s v="12.14"/>
    <n v="400"/>
    <s v="NL2018"/>
    <m/>
    <n v="15"/>
    <n v="6000"/>
    <x v="12"/>
    <n v="15600000"/>
    <x v="0"/>
    <d v="2019-01-16T00:00:00"/>
    <d v="2019-02-20T00:00:00"/>
    <d v="2019-02-20T00:00:00"/>
    <s v="16/1AL"/>
    <m/>
    <m/>
    <s v="R"/>
    <d v="2019-02-20T00:00:00"/>
    <n v="6000"/>
    <m/>
    <m/>
    <m/>
    <m/>
    <m/>
    <m/>
    <n v="6000"/>
    <n v="0"/>
    <n v="0"/>
  </r>
  <r>
    <s v="36A/2019"/>
    <d v="2019-02-09T00:00:00"/>
    <s v="KIỀU THY"/>
    <s v="NB01"/>
    <x v="87"/>
    <x v="11"/>
    <s v="YELLOWEEN"/>
    <m/>
    <s v="12.14"/>
    <n v="400"/>
    <s v="NL2018"/>
    <m/>
    <n v="15"/>
    <n v="6000"/>
    <x v="12"/>
    <n v="15600000"/>
    <x v="0"/>
    <d v="2019-01-28T00:00:00"/>
    <d v="2019-03-04T00:00:00"/>
    <d v="2019-03-04T00:00:00"/>
    <s v="28/1AL"/>
    <m/>
    <m/>
    <s v="R"/>
    <d v="2019-03-04T00:00:00"/>
    <n v="6000"/>
    <m/>
    <m/>
    <m/>
    <m/>
    <m/>
    <m/>
    <n v="6000"/>
    <n v="0"/>
    <n v="0"/>
  </r>
  <r>
    <s v="36A/2019"/>
    <d v="2019-02-09T00:00:00"/>
    <s v="KIỀU THY"/>
    <s v="NB01"/>
    <x v="87"/>
    <x v="22"/>
    <s v="ROBINA"/>
    <m/>
    <s v="16.18"/>
    <n v="200"/>
    <s v="NL2018"/>
    <m/>
    <n v="15"/>
    <n v="3000"/>
    <x v="18"/>
    <n v="15000000"/>
    <x v="0"/>
    <d v="2019-02-15T00:00:00"/>
    <d v="2019-03-20T00:00:00"/>
    <d v="2019-03-20T00:00:00"/>
    <s v="15/02AL"/>
    <s v="CONT 11/2019"/>
    <d v="2019-03-17T00:00:00"/>
    <m/>
    <d v="2019-03-27T00:00:00"/>
    <n v="3000"/>
    <m/>
    <m/>
    <m/>
    <m/>
    <m/>
    <m/>
    <n v="3000"/>
    <n v="0"/>
    <n v="0"/>
  </r>
  <r>
    <s v="36A/2019"/>
    <d v="2019-02-09T00:00:00"/>
    <s v="KIỀU THY"/>
    <s v="NB01"/>
    <x v="87"/>
    <x v="11"/>
    <s v="YELLOWEEN"/>
    <m/>
    <s v="12.14"/>
    <n v="400"/>
    <s v="NL2018"/>
    <m/>
    <n v="8"/>
    <n v="3200"/>
    <x v="12"/>
    <n v="8320000"/>
    <x v="0"/>
    <d v="2019-02-15T00:00:00"/>
    <d v="2019-03-20T00:00:00"/>
    <d v="2019-03-20T00:00:00"/>
    <s v="15/02AL"/>
    <s v="CONT 12/2019"/>
    <d v="2019-03-17T00:00:00"/>
    <m/>
    <d v="2019-05-02T00:00:00"/>
    <n v="3200"/>
    <m/>
    <m/>
    <m/>
    <m/>
    <m/>
    <m/>
    <n v="3200"/>
    <n v="0"/>
    <n v="0"/>
  </r>
  <r>
    <s v="36A/2019"/>
    <d v="2019-02-09T00:00:00"/>
    <s v="KIỀU THY"/>
    <s v="NB01"/>
    <x v="87"/>
    <x v="22"/>
    <s v="ROBINA"/>
    <m/>
    <s v="16.18"/>
    <n v="200"/>
    <s v="NL2018"/>
    <m/>
    <n v="15"/>
    <n v="3000"/>
    <x v="18"/>
    <n v="15000000"/>
    <x v="0"/>
    <d v="2019-02-28T00:00:00"/>
    <d v="2019-04-02T00:00:00"/>
    <d v="2019-04-02T00:00:00"/>
    <s v="28/2AL"/>
    <s v="CONT 18/2019"/>
    <d v="2019-03-31T00:00:00"/>
    <s v="R"/>
    <d v="2019-04-12T00:00:00"/>
    <n v="3000"/>
    <m/>
    <m/>
    <m/>
    <m/>
    <m/>
    <m/>
    <n v="3000"/>
    <n v="0"/>
    <n v="0"/>
  </r>
  <r>
    <s v="36A/2019"/>
    <d v="2019-02-09T00:00:00"/>
    <s v="KIỀU THY"/>
    <s v="NB01"/>
    <x v="87"/>
    <x v="11"/>
    <s v="YELLOWEEN"/>
    <m/>
    <s v="12.14"/>
    <n v="400"/>
    <s v="NL2018"/>
    <m/>
    <n v="15"/>
    <n v="6000"/>
    <x v="12"/>
    <n v="15600000"/>
    <x v="0"/>
    <d v="2019-02-28T00:00:00"/>
    <d v="2019-04-02T00:00:00"/>
    <d v="2019-04-02T00:00:00"/>
    <s v="28/2AL"/>
    <s v="CONT 18/2019"/>
    <d v="2019-03-31T00:00:00"/>
    <s v="R"/>
    <d v="2019-04-17T00:00:00"/>
    <n v="6000"/>
    <m/>
    <m/>
    <m/>
    <m/>
    <m/>
    <m/>
    <n v="6000"/>
    <n v="0"/>
    <n v="0"/>
  </r>
  <r>
    <s v="36A/2019"/>
    <d v="2019-02-09T00:00:00"/>
    <s v="KIỀU THY"/>
    <s v="NB01"/>
    <x v="87"/>
    <x v="22"/>
    <s v="ROBINA"/>
    <m/>
    <s v="16.18"/>
    <n v="200"/>
    <s v="NL2018"/>
    <m/>
    <n v="15"/>
    <n v="3000"/>
    <x v="18"/>
    <n v="15000000"/>
    <x v="0"/>
    <d v="2019-03-15T00:00:00"/>
    <d v="2019-04-19T00:00:00"/>
    <d v="2019-04-19T00:00:00"/>
    <s v="15/3AL"/>
    <s v="CONT 26/2019"/>
    <d v="2019-04-14T00:00:00"/>
    <s v="R"/>
    <d v="2019-03-20T00:00:00"/>
    <n v="3000"/>
    <m/>
    <m/>
    <m/>
    <m/>
    <m/>
    <m/>
    <n v="3000"/>
    <n v="0"/>
    <n v="0"/>
  </r>
  <r>
    <s v="36A/2019"/>
    <d v="2019-02-09T00:00:00"/>
    <s v="KIỀU THY"/>
    <s v="NB01"/>
    <x v="87"/>
    <x v="11"/>
    <s v="YELLOWEEN"/>
    <m/>
    <s v="12.14"/>
    <n v="400"/>
    <s v="NL2018"/>
    <m/>
    <n v="15"/>
    <n v="6000"/>
    <x v="12"/>
    <n v="15600000"/>
    <x v="0"/>
    <d v="2019-03-15T00:00:00"/>
    <d v="2019-04-19T00:00:00"/>
    <d v="2019-04-19T00:00:00"/>
    <s v="15/3AL"/>
    <s v="CONT 24/2019"/>
    <d v="2019-04-14T00:00:00"/>
    <s v="R"/>
    <d v="2019-04-03T00:00:00"/>
    <n v="6000"/>
    <m/>
    <m/>
    <m/>
    <m/>
    <m/>
    <m/>
    <n v="6000"/>
    <n v="0"/>
    <n v="0"/>
  </r>
  <r>
    <s v="36A/2019"/>
    <d v="2019-02-09T00:00:00"/>
    <s v="KIỀU THY"/>
    <s v="NB01"/>
    <x v="87"/>
    <x v="11"/>
    <s v="YELLOWEEN"/>
    <m/>
    <s v="12.14"/>
    <n v="400"/>
    <s v="NL2018"/>
    <m/>
    <n v="8"/>
    <n v="3200"/>
    <x v="12"/>
    <n v="8320000"/>
    <x v="0"/>
    <d v="2019-03-15T00:00:00"/>
    <d v="2019-04-19T00:00:00"/>
    <d v="2019-04-19T00:00:00"/>
    <s v="15/3AL"/>
    <s v="CONT 24/2019"/>
    <d v="2019-04-14T00:00:00"/>
    <s v="R"/>
    <d v="2019-03-20T00:00:00"/>
    <n v="3200"/>
    <m/>
    <m/>
    <m/>
    <m/>
    <m/>
    <m/>
    <n v="3200"/>
    <n v="0"/>
    <n v="0"/>
  </r>
  <r>
    <s v="36A/2019"/>
    <d v="2019-02-09T00:00:00"/>
    <s v="KIỀU THY"/>
    <s v="NB01"/>
    <x v="87"/>
    <x v="22"/>
    <s v="ROBINA"/>
    <m/>
    <s v="16.18"/>
    <n v="200"/>
    <s v="NL2018"/>
    <m/>
    <n v="0"/>
    <n v="0"/>
    <x v="83"/>
    <n v="0"/>
    <x v="1"/>
    <d v="2019-04-17T00:00:00"/>
    <d v="2019-05-21T00:00:00"/>
    <d v="2019-05-21T00:00:00"/>
    <s v="30/3AL"/>
    <m/>
    <m/>
    <s v="R"/>
    <m/>
    <n v="0"/>
    <m/>
    <m/>
    <m/>
    <m/>
    <m/>
    <m/>
    <n v="0"/>
    <n v="0"/>
    <n v="0"/>
  </r>
  <r>
    <s v="36A/2019"/>
    <d v="2019-04-25T00:00:00"/>
    <s v="KIỀU THY"/>
    <s v="NB01"/>
    <x v="87"/>
    <x v="11"/>
    <s v="YELLOWEEN"/>
    <m/>
    <s v="12.14"/>
    <n v="400"/>
    <s v="NL2018"/>
    <m/>
    <n v="25"/>
    <n v="10000"/>
    <x v="4"/>
    <n v="28000000"/>
    <x v="0"/>
    <d v="2019-03-15T00:00:00"/>
    <d v="2019-04-19T00:00:00"/>
    <d v="2019-04-19T00:00:00"/>
    <s v="15/3AL"/>
    <m/>
    <m/>
    <m/>
    <d v="2019-05-02T00:00:00"/>
    <n v="3200"/>
    <d v="2019-06-03T00:00:00"/>
    <n v="6800"/>
    <m/>
    <m/>
    <m/>
    <m/>
    <n v="10000"/>
    <n v="0"/>
    <n v="0"/>
  </r>
  <r>
    <s v="36A/2019"/>
    <d v="2019-05-06T00:00:00"/>
    <s v="KIỀU THY"/>
    <s v="NB01"/>
    <x v="87"/>
    <x v="11"/>
    <s v="YELLOWEEN"/>
    <m/>
    <s v="12.14"/>
    <n v="400"/>
    <s v="NL2018"/>
    <m/>
    <n v="13"/>
    <n v="5200"/>
    <x v="4"/>
    <n v="14560000"/>
    <x v="0"/>
    <d v="2019-04-17T00:00:00"/>
    <d v="2019-05-21T00:00:00"/>
    <d v="2019-05-21T00:00:00"/>
    <m/>
    <m/>
    <m/>
    <m/>
    <d v="2019-05-17T00:00:00"/>
    <n v="5200"/>
    <m/>
    <m/>
    <m/>
    <m/>
    <m/>
    <m/>
    <n v="5200"/>
    <n v="0"/>
    <n v="0"/>
  </r>
  <r>
    <s v="36A/2019"/>
    <d v="2019-05-13T00:00:00"/>
    <s v="KIỀU THY"/>
    <s v="NB01"/>
    <x v="87"/>
    <x v="57"/>
    <s v="DALIAN"/>
    <m/>
    <s v="14.16"/>
    <n v="300"/>
    <s v="NL2018"/>
    <m/>
    <n v="10"/>
    <n v="3000"/>
    <x v="44"/>
    <n v="16500000"/>
    <x v="0"/>
    <d v="2019-04-17T00:00:00"/>
    <d v="2019-05-21T00:00:00"/>
    <d v="2019-05-21T00:00:00"/>
    <m/>
    <m/>
    <m/>
    <m/>
    <d v="2019-05-17T00:00:00"/>
    <n v="3000"/>
    <m/>
    <m/>
    <m/>
    <m/>
    <m/>
    <m/>
    <n v="3000"/>
    <n v="0"/>
    <n v="0"/>
  </r>
  <r>
    <s v="36A/2019"/>
    <d v="2019-05-29T00:00:00"/>
    <s v="KIỀU THY"/>
    <s v="NB01"/>
    <x v="87"/>
    <x v="22"/>
    <s v="ROBINA"/>
    <m/>
    <s v="16.18"/>
    <n v="200"/>
    <s v="NL2018"/>
    <m/>
    <n v="0"/>
    <n v="0"/>
    <x v="44"/>
    <n v="0"/>
    <x v="1"/>
    <d v="2019-05-20T00:00:00"/>
    <d v="2019-06-22T00:00:00"/>
    <d v="2019-06-22T00:00:00"/>
    <m/>
    <m/>
    <m/>
    <m/>
    <m/>
    <m/>
    <m/>
    <m/>
    <m/>
    <m/>
    <m/>
    <m/>
    <n v="0"/>
    <n v="0"/>
    <n v="0"/>
  </r>
  <r>
    <s v="36A/2019"/>
    <d v="2019-06-17T00:00:00"/>
    <s v="KIỀU THY"/>
    <s v="NB01"/>
    <x v="87"/>
    <x v="11"/>
    <s v="YELLOWEEN"/>
    <m/>
    <s v="12.14"/>
    <n v="400"/>
    <s v="NL2018"/>
    <m/>
    <n v="13"/>
    <n v="5200"/>
    <x v="4"/>
    <n v="14560000"/>
    <x v="0"/>
    <d v="2019-06-17T00:00:00"/>
    <d v="2019-07-19T00:00:00"/>
    <d v="2019-07-19T00:00:00"/>
    <m/>
    <m/>
    <m/>
    <m/>
    <d v="2019-06-17T00:00:00"/>
    <n v="5200"/>
    <m/>
    <m/>
    <m/>
    <m/>
    <m/>
    <m/>
    <n v="5200"/>
    <n v="0"/>
    <n v="0"/>
  </r>
  <r>
    <s v="36A/2019"/>
    <d v="2019-05-06T00:00:00"/>
    <s v="KIỀU THY"/>
    <s v="NB01"/>
    <x v="87"/>
    <x v="11"/>
    <s v="YELLOWEEN"/>
    <m/>
    <s v="12.14"/>
    <n v="400"/>
    <s v="NL2018"/>
    <m/>
    <n v="25"/>
    <n v="10000"/>
    <x v="4"/>
    <n v="28000000"/>
    <x v="3"/>
    <d v="2019-06-15T00:00:00"/>
    <d v="2019-07-17T00:00:00"/>
    <d v="2019-07-17T00:00:00"/>
    <m/>
    <m/>
    <m/>
    <m/>
    <m/>
    <m/>
    <m/>
    <m/>
    <m/>
    <m/>
    <m/>
    <m/>
    <n v="0"/>
    <n v="10000"/>
    <n v="28000000"/>
  </r>
  <r>
    <s v="36A/2019"/>
    <d v="2019-06-18T00:00:00"/>
    <s v="KIỀU THY"/>
    <s v="NB01"/>
    <x v="87"/>
    <x v="11"/>
    <s v="YELLOWEEN"/>
    <m/>
    <s v="12.14"/>
    <n v="400"/>
    <s v="NL2018"/>
    <m/>
    <n v="6"/>
    <n v="2400"/>
    <x v="4"/>
    <n v="6720000"/>
    <x v="0"/>
    <d v="2019-06-18T00:00:00"/>
    <d v="2019-07-20T00:00:00"/>
    <d v="2019-07-20T00:00:00"/>
    <m/>
    <m/>
    <m/>
    <m/>
    <d v="2019-06-18T00:00:00"/>
    <n v="2400"/>
    <m/>
    <m/>
    <m/>
    <m/>
    <m/>
    <m/>
    <n v="2400"/>
    <n v="0"/>
    <n v="0"/>
  </r>
  <r>
    <s v="36A/2019"/>
    <d v="2019-06-18T00:00:00"/>
    <s v="KIỀU THY"/>
    <s v="NB01"/>
    <x v="87"/>
    <x v="28"/>
    <s v="YELLOWEEN"/>
    <m/>
    <s v="14.16"/>
    <n v="300"/>
    <s v="NL2018"/>
    <m/>
    <n v="8"/>
    <n v="2400"/>
    <x v="56"/>
    <n v="9360000"/>
    <x v="0"/>
    <d v="2019-06-18T00:00:00"/>
    <d v="2019-07-20T00:00:00"/>
    <d v="2019-07-20T00:00:00"/>
    <m/>
    <m/>
    <m/>
    <m/>
    <d v="2019-06-18T00:00:00"/>
    <n v="2400"/>
    <m/>
    <m/>
    <m/>
    <m/>
    <m/>
    <m/>
    <n v="2400"/>
    <n v="0"/>
    <n v="0"/>
  </r>
  <r>
    <s v="210A/2019"/>
    <d v="2019-05-02T00:00:00"/>
    <s v="KIỀU THY"/>
    <s v="AT05"/>
    <x v="88"/>
    <x v="22"/>
    <s v="ROBINA"/>
    <m/>
    <s v="16.18"/>
    <s v="200"/>
    <s v="NL2018"/>
    <m/>
    <n v="70"/>
    <n v="14000"/>
    <x v="44"/>
    <n v="77000000"/>
    <x v="3"/>
    <d v="2019-05-18T00:00:00"/>
    <d v="2019-06-20T00:00:00"/>
    <d v="2019-06-20T00:00:00"/>
    <s v="5/5AL_1 lần trồng 8.000 cách nhau 15 ngay"/>
    <m/>
    <m/>
    <m/>
    <m/>
    <m/>
    <m/>
    <m/>
    <m/>
    <m/>
    <m/>
    <m/>
    <n v="0"/>
    <n v="14000"/>
    <n v="77000000"/>
  </r>
  <r>
    <s v="210A/2019"/>
    <d v="2019-05-02T00:00:00"/>
    <s v="KIỀU THY"/>
    <s v="AT05"/>
    <x v="88"/>
    <x v="78"/>
    <s v="NATALIA"/>
    <s v="RL"/>
    <n v="12.14"/>
    <s v="400"/>
    <s v="NL2018"/>
    <m/>
    <n v="5"/>
    <n v="2000"/>
    <x v="79"/>
    <n v="17200000"/>
    <x v="3"/>
    <d v="2019-05-18T00:00:00"/>
    <d v="2019-06-20T00:00:00"/>
    <d v="2019-06-20T00:00:00"/>
    <s v="5/5AL_1 lần trồng 8.000 cách nhau 15 ngay"/>
    <m/>
    <m/>
    <m/>
    <m/>
    <m/>
    <m/>
    <m/>
    <m/>
    <m/>
    <m/>
    <m/>
    <n v="0"/>
    <n v="2000"/>
    <n v="17200000"/>
  </r>
  <r>
    <s v="210A/2019"/>
    <d v="2019-05-02T00:00:00"/>
    <s v="KIỀU THY"/>
    <s v="AT05"/>
    <x v="88"/>
    <x v="22"/>
    <s v="ROBINA"/>
    <m/>
    <s v="16.18"/>
    <s v="200"/>
    <s v="NL2018"/>
    <m/>
    <n v="70"/>
    <n v="14000"/>
    <x v="48"/>
    <n v="78400000"/>
    <x v="3"/>
    <d v="2019-06-15T00:00:00"/>
    <d v="2019-07-17T00:00:00"/>
    <d v="2019-07-17T00:00:00"/>
    <m/>
    <m/>
    <m/>
    <m/>
    <m/>
    <m/>
    <m/>
    <m/>
    <m/>
    <m/>
    <m/>
    <m/>
    <n v="0"/>
    <n v="14000"/>
    <n v="78400000"/>
  </r>
  <r>
    <s v="210A/2019"/>
    <d v="2019-05-02T00:00:00"/>
    <s v="KIỀU THY"/>
    <s v="AT05"/>
    <x v="88"/>
    <x v="78"/>
    <s v="NATALIA"/>
    <s v="RL"/>
    <n v="12.14"/>
    <s v="400"/>
    <s v="NL2018"/>
    <m/>
    <n v="5"/>
    <n v="2000"/>
    <x v="137"/>
    <n v="17400000"/>
    <x v="3"/>
    <d v="2019-06-15T00:00:00"/>
    <d v="2019-07-17T00:00:00"/>
    <d v="2019-07-17T00:00:00"/>
    <m/>
    <m/>
    <m/>
    <m/>
    <m/>
    <m/>
    <m/>
    <m/>
    <m/>
    <m/>
    <m/>
    <m/>
    <n v="0"/>
    <n v="2000"/>
    <n v="17400000"/>
  </r>
  <r>
    <s v="210A/2019"/>
    <d v="2019-05-02T00:00:00"/>
    <s v="KIỀU THY"/>
    <s v="AT05"/>
    <x v="88"/>
    <x v="22"/>
    <s v="ROBINA"/>
    <m/>
    <s v="16.18"/>
    <s v="200"/>
    <s v="NL2018"/>
    <m/>
    <n v="35"/>
    <n v="7000"/>
    <x v="48"/>
    <n v="39200000"/>
    <x v="2"/>
    <d v="2019-07-10T00:00:00"/>
    <d v="2019-08-10T00:00:00"/>
    <d v="2019-08-10T00:00:00"/>
    <m/>
    <m/>
    <m/>
    <m/>
    <m/>
    <m/>
    <m/>
    <m/>
    <m/>
    <m/>
    <m/>
    <m/>
    <n v="0"/>
    <n v="7000"/>
    <n v="39200000"/>
  </r>
  <r>
    <s v="210A/2019"/>
    <d v="2019-05-02T00:00:00"/>
    <s v="KIỀU THY"/>
    <s v="AT05"/>
    <x v="88"/>
    <x v="78"/>
    <s v="NATALIA"/>
    <s v="RL"/>
    <n v="12.14"/>
    <s v="400"/>
    <s v="NL2018"/>
    <m/>
    <n v="3"/>
    <n v="1200"/>
    <x v="137"/>
    <n v="10440000"/>
    <x v="2"/>
    <d v="2019-07-10T00:00:00"/>
    <d v="2019-08-10T00:00:00"/>
    <d v="2019-08-10T00:00:00"/>
    <m/>
    <m/>
    <m/>
    <m/>
    <m/>
    <m/>
    <m/>
    <m/>
    <m/>
    <m/>
    <m/>
    <m/>
    <n v="0"/>
    <n v="1200"/>
    <n v="10440000"/>
  </r>
  <r>
    <s v="210A/2019"/>
    <d v="2019-05-09T00:00:00"/>
    <s v="KIỀU THY"/>
    <s v="AT05"/>
    <x v="88"/>
    <x v="22"/>
    <s v="ROBINA"/>
    <m/>
    <s v="16.18"/>
    <s v="200"/>
    <s v="NL2018"/>
    <m/>
    <n v="50"/>
    <n v="10000"/>
    <x v="46"/>
    <n v="60000000"/>
    <x v="2"/>
    <d v="2019-11-25T00:00:00"/>
    <d v="2019-12-20T00:00:00"/>
    <d v="2019-12-20T00:00:00"/>
    <m/>
    <m/>
    <m/>
    <m/>
    <m/>
    <m/>
    <m/>
    <m/>
    <m/>
    <m/>
    <m/>
    <m/>
    <n v="0"/>
    <n v="10000"/>
    <n v="60000000"/>
  </r>
  <r>
    <s v="210A/2019"/>
    <d v="2019-05-09T00:00:00"/>
    <s v="KIỀU THY"/>
    <s v="AT05"/>
    <x v="88"/>
    <x v="51"/>
    <s v="THALITA"/>
    <s v="RL"/>
    <s v="12.14"/>
    <s v="400"/>
    <s v="NL2018"/>
    <m/>
    <n v="25"/>
    <n v="10000"/>
    <x v="94"/>
    <n v="89000000"/>
    <x v="2"/>
    <d v="2019-11-25T00:00:00"/>
    <d v="2019-12-20T00:00:00"/>
    <d v="2019-12-20T00:00:00"/>
    <m/>
    <m/>
    <m/>
    <m/>
    <m/>
    <m/>
    <m/>
    <m/>
    <m/>
    <m/>
    <m/>
    <m/>
    <n v="0"/>
    <n v="10000"/>
    <n v="89000000"/>
  </r>
  <r>
    <s v="212A/2019"/>
    <d v="2019-05-02T00:00:00"/>
    <s v="KIỀU THY"/>
    <s v="AT05"/>
    <x v="88"/>
    <x v="16"/>
    <s v="ROBINA"/>
    <m/>
    <s v="20.22"/>
    <s v="125"/>
    <s v="NL2018"/>
    <m/>
    <n v="80"/>
    <n v="10000"/>
    <x v="16"/>
    <n v="107000000"/>
    <x v="2"/>
    <d v="2019-09-01T00:00:00"/>
    <d v="2019-09-29T00:00:00"/>
    <d v="2019-09-29T00:00:00"/>
    <s v="TẾT"/>
    <m/>
    <m/>
    <m/>
    <m/>
    <m/>
    <m/>
    <m/>
    <m/>
    <m/>
    <m/>
    <m/>
    <n v="0"/>
    <n v="10000"/>
    <n v="107000000"/>
  </r>
  <r>
    <s v="212A/2019"/>
    <d v="2019-05-02T00:00:00"/>
    <s v="KIỀU THY"/>
    <s v="AT05"/>
    <x v="88"/>
    <x v="165"/>
    <s v="TATSJANA"/>
    <s v="RL"/>
    <s v="14.16"/>
    <s v="300"/>
    <s v="NL2018"/>
    <m/>
    <n v="9.8333333333333339"/>
    <n v="2950"/>
    <x v="160"/>
    <n v="41005000"/>
    <x v="2"/>
    <d v="2019-09-01T00:00:00"/>
    <d v="2019-09-29T00:00:00"/>
    <d v="2019-09-29T00:00:00"/>
    <s v="TẾT"/>
    <m/>
    <m/>
    <m/>
    <m/>
    <m/>
    <m/>
    <m/>
    <m/>
    <m/>
    <m/>
    <m/>
    <n v="0"/>
    <n v="2950"/>
    <n v="41005000"/>
  </r>
  <r>
    <s v="212A/2019"/>
    <d v="2019-05-02T00:00:00"/>
    <s v="KIỀU THY"/>
    <s v="AT05"/>
    <x v="88"/>
    <x v="7"/>
    <s v="PROFUNDO"/>
    <m/>
    <s v="18.20"/>
    <s v="150"/>
    <s v="NL2018"/>
    <m/>
    <n v="34"/>
    <n v="5100"/>
    <x v="22"/>
    <n v="55590000"/>
    <x v="2"/>
    <d v="2019-09-01T00:00:00"/>
    <d v="2019-09-29T00:00:00"/>
    <d v="2019-09-29T00:00:00"/>
    <s v="TẾT"/>
    <m/>
    <m/>
    <m/>
    <m/>
    <m/>
    <m/>
    <m/>
    <m/>
    <m/>
    <m/>
    <m/>
    <n v="0"/>
    <n v="5100"/>
    <n v="55590000"/>
  </r>
  <r>
    <s v="212A/2019"/>
    <d v="2019-05-02T00:00:00"/>
    <s v="KIỀU THY"/>
    <s v="AT05"/>
    <x v="88"/>
    <x v="78"/>
    <s v="NATALIA"/>
    <s v="RL"/>
    <s v="12.14"/>
    <s v="400"/>
    <s v="NL2018"/>
    <m/>
    <n v="25"/>
    <n v="10000"/>
    <x v="64"/>
    <n v="88000000"/>
    <x v="2"/>
    <d v="2019-09-01T00:00:00"/>
    <d v="2019-09-29T00:00:00"/>
    <d v="2019-09-29T00:00:00"/>
    <s v="TẾT"/>
    <m/>
    <m/>
    <m/>
    <m/>
    <m/>
    <m/>
    <m/>
    <m/>
    <m/>
    <m/>
    <m/>
    <n v="0"/>
    <n v="10000"/>
    <n v="88000000"/>
  </r>
  <r>
    <s v="44B/2019"/>
    <d v="2019-02-12T00:00:00"/>
    <s v="THANH THÚY"/>
    <s v="VD04"/>
    <x v="89"/>
    <x v="102"/>
    <s v="COMPETITION"/>
    <m/>
    <s v="16.18"/>
    <n v="200"/>
    <s v="NL2018"/>
    <m/>
    <n v="100"/>
    <n v="20000"/>
    <x v="45"/>
    <n v="134000000"/>
    <x v="0"/>
    <d v="2019-02-15T00:00:00"/>
    <d v="2019-03-20T00:00:00"/>
    <d v="2019-03-20T00:00:00"/>
    <s v="15/2AL"/>
    <s v="CONT 9/2019"/>
    <m/>
    <m/>
    <d v="2019-03-19T00:00:00"/>
    <n v="5000"/>
    <d v="2019-03-28T00:00:00"/>
    <n v="15000"/>
    <m/>
    <m/>
    <m/>
    <m/>
    <n v="20000"/>
    <n v="0"/>
    <n v="0"/>
  </r>
  <r>
    <s v="44B/2019"/>
    <d v="2019-02-12T00:00:00"/>
    <s v="THANH THÚY"/>
    <s v="VD04"/>
    <x v="89"/>
    <x v="79"/>
    <s v="YELLOWEEN"/>
    <m/>
    <s v="16.18"/>
    <n v="200"/>
    <s v="NL2017"/>
    <m/>
    <n v="25"/>
    <n v="5000"/>
    <x v="6"/>
    <n v="19000000"/>
    <x v="0"/>
    <d v="2019-02-02T00:00:00"/>
    <d v="2019-03-07T00:00:00"/>
    <d v="2019-03-07T00:00:00"/>
    <s v="28/1AL"/>
    <m/>
    <m/>
    <m/>
    <d v="2019-03-06T00:00:00"/>
    <n v="5000"/>
    <m/>
    <m/>
    <m/>
    <m/>
    <m/>
    <m/>
    <n v="5000"/>
    <n v="0"/>
    <n v="0"/>
  </r>
  <r>
    <s v="137B/2019"/>
    <d v="2019-03-30T00:00:00"/>
    <s v="THANH THÚY"/>
    <s v="VD04"/>
    <x v="89"/>
    <x v="31"/>
    <s v="TARRANGO"/>
    <m/>
    <s v="14.16"/>
    <n v="300"/>
    <s v="NL2018"/>
    <m/>
    <n v="33"/>
    <n v="9900"/>
    <x v="21"/>
    <n v="45540000"/>
    <x v="0"/>
    <d v="2019-03-15T00:00:00"/>
    <d v="2019-04-19T00:00:00"/>
    <d v="2019-04-19T00:00:00"/>
    <s v="15/3AL"/>
    <m/>
    <m/>
    <m/>
    <d v="2019-05-17T00:00:00"/>
    <n v="9900"/>
    <m/>
    <m/>
    <m/>
    <m/>
    <m/>
    <m/>
    <n v="9900"/>
    <n v="0"/>
    <n v="0"/>
  </r>
  <r>
    <s v="137B/2019"/>
    <d v="2019-06-15T00:00:00"/>
    <s v="THANH THÚY"/>
    <s v="VD04"/>
    <x v="89"/>
    <x v="28"/>
    <s v="YELLOWEEN"/>
    <m/>
    <s v="14.16"/>
    <n v="300"/>
    <s v="NL2018"/>
    <m/>
    <n v="67"/>
    <n v="20100"/>
    <x v="57"/>
    <n v="80400000"/>
    <x v="3"/>
    <d v="2019-06-15T00:00:00"/>
    <d v="2019-07-17T00:00:00"/>
    <d v="2019-07-17T00:00:00"/>
    <m/>
    <m/>
    <m/>
    <m/>
    <m/>
    <m/>
    <m/>
    <m/>
    <m/>
    <m/>
    <m/>
    <m/>
    <n v="0"/>
    <n v="20100"/>
    <n v="80400000"/>
  </r>
  <r>
    <s v="137B/2019"/>
    <d v="2019-06-15T00:00:00"/>
    <s v="THANH THÚY"/>
    <s v="VD04"/>
    <x v="89"/>
    <x v="28"/>
    <s v="YELLOWEEN"/>
    <m/>
    <s v="14.16"/>
    <n v="300"/>
    <s v="NL2018"/>
    <m/>
    <n v="67"/>
    <n v="20100"/>
    <x v="57"/>
    <n v="80400000"/>
    <x v="2"/>
    <d v="2019-07-15T00:00:00"/>
    <d v="2019-08-15T00:00:00"/>
    <d v="2019-08-15T00:00:00"/>
    <m/>
    <m/>
    <m/>
    <m/>
    <m/>
    <m/>
    <m/>
    <m/>
    <m/>
    <m/>
    <m/>
    <m/>
    <n v="0"/>
    <n v="20100"/>
    <n v="80400000"/>
  </r>
  <r>
    <s v="137B/2019"/>
    <d v="2019-06-15T00:00:00"/>
    <s v="THANH THÚY"/>
    <s v="VD04"/>
    <x v="89"/>
    <x v="28"/>
    <s v="YELLOWEEN"/>
    <m/>
    <s v="14.16"/>
    <n v="300"/>
    <s v="NL2018"/>
    <m/>
    <n v="67"/>
    <n v="20100"/>
    <x v="3"/>
    <n v="82410000"/>
    <x v="2"/>
    <d v="2019-08-15T00:00:00"/>
    <d v="2019-09-13T00:00:00"/>
    <d v="2019-09-13T00:00:00"/>
    <m/>
    <m/>
    <m/>
    <m/>
    <m/>
    <m/>
    <m/>
    <m/>
    <m/>
    <m/>
    <m/>
    <m/>
    <n v="0"/>
    <n v="20100"/>
    <n v="82410000"/>
  </r>
  <r>
    <s v="166B/2019"/>
    <d v="2019-04-18T00:00:00"/>
    <s v="THANH THÚY"/>
    <s v="TH14"/>
    <x v="90"/>
    <x v="62"/>
    <s v="BACARDI"/>
    <m/>
    <s v="15.16"/>
    <s v="300"/>
    <s v="NL2018"/>
    <m/>
    <n v="34"/>
    <n v="10200"/>
    <x v="13"/>
    <n v="45900000"/>
    <x v="4"/>
    <d v="2019-04-17T00:00:00"/>
    <d v="2019-05-21T00:00:00"/>
    <d v="2019-05-21T00:00:00"/>
    <s v="17/4AL"/>
    <m/>
    <m/>
    <m/>
    <d v="2019-05-20T00:00:00"/>
    <n v="3900"/>
    <d v="2019-06-15T00:00:00"/>
    <s v="4200"/>
    <m/>
    <m/>
    <m/>
    <m/>
    <n v="8100"/>
    <n v="2100"/>
    <n v="9450000"/>
  </r>
  <r>
    <s v="166B/2019"/>
    <d v="2019-04-18T00:00:00"/>
    <s v="THANH THÚY"/>
    <s v="TH14"/>
    <x v="90"/>
    <x v="62"/>
    <s v="BACARDI"/>
    <m/>
    <s v="15.16"/>
    <s v="300"/>
    <s v="NL2018"/>
    <m/>
    <n v="0"/>
    <n v="0"/>
    <x v="13"/>
    <n v="0"/>
    <x v="1"/>
    <d v="2019-03-15T00:00:00"/>
    <d v="2019-04-19T00:00:00"/>
    <d v="2019-04-19T00:00:00"/>
    <s v="15/3AL"/>
    <m/>
    <m/>
    <m/>
    <m/>
    <n v="0"/>
    <m/>
    <m/>
    <m/>
    <m/>
    <m/>
    <m/>
    <n v="0"/>
    <n v="0"/>
    <n v="0"/>
  </r>
  <r>
    <s v="166B/2019"/>
    <d v="2019-05-19T00:00:00"/>
    <s v="THANH THÚY"/>
    <s v="TH14"/>
    <x v="90"/>
    <x v="57"/>
    <s v="DALIAN"/>
    <m/>
    <s v="14.16"/>
    <s v="300"/>
    <s v="NL2018"/>
    <m/>
    <n v="18"/>
    <n v="5400"/>
    <x v="11"/>
    <n v="29160000"/>
    <x v="4"/>
    <d v="2019-04-17T00:00:00"/>
    <d v="2019-05-21T00:00:00"/>
    <d v="2019-05-21T00:00:00"/>
    <s v="17/4AL"/>
    <m/>
    <m/>
    <m/>
    <m/>
    <m/>
    <m/>
    <m/>
    <m/>
    <m/>
    <m/>
    <m/>
    <n v="0"/>
    <n v="5400"/>
    <n v="29160000"/>
  </r>
  <r>
    <s v="166B/2019"/>
    <d v="2019-04-18T00:00:00"/>
    <s v="THANH THÚY"/>
    <s v="TH14"/>
    <x v="90"/>
    <x v="24"/>
    <s v="SERANO"/>
    <m/>
    <s v="14.16"/>
    <s v="300"/>
    <s v="NL2018"/>
    <m/>
    <n v="8"/>
    <n v="2400"/>
    <x v="25"/>
    <n v="8640000"/>
    <x v="0"/>
    <d v="2019-04-17T00:00:00"/>
    <d v="2019-05-21T00:00:00"/>
    <d v="2019-05-21T00:00:00"/>
    <s v="17/4AL"/>
    <m/>
    <m/>
    <m/>
    <d v="2019-04-18T00:00:00"/>
    <n v="2400"/>
    <m/>
    <m/>
    <m/>
    <m/>
    <m/>
    <m/>
    <n v="2400"/>
    <n v="0"/>
    <n v="0"/>
  </r>
  <r>
    <s v="166B/2019"/>
    <d v="2019-04-18T00:00:00"/>
    <s v="THANH THÚY"/>
    <s v="TH14"/>
    <x v="90"/>
    <x v="66"/>
    <s v="ALUSTA"/>
    <m/>
    <s v="14.16"/>
    <s v="300"/>
    <s v="NL2018"/>
    <m/>
    <n v="2"/>
    <n v="600"/>
    <x v="57"/>
    <n v="2400000"/>
    <x v="0"/>
    <m/>
    <s v=""/>
    <s v=""/>
    <m/>
    <m/>
    <m/>
    <m/>
    <d v="2019-04-18T00:00:00"/>
    <n v="600"/>
    <m/>
    <m/>
    <m/>
    <m/>
    <m/>
    <m/>
    <n v="600"/>
    <n v="0"/>
    <n v="0"/>
  </r>
  <r>
    <s v="166B/2019"/>
    <d v="2019-04-18T00:00:00"/>
    <s v="THANH THÚY"/>
    <s v="TH14"/>
    <x v="90"/>
    <x v="24"/>
    <s v="SERANO"/>
    <m/>
    <s v="14.16"/>
    <s v="300"/>
    <s v="NL2018"/>
    <m/>
    <n v="22"/>
    <n v="6600"/>
    <x v="25"/>
    <n v="23760000"/>
    <x v="4"/>
    <d v="2019-04-17T00:00:00"/>
    <d v="2019-05-21T00:00:00"/>
    <d v="2019-05-21T00:00:00"/>
    <s v="17/4AL"/>
    <m/>
    <m/>
    <m/>
    <d v="2019-05-20T00:00:00"/>
    <n v="2400"/>
    <d v="2019-06-06T00:00:00"/>
    <s v="3000"/>
    <m/>
    <m/>
    <m/>
    <m/>
    <n v="5400"/>
    <n v="1200"/>
    <n v="4320000"/>
  </r>
  <r>
    <s v="166B/2019"/>
    <d v="2019-04-18T00:00:00"/>
    <s v="THANH THÚY"/>
    <s v="TH14"/>
    <x v="90"/>
    <x v="24"/>
    <s v="SERANO"/>
    <m/>
    <s v="14.16"/>
    <s v="300"/>
    <s v="NL2018"/>
    <m/>
    <n v="9"/>
    <n v="2700"/>
    <x v="25"/>
    <n v="9720000"/>
    <x v="3"/>
    <d v="2019-05-12T00:00:00"/>
    <d v="2019-06-14T00:00:00"/>
    <d v="2019-06-14T00:00:00"/>
    <s v="12/5AL"/>
    <m/>
    <m/>
    <m/>
    <m/>
    <m/>
    <m/>
    <m/>
    <m/>
    <m/>
    <m/>
    <m/>
    <n v="0"/>
    <n v="2700"/>
    <n v="9720000"/>
  </r>
  <r>
    <s v="166B/2019"/>
    <d v="2019-04-18T00:00:00"/>
    <s v="THANH THÚY"/>
    <s v="TH14"/>
    <x v="90"/>
    <x v="65"/>
    <s v="ROBINA"/>
    <m/>
    <s v="14.16"/>
    <s v="300"/>
    <s v="NL2018"/>
    <m/>
    <n v="17"/>
    <n v="5100"/>
    <x v="6"/>
    <n v="19380000"/>
    <x v="3"/>
    <d v="2019-06-15T00:00:00"/>
    <d v="2019-07-17T00:00:00"/>
    <d v="2019-07-17T00:00:00"/>
    <s v="15/6AL"/>
    <m/>
    <m/>
    <m/>
    <m/>
    <m/>
    <m/>
    <m/>
    <m/>
    <m/>
    <m/>
    <m/>
    <n v="0"/>
    <n v="5100"/>
    <n v="19380000"/>
  </r>
  <r>
    <s v="166B/2019"/>
    <d v="2019-04-18T00:00:00"/>
    <s v="THANH THÚY"/>
    <s v="TH14"/>
    <x v="90"/>
    <x v="57"/>
    <s v="DALIAN"/>
    <m/>
    <s v="14.16"/>
    <s v="300"/>
    <s v="NL2018"/>
    <m/>
    <n v="17"/>
    <n v="5100"/>
    <x v="11"/>
    <n v="27540000"/>
    <x v="3"/>
    <d v="2019-06-15T00:00:00"/>
    <d v="2019-07-17T00:00:00"/>
    <d v="2019-07-17T00:00:00"/>
    <s v="15/6AL"/>
    <m/>
    <m/>
    <m/>
    <m/>
    <m/>
    <m/>
    <m/>
    <m/>
    <m/>
    <m/>
    <m/>
    <n v="0"/>
    <n v="5100"/>
    <n v="27540000"/>
  </r>
  <r>
    <s v="166B/2019"/>
    <d v="2019-04-18T00:00:00"/>
    <s v="THANH THÚY"/>
    <s v="TH14"/>
    <x v="90"/>
    <x v="29"/>
    <s v="MANISSA"/>
    <m/>
    <s v="16.18"/>
    <n v="200"/>
    <s v="NL2018"/>
    <m/>
    <n v="0"/>
    <n v="0"/>
    <x v="33"/>
    <n v="0"/>
    <x v="1"/>
    <d v="2019-06-15T00:00:00"/>
    <d v="2019-07-17T00:00:00"/>
    <d v="2019-07-17T00:00:00"/>
    <s v="15/6AL"/>
    <m/>
    <m/>
    <m/>
    <m/>
    <m/>
    <m/>
    <m/>
    <m/>
    <m/>
    <m/>
    <m/>
    <n v="0"/>
    <n v="0"/>
    <n v="0"/>
  </r>
  <r>
    <s v="166B/2019"/>
    <d v="2019-06-15T00:00:00"/>
    <s v="THANH THÚY"/>
    <s v="TH14"/>
    <x v="90"/>
    <x v="29"/>
    <s v="MANISSA"/>
    <m/>
    <s v="16.18"/>
    <n v="200"/>
    <s v="NL2018"/>
    <m/>
    <n v="50"/>
    <n v="10000"/>
    <x v="33"/>
    <n v="70000000"/>
    <x v="3"/>
    <d v="2019-05-18T00:00:00"/>
    <d v="2019-06-20T00:00:00"/>
    <d v="2019-06-20T00:00:00"/>
    <m/>
    <m/>
    <m/>
    <m/>
    <m/>
    <m/>
    <m/>
    <m/>
    <m/>
    <m/>
    <m/>
    <m/>
    <n v="0"/>
    <n v="10000"/>
    <n v="70000000"/>
  </r>
  <r>
    <s v="166B/2019"/>
    <d v="2019-06-15T00:00:00"/>
    <s v="THANH THÚY"/>
    <s v="TH14"/>
    <x v="90"/>
    <x v="24"/>
    <s v="SERANO"/>
    <m/>
    <s v="14.16"/>
    <s v="300"/>
    <s v="NL2018"/>
    <m/>
    <n v="17"/>
    <n v="5100"/>
    <x v="6"/>
    <n v="19380000"/>
    <x v="3"/>
    <d v="2019-06-15T00:00:00"/>
    <d v="2019-07-17T00:00:00"/>
    <d v="2019-07-17T00:00:00"/>
    <m/>
    <m/>
    <m/>
    <m/>
    <m/>
    <m/>
    <m/>
    <m/>
    <m/>
    <m/>
    <m/>
    <m/>
    <n v="0"/>
    <n v="5100"/>
    <n v="19380000"/>
  </r>
  <r>
    <s v="166B/2019"/>
    <d v="2019-06-15T00:00:00"/>
    <s v="THANH THÚY"/>
    <s v="TH14"/>
    <x v="90"/>
    <x v="22"/>
    <s v="ROBINA"/>
    <m/>
    <s v="16.18"/>
    <n v="200"/>
    <s v="NL2018"/>
    <m/>
    <n v="20"/>
    <n v="4000"/>
    <x v="117"/>
    <n v="14800000"/>
    <x v="3"/>
    <d v="2019-06-15T00:00:00"/>
    <d v="2019-07-17T00:00:00"/>
    <d v="2019-07-17T00:00:00"/>
    <m/>
    <m/>
    <m/>
    <m/>
    <m/>
    <m/>
    <m/>
    <m/>
    <m/>
    <m/>
    <m/>
    <m/>
    <n v="0"/>
    <n v="4000"/>
    <n v="14800000"/>
  </r>
  <r>
    <s v="166B/2019"/>
    <d v="2019-06-15T00:00:00"/>
    <s v="THANH THÚY"/>
    <s v="TH14"/>
    <x v="90"/>
    <x v="57"/>
    <s v="DALIAN"/>
    <m/>
    <s v="14.16"/>
    <s v="300"/>
    <s v="NL2018"/>
    <m/>
    <n v="17"/>
    <n v="5100"/>
    <x v="48"/>
    <n v="28560000"/>
    <x v="2"/>
    <d v="2019-06-25T00:00:00"/>
    <d v="2019-07-27T00:00:00"/>
    <d v="2019-07-27T00:00:00"/>
    <m/>
    <m/>
    <m/>
    <m/>
    <m/>
    <m/>
    <m/>
    <m/>
    <m/>
    <m/>
    <m/>
    <m/>
    <n v="0"/>
    <n v="5100"/>
    <n v="28560000"/>
  </r>
  <r>
    <s v="167B/2019"/>
    <d v="2019-04-18T00:00:00"/>
    <s v="THANH THÚY"/>
    <s v="TH14"/>
    <x v="90"/>
    <x v="16"/>
    <s v="ROBINA"/>
    <m/>
    <s v="20.22"/>
    <s v="125"/>
    <s v="NL2018"/>
    <m/>
    <n v="56"/>
    <n v="7000"/>
    <x v="16"/>
    <n v="74900000"/>
    <x v="2"/>
    <d v="2019-09-01T00:00:00"/>
    <d v="2019-09-29T00:00:00"/>
    <d v="2019-09-29T00:00:00"/>
    <s v="TẾT"/>
    <m/>
    <m/>
    <m/>
    <m/>
    <n v="0"/>
    <m/>
    <m/>
    <m/>
    <m/>
    <m/>
    <m/>
    <n v="0"/>
    <n v="7000"/>
    <n v="74900000"/>
  </r>
  <r>
    <s v="167B/2019"/>
    <d v="2019-04-18T00:00:00"/>
    <s v="THANH THÚY"/>
    <s v="TH14"/>
    <x v="90"/>
    <x v="108"/>
    <s v="ROBINA NEW ZEALAND"/>
    <m/>
    <s v="20.22"/>
    <s v="125"/>
    <s v="NZ2019"/>
    <m/>
    <n v="24"/>
    <n v="3000"/>
    <x v="29"/>
    <n v="37500000"/>
    <x v="2"/>
    <d v="2019-09-01T00:00:00"/>
    <d v="2019-09-29T00:00:00"/>
    <d v="2019-09-29T00:00:00"/>
    <s v="TẾT"/>
    <m/>
    <m/>
    <m/>
    <m/>
    <n v="0"/>
    <m/>
    <m/>
    <m/>
    <m/>
    <m/>
    <m/>
    <n v="0"/>
    <n v="3000"/>
    <n v="37500000"/>
  </r>
  <r>
    <s v="167B/2019"/>
    <d v="2019-04-18T00:00:00"/>
    <s v="THANH THÚY"/>
    <s v="TH14"/>
    <x v="90"/>
    <x v="85"/>
    <s v="DALIAN"/>
    <m/>
    <s v="20.22"/>
    <s v="125"/>
    <s v="NL2018"/>
    <m/>
    <n v="40"/>
    <n v="5000"/>
    <x v="161"/>
    <n v="71500000"/>
    <x v="2"/>
    <d v="2019-09-01T00:00:00"/>
    <d v="2019-09-29T00:00:00"/>
    <d v="2019-09-29T00:00:00"/>
    <s v="TẾT"/>
    <m/>
    <m/>
    <m/>
    <m/>
    <n v="0"/>
    <m/>
    <m/>
    <m/>
    <m/>
    <m/>
    <m/>
    <n v="0"/>
    <n v="5000"/>
    <n v="71500000"/>
  </r>
  <r>
    <s v="167B/2019"/>
    <d v="2019-04-18T00:00:00"/>
    <s v="THANH THÚY"/>
    <s v="TH14"/>
    <x v="90"/>
    <x v="25"/>
    <s v="CONCADOR"/>
    <m/>
    <s v="18.20"/>
    <s v="150"/>
    <s v="NL2018"/>
    <m/>
    <n v="0"/>
    <n v="0"/>
    <x v="27"/>
    <n v="0"/>
    <x v="1"/>
    <d v="2019-09-01T00:00:00"/>
    <d v="2019-09-29T00:00:00"/>
    <d v="2019-09-29T00:00:00"/>
    <s v="TẾT"/>
    <m/>
    <m/>
    <m/>
    <m/>
    <n v="0"/>
    <m/>
    <m/>
    <m/>
    <m/>
    <m/>
    <m/>
    <n v="0"/>
    <n v="0"/>
    <n v="0"/>
  </r>
  <r>
    <s v="167B/2019"/>
    <d v="2019-04-18T00:00:00"/>
    <s v="THANH THÚY"/>
    <s v="TH14"/>
    <x v="90"/>
    <x v="6"/>
    <s v="CONCADOR"/>
    <m/>
    <s v="20.22"/>
    <s v="125"/>
    <s v="NL2018"/>
    <m/>
    <n v="104"/>
    <n v="13000"/>
    <x v="7"/>
    <n v="137800000"/>
    <x v="2"/>
    <d v="2019-09-01T00:00:00"/>
    <d v="2019-09-29T00:00:00"/>
    <d v="2019-09-29T00:00:00"/>
    <s v="TẾT"/>
    <m/>
    <m/>
    <m/>
    <m/>
    <n v="0"/>
    <m/>
    <m/>
    <m/>
    <m/>
    <m/>
    <m/>
    <n v="0"/>
    <n v="13000"/>
    <n v="137800000"/>
  </r>
  <r>
    <s v="76A/2019"/>
    <d v="2019-02-25T00:00:00"/>
    <s v="KIỀU THY"/>
    <s v="VV03"/>
    <x v="91"/>
    <x v="46"/>
    <s v="CONCAD'OR"/>
    <m/>
    <s v="22.24"/>
    <n v="100"/>
    <s v="NL2018"/>
    <m/>
    <n v="150"/>
    <n v="15000"/>
    <x v="29"/>
    <n v="187500000"/>
    <x v="2"/>
    <d v="2019-09-01T00:00:00"/>
    <d v="2019-09-29T00:00:00"/>
    <d v="2019-09-29T00:00:00"/>
    <s v="TẾT"/>
    <m/>
    <m/>
    <s v="R"/>
    <m/>
    <n v="0"/>
    <m/>
    <m/>
    <m/>
    <m/>
    <m/>
    <m/>
    <n v="0"/>
    <n v="15000"/>
    <n v="187500000"/>
  </r>
  <r>
    <s v="76A/2019"/>
    <d v="2019-02-25T00:00:00"/>
    <s v="KIỀU THY"/>
    <s v="VV03"/>
    <x v="91"/>
    <x v="63"/>
    <s v="MANISSA"/>
    <m/>
    <s v="24.26"/>
    <n v="80"/>
    <s v="NL2018"/>
    <m/>
    <n v="63"/>
    <n v="5040"/>
    <x v="30"/>
    <n v="80640000"/>
    <x v="2"/>
    <d v="2019-09-01T00:00:00"/>
    <d v="2019-09-29T00:00:00"/>
    <d v="2019-09-29T00:00:00"/>
    <s v="TẾT"/>
    <m/>
    <m/>
    <s v="R"/>
    <m/>
    <n v="0"/>
    <m/>
    <m/>
    <m/>
    <m/>
    <m/>
    <m/>
    <n v="0"/>
    <n v="5040"/>
    <n v="80640000"/>
  </r>
  <r>
    <s v="76A/2019"/>
    <d v="2019-02-25T00:00:00"/>
    <s v="KIỀU THY"/>
    <s v="VV03"/>
    <x v="91"/>
    <x v="26"/>
    <s v="ROBINA"/>
    <m/>
    <s v="22.24"/>
    <n v="100"/>
    <s v="NL2018"/>
    <m/>
    <n v="120"/>
    <n v="12000"/>
    <x v="29"/>
    <n v="150000000"/>
    <x v="2"/>
    <d v="2019-09-01T00:00:00"/>
    <d v="2019-09-29T00:00:00"/>
    <d v="2019-09-29T00:00:00"/>
    <s v="TẾT"/>
    <m/>
    <m/>
    <s v="R"/>
    <m/>
    <n v="0"/>
    <m/>
    <m/>
    <m/>
    <m/>
    <m/>
    <m/>
    <n v="0"/>
    <n v="12000"/>
    <n v="150000000"/>
  </r>
  <r>
    <s v="74A/2019"/>
    <d v="2019-02-23T00:00:00"/>
    <s v="KIỀU THY"/>
    <s v="VH06"/>
    <x v="92"/>
    <x v="46"/>
    <s v="CONCAD'OR"/>
    <m/>
    <s v="22.24"/>
    <n v="100"/>
    <s v="NL2018"/>
    <m/>
    <n v="350"/>
    <n v="35000"/>
    <x v="29"/>
    <n v="437500000"/>
    <x v="2"/>
    <d v="2019-09-01T00:00:00"/>
    <d v="2019-09-29T00:00:00"/>
    <d v="2019-09-29T00:00:00"/>
    <s v="TẾT"/>
    <m/>
    <m/>
    <s v="R"/>
    <m/>
    <m/>
    <m/>
    <m/>
    <m/>
    <m/>
    <m/>
    <m/>
    <n v="0"/>
    <n v="35000"/>
    <n v="437500000"/>
  </r>
  <r>
    <s v="74A/2019"/>
    <d v="2019-02-23T00:00:00"/>
    <s v="KIỀU THY"/>
    <s v="VH06"/>
    <x v="92"/>
    <x v="26"/>
    <s v="ROBINA"/>
    <m/>
    <s v="22.24"/>
    <n v="100"/>
    <s v="NL2018"/>
    <m/>
    <n v="210"/>
    <n v="21000"/>
    <x v="29"/>
    <n v="262500000"/>
    <x v="2"/>
    <d v="2019-09-01T00:00:00"/>
    <d v="2019-09-29T00:00:00"/>
    <d v="2019-09-29T00:00:00"/>
    <s v="TẾT"/>
    <m/>
    <m/>
    <s v="R"/>
    <m/>
    <n v="0"/>
    <m/>
    <m/>
    <m/>
    <m/>
    <m/>
    <m/>
    <n v="0"/>
    <n v="21000"/>
    <n v="262500000"/>
  </r>
  <r>
    <s v="162A/2019"/>
    <d v="2019-04-02T00:00:00"/>
    <s v="KIỀU THY"/>
    <s v="VT17"/>
    <x v="93"/>
    <x v="11"/>
    <s v="YELLOWEEN"/>
    <m/>
    <s v="12.14"/>
    <s v="400"/>
    <s v="NL2018"/>
    <m/>
    <n v="0"/>
    <n v="0"/>
    <x v="47"/>
    <n v="0"/>
    <x v="1"/>
    <d v="2019-04-17T00:00:00"/>
    <d v="2019-05-21T00:00:00"/>
    <d v="2019-05-21T00:00:00"/>
    <s v="10/4AL"/>
    <m/>
    <m/>
    <m/>
    <m/>
    <m/>
    <m/>
    <m/>
    <m/>
    <m/>
    <m/>
    <m/>
    <n v="0"/>
    <n v="0"/>
    <n v="0"/>
  </r>
  <r>
    <s v="162A/2019"/>
    <d v="2019-04-02T00:00:00"/>
    <s v="KIỀU THY"/>
    <s v="VT17"/>
    <x v="93"/>
    <x v="28"/>
    <s v="YELLOWEEN"/>
    <m/>
    <s v="14.16"/>
    <s v="300"/>
    <s v="NL2018"/>
    <m/>
    <n v="0"/>
    <n v="0"/>
    <x v="6"/>
    <n v="0"/>
    <x v="1"/>
    <d v="2019-04-17T00:00:00"/>
    <d v="2019-05-21T00:00:00"/>
    <d v="2019-05-21T00:00:00"/>
    <s v="10/4AL"/>
    <m/>
    <m/>
    <m/>
    <m/>
    <m/>
    <m/>
    <m/>
    <m/>
    <m/>
    <m/>
    <m/>
    <n v="0"/>
    <n v="0"/>
    <n v="0"/>
  </r>
  <r>
    <n v="3"/>
    <d v="2019-04-02T00:00:00"/>
    <s v="KIỀU THY"/>
    <s v="VT17"/>
    <x v="93"/>
    <x v="31"/>
    <s v="TARRANGO"/>
    <m/>
    <s v="14.16"/>
    <s v="300"/>
    <s v="NL2018"/>
    <m/>
    <n v="34"/>
    <n v="10200"/>
    <x v="21"/>
    <n v="46920000"/>
    <x v="0"/>
    <d v="2019-04-17T00:00:00"/>
    <d v="2019-05-21T00:00:00"/>
    <d v="2019-05-21T00:00:00"/>
    <s v="10/4AL"/>
    <m/>
    <m/>
    <m/>
    <d v="2019-06-18T00:00:00"/>
    <n v="10200"/>
    <m/>
    <m/>
    <m/>
    <m/>
    <m/>
    <m/>
    <n v="10200"/>
    <n v="0"/>
    <n v="0"/>
  </r>
  <r>
    <s v="162A/2019"/>
    <d v="2019-05-02T00:00:00"/>
    <s v="KIỀU THY"/>
    <s v="VT17"/>
    <x v="93"/>
    <x v="23"/>
    <s v="FELINO"/>
    <m/>
    <n v="15.16"/>
    <s v="250"/>
    <s v="NL2018"/>
    <m/>
    <n v="2"/>
    <n v="500"/>
    <x v="24"/>
    <n v="2850000"/>
    <x v="0"/>
    <d v="2019-03-15T00:00:00"/>
    <d v="2019-04-19T00:00:00"/>
    <d v="2019-04-19T00:00:00"/>
    <s v="15/3AL"/>
    <m/>
    <m/>
    <m/>
    <d v="2019-05-03T00:00:00"/>
    <n v="500"/>
    <m/>
    <m/>
    <m/>
    <m/>
    <m/>
    <m/>
    <n v="500"/>
    <n v="0"/>
    <n v="0"/>
  </r>
  <r>
    <s v="162A/2019"/>
    <d v="2019-04-02T00:00:00"/>
    <s v="KIỀU THY"/>
    <s v="VT17"/>
    <x v="93"/>
    <x v="149"/>
    <s v="PARAGUAY"/>
    <m/>
    <s v="14.16"/>
    <s v="275"/>
    <s v="NL2018"/>
    <m/>
    <n v="31"/>
    <n v="8525"/>
    <x v="23"/>
    <n v="40920000"/>
    <x v="0"/>
    <d v="2019-03-15T00:00:00"/>
    <d v="2019-04-19T00:00:00"/>
    <d v="2019-04-19T00:00:00"/>
    <s v="15/3AL"/>
    <m/>
    <m/>
    <m/>
    <d v="2019-04-24T00:00:00"/>
    <n v="8525"/>
    <m/>
    <m/>
    <m/>
    <m/>
    <m/>
    <m/>
    <n v="8525"/>
    <n v="0"/>
    <n v="0"/>
  </r>
  <r>
    <s v="162A/2019"/>
    <d v="2019-04-02T00:00:00"/>
    <s v="KIỀU THY"/>
    <s v="VT17"/>
    <x v="93"/>
    <x v="57"/>
    <s v="DALIAN"/>
    <m/>
    <s v="14.16"/>
    <s v="300"/>
    <s v="NL2018"/>
    <m/>
    <n v="26"/>
    <n v="7800"/>
    <x v="11"/>
    <n v="42120000"/>
    <x v="0"/>
    <d v="2019-03-30T00:00:00"/>
    <d v="2019-05-04T00:00:00"/>
    <d v="2019-05-04T00:00:00"/>
    <s v="30/3AL"/>
    <m/>
    <m/>
    <m/>
    <d v="2019-05-22T00:00:00"/>
    <n v="7800"/>
    <m/>
    <m/>
    <m/>
    <m/>
    <m/>
    <m/>
    <n v="7800"/>
    <n v="0"/>
    <n v="0"/>
  </r>
  <r>
    <s v="163A/2019"/>
    <d v="2019-04-02T00:00:00"/>
    <s v="KIỀU THY"/>
    <s v="VT17"/>
    <x v="93"/>
    <x v="14"/>
    <s v="TARRANGO"/>
    <m/>
    <s v="20.22"/>
    <s v="125"/>
    <s v="NL2018"/>
    <m/>
    <n v="0"/>
    <n v="0"/>
    <x v="36"/>
    <n v="0"/>
    <x v="1"/>
    <d v="2019-09-01T00:00:00"/>
    <d v="2019-09-29T00:00:00"/>
    <d v="2019-09-29T00:00:00"/>
    <s v="TẾT, KH nhờ bán hộ"/>
    <m/>
    <m/>
    <m/>
    <m/>
    <m/>
    <m/>
    <m/>
    <m/>
    <m/>
    <m/>
    <m/>
    <n v="0"/>
    <n v="0"/>
    <n v="0"/>
  </r>
  <r>
    <s v="163A/2019"/>
    <d v="2019-04-02T00:00:00"/>
    <s v="KIỀU THY"/>
    <s v="VT17"/>
    <x v="93"/>
    <x v="27"/>
    <s v="MANISSA"/>
    <m/>
    <s v="24+"/>
    <s v="75"/>
    <s v="NL2018"/>
    <m/>
    <n v="0"/>
    <n v="0"/>
    <x v="30"/>
    <n v="0"/>
    <x v="2"/>
    <d v="2019-09-01T00:00:00"/>
    <d v="2019-09-29T00:00:00"/>
    <d v="2019-09-29T00:00:00"/>
    <s v="TẾT, KH nhờ bán hộ"/>
    <m/>
    <m/>
    <m/>
    <m/>
    <m/>
    <m/>
    <m/>
    <m/>
    <m/>
    <m/>
    <m/>
    <n v="0"/>
    <n v="0"/>
    <n v="0"/>
  </r>
  <r>
    <s v="70A/2019"/>
    <d v="2019-02-22T00:00:00"/>
    <s v="KIỀU THY"/>
    <s v="VS06"/>
    <x v="94"/>
    <x v="15"/>
    <s v="CONCAD'OR"/>
    <m/>
    <s v="16.18"/>
    <n v="200"/>
    <s v="NL2018"/>
    <m/>
    <n v="25"/>
    <n v="5000"/>
    <x v="18"/>
    <n v="25000000"/>
    <x v="0"/>
    <d v="2019-03-15T00:00:00"/>
    <d v="2019-04-19T00:00:00"/>
    <d v="2019-04-19T00:00:00"/>
    <s v="15/3AL"/>
    <s v="CONT 22/2019"/>
    <d v="2019-04-14T00:00:00"/>
    <s v="R"/>
    <d v="2019-04-17T00:00:00"/>
    <n v="5000"/>
    <m/>
    <m/>
    <m/>
    <m/>
    <m/>
    <m/>
    <n v="5000"/>
    <n v="0"/>
    <n v="0"/>
  </r>
  <r>
    <s v="70A/2019"/>
    <d v="2019-02-22T00:00:00"/>
    <s v="KIỀU THY"/>
    <s v="VS06"/>
    <x v="94"/>
    <x v="34"/>
    <s v="TARRANGO"/>
    <m/>
    <s v="16.18"/>
    <n v="200"/>
    <s v="NL2018"/>
    <m/>
    <n v="25"/>
    <n v="5000"/>
    <x v="44"/>
    <n v="27500000"/>
    <x v="0"/>
    <d v="2019-03-15T00:00:00"/>
    <d v="2019-04-19T00:00:00"/>
    <d v="2019-04-19T00:00:00"/>
    <s v="15/3AL"/>
    <s v="CONT 26/2019"/>
    <d v="2019-04-14T00:00:00"/>
    <s v="R"/>
    <d v="2019-04-17T00:00:00"/>
    <n v="5000"/>
    <m/>
    <m/>
    <m/>
    <m/>
    <m/>
    <m/>
    <n v="5000"/>
    <n v="0"/>
    <n v="0"/>
  </r>
  <r>
    <s v="154A/2019"/>
    <d v="2019-05-10T00:00:00"/>
    <s v="KIỀU THY"/>
    <s v="VD07"/>
    <x v="95"/>
    <x v="12"/>
    <s v="AMATERAS"/>
    <m/>
    <s v="14.16"/>
    <n v="300"/>
    <s v="NL2018"/>
    <m/>
    <n v="40"/>
    <n v="12000"/>
    <x v="162"/>
    <n v="53160000"/>
    <x v="4"/>
    <d v="2019-05-05T00:00:00"/>
    <d v="2019-06-07T00:00:00"/>
    <d v="2019-06-07T00:00:00"/>
    <m/>
    <m/>
    <m/>
    <m/>
    <m/>
    <m/>
    <m/>
    <m/>
    <m/>
    <m/>
    <m/>
    <m/>
    <n v="0"/>
    <n v="12000"/>
    <n v="53160000"/>
  </r>
  <r>
    <s v="154A/2019"/>
    <d v="2019-06-03T00:00:00"/>
    <s v="KIỀU THY"/>
    <s v="VD07"/>
    <x v="95"/>
    <x v="2"/>
    <s v="NASHVILLE"/>
    <m/>
    <s v="14.16"/>
    <n v="300"/>
    <s v="NL2018"/>
    <m/>
    <n v="7"/>
    <n v="2100"/>
    <x v="56"/>
    <n v="8190000"/>
    <x v="0"/>
    <d v="2019-04-17T00:00:00"/>
    <d v="2019-05-21T00:00:00"/>
    <d v="2019-05-21T00:00:00"/>
    <m/>
    <m/>
    <m/>
    <m/>
    <d v="2019-06-05T00:00:00"/>
    <n v="2100"/>
    <m/>
    <m/>
    <m/>
    <m/>
    <m/>
    <m/>
    <n v="2100"/>
    <n v="0"/>
    <n v="0"/>
  </r>
  <r>
    <s v="154A/2019"/>
    <d v="2019-06-03T00:00:00"/>
    <s v="KIỀU THY"/>
    <s v="VD07"/>
    <x v="95"/>
    <x v="12"/>
    <s v="AMATERAS"/>
    <m/>
    <s v="14.16"/>
    <n v="300"/>
    <s v="NL2018"/>
    <m/>
    <n v="16"/>
    <n v="4800"/>
    <x v="162"/>
    <n v="21264000"/>
    <x v="4"/>
    <d v="2019-05-05T00:00:00"/>
    <d v="2019-06-07T00:00:00"/>
    <d v="2019-06-07T00:00:00"/>
    <m/>
    <m/>
    <m/>
    <m/>
    <m/>
    <m/>
    <m/>
    <m/>
    <m/>
    <m/>
    <m/>
    <m/>
    <n v="0"/>
    <n v="4800"/>
    <n v="21264000"/>
  </r>
  <r>
    <s v="154A/2019"/>
    <d v="2019-03-07T00:00:00"/>
    <s v="KIỀU THY"/>
    <s v="VD07"/>
    <x v="95"/>
    <x v="41"/>
    <s v="PAVIA"/>
    <m/>
    <s v="14.16"/>
    <n v="300"/>
    <s v="NL2018"/>
    <m/>
    <n v="67"/>
    <n v="20100"/>
    <x v="162"/>
    <n v="89043000"/>
    <x v="4"/>
    <d v="2019-05-05T00:00:00"/>
    <d v="2019-06-07T00:00:00"/>
    <d v="2019-06-07T00:00:00"/>
    <s v="1/5AL"/>
    <m/>
    <m/>
    <m/>
    <m/>
    <m/>
    <m/>
    <m/>
    <m/>
    <m/>
    <m/>
    <m/>
    <n v="0"/>
    <n v="20100"/>
    <n v="89043000"/>
  </r>
  <r>
    <s v="154A/2019"/>
    <d v="2019-03-07T00:00:00"/>
    <s v="KIỀU THY"/>
    <s v="VD07"/>
    <x v="95"/>
    <x v="4"/>
    <s v="TEBALDI"/>
    <m/>
    <s v="14.16"/>
    <n v="300"/>
    <s v="NL2018"/>
    <m/>
    <n v="53"/>
    <n v="15900"/>
    <x v="162"/>
    <n v="70437000"/>
    <x v="4"/>
    <d v="2019-05-05T00:00:00"/>
    <d v="2019-06-07T00:00:00"/>
    <d v="2019-06-07T00:00:00"/>
    <s v="1/5AL"/>
    <m/>
    <m/>
    <m/>
    <d v="2019-06-08T00:00:00"/>
    <n v="15000"/>
    <m/>
    <m/>
    <m/>
    <m/>
    <m/>
    <m/>
    <n v="15000"/>
    <n v="900"/>
    <n v="3987000"/>
  </r>
  <r>
    <s v="154A/2019"/>
    <d v="2019-03-07T00:00:00"/>
    <s v="KIỀU THY"/>
    <s v="VD07"/>
    <x v="95"/>
    <x v="1"/>
    <s v="EREMO"/>
    <m/>
    <s v="14.16"/>
    <n v="300"/>
    <s v="NL2018"/>
    <m/>
    <n v="44"/>
    <n v="13200"/>
    <x v="163"/>
    <n v="55836000"/>
    <x v="4"/>
    <d v="2019-05-05T00:00:00"/>
    <d v="2019-06-07T00:00:00"/>
    <d v="2019-06-07T00:00:00"/>
    <s v="1/5AL"/>
    <m/>
    <m/>
    <m/>
    <m/>
    <m/>
    <m/>
    <m/>
    <m/>
    <m/>
    <m/>
    <m/>
    <n v="0"/>
    <n v="13200"/>
    <n v="55836000"/>
  </r>
  <r>
    <s v="154A/2019"/>
    <d v="2019-05-28T00:00:00"/>
    <s v="KIỀU THY"/>
    <s v="VD07"/>
    <x v="95"/>
    <x v="1"/>
    <s v="EREMO"/>
    <m/>
    <s v="14.16"/>
    <n v="300"/>
    <s v="NL2018"/>
    <m/>
    <n v="57"/>
    <n v="17100"/>
    <x v="99"/>
    <n v="73530000"/>
    <x v="1"/>
    <d v="2019-05-18T00:00:00"/>
    <d v="2019-06-20T00:00:00"/>
    <d v="2019-06-20T00:00:00"/>
    <m/>
    <m/>
    <m/>
    <m/>
    <m/>
    <m/>
    <m/>
    <m/>
    <m/>
    <m/>
    <m/>
    <m/>
    <n v="0"/>
    <n v="17100"/>
    <n v="73530000"/>
  </r>
  <r>
    <s v="154A/2019"/>
    <d v="2019-05-28T00:00:00"/>
    <s v="KIỀU THY"/>
    <s v="VD07"/>
    <x v="95"/>
    <x v="12"/>
    <s v="AMATERAS"/>
    <m/>
    <s v="14.16"/>
    <n v="300"/>
    <s v="NL2018"/>
    <m/>
    <n v="69"/>
    <n v="20700"/>
    <x v="21"/>
    <n v="95220000"/>
    <x v="3"/>
    <d v="2019-06-15T00:00:00"/>
    <d v="2019-07-17T00:00:00"/>
    <d v="2019-07-17T00:00:00"/>
    <m/>
    <m/>
    <m/>
    <m/>
    <m/>
    <m/>
    <m/>
    <m/>
    <m/>
    <m/>
    <m/>
    <m/>
    <n v="0"/>
    <n v="20700"/>
    <n v="95220000"/>
  </r>
  <r>
    <s v="154A/2019"/>
    <d v="2019-06-13T00:00:00"/>
    <s v="KIỀU THY"/>
    <s v="VD07"/>
    <x v="95"/>
    <x v="1"/>
    <s v="EREMO"/>
    <m/>
    <s v="14.16"/>
    <n v="300"/>
    <s v="NL2018"/>
    <m/>
    <n v="3"/>
    <n v="900"/>
    <x v="2"/>
    <n v="3960000"/>
    <x v="3"/>
    <d v="2019-06-15T00:00:00"/>
    <d v="2019-07-17T00:00:00"/>
    <d v="2019-07-17T00:00:00"/>
    <m/>
    <m/>
    <m/>
    <m/>
    <m/>
    <m/>
    <m/>
    <m/>
    <m/>
    <m/>
    <m/>
    <m/>
    <n v="0"/>
    <n v="900"/>
    <n v="3960000"/>
  </r>
  <r>
    <s v="154A/2019"/>
    <d v="2019-06-13T00:00:00"/>
    <s v="KIỀU THY"/>
    <s v="VD07"/>
    <x v="95"/>
    <x v="2"/>
    <s v="NASHVILLE"/>
    <m/>
    <s v="14.16"/>
    <n v="300"/>
    <s v="NL2018"/>
    <m/>
    <n v="0"/>
    <n v="0"/>
    <x v="3"/>
    <n v="0"/>
    <x v="1"/>
    <d v="2019-06-15T00:00:00"/>
    <d v="2019-07-17T00:00:00"/>
    <d v="2019-07-17T00:00:00"/>
    <m/>
    <m/>
    <m/>
    <m/>
    <m/>
    <m/>
    <m/>
    <m/>
    <m/>
    <m/>
    <m/>
    <m/>
    <n v="0"/>
    <n v="0"/>
    <n v="0"/>
  </r>
  <r>
    <s v="154A/2019"/>
    <d v="2019-06-14T00:00:00"/>
    <s v="KIỀU THY"/>
    <s v="VD07"/>
    <x v="95"/>
    <x v="3"/>
    <s v="PAVIA"/>
    <m/>
    <s v="12.14"/>
    <n v="400"/>
    <s v="NL2018"/>
    <m/>
    <n v="50"/>
    <n v="20000"/>
    <x v="17"/>
    <n v="60000000"/>
    <x v="3"/>
    <d v="2019-06-15T00:00:00"/>
    <d v="2019-07-17T00:00:00"/>
    <d v="2019-07-17T00:00:00"/>
    <m/>
    <m/>
    <m/>
    <m/>
    <m/>
    <m/>
    <m/>
    <m/>
    <m/>
    <m/>
    <m/>
    <m/>
    <n v="0"/>
    <n v="20000"/>
    <n v="60000000"/>
  </r>
  <r>
    <s v="146B/2019"/>
    <d v="2019-03-26T00:00:00"/>
    <s v="KIỀU THY"/>
    <s v="VD07"/>
    <x v="95"/>
    <x v="143"/>
    <s v="NELLO "/>
    <m/>
    <s v="18.20"/>
    <n v="150"/>
    <s v="NL2018"/>
    <m/>
    <n v="100"/>
    <n v="15000"/>
    <x v="35"/>
    <n v="108000000"/>
    <x v="2"/>
    <d v="2019-09-01T00:00:00"/>
    <d v="2019-09-29T00:00:00"/>
    <d v="2019-09-29T00:00:00"/>
    <s v="TẾT"/>
    <m/>
    <m/>
    <m/>
    <m/>
    <n v="0"/>
    <m/>
    <m/>
    <m/>
    <m/>
    <m/>
    <m/>
    <n v="0"/>
    <n v="15000"/>
    <n v="108000000"/>
  </r>
  <r>
    <s v="146B/2019"/>
    <d v="2019-03-26T00:00:00"/>
    <s v="KIỀU THY"/>
    <s v="VD07"/>
    <x v="95"/>
    <x v="14"/>
    <s v="TARRANGO"/>
    <m/>
    <s v="20.22"/>
    <n v="125"/>
    <s v="NL2018"/>
    <s v="VWS"/>
    <n v="96"/>
    <n v="12000"/>
    <x v="8"/>
    <n v="129600000"/>
    <x v="2"/>
    <d v="2019-09-01T00:00:00"/>
    <d v="2019-09-29T00:00:00"/>
    <d v="2019-09-29T00:00:00"/>
    <s v="TẾT"/>
    <m/>
    <m/>
    <m/>
    <m/>
    <n v="0"/>
    <m/>
    <m/>
    <m/>
    <m/>
    <m/>
    <m/>
    <n v="0"/>
    <n v="12000"/>
    <n v="129600000"/>
  </r>
  <r>
    <s v="154A/2019"/>
    <d v="2019-03-07T00:00:00"/>
    <s v="KIỀU THY"/>
    <s v="VD07"/>
    <x v="95"/>
    <x v="41"/>
    <s v="PAVIA"/>
    <m/>
    <s v="14.16"/>
    <n v="300"/>
    <s v="NL2018"/>
    <m/>
    <n v="100"/>
    <n v="30000"/>
    <x v="2"/>
    <n v="132000000"/>
    <x v="0"/>
    <d v="2019-04-17T00:00:00"/>
    <d v="2019-05-21T00:00:00"/>
    <d v="2019-05-21T00:00:00"/>
    <s v="10/4AL"/>
    <m/>
    <m/>
    <m/>
    <d v="2019-05-27T00:00:00"/>
    <n v="30000"/>
    <m/>
    <m/>
    <m/>
    <m/>
    <m/>
    <m/>
    <n v="30000"/>
    <n v="0"/>
    <n v="0"/>
  </r>
  <r>
    <s v="154A/2019"/>
    <d v="2019-03-07T00:00:00"/>
    <s v="KIỀU THY"/>
    <s v="VD07"/>
    <x v="95"/>
    <x v="4"/>
    <s v="TEBALDI"/>
    <m/>
    <s v="14.16"/>
    <n v="300"/>
    <s v="NL2018"/>
    <m/>
    <n v="67"/>
    <n v="20100"/>
    <x v="2"/>
    <n v="88440000"/>
    <x v="0"/>
    <d v="2019-04-17T00:00:00"/>
    <d v="2019-05-21T00:00:00"/>
    <d v="2019-05-21T00:00:00"/>
    <s v="10/4AL"/>
    <m/>
    <m/>
    <m/>
    <d v="2019-05-27T00:00:00"/>
    <n v="20100"/>
    <m/>
    <m/>
    <m/>
    <m/>
    <m/>
    <m/>
    <n v="20100"/>
    <n v="0"/>
    <n v="0"/>
  </r>
  <r>
    <s v="154A/2019"/>
    <d v="2019-05-07T00:00:00"/>
    <s v="KIỀU THY"/>
    <s v="VD07"/>
    <x v="95"/>
    <x v="3"/>
    <s v="PAVIA"/>
    <m/>
    <s v="12.14"/>
    <n v="400"/>
    <s v="NL2018"/>
    <m/>
    <n v="25"/>
    <n v="10000"/>
    <x v="14"/>
    <n v="29000000"/>
    <x v="0"/>
    <d v="2019-04-17T00:00:00"/>
    <d v="2019-05-21T00:00:00"/>
    <d v="2019-05-21T00:00:00"/>
    <s v="10/4AL"/>
    <m/>
    <m/>
    <m/>
    <d v="2019-05-27T00:00:00"/>
    <n v="10000"/>
    <m/>
    <m/>
    <m/>
    <m/>
    <m/>
    <m/>
    <n v="10000"/>
    <n v="0"/>
    <n v="0"/>
  </r>
  <r>
    <s v="146B/2019"/>
    <d v="2019-03-26T00:00:00"/>
    <s v="KIỀU THY"/>
    <s v="VD07"/>
    <x v="95"/>
    <x v="16"/>
    <s v="ROBINA"/>
    <m/>
    <s v="20.22"/>
    <n v="125"/>
    <s v="NL2018"/>
    <s v="dlw"/>
    <n v="96"/>
    <n v="12000"/>
    <x v="59"/>
    <n v="126000000"/>
    <x v="2"/>
    <d v="2019-09-01T00:00:00"/>
    <d v="2019-09-29T00:00:00"/>
    <d v="2019-09-29T00:00:00"/>
    <s v="TẾT"/>
    <m/>
    <m/>
    <m/>
    <m/>
    <n v="0"/>
    <m/>
    <m/>
    <m/>
    <m/>
    <m/>
    <m/>
    <n v="0"/>
    <n v="12000"/>
    <n v="126000000"/>
  </r>
  <r>
    <s v="146B/2019"/>
    <d v="2019-03-26T00:00:00"/>
    <s v="KIỀU THY"/>
    <s v="VD07"/>
    <x v="95"/>
    <x v="41"/>
    <s v="PAVIA"/>
    <m/>
    <s v="14.16"/>
    <n v="300"/>
    <s v="NL2018"/>
    <m/>
    <n v="50"/>
    <n v="15000"/>
    <x v="21"/>
    <n v="69000000"/>
    <x v="2"/>
    <d v="2019-09-01T00:00:00"/>
    <d v="2019-09-29T00:00:00"/>
    <d v="2019-09-29T00:00:00"/>
    <s v="TẾT"/>
    <m/>
    <m/>
    <m/>
    <m/>
    <n v="0"/>
    <m/>
    <m/>
    <m/>
    <m/>
    <m/>
    <m/>
    <n v="0"/>
    <n v="15000"/>
    <n v="69000000"/>
  </r>
  <r>
    <s v="146B/2019"/>
    <d v="2019-03-26T00:00:00"/>
    <s v="KIỀU THY"/>
    <s v="VD07"/>
    <x v="95"/>
    <x v="36"/>
    <s v="MANISSA"/>
    <m/>
    <s v="20.22"/>
    <n v="125"/>
    <s v="NL2018"/>
    <s v="dlw"/>
    <n v="96"/>
    <n v="12000"/>
    <x v="37"/>
    <n v="162000000"/>
    <x v="2"/>
    <d v="2019-09-01T00:00:00"/>
    <d v="2019-09-29T00:00:00"/>
    <d v="2019-09-29T00:00:00"/>
    <s v="TẾT"/>
    <m/>
    <m/>
    <m/>
    <m/>
    <n v="0"/>
    <m/>
    <m/>
    <m/>
    <m/>
    <m/>
    <m/>
    <n v="0"/>
    <n v="12000"/>
    <n v="162000000"/>
  </r>
  <r>
    <s v="146B/2019"/>
    <d v="2019-04-16T00:00:00"/>
    <s v="KIỀU THY"/>
    <s v="VD07"/>
    <x v="95"/>
    <x v="166"/>
    <s v="AMIGA"/>
    <m/>
    <s v="14.16"/>
    <n v="300"/>
    <s v="NL2018"/>
    <m/>
    <n v="49.666666666666664"/>
    <n v="14900"/>
    <x v="23"/>
    <n v="71520000"/>
    <x v="2"/>
    <d v="2019-09-01T00:00:00"/>
    <d v="2019-09-29T00:00:00"/>
    <d v="2019-09-29T00:00:00"/>
    <s v="TẾT"/>
    <m/>
    <m/>
    <m/>
    <m/>
    <m/>
    <m/>
    <m/>
    <m/>
    <m/>
    <m/>
    <m/>
    <n v="0"/>
    <n v="14900"/>
    <n v="71520000"/>
  </r>
  <r>
    <s v="146B/2019"/>
    <d v="2019-04-16T00:00:00"/>
    <s v="KIỀU THY"/>
    <s v="VD07"/>
    <x v="95"/>
    <x v="167"/>
    <s v="AMIGA"/>
    <m/>
    <s v="16.18"/>
    <n v="200"/>
    <s v="NL2018"/>
    <m/>
    <n v="51"/>
    <n v="10200"/>
    <x v="54"/>
    <n v="65280000"/>
    <x v="2"/>
    <d v="2019-09-01T00:00:00"/>
    <d v="2019-09-29T00:00:00"/>
    <d v="2019-09-29T00:00:00"/>
    <s v="TẾT"/>
    <m/>
    <m/>
    <m/>
    <m/>
    <m/>
    <m/>
    <m/>
    <m/>
    <m/>
    <m/>
    <m/>
    <n v="0"/>
    <n v="10200"/>
    <n v="65280000"/>
  </r>
  <r>
    <s v="179A/2019"/>
    <d v="2019-04-08T00:00:00"/>
    <s v="KIỀU THY"/>
    <s v="VD07"/>
    <x v="95"/>
    <x v="19"/>
    <s v="PAVIA"/>
    <m/>
    <s v="12.14"/>
    <n v="400"/>
    <s v="NL2017"/>
    <m/>
    <n v="75"/>
    <n v="30000"/>
    <x v="19"/>
    <n v="60000000"/>
    <x v="0"/>
    <d v="2019-02-15T00:00:00"/>
    <d v="2019-03-20T00:00:00"/>
    <d v="2019-03-20T00:00:00"/>
    <s v="15/2AL"/>
    <m/>
    <m/>
    <m/>
    <d v="2019-04-09T00:00:00"/>
    <n v="30000"/>
    <m/>
    <m/>
    <m/>
    <m/>
    <m/>
    <m/>
    <n v="30000"/>
    <n v="0"/>
    <n v="0"/>
  </r>
  <r>
    <s v="92B/2019"/>
    <d v="2019-03-07T00:00:00"/>
    <s v="KIỀU THY"/>
    <s v="VD07"/>
    <x v="95"/>
    <x v="168"/>
    <s v="HONESTY"/>
    <m/>
    <s v="16.18"/>
    <n v="200"/>
    <s v="NL2017"/>
    <m/>
    <n v="50"/>
    <n v="10000"/>
    <x v="69"/>
    <n v="33000000"/>
    <x v="0"/>
    <d v="2019-02-07T00:00:00"/>
    <d v="2019-03-12T00:00:00"/>
    <d v="2019-03-12T00:00:00"/>
    <s v="07/2AL"/>
    <m/>
    <m/>
    <s v="R"/>
    <d v="2019-03-12T00:00:00"/>
    <n v="10000"/>
    <m/>
    <m/>
    <m/>
    <m/>
    <m/>
    <m/>
    <n v="10000"/>
    <n v="0"/>
    <n v="0"/>
  </r>
  <r>
    <s v="92B/2019"/>
    <d v="2019-03-07T00:00:00"/>
    <s v="KIỀU THY"/>
    <s v="VD07"/>
    <x v="95"/>
    <x v="19"/>
    <s v="PAVIA"/>
    <m/>
    <s v="12.14"/>
    <n v="400"/>
    <s v="NL2017"/>
    <m/>
    <n v="25"/>
    <n v="10000"/>
    <x v="19"/>
    <n v="20000000"/>
    <x v="0"/>
    <d v="2019-02-15T00:00:00"/>
    <d v="2019-03-20T00:00:00"/>
    <d v="2019-03-20T00:00:00"/>
    <s v="15/2AL"/>
    <s v="CONT 9/2019"/>
    <d v="2019-03-19T00:00:00"/>
    <s v="R"/>
    <d v="2019-03-19T00:00:00"/>
    <n v="10000"/>
    <m/>
    <m/>
    <m/>
    <m/>
    <m/>
    <m/>
    <n v="10000"/>
    <n v="0"/>
    <n v="0"/>
  </r>
  <r>
    <s v="92B/2019"/>
    <d v="2019-03-07T00:00:00"/>
    <s v="KIỀU THY"/>
    <s v="VD07"/>
    <x v="95"/>
    <x v="41"/>
    <s v="PAVIA"/>
    <m/>
    <s v="14.16"/>
    <n v="300"/>
    <s v="NL2018"/>
    <m/>
    <n v="20"/>
    <n v="6000"/>
    <x v="1"/>
    <n v="25200000"/>
    <x v="0"/>
    <d v="2019-02-15T00:00:00"/>
    <d v="2019-03-20T00:00:00"/>
    <d v="2019-03-20T00:00:00"/>
    <s v="15/2AL"/>
    <s v="CONT 10/2019"/>
    <d v="2019-03-19T00:00:00"/>
    <s v="R"/>
    <d v="2019-03-19T00:00:00"/>
    <n v="6000"/>
    <m/>
    <m/>
    <m/>
    <m/>
    <m/>
    <m/>
    <n v="6000"/>
    <n v="0"/>
    <n v="0"/>
  </r>
  <r>
    <s v="92B/2019"/>
    <d v="2019-03-07T00:00:00"/>
    <s v="KIỀU THY"/>
    <s v="VD07"/>
    <x v="95"/>
    <x v="1"/>
    <s v="EREMO"/>
    <m/>
    <s v="14.16"/>
    <n v="300"/>
    <s v="NL2018"/>
    <m/>
    <n v="50"/>
    <n v="15000"/>
    <x v="57"/>
    <n v="60000000"/>
    <x v="0"/>
    <d v="2019-03-15T00:00:00"/>
    <d v="2019-04-19T00:00:00"/>
    <d v="2019-04-19T00:00:00"/>
    <s v="15/3AL"/>
    <s v="CONT 21/2019"/>
    <d v="2019-04-14T00:00:00"/>
    <s v="R"/>
    <d v="2019-04-17T00:00:00"/>
    <n v="15000"/>
    <m/>
    <m/>
    <m/>
    <m/>
    <m/>
    <m/>
    <n v="15000"/>
    <n v="0"/>
    <n v="0"/>
  </r>
  <r>
    <s v="92B/2019"/>
    <d v="2019-03-07T00:00:00"/>
    <s v="KIỀU THY"/>
    <s v="VD07"/>
    <x v="95"/>
    <x v="41"/>
    <s v="PAVIA"/>
    <m/>
    <s v="14.16"/>
    <n v="300"/>
    <s v="NL2018"/>
    <m/>
    <n v="67"/>
    <n v="20100"/>
    <x v="1"/>
    <n v="84420000"/>
    <x v="0"/>
    <d v="2019-03-15T00:00:00"/>
    <d v="2019-04-19T00:00:00"/>
    <d v="2019-04-19T00:00:00"/>
    <s v="15/3AL"/>
    <s v="CONT 23/2019"/>
    <d v="2019-04-14T00:00:00"/>
    <s v="R"/>
    <d v="2019-04-17T00:00:00"/>
    <n v="20100"/>
    <m/>
    <m/>
    <m/>
    <m/>
    <m/>
    <m/>
    <n v="20100"/>
    <n v="0"/>
    <n v="0"/>
  </r>
  <r>
    <s v="92B/2019"/>
    <d v="2019-03-07T00:00:00"/>
    <s v="KIỀU THY"/>
    <s v="VD07"/>
    <x v="95"/>
    <x v="4"/>
    <s v="TEBALDI"/>
    <m/>
    <s v="14.16"/>
    <n v="300"/>
    <s v="NL2018"/>
    <m/>
    <n v="51"/>
    <n v="15300"/>
    <x v="3"/>
    <n v="62730000"/>
    <x v="0"/>
    <d v="2019-03-15T00:00:00"/>
    <d v="2019-04-19T00:00:00"/>
    <d v="2019-04-19T00:00:00"/>
    <s v="15/3AL"/>
    <s v="CONT 23/2019"/>
    <d v="2019-04-14T00:00:00"/>
    <s v="R"/>
    <d v="2019-04-17T00:00:00"/>
    <n v="15300"/>
    <m/>
    <m/>
    <m/>
    <m/>
    <m/>
    <m/>
    <n v="15300"/>
    <n v="0"/>
    <n v="0"/>
  </r>
  <r>
    <s v="92B/2019"/>
    <d v="2019-04-16T00:00:00"/>
    <s v="KIỀU THY"/>
    <s v="VD07"/>
    <x v="95"/>
    <x v="11"/>
    <s v="YELLOWEEN"/>
    <m/>
    <s v="12.14"/>
    <n v="400"/>
    <s v="NL2018"/>
    <m/>
    <n v="20"/>
    <n v="8000"/>
    <x v="47"/>
    <n v="21600000"/>
    <x v="0"/>
    <d v="2019-03-15T00:00:00"/>
    <d v="2019-04-19T00:00:00"/>
    <d v="2019-04-19T00:00:00"/>
    <s v="15/3AL"/>
    <m/>
    <m/>
    <m/>
    <d v="2019-04-17T00:00:00"/>
    <n v="8000"/>
    <m/>
    <m/>
    <m/>
    <m/>
    <m/>
    <m/>
    <n v="8000"/>
    <n v="0"/>
    <n v="0"/>
  </r>
  <r>
    <s v="92B/2019"/>
    <d v="2019-04-29T00:00:00"/>
    <s v="KIỀU THY"/>
    <s v="VD07"/>
    <x v="95"/>
    <x v="11"/>
    <s v="YELLOWEEN"/>
    <m/>
    <s v="12.14"/>
    <n v="400"/>
    <s v="NL2018"/>
    <m/>
    <n v="25"/>
    <n v="10000"/>
    <x v="47"/>
    <n v="27000000"/>
    <x v="0"/>
    <d v="2019-03-15T00:00:00"/>
    <d v="2019-04-19T00:00:00"/>
    <d v="2019-04-19T00:00:00"/>
    <s v="15/3AL"/>
    <m/>
    <m/>
    <m/>
    <d v="2019-04-29T00:00:00"/>
    <n v="10000"/>
    <m/>
    <m/>
    <m/>
    <m/>
    <m/>
    <m/>
    <n v="10000"/>
    <n v="0"/>
    <n v="0"/>
  </r>
  <r>
    <s v="92B/2019"/>
    <d v="2019-03-07T00:00:00"/>
    <s v="KIỀU THY"/>
    <s v="VD07"/>
    <x v="95"/>
    <x v="3"/>
    <s v="PAVIA"/>
    <m/>
    <s v="12.14"/>
    <n v="400"/>
    <s v="NL2018"/>
    <m/>
    <n v="31"/>
    <n v="12400"/>
    <x v="4"/>
    <n v="34720000"/>
    <x v="0"/>
    <s v="29-Feb-19"/>
    <d v="2019-04-03T00:00:00"/>
    <d v="2019-04-03T00:00:00"/>
    <s v="30/2AL"/>
    <s v="CONT 14/2019"/>
    <d v="2019-03-31T00:00:00"/>
    <s v="R"/>
    <d v="2019-04-03T00:00:00"/>
    <n v="12400"/>
    <m/>
    <m/>
    <m/>
    <m/>
    <m/>
    <m/>
    <n v="12400"/>
    <n v="0"/>
    <n v="0"/>
  </r>
  <r>
    <s v="92B/2019"/>
    <d v="2019-03-07T00:00:00"/>
    <s v="KIỀU THY"/>
    <s v="VD07"/>
    <x v="95"/>
    <x v="4"/>
    <s v="TEBALDI"/>
    <m/>
    <s v="14.16"/>
    <n v="300"/>
    <s v="NL2018"/>
    <m/>
    <n v="56"/>
    <n v="16800"/>
    <x v="3"/>
    <n v="68880000"/>
    <x v="0"/>
    <s v="29-Feb-19"/>
    <d v="2019-04-03T00:00:00"/>
    <d v="2019-04-03T00:00:00"/>
    <s v="30/2AL"/>
    <s v="CONT 15/2019"/>
    <d v="2019-03-31T00:00:00"/>
    <s v="R"/>
    <d v="2019-04-03T00:00:00"/>
    <n v="16800"/>
    <m/>
    <m/>
    <m/>
    <m/>
    <m/>
    <m/>
    <n v="16800"/>
    <n v="0"/>
    <n v="0"/>
  </r>
  <r>
    <s v="169A/2019"/>
    <d v="2019-02-11T00:00:00"/>
    <s v="KIỀU THY"/>
    <s v="TV06"/>
    <x v="96"/>
    <x v="9"/>
    <s v="MANISSA"/>
    <m/>
    <s v="22.24"/>
    <n v="100"/>
    <s v="NL2018"/>
    <m/>
    <n v="100"/>
    <n v="10000"/>
    <x v="38"/>
    <n v="152000000"/>
    <x v="2"/>
    <d v="2019-09-01T00:00:00"/>
    <d v="2019-09-29T00:00:00"/>
    <d v="2019-09-29T00:00:00"/>
    <s v="TẾT"/>
    <m/>
    <m/>
    <m/>
    <m/>
    <n v="0"/>
    <m/>
    <m/>
    <m/>
    <m/>
    <m/>
    <m/>
    <n v="0"/>
    <n v="10000"/>
    <n v="152000000"/>
  </r>
  <r>
    <s v="41A/2019"/>
    <d v="2019-02-11T00:00:00"/>
    <s v="KIỀU THY"/>
    <s v="TV06"/>
    <x v="96"/>
    <x v="38"/>
    <s v="YELLOWEEN"/>
    <m/>
    <s v="16.18"/>
    <n v="200"/>
    <s v="NL2018"/>
    <m/>
    <n v="75"/>
    <n v="15000"/>
    <x v="18"/>
    <n v="75000000"/>
    <x v="0"/>
    <d v="2019-01-15T00:00:00"/>
    <d v="2019-02-19T00:00:00"/>
    <d v="2019-02-19T00:00:00"/>
    <s v="15/1AL"/>
    <m/>
    <m/>
    <s v="R"/>
    <d v="2019-03-02T00:00:00"/>
    <n v="5000"/>
    <d v="2019-03-13T00:00:00"/>
    <n v="5000"/>
    <d v="2019-03-20T00:00:00"/>
    <n v="5000"/>
    <m/>
    <m/>
    <n v="15000"/>
    <n v="0"/>
    <n v="0"/>
  </r>
  <r>
    <s v="41A/2019"/>
    <d v="2019-02-11T00:00:00"/>
    <s v="KIỀU THY"/>
    <s v="TV06"/>
    <x v="96"/>
    <x v="22"/>
    <s v="ROBINA"/>
    <m/>
    <s v="16.18"/>
    <n v="200"/>
    <s v="NL2018"/>
    <m/>
    <n v="50"/>
    <n v="10000"/>
    <x v="23"/>
    <n v="48000000"/>
    <x v="0"/>
    <d v="2019-02-15T00:00:00"/>
    <d v="2019-03-20T00:00:00"/>
    <d v="2019-03-20T00:00:00"/>
    <s v="15/2AL"/>
    <s v="CONT 11/2019"/>
    <d v="2019-03-17T00:00:00"/>
    <s v="R"/>
    <d v="2019-04-03T00:00:00"/>
    <n v="5000"/>
    <d v="2019-04-26T00:00:00"/>
    <n v="5000"/>
    <m/>
    <m/>
    <m/>
    <m/>
    <n v="10000"/>
    <n v="0"/>
    <n v="0"/>
  </r>
  <r>
    <s v="41A/2019"/>
    <d v="2019-02-11T00:00:00"/>
    <s v="KIỀU THY"/>
    <s v="TV06"/>
    <x v="96"/>
    <x v="28"/>
    <s v="YELLOWEEN"/>
    <m/>
    <s v="14.16"/>
    <n v="300"/>
    <s v="NL2018"/>
    <m/>
    <n v="34"/>
    <n v="10200"/>
    <x v="6"/>
    <n v="38760000"/>
    <x v="0"/>
    <d v="2019-02-15T00:00:00"/>
    <d v="2019-03-20T00:00:00"/>
    <d v="2019-03-20T00:00:00"/>
    <s v="15/2AL"/>
    <s v="CONT 12/2019"/>
    <d v="2019-03-17T00:00:00"/>
    <s v="R"/>
    <d v="2019-04-05T00:00:00"/>
    <n v="10200"/>
    <m/>
    <m/>
    <m/>
    <m/>
    <m/>
    <m/>
    <n v="10200"/>
    <n v="0"/>
    <n v="0"/>
  </r>
  <r>
    <s v="41A/2019"/>
    <d v="2019-02-11T00:00:00"/>
    <s v="KIỀU THY"/>
    <s v="TV06"/>
    <x v="96"/>
    <x v="15"/>
    <s v="CONCADOR "/>
    <m/>
    <s v="16.18"/>
    <n v="200"/>
    <s v="NL2018"/>
    <m/>
    <n v="10"/>
    <n v="2000"/>
    <x v="0"/>
    <n v="9400000"/>
    <x v="0"/>
    <d v="2019-03-15T00:00:00"/>
    <d v="2019-04-19T00:00:00"/>
    <d v="2019-04-19T00:00:00"/>
    <s v="15/3AL"/>
    <m/>
    <m/>
    <m/>
    <d v="2019-04-19T00:00:00"/>
    <n v="2000"/>
    <m/>
    <m/>
    <m/>
    <m/>
    <m/>
    <m/>
    <n v="2000"/>
    <n v="0"/>
    <n v="0"/>
  </r>
  <r>
    <s v="41A/2019"/>
    <d v="2019-02-11T00:00:00"/>
    <s v="KIỀU THY"/>
    <s v="TV06"/>
    <x v="96"/>
    <x v="80"/>
    <s v="PROFUNDO"/>
    <m/>
    <s v="14.16"/>
    <n v="300"/>
    <s v="NL2018"/>
    <m/>
    <n v="34"/>
    <n v="10200"/>
    <x v="82"/>
    <n v="53040000"/>
    <x v="3"/>
    <d v="2019-06-15T00:00:00"/>
    <d v="2019-07-17T00:00:00"/>
    <d v="2019-07-17T00:00:00"/>
    <s v="17/4AL"/>
    <m/>
    <m/>
    <s v="R"/>
    <m/>
    <n v="0"/>
    <m/>
    <m/>
    <m/>
    <m/>
    <m/>
    <m/>
    <n v="0"/>
    <n v="10200"/>
    <n v="53040000"/>
  </r>
  <r>
    <s v="41A/2019"/>
    <d v="2019-06-01T00:00:00"/>
    <s v="KIỀU THY"/>
    <s v="TV06"/>
    <x v="96"/>
    <x v="80"/>
    <s v="PROFUNDO"/>
    <m/>
    <s v="14.16"/>
    <n v="300"/>
    <s v="NL2018"/>
    <m/>
    <n v="34"/>
    <n v="10200"/>
    <x v="78"/>
    <n v="52020000"/>
    <x v="0"/>
    <d v="2019-05-05T00:00:00"/>
    <d v="2019-06-07T00:00:00"/>
    <d v="2019-06-07T00:00:00"/>
    <m/>
    <m/>
    <m/>
    <m/>
    <d v="2019-06-14T00:00:00"/>
    <n v="10200"/>
    <m/>
    <m/>
    <m/>
    <m/>
    <m/>
    <m/>
    <n v="10200"/>
    <n v="0"/>
    <n v="0"/>
  </r>
  <r>
    <s v="41A/2019"/>
    <d v="2019-02-11T00:00:00"/>
    <s v="KIỀU THY"/>
    <s v="TV06"/>
    <x v="96"/>
    <x v="5"/>
    <s v="PROFUNDO"/>
    <m/>
    <s v="16.18"/>
    <n v="200"/>
    <s v="NL2018"/>
    <m/>
    <n v="0"/>
    <n v="0"/>
    <x v="45"/>
    <n v="0"/>
    <x v="1"/>
    <d v="2019-04-17T00:00:00"/>
    <d v="2019-05-21T00:00:00"/>
    <d v="2019-05-21T00:00:00"/>
    <s v="17/4AL"/>
    <m/>
    <m/>
    <s v="R"/>
    <m/>
    <n v="0"/>
    <m/>
    <m/>
    <m/>
    <m/>
    <m/>
    <m/>
    <n v="0"/>
    <n v="0"/>
    <n v="0"/>
  </r>
  <r>
    <s v="41A/2019"/>
    <d v="2019-02-11T00:00:00"/>
    <s v="KIỀU THY"/>
    <s v="TV06"/>
    <x v="96"/>
    <x v="15"/>
    <s v="CONCADOR "/>
    <m/>
    <s v="16.18"/>
    <n v="200"/>
    <s v="NL2018"/>
    <m/>
    <n v="40"/>
    <n v="8000"/>
    <x v="0"/>
    <n v="37600000"/>
    <x v="0"/>
    <s v="30-Feb-19"/>
    <d v="2019-04-04T00:00:00"/>
    <d v="2019-04-04T00:00:00"/>
    <s v="30/2AL"/>
    <s v="CONT 17/2019"/>
    <d v="2019-03-31T00:00:00"/>
    <s v="R"/>
    <d v="2019-04-12T00:00:00"/>
    <n v="8000"/>
    <m/>
    <m/>
    <m/>
    <m/>
    <m/>
    <m/>
    <n v="8000"/>
    <n v="0"/>
    <n v="0"/>
  </r>
  <r>
    <s v="41A/2019"/>
    <d v="2019-02-11T00:00:00"/>
    <s v="KIỀU THY"/>
    <s v="TV06"/>
    <x v="96"/>
    <x v="80"/>
    <s v="PROFUNDO"/>
    <m/>
    <s v="14.16"/>
    <n v="300"/>
    <s v="NL2018"/>
    <m/>
    <n v="17"/>
    <n v="5100"/>
    <x v="23"/>
    <n v="24480000"/>
    <x v="0"/>
    <s v="30-Feb-19"/>
    <d v="2019-04-04T00:00:00"/>
    <d v="2019-04-04T00:00:00"/>
    <s v="30/2AL"/>
    <s v="CONT 15/2019"/>
    <d v="2019-03-31T00:00:00"/>
    <s v="R"/>
    <d v="2019-04-19T00:00:00"/>
    <n v="5100"/>
    <m/>
    <m/>
    <m/>
    <m/>
    <m/>
    <m/>
    <n v="5100"/>
    <n v="0"/>
    <n v="0"/>
  </r>
  <r>
    <s v="41A/2019"/>
    <d v="2019-02-11T00:00:00"/>
    <s v="KIỀU THY"/>
    <s v="TV06"/>
    <x v="96"/>
    <x v="5"/>
    <s v="PROFUNDO"/>
    <m/>
    <s v="16.18"/>
    <n v="200"/>
    <s v="NL2018"/>
    <m/>
    <n v="25"/>
    <n v="5000"/>
    <x v="45"/>
    <n v="33500000"/>
    <x v="0"/>
    <s v="30-Feb-19"/>
    <d v="2019-04-04T00:00:00"/>
    <d v="2019-04-04T00:00:00"/>
    <s v="30/2AL"/>
    <s v="CONT 17/2019"/>
    <d v="2019-03-31T00:00:00"/>
    <s v="R"/>
    <d v="2019-04-05T00:00:00"/>
    <n v="5000"/>
    <m/>
    <m/>
    <m/>
    <m/>
    <m/>
    <m/>
    <n v="5000"/>
    <n v="0"/>
    <n v="0"/>
  </r>
  <r>
    <s v="144B/2019"/>
    <d v="2019-03-23T00:00:00"/>
    <s v="THANH THÚY"/>
    <s v="TA01"/>
    <x v="97"/>
    <x v="24"/>
    <s v="SERANO"/>
    <m/>
    <s v="14.16"/>
    <n v="300"/>
    <s v="NL2018"/>
    <m/>
    <n v="0"/>
    <n v="0"/>
    <x v="25"/>
    <n v="0"/>
    <x v="1"/>
    <d v="2019-02-15T00:00:00"/>
    <s v=""/>
    <s v=""/>
    <s v="15/2AL"/>
    <m/>
    <m/>
    <m/>
    <m/>
    <m/>
    <m/>
    <m/>
    <m/>
    <m/>
    <m/>
    <m/>
    <n v="0"/>
    <n v="0"/>
    <n v="0"/>
  </r>
  <r>
    <s v="144B/2019"/>
    <d v="2019-05-04T00:00:00"/>
    <s v="THANH THÚY"/>
    <s v="TA01"/>
    <x v="97"/>
    <x v="28"/>
    <s v="YELLOWEEN"/>
    <m/>
    <s v="14.16"/>
    <n v="300"/>
    <s v="NL2018"/>
    <m/>
    <n v="5"/>
    <n v="1500"/>
    <x v="6"/>
    <n v="5700000"/>
    <x v="0"/>
    <d v="2019-03-15T00:00:00"/>
    <s v=""/>
    <s v=""/>
    <m/>
    <m/>
    <m/>
    <m/>
    <d v="2019-05-04T00:00:00"/>
    <n v="1500"/>
    <m/>
    <m/>
    <m/>
    <m/>
    <m/>
    <m/>
    <n v="1500"/>
    <n v="0"/>
    <n v="0"/>
  </r>
  <r>
    <s v="232/2019"/>
    <d v="2019-05-30T00:00:00"/>
    <s v="KIỀU THY"/>
    <s v="TA01"/>
    <x v="97"/>
    <x v="110"/>
    <s v="CONCADOR NEWZELAND"/>
    <m/>
    <s v="20.22"/>
    <s v="125"/>
    <s v="NZ2019"/>
    <m/>
    <n v="144"/>
    <n v="18000"/>
    <x v="53"/>
    <n v="216000000"/>
    <x v="2"/>
    <d v="2019-09-01T00:00:00"/>
    <s v=""/>
    <s v=""/>
    <m/>
    <m/>
    <m/>
    <m/>
    <m/>
    <m/>
    <m/>
    <m/>
    <m/>
    <m/>
    <m/>
    <m/>
    <n v="0"/>
    <n v="18000"/>
    <n v="216000000"/>
  </r>
  <r>
    <s v="232/2019"/>
    <d v="2019-05-30T00:00:00"/>
    <s v="KIỀU THY"/>
    <s v="TA01"/>
    <x v="97"/>
    <x v="6"/>
    <s v="CONCADOR"/>
    <m/>
    <s v="20.22"/>
    <s v="125"/>
    <s v="NL2018"/>
    <m/>
    <n v="0"/>
    <n v="0"/>
    <x v="7"/>
    <n v="0"/>
    <x v="1"/>
    <d v="2019-09-01T00:00:00"/>
    <s v=""/>
    <s v=""/>
    <m/>
    <m/>
    <m/>
    <m/>
    <m/>
    <m/>
    <m/>
    <m/>
    <m/>
    <m/>
    <m/>
    <m/>
    <n v="0"/>
    <n v="0"/>
    <n v="0"/>
  </r>
  <r>
    <s v="232/2019"/>
    <d v="2019-05-30T00:00:00"/>
    <s v="KIỀU THY"/>
    <s v="TA01"/>
    <x v="97"/>
    <x v="16"/>
    <s v="ROBINA"/>
    <m/>
    <s v="20.22"/>
    <s v="125"/>
    <s v="NL2018"/>
    <m/>
    <n v="0"/>
    <n v="0"/>
    <x v="16"/>
    <n v="0"/>
    <x v="1"/>
    <d v="2019-09-01T00:00:00"/>
    <s v=""/>
    <s v=""/>
    <m/>
    <m/>
    <m/>
    <m/>
    <m/>
    <m/>
    <m/>
    <m/>
    <m/>
    <m/>
    <m/>
    <m/>
    <n v="0"/>
    <n v="0"/>
    <n v="0"/>
  </r>
  <r>
    <s v="232/2019"/>
    <d v="2019-05-30T00:00:00"/>
    <s v="KIỀU THY"/>
    <s v="TA01"/>
    <x v="97"/>
    <x v="108"/>
    <s v="ROBINA NEWZELAND"/>
    <m/>
    <s v="20.22"/>
    <s v="125"/>
    <s v="NZ2019"/>
    <m/>
    <n v="16"/>
    <n v="2000"/>
    <x v="29"/>
    <n v="25000000"/>
    <x v="2"/>
    <d v="2019-09-01T00:00:00"/>
    <s v=""/>
    <s v=""/>
    <m/>
    <m/>
    <m/>
    <m/>
    <m/>
    <m/>
    <m/>
    <m/>
    <m/>
    <m/>
    <m/>
    <m/>
    <n v="0"/>
    <n v="2000"/>
    <n v="25000000"/>
  </r>
  <r>
    <s v="232/2019"/>
    <d v="2019-05-30T00:00:00"/>
    <s v="KIỀU THY"/>
    <s v="TA01"/>
    <x v="97"/>
    <x v="109"/>
    <s v="ROBINA NEWZELAND"/>
    <m/>
    <s v="22.24"/>
    <s v="100"/>
    <s v="NZ2019"/>
    <m/>
    <n v="50"/>
    <n v="5000"/>
    <x v="40"/>
    <n v="65000000"/>
    <x v="2"/>
    <d v="2019-09-01T00:00:00"/>
    <s v=""/>
    <s v=""/>
    <m/>
    <m/>
    <m/>
    <m/>
    <m/>
    <m/>
    <m/>
    <m/>
    <m/>
    <m/>
    <m/>
    <m/>
    <n v="0"/>
    <n v="5000"/>
    <n v="65000000"/>
  </r>
  <r>
    <s v="176B/2019"/>
    <d v="2019-04-24T00:00:00"/>
    <s v="THANH THÚY"/>
    <s v="TH15"/>
    <x v="98"/>
    <x v="62"/>
    <s v="BACARDI"/>
    <m/>
    <s v="15.16"/>
    <s v="300"/>
    <s v="NL2018"/>
    <m/>
    <n v="20"/>
    <n v="6000"/>
    <x v="13"/>
    <n v="27000000"/>
    <x v="0"/>
    <d v="2019-03-15T00:00:00"/>
    <d v="2019-04-19T00:00:00"/>
    <d v="2019-04-19T00:00:00"/>
    <s v="15/3AL"/>
    <m/>
    <m/>
    <m/>
    <d v="2019-04-24T00:00:00"/>
    <n v="3000"/>
    <d v="2019-04-26T00:00:00"/>
    <s v="3000"/>
    <m/>
    <m/>
    <m/>
    <m/>
    <n v="6000"/>
    <n v="0"/>
    <n v="0"/>
  </r>
  <r>
    <s v="176B/2019"/>
    <d v="2019-04-24T00:00:00"/>
    <s v="THANH THÚY"/>
    <s v="TH15"/>
    <x v="98"/>
    <x v="61"/>
    <s v="BACARDI"/>
    <m/>
    <s v="15.16"/>
    <s v="250"/>
    <s v="NL2018"/>
    <m/>
    <n v="20"/>
    <n v="5000"/>
    <x v="13"/>
    <n v="22500000"/>
    <x v="0"/>
    <d v="2019-03-15T00:00:00"/>
    <d v="2019-04-19T00:00:00"/>
    <d v="2019-04-19T00:00:00"/>
    <s v="15/3AL"/>
    <m/>
    <m/>
    <m/>
    <d v="2019-04-24T00:00:00"/>
    <n v="3000"/>
    <d v="2019-04-26T00:00:00"/>
    <s v="2000"/>
    <m/>
    <m/>
    <m/>
    <m/>
    <n v="5000"/>
    <n v="0"/>
    <n v="0"/>
  </r>
  <r>
    <s v="176B/2019"/>
    <d v="2019-04-24T00:00:00"/>
    <s v="THANH THÚY"/>
    <s v="TH15"/>
    <x v="98"/>
    <x v="22"/>
    <s v="ROBINA"/>
    <m/>
    <s v="16.18"/>
    <s v="200"/>
    <s v="NL2018"/>
    <m/>
    <n v="50"/>
    <n v="10000"/>
    <x v="44"/>
    <n v="55000000"/>
    <x v="3"/>
    <d v="2019-05-18T00:00:00"/>
    <d v="2019-06-20T00:00:00"/>
    <d v="2019-06-20T00:00:00"/>
    <s v="02/5AL"/>
    <m/>
    <m/>
    <m/>
    <m/>
    <m/>
    <m/>
    <m/>
    <m/>
    <m/>
    <m/>
    <m/>
    <n v="0"/>
    <n v="10000"/>
    <n v="55000000"/>
  </r>
  <r>
    <s v="176B/2019"/>
    <d v="2019-04-24T00:00:00"/>
    <s v="THANH THÚY"/>
    <s v="TH15"/>
    <x v="98"/>
    <x v="47"/>
    <s v="ROBINA"/>
    <m/>
    <s v="18.20"/>
    <s v="150"/>
    <s v="NL2018"/>
    <m/>
    <n v="67"/>
    <n v="10050"/>
    <x v="80"/>
    <n v="73365000"/>
    <x v="4"/>
    <d v="2019-04-29T00:00:00"/>
    <d v="2019-06-02T00:00:00"/>
    <d v="2019-06-02T00:00:00"/>
    <s v="29/4AL"/>
    <m/>
    <m/>
    <m/>
    <m/>
    <m/>
    <m/>
    <m/>
    <m/>
    <m/>
    <m/>
    <m/>
    <n v="0"/>
    <n v="10050"/>
    <n v="73365000"/>
  </r>
  <r>
    <s v="202A/2019"/>
    <d v="2019-04-11T00:00:00"/>
    <s v="KIỀU THY"/>
    <s v="TS05"/>
    <x v="99"/>
    <x v="103"/>
    <s v="LARGO"/>
    <m/>
    <s v="16.18"/>
    <s v="200"/>
    <s v="NL2018"/>
    <m/>
    <n v="10"/>
    <n v="2000"/>
    <x v="24"/>
    <n v="11400000"/>
    <x v="4"/>
    <d v="2019-05-05T00:00:00"/>
    <d v="2019-06-07T00:00:00"/>
    <d v="2019-06-07T00:00:00"/>
    <m/>
    <m/>
    <m/>
    <m/>
    <d v="2019-06-10T00:00:00"/>
    <n v="1000"/>
    <m/>
    <m/>
    <m/>
    <m/>
    <m/>
    <m/>
    <n v="1000"/>
    <n v="1000"/>
    <n v="5700000"/>
  </r>
  <r>
    <s v="202A/2019"/>
    <d v="2019-06-04T00:00:00"/>
    <s v="KIỀU THY"/>
    <s v="TS05"/>
    <x v="99"/>
    <x v="54"/>
    <s v="MALDANO"/>
    <m/>
    <s v="14.16"/>
    <s v="300"/>
    <s v="NL2018"/>
    <m/>
    <n v="4"/>
    <n v="1200"/>
    <x v="57"/>
    <n v="4800000"/>
    <x v="0"/>
    <d v="2019-05-05T00:00:00"/>
    <d v="2019-06-07T00:00:00"/>
    <d v="2019-06-07T00:00:00"/>
    <m/>
    <m/>
    <m/>
    <m/>
    <d v="2019-06-10T00:00:00"/>
    <n v="1200"/>
    <m/>
    <m/>
    <m/>
    <m/>
    <m/>
    <m/>
    <n v="1200"/>
    <n v="0"/>
    <n v="0"/>
  </r>
  <r>
    <s v="202A/2019"/>
    <d v="2019-04-11T00:00:00"/>
    <s v="KIỀU THY"/>
    <s v="TS05"/>
    <x v="99"/>
    <x v="2"/>
    <s v="NASHVILLE"/>
    <m/>
    <s v="14.16"/>
    <s v="300"/>
    <s v="NL2018"/>
    <m/>
    <n v="0"/>
    <n v="0"/>
    <x v="56"/>
    <n v="0"/>
    <x v="1"/>
    <d v="2019-05-30T00:00:00"/>
    <d v="2019-07-02T00:00:00"/>
    <d v="2019-07-02T00:00:00"/>
    <m/>
    <m/>
    <m/>
    <m/>
    <m/>
    <m/>
    <m/>
    <m/>
    <m/>
    <m/>
    <m/>
    <m/>
    <n v="0"/>
    <n v="0"/>
    <n v="0"/>
  </r>
  <r>
    <s v="202A/2019"/>
    <d v="2019-04-11T00:00:00"/>
    <s v="KIỀU THY"/>
    <s v="TS05"/>
    <x v="99"/>
    <x v="29"/>
    <s v="MANISSA"/>
    <m/>
    <s v="16.18"/>
    <s v="200"/>
    <s v="NL2018"/>
    <m/>
    <n v="14"/>
    <n v="2800"/>
    <x v="164"/>
    <n v="19432000"/>
    <x v="4"/>
    <d v="2019-03-15T00:00:00"/>
    <d v="2019-04-19T00:00:00"/>
    <d v="2019-04-19T00:00:00"/>
    <m/>
    <m/>
    <m/>
    <m/>
    <d v="2019-05-28T00:00:00"/>
    <n v="1000"/>
    <m/>
    <m/>
    <m/>
    <m/>
    <m/>
    <m/>
    <n v="1000"/>
    <n v="1800"/>
    <n v="12492000"/>
  </r>
  <r>
    <s v="202A/2019"/>
    <d v="2019-04-11T00:00:00"/>
    <s v="KIỀU THY"/>
    <s v="TS05"/>
    <x v="99"/>
    <x v="11"/>
    <s v="YELLOWEEN"/>
    <m/>
    <s v="12.14"/>
    <s v="400"/>
    <s v="NL2018"/>
    <m/>
    <n v="5"/>
    <n v="2000"/>
    <x v="47"/>
    <n v="5400000"/>
    <x v="0"/>
    <d v="2019-03-15T00:00:00"/>
    <d v="2019-04-19T00:00:00"/>
    <d v="2019-04-19T00:00:00"/>
    <m/>
    <m/>
    <m/>
    <m/>
    <d v="2019-05-28T00:00:00"/>
    <n v="2000"/>
    <m/>
    <m/>
    <m/>
    <m/>
    <m/>
    <m/>
    <n v="2000"/>
    <n v="0"/>
    <n v="0"/>
  </r>
  <r>
    <s v="225A/2019"/>
    <d v="2019-05-28T00:00:00"/>
    <s v="KIỀU THY"/>
    <s v="TS05"/>
    <x v="99"/>
    <x v="6"/>
    <s v="CONCADOR"/>
    <m/>
    <s v="20.22"/>
    <s v="125"/>
    <s v="NL2018"/>
    <m/>
    <n v="16"/>
    <n v="2000"/>
    <x v="7"/>
    <n v="21200000"/>
    <x v="2"/>
    <d v="2019-09-01T00:00:00"/>
    <d v="2019-09-29T00:00:00"/>
    <d v="2019-09-29T00:00:00"/>
    <m/>
    <m/>
    <m/>
    <m/>
    <m/>
    <m/>
    <m/>
    <m/>
    <m/>
    <m/>
    <m/>
    <m/>
    <n v="0"/>
    <n v="2000"/>
    <n v="21200000"/>
  </r>
  <r>
    <s v="225A/2019"/>
    <d v="2019-05-28T00:00:00"/>
    <s v="KIỀU THY"/>
    <s v="TS05"/>
    <x v="99"/>
    <x v="45"/>
    <s v="CONCADOR"/>
    <m/>
    <s v="24.26"/>
    <s v="80"/>
    <s v="NL2018"/>
    <m/>
    <n v="25"/>
    <n v="2000"/>
    <x v="38"/>
    <n v="30400000"/>
    <x v="2"/>
    <d v="2019-09-01T00:00:00"/>
    <d v="2019-09-29T00:00:00"/>
    <d v="2019-09-29T00:00:00"/>
    <m/>
    <m/>
    <m/>
    <m/>
    <m/>
    <m/>
    <m/>
    <m/>
    <m/>
    <m/>
    <m/>
    <m/>
    <n v="0"/>
    <n v="2000"/>
    <n v="30400000"/>
  </r>
  <r>
    <s v="225A/2019"/>
    <d v="2019-05-28T00:00:00"/>
    <s v="KIỀU THY"/>
    <s v="TS05"/>
    <x v="99"/>
    <x v="103"/>
    <s v="LARGO"/>
    <m/>
    <s v="16.18"/>
    <s v="200"/>
    <s v="NL2018"/>
    <m/>
    <n v="5"/>
    <n v="1000"/>
    <x v="20"/>
    <n v="6100000"/>
    <x v="2"/>
    <d v="2019-09-01T00:00:00"/>
    <d v="2019-09-29T00:00:00"/>
    <d v="2019-09-29T00:00:00"/>
    <m/>
    <m/>
    <m/>
    <m/>
    <m/>
    <m/>
    <m/>
    <m/>
    <m/>
    <m/>
    <m/>
    <m/>
    <n v="0"/>
    <n v="1000"/>
    <n v="6100000"/>
  </r>
  <r>
    <s v="225A/2019"/>
    <d v="2019-05-28T00:00:00"/>
    <s v="KIỀU THY"/>
    <s v="TS05"/>
    <x v="99"/>
    <x v="104"/>
    <s v="LARGO"/>
    <m/>
    <s v="22.24"/>
    <s v="100"/>
    <s v="NL2018"/>
    <m/>
    <n v="20"/>
    <n v="2000"/>
    <x v="110"/>
    <n v="22800000"/>
    <x v="2"/>
    <d v="2019-09-01T00:00:00"/>
    <d v="2019-09-29T00:00:00"/>
    <d v="2019-09-29T00:00:00"/>
    <m/>
    <m/>
    <m/>
    <m/>
    <m/>
    <m/>
    <m/>
    <m/>
    <m/>
    <m/>
    <m/>
    <m/>
    <n v="0"/>
    <n v="2000"/>
    <n v="22800000"/>
  </r>
  <r>
    <s v="225A/2019"/>
    <d v="2019-05-28T00:00:00"/>
    <s v="KIỀU THY"/>
    <s v="TS05"/>
    <x v="99"/>
    <x v="141"/>
    <s v="MANISSA"/>
    <m/>
    <s v="18.20"/>
    <s v="150"/>
    <s v="NL2018"/>
    <m/>
    <n v="14"/>
    <n v="2100"/>
    <x v="165"/>
    <n v="21630000"/>
    <x v="2"/>
    <d v="2019-09-01T00:00:00"/>
    <d v="2019-09-29T00:00:00"/>
    <d v="2019-09-29T00:00:00"/>
    <m/>
    <m/>
    <m/>
    <m/>
    <m/>
    <m/>
    <m/>
    <m/>
    <m/>
    <m/>
    <m/>
    <m/>
    <n v="0"/>
    <n v="2100"/>
    <n v="21630000"/>
  </r>
  <r>
    <s v="225A/2019"/>
    <d v="2019-05-28T00:00:00"/>
    <s v="KIỀU THY"/>
    <s v="TS05"/>
    <x v="99"/>
    <x v="150"/>
    <s v="TRESOR"/>
    <m/>
    <s v="16.18"/>
    <s v="200"/>
    <s v="NL2018"/>
    <m/>
    <n v="5"/>
    <n v="1000"/>
    <x v="33"/>
    <n v="7000000"/>
    <x v="2"/>
    <d v="2019-09-01T00:00:00"/>
    <d v="2019-09-29T00:00:00"/>
    <d v="2019-09-29T00:00:00"/>
    <m/>
    <m/>
    <m/>
    <m/>
    <m/>
    <m/>
    <m/>
    <m/>
    <m/>
    <m/>
    <m/>
    <m/>
    <n v="0"/>
    <n v="1000"/>
    <n v="7000000"/>
  </r>
  <r>
    <s v="225A/2019"/>
    <d v="2019-05-28T00:00:00"/>
    <s v="KIỀU THY"/>
    <s v="TS05"/>
    <x v="99"/>
    <x v="169"/>
    <s v="SORBONNE"/>
    <m/>
    <s v="18.20"/>
    <s v="150"/>
    <s v="NL2018"/>
    <m/>
    <n v="13.333333333333334"/>
    <n v="2000"/>
    <x v="39"/>
    <n v="20200000"/>
    <x v="2"/>
    <d v="2019-09-01T00:00:00"/>
    <d v="2019-09-29T00:00:00"/>
    <d v="2019-09-29T00:00:00"/>
    <m/>
    <m/>
    <m/>
    <m/>
    <m/>
    <m/>
    <m/>
    <m/>
    <m/>
    <m/>
    <m/>
    <m/>
    <n v="0"/>
    <n v="2000"/>
    <n v="20200000"/>
  </r>
  <r>
    <s v="225A/2019"/>
    <d v="2019-05-28T00:00:00"/>
    <s v="KIỀU THY"/>
    <s v="TS05"/>
    <x v="99"/>
    <x v="2"/>
    <s v="NASHVILLE"/>
    <m/>
    <s v="14.16"/>
    <s v="300"/>
    <s v="NL2018"/>
    <m/>
    <n v="4"/>
    <n v="1200"/>
    <x v="1"/>
    <n v="5040000"/>
    <x v="2"/>
    <d v="2019-09-01T00:00:00"/>
    <d v="2019-09-29T00:00:00"/>
    <d v="2019-09-29T00:00:00"/>
    <m/>
    <m/>
    <m/>
    <m/>
    <m/>
    <m/>
    <m/>
    <m/>
    <m/>
    <m/>
    <m/>
    <m/>
    <n v="0"/>
    <n v="1200"/>
    <n v="5040000"/>
  </r>
  <r>
    <s v="191A/2019"/>
    <d v="2019-04-12T00:00:00"/>
    <s v="KIỀU THY"/>
    <s v="HT05"/>
    <x v="100"/>
    <x v="22"/>
    <s v="ROBINA"/>
    <m/>
    <s v="16.18"/>
    <s v="200"/>
    <s v="NL2018"/>
    <m/>
    <n v="0"/>
    <n v="0"/>
    <x v="55"/>
    <n v="0"/>
    <x v="1"/>
    <d v="2019-04-17T00:00:00"/>
    <d v="2019-05-21T00:00:00"/>
    <d v="2019-05-21T00:00:00"/>
    <s v="17/4AL"/>
    <m/>
    <m/>
    <m/>
    <m/>
    <m/>
    <m/>
    <m/>
    <m/>
    <m/>
    <m/>
    <m/>
    <n v="0"/>
    <n v="0"/>
    <n v="0"/>
  </r>
  <r>
    <s v="191A/2019"/>
    <d v="2019-04-12T00:00:00"/>
    <s v="KIỀU THY"/>
    <s v="HT05"/>
    <x v="100"/>
    <x v="3"/>
    <s v="PAVIA"/>
    <m/>
    <s v="12.14"/>
    <s v="400"/>
    <s v="NL2018"/>
    <m/>
    <n v="0"/>
    <n v="0"/>
    <x v="17"/>
    <n v="0"/>
    <x v="1"/>
    <d v="2019-04-17T00:00:00"/>
    <d v="2019-05-21T00:00:00"/>
    <d v="2019-05-21T00:00:00"/>
    <s v="17/4AL"/>
    <m/>
    <m/>
    <m/>
    <m/>
    <m/>
    <m/>
    <m/>
    <m/>
    <m/>
    <m/>
    <m/>
    <n v="0"/>
    <n v="0"/>
    <n v="0"/>
  </r>
  <r>
    <s v="191A/2019"/>
    <d v="2019-04-12T00:00:00"/>
    <s v="KIỀU THY"/>
    <s v="HT05"/>
    <x v="100"/>
    <x v="24"/>
    <s v="SERANO"/>
    <m/>
    <s v="14.16"/>
    <s v="300"/>
    <s v="NL2018"/>
    <m/>
    <n v="0"/>
    <n v="0"/>
    <x v="117"/>
    <n v="0"/>
    <x v="1"/>
    <d v="2019-04-17T00:00:00"/>
    <d v="2019-05-21T00:00:00"/>
    <d v="2019-05-21T00:00:00"/>
    <s v="17/4AL"/>
    <m/>
    <m/>
    <m/>
    <m/>
    <m/>
    <m/>
    <m/>
    <m/>
    <m/>
    <m/>
    <m/>
    <n v="0"/>
    <n v="0"/>
    <n v="0"/>
  </r>
  <r>
    <s v="191A/2019"/>
    <d v="2019-04-12T00:00:00"/>
    <s v="KIỀU THY"/>
    <s v="HT05"/>
    <x v="100"/>
    <x v="149"/>
    <s v="PARAGUAY"/>
    <m/>
    <s v="14.16"/>
    <s v="275"/>
    <s v="NL2018"/>
    <m/>
    <n v="18"/>
    <n v="4950"/>
    <x v="21"/>
    <n v="22770000"/>
    <x v="0"/>
    <d v="2019-03-15T00:00:00"/>
    <d v="2019-04-19T00:00:00"/>
    <d v="2019-04-19T00:00:00"/>
    <s v="15/3AL"/>
    <m/>
    <m/>
    <m/>
    <d v="2019-04-17T00:00:00"/>
    <n v="4950"/>
    <m/>
    <m/>
    <m/>
    <m/>
    <m/>
    <m/>
    <n v="4950"/>
    <n v="0"/>
    <n v="0"/>
  </r>
  <r>
    <s v="123A/2019"/>
    <d v="2019-03-14T00:00:00"/>
    <s v="KIỀU THY"/>
    <s v="DT06"/>
    <x v="101"/>
    <x v="68"/>
    <s v="TEBALDI"/>
    <m/>
    <s v="12.14"/>
    <s v="400"/>
    <s v="NL2018"/>
    <m/>
    <n v="8"/>
    <n v="3200"/>
    <x v="49"/>
    <n v="9920000"/>
    <x v="2"/>
    <d v="2019-07-25T00:00:00"/>
    <d v="2019-08-25T00:00:00"/>
    <d v="2019-08-25T00:00:00"/>
    <s v="TRỒNG NGÀY 25/7 AL"/>
    <m/>
    <m/>
    <m/>
    <m/>
    <n v="0"/>
    <m/>
    <m/>
    <m/>
    <m/>
    <m/>
    <m/>
    <n v="0"/>
    <n v="3200"/>
    <n v="9920000"/>
  </r>
  <r>
    <s v="123A/2019"/>
    <d v="2019-03-14T00:00:00"/>
    <s v="KIỀU THY"/>
    <s v="DT06"/>
    <x v="101"/>
    <x v="6"/>
    <s v="CONCADOR"/>
    <m/>
    <s v="20.22"/>
    <s v="125"/>
    <s v="NL2018"/>
    <m/>
    <n v="40"/>
    <n v="5000"/>
    <x v="59"/>
    <n v="52500000"/>
    <x v="2"/>
    <d v="2019-09-01T00:00:00"/>
    <d v="2019-09-29T00:00:00"/>
    <d v="2019-09-29T00:00:00"/>
    <s v="TẾT"/>
    <m/>
    <m/>
    <m/>
    <m/>
    <n v="0"/>
    <m/>
    <m/>
    <m/>
    <m/>
    <m/>
    <m/>
    <n v="0"/>
    <n v="5000"/>
    <n v="52500000"/>
  </r>
  <r>
    <s v="123A/2019"/>
    <d v="2019-03-14T00:00:00"/>
    <s v="KIỀU THY"/>
    <s v="DT06"/>
    <x v="101"/>
    <x v="36"/>
    <s v="MANISSA"/>
    <m/>
    <s v="20.22"/>
    <s v="125"/>
    <s v="NL2018"/>
    <m/>
    <n v="8"/>
    <n v="1000"/>
    <x v="37"/>
    <n v="13500000"/>
    <x v="2"/>
    <d v="2019-09-01T00:00:00"/>
    <d v="2019-09-29T00:00:00"/>
    <d v="2019-09-29T00:00:00"/>
    <s v="TẾT"/>
    <m/>
    <m/>
    <m/>
    <m/>
    <n v="0"/>
    <m/>
    <m/>
    <m/>
    <m/>
    <m/>
    <m/>
    <n v="0"/>
    <n v="1000"/>
    <n v="13500000"/>
  </r>
  <r>
    <s v="123A/2019"/>
    <d v="2019-03-14T00:00:00"/>
    <s v="KIỀU THY"/>
    <s v="DT06"/>
    <x v="101"/>
    <x v="7"/>
    <s v="PROFUNDO"/>
    <m/>
    <s v="18.20"/>
    <s v="150"/>
    <s v="NL2018"/>
    <m/>
    <n v="14"/>
    <n v="2100"/>
    <x v="8"/>
    <n v="22680000"/>
    <x v="2"/>
    <d v="2019-09-01T00:00:00"/>
    <d v="2019-09-29T00:00:00"/>
    <d v="2019-09-29T00:00:00"/>
    <s v="TẾT"/>
    <m/>
    <m/>
    <m/>
    <m/>
    <n v="0"/>
    <m/>
    <m/>
    <m/>
    <m/>
    <m/>
    <m/>
    <n v="0"/>
    <n v="2100"/>
    <n v="22680000"/>
  </r>
  <r>
    <s v="123A/2019"/>
    <d v="2019-03-14T00:00:00"/>
    <s v="KIỀU THY"/>
    <s v="DT06"/>
    <x v="101"/>
    <x v="170"/>
    <s v="REDDESIRE"/>
    <m/>
    <s v="18.20"/>
    <s v="150"/>
    <s v="NL2018"/>
    <m/>
    <n v="14"/>
    <n v="2100"/>
    <x v="59"/>
    <n v="22050000"/>
    <x v="2"/>
    <d v="2019-09-01T00:00:00"/>
    <d v="2019-09-29T00:00:00"/>
    <d v="2019-09-29T00:00:00"/>
    <s v="TẾT"/>
    <m/>
    <m/>
    <m/>
    <m/>
    <n v="0"/>
    <m/>
    <m/>
    <m/>
    <m/>
    <m/>
    <m/>
    <n v="0"/>
    <n v="2100"/>
    <n v="22050000"/>
  </r>
  <r>
    <s v="123A/2019"/>
    <d v="2019-03-14T00:00:00"/>
    <s v="KIỀU THY"/>
    <s v="DT06"/>
    <x v="101"/>
    <x v="16"/>
    <s v="ROBINA"/>
    <m/>
    <s v="20.22"/>
    <s v="125"/>
    <s v="NL2018"/>
    <m/>
    <n v="16"/>
    <n v="2000"/>
    <x v="59"/>
    <n v="21000000"/>
    <x v="2"/>
    <d v="2019-09-01T00:00:00"/>
    <d v="2019-09-29T00:00:00"/>
    <d v="2019-09-29T00:00:00"/>
    <s v="TẾT"/>
    <m/>
    <m/>
    <m/>
    <m/>
    <n v="0"/>
    <m/>
    <m/>
    <m/>
    <m/>
    <m/>
    <m/>
    <n v="0"/>
    <n v="2000"/>
    <n v="21000000"/>
  </r>
  <r>
    <s v="123A/2019"/>
    <d v="2019-03-14T00:00:00"/>
    <s v="KIỀU THY"/>
    <s v="DT06"/>
    <x v="101"/>
    <x v="4"/>
    <s v="TEBALDI"/>
    <m/>
    <s v="14.16"/>
    <s v="300"/>
    <s v="NL2018"/>
    <m/>
    <n v="44"/>
    <n v="13200"/>
    <x v="21"/>
    <n v="60720000"/>
    <x v="2"/>
    <d v="2019-09-01T00:00:00"/>
    <d v="2019-09-29T00:00:00"/>
    <d v="2019-09-29T00:00:00"/>
    <s v="TẾT"/>
    <m/>
    <m/>
    <m/>
    <m/>
    <n v="0"/>
    <m/>
    <m/>
    <m/>
    <m/>
    <m/>
    <m/>
    <n v="0"/>
    <n v="13200"/>
    <n v="60720000"/>
  </r>
  <r>
    <s v="165A/2019"/>
    <d v="2019-04-03T00:00:00"/>
    <s v="KIỀU THY"/>
    <s v="DT06"/>
    <x v="101"/>
    <x v="170"/>
    <s v="REDDESIRE"/>
    <m/>
    <s v="18.20"/>
    <s v="150"/>
    <s v="NL2018"/>
    <m/>
    <n v="14"/>
    <n v="2100"/>
    <x v="59"/>
    <n v="22050000"/>
    <x v="2"/>
    <d v="2019-09-01T00:00:00"/>
    <d v="2019-09-29T00:00:00"/>
    <d v="2019-09-29T00:00:00"/>
    <s v="TẾT"/>
    <m/>
    <m/>
    <m/>
    <m/>
    <m/>
    <m/>
    <m/>
    <m/>
    <m/>
    <m/>
    <m/>
    <n v="0"/>
    <n v="2100"/>
    <n v="22050000"/>
  </r>
  <r>
    <s v="165A/2019"/>
    <d v="2019-04-03T00:00:00"/>
    <s v="KIỀU THY"/>
    <s v="DT06"/>
    <x v="101"/>
    <x v="6"/>
    <s v="CONCADOR"/>
    <m/>
    <s v="20.22"/>
    <s v="125"/>
    <s v="NL2018"/>
    <m/>
    <n v="8"/>
    <n v="1000"/>
    <x v="7"/>
    <n v="10600000"/>
    <x v="2"/>
    <d v="2019-09-01T00:00:00"/>
    <d v="2019-09-29T00:00:00"/>
    <d v="2019-09-29T00:00:00"/>
    <s v="TẾT"/>
    <m/>
    <m/>
    <m/>
    <m/>
    <m/>
    <m/>
    <m/>
    <m/>
    <m/>
    <m/>
    <m/>
    <n v="0"/>
    <n v="1000"/>
    <n v="10600000"/>
  </r>
  <r>
    <s v="165A/2019"/>
    <d v="2019-04-03T00:00:00"/>
    <s v="KIỀU THY"/>
    <s v="DT06"/>
    <x v="101"/>
    <x v="16"/>
    <s v="ROBINA"/>
    <m/>
    <s v="20.22"/>
    <s v="125"/>
    <s v="NL2018"/>
    <m/>
    <n v="16"/>
    <n v="2000"/>
    <x v="16"/>
    <n v="21400000"/>
    <x v="2"/>
    <d v="2019-09-01T00:00:00"/>
    <d v="2019-09-29T00:00:00"/>
    <d v="2019-09-29T00:00:00"/>
    <s v="TẾT"/>
    <m/>
    <m/>
    <m/>
    <m/>
    <m/>
    <m/>
    <m/>
    <m/>
    <m/>
    <m/>
    <m/>
    <n v="0"/>
    <n v="2000"/>
    <n v="21400000"/>
  </r>
  <r>
    <s v="165A/2019"/>
    <d v="2019-04-03T00:00:00"/>
    <s v="KIỀU THY"/>
    <s v="DT06"/>
    <x v="101"/>
    <x v="141"/>
    <s v="MANISSA"/>
    <m/>
    <s v="18.20"/>
    <s v="150"/>
    <s v="NL2018"/>
    <m/>
    <n v="14"/>
    <n v="2100"/>
    <x v="165"/>
    <n v="21630000"/>
    <x v="2"/>
    <d v="2019-09-01T00:00:00"/>
    <d v="2019-09-29T00:00:00"/>
    <d v="2019-09-29T00:00:00"/>
    <s v="TẾT"/>
    <m/>
    <m/>
    <m/>
    <m/>
    <m/>
    <m/>
    <m/>
    <m/>
    <m/>
    <m/>
    <m/>
    <n v="0"/>
    <n v="2100"/>
    <n v="21630000"/>
  </r>
  <r>
    <s v="123A/2019"/>
    <d v="2019-03-14T00:00:00"/>
    <s v="KIỀU THY"/>
    <s v="DT06"/>
    <x v="101"/>
    <x v="2"/>
    <s v="NASHVILLE"/>
    <m/>
    <s v="14.16"/>
    <s v="300"/>
    <s v="NL2018"/>
    <m/>
    <n v="10"/>
    <n v="3000"/>
    <x v="99"/>
    <n v="12900000"/>
    <x v="2"/>
    <d v="2019-07-25T00:00:00"/>
    <d v="2019-08-25T00:00:00"/>
    <d v="2019-08-25T00:00:00"/>
    <s v="TRỒNG NGÀY 25/7 AL"/>
    <m/>
    <m/>
    <m/>
    <m/>
    <n v="0"/>
    <m/>
    <m/>
    <m/>
    <m/>
    <m/>
    <m/>
    <n v="0"/>
    <n v="3000"/>
    <n v="12900000"/>
  </r>
  <r>
    <s v="168A/2019"/>
    <d v="2019-02-22T00:00:00"/>
    <s v="KIỀU THY"/>
    <s v="TT16"/>
    <x v="102"/>
    <x v="46"/>
    <s v="CONCAD'OR"/>
    <m/>
    <s v="22.24"/>
    <n v="100"/>
    <s v="NL2018"/>
    <m/>
    <n v="80"/>
    <n v="8000"/>
    <x v="29"/>
    <n v="100000000"/>
    <x v="2"/>
    <d v="2019-09-01T00:00:00"/>
    <d v="2019-09-29T00:00:00"/>
    <d v="2019-09-29T00:00:00"/>
    <s v="TẾT"/>
    <m/>
    <m/>
    <s v="R"/>
    <m/>
    <n v="0"/>
    <m/>
    <m/>
    <m/>
    <m/>
    <m/>
    <m/>
    <n v="0"/>
    <n v="8000"/>
    <n v="100000000"/>
  </r>
  <r>
    <s v="168A/2019"/>
    <d v="2019-02-22T00:00:00"/>
    <s v="KIỀU THY"/>
    <s v="TT16"/>
    <x v="102"/>
    <x v="37"/>
    <s v="PROFUNDO"/>
    <m/>
    <s v="20.22"/>
    <n v="125"/>
    <s v="NL2018"/>
    <m/>
    <n v="20"/>
    <n v="2500"/>
    <x v="40"/>
    <n v="32500000"/>
    <x v="2"/>
    <d v="2019-09-01T00:00:00"/>
    <d v="2019-09-29T00:00:00"/>
    <d v="2019-09-29T00:00:00"/>
    <s v="TẾT"/>
    <m/>
    <m/>
    <s v="R"/>
    <m/>
    <n v="0"/>
    <m/>
    <m/>
    <m/>
    <m/>
    <m/>
    <m/>
    <n v="0"/>
    <n v="2500"/>
    <n v="32500000"/>
  </r>
  <r>
    <s v="168A/2019"/>
    <d v="2019-02-22T00:00:00"/>
    <s v="KIỀU THY"/>
    <s v="TT16"/>
    <x v="102"/>
    <x v="87"/>
    <s v="PROFUNDO"/>
    <m/>
    <s v="22.24"/>
    <n v="100"/>
    <s v="NL2018"/>
    <m/>
    <n v="25"/>
    <n v="2500"/>
    <x v="85"/>
    <n v="35500000"/>
    <x v="2"/>
    <d v="2019-09-01T00:00:00"/>
    <d v="2019-09-29T00:00:00"/>
    <d v="2019-09-29T00:00:00"/>
    <s v="TẾT"/>
    <m/>
    <m/>
    <s v="R"/>
    <m/>
    <n v="0"/>
    <m/>
    <m/>
    <m/>
    <m/>
    <m/>
    <m/>
    <n v="0"/>
    <n v="2500"/>
    <n v="35500000"/>
  </r>
  <r>
    <s v="168A/2019"/>
    <d v="2019-02-22T00:00:00"/>
    <s v="KIỀU THY"/>
    <s v="TT16"/>
    <x v="102"/>
    <x v="26"/>
    <s v="ROBINA"/>
    <m/>
    <s v="22.24"/>
    <n v="100"/>
    <s v="NL2018"/>
    <m/>
    <n v="55"/>
    <n v="5500"/>
    <x v="29"/>
    <n v="68750000"/>
    <x v="2"/>
    <d v="2019-09-01T00:00:00"/>
    <d v="2019-09-29T00:00:00"/>
    <d v="2019-09-29T00:00:00"/>
    <s v="TẾT"/>
    <m/>
    <m/>
    <s v="R"/>
    <m/>
    <n v="0"/>
    <m/>
    <m/>
    <m/>
    <m/>
    <m/>
    <m/>
    <n v="0"/>
    <n v="5500"/>
    <n v="68750000"/>
  </r>
  <r>
    <s v="71A/2019"/>
    <d v="2019-02-22T00:00:00"/>
    <s v="KIỀU THY"/>
    <s v="TT16"/>
    <x v="102"/>
    <x v="68"/>
    <s v="TEBALDI"/>
    <m/>
    <s v="12.14"/>
    <n v="400"/>
    <s v="NL2018"/>
    <m/>
    <n v="2"/>
    <n v="800"/>
    <x v="4"/>
    <n v="2240000"/>
    <x v="0"/>
    <d v="2019-02-28T00:00:00"/>
    <d v="2019-04-02T00:00:00"/>
    <d v="2019-04-02T00:00:00"/>
    <s v="15/3AL"/>
    <s v="CONT 15/2019"/>
    <d v="2019-03-31T00:00:00"/>
    <s v="R"/>
    <d v="2019-04-26T00:00:00"/>
    <n v="800"/>
    <m/>
    <m/>
    <m/>
    <m/>
    <m/>
    <m/>
    <n v="800"/>
    <n v="0"/>
    <n v="0"/>
  </r>
  <r>
    <s v="71A/2019"/>
    <d v="2019-02-22T00:00:00"/>
    <s v="KIỀU THY"/>
    <s v="TT16"/>
    <x v="102"/>
    <x v="5"/>
    <s v="PROFUNDO"/>
    <m/>
    <s v="16.18"/>
    <n v="200"/>
    <s v="NL2018"/>
    <m/>
    <n v="55"/>
    <n v="11000"/>
    <x v="45"/>
    <n v="73700000"/>
    <x v="0"/>
    <d v="2019-03-15T00:00:00"/>
    <d v="2019-04-19T00:00:00"/>
    <d v="2019-04-19T00:00:00"/>
    <s v="15/3AL"/>
    <s v="CONT 23/2019"/>
    <d v="2019-04-14T00:00:00"/>
    <s v="R"/>
    <d v="2019-04-26T00:00:00"/>
    <n v="11000"/>
    <m/>
    <m/>
    <m/>
    <m/>
    <m/>
    <m/>
    <n v="11000"/>
    <n v="0"/>
    <n v="0"/>
  </r>
  <r>
    <s v="71A/2019"/>
    <d v="2019-02-22T00:00:00"/>
    <s v="KIỀU THY"/>
    <s v="TT16"/>
    <x v="102"/>
    <x v="28"/>
    <s v="YELLOWEEN"/>
    <m/>
    <s v="14.16"/>
    <n v="300"/>
    <s v="NL2018"/>
    <m/>
    <n v="14"/>
    <n v="4200"/>
    <x v="6"/>
    <n v="15960000"/>
    <x v="0"/>
    <d v="2019-03-15T00:00:00"/>
    <d v="2019-04-19T00:00:00"/>
    <d v="2019-04-19T00:00:00"/>
    <s v="15/3AL"/>
    <s v="CONT 20/2019"/>
    <d v="2019-04-14T00:00:00"/>
    <s v="R"/>
    <d v="2019-04-26T00:00:00"/>
    <n v="4200"/>
    <m/>
    <m/>
    <m/>
    <m/>
    <m/>
    <m/>
    <n v="4200"/>
    <n v="0"/>
    <n v="0"/>
  </r>
  <r>
    <s v="71A/2019"/>
    <d v="2019-02-22T00:00:00"/>
    <s v="KIỀU THY"/>
    <s v="TT16"/>
    <x v="102"/>
    <x v="38"/>
    <s v="YELLOWEEN"/>
    <m/>
    <s v="16.18"/>
    <n v="200"/>
    <s v="NL2018"/>
    <m/>
    <n v="25"/>
    <n v="5000"/>
    <x v="93"/>
    <n v="0"/>
    <x v="1"/>
    <d v="2019-05-01T00:00:00"/>
    <d v="2019-06-03T00:00:00"/>
    <d v="2019-06-03T00:00:00"/>
    <s v="1/5AL"/>
    <m/>
    <m/>
    <s v="R"/>
    <m/>
    <n v="0"/>
    <m/>
    <m/>
    <m/>
    <m/>
    <m/>
    <m/>
    <n v="0"/>
    <n v="5000"/>
    <n v="0"/>
  </r>
  <r>
    <s v="171B/2019"/>
    <d v="2019-04-20T00:00:00"/>
    <s v="THANH THÚY"/>
    <s v="TA05"/>
    <x v="103"/>
    <x v="62"/>
    <s v="BACARDI"/>
    <m/>
    <s v="15.16"/>
    <s v="300"/>
    <s v="NL2018"/>
    <m/>
    <n v="0"/>
    <n v="0"/>
    <x v="13"/>
    <n v="0"/>
    <x v="1"/>
    <d v="2019-03-18T00:00:00"/>
    <d v="2019-04-22T00:00:00"/>
    <d v="2019-04-22T00:00:00"/>
    <m/>
    <m/>
    <m/>
    <m/>
    <m/>
    <m/>
    <m/>
    <m/>
    <m/>
    <m/>
    <m/>
    <m/>
    <n v="0"/>
    <n v="0"/>
    <n v="0"/>
  </r>
  <r>
    <s v="171B/2019"/>
    <d v="2019-04-20T00:00:00"/>
    <s v="THANH THÚY"/>
    <s v="TA05"/>
    <x v="103"/>
    <x v="61"/>
    <s v="BACARDI"/>
    <m/>
    <s v="15.16"/>
    <s v="250"/>
    <s v="NL2018"/>
    <m/>
    <n v="0"/>
    <n v="0"/>
    <x v="13"/>
    <n v="0"/>
    <x v="1"/>
    <d v="2019-03-18T00:00:00"/>
    <d v="2019-04-22T00:00:00"/>
    <d v="2019-04-22T00:00:00"/>
    <m/>
    <m/>
    <m/>
    <m/>
    <m/>
    <m/>
    <m/>
    <m/>
    <m/>
    <m/>
    <m/>
    <m/>
    <n v="0"/>
    <n v="0"/>
    <n v="0"/>
  </r>
  <r>
    <s v="171B/2019"/>
    <d v="2019-05-20T00:00:00"/>
    <s v="THANH THÚY"/>
    <s v="TA05"/>
    <x v="103"/>
    <x v="57"/>
    <s v="DALIAN"/>
    <m/>
    <s v="14.16"/>
    <s v="300"/>
    <s v="NL2018"/>
    <m/>
    <n v="5"/>
    <n v="1500"/>
    <x v="44"/>
    <n v="8250000"/>
    <x v="0"/>
    <d v="2019-04-17T00:00:00"/>
    <d v="2019-05-21T00:00:00"/>
    <d v="2019-05-21T00:00:00"/>
    <m/>
    <m/>
    <m/>
    <m/>
    <d v="2019-05-21T00:00:00"/>
    <n v="1500"/>
    <m/>
    <m/>
    <m/>
    <m/>
    <m/>
    <m/>
    <n v="1500"/>
    <n v="0"/>
    <n v="0"/>
  </r>
  <r>
    <s v="171B/2019"/>
    <d v="2019-04-20T00:00:00"/>
    <s v="THANH THÚY"/>
    <s v="TA05"/>
    <x v="103"/>
    <x v="80"/>
    <s v="PROFUNDO"/>
    <m/>
    <s v="14.16"/>
    <s v="300"/>
    <s v="NL2018"/>
    <m/>
    <n v="34"/>
    <n v="10200"/>
    <x v="18"/>
    <n v="51000000"/>
    <x v="0"/>
    <d v="2019-03-18T00:00:00"/>
    <d v="2019-04-22T00:00:00"/>
    <d v="2019-04-22T00:00:00"/>
    <m/>
    <m/>
    <m/>
    <m/>
    <d v="2019-05-13T00:00:00"/>
    <n v="10200"/>
    <m/>
    <m/>
    <m/>
    <m/>
    <m/>
    <m/>
    <n v="10200"/>
    <n v="0"/>
    <n v="0"/>
  </r>
  <r>
    <s v="171B/2019"/>
    <d v="2019-04-20T00:00:00"/>
    <s v="THANH THÚY"/>
    <s v="TA05"/>
    <x v="103"/>
    <x v="140"/>
    <s v="LODI"/>
    <m/>
    <s v="16.18"/>
    <s v="200"/>
    <s v="NL2018"/>
    <m/>
    <n v="24"/>
    <n v="4800"/>
    <x v="34"/>
    <n v="34080000"/>
    <x v="0"/>
    <d v="2019-03-18T00:00:00"/>
    <d v="2019-04-22T00:00:00"/>
    <d v="2019-04-22T00:00:00"/>
    <m/>
    <m/>
    <m/>
    <m/>
    <d v="2019-04-22T00:00:00"/>
    <n v="4800"/>
    <m/>
    <m/>
    <m/>
    <m/>
    <m/>
    <m/>
    <n v="4800"/>
    <n v="0"/>
    <n v="0"/>
  </r>
  <r>
    <s v="171B/2019"/>
    <d v="2019-04-20T00:00:00"/>
    <s v="THANH THÚY"/>
    <s v="TA05"/>
    <x v="103"/>
    <x v="22"/>
    <s v="ROBINA"/>
    <m/>
    <s v="16.18"/>
    <s v="200"/>
    <s v="NL2018"/>
    <m/>
    <n v="50"/>
    <n v="10000"/>
    <x v="55"/>
    <n v="53000000"/>
    <x v="0"/>
    <d v="2019-03-18T00:00:00"/>
    <d v="2019-04-22T00:00:00"/>
    <d v="2019-04-22T00:00:00"/>
    <m/>
    <m/>
    <m/>
    <m/>
    <d v="2019-04-23T00:00:00"/>
    <n v="10000"/>
    <m/>
    <m/>
    <m/>
    <m/>
    <m/>
    <m/>
    <n v="10000"/>
    <n v="0"/>
    <n v="0"/>
  </r>
  <r>
    <s v="171B/2019"/>
    <d v="2019-04-20T00:00:00"/>
    <s v="THANH THÚY"/>
    <s v="TA05"/>
    <x v="103"/>
    <x v="103"/>
    <s v="LARGO"/>
    <m/>
    <s v="16.18"/>
    <s v="200"/>
    <s v="NL2018"/>
    <m/>
    <n v="50"/>
    <n v="10000"/>
    <x v="26"/>
    <n v="58000000"/>
    <x v="4"/>
    <d v="2019-04-29T00:00:00"/>
    <d v="2019-06-02T00:00:00"/>
    <d v="2019-06-02T00:00:00"/>
    <s v="29/4AL"/>
    <m/>
    <m/>
    <m/>
    <m/>
    <m/>
    <m/>
    <m/>
    <m/>
    <m/>
    <m/>
    <m/>
    <n v="0"/>
    <n v="10000"/>
    <n v="58000000"/>
  </r>
  <r>
    <s v="171B/2019"/>
    <d v="2019-06-14T00:00:00"/>
    <s v="THANH THÚY"/>
    <s v="TA05"/>
    <x v="103"/>
    <x v="57"/>
    <s v="DALIAN"/>
    <m/>
    <s v="14.16"/>
    <s v="300"/>
    <s v="NL2018"/>
    <m/>
    <n v="33"/>
    <n v="9900"/>
    <x v="44"/>
    <n v="54450000"/>
    <x v="0"/>
    <m/>
    <m/>
    <m/>
    <m/>
    <m/>
    <m/>
    <m/>
    <d v="2019-06-14T00:00:00"/>
    <n v="9900"/>
    <m/>
    <m/>
    <m/>
    <m/>
    <m/>
    <m/>
    <n v="9900"/>
    <n v="0"/>
    <n v="0"/>
  </r>
  <r>
    <s v="172B/2019"/>
    <d v="2019-04-20T00:00:00"/>
    <s v="THANH THÚY"/>
    <s v="TA05"/>
    <x v="103"/>
    <x v="71"/>
    <s v="CONCADOR"/>
    <m/>
    <s v="24+"/>
    <s v="75"/>
    <s v="NL2018"/>
    <m/>
    <n v="133.33333333333334"/>
    <n v="10000"/>
    <x v="38"/>
    <n v="152000000"/>
    <x v="2"/>
    <d v="2019-09-01T00:00:00"/>
    <d v="2019-09-29T00:00:00"/>
    <d v="2019-09-29T00:00:00"/>
    <s v="TẾT"/>
    <m/>
    <m/>
    <m/>
    <m/>
    <m/>
    <m/>
    <m/>
    <m/>
    <m/>
    <m/>
    <m/>
    <n v="0"/>
    <n v="10000"/>
    <n v="152000000"/>
  </r>
  <r>
    <s v="172B/2019"/>
    <d v="2019-04-20T00:00:00"/>
    <s v="THANH THÚY"/>
    <s v="TA05"/>
    <x v="103"/>
    <x v="104"/>
    <s v="LARGO"/>
    <m/>
    <s v="22.24"/>
    <s v="100"/>
    <s v="NL2018"/>
    <m/>
    <n v="200"/>
    <n v="20000"/>
    <x v="104"/>
    <n v="230000000"/>
    <x v="2"/>
    <d v="2019-09-01T00:00:00"/>
    <d v="2019-09-29T00:00:00"/>
    <d v="2019-09-29T00:00:00"/>
    <s v="TẾT"/>
    <m/>
    <m/>
    <m/>
    <m/>
    <m/>
    <m/>
    <m/>
    <m/>
    <m/>
    <m/>
    <m/>
    <n v="0"/>
    <n v="20000"/>
    <n v="230000000"/>
  </r>
  <r>
    <s v="172B/2019"/>
    <d v="2019-04-20T00:00:00"/>
    <s v="THANH THÚY"/>
    <s v="TA05"/>
    <x v="103"/>
    <x v="171"/>
    <s v="THALITA"/>
    <s v="RL"/>
    <s v="14.16"/>
    <s v="300"/>
    <s v="NL2018"/>
    <m/>
    <n v="7"/>
    <n v="2100"/>
    <x v="160"/>
    <n v="29190000"/>
    <x v="2"/>
    <d v="2019-09-01T00:00:00"/>
    <d v="2019-09-29T00:00:00"/>
    <d v="2019-09-29T00:00:00"/>
    <s v="TẾT"/>
    <m/>
    <m/>
    <m/>
    <m/>
    <m/>
    <m/>
    <m/>
    <m/>
    <m/>
    <m/>
    <m/>
    <n v="0"/>
    <n v="2100"/>
    <n v="29190000"/>
  </r>
  <r>
    <s v="137A/2019"/>
    <d v="2019-03-05T00:00:00"/>
    <s v="KIỀU THY"/>
    <s v="NH03"/>
    <x v="104"/>
    <x v="6"/>
    <s v="CONCADOR"/>
    <m/>
    <s v="20.22"/>
    <n v="125"/>
    <s v="NL2018"/>
    <m/>
    <n v="0"/>
    <n v="0"/>
    <x v="59"/>
    <n v="0"/>
    <x v="1"/>
    <d v="2019-09-01T00:00:00"/>
    <d v="2019-09-29T00:00:00"/>
    <d v="2019-09-29T00:00:00"/>
    <s v="TẾT"/>
    <m/>
    <m/>
    <m/>
    <m/>
    <m/>
    <m/>
    <m/>
    <m/>
    <m/>
    <m/>
    <m/>
    <n v="0"/>
    <n v="0"/>
    <n v="0"/>
  </r>
  <r>
    <s v="137A/2019"/>
    <d v="2019-03-05T00:00:00"/>
    <s v="KIỀU THY"/>
    <s v="NH03"/>
    <x v="104"/>
    <x v="26"/>
    <s v="ROBINA"/>
    <m/>
    <s v="22.24"/>
    <n v="100"/>
    <s v="NL2018"/>
    <m/>
    <n v="0"/>
    <n v="0"/>
    <x v="29"/>
    <n v="0"/>
    <x v="1"/>
    <d v="2019-09-01T00:00:00"/>
    <d v="2019-09-29T00:00:00"/>
    <d v="2019-09-29T00:00:00"/>
    <s v="TẾT"/>
    <m/>
    <m/>
    <m/>
    <m/>
    <m/>
    <m/>
    <m/>
    <m/>
    <m/>
    <m/>
    <m/>
    <n v="0"/>
    <n v="0"/>
    <n v="0"/>
  </r>
  <r>
    <s v="88A/2019"/>
    <d v="2019-03-05T00:00:00"/>
    <s v="KIỀU THY"/>
    <s v="NH03"/>
    <x v="104"/>
    <x v="10"/>
    <s v="ARVANDRUD"/>
    <m/>
    <s v="16.18"/>
    <n v="200"/>
    <s v="NL2018"/>
    <m/>
    <n v="10"/>
    <n v="2000"/>
    <x v="44"/>
    <n v="11000000"/>
    <x v="0"/>
    <d v="2019-03-15T00:00:00"/>
    <d v="2019-04-19T00:00:00"/>
    <d v="2019-04-19T00:00:00"/>
    <s v="15/3AL"/>
    <s v="CONT 22/2019"/>
    <d v="2019-04-14T00:00:00"/>
    <m/>
    <d v="2019-04-29T00:00:00"/>
    <n v="2000"/>
    <m/>
    <m/>
    <m/>
    <m/>
    <m/>
    <m/>
    <n v="2000"/>
    <n v="0"/>
    <n v="0"/>
  </r>
  <r>
    <s v="88A/2019"/>
    <d v="2019-03-05T00:00:00"/>
    <s v="KIỀU THY"/>
    <s v="NH03"/>
    <x v="104"/>
    <x v="15"/>
    <s v="CONCADOR"/>
    <m/>
    <s v="16.18"/>
    <n v="200"/>
    <s v="NL2018"/>
    <m/>
    <n v="25"/>
    <n v="5000"/>
    <x v="18"/>
    <n v="25000000"/>
    <x v="0"/>
    <d v="2019-03-15T00:00:00"/>
    <d v="2019-04-19T00:00:00"/>
    <d v="2019-04-19T00:00:00"/>
    <s v="15/3AL"/>
    <s v="CONT 21/2019"/>
    <d v="2019-04-14T00:00:00"/>
    <m/>
    <d v="2019-04-22T00:00:00"/>
    <n v="5000"/>
    <m/>
    <m/>
    <m/>
    <m/>
    <m/>
    <m/>
    <n v="5000"/>
    <n v="0"/>
    <n v="0"/>
  </r>
  <r>
    <s v="88A/2019"/>
    <d v="2019-03-05T00:00:00"/>
    <s v="KIỀU THY"/>
    <s v="NH03"/>
    <x v="104"/>
    <x v="28"/>
    <s v="YELLOWEEN"/>
    <m/>
    <s v="14.16"/>
    <n v="300"/>
    <s v="NL2018"/>
    <m/>
    <n v="10"/>
    <n v="3000"/>
    <x v="6"/>
    <n v="11400000"/>
    <x v="0"/>
    <d v="2019-03-15T00:00:00"/>
    <d v="2019-04-19T00:00:00"/>
    <d v="2019-04-19T00:00:00"/>
    <s v="15/3AL"/>
    <s v="CONT 20/2019"/>
    <d v="2019-04-14T00:00:00"/>
    <m/>
    <d v="2019-06-03T00:00:00"/>
    <n v="3000"/>
    <m/>
    <m/>
    <m/>
    <m/>
    <m/>
    <m/>
    <n v="3000"/>
    <n v="0"/>
    <n v="0"/>
  </r>
  <r>
    <s v="88A/2019"/>
    <d v="2019-03-05T00:00:00"/>
    <s v="KIỀU THY"/>
    <s v="NH03"/>
    <x v="104"/>
    <x v="10"/>
    <s v="ARVANDRUD"/>
    <m/>
    <s v="16.18"/>
    <n v="200"/>
    <s v="NL2018"/>
    <m/>
    <n v="15"/>
    <n v="3000"/>
    <x v="44"/>
    <n v="16500000"/>
    <x v="0"/>
    <d v="2019-04-17T00:00:00"/>
    <d v="2019-05-21T00:00:00"/>
    <d v="2019-05-21T00:00:00"/>
    <s v="30/3AL"/>
    <m/>
    <m/>
    <m/>
    <d v="2019-06-03T00:00:00"/>
    <n v="3000"/>
    <m/>
    <m/>
    <m/>
    <m/>
    <m/>
    <m/>
    <n v="3000"/>
    <n v="0"/>
    <n v="0"/>
  </r>
  <r>
    <s v="88A/2019"/>
    <d v="2019-03-05T00:00:00"/>
    <s v="KIỀU THY"/>
    <s v="NH03"/>
    <x v="104"/>
    <x v="15"/>
    <s v="CONCADOR"/>
    <m/>
    <s v="16.18"/>
    <n v="200"/>
    <s v="NL2018"/>
    <m/>
    <n v="0"/>
    <n v="0"/>
    <x v="46"/>
    <n v="0"/>
    <x v="1"/>
    <d v="2019-04-17T00:00:00"/>
    <d v="2019-05-21T00:00:00"/>
    <d v="2019-05-21T00:00:00"/>
    <s v="30/3AL"/>
    <m/>
    <m/>
    <m/>
    <m/>
    <m/>
    <m/>
    <m/>
    <m/>
    <m/>
    <m/>
    <m/>
    <n v="0"/>
    <n v="0"/>
    <n v="0"/>
  </r>
  <r>
    <s v="88A/2019"/>
    <d v="2019-03-05T00:00:00"/>
    <s v="KIỀU THY"/>
    <s v="NH03"/>
    <x v="104"/>
    <x v="28"/>
    <s v="YELLOWEEN"/>
    <m/>
    <s v="14.16"/>
    <n v="300"/>
    <s v="NL2018"/>
    <m/>
    <n v="10"/>
    <n v="3000"/>
    <x v="6"/>
    <n v="11400000"/>
    <x v="0"/>
    <d v="2019-04-17T00:00:00"/>
    <d v="2019-05-21T00:00:00"/>
    <d v="2019-05-21T00:00:00"/>
    <s v="30/3AL"/>
    <m/>
    <m/>
    <m/>
    <d v="2019-04-29T00:00:00"/>
    <n v="3000"/>
    <m/>
    <m/>
    <m/>
    <m/>
    <m/>
    <m/>
    <n v="3000"/>
    <n v="0"/>
    <n v="0"/>
  </r>
  <r>
    <s v="245/2019"/>
    <d v="2019-06-14T00:00:00"/>
    <s v="KIỀU THY"/>
    <s v="HN06"/>
    <x v="105"/>
    <x v="63"/>
    <s v="MANISSA"/>
    <m/>
    <s v="24.26"/>
    <s v="80"/>
    <s v="NL2018"/>
    <m/>
    <n v="5"/>
    <n v="400"/>
    <x v="50"/>
    <n v="6480000"/>
    <x v="2"/>
    <d v="2019-09-01T00:00:00"/>
    <d v="2019-09-29T00:00:00"/>
    <d v="2019-09-29T00:00:00"/>
    <m/>
    <m/>
    <m/>
    <m/>
    <m/>
    <m/>
    <m/>
    <m/>
    <m/>
    <m/>
    <m/>
    <m/>
    <n v="0"/>
    <n v="400"/>
    <n v="6480000"/>
  </r>
  <r>
    <s v="245/2019"/>
    <d v="2019-06-14T00:00:00"/>
    <s v="KIỀU THY"/>
    <s v="HN06"/>
    <x v="105"/>
    <x v="172"/>
    <s v="ROBINA"/>
    <m/>
    <s v="24+"/>
    <s v="75"/>
    <s v="NL2018"/>
    <m/>
    <n v="11"/>
    <n v="825"/>
    <x v="52"/>
    <n v="12622500"/>
    <x v="2"/>
    <d v="2019-09-01T00:00:00"/>
    <d v="2019-09-29T00:00:00"/>
    <d v="2019-09-29T00:00:00"/>
    <m/>
    <m/>
    <m/>
    <m/>
    <m/>
    <m/>
    <m/>
    <m/>
    <m/>
    <m/>
    <m/>
    <m/>
    <n v="0"/>
    <n v="825"/>
    <n v="12622500"/>
  </r>
  <r>
    <s v="231/2019"/>
    <d v="2019-05-30T00:00:00"/>
    <s v="KIỀU THY"/>
    <s v="LH01"/>
    <x v="106"/>
    <x v="6"/>
    <s v="CONCADOR"/>
    <m/>
    <s v="20.22"/>
    <s v="125"/>
    <s v="NL2018"/>
    <m/>
    <n v="0"/>
    <n v="0"/>
    <x v="7"/>
    <n v="0"/>
    <x v="1"/>
    <d v="2019-09-01T00:00:00"/>
    <s v=""/>
    <s v=""/>
    <m/>
    <m/>
    <m/>
    <m/>
    <m/>
    <m/>
    <m/>
    <m/>
    <m/>
    <m/>
    <m/>
    <m/>
    <n v="0"/>
    <n v="0"/>
    <n v="0"/>
  </r>
  <r>
    <s v="231/2019"/>
    <d v="2019-05-30T00:00:00"/>
    <s v="KIỀU THY"/>
    <s v="LH01"/>
    <x v="106"/>
    <x v="46"/>
    <s v="CONCADOR"/>
    <m/>
    <s v="22.24"/>
    <s v="100"/>
    <s v="NL2018"/>
    <m/>
    <n v="0"/>
    <n v="0"/>
    <x v="29"/>
    <n v="0"/>
    <x v="1"/>
    <d v="2019-09-01T00:00:00"/>
    <s v=""/>
    <s v=""/>
    <m/>
    <m/>
    <m/>
    <m/>
    <m/>
    <m/>
    <m/>
    <m/>
    <m/>
    <m/>
    <m/>
    <m/>
    <n v="0"/>
    <n v="0"/>
    <n v="0"/>
  </r>
  <r>
    <s v="231/2019"/>
    <d v="2019-05-30T00:00:00"/>
    <s v="KIỀU THY"/>
    <s v="LH01"/>
    <x v="106"/>
    <x v="16"/>
    <s v="ROBINA"/>
    <m/>
    <s v="20.22"/>
    <s v="125"/>
    <s v="NL2018"/>
    <m/>
    <n v="0"/>
    <n v="0"/>
    <x v="16"/>
    <n v="0"/>
    <x v="1"/>
    <d v="2019-09-01T00:00:00"/>
    <s v=""/>
    <s v=""/>
    <m/>
    <m/>
    <m/>
    <m/>
    <m/>
    <m/>
    <m/>
    <m/>
    <m/>
    <m/>
    <m/>
    <m/>
    <n v="0"/>
    <n v="0"/>
    <n v="0"/>
  </r>
  <r>
    <s v="231/2019"/>
    <d v="2019-05-30T00:00:00"/>
    <s v="KIỀU THY"/>
    <s v="LH01"/>
    <x v="106"/>
    <x v="26"/>
    <s v="ROBINA"/>
    <m/>
    <s v="22.24"/>
    <s v="100"/>
    <s v="NL2018"/>
    <m/>
    <n v="0"/>
    <n v="0"/>
    <x v="29"/>
    <n v="0"/>
    <x v="1"/>
    <d v="2019-09-01T00:00:00"/>
    <s v=""/>
    <s v=""/>
    <m/>
    <m/>
    <m/>
    <m/>
    <m/>
    <m/>
    <m/>
    <m/>
    <m/>
    <m/>
    <m/>
    <m/>
    <n v="0"/>
    <n v="0"/>
    <n v="0"/>
  </r>
  <r>
    <s v="231/2019"/>
    <d v="2019-05-30T00:00:00"/>
    <s v="KIỀU THY"/>
    <s v="LH01"/>
    <x v="106"/>
    <x v="108"/>
    <s v="ROBINA NEWZELAND"/>
    <m/>
    <s v="20.22"/>
    <s v="125"/>
    <s v="NZ2019"/>
    <m/>
    <n v="64"/>
    <n v="8000"/>
    <x v="29"/>
    <n v="100000000"/>
    <x v="2"/>
    <d v="2019-09-01T00:00:00"/>
    <s v=""/>
    <s v=""/>
    <m/>
    <m/>
    <m/>
    <m/>
    <m/>
    <m/>
    <m/>
    <m/>
    <m/>
    <m/>
    <m/>
    <m/>
    <n v="0"/>
    <n v="8000"/>
    <n v="100000000"/>
  </r>
  <r>
    <s v="231/2019"/>
    <d v="2019-05-30T00:00:00"/>
    <s v="KIỀU THY"/>
    <s v="LH01"/>
    <x v="106"/>
    <x v="109"/>
    <s v="ROBINA NEWZELAND"/>
    <m/>
    <s v="22.24"/>
    <s v="100"/>
    <s v="NZ2019"/>
    <m/>
    <n v="70"/>
    <n v="7000"/>
    <x v="40"/>
    <n v="91000000"/>
    <x v="2"/>
    <d v="2019-09-01T00:00:00"/>
    <s v=""/>
    <s v=""/>
    <m/>
    <m/>
    <m/>
    <m/>
    <m/>
    <m/>
    <m/>
    <m/>
    <m/>
    <m/>
    <m/>
    <m/>
    <n v="0"/>
    <n v="7000"/>
    <n v="91000000"/>
  </r>
  <r>
    <s v="231/2019"/>
    <d v="2019-06-03T00:00:00"/>
    <s v="KIỀU THY"/>
    <s v="LH01"/>
    <x v="106"/>
    <x v="25"/>
    <s v="CONCADOR"/>
    <m/>
    <s v="18.20"/>
    <s v="150"/>
    <s v="NL2018"/>
    <m/>
    <n v="34"/>
    <n v="5100"/>
    <x v="27"/>
    <n v="40800000"/>
    <x v="2"/>
    <d v="2019-09-01T00:00:00"/>
    <s v=""/>
    <s v=""/>
    <m/>
    <m/>
    <m/>
    <m/>
    <m/>
    <m/>
    <m/>
    <m/>
    <m/>
    <m/>
    <m/>
    <m/>
    <n v="0"/>
    <n v="5100"/>
    <n v="40800000"/>
  </r>
  <r>
    <s v="231/2019"/>
    <d v="2019-06-03T00:00:00"/>
    <s v="KIỀU THY"/>
    <s v="LH01"/>
    <x v="106"/>
    <x v="110"/>
    <s v="CONCADOR"/>
    <m/>
    <s v="20.22"/>
    <s v="125"/>
    <s v="NZ2019"/>
    <m/>
    <n v="200"/>
    <n v="25000"/>
    <x v="53"/>
    <n v="300000000"/>
    <x v="2"/>
    <d v="2019-09-01T00:00:00"/>
    <s v=""/>
    <s v=""/>
    <m/>
    <m/>
    <m/>
    <m/>
    <m/>
    <m/>
    <m/>
    <m/>
    <m/>
    <m/>
    <m/>
    <m/>
    <n v="0"/>
    <n v="25000"/>
    <n v="300000000"/>
  </r>
  <r>
    <s v="190A/2019"/>
    <d v="2019-04-12T00:00:00"/>
    <s v="KIỀU THY"/>
    <s v="DH01"/>
    <x v="107"/>
    <x v="164"/>
    <s v="FELINO"/>
    <m/>
    <s v="16.18"/>
    <n v="200"/>
    <s v="NL2018"/>
    <m/>
    <n v="8"/>
    <n v="1600"/>
    <x v="166"/>
    <n v="11840000"/>
    <x v="0"/>
    <d v="2019-03-15T00:00:00"/>
    <d v="2019-04-19T00:00:00"/>
    <d v="2019-04-19T00:00:00"/>
    <s v="15/3AL"/>
    <m/>
    <m/>
    <m/>
    <d v="2019-04-20T00:00:00"/>
    <n v="800"/>
    <d v="2019-05-24T00:00:00"/>
    <n v="800"/>
    <m/>
    <m/>
    <m/>
    <m/>
    <n v="1600"/>
    <n v="0"/>
    <n v="0"/>
  </r>
  <r>
    <s v="49A/2019"/>
    <d v="2019-02-14T00:00:00"/>
    <s v="KIỀU THY"/>
    <s v="DH01"/>
    <x v="107"/>
    <x v="47"/>
    <s v="ROBINA"/>
    <m/>
    <s v="18.20"/>
    <n v="150"/>
    <s v="NL2018"/>
    <m/>
    <n v="7"/>
    <n v="1050"/>
    <x v="42"/>
    <n v="6615000"/>
    <x v="0"/>
    <d v="2019-02-15T00:00:00"/>
    <d v="2019-03-20T00:00:00"/>
    <d v="2019-03-20T00:00:00"/>
    <s v="15/2AL"/>
    <s v="CONT 10/2019"/>
    <d v="2019-03-17T00:00:00"/>
    <s v="R"/>
    <d v="2019-03-19T00:00:00"/>
    <n v="1050"/>
    <m/>
    <m/>
    <m/>
    <m/>
    <m/>
    <m/>
    <n v="1050"/>
    <n v="0"/>
    <n v="0"/>
  </r>
  <r>
    <s v="238/2019"/>
    <d v="2019-06-03T00:00:00"/>
    <s v="KIỀU THY"/>
    <s v="DH01"/>
    <x v="107"/>
    <x v="36"/>
    <s v="MANISSA"/>
    <m/>
    <s v="20.22"/>
    <n v="125"/>
    <s v="NL2018"/>
    <m/>
    <n v="16"/>
    <n v="2000"/>
    <x v="167"/>
    <n v="29200000"/>
    <x v="2"/>
    <d v="2019-09-01T00:00:00"/>
    <d v="2019-09-29T00:00:00"/>
    <d v="2019-09-29T00:00:00"/>
    <m/>
    <m/>
    <m/>
    <m/>
    <m/>
    <m/>
    <m/>
    <m/>
    <m/>
    <m/>
    <m/>
    <m/>
    <n v="0"/>
    <n v="2000"/>
    <n v="29200000"/>
  </r>
  <r>
    <s v="238/2019"/>
    <d v="2019-06-03T00:00:00"/>
    <s v="KIỀU THY"/>
    <s v="DH01"/>
    <x v="107"/>
    <x v="16"/>
    <s v="ROBINA"/>
    <m/>
    <s v="20.22"/>
    <n v="125"/>
    <s v="NL2018"/>
    <m/>
    <n v="8"/>
    <n v="1000"/>
    <x v="168"/>
    <n v="11700000"/>
    <x v="2"/>
    <d v="2019-09-01T00:00:00"/>
    <d v="2019-09-29T00:00:00"/>
    <d v="2019-09-29T00:00:00"/>
    <m/>
    <m/>
    <m/>
    <m/>
    <m/>
    <m/>
    <m/>
    <m/>
    <m/>
    <m/>
    <m/>
    <m/>
    <n v="0"/>
    <n v="1000"/>
    <n v="11700000"/>
  </r>
  <r>
    <s v="238/2019"/>
    <d v="2019-06-14T00:00:00"/>
    <s v="KIỀU THY"/>
    <s v="DH01"/>
    <x v="107"/>
    <x v="21"/>
    <s v="SERANO"/>
    <m/>
    <s v="18.20"/>
    <n v="150"/>
    <s v="NL2018"/>
    <m/>
    <n v="14"/>
    <n v="2100"/>
    <x v="5"/>
    <n v="16170000"/>
    <x v="2"/>
    <d v="2019-09-01T00:00:00"/>
    <d v="2019-09-29T00:00:00"/>
    <d v="2019-09-29T00:00:00"/>
    <m/>
    <m/>
    <m/>
    <m/>
    <m/>
    <m/>
    <m/>
    <m/>
    <m/>
    <m/>
    <m/>
    <m/>
    <n v="0"/>
    <n v="2100"/>
    <n v="16170000"/>
  </r>
  <r>
    <s v="236/2019"/>
    <d v="2019-06-01T00:00:00"/>
    <s v="KIỀU THY"/>
    <s v="LB01"/>
    <x v="108"/>
    <x v="25"/>
    <s v="CONCADOR"/>
    <m/>
    <s v="18.20"/>
    <s v="150"/>
    <s v="NL2018"/>
    <m/>
    <n v="34"/>
    <n v="5100"/>
    <x v="27"/>
    <n v="40800000"/>
    <x v="2"/>
    <d v="2019-09-01T00:00:00"/>
    <d v="2019-09-29T00:00:00"/>
    <d v="2019-09-29T00:00:00"/>
    <m/>
    <m/>
    <m/>
    <m/>
    <m/>
    <m/>
    <m/>
    <m/>
    <m/>
    <m/>
    <m/>
    <m/>
    <n v="0"/>
    <n v="5100"/>
    <n v="40800000"/>
  </r>
  <r>
    <s v="236/2019"/>
    <d v="2019-06-01T00:00:00"/>
    <s v="KIỀU THY"/>
    <s v="LB01"/>
    <x v="108"/>
    <x v="6"/>
    <s v="CONCADOR"/>
    <m/>
    <s v="20.22"/>
    <s v="125"/>
    <s v="NL2018"/>
    <m/>
    <n v="80"/>
    <n v="10000"/>
    <x v="7"/>
    <n v="106000000"/>
    <x v="2"/>
    <d v="2019-09-01T00:00:00"/>
    <d v="2019-09-29T00:00:00"/>
    <d v="2019-09-29T00:00:00"/>
    <m/>
    <m/>
    <m/>
    <m/>
    <m/>
    <m/>
    <m/>
    <m/>
    <m/>
    <m/>
    <m/>
    <m/>
    <n v="0"/>
    <n v="10000"/>
    <n v="106000000"/>
  </r>
  <r>
    <s v="236/2019"/>
    <d v="2019-06-01T00:00:00"/>
    <s v="KIỀU THY"/>
    <s v="LB01"/>
    <x v="108"/>
    <x v="110"/>
    <s v="CONCADOR NEWZELAND"/>
    <m/>
    <s v="20.22"/>
    <s v="125"/>
    <s v="NZ2019"/>
    <m/>
    <n v="40"/>
    <n v="5000"/>
    <x v="53"/>
    <n v="60000000"/>
    <x v="2"/>
    <d v="2019-09-01T00:00:00"/>
    <d v="2019-09-29T00:00:00"/>
    <d v="2019-09-29T00:00:00"/>
    <m/>
    <m/>
    <m/>
    <m/>
    <m/>
    <m/>
    <m/>
    <m/>
    <m/>
    <m/>
    <m/>
    <m/>
    <n v="0"/>
    <n v="5000"/>
    <n v="60000000"/>
  </r>
  <r>
    <s v="28A/2019"/>
    <d v="2019-01-15T00:00:00"/>
    <s v="KIỀU THY"/>
    <s v="VH05"/>
    <x v="109"/>
    <x v="15"/>
    <s v="CONCADOR "/>
    <m/>
    <s v="16.18"/>
    <n v="200"/>
    <s v="NL2018"/>
    <m/>
    <n v="54"/>
    <n v="10800"/>
    <x v="0"/>
    <n v="50760000"/>
    <x v="0"/>
    <d v="2019-01-15T00:00:00"/>
    <d v="2019-02-19T00:00:00"/>
    <d v="2019-02-19T00:00:00"/>
    <m/>
    <m/>
    <m/>
    <s v="R"/>
    <d v="2019-02-19T00:00:00"/>
    <n v="3000"/>
    <d v="2019-03-05T00:00:00"/>
    <n v="7800"/>
    <m/>
    <m/>
    <m/>
    <m/>
    <n v="10800"/>
    <n v="0"/>
    <n v="0"/>
  </r>
  <r>
    <s v="28A/2019"/>
    <d v="2019-01-15T00:00:00"/>
    <s v="KIỀU THY"/>
    <s v="VH05"/>
    <x v="109"/>
    <x v="73"/>
    <s v="YELLOWEEN"/>
    <m/>
    <s v="14.16"/>
    <n v="300"/>
    <s v="NL2017"/>
    <m/>
    <n v="18"/>
    <n v="5400"/>
    <x v="17"/>
    <n v="16200000"/>
    <x v="0"/>
    <d v="2019-02-07T00:00:00"/>
    <d v="2019-03-12T00:00:00"/>
    <d v="2019-03-12T00:00:00"/>
    <m/>
    <s v="CONT 87/2018"/>
    <m/>
    <m/>
    <d v="2019-03-12T00:00:00"/>
    <n v="2100"/>
    <d v="2019-03-16T00:00:00"/>
    <n v="300"/>
    <d v="2019-03-25T00:00:00"/>
    <n v="3000"/>
    <m/>
    <m/>
    <n v="5400"/>
    <n v="0"/>
    <n v="0"/>
  </r>
  <r>
    <s v="28A/2019"/>
    <d v="2019-01-15T00:00:00"/>
    <s v="KIỀU THY"/>
    <s v="VH05"/>
    <x v="109"/>
    <x v="22"/>
    <s v="ROBINA"/>
    <m/>
    <s v="16.18"/>
    <n v="200"/>
    <s v="NL2018"/>
    <m/>
    <n v="50"/>
    <n v="10000"/>
    <x v="23"/>
    <n v="48000000"/>
    <x v="0"/>
    <d v="2019-02-15T00:00:00"/>
    <d v="2019-03-20T00:00:00"/>
    <d v="2019-03-20T00:00:00"/>
    <m/>
    <s v="CONT 11/2019"/>
    <d v="2019-03-17T00:00:00"/>
    <s v="R"/>
    <d v="2019-03-19T00:00:00"/>
    <n v="5000"/>
    <d v="2019-04-02T00:00:00"/>
    <n v="5000"/>
    <m/>
    <m/>
    <m/>
    <m/>
    <n v="10000"/>
    <n v="0"/>
    <n v="0"/>
  </r>
  <r>
    <s v="155A/2019"/>
    <d v="2019-03-29T00:00:00"/>
    <s v="KIỀU THY"/>
    <s v="VH05"/>
    <x v="109"/>
    <x v="11"/>
    <s v="YELLOWEEN"/>
    <m/>
    <s v="12.14"/>
    <n v="400"/>
    <s v="NL2018"/>
    <m/>
    <n v="22"/>
    <n v="8800"/>
    <x v="47"/>
    <n v="23760000"/>
    <x v="0"/>
    <d v="2019-03-15T00:00:00"/>
    <d v="2019-04-19T00:00:00"/>
    <d v="2019-04-19T00:00:00"/>
    <s v="Chia làm 3 cử"/>
    <m/>
    <m/>
    <m/>
    <d v="2019-04-26T00:00:00"/>
    <n v="4000"/>
    <d v="2019-05-02T00:00:00"/>
    <n v="1200"/>
    <d v="2019-05-27T00:00:00"/>
    <n v="3600"/>
    <m/>
    <m/>
    <n v="8800"/>
    <n v="0"/>
    <n v="0"/>
  </r>
  <r>
    <s v="28A/2019"/>
    <d v="2019-01-15T00:00:00"/>
    <s v="KIỀU THY"/>
    <s v="VH05"/>
    <x v="109"/>
    <x v="15"/>
    <s v="CONCADOR "/>
    <m/>
    <s v="16.18"/>
    <n v="200"/>
    <s v="NL2018"/>
    <m/>
    <n v="25"/>
    <n v="5000"/>
    <x v="18"/>
    <n v="25000000"/>
    <x v="0"/>
    <d v="2019-03-15T00:00:00"/>
    <d v="2019-04-19T00:00:00"/>
    <d v="2019-04-19T00:00:00"/>
    <m/>
    <s v="CONT 22/2019"/>
    <d v="2019-04-14T00:00:00"/>
    <s v="R"/>
    <d v="2019-04-26T00:00:00"/>
    <n v="2000"/>
    <d v="2019-05-09T00:00:00"/>
    <n v="3000"/>
    <m/>
    <m/>
    <m/>
    <m/>
    <n v="5000"/>
    <n v="0"/>
    <n v="0"/>
  </r>
  <r>
    <s v="155A/2019"/>
    <d v="2019-03-29T00:00:00"/>
    <s v="KIỀU THY"/>
    <s v="VH05"/>
    <x v="109"/>
    <x v="22"/>
    <s v="ROBINA"/>
    <m/>
    <s v="16.18"/>
    <n v="200"/>
    <s v="NL2018"/>
    <m/>
    <n v="70"/>
    <n v="14000"/>
    <x v="11"/>
    <n v="75600000"/>
    <x v="0"/>
    <d v="2019-04-17T00:00:00"/>
    <d v="2019-05-21T00:00:00"/>
    <d v="2019-05-21T00:00:00"/>
    <s v="10/4AL_MỖI CỬ VỀ 7.000/15 NGÀY"/>
    <m/>
    <m/>
    <m/>
    <d v="2019-05-18T00:00:00"/>
    <n v="6000"/>
    <d v="2019-05-22T00:00:00"/>
    <n v="200"/>
    <d v="2019-06-04T00:00:00"/>
    <n v="7800"/>
    <m/>
    <m/>
    <n v="14000"/>
    <n v="0"/>
    <n v="0"/>
  </r>
  <r>
    <s v="155A/2019"/>
    <d v="2019-03-29T00:00:00"/>
    <s v="KIỀU THY"/>
    <s v="VH05"/>
    <x v="109"/>
    <x v="31"/>
    <s v="TARRANGO"/>
    <m/>
    <s v="14.16"/>
    <n v="300"/>
    <s v="NL2018"/>
    <m/>
    <n v="15"/>
    <n v="4500"/>
    <x v="23"/>
    <n v="21600000"/>
    <x v="0"/>
    <d v="2019-04-17T00:00:00"/>
    <d v="2019-05-21T00:00:00"/>
    <d v="2019-05-21T00:00:00"/>
    <s v="10/4AL_MỖI CỬ VỀ 4.500/15 NGÀY"/>
    <m/>
    <m/>
    <m/>
    <d v="2019-06-04T00:00:00"/>
    <n v="3000"/>
    <m/>
    <m/>
    <m/>
    <m/>
    <m/>
    <m/>
    <n v="3000"/>
    <n v="1500"/>
    <n v="7200000"/>
  </r>
  <r>
    <s v="155A/2019"/>
    <d v="2019-05-19T00:00:00"/>
    <s v="KIỀU THY"/>
    <s v="VH05"/>
    <x v="109"/>
    <x v="32"/>
    <s v="BACARDI"/>
    <m/>
    <s v="16.18"/>
    <n v="200"/>
    <s v="NL2018"/>
    <m/>
    <n v="3"/>
    <n v="600"/>
    <x v="33"/>
    <n v="4200000"/>
    <x v="0"/>
    <d v="2019-04-17T00:00:00"/>
    <d v="2019-05-21T00:00:00"/>
    <d v="2019-05-21T00:00:00"/>
    <m/>
    <m/>
    <m/>
    <m/>
    <d v="2019-06-04T00:00:00"/>
    <n v="600"/>
    <m/>
    <m/>
    <m/>
    <m/>
    <m/>
    <m/>
    <n v="600"/>
    <n v="0"/>
    <n v="0"/>
  </r>
  <r>
    <s v="155A/2019"/>
    <d v="2019-05-19T00:00:00"/>
    <s v="KIỀU THY"/>
    <s v="VH05"/>
    <x v="109"/>
    <x v="62"/>
    <s v="BACARDI"/>
    <m/>
    <s v="15.16"/>
    <n v="300"/>
    <s v="NL2018"/>
    <m/>
    <n v="8"/>
    <n v="2400"/>
    <x v="13"/>
    <n v="10800000"/>
    <x v="4"/>
    <d v="2019-04-17T00:00:00"/>
    <d v="2019-05-21T00:00:00"/>
    <d v="2019-05-21T00:00:00"/>
    <m/>
    <m/>
    <m/>
    <m/>
    <d v="2019-06-04T00:00:00"/>
    <n v="300"/>
    <m/>
    <m/>
    <m/>
    <m/>
    <m/>
    <m/>
    <n v="300"/>
    <n v="2100"/>
    <n v="9450000"/>
  </r>
  <r>
    <s v="155A/2019"/>
    <d v="2019-05-19T00:00:00"/>
    <s v="KIỀU THY"/>
    <s v="VH05"/>
    <x v="109"/>
    <x v="61"/>
    <s v="BACARDI"/>
    <m/>
    <s v="15.16"/>
    <n v="250"/>
    <s v="NL2018"/>
    <m/>
    <n v="8"/>
    <n v="2000"/>
    <x v="13"/>
    <n v="9000000"/>
    <x v="0"/>
    <d v="2019-03-15T00:00:00"/>
    <d v="2019-04-19T00:00:00"/>
    <d v="2019-04-19T00:00:00"/>
    <m/>
    <m/>
    <m/>
    <m/>
    <d v="2019-06-04T00:00:00"/>
    <n v="2000"/>
    <m/>
    <m/>
    <m/>
    <m/>
    <m/>
    <m/>
    <n v="2000"/>
    <n v="0"/>
    <n v="0"/>
  </r>
  <r>
    <s v="155A/2019"/>
    <d v="2019-05-19T00:00:00"/>
    <s v="KIỀU THY"/>
    <s v="VH05"/>
    <x v="109"/>
    <x v="173"/>
    <s v="BACARDI"/>
    <m/>
    <s v="18.20"/>
    <n v="150"/>
    <s v="NL2018"/>
    <m/>
    <n v="31"/>
    <n v="4650"/>
    <x v="127"/>
    <n v="41850000"/>
    <x v="2"/>
    <d v="2019-08-30T00:00:00"/>
    <d v="2019-09-28T00:00:00"/>
    <d v="2019-09-28T00:00:00"/>
    <m/>
    <m/>
    <m/>
    <m/>
    <m/>
    <m/>
    <m/>
    <m/>
    <m/>
    <m/>
    <m/>
    <m/>
    <n v="0"/>
    <n v="4650"/>
    <n v="41850000"/>
  </r>
  <r>
    <s v="155A/2019"/>
    <d v="2019-03-29T00:00:00"/>
    <s v="KIỀU THY"/>
    <s v="VH05"/>
    <x v="109"/>
    <x v="22"/>
    <s v="ROBINA"/>
    <m/>
    <s v="16.18"/>
    <n v="200"/>
    <s v="NL2018"/>
    <m/>
    <n v="35"/>
    <n v="7000"/>
    <x v="44"/>
    <n v="38500000"/>
    <x v="4"/>
    <d v="2019-05-05T00:00:00"/>
    <d v="2019-06-07T00:00:00"/>
    <d v="2019-06-07T00:00:00"/>
    <m/>
    <m/>
    <m/>
    <m/>
    <m/>
    <m/>
    <m/>
    <m/>
    <m/>
    <m/>
    <m/>
    <m/>
    <n v="0"/>
    <n v="7000"/>
    <n v="38500000"/>
  </r>
  <r>
    <s v="155A/2019"/>
    <d v="2019-03-29T00:00:00"/>
    <s v="KIỀU THY"/>
    <s v="VH05"/>
    <x v="109"/>
    <x v="31"/>
    <s v="TARRANGO"/>
    <m/>
    <s v="14.16"/>
    <n v="300"/>
    <s v="NL2018"/>
    <m/>
    <n v="30"/>
    <n v="9000"/>
    <x v="23"/>
    <n v="43200000"/>
    <x v="4"/>
    <d v="2019-05-05T00:00:00"/>
    <d v="2019-06-07T00:00:00"/>
    <d v="2019-06-07T00:00:00"/>
    <m/>
    <m/>
    <m/>
    <m/>
    <m/>
    <m/>
    <m/>
    <m/>
    <m/>
    <m/>
    <m/>
    <m/>
    <n v="0"/>
    <n v="9000"/>
    <n v="43200000"/>
  </r>
  <r>
    <s v="155A/2019"/>
    <d v="2019-03-29T00:00:00"/>
    <s v="KIỀU THY"/>
    <s v="VH05"/>
    <x v="109"/>
    <x v="31"/>
    <s v="TARRANGO"/>
    <m/>
    <s v="14.16"/>
    <n v="300"/>
    <s v="NL2018"/>
    <m/>
    <n v="15"/>
    <n v="4500"/>
    <x v="23"/>
    <n v="21600000"/>
    <x v="3"/>
    <d v="2019-05-18T00:00:00"/>
    <d v="2019-06-20T00:00:00"/>
    <d v="2019-06-20T00:00:00"/>
    <m/>
    <m/>
    <m/>
    <m/>
    <m/>
    <m/>
    <m/>
    <m/>
    <m/>
    <m/>
    <m/>
    <m/>
    <n v="0"/>
    <n v="4500"/>
    <n v="21600000"/>
  </r>
  <r>
    <s v="155A/2019"/>
    <d v="2019-03-29T00:00:00"/>
    <s v="KIỀU THY"/>
    <s v="VH05"/>
    <x v="109"/>
    <x v="22"/>
    <s v="ROBINA"/>
    <m/>
    <s v="16.18"/>
    <n v="200"/>
    <s v="NL2018"/>
    <m/>
    <n v="35"/>
    <n v="7000"/>
    <x v="44"/>
    <n v="38500000"/>
    <x v="3"/>
    <d v="2019-05-18T00:00:00"/>
    <d v="2019-06-20T00:00:00"/>
    <d v="2019-06-20T00:00:00"/>
    <m/>
    <m/>
    <m/>
    <m/>
    <m/>
    <m/>
    <m/>
    <m/>
    <m/>
    <m/>
    <m/>
    <m/>
    <n v="0"/>
    <n v="7000"/>
    <n v="38500000"/>
  </r>
  <r>
    <s v="155A/2019"/>
    <d v="2019-03-29T00:00:00"/>
    <s v="KIỀU THY"/>
    <s v="VH05"/>
    <x v="109"/>
    <x v="31"/>
    <s v="TARRANGO"/>
    <m/>
    <s v="14.16"/>
    <n v="300"/>
    <s v="NL2018"/>
    <m/>
    <n v="15"/>
    <n v="4500"/>
    <x v="23"/>
    <n v="21600000"/>
    <x v="3"/>
    <d v="2019-05-30T00:00:00"/>
    <d v="2019-07-02T00:00:00"/>
    <d v="2019-07-02T00:00:00"/>
    <s v="T5/AL"/>
    <m/>
    <m/>
    <m/>
    <m/>
    <m/>
    <m/>
    <m/>
    <m/>
    <m/>
    <m/>
    <m/>
    <n v="0"/>
    <n v="4500"/>
    <n v="21600000"/>
  </r>
  <r>
    <s v="155A/2019"/>
    <d v="2019-03-29T00:00:00"/>
    <s v="KIỀU THY"/>
    <s v="VH05"/>
    <x v="109"/>
    <x v="22"/>
    <s v="ROBINA"/>
    <m/>
    <s v="16.18"/>
    <n v="200"/>
    <s v="NL2018"/>
    <m/>
    <n v="35"/>
    <n v="7000"/>
    <x v="44"/>
    <n v="38500000"/>
    <x v="3"/>
    <d v="2019-06-15T00:00:00"/>
    <d v="2019-07-17T00:00:00"/>
    <d v="2019-07-17T00:00:00"/>
    <m/>
    <m/>
    <m/>
    <m/>
    <m/>
    <m/>
    <m/>
    <m/>
    <m/>
    <m/>
    <m/>
    <m/>
    <n v="0"/>
    <n v="7000"/>
    <n v="38500000"/>
  </r>
  <r>
    <s v="155A/2019"/>
    <d v="2019-03-29T00:00:00"/>
    <s v="KIỀU THY"/>
    <s v="VH05"/>
    <x v="109"/>
    <x v="22"/>
    <s v="ROBINA"/>
    <m/>
    <s v="16.18"/>
    <n v="200"/>
    <s v="NL2018"/>
    <m/>
    <n v="325"/>
    <n v="65000"/>
    <x v="169"/>
    <m/>
    <x v="2"/>
    <d v="2019-07-01T00:00:00"/>
    <d v="2019-08-01T00:00:00"/>
    <d v="2019-08-01T00:00:00"/>
    <s v="T5/AL TRỞ ĐI"/>
    <m/>
    <m/>
    <m/>
    <m/>
    <m/>
    <m/>
    <m/>
    <m/>
    <m/>
    <m/>
    <m/>
    <n v="0"/>
    <n v="65000"/>
    <e v="#VALUE!"/>
  </r>
  <r>
    <s v="158A/2019"/>
    <d v="2019-03-30T00:00:00"/>
    <s v="KIỀU THY"/>
    <s v="VH05"/>
    <x v="109"/>
    <x v="25"/>
    <s v="CONCADOR"/>
    <m/>
    <s v="18.20"/>
    <n v="150"/>
    <s v="NL2018"/>
    <m/>
    <n v="60"/>
    <n v="9000"/>
    <x v="27"/>
    <n v="72000000"/>
    <x v="2"/>
    <d v="2019-09-01T00:00:00"/>
    <d v="2019-09-29T00:00:00"/>
    <d v="2019-09-29T00:00:00"/>
    <s v="TẾT"/>
    <m/>
    <m/>
    <m/>
    <m/>
    <m/>
    <m/>
    <m/>
    <m/>
    <m/>
    <m/>
    <m/>
    <n v="0"/>
    <n v="9000"/>
    <n v="72000000"/>
  </r>
  <r>
    <s v="158A/2019"/>
    <d v="2019-03-30T00:00:00"/>
    <s v="KIỀU THY"/>
    <s v="VH05"/>
    <x v="109"/>
    <x v="47"/>
    <s v="ROBINA"/>
    <m/>
    <s v="18.20"/>
    <n v="150"/>
    <s v="NL2018"/>
    <m/>
    <n v="40"/>
    <n v="6000"/>
    <x v="5"/>
    <n v="46200000"/>
    <x v="2"/>
    <d v="2019-09-01T00:00:00"/>
    <d v="2019-09-29T00:00:00"/>
    <d v="2019-09-29T00:00:00"/>
    <s v="TẾT"/>
    <m/>
    <m/>
    <m/>
    <m/>
    <m/>
    <m/>
    <m/>
    <m/>
    <m/>
    <m/>
    <m/>
    <n v="0"/>
    <n v="6000"/>
    <n v="46200000"/>
  </r>
  <r>
    <s v="158A/2019"/>
    <d v="2019-03-30T00:00:00"/>
    <s v="KIỀU THY"/>
    <s v="VH05"/>
    <x v="109"/>
    <x v="16"/>
    <s v="ROBINA"/>
    <m/>
    <s v="20.22"/>
    <n v="125"/>
    <s v="NL2018"/>
    <m/>
    <n v="32"/>
    <n v="4000"/>
    <x v="16"/>
    <n v="42800000"/>
    <x v="2"/>
    <d v="2019-09-01T00:00:00"/>
    <d v="2019-09-29T00:00:00"/>
    <d v="2019-09-29T00:00:00"/>
    <s v="TẾT"/>
    <m/>
    <m/>
    <m/>
    <m/>
    <m/>
    <m/>
    <m/>
    <m/>
    <m/>
    <m/>
    <m/>
    <n v="0"/>
    <n v="4000"/>
    <n v="42800000"/>
  </r>
  <r>
    <s v="158A/2019"/>
    <d v="2019-03-30T00:00:00"/>
    <s v="KIỀU THY"/>
    <s v="VH05"/>
    <x v="109"/>
    <x v="87"/>
    <s v="PROFUNDO"/>
    <m/>
    <s v="22.24"/>
    <n v="100"/>
    <s v="NL2018"/>
    <m/>
    <n v="30"/>
    <n v="3000"/>
    <x v="167"/>
    <n v="43800000"/>
    <x v="2"/>
    <d v="2019-09-01T00:00:00"/>
    <d v="2019-09-29T00:00:00"/>
    <d v="2019-09-29T00:00:00"/>
    <s v="TẾT"/>
    <m/>
    <m/>
    <m/>
    <m/>
    <m/>
    <m/>
    <m/>
    <m/>
    <m/>
    <m/>
    <m/>
    <n v="0"/>
    <n v="3000"/>
    <n v="43800000"/>
  </r>
  <r>
    <s v="28A/2019"/>
    <d v="2019-01-15T00:00:00"/>
    <s v="KIỀU THY"/>
    <s v="VH05"/>
    <x v="109"/>
    <x v="6"/>
    <s v="CONCADOR"/>
    <m/>
    <s v="20.22"/>
    <n v="125"/>
    <s v="NL2018"/>
    <m/>
    <n v="128"/>
    <n v="16000"/>
    <x v="59"/>
    <n v="168000000"/>
    <x v="2"/>
    <d v="2019-09-01T00:00:00"/>
    <d v="2019-09-29T00:00:00"/>
    <d v="2019-09-29T00:00:00"/>
    <s v="TẾT"/>
    <m/>
    <m/>
    <s v="R"/>
    <m/>
    <n v="0"/>
    <m/>
    <m/>
    <m/>
    <m/>
    <m/>
    <m/>
    <n v="0"/>
    <n v="16000"/>
    <n v="168000000"/>
  </r>
  <r>
    <s v="28A/2019"/>
    <d v="2019-01-15T00:00:00"/>
    <s v="KIỀU THY"/>
    <s v="VH05"/>
    <x v="109"/>
    <x v="46"/>
    <s v="CONCADOR"/>
    <m/>
    <s v="22.24"/>
    <n v="100"/>
    <s v="NL2018"/>
    <m/>
    <n v="50"/>
    <n v="5000"/>
    <x v="29"/>
    <n v="62500000"/>
    <x v="2"/>
    <d v="2019-09-01T00:00:00"/>
    <d v="2019-09-29T00:00:00"/>
    <d v="2019-09-29T00:00:00"/>
    <s v="TẾT"/>
    <m/>
    <m/>
    <s v="R"/>
    <m/>
    <n v="0"/>
    <m/>
    <m/>
    <m/>
    <m/>
    <m/>
    <m/>
    <n v="0"/>
    <n v="5000"/>
    <n v="62500000"/>
  </r>
  <r>
    <s v="28A/2019"/>
    <d v="2019-01-15T00:00:00"/>
    <s v="KIỀU THY"/>
    <s v="VH05"/>
    <x v="109"/>
    <x v="36"/>
    <s v="MANISSA"/>
    <m/>
    <s v="20.22"/>
    <n v="125"/>
    <s v="NL2018"/>
    <m/>
    <n v="40"/>
    <n v="5000"/>
    <x v="37"/>
    <n v="67500000"/>
    <x v="2"/>
    <d v="2019-09-01T00:00:00"/>
    <d v="2019-09-29T00:00:00"/>
    <d v="2019-09-29T00:00:00"/>
    <s v="TẾT"/>
    <m/>
    <m/>
    <s v="R"/>
    <m/>
    <n v="0"/>
    <m/>
    <m/>
    <m/>
    <m/>
    <m/>
    <m/>
    <n v="0"/>
    <n v="5000"/>
    <n v="67500000"/>
  </r>
  <r>
    <s v="28A/2019"/>
    <d v="2019-01-15T00:00:00"/>
    <s v="KIỀU THY"/>
    <s v="VH05"/>
    <x v="109"/>
    <x v="9"/>
    <s v="MANISSA"/>
    <m/>
    <s v="22.24"/>
    <n v="100"/>
    <s v="NL2018"/>
    <m/>
    <n v="30"/>
    <n v="3000"/>
    <x v="38"/>
    <n v="45600000"/>
    <x v="2"/>
    <d v="2019-09-01T00:00:00"/>
    <d v="2019-09-29T00:00:00"/>
    <d v="2019-09-29T00:00:00"/>
    <s v="TẾT"/>
    <m/>
    <m/>
    <s v="R"/>
    <m/>
    <n v="0"/>
    <m/>
    <m/>
    <m/>
    <m/>
    <m/>
    <m/>
    <n v="0"/>
    <n v="3000"/>
    <n v="45600000"/>
  </r>
  <r>
    <s v="28A/2019"/>
    <d v="2019-01-15T00:00:00"/>
    <s v="KIỀU THY"/>
    <s v="VH05"/>
    <x v="109"/>
    <x v="27"/>
    <s v="MANISSA"/>
    <m/>
    <s v="24+"/>
    <n v="75"/>
    <s v="NL2018"/>
    <m/>
    <n v="54"/>
    <n v="4050"/>
    <x v="30"/>
    <n v="64800000"/>
    <x v="2"/>
    <d v="2019-09-01T00:00:00"/>
    <d v="2019-09-29T00:00:00"/>
    <d v="2019-09-29T00:00:00"/>
    <s v="TẾT"/>
    <m/>
    <m/>
    <s v="R"/>
    <m/>
    <n v="0"/>
    <m/>
    <m/>
    <m/>
    <m/>
    <m/>
    <m/>
    <n v="0"/>
    <n v="4050"/>
    <n v="64800000"/>
  </r>
  <r>
    <s v="28A/2019"/>
    <d v="2019-01-15T00:00:00"/>
    <s v="KIỀU THY"/>
    <s v="VH05"/>
    <x v="109"/>
    <x v="16"/>
    <s v="ROBINA"/>
    <m/>
    <s v="20.22"/>
    <n v="125"/>
    <s v="NL2018"/>
    <m/>
    <n v="72"/>
    <n v="9000"/>
    <x v="59"/>
    <n v="94500000"/>
    <x v="2"/>
    <d v="2019-09-01T00:00:00"/>
    <d v="2019-09-29T00:00:00"/>
    <d v="2019-09-29T00:00:00"/>
    <s v="TẾT"/>
    <m/>
    <m/>
    <s v="R"/>
    <m/>
    <n v="0"/>
    <m/>
    <m/>
    <m/>
    <m/>
    <m/>
    <m/>
    <n v="0"/>
    <n v="9000"/>
    <n v="94500000"/>
  </r>
  <r>
    <s v="28A/2019"/>
    <d v="2019-01-15T00:00:00"/>
    <s v="KIỀU THY"/>
    <s v="VH05"/>
    <x v="109"/>
    <x v="26"/>
    <s v="ROBINA"/>
    <m/>
    <s v="22.24"/>
    <n v="100"/>
    <s v="NL2018"/>
    <m/>
    <n v="50"/>
    <n v="5000"/>
    <x v="29"/>
    <n v="62500000"/>
    <x v="2"/>
    <d v="2019-09-01T00:00:00"/>
    <d v="2019-09-29T00:00:00"/>
    <d v="2019-09-29T00:00:00"/>
    <s v="TẾT"/>
    <m/>
    <m/>
    <s v="R"/>
    <m/>
    <n v="0"/>
    <m/>
    <m/>
    <m/>
    <m/>
    <m/>
    <m/>
    <n v="0"/>
    <n v="5000"/>
    <n v="62500000"/>
  </r>
  <r>
    <s v="28A/2019"/>
    <d v="2019-01-15T00:00:00"/>
    <s v="KIỀU THY"/>
    <s v="VH05"/>
    <x v="109"/>
    <x v="15"/>
    <s v="CONCADOR "/>
    <m/>
    <s v="16.18"/>
    <n v="200"/>
    <s v="NL2018"/>
    <m/>
    <n v="25"/>
    <n v="5000"/>
    <x v="0"/>
    <n v="23500000"/>
    <x v="0"/>
    <s v="29-Feb-19"/>
    <d v="2019-04-03T00:00:00"/>
    <d v="2019-04-03T00:00:00"/>
    <m/>
    <s v="CONT 17/2019"/>
    <d v="2019-03-31T00:00:00"/>
    <s v="R"/>
    <d v="2019-04-13T00:00:00"/>
    <n v="2000"/>
    <d v="2019-04-26T00:00:00"/>
    <n v="3000"/>
    <m/>
    <m/>
    <m/>
    <m/>
    <n v="5000"/>
    <n v="0"/>
    <n v="0"/>
  </r>
  <r>
    <s v="28A/2019"/>
    <d v="2019-01-15T00:00:00"/>
    <s v="KIỀU THY"/>
    <s v="VH05"/>
    <x v="109"/>
    <x v="29"/>
    <s v="MANISSA"/>
    <m/>
    <s v="16.18"/>
    <n v="200"/>
    <s v="NL2018"/>
    <m/>
    <n v="60"/>
    <n v="12000"/>
    <x v="45"/>
    <n v="80400000"/>
    <x v="0"/>
    <s v="29-Feb-19"/>
    <d v="2019-04-03T00:00:00"/>
    <d v="2019-04-03T00:00:00"/>
    <m/>
    <s v="CONT 16/2019"/>
    <d v="2019-03-31T00:00:00"/>
    <s v="R"/>
    <d v="2019-04-02T00:00:00"/>
    <n v="3000"/>
    <d v="2019-04-20T00:00:00"/>
    <n v="9000"/>
    <m/>
    <m/>
    <m/>
    <m/>
    <n v="12000"/>
    <n v="0"/>
    <n v="0"/>
  </r>
  <r>
    <s v="28A/2019"/>
    <d v="2019-01-15T00:00:00"/>
    <s v="KIỀU THY"/>
    <s v="VH05"/>
    <x v="109"/>
    <x v="78"/>
    <s v="NATALIA"/>
    <s v="RL"/>
    <s v="12.14"/>
    <n v="400"/>
    <s v="NL2018"/>
    <m/>
    <n v="1"/>
    <n v="400"/>
    <x v="27"/>
    <n v="3200000"/>
    <x v="0"/>
    <s v="29-Feb-19"/>
    <d v="2019-04-03T00:00:00"/>
    <d v="2019-04-03T00:00:00"/>
    <m/>
    <s v="CONT 17/2019"/>
    <d v="2019-03-31T00:00:00"/>
    <s v="R"/>
    <d v="2019-04-20T00:00:00"/>
    <n v="400"/>
    <m/>
    <m/>
    <m/>
    <m/>
    <m/>
    <m/>
    <n v="400"/>
    <n v="0"/>
    <n v="0"/>
  </r>
  <r>
    <s v="28A/2019"/>
    <d v="2019-01-15T00:00:00"/>
    <s v="KIỀU THY"/>
    <s v="VH05"/>
    <x v="109"/>
    <x v="22"/>
    <s v="ROBINA"/>
    <m/>
    <s v="16.18"/>
    <n v="200"/>
    <s v="NL2018"/>
    <m/>
    <n v="95"/>
    <n v="19000"/>
    <x v="23"/>
    <n v="91200000"/>
    <x v="0"/>
    <s v="29-Feb-19"/>
    <d v="2019-04-03T00:00:00"/>
    <d v="2019-04-03T00:00:00"/>
    <s v="30/2AL"/>
    <s v="CONT 15/2019"/>
    <d v="2019-03-31T00:00:00"/>
    <s v="R"/>
    <d v="2019-04-02T00:00:00"/>
    <n v="2000"/>
    <d v="2019-04-20T00:00:00"/>
    <n v="10000"/>
    <d v="2019-05-03T00:00:00"/>
    <n v="7000"/>
    <m/>
    <m/>
    <n v="19000"/>
    <n v="0"/>
    <n v="0"/>
  </r>
  <r>
    <s v="28A/2019"/>
    <d v="2019-01-15T00:00:00"/>
    <s v="KIỀU THY"/>
    <s v="VH05"/>
    <x v="109"/>
    <x v="24"/>
    <s v="SERANO"/>
    <m/>
    <s v="14.16"/>
    <n v="300"/>
    <s v="NL2018"/>
    <m/>
    <n v="10"/>
    <n v="3000"/>
    <x v="68"/>
    <n v="10500000"/>
    <x v="0"/>
    <s v="29-Feb-19"/>
    <d v="2019-04-03T00:00:00"/>
    <d v="2019-04-03T00:00:00"/>
    <m/>
    <s v="CONT 17/2019"/>
    <d v="2019-03-31T00:00:00"/>
    <s v="R"/>
    <d v="2019-04-20T00:00:00"/>
    <n v="3000"/>
    <m/>
    <m/>
    <m/>
    <m/>
    <m/>
    <m/>
    <n v="3000"/>
    <n v="0"/>
    <n v="0"/>
  </r>
  <r>
    <s v="28A/2019"/>
    <d v="2019-01-15T00:00:00"/>
    <s v="KIỀU THY"/>
    <s v="VH05"/>
    <x v="109"/>
    <x v="11"/>
    <s v="YELLOWEEN"/>
    <m/>
    <s v="12.14"/>
    <n v="400"/>
    <s v="NL2018"/>
    <m/>
    <n v="25"/>
    <n v="10000"/>
    <x v="12"/>
    <n v="26000000"/>
    <x v="0"/>
    <s v="29-Feb-19"/>
    <d v="2019-04-03T00:00:00"/>
    <d v="2019-04-03T00:00:00"/>
    <m/>
    <s v="CONT 18/2019"/>
    <d v="2019-03-31T00:00:00"/>
    <s v="R"/>
    <d v="2019-04-13T00:00:00"/>
    <n v="3200"/>
    <d v="2019-05-09T00:00:00"/>
    <n v="6800"/>
    <m/>
    <m/>
    <m/>
    <m/>
    <n v="10000"/>
    <n v="0"/>
    <n v="0"/>
  </r>
  <r>
    <s v="28A/2019"/>
    <d v="2019-01-15T00:00:00"/>
    <s v="KIỀU THY"/>
    <s v="VH05"/>
    <x v="109"/>
    <x v="39"/>
    <s v="MANISSA"/>
    <s v="PR"/>
    <s v="16.18"/>
    <n v="200"/>
    <s v="NL2018"/>
    <m/>
    <n v="15"/>
    <n v="3000"/>
    <x v="46"/>
    <n v="18000000"/>
    <x v="0"/>
    <m/>
    <s v=""/>
    <s v=""/>
    <m/>
    <m/>
    <m/>
    <m/>
    <d v="2019-04-02T00:00:00"/>
    <n v="3000"/>
    <m/>
    <m/>
    <m/>
    <m/>
    <m/>
    <m/>
    <n v="3000"/>
    <n v="0"/>
    <n v="0"/>
  </r>
  <r>
    <s v="28A/2019"/>
    <d v="2019-01-15T00:00:00"/>
    <s v="KIỀU THY"/>
    <s v="VH05"/>
    <x v="109"/>
    <x v="79"/>
    <s v="YELLOWEEN"/>
    <m/>
    <s v="16.18"/>
    <n v="200"/>
    <s v="NL2017"/>
    <m/>
    <n v="10"/>
    <n v="2000"/>
    <x v="6"/>
    <n v="7600000"/>
    <x v="0"/>
    <m/>
    <s v=""/>
    <s v=""/>
    <m/>
    <m/>
    <m/>
    <m/>
    <d v="2019-03-02T00:00:00"/>
    <n v="1000"/>
    <d v="2019-03-12T00:00:00"/>
    <n v="1000"/>
    <m/>
    <m/>
    <m/>
    <m/>
    <n v="2000"/>
    <n v="0"/>
    <n v="0"/>
  </r>
  <r>
    <s v="183B/2019"/>
    <d v="2019-05-21T00:00:00"/>
    <s v="THANH THÚY"/>
    <s v="TH02"/>
    <x v="110"/>
    <x v="6"/>
    <s v="CONCADOR"/>
    <m/>
    <s v="20.22"/>
    <s v="125"/>
    <s v="NL2018"/>
    <m/>
    <n v="160"/>
    <n v="20000"/>
    <x v="7"/>
    <n v="212000000"/>
    <x v="2"/>
    <d v="2019-09-01T00:00:00"/>
    <d v="2019-09-29T00:00:00"/>
    <d v="2019-09-29T00:00:00"/>
    <m/>
    <m/>
    <m/>
    <m/>
    <m/>
    <m/>
    <m/>
    <m/>
    <m/>
    <m/>
    <m/>
    <m/>
    <n v="0"/>
    <n v="20000"/>
    <n v="212000000"/>
  </r>
  <r>
    <s v="183B/2019"/>
    <d v="2019-05-21T00:00:00"/>
    <s v="THANH THÚY"/>
    <s v="TH02"/>
    <x v="110"/>
    <x v="16"/>
    <s v="ROBINA"/>
    <m/>
    <s v="20.22"/>
    <s v="125"/>
    <s v="NL2018"/>
    <m/>
    <n v="0"/>
    <n v="0"/>
    <x v="16"/>
    <n v="0"/>
    <x v="1"/>
    <d v="2019-09-01T00:00:00"/>
    <d v="2019-09-29T00:00:00"/>
    <d v="2019-09-29T00:00:00"/>
    <m/>
    <m/>
    <m/>
    <m/>
    <m/>
    <m/>
    <m/>
    <m/>
    <m/>
    <m/>
    <m/>
    <m/>
    <n v="0"/>
    <n v="0"/>
    <n v="0"/>
  </r>
  <r>
    <s v="183B/2019"/>
    <d v="2019-05-21T00:00:00"/>
    <s v="THANH THÚY"/>
    <s v="TH02"/>
    <x v="110"/>
    <x v="70"/>
    <s v="INDIANA"/>
    <m/>
    <s v="18.20"/>
    <s v="150"/>
    <s v="NL2018"/>
    <m/>
    <n v="134"/>
    <n v="20100"/>
    <x v="39"/>
    <n v="203010000"/>
    <x v="2"/>
    <d v="2019-09-01T00:00:00"/>
    <d v="2019-09-29T00:00:00"/>
    <d v="2019-09-29T00:00:00"/>
    <m/>
    <m/>
    <m/>
    <m/>
    <m/>
    <m/>
    <m/>
    <m/>
    <m/>
    <m/>
    <m/>
    <m/>
    <n v="0"/>
    <n v="20100"/>
    <n v="203010000"/>
  </r>
  <r>
    <s v="02A/2019"/>
    <d v="2019-03-18T00:00:00"/>
    <s v="KIỀU THY"/>
    <s v="MN01"/>
    <x v="111"/>
    <x v="143"/>
    <s v="NELLO "/>
    <m/>
    <s v="18.20"/>
    <s v="150"/>
    <s v="NL2018"/>
    <m/>
    <n v="34"/>
    <n v="5100"/>
    <x v="35"/>
    <n v="36720000"/>
    <x v="2"/>
    <d v="2019-09-01T00:00:00"/>
    <d v="2019-09-29T00:00:00"/>
    <d v="2019-09-29T00:00:00"/>
    <m/>
    <m/>
    <m/>
    <m/>
    <m/>
    <m/>
    <m/>
    <m/>
    <m/>
    <m/>
    <m/>
    <m/>
    <n v="0"/>
    <n v="5100"/>
    <n v="36720000"/>
  </r>
  <r>
    <s v="02A/2019"/>
    <d v="2019-03-18T00:00:00"/>
    <s v="KIỀU THY"/>
    <s v="MN01"/>
    <x v="111"/>
    <x v="26"/>
    <s v="ROBINA"/>
    <m/>
    <s v="22.24"/>
    <s v="100"/>
    <s v="NL2018"/>
    <m/>
    <n v="120"/>
    <n v="12000"/>
    <x v="29"/>
    <n v="150000000"/>
    <x v="2"/>
    <d v="2019-09-01T00:00:00"/>
    <d v="2019-09-29T00:00:00"/>
    <d v="2019-09-29T00:00:00"/>
    <m/>
    <m/>
    <m/>
    <m/>
    <m/>
    <m/>
    <m/>
    <m/>
    <m/>
    <m/>
    <m/>
    <m/>
    <n v="0"/>
    <n v="12000"/>
    <n v="150000000"/>
  </r>
  <r>
    <s v="157A/2019"/>
    <d v="2019-03-30T00:00:00"/>
    <s v="KIỀU THY"/>
    <s v="MN01"/>
    <x v="111"/>
    <x v="6"/>
    <s v="CONCADOR"/>
    <m/>
    <s v="20.22"/>
    <s v="125"/>
    <s v="NL2018"/>
    <m/>
    <n v="40"/>
    <n v="5000"/>
    <x v="7"/>
    <n v="53000000"/>
    <x v="2"/>
    <d v="2019-09-01T00:00:00"/>
    <d v="2019-09-29T00:00:00"/>
    <d v="2019-09-29T00:00:00"/>
    <m/>
    <m/>
    <m/>
    <m/>
    <m/>
    <m/>
    <m/>
    <m/>
    <m/>
    <m/>
    <m/>
    <m/>
    <n v="0"/>
    <n v="5000"/>
    <n v="53000000"/>
  </r>
  <r>
    <s v="157A/2019"/>
    <d v="2019-03-30T00:00:00"/>
    <s v="KIỀU THY"/>
    <s v="MN01"/>
    <x v="111"/>
    <x v="16"/>
    <s v="ROBINA"/>
    <m/>
    <s v="20.22"/>
    <s v="125"/>
    <s v="NL2018"/>
    <m/>
    <n v="40"/>
    <n v="5000"/>
    <x v="16"/>
    <n v="53500000"/>
    <x v="2"/>
    <d v="2019-09-01T00:00:00"/>
    <d v="2019-09-29T00:00:00"/>
    <d v="2019-09-29T00:00:00"/>
    <m/>
    <m/>
    <m/>
    <m/>
    <m/>
    <m/>
    <m/>
    <m/>
    <m/>
    <m/>
    <m/>
    <m/>
    <n v="0"/>
    <n v="5000"/>
    <n v="53500000"/>
  </r>
  <r>
    <s v="100A/2019"/>
    <d v="2019-03-09T00:00:00"/>
    <s v="KIỀU THY"/>
    <s v="HD02"/>
    <x v="112"/>
    <x v="77"/>
    <s v="SEDONA"/>
    <m/>
    <s v="20.22"/>
    <n v="125"/>
    <s v="NL2018"/>
    <m/>
    <n v="24"/>
    <n v="3000"/>
    <x v="22"/>
    <n v="32700000"/>
    <x v="2"/>
    <d v="2019-09-01T00:00:00"/>
    <d v="2019-09-29T00:00:00"/>
    <d v="2019-09-29T00:00:00"/>
    <s v="TẾT"/>
    <m/>
    <m/>
    <m/>
    <m/>
    <n v="0"/>
    <m/>
    <m/>
    <m/>
    <m/>
    <m/>
    <m/>
    <n v="0"/>
    <n v="3000"/>
    <n v="32700000"/>
  </r>
  <r>
    <s v="100A/2019"/>
    <d v="2019-03-09T00:00:00"/>
    <s v="KIỀU THY"/>
    <s v="HD02"/>
    <x v="112"/>
    <x v="16"/>
    <s v="ROBINA"/>
    <m/>
    <s v="20.22"/>
    <n v="125"/>
    <s v="NL2018"/>
    <m/>
    <n v="16"/>
    <n v="2000"/>
    <x v="59"/>
    <n v="21000000"/>
    <x v="2"/>
    <d v="2019-09-01T00:00:00"/>
    <d v="2019-09-29T00:00:00"/>
    <d v="2019-09-29T00:00:00"/>
    <s v="TẾT"/>
    <m/>
    <m/>
    <m/>
    <m/>
    <n v="0"/>
    <m/>
    <m/>
    <m/>
    <m/>
    <m/>
    <m/>
    <n v="0"/>
    <n v="2000"/>
    <n v="21000000"/>
  </r>
  <r>
    <s v="100A/2019"/>
    <d v="2019-03-09T00:00:00"/>
    <s v="KIỀU THY"/>
    <s v="HD02"/>
    <x v="112"/>
    <x v="28"/>
    <s v="YELLOWEEN"/>
    <m/>
    <s v="14.16"/>
    <n v="300"/>
    <s v="NL2018"/>
    <m/>
    <n v="17"/>
    <n v="5100"/>
    <x v="6"/>
    <n v="19380000"/>
    <x v="0"/>
    <d v="2019-04-17T00:00:00"/>
    <d v="2019-05-21T00:00:00"/>
    <d v="2019-05-21T00:00:00"/>
    <s v="30/3AL"/>
    <m/>
    <m/>
    <m/>
    <d v="2019-05-18T00:00:00"/>
    <n v="5100"/>
    <m/>
    <m/>
    <m/>
    <m/>
    <m/>
    <m/>
    <n v="5100"/>
    <n v="0"/>
    <n v="0"/>
  </r>
  <r>
    <s v="100A/2019"/>
    <d v="2019-06-12T00:00:00"/>
    <s v="KIỀU THY"/>
    <s v="HD02"/>
    <x v="112"/>
    <x v="31"/>
    <s v="TARRANGO"/>
    <m/>
    <s v="14.16"/>
    <n v="300"/>
    <s v="NL2018"/>
    <m/>
    <n v="17"/>
    <n v="5100"/>
    <x v="77"/>
    <n v="24990000"/>
    <x v="4"/>
    <d v="2019-04-17T00:00:00"/>
    <d v="2019-05-21T00:00:00"/>
    <d v="2019-05-21T00:00:00"/>
    <m/>
    <m/>
    <m/>
    <m/>
    <m/>
    <m/>
    <m/>
    <m/>
    <m/>
    <m/>
    <m/>
    <m/>
    <n v="0"/>
    <n v="5100"/>
    <n v="24990000"/>
  </r>
  <r>
    <s v="100A/2019"/>
    <d v="2019-06-12T00:00:00"/>
    <s v="KIỀU THY"/>
    <s v="HD02"/>
    <x v="112"/>
    <x v="12"/>
    <s v="AMATERAS"/>
    <m/>
    <s v="14.16"/>
    <n v="300"/>
    <s v="NL2018"/>
    <m/>
    <n v="9"/>
    <n v="2700"/>
    <x v="21"/>
    <n v="12420000"/>
    <x v="3"/>
    <d v="2019-06-15T00:00:00"/>
    <d v="2019-07-17T00:00:00"/>
    <d v="2019-07-17T00:00:00"/>
    <m/>
    <m/>
    <m/>
    <m/>
    <m/>
    <m/>
    <m/>
    <m/>
    <m/>
    <m/>
    <m/>
    <m/>
    <n v="0"/>
    <n v="2700"/>
    <n v="12420000"/>
  </r>
  <r>
    <s v="100A/2019"/>
    <d v="2019-06-12T00:00:00"/>
    <s v="KIỀU THY"/>
    <s v="HD02"/>
    <x v="112"/>
    <x v="31"/>
    <s v="TARRANGO"/>
    <m/>
    <s v="14.16"/>
    <n v="300"/>
    <s v="NL2018"/>
    <m/>
    <n v="8"/>
    <n v="2400"/>
    <x v="18"/>
    <n v="12000000"/>
    <x v="3"/>
    <d v="2019-06-15T00:00:00"/>
    <d v="2019-07-17T00:00:00"/>
    <d v="2019-07-17T00:00:00"/>
    <m/>
    <m/>
    <m/>
    <m/>
    <m/>
    <m/>
    <m/>
    <m/>
    <m/>
    <m/>
    <m/>
    <m/>
    <n v="0"/>
    <n v="2400"/>
    <n v="12000000"/>
  </r>
  <r>
    <s v="100A/2019"/>
    <d v="2019-05-13T00:00:00"/>
    <s v="KIỀU THY"/>
    <s v="HD02"/>
    <x v="112"/>
    <x v="28"/>
    <s v="YELLOWEEN"/>
    <m/>
    <s v="14.16"/>
    <n v="300"/>
    <s v="NL2018"/>
    <m/>
    <n v="0"/>
    <n v="0"/>
    <x v="56"/>
    <n v="0"/>
    <x v="1"/>
    <d v="2019-05-05T00:00:00"/>
    <d v="2019-06-07T00:00:00"/>
    <d v="2019-06-07T00:00:00"/>
    <m/>
    <m/>
    <m/>
    <m/>
    <m/>
    <m/>
    <m/>
    <m/>
    <m/>
    <m/>
    <m/>
    <m/>
    <n v="0"/>
    <n v="0"/>
    <n v="0"/>
  </r>
  <r>
    <s v="02A/2019"/>
    <d v="2019-03-18T00:00:00"/>
    <s v="KIỀU THY"/>
    <s v="MN01"/>
    <x v="111"/>
    <x v="6"/>
    <s v="CONCADOR"/>
    <m/>
    <s v="20.22"/>
    <s v="125"/>
    <s v="NL2018"/>
    <m/>
    <n v="64"/>
    <n v="8000"/>
    <x v="59"/>
    <n v="84000000"/>
    <x v="2"/>
    <d v="2019-09-01T00:00:00"/>
    <d v="2019-09-29T00:00:00"/>
    <d v="2019-09-29T00:00:00"/>
    <m/>
    <m/>
    <m/>
    <m/>
    <m/>
    <m/>
    <m/>
    <m/>
    <m/>
    <m/>
    <m/>
    <m/>
    <n v="0"/>
    <n v="8000"/>
    <n v="84000000"/>
  </r>
  <r>
    <s v="227A/2019"/>
    <d v="2019-05-29T00:00:00"/>
    <s v="KIỀU THY"/>
    <s v="VX02"/>
    <x v="113"/>
    <x v="31"/>
    <s v="TARRANGO"/>
    <m/>
    <s v="14.16"/>
    <s v="300"/>
    <s v="NL2018"/>
    <m/>
    <n v="14"/>
    <n v="4200"/>
    <x v="23"/>
    <n v="20160000"/>
    <x v="0"/>
    <d v="2019-04-17T00:00:00"/>
    <d v="2019-05-21T00:00:00"/>
    <d v="2019-05-21T00:00:00"/>
    <m/>
    <m/>
    <m/>
    <m/>
    <d v="2019-05-29T00:00:00"/>
    <n v="4200"/>
    <m/>
    <m/>
    <m/>
    <m/>
    <m/>
    <m/>
    <n v="4200"/>
    <n v="0"/>
    <n v="0"/>
  </r>
  <r>
    <s v="227A/2019"/>
    <d v="2019-06-04T00:00:00"/>
    <s v="KIỀU THY"/>
    <s v="VX02"/>
    <x v="113"/>
    <x v="57"/>
    <s v="DALIAN"/>
    <m/>
    <s v="14.16"/>
    <s v="300"/>
    <s v="NL2018"/>
    <m/>
    <n v="1"/>
    <n v="300"/>
    <x v="44"/>
    <n v="1650000"/>
    <x v="0"/>
    <d v="2019-04-17T00:00:00"/>
    <d v="2019-05-21T00:00:00"/>
    <d v="2019-05-21T00:00:00"/>
    <m/>
    <m/>
    <m/>
    <m/>
    <d v="2019-06-04T00:00:00"/>
    <n v="300"/>
    <m/>
    <m/>
    <m/>
    <m/>
    <m/>
    <m/>
    <n v="300"/>
    <n v="0"/>
    <n v="0"/>
  </r>
  <r>
    <s v="237/2019"/>
    <d v="2019-06-01T00:00:00"/>
    <s v="KIỀU THY"/>
    <s v="VX02"/>
    <x v="113"/>
    <x v="14"/>
    <s v="TARRANGO"/>
    <m/>
    <s v="20.22"/>
    <s v="125"/>
    <s v="NL2018"/>
    <m/>
    <n v="48"/>
    <n v="6000"/>
    <x v="36"/>
    <n v="66000000"/>
    <x v="2"/>
    <d v="2019-09-01T00:00:00"/>
    <d v="2019-09-29T00:00:00"/>
    <d v="2019-09-29T00:00:00"/>
    <m/>
    <m/>
    <m/>
    <m/>
    <m/>
    <m/>
    <m/>
    <m/>
    <m/>
    <m/>
    <m/>
    <m/>
    <n v="0"/>
    <n v="6000"/>
    <n v="66000000"/>
  </r>
  <r>
    <s v="237/2019"/>
    <d v="2019-06-01T00:00:00"/>
    <s v="KIỀU THY"/>
    <s v="VX02"/>
    <x v="113"/>
    <x v="16"/>
    <s v="ROBINA NEWZEALAND"/>
    <m/>
    <s v="20.22"/>
    <s v="125"/>
    <s v="NL2018"/>
    <m/>
    <n v="48"/>
    <n v="6000"/>
    <x v="29"/>
    <n v="75000000"/>
    <x v="2"/>
    <d v="2019-09-01T00:00:00"/>
    <d v="2019-09-29T00:00:00"/>
    <d v="2019-09-29T00:00:00"/>
    <m/>
    <m/>
    <m/>
    <m/>
    <m/>
    <m/>
    <m/>
    <m/>
    <m/>
    <m/>
    <m/>
    <m/>
    <n v="0"/>
    <n v="6000"/>
    <n v="75000000"/>
  </r>
  <r>
    <s v="237/2019"/>
    <d v="2019-06-01T00:00:00"/>
    <s v="KIỀU THY"/>
    <s v="VX02"/>
    <x v="113"/>
    <x v="6"/>
    <s v="CONCADOR NEWZELAND"/>
    <m/>
    <s v="20.22"/>
    <s v="125"/>
    <s v="NL2018"/>
    <m/>
    <n v="40"/>
    <n v="5000"/>
    <x v="53"/>
    <n v="60000000"/>
    <x v="2"/>
    <d v="2019-09-01T00:00:00"/>
    <d v="2019-09-29T00:00:00"/>
    <d v="2019-09-29T00:00:00"/>
    <m/>
    <m/>
    <m/>
    <m/>
    <m/>
    <m/>
    <m/>
    <m/>
    <m/>
    <m/>
    <m/>
    <m/>
    <n v="0"/>
    <n v="5000"/>
    <n v="60000000"/>
  </r>
  <r>
    <s v="227A/2019"/>
    <d v="2019-06-01T00:00:00"/>
    <s v="KIỀU THY"/>
    <s v="VX02"/>
    <x v="113"/>
    <x v="2"/>
    <s v="NASHVILLE"/>
    <m/>
    <s v="14.16"/>
    <s v="300"/>
    <s v="NL2018"/>
    <m/>
    <n v="0"/>
    <n v="0"/>
    <x v="3"/>
    <n v="0"/>
    <x v="1"/>
    <d v="2019-07-20T00:00:00"/>
    <d v="2019-08-20T00:00:00"/>
    <d v="2019-08-20T00:00:00"/>
    <m/>
    <m/>
    <m/>
    <m/>
    <m/>
    <m/>
    <m/>
    <m/>
    <m/>
    <m/>
    <m/>
    <m/>
    <n v="0"/>
    <n v="0"/>
    <n v="0"/>
  </r>
  <r>
    <s v="227A/2019"/>
    <d v="2019-06-01T00:00:00"/>
    <s v="KIỀU THY"/>
    <s v="VX02"/>
    <x v="113"/>
    <x v="12"/>
    <s v="AMATERAS"/>
    <m/>
    <s v="14.16"/>
    <s v="300"/>
    <s v="NL2018"/>
    <m/>
    <n v="0"/>
    <n v="0"/>
    <x v="21"/>
    <n v="0"/>
    <x v="1"/>
    <d v="2019-07-20T00:00:00"/>
    <d v="2019-08-20T00:00:00"/>
    <d v="2019-08-20T00:00:00"/>
    <m/>
    <m/>
    <m/>
    <m/>
    <m/>
    <m/>
    <m/>
    <m/>
    <m/>
    <m/>
    <m/>
    <m/>
    <n v="0"/>
    <n v="0"/>
    <n v="0"/>
  </r>
  <r>
    <s v="91B/2019"/>
    <d v="2019-03-07T00:00:00"/>
    <s v="THANH THÚY"/>
    <s v="VK01"/>
    <x v="114"/>
    <x v="10"/>
    <s v="ARVANDRUD"/>
    <m/>
    <s v="16.18"/>
    <n v="200"/>
    <s v="NL2018"/>
    <m/>
    <n v="0"/>
    <n v="0"/>
    <x v="44"/>
    <n v="0"/>
    <x v="1"/>
    <d v="2019-03-15T00:00:00"/>
    <d v="2019-04-19T00:00:00"/>
    <d v="2019-04-19T00:00:00"/>
    <s v="15/3AL"/>
    <s v="CONT 21/2019"/>
    <m/>
    <m/>
    <m/>
    <n v="0"/>
    <m/>
    <m/>
    <m/>
    <m/>
    <m/>
    <m/>
    <n v="0"/>
    <n v="0"/>
    <n v="0"/>
  </r>
  <r>
    <s v="91B/2019"/>
    <d v="2019-03-07T00:00:00"/>
    <s v="THANH THÚY"/>
    <s v="VK01"/>
    <x v="114"/>
    <x v="29"/>
    <s v="MANISSA"/>
    <m/>
    <s v="16.18"/>
    <n v="200"/>
    <s v="NL2018"/>
    <m/>
    <n v="25"/>
    <n v="5000"/>
    <x v="45"/>
    <n v="33500000"/>
    <x v="0"/>
    <d v="2019-03-15T00:00:00"/>
    <d v="2019-04-19T00:00:00"/>
    <d v="2019-04-19T00:00:00"/>
    <s v="15/3AL"/>
    <s v="CONT 27/2019"/>
    <m/>
    <m/>
    <d v="2019-05-16T00:00:00"/>
    <n v="5000"/>
    <m/>
    <m/>
    <m/>
    <m/>
    <m/>
    <m/>
    <n v="5000"/>
    <n v="0"/>
    <n v="0"/>
  </r>
  <r>
    <s v="91B/2019"/>
    <d v="2019-03-07T00:00:00"/>
    <s v="THANH THÚY"/>
    <s v="VK01"/>
    <x v="114"/>
    <x v="22"/>
    <s v="ROBINA"/>
    <m/>
    <s v="16.18"/>
    <n v="200"/>
    <s v="NL2018"/>
    <m/>
    <n v="15"/>
    <n v="3000"/>
    <x v="18"/>
    <n v="15000000"/>
    <x v="0"/>
    <d v="2019-03-15T00:00:00"/>
    <d v="2019-04-19T00:00:00"/>
    <d v="2019-04-19T00:00:00"/>
    <s v="15/3AL"/>
    <s v="CONT 26/2019"/>
    <m/>
    <m/>
    <d v="2019-06-05T00:00:00"/>
    <n v="0"/>
    <m/>
    <m/>
    <m/>
    <m/>
    <m/>
    <m/>
    <n v="0"/>
    <n v="3000"/>
    <n v="15000000"/>
  </r>
  <r>
    <s v="91B/2019"/>
    <d v="2019-03-07T00:00:00"/>
    <s v="THANH THÚY"/>
    <s v="VK01"/>
    <x v="114"/>
    <x v="31"/>
    <s v="TARRANGO"/>
    <m/>
    <s v="14.16"/>
    <n v="300"/>
    <s v="NL2018"/>
    <m/>
    <n v="10"/>
    <n v="3000"/>
    <x v="21"/>
    <n v="13800000"/>
    <x v="0"/>
    <d v="2019-03-15T00:00:00"/>
    <d v="2019-04-19T00:00:00"/>
    <d v="2019-04-19T00:00:00"/>
    <s v="15/3AL"/>
    <s v="CONT 26/2019"/>
    <m/>
    <m/>
    <d v="2019-04-19T00:00:00"/>
    <n v="3000"/>
    <m/>
    <m/>
    <m/>
    <m/>
    <m/>
    <m/>
    <n v="3000"/>
    <n v="0"/>
    <n v="0"/>
  </r>
  <r>
    <s v="91B/2019"/>
    <d v="2019-03-07T00:00:00"/>
    <s v="THANH THÚY"/>
    <s v="VK01"/>
    <x v="114"/>
    <x v="57"/>
    <s v="DALIAN"/>
    <m/>
    <n v="14.16"/>
    <n v="300"/>
    <s v="NL2018"/>
    <m/>
    <n v="17"/>
    <n v="5100"/>
    <x v="55"/>
    <n v="27030000"/>
    <x v="0"/>
    <d v="2019-04-17T00:00:00"/>
    <d v="2019-05-21T00:00:00"/>
    <d v="2019-05-21T00:00:00"/>
    <s v="30/3AL"/>
    <m/>
    <m/>
    <m/>
    <d v="2019-06-05T00:00:00"/>
    <n v="5100"/>
    <m/>
    <m/>
    <m/>
    <m/>
    <m/>
    <m/>
    <n v="5100"/>
    <n v="0"/>
    <n v="0"/>
  </r>
  <r>
    <s v="91B/2019"/>
    <d v="2019-03-07T00:00:00"/>
    <s v="THANH THÚY"/>
    <s v="VK01"/>
    <x v="114"/>
    <x v="57"/>
    <s v="DALIAN"/>
    <m/>
    <n v="14.16"/>
    <n v="300"/>
    <s v="NL2018"/>
    <m/>
    <n v="0"/>
    <n v="0"/>
    <x v="170"/>
    <n v="0"/>
    <x v="1"/>
    <d v="2019-04-17T00:00:00"/>
    <d v="2019-05-21T00:00:00"/>
    <d v="2019-05-21T00:00:00"/>
    <s v="17/4AL"/>
    <m/>
    <m/>
    <m/>
    <m/>
    <n v="0"/>
    <m/>
    <m/>
    <m/>
    <m/>
    <m/>
    <m/>
    <n v="0"/>
    <n v="0"/>
    <n v="0"/>
  </r>
  <r>
    <s v="91B/2019"/>
    <d v="2019-06-01T00:00:00"/>
    <s v="THANH THÚY"/>
    <s v="VK01"/>
    <x v="114"/>
    <x v="28"/>
    <s v="YELLOWEEN"/>
    <m/>
    <n v="14.16"/>
    <n v="300"/>
    <s v="NL2018"/>
    <m/>
    <n v="20"/>
    <n v="6000"/>
    <x v="6"/>
    <n v="22800000"/>
    <x v="0"/>
    <d v="2019-04-17T00:00:00"/>
    <d v="2019-05-21T00:00:00"/>
    <d v="2019-05-21T00:00:00"/>
    <m/>
    <m/>
    <m/>
    <m/>
    <d v="2019-06-01T00:00:00"/>
    <n v="6000"/>
    <m/>
    <m/>
    <m/>
    <m/>
    <m/>
    <m/>
    <n v="6000"/>
    <n v="0"/>
    <n v="0"/>
  </r>
  <r>
    <s v="91B/2019"/>
    <d v="2019-05-27T00:00:00"/>
    <s v="THANH THÚY"/>
    <s v="VK01"/>
    <x v="114"/>
    <x v="65"/>
    <s v="ROBINA"/>
    <m/>
    <n v="14.16"/>
    <n v="300"/>
    <s v="NL2018"/>
    <m/>
    <n v="17"/>
    <n v="5100"/>
    <x v="6"/>
    <n v="19380000"/>
    <x v="4"/>
    <d v="2019-05-05T00:00:00"/>
    <d v="2019-06-07T00:00:00"/>
    <d v="2019-06-07T00:00:00"/>
    <m/>
    <m/>
    <m/>
    <m/>
    <m/>
    <m/>
    <m/>
    <m/>
    <m/>
    <m/>
    <m/>
    <m/>
    <n v="0"/>
    <n v="5100"/>
    <n v="19380000"/>
  </r>
  <r>
    <s v="91B/2019"/>
    <d v="2019-06-07T00:00:00"/>
    <s v="THANH THÚY"/>
    <s v="VK01"/>
    <x v="114"/>
    <x v="80"/>
    <s v="PROFUNDO"/>
    <m/>
    <n v="14.16"/>
    <n v="300"/>
    <s v="NL2018"/>
    <m/>
    <n v="5"/>
    <n v="1500"/>
    <x v="78"/>
    <n v="7650000"/>
    <x v="4"/>
    <d v="2019-05-05T00:00:00"/>
    <d v="2019-06-07T00:00:00"/>
    <d v="2019-06-07T00:00:00"/>
    <m/>
    <m/>
    <m/>
    <m/>
    <m/>
    <m/>
    <m/>
    <m/>
    <m/>
    <m/>
    <m/>
    <m/>
    <n v="0"/>
    <n v="1500"/>
    <n v="7650000"/>
  </r>
  <r>
    <s v="91B/2019"/>
    <d v="2019-06-07T00:00:00"/>
    <s v="THANH THÚY"/>
    <s v="VK01"/>
    <x v="114"/>
    <x v="50"/>
    <s v="PROFUNDO"/>
    <m/>
    <n v="14.16"/>
    <n v="275"/>
    <s v="NL2018"/>
    <m/>
    <n v="17"/>
    <n v="4675"/>
    <x v="78"/>
    <n v="23842500"/>
    <x v="4"/>
    <d v="2019-04-17T00:00:00"/>
    <d v="2019-05-21T00:00:00"/>
    <d v="2019-05-21T00:00:00"/>
    <m/>
    <m/>
    <m/>
    <m/>
    <m/>
    <m/>
    <m/>
    <m/>
    <m/>
    <m/>
    <m/>
    <m/>
    <n v="0"/>
    <n v="4675"/>
    <n v="23842500"/>
  </r>
  <r>
    <s v="91B/2019"/>
    <d v="2019-06-13T00:00:00"/>
    <s v="THANH THÚY"/>
    <s v="VK01"/>
    <x v="114"/>
    <x v="54"/>
    <s v="MALDANO"/>
    <m/>
    <s v="14.16"/>
    <n v="300"/>
    <s v="NL2018"/>
    <m/>
    <n v="7"/>
    <n v="2100"/>
    <x v="13"/>
    <n v="9450000"/>
    <x v="4"/>
    <d v="2019-05-05T00:00:00"/>
    <d v="2019-06-07T00:00:00"/>
    <d v="2019-06-07T00:00:00"/>
    <m/>
    <m/>
    <m/>
    <m/>
    <m/>
    <m/>
    <m/>
    <m/>
    <m/>
    <m/>
    <m/>
    <m/>
    <n v="0"/>
    <n v="2100"/>
    <n v="9450000"/>
  </r>
  <r>
    <s v="91B/2019"/>
    <d v="2019-06-13T00:00:00"/>
    <s v="THANH THÚY"/>
    <s v="VK01"/>
    <x v="114"/>
    <x v="28"/>
    <s v="YELLOWEEN"/>
    <m/>
    <s v="14.16"/>
    <n v="300"/>
    <s v="NL2018"/>
    <m/>
    <n v="27"/>
    <n v="8100"/>
    <x v="57"/>
    <n v="32400000"/>
    <x v="2"/>
    <d v="2019-07-15T00:00:00"/>
    <d v="2019-08-15T00:00:00"/>
    <d v="2019-08-15T00:00:00"/>
    <m/>
    <m/>
    <m/>
    <m/>
    <m/>
    <m/>
    <m/>
    <m/>
    <m/>
    <m/>
    <m/>
    <m/>
    <n v="0"/>
    <n v="8100"/>
    <n v="32400000"/>
  </r>
  <r>
    <s v="91B/2019"/>
    <d v="2019-06-13T00:00:00"/>
    <s v="THANH THÚY"/>
    <s v="VK01"/>
    <x v="114"/>
    <x v="22"/>
    <s v="ROBINA"/>
    <m/>
    <s v="16.18"/>
    <n v="200"/>
    <s v="NL2018"/>
    <m/>
    <n v="25"/>
    <n v="5000"/>
    <x v="24"/>
    <n v="28500000"/>
    <x v="2"/>
    <d v="2019-07-15T00:00:00"/>
    <d v="2019-08-15T00:00:00"/>
    <d v="2019-08-15T00:00:00"/>
    <m/>
    <m/>
    <m/>
    <m/>
    <m/>
    <m/>
    <m/>
    <m/>
    <m/>
    <m/>
    <m/>
    <m/>
    <n v="0"/>
    <n v="5000"/>
    <n v="28500000"/>
  </r>
  <r>
    <s v="91B/2019"/>
    <d v="2019-06-13T00:00:00"/>
    <s v="THANH THÚY"/>
    <s v="VK01"/>
    <x v="114"/>
    <x v="10"/>
    <s v="ARVANDRUD"/>
    <m/>
    <s v="16.18"/>
    <n v="200"/>
    <s v="NL2018"/>
    <m/>
    <n v="25"/>
    <n v="5000"/>
    <x v="48"/>
    <n v="28000000"/>
    <x v="2"/>
    <d v="2019-07-15T00:00:00"/>
    <d v="2019-08-15T00:00:00"/>
    <d v="2019-08-15T00:00:00"/>
    <m/>
    <m/>
    <m/>
    <m/>
    <m/>
    <m/>
    <m/>
    <m/>
    <m/>
    <m/>
    <m/>
    <m/>
    <n v="0"/>
    <n v="5000"/>
    <n v="28000000"/>
  </r>
  <r>
    <s v="91B/2019"/>
    <d v="2019-06-13T00:00:00"/>
    <s v="THANH THÚY"/>
    <s v="VK01"/>
    <x v="114"/>
    <x v="54"/>
    <s v="MALDANO"/>
    <m/>
    <s v="14.16"/>
    <n v="300"/>
    <s v="NL2018"/>
    <m/>
    <n v="17"/>
    <n v="5100"/>
    <x v="21"/>
    <n v="23460000"/>
    <x v="2"/>
    <d v="2019-07-15T00:00:00"/>
    <d v="2019-08-15T00:00:00"/>
    <d v="2019-08-15T00:00:00"/>
    <m/>
    <m/>
    <m/>
    <m/>
    <m/>
    <m/>
    <m/>
    <m/>
    <m/>
    <m/>
    <m/>
    <m/>
    <n v="0"/>
    <n v="5100"/>
    <n v="23460000"/>
  </r>
  <r>
    <s v="155B/2019"/>
    <d v="2019-04-03T00:00:00"/>
    <s v="THANH THÚY"/>
    <s v="VK01"/>
    <x v="114"/>
    <x v="29"/>
    <s v="MANISSA"/>
    <m/>
    <s v="16.18"/>
    <n v="200"/>
    <s v="NL2018"/>
    <m/>
    <n v="25"/>
    <n v="5000"/>
    <x v="45"/>
    <n v="33500000"/>
    <x v="0"/>
    <d v="2019-03-15T00:00:00"/>
    <d v="2019-04-19T00:00:00"/>
    <d v="2019-04-19T00:00:00"/>
    <s v="15/3AL"/>
    <m/>
    <m/>
    <m/>
    <d v="2019-05-16T00:00:00"/>
    <n v="5000"/>
    <m/>
    <m/>
    <m/>
    <m/>
    <m/>
    <m/>
    <n v="5000"/>
    <n v="0"/>
    <n v="0"/>
  </r>
  <r>
    <s v="155B/2019"/>
    <d v="2019-04-03T00:00:00"/>
    <s v="THANH THÚY"/>
    <s v="VK01"/>
    <x v="114"/>
    <x v="31"/>
    <s v="TARRANGO"/>
    <m/>
    <s v="14.16"/>
    <n v="300"/>
    <s v="NL2018"/>
    <m/>
    <n v="10"/>
    <n v="3000"/>
    <x v="21"/>
    <n v="13800000"/>
    <x v="0"/>
    <d v="2019-03-15T00:00:00"/>
    <d v="2019-04-19T00:00:00"/>
    <d v="2019-04-19T00:00:00"/>
    <s v="15/3AL"/>
    <m/>
    <m/>
    <m/>
    <m/>
    <n v="3000"/>
    <m/>
    <m/>
    <m/>
    <m/>
    <m/>
    <m/>
    <n v="3000"/>
    <n v="0"/>
    <n v="0"/>
  </r>
  <r>
    <s v="155B/2019"/>
    <d v="2019-04-03T00:00:00"/>
    <s v="THANH THÚY"/>
    <s v="VK01"/>
    <x v="114"/>
    <x v="34"/>
    <s v="TARRANGO"/>
    <m/>
    <s v="16.18"/>
    <n v="200"/>
    <s v="NL2018"/>
    <m/>
    <n v="15"/>
    <n v="3000"/>
    <x v="44"/>
    <n v="16500000"/>
    <x v="0"/>
    <d v="2019-03-15T00:00:00"/>
    <d v="2019-04-19T00:00:00"/>
    <d v="2019-04-19T00:00:00"/>
    <s v="15/3AL"/>
    <m/>
    <m/>
    <m/>
    <d v="2019-05-16T00:00:00"/>
    <n v="3000"/>
    <m/>
    <m/>
    <m/>
    <m/>
    <m/>
    <m/>
    <n v="3000"/>
    <n v="0"/>
    <n v="0"/>
  </r>
  <r>
    <s v="155B/2019"/>
    <d v="2019-04-03T00:00:00"/>
    <s v="THANH THÚY"/>
    <s v="VK01"/>
    <x v="114"/>
    <x v="22"/>
    <s v="ROBINA"/>
    <m/>
    <s v="16.18"/>
    <n v="200"/>
    <s v="NL2018"/>
    <m/>
    <n v="0"/>
    <n v="0"/>
    <x v="11"/>
    <n v="0"/>
    <x v="1"/>
    <d v="2019-04-17T00:00:00"/>
    <d v="2019-05-21T00:00:00"/>
    <d v="2019-05-21T00:00:00"/>
    <s v="10/4AL"/>
    <m/>
    <m/>
    <m/>
    <m/>
    <m/>
    <m/>
    <m/>
    <m/>
    <m/>
    <m/>
    <m/>
    <n v="0"/>
    <n v="0"/>
    <n v="0"/>
  </r>
  <r>
    <s v="155B/2019"/>
    <d v="2019-05-19T00:00:00"/>
    <s v="THANH THÚY"/>
    <s v="VK01"/>
    <x v="114"/>
    <x v="30"/>
    <s v="MALDANO"/>
    <m/>
    <s v="16.18"/>
    <n v="200"/>
    <s v="NL2018"/>
    <m/>
    <n v="20"/>
    <n v="4000"/>
    <x v="11"/>
    <n v="21600000"/>
    <x v="0"/>
    <d v="2019-04-10T00:00:00"/>
    <d v="2019-05-14T00:00:00"/>
    <d v="2019-05-14T00:00:00"/>
    <m/>
    <m/>
    <m/>
    <m/>
    <d v="2019-05-19T00:00:00"/>
    <n v="4000"/>
    <m/>
    <m/>
    <m/>
    <m/>
    <m/>
    <m/>
    <n v="4000"/>
    <n v="0"/>
    <n v="0"/>
  </r>
  <r>
    <s v="155B/2019"/>
    <d v="2019-05-19T00:00:00"/>
    <s v="THANH THÚY"/>
    <s v="VK01"/>
    <x v="114"/>
    <x v="10"/>
    <s v="ARVANDRUD"/>
    <m/>
    <s v="16.18"/>
    <n v="200"/>
    <s v="NL2018"/>
    <m/>
    <n v="25"/>
    <n v="5000"/>
    <x v="26"/>
    <n v="29000000"/>
    <x v="0"/>
    <d v="2019-04-10T00:00:00"/>
    <d v="2019-05-14T00:00:00"/>
    <d v="2019-05-14T00:00:00"/>
    <m/>
    <m/>
    <m/>
    <m/>
    <d v="2019-05-02T00:00:00"/>
    <n v="5000"/>
    <m/>
    <m/>
    <m/>
    <m/>
    <m/>
    <m/>
    <n v="5000"/>
    <n v="0"/>
    <n v="0"/>
  </r>
  <r>
    <s v="155B/2019"/>
    <d v="2019-04-03T00:00:00"/>
    <s v="THANH THÚY"/>
    <s v="VK01"/>
    <x v="114"/>
    <x v="10"/>
    <s v="ARVANDRUD"/>
    <m/>
    <s v="16.18"/>
    <n v="200"/>
    <s v="NL2018"/>
    <m/>
    <n v="25"/>
    <n v="5000"/>
    <x v="26"/>
    <n v="29000000"/>
    <x v="0"/>
    <d v="2019-04-10T00:00:00"/>
    <d v="2019-05-14T00:00:00"/>
    <d v="2019-05-14T00:00:00"/>
    <s v="10/4AL"/>
    <m/>
    <m/>
    <m/>
    <d v="2019-05-02T00:00:00"/>
    <n v="5000"/>
    <m/>
    <m/>
    <m/>
    <m/>
    <m/>
    <m/>
    <n v="5000"/>
    <n v="0"/>
    <n v="0"/>
  </r>
  <r>
    <s v="182B/2019"/>
    <d v="2019-05-18T00:00:00"/>
    <s v="THANH THÚY"/>
    <s v="VK01"/>
    <x v="114"/>
    <x v="30"/>
    <s v="MALDANO"/>
    <m/>
    <s v="16.18"/>
    <n v="200"/>
    <s v="NL2018"/>
    <m/>
    <n v="20"/>
    <n v="4000"/>
    <x v="11"/>
    <n v="21600000"/>
    <x v="0"/>
    <d v="2019-04-14T00:00:00"/>
    <d v="2019-05-18T00:00:00"/>
    <d v="2019-05-18T00:00:00"/>
    <s v="10/4AL"/>
    <m/>
    <m/>
    <m/>
    <m/>
    <n v="4000"/>
    <m/>
    <m/>
    <m/>
    <m/>
    <m/>
    <m/>
    <n v="4000"/>
    <n v="0"/>
    <n v="0"/>
  </r>
  <r>
    <s v="154B/2019"/>
    <d v="2019-04-03T00:00:00"/>
    <s v="THANH THÚY"/>
    <s v="VK01"/>
    <x v="114"/>
    <x v="16"/>
    <s v="ROBINA"/>
    <m/>
    <s v="20.22"/>
    <n v="125"/>
    <s v="NL2018"/>
    <m/>
    <n v="80"/>
    <n v="10000"/>
    <x v="16"/>
    <n v="107000000"/>
    <x v="2"/>
    <d v="2019-09-01T00:00:00"/>
    <d v="2019-09-29T00:00:00"/>
    <d v="2019-09-29T00:00:00"/>
    <s v="TẾT"/>
    <m/>
    <m/>
    <m/>
    <m/>
    <m/>
    <m/>
    <m/>
    <m/>
    <m/>
    <m/>
    <m/>
    <n v="0"/>
    <n v="10000"/>
    <n v="107000000"/>
  </r>
  <r>
    <s v="154B/2019"/>
    <d v="2019-04-03T00:00:00"/>
    <s v="THANH THÚY"/>
    <s v="VK01"/>
    <x v="114"/>
    <x v="6"/>
    <s v="CONCADOR"/>
    <m/>
    <s v="20.22"/>
    <n v="125"/>
    <s v="NL2018"/>
    <m/>
    <n v="80"/>
    <n v="10000"/>
    <x v="7"/>
    <n v="106000000"/>
    <x v="2"/>
    <d v="2019-09-01T00:00:00"/>
    <d v="2019-09-29T00:00:00"/>
    <d v="2019-09-29T00:00:00"/>
    <s v="TẾT"/>
    <m/>
    <m/>
    <m/>
    <m/>
    <m/>
    <m/>
    <m/>
    <m/>
    <m/>
    <m/>
    <m/>
    <n v="0"/>
    <n v="10000"/>
    <n v="106000000"/>
  </r>
  <r>
    <s v="154B/2019"/>
    <d v="2019-04-03T00:00:00"/>
    <s v="THANH THÚY"/>
    <s v="VK01"/>
    <x v="114"/>
    <x v="35"/>
    <s v="BACARDI"/>
    <m/>
    <s v="20.22"/>
    <n v="125"/>
    <s v="NL2018"/>
    <m/>
    <n v="48"/>
    <n v="6000"/>
    <x v="36"/>
    <n v="66000000"/>
    <x v="2"/>
    <d v="2019-09-01T00:00:00"/>
    <d v="2019-09-29T00:00:00"/>
    <d v="2019-09-29T00:00:00"/>
    <s v="TẾT"/>
    <m/>
    <m/>
    <m/>
    <m/>
    <m/>
    <m/>
    <m/>
    <m/>
    <m/>
    <m/>
    <m/>
    <n v="0"/>
    <n v="6000"/>
    <n v="66000000"/>
  </r>
  <r>
    <s v="154B/2019"/>
    <d v="2019-04-03T00:00:00"/>
    <s v="THANH THÚY"/>
    <s v="VK01"/>
    <x v="114"/>
    <x v="117"/>
    <s v="MALDANO"/>
    <m/>
    <s v="18.20"/>
    <n v="150"/>
    <s v="NL2018"/>
    <m/>
    <n v="34"/>
    <n v="5100"/>
    <x v="61"/>
    <n v="43350000"/>
    <x v="2"/>
    <d v="2019-09-01T00:00:00"/>
    <d v="2019-09-29T00:00:00"/>
    <d v="2019-09-29T00:00:00"/>
    <s v="TẾT"/>
    <m/>
    <m/>
    <m/>
    <m/>
    <m/>
    <m/>
    <m/>
    <m/>
    <m/>
    <m/>
    <m/>
    <n v="0"/>
    <n v="5100"/>
    <n v="43350000"/>
  </r>
  <r>
    <s v="154B/2019"/>
    <d v="2019-04-03T00:00:00"/>
    <s v="THANH THÚY"/>
    <s v="VK01"/>
    <x v="114"/>
    <x v="9"/>
    <s v="MANISSA"/>
    <m/>
    <s v="22.24"/>
    <n v="100"/>
    <s v="NL2018"/>
    <m/>
    <n v="100"/>
    <n v="10000"/>
    <x v="10"/>
    <n v="154000000"/>
    <x v="2"/>
    <d v="2019-09-01T00:00:00"/>
    <d v="2019-09-29T00:00:00"/>
    <d v="2019-09-29T00:00:00"/>
    <s v="TẾT"/>
    <m/>
    <m/>
    <m/>
    <m/>
    <m/>
    <m/>
    <m/>
    <m/>
    <m/>
    <m/>
    <m/>
    <n v="0"/>
    <n v="10000"/>
    <n v="154000000"/>
  </r>
  <r>
    <s v="223A/2019"/>
    <m/>
    <s v="KIỀU THY"/>
    <s v="VD03"/>
    <x v="115"/>
    <x v="24"/>
    <s v="SERANO"/>
    <m/>
    <s v="14.16"/>
    <s v="300"/>
    <s v="NL2018"/>
    <m/>
    <n v="0"/>
    <n v="0"/>
    <x v="117"/>
    <n v="0"/>
    <x v="1"/>
    <d v="2019-02-15T00:00:00"/>
    <d v="2019-03-20T00:00:00"/>
    <d v="2019-03-20T00:00:00"/>
    <s v="15/2AL"/>
    <s v="CONT 10/2019"/>
    <d v="2019-03-17T00:00:00"/>
    <m/>
    <m/>
    <m/>
    <m/>
    <m/>
    <m/>
    <m/>
    <m/>
    <m/>
    <n v="0"/>
    <n v="0"/>
    <n v="0"/>
  </r>
  <r>
    <s v="223A/2019"/>
    <d v="2019-05-25T00:00:00"/>
    <s v="KIỀU THY"/>
    <s v="VD03"/>
    <x v="115"/>
    <x v="16"/>
    <s v="ROBINA"/>
    <m/>
    <s v="20.22"/>
    <s v="125"/>
    <s v="NL2018"/>
    <m/>
    <n v="80"/>
    <n v="10000"/>
    <x v="16"/>
    <n v="107000000"/>
    <x v="2"/>
    <d v="2019-09-01T00:00:00"/>
    <d v="2019-09-29T00:00:00"/>
    <d v="2019-09-29T00:00:00"/>
    <m/>
    <m/>
    <m/>
    <m/>
    <m/>
    <m/>
    <m/>
    <m/>
    <m/>
    <m/>
    <m/>
    <m/>
    <n v="0"/>
    <n v="10000"/>
    <n v="107000000"/>
  </r>
  <r>
    <s v="223A/2019"/>
    <d v="2019-05-25T00:00:00"/>
    <s v="KIỀU THY"/>
    <s v="VD03"/>
    <x v="115"/>
    <x v="6"/>
    <s v="CONCADOR"/>
    <m/>
    <s v="20.22"/>
    <s v="125"/>
    <s v="NL2018"/>
    <m/>
    <n v="40"/>
    <n v="5000"/>
    <x v="7"/>
    <n v="53000000"/>
    <x v="2"/>
    <d v="2019-09-01T00:00:00"/>
    <d v="2019-09-29T00:00:00"/>
    <d v="2019-09-29T00:00:00"/>
    <m/>
    <m/>
    <m/>
    <m/>
    <m/>
    <m/>
    <m/>
    <m/>
    <m/>
    <m/>
    <m/>
    <m/>
    <n v="0"/>
    <n v="5000"/>
    <n v="53000000"/>
  </r>
  <r>
    <s v="114A/2019"/>
    <d v="2019-03-13T00:00:00"/>
    <s v="KIỀU THY"/>
    <s v="HT04"/>
    <x v="116"/>
    <x v="28"/>
    <s v="YELLOWEEN"/>
    <m/>
    <s v="14.16"/>
    <n v="300"/>
    <s v="NL2018"/>
    <m/>
    <n v="0"/>
    <n v="0"/>
    <x v="6"/>
    <n v="0"/>
    <x v="1"/>
    <d v="2019-03-15T00:00:00"/>
    <d v="2019-04-19T00:00:00"/>
    <d v="2019-04-19T00:00:00"/>
    <s v="15/3AL"/>
    <s v="CONT 27/2019"/>
    <d v="2019-04-14T00:00:00"/>
    <m/>
    <m/>
    <m/>
    <m/>
    <m/>
    <m/>
    <m/>
    <m/>
    <m/>
    <n v="0"/>
    <n v="0"/>
    <n v="0"/>
  </r>
  <r>
    <s v="114A/2019"/>
    <d v="2019-03-13T00:00:00"/>
    <s v="KIỀU THY"/>
    <s v="HT04"/>
    <x v="116"/>
    <x v="10"/>
    <s v="ARVANDRUD"/>
    <m/>
    <s v="16.18"/>
    <s v="200"/>
    <s v="NL2018"/>
    <m/>
    <n v="25"/>
    <n v="5000"/>
    <x v="44"/>
    <n v="27500000"/>
    <x v="0"/>
    <d v="2019-03-15T00:00:00"/>
    <d v="2019-04-19T00:00:00"/>
    <d v="2019-04-19T00:00:00"/>
    <s v="30/3AL"/>
    <m/>
    <m/>
    <m/>
    <d v="2019-05-24T00:00:00"/>
    <n v="5000"/>
    <m/>
    <m/>
    <m/>
    <m/>
    <m/>
    <m/>
    <n v="5000"/>
    <n v="0"/>
    <n v="0"/>
  </r>
  <r>
    <s v="114A/2019"/>
    <d v="2019-03-13T00:00:00"/>
    <s v="KIỀU THY"/>
    <s v="HT04"/>
    <x v="116"/>
    <x v="11"/>
    <s v="YELLOWEEN"/>
    <m/>
    <s v="12.14"/>
    <s v="400"/>
    <s v="NL2018"/>
    <m/>
    <n v="0"/>
    <n v="0"/>
    <x v="12"/>
    <n v="0"/>
    <x v="1"/>
    <s v="30-Feb-19"/>
    <d v="2019-04-04T00:00:00"/>
    <d v="2019-04-04T00:00:00"/>
    <s v="9-16/4 KH LÊN THANH TOÁN VÀ GIAO HÀNG"/>
    <s v="CONT 18/2019"/>
    <d v="2019-03-31T00:00:00"/>
    <m/>
    <m/>
    <n v="0"/>
    <m/>
    <m/>
    <m/>
    <m/>
    <m/>
    <m/>
    <n v="0"/>
    <n v="0"/>
    <n v="0"/>
  </r>
  <r>
    <s v="185A/2019"/>
    <d v="2019-04-09T00:00:00"/>
    <s v="KIỀU THY"/>
    <s v="HT04"/>
    <x v="116"/>
    <x v="31"/>
    <s v="TARRANGO"/>
    <m/>
    <s v="14.16"/>
    <s v="300"/>
    <s v="NL2018"/>
    <m/>
    <n v="6"/>
    <n v="1800"/>
    <x v="0"/>
    <n v="8460000"/>
    <x v="0"/>
    <s v="30-Feb-19"/>
    <d v="2019-04-04T00:00:00"/>
    <d v="2019-04-04T00:00:00"/>
    <s v="9-16/4 KH LÊN THANH TOÁN VÀ GIAO HÀNG"/>
    <m/>
    <m/>
    <m/>
    <d v="2019-04-23T00:00:00"/>
    <n v="1800"/>
    <m/>
    <m/>
    <m/>
    <m/>
    <m/>
    <m/>
    <n v="1800"/>
    <n v="0"/>
    <n v="0"/>
  </r>
  <r>
    <s v="104A/2019"/>
    <d v="2019-03-11T00:00:00"/>
    <s v="KIỀU THY"/>
    <s v="XK01"/>
    <x v="117"/>
    <x v="15"/>
    <s v="CONCADOR"/>
    <m/>
    <s v="16.18"/>
    <n v="200"/>
    <s v="NL2018"/>
    <m/>
    <n v="25"/>
    <n v="5000"/>
    <x v="18"/>
    <n v="25000000"/>
    <x v="0"/>
    <d v="2019-03-15T00:00:00"/>
    <d v="2019-04-19T00:00:00"/>
    <d v="2019-04-19T00:00:00"/>
    <s v="15/3AL"/>
    <s v="CONT 21/2019"/>
    <d v="2019-04-14T00:00:00"/>
    <m/>
    <d v="2019-04-26T00:00:00"/>
    <n v="5000"/>
    <m/>
    <m/>
    <m/>
    <m/>
    <m/>
    <m/>
    <n v="5000"/>
    <n v="0"/>
    <n v="0"/>
  </r>
  <r>
    <s v="104A/2019"/>
    <d v="2019-03-11T00:00:00"/>
    <s v="KIỀU THY"/>
    <s v="XK01"/>
    <x v="117"/>
    <x v="22"/>
    <s v="ROBINA"/>
    <m/>
    <s v="16.18"/>
    <n v="200"/>
    <s v="NL2018"/>
    <m/>
    <n v="25"/>
    <n v="5000"/>
    <x v="18"/>
    <n v="25000000"/>
    <x v="0"/>
    <d v="2019-03-15T00:00:00"/>
    <d v="2019-04-19T00:00:00"/>
    <d v="2019-04-19T00:00:00"/>
    <s v="15/3AL"/>
    <s v="CONT 26/2019"/>
    <d v="2019-04-14T00:00:00"/>
    <m/>
    <d v="2019-04-26T00:00:00"/>
    <n v="5000"/>
    <m/>
    <m/>
    <m/>
    <m/>
    <m/>
    <m/>
    <n v="5000"/>
    <n v="0"/>
    <n v="0"/>
  </r>
  <r>
    <s v="104A/2019"/>
    <d v="2019-03-11T00:00:00"/>
    <s v="KIỀU THY"/>
    <s v="XK01"/>
    <x v="117"/>
    <x v="47"/>
    <s v="ROBINA"/>
    <m/>
    <s v="18.20"/>
    <n v="150"/>
    <s v="NL2018"/>
    <m/>
    <n v="34"/>
    <n v="5100"/>
    <x v="42"/>
    <n v="32130000"/>
    <x v="0"/>
    <d v="2019-03-15T00:00:00"/>
    <d v="2019-04-19T00:00:00"/>
    <d v="2019-04-19T00:00:00"/>
    <s v="15/3AL"/>
    <s v="CONT 25/2019"/>
    <d v="2019-04-14T00:00:00"/>
    <m/>
    <d v="2019-04-26T00:00:00"/>
    <n v="5100"/>
    <m/>
    <m/>
    <m/>
    <m/>
    <m/>
    <m/>
    <n v="5100"/>
    <n v="0"/>
    <n v="0"/>
  </r>
  <r>
    <s v="104A/2019"/>
    <d v="2019-03-11T00:00:00"/>
    <s v="KIỀU THY"/>
    <s v="XK01"/>
    <x v="117"/>
    <x v="28"/>
    <s v="YELLOWEEN"/>
    <m/>
    <s v="14.16"/>
    <n v="300"/>
    <s v="NL2018"/>
    <m/>
    <n v="17"/>
    <n v="5100"/>
    <x v="6"/>
    <n v="19380000"/>
    <x v="0"/>
    <d v="2019-03-15T00:00:00"/>
    <d v="2019-04-19T00:00:00"/>
    <d v="2019-04-19T00:00:00"/>
    <s v="15/3AL"/>
    <s v="CONT 20/2019"/>
    <d v="2019-04-14T00:00:00"/>
    <m/>
    <d v="2019-04-26T00:00:00"/>
    <n v="5100"/>
    <m/>
    <m/>
    <m/>
    <m/>
    <m/>
    <m/>
    <n v="5100"/>
    <n v="0"/>
    <n v="0"/>
  </r>
  <r>
    <s v="104A/2019"/>
    <d v="2019-04-23T00:00:00"/>
    <s v="KIỀU THY"/>
    <s v="XK01"/>
    <x v="117"/>
    <x v="5"/>
    <s v="PROFUNDO"/>
    <m/>
    <s v="16.18"/>
    <n v="200"/>
    <s v="NL2018"/>
    <m/>
    <n v="15"/>
    <n v="3000"/>
    <x v="5"/>
    <n v="23100000"/>
    <x v="0"/>
    <d v="2019-03-15T00:00:00"/>
    <d v="2019-04-19T00:00:00"/>
    <d v="2019-04-19T00:00:00"/>
    <s v="15/3AL"/>
    <m/>
    <m/>
    <m/>
    <d v="2019-04-26T00:00:00"/>
    <n v="3000"/>
    <m/>
    <m/>
    <m/>
    <m/>
    <m/>
    <m/>
    <n v="3000"/>
    <n v="0"/>
    <n v="0"/>
  </r>
  <r>
    <s v="104A/2019"/>
    <d v="2019-04-25T00:00:00"/>
    <s v="KIỀU THY"/>
    <s v="XK01"/>
    <x v="117"/>
    <x v="5"/>
    <s v="PROFUNDO"/>
    <m/>
    <s v="16.18"/>
    <n v="200"/>
    <s v="NL2018"/>
    <m/>
    <n v="5"/>
    <n v="1000"/>
    <x v="5"/>
    <n v="7700000"/>
    <x v="0"/>
    <d v="2019-02-28T00:00:00"/>
    <d v="2019-04-02T00:00:00"/>
    <d v="2019-04-02T00:00:00"/>
    <s v="28/2AL"/>
    <m/>
    <m/>
    <m/>
    <d v="2019-04-26T00:00:00"/>
    <n v="1000"/>
    <m/>
    <m/>
    <m/>
    <m/>
    <m/>
    <m/>
    <n v="1000"/>
    <n v="0"/>
    <n v="0"/>
  </r>
  <r>
    <s v="104A/2019"/>
    <d v="2019-03-11T00:00:00"/>
    <s v="KIỀU THY"/>
    <s v="XK01"/>
    <x v="117"/>
    <x v="22"/>
    <s v="ROBINA"/>
    <m/>
    <s v="16.18"/>
    <n v="200"/>
    <s v="NL2018"/>
    <m/>
    <n v="25"/>
    <n v="5000"/>
    <x v="55"/>
    <n v="26500000"/>
    <x v="0"/>
    <d v="2019-03-15T00:00:00"/>
    <d v="2019-04-19T00:00:00"/>
    <d v="2019-04-19T00:00:00"/>
    <s v="17/4AL"/>
    <m/>
    <m/>
    <m/>
    <m/>
    <n v="5000"/>
    <m/>
    <m/>
    <m/>
    <m/>
    <m/>
    <m/>
    <n v="5000"/>
    <n v="0"/>
    <n v="0"/>
  </r>
  <r>
    <s v="104A/2019"/>
    <d v="2019-03-11T00:00:00"/>
    <s v="KIỀU THY"/>
    <s v="XK01"/>
    <x v="117"/>
    <x v="28"/>
    <s v="YELLOWEEN"/>
    <m/>
    <s v="14.16"/>
    <n v="300"/>
    <s v="NL2018"/>
    <m/>
    <n v="17"/>
    <n v="5100"/>
    <x v="6"/>
    <n v="19380000"/>
    <x v="0"/>
    <d v="2019-03-15T00:00:00"/>
    <d v="2019-04-19T00:00:00"/>
    <d v="2019-04-19T00:00:00"/>
    <s v="17/4AL"/>
    <m/>
    <m/>
    <m/>
    <m/>
    <n v="5100"/>
    <m/>
    <m/>
    <m/>
    <m/>
    <m/>
    <m/>
    <n v="5100"/>
    <n v="0"/>
    <n v="0"/>
  </r>
  <r>
    <s v="104A/2019"/>
    <d v="2019-03-11T00:00:00"/>
    <s v="KIỀU THY"/>
    <s v="XK01"/>
    <x v="117"/>
    <x v="57"/>
    <s v="DALIAN"/>
    <m/>
    <s v="14.16"/>
    <n v="300"/>
    <s v="NL2018"/>
    <m/>
    <n v="17"/>
    <n v="5100"/>
    <x v="55"/>
    <n v="27030000"/>
    <x v="0"/>
    <d v="2019-03-30T00:00:00"/>
    <d v="2019-05-04T00:00:00"/>
    <d v="2019-05-04T00:00:00"/>
    <s v="17/4AL"/>
    <m/>
    <m/>
    <m/>
    <d v="2019-05-19T00:00:00"/>
    <n v="5100"/>
    <m/>
    <m/>
    <m/>
    <m/>
    <m/>
    <m/>
    <n v="5100"/>
    <n v="0"/>
    <n v="0"/>
  </r>
  <r>
    <s v="104A/2019"/>
    <d v="2019-01-15T00:00:00"/>
    <s v="KIỀU THY"/>
    <s v="XK01"/>
    <x v="117"/>
    <x v="32"/>
    <s v="BACARDI"/>
    <m/>
    <s v="16.18"/>
    <n v="200"/>
    <s v="NL2018"/>
    <m/>
    <n v="20"/>
    <n v="4000"/>
    <x v="42"/>
    <n v="25200000"/>
    <x v="0"/>
    <s v="30-Feb-19"/>
    <d v="2019-04-04T00:00:00"/>
    <d v="2019-04-04T00:00:00"/>
    <s v="30/2AL"/>
    <s v="CONT 14/2019"/>
    <d v="2019-03-31T00:00:00"/>
    <m/>
    <d v="2019-04-16T00:00:00"/>
    <n v="4000"/>
    <m/>
    <m/>
    <m/>
    <m/>
    <m/>
    <m/>
    <n v="4000"/>
    <n v="0"/>
    <n v="0"/>
  </r>
  <r>
    <s v="104A/2019"/>
    <d v="2019-01-15T00:00:00"/>
    <s v="KIỀU THY"/>
    <s v="XK01"/>
    <x v="117"/>
    <x v="15"/>
    <s v="CONCADOR "/>
    <m/>
    <s v="16.18"/>
    <n v="200"/>
    <s v="NL2018"/>
    <m/>
    <n v="30"/>
    <n v="6000"/>
    <x v="0"/>
    <n v="28200000"/>
    <x v="0"/>
    <s v="30-Feb-19"/>
    <d v="2019-04-04T00:00:00"/>
    <d v="2019-04-04T00:00:00"/>
    <s v="30/2AL"/>
    <s v="CONT 17/2019"/>
    <d v="2019-03-31T00:00:00"/>
    <m/>
    <d v="2019-04-16T00:00:00"/>
    <n v="6000"/>
    <m/>
    <m/>
    <m/>
    <m/>
    <m/>
    <m/>
    <n v="6000"/>
    <n v="0"/>
    <n v="0"/>
  </r>
  <r>
    <s v="104A/2019"/>
    <d v="2019-01-15T00:00:00"/>
    <s v="KIỀU THY"/>
    <s v="XK01"/>
    <x v="117"/>
    <x v="22"/>
    <s v="ROBINA"/>
    <m/>
    <s v="16.18"/>
    <n v="200"/>
    <s v="NL2018"/>
    <m/>
    <n v="40"/>
    <n v="8000"/>
    <x v="18"/>
    <n v="40000000"/>
    <x v="0"/>
    <s v="30-Feb-19"/>
    <d v="2019-04-04T00:00:00"/>
    <d v="2019-04-04T00:00:00"/>
    <s v="30/2AL"/>
    <s v="CONT 15/2019"/>
    <d v="2019-03-31T00:00:00"/>
    <s v="R"/>
    <d v="2019-04-06T00:00:00"/>
    <n v="8000"/>
    <m/>
    <m/>
    <m/>
    <m/>
    <m/>
    <m/>
    <n v="8000"/>
    <n v="0"/>
    <n v="0"/>
  </r>
  <r>
    <s v="104A/2019"/>
    <d v="2019-03-11T00:00:00"/>
    <s v="KIỀU THY"/>
    <s v="XK01"/>
    <x v="117"/>
    <x v="24"/>
    <s v="SERANO"/>
    <m/>
    <s v="14.16"/>
    <n v="300"/>
    <s v="NL2018"/>
    <m/>
    <n v="17"/>
    <n v="5100"/>
    <x v="68"/>
    <n v="17850000"/>
    <x v="0"/>
    <s v="30-Feb-19"/>
    <d v="2019-04-04T00:00:00"/>
    <d v="2019-04-04T00:00:00"/>
    <s v="30/2AL"/>
    <s v="CONT 17/2019"/>
    <d v="2019-03-31T00:00:00"/>
    <m/>
    <d v="2019-04-16T00:00:00"/>
    <n v="5100"/>
    <m/>
    <m/>
    <m/>
    <m/>
    <m/>
    <m/>
    <n v="5100"/>
    <n v="0"/>
    <n v="0"/>
  </r>
  <r>
    <s v="153A/2019"/>
    <d v="2019-03-28T00:00:00"/>
    <s v="KIỀU THY"/>
    <s v="XK01"/>
    <x v="117"/>
    <x v="10"/>
    <s v="ARVANDRUD"/>
    <m/>
    <s v="16.18"/>
    <n v="200"/>
    <s v="NL2018"/>
    <m/>
    <n v="25"/>
    <n v="5000"/>
    <x v="26"/>
    <n v="29000000"/>
    <x v="0"/>
    <d v="2019-03-15T00:00:00"/>
    <d v="2019-04-19T00:00:00"/>
    <d v="2019-04-19T00:00:00"/>
    <s v="17/4AL"/>
    <m/>
    <m/>
    <m/>
    <d v="2019-05-23T00:00:00"/>
    <n v="5000"/>
    <m/>
    <m/>
    <m/>
    <m/>
    <m/>
    <m/>
    <n v="5000"/>
    <n v="0"/>
    <n v="0"/>
  </r>
  <r>
    <s v="153A/2019"/>
    <d v="2019-03-28T00:00:00"/>
    <s v="KIỀU THY"/>
    <s v="XK01"/>
    <x v="117"/>
    <x v="24"/>
    <s v="SERANO"/>
    <m/>
    <s v="14.16"/>
    <n v="300"/>
    <s v="NL2018"/>
    <m/>
    <n v="16"/>
    <n v="4800"/>
    <x v="117"/>
    <n v="17760000"/>
    <x v="0"/>
    <d v="2019-04-17T00:00:00"/>
    <d v="2019-05-21T00:00:00"/>
    <d v="2019-05-21T00:00:00"/>
    <s v="17/4AL"/>
    <m/>
    <m/>
    <m/>
    <m/>
    <n v="5100"/>
    <m/>
    <m/>
    <m/>
    <m/>
    <m/>
    <m/>
    <n v="5100"/>
    <n v="-300"/>
    <n v="-1110000"/>
  </r>
  <r>
    <s v="153A/2019"/>
    <d v="2019-03-28T00:00:00"/>
    <s v="KIỀU THY"/>
    <s v="XK01"/>
    <x v="117"/>
    <x v="15"/>
    <s v="CONCADOR"/>
    <m/>
    <s v="16.18"/>
    <n v="200"/>
    <s v="NL2018"/>
    <m/>
    <n v="26"/>
    <n v="5200"/>
    <x v="46"/>
    <n v="31200000"/>
    <x v="0"/>
    <d v="2019-04-17T00:00:00"/>
    <d v="2019-05-21T00:00:00"/>
    <d v="2019-05-21T00:00:00"/>
    <s v="17/4AL"/>
    <m/>
    <m/>
    <m/>
    <d v="2019-05-19T00:00:00"/>
    <n v="5000"/>
    <m/>
    <m/>
    <m/>
    <m/>
    <m/>
    <m/>
    <n v="5000"/>
    <n v="200"/>
    <n v="1200000"/>
  </r>
  <r>
    <s v="153A/2019"/>
    <d v="2019-04-23T00:00:00"/>
    <s v="KIỀU THY"/>
    <s v="XK01"/>
    <x v="117"/>
    <x v="30"/>
    <s v="MALDANO"/>
    <m/>
    <s v="16.18"/>
    <n v="200"/>
    <s v="NL2018"/>
    <m/>
    <n v="10"/>
    <n v="2000"/>
    <x v="55"/>
    <n v="10600000"/>
    <x v="0"/>
    <d v="2019-04-17T00:00:00"/>
    <d v="2019-05-21T00:00:00"/>
    <d v="2019-05-21T00:00:00"/>
    <s v="17/4AL"/>
    <m/>
    <m/>
    <m/>
    <d v="2019-05-19T00:00:00"/>
    <n v="2000"/>
    <m/>
    <m/>
    <m/>
    <m/>
    <m/>
    <m/>
    <n v="2000"/>
    <n v="0"/>
    <n v="0"/>
  </r>
  <r>
    <s v="153A/2019"/>
    <d v="2019-03-28T00:00:00"/>
    <s v="KIỀU THY"/>
    <s v="XK01"/>
    <x v="117"/>
    <x v="48"/>
    <s v="SERANO"/>
    <m/>
    <s v="16.18"/>
    <n v="200"/>
    <s v="NL2018"/>
    <m/>
    <n v="50"/>
    <n v="10000"/>
    <x v="82"/>
    <n v="52000000"/>
    <x v="4"/>
    <d v="2019-05-05T00:00:00"/>
    <d v="2019-06-07T00:00:00"/>
    <d v="2019-06-07T00:00:00"/>
    <s v="10/5AL"/>
    <m/>
    <m/>
    <m/>
    <m/>
    <m/>
    <m/>
    <m/>
    <m/>
    <m/>
    <m/>
    <m/>
    <n v="0"/>
    <n v="10000"/>
    <n v="52000000"/>
  </r>
  <r>
    <s v="153A/2019"/>
    <d v="2019-03-28T00:00:00"/>
    <s v="KIỀU THY"/>
    <s v="XK01"/>
    <x v="117"/>
    <x v="47"/>
    <s v="ROBINA"/>
    <m/>
    <s v="18.20"/>
    <n v="150"/>
    <s v="NL2018"/>
    <m/>
    <n v="164"/>
    <n v="24600"/>
    <x v="35"/>
    <n v="177120000"/>
    <x v="4"/>
    <d v="2019-05-05T00:00:00"/>
    <d v="2019-06-07T00:00:00"/>
    <d v="2019-06-07T00:00:00"/>
    <s v="10/5AL"/>
    <m/>
    <m/>
    <m/>
    <d v="2019-06-08T00:00:00"/>
    <n v="10050"/>
    <m/>
    <m/>
    <m/>
    <m/>
    <m/>
    <m/>
    <n v="10050"/>
    <n v="14550"/>
    <n v="104760000"/>
  </r>
  <r>
    <s v="153A/2019"/>
    <d v="2019-04-23T00:00:00"/>
    <s v="KIỀU THY"/>
    <s v="XK01"/>
    <x v="117"/>
    <x v="31"/>
    <s v="TARRANGO"/>
    <m/>
    <s v="14.16"/>
    <n v="300"/>
    <s v="NL2018"/>
    <m/>
    <n v="34"/>
    <n v="10200"/>
    <x v="77"/>
    <n v="49980000"/>
    <x v="0"/>
    <d v="2019-05-05T00:00:00"/>
    <d v="2019-06-07T00:00:00"/>
    <d v="2019-06-07T00:00:00"/>
    <s v="10/5AL"/>
    <m/>
    <m/>
    <m/>
    <d v="2019-06-08T00:00:00"/>
    <n v="10200"/>
    <m/>
    <m/>
    <m/>
    <m/>
    <m/>
    <m/>
    <n v="10200"/>
    <n v="0"/>
    <n v="0"/>
  </r>
  <r>
    <s v="153A/2019"/>
    <d v="2019-03-28T00:00:00"/>
    <s v="KIỀU THY"/>
    <s v="XK01"/>
    <x v="117"/>
    <x v="47"/>
    <s v="ROBINA"/>
    <m/>
    <s v="18.20"/>
    <n v="150"/>
    <s v="NL2018"/>
    <m/>
    <n v="168"/>
    <n v="25200"/>
    <x v="80"/>
    <n v="183960000"/>
    <x v="3"/>
    <d v="2019-05-18T00:00:00"/>
    <d v="2019-06-20T00:00:00"/>
    <d v="2019-06-20T00:00:00"/>
    <s v="10/6AL"/>
    <m/>
    <m/>
    <m/>
    <m/>
    <m/>
    <m/>
    <m/>
    <m/>
    <m/>
    <m/>
    <m/>
    <n v="0"/>
    <n v="25200"/>
    <n v="183960000"/>
  </r>
  <r>
    <s v="153A/2019"/>
    <d v="2019-04-23T00:00:00"/>
    <s v="KIỀU THY"/>
    <s v="XK01"/>
    <x v="117"/>
    <x v="48"/>
    <s v="SERANO"/>
    <m/>
    <s v="16.18"/>
    <n v="200"/>
    <s v="NL2018"/>
    <m/>
    <n v="50"/>
    <n v="10000"/>
    <x v="82"/>
    <n v="52000000"/>
    <x v="3"/>
    <d v="2019-05-30T00:00:00"/>
    <d v="2019-07-02T00:00:00"/>
    <d v="2019-07-02T00:00:00"/>
    <s v="10/5AL"/>
    <m/>
    <m/>
    <m/>
    <m/>
    <m/>
    <m/>
    <m/>
    <m/>
    <m/>
    <m/>
    <m/>
    <n v="0"/>
    <n v="10000"/>
    <n v="52000000"/>
  </r>
  <r>
    <s v="153A/2019"/>
    <d v="2019-04-23T00:00:00"/>
    <s v="KIỀU THY"/>
    <s v="XK01"/>
    <x v="117"/>
    <x v="31"/>
    <s v="TARRANGO"/>
    <m/>
    <s v="14.16"/>
    <n v="300"/>
    <s v="NL2018"/>
    <m/>
    <n v="34"/>
    <n v="10200"/>
    <x v="77"/>
    <n v="49980000"/>
    <x v="3"/>
    <d v="2019-05-30T00:00:00"/>
    <d v="2019-07-02T00:00:00"/>
    <d v="2019-07-02T00:00:00"/>
    <s v="25/5AL"/>
    <m/>
    <m/>
    <m/>
    <m/>
    <m/>
    <m/>
    <m/>
    <m/>
    <m/>
    <m/>
    <m/>
    <n v="0"/>
    <n v="10200"/>
    <n v="49980000"/>
  </r>
  <r>
    <s v="153A/2019"/>
    <d v="2019-03-28T00:00:00"/>
    <s v="KIỀU THY"/>
    <s v="XK01"/>
    <x v="117"/>
    <x v="48"/>
    <s v="SERANO"/>
    <m/>
    <s v="16.18"/>
    <n v="200"/>
    <s v="NL2018"/>
    <m/>
    <n v="100"/>
    <n v="20000"/>
    <x v="55"/>
    <n v="106000000"/>
    <x v="2"/>
    <d v="2019-06-29T00:00:00"/>
    <d v="2019-07-31T00:00:00"/>
    <d v="2019-07-31T00:00:00"/>
    <s v="10/6AL"/>
    <m/>
    <m/>
    <m/>
    <m/>
    <m/>
    <m/>
    <m/>
    <m/>
    <m/>
    <m/>
    <m/>
    <n v="0"/>
    <n v="20000"/>
    <n v="106000000"/>
  </r>
  <r>
    <s v="153A/2019"/>
    <d v="2019-05-06T00:00:00"/>
    <s v="KIỀU THY"/>
    <s v="XK01"/>
    <x v="117"/>
    <x v="48"/>
    <s v="SERANO"/>
    <m/>
    <s v="16.18"/>
    <n v="200"/>
    <s v="NL2018"/>
    <m/>
    <n v="125"/>
    <n v="25000"/>
    <x v="55"/>
    <n v="132500000"/>
    <x v="2"/>
    <d v="2019-06-29T00:00:00"/>
    <d v="2019-07-31T00:00:00"/>
    <d v="2019-07-31T00:00:00"/>
    <s v="T6/AL"/>
    <m/>
    <m/>
    <m/>
    <m/>
    <m/>
    <m/>
    <m/>
    <m/>
    <m/>
    <m/>
    <m/>
    <n v="0"/>
    <n v="25000"/>
    <n v="132500000"/>
  </r>
  <r>
    <s v="153A/2019"/>
    <d v="2019-05-06T00:00:00"/>
    <s v="KIỀU THY"/>
    <s v="XK01"/>
    <x v="117"/>
    <x v="48"/>
    <s v="SERANO"/>
    <m/>
    <s v="16.18"/>
    <n v="200"/>
    <s v="NL2018"/>
    <m/>
    <n v="125"/>
    <n v="25000"/>
    <x v="11"/>
    <n v="135000000"/>
    <x v="2"/>
    <d v="2019-07-10T00:00:00"/>
    <d v="2019-08-10T00:00:00"/>
    <d v="2019-08-10T00:00:00"/>
    <s v="T7/AL"/>
    <m/>
    <m/>
    <m/>
    <m/>
    <m/>
    <m/>
    <m/>
    <m/>
    <m/>
    <m/>
    <m/>
    <n v="0"/>
    <n v="25000"/>
    <n v="135000000"/>
  </r>
  <r>
    <s v="30A/2019"/>
    <d v="2019-01-15T00:00:00"/>
    <s v="KIỀU THY"/>
    <s v="XK01"/>
    <x v="117"/>
    <x v="32"/>
    <s v="BACARDI"/>
    <m/>
    <s v="16.18"/>
    <n v="200"/>
    <s v="NL2018"/>
    <m/>
    <n v="20"/>
    <n v="4000"/>
    <x v="42"/>
    <n v="25200000"/>
    <x v="0"/>
    <d v="2019-01-15T00:00:00"/>
    <d v="2019-02-19T00:00:00"/>
    <d v="2019-02-19T00:00:00"/>
    <s v="15/1AL"/>
    <m/>
    <m/>
    <s v="R"/>
    <d v="2019-03-09T00:00:00"/>
    <n v="4000"/>
    <m/>
    <m/>
    <m/>
    <m/>
    <m/>
    <m/>
    <n v="4000"/>
    <n v="0"/>
    <n v="0"/>
  </r>
  <r>
    <s v="30A/2019"/>
    <d v="2019-01-15T00:00:00"/>
    <s v="KIỀU THY"/>
    <s v="XK01"/>
    <x v="117"/>
    <x v="15"/>
    <s v="CONCADOR "/>
    <m/>
    <s v="16.18"/>
    <n v="200"/>
    <s v="NL2018"/>
    <m/>
    <n v="30"/>
    <n v="6000"/>
    <x v="21"/>
    <n v="27600000"/>
    <x v="0"/>
    <d v="2019-01-15T00:00:00"/>
    <d v="2019-02-19T00:00:00"/>
    <d v="2019-02-19T00:00:00"/>
    <s v="15/1AL"/>
    <m/>
    <m/>
    <s v="R"/>
    <d v="2019-03-02T00:00:00"/>
    <n v="6000"/>
    <m/>
    <m/>
    <m/>
    <m/>
    <m/>
    <m/>
    <n v="6000"/>
    <n v="0"/>
    <n v="0"/>
  </r>
  <r>
    <s v="30A/2019"/>
    <d v="2019-01-15T00:00:00"/>
    <s v="KIỀU THY"/>
    <s v="XK01"/>
    <x v="117"/>
    <x v="38"/>
    <s v="YELLOWEEN"/>
    <m/>
    <s v="16.18"/>
    <n v="200"/>
    <s v="NL2018"/>
    <m/>
    <n v="25"/>
    <n v="5000"/>
    <x v="18"/>
    <n v="25000000"/>
    <x v="0"/>
    <d v="2019-01-15T00:00:00"/>
    <d v="2019-02-19T00:00:00"/>
    <d v="2019-02-19T00:00:00"/>
    <s v="15/1AL"/>
    <m/>
    <m/>
    <s v="R"/>
    <d v="2019-03-09T00:00:00"/>
    <n v="5000"/>
    <m/>
    <m/>
    <m/>
    <m/>
    <m/>
    <m/>
    <n v="5000"/>
    <n v="0"/>
    <n v="0"/>
  </r>
  <r>
    <s v="30A/2019"/>
    <d v="2019-01-15T00:00:00"/>
    <s v="KIỀU THY"/>
    <s v="XK01"/>
    <x v="117"/>
    <x v="79"/>
    <s v="YELLOWEEN"/>
    <m/>
    <s v="16.18"/>
    <n v="200"/>
    <s v="NL2017"/>
    <m/>
    <n v="25"/>
    <n v="5000"/>
    <x v="6"/>
    <n v="19000000"/>
    <x v="0"/>
    <d v="2019-01-15T00:00:00"/>
    <d v="2019-02-19T00:00:00"/>
    <d v="2019-02-19T00:00:00"/>
    <s v="15/1AL"/>
    <m/>
    <m/>
    <m/>
    <d v="2019-03-09T00:00:00"/>
    <n v="5000"/>
    <m/>
    <m/>
    <m/>
    <m/>
    <m/>
    <m/>
    <n v="5000"/>
    <n v="0"/>
    <n v="0"/>
  </r>
  <r>
    <s v="30A/2019"/>
    <d v="2019-01-15T00:00:00"/>
    <s v="KIỀU THY"/>
    <s v="XK01"/>
    <x v="117"/>
    <x v="5"/>
    <s v="PROFUNDO"/>
    <m/>
    <s v="16.18"/>
    <n v="200"/>
    <s v="NL2018"/>
    <m/>
    <n v="25"/>
    <n v="5000"/>
    <x v="45"/>
    <n v="33500000"/>
    <x v="0"/>
    <d v="2019-02-15T00:00:00"/>
    <d v="2019-03-20T00:00:00"/>
    <d v="2019-03-20T00:00:00"/>
    <s v="15/2AL"/>
    <s v="CONT 12/2019"/>
    <d v="2019-03-17T00:00:00"/>
    <m/>
    <d v="2019-03-19T00:00:00"/>
    <n v="5000"/>
    <m/>
    <m/>
    <m/>
    <m/>
    <m/>
    <m/>
    <n v="5000"/>
    <n v="0"/>
    <n v="0"/>
  </r>
  <r>
    <s v="30A/2019"/>
    <d v="2019-01-15T00:00:00"/>
    <s v="KIỀU THY"/>
    <s v="XK01"/>
    <x v="117"/>
    <x v="47"/>
    <s v="ROBINA"/>
    <m/>
    <s v="18.20"/>
    <n v="150"/>
    <s v="NL2018"/>
    <m/>
    <n v="34"/>
    <n v="5100"/>
    <x v="42"/>
    <n v="32130000"/>
    <x v="0"/>
    <d v="2019-02-15T00:00:00"/>
    <d v="2019-03-20T00:00:00"/>
    <d v="2019-03-20T00:00:00"/>
    <s v="15/2AL"/>
    <s v="CONT 11/2019"/>
    <d v="2019-03-17T00:00:00"/>
    <m/>
    <d v="2019-03-19T00:00:00"/>
    <n v="5100"/>
    <m/>
    <m/>
    <m/>
    <m/>
    <m/>
    <m/>
    <n v="5100"/>
    <n v="0"/>
    <n v="0"/>
  </r>
  <r>
    <s v="30A/2019"/>
    <d v="2019-01-15T00:00:00"/>
    <s v="KIỀU THY"/>
    <s v="XK01"/>
    <x v="117"/>
    <x v="28"/>
    <s v="YELLOWEEN"/>
    <m/>
    <s v="14.16"/>
    <n v="300"/>
    <s v="NL2018"/>
    <m/>
    <n v="20"/>
    <n v="6000"/>
    <x v="6"/>
    <n v="22800000"/>
    <x v="0"/>
    <d v="2019-02-15T00:00:00"/>
    <d v="2019-03-20T00:00:00"/>
    <d v="2019-03-20T00:00:00"/>
    <s v="15/2AL"/>
    <s v="CONT 10/2019"/>
    <d v="2019-03-17T00:00:00"/>
    <s v="R"/>
    <d v="2019-03-19T00:00:00"/>
    <n v="6000"/>
    <m/>
    <m/>
    <m/>
    <m/>
    <m/>
    <m/>
    <n v="6000"/>
    <n v="0"/>
    <n v="0"/>
  </r>
  <r>
    <s v="30A/2019"/>
    <d v="2019-01-15T00:00:00"/>
    <s v="KIỀU THY"/>
    <s v="XK01"/>
    <x v="117"/>
    <x v="6"/>
    <s v="CONCADOR"/>
    <m/>
    <s v="20.22"/>
    <n v="125"/>
    <s v="NL2018"/>
    <m/>
    <n v="40"/>
    <n v="5000"/>
    <x v="59"/>
    <n v="52500000"/>
    <x v="2"/>
    <d v="2019-09-01T00:00:00"/>
    <d v="2019-09-29T00:00:00"/>
    <d v="2019-09-29T00:00:00"/>
    <s v="TẾT"/>
    <m/>
    <m/>
    <m/>
    <m/>
    <n v="0"/>
    <m/>
    <m/>
    <m/>
    <m/>
    <m/>
    <m/>
    <n v="0"/>
    <n v="5000"/>
    <n v="52500000"/>
  </r>
  <r>
    <s v="30A/2019"/>
    <d v="2019-01-15T00:00:00"/>
    <s v="KIỀU THY"/>
    <s v="XK01"/>
    <x v="117"/>
    <x v="46"/>
    <s v="CONCADOR"/>
    <m/>
    <s v="22.24"/>
    <n v="100"/>
    <s v="NL2018"/>
    <m/>
    <n v="100"/>
    <n v="10000"/>
    <x v="29"/>
    <n v="125000000"/>
    <x v="2"/>
    <d v="2019-09-01T00:00:00"/>
    <d v="2019-09-29T00:00:00"/>
    <d v="2019-09-29T00:00:00"/>
    <s v="TẾT"/>
    <m/>
    <m/>
    <m/>
    <m/>
    <n v="0"/>
    <m/>
    <m/>
    <m/>
    <m/>
    <m/>
    <m/>
    <n v="0"/>
    <n v="10000"/>
    <n v="125000000"/>
  </r>
  <r>
    <s v="30A/2019"/>
    <d v="2019-01-15T00:00:00"/>
    <s v="KIỀU THY"/>
    <s v="XK01"/>
    <x v="117"/>
    <x v="85"/>
    <s v="DALIAN"/>
    <m/>
    <s v="20.22"/>
    <n v="125"/>
    <s v="NL2018"/>
    <m/>
    <n v="40"/>
    <n v="5000"/>
    <x v="85"/>
    <n v="71000000"/>
    <x v="2"/>
    <d v="2019-09-01T00:00:00"/>
    <d v="2019-09-29T00:00:00"/>
    <d v="2019-09-29T00:00:00"/>
    <s v="TẾT"/>
    <m/>
    <m/>
    <m/>
    <m/>
    <n v="0"/>
    <m/>
    <m/>
    <m/>
    <m/>
    <m/>
    <m/>
    <n v="0"/>
    <n v="5000"/>
    <n v="71000000"/>
  </r>
  <r>
    <s v="30A/2019"/>
    <d v="2019-01-15T00:00:00"/>
    <s v="KIỀU THY"/>
    <s v="XK01"/>
    <x v="117"/>
    <x v="87"/>
    <s v="PROFUNDO"/>
    <m/>
    <s v="22.24"/>
    <n v="100"/>
    <s v="NL2018"/>
    <m/>
    <n v="50"/>
    <n v="5000"/>
    <x v="85"/>
    <n v="71000000"/>
    <x v="2"/>
    <d v="2019-09-01T00:00:00"/>
    <d v="2019-09-29T00:00:00"/>
    <d v="2019-09-29T00:00:00"/>
    <s v="TẾT"/>
    <m/>
    <m/>
    <m/>
    <m/>
    <n v="0"/>
    <m/>
    <m/>
    <m/>
    <m/>
    <m/>
    <m/>
    <n v="0"/>
    <n v="5000"/>
    <n v="71000000"/>
  </r>
  <r>
    <s v="30A/2019"/>
    <d v="2019-01-15T00:00:00"/>
    <s v="KIỀU THY"/>
    <s v="XK01"/>
    <x v="117"/>
    <x v="138"/>
    <s v="BACARDI"/>
    <m/>
    <s v="22.24"/>
    <n v="85"/>
    <s v="NL2018"/>
    <m/>
    <n v="59"/>
    <n v="5015"/>
    <x v="121"/>
    <n v="58174000"/>
    <x v="2"/>
    <d v="2019-09-01T00:00:00"/>
    <d v="2019-09-29T00:00:00"/>
    <d v="2019-09-29T00:00:00"/>
    <s v="TẾT"/>
    <m/>
    <m/>
    <m/>
    <m/>
    <n v="0"/>
    <m/>
    <m/>
    <m/>
    <m/>
    <m/>
    <m/>
    <n v="0"/>
    <n v="5015"/>
    <n v="58174000"/>
  </r>
  <r>
    <s v="151A/2019"/>
    <d v="2019-03-27T00:00:00"/>
    <s v="KIỀU THY"/>
    <s v="TT03"/>
    <x v="118"/>
    <x v="174"/>
    <s v="SERANO"/>
    <m/>
    <s v="14.16"/>
    <s v="300"/>
    <s v="NL2017"/>
    <m/>
    <n v="17"/>
    <n v="5100"/>
    <x v="25"/>
    <n v="18360000"/>
    <x v="0"/>
    <m/>
    <s v=""/>
    <s v=""/>
    <m/>
    <m/>
    <m/>
    <m/>
    <d v="2019-04-03T00:00:00"/>
    <n v="5100"/>
    <m/>
    <m/>
    <m/>
    <m/>
    <m/>
    <m/>
    <n v="5100"/>
    <n v="0"/>
    <n v="0"/>
  </r>
  <r>
    <s v="151A/2019"/>
    <d v="2019-03-27T00:00:00"/>
    <s v="KIỀU THY"/>
    <s v="TT03"/>
    <x v="118"/>
    <x v="175"/>
    <s v="INDIANA"/>
    <m/>
    <s v="14.16"/>
    <s v="300"/>
    <s v="NL2017"/>
    <m/>
    <n v="20"/>
    <n v="6000"/>
    <x v="0"/>
    <n v="28200000"/>
    <x v="0"/>
    <s v="30-02-2019"/>
    <s v=""/>
    <s v=""/>
    <s v="15/2AL"/>
    <m/>
    <m/>
    <m/>
    <d v="2019-04-03T00:00:00"/>
    <n v="6000"/>
    <m/>
    <m/>
    <m/>
    <m/>
    <m/>
    <m/>
    <n v="6000"/>
    <n v="0"/>
    <n v="0"/>
  </r>
  <r>
    <s v="151A/2019"/>
    <d v="2019-03-27T00:00:00"/>
    <s v="KIỀU THY"/>
    <s v="TT03"/>
    <x v="118"/>
    <x v="66"/>
    <s v="ALUSTA"/>
    <m/>
    <s v="14.16"/>
    <s v="300"/>
    <s v="NL2018"/>
    <m/>
    <n v="7"/>
    <n v="2100"/>
    <x v="57"/>
    <n v="8400000"/>
    <x v="0"/>
    <s v="30-02-2019"/>
    <s v=""/>
    <s v=""/>
    <s v="15/2AL"/>
    <m/>
    <m/>
    <m/>
    <d v="2019-04-03T00:00:00"/>
    <n v="2100"/>
    <m/>
    <m/>
    <m/>
    <m/>
    <m/>
    <m/>
    <n v="2100"/>
    <n v="0"/>
    <n v="0"/>
  </r>
  <r>
    <s v="X"/>
    <m/>
    <s v="KIỀU THY"/>
    <s v="TT03"/>
    <x v="118"/>
    <x v="57"/>
    <s v="DALIAN"/>
    <m/>
    <s v="14.16"/>
    <n v="300"/>
    <s v="NL2018"/>
    <m/>
    <n v="7"/>
    <n v="2100"/>
    <x v="55"/>
    <n v="11130000"/>
    <x v="0"/>
    <d v="2019-02-15T00:00:00"/>
    <d v="2019-03-20T00:00:00"/>
    <d v="2019-03-20T00:00:00"/>
    <s v="15/2AL"/>
    <s v="CONT 11/2019"/>
    <d v="2019-03-17T00:00:00"/>
    <m/>
    <d v="2019-03-19T00:00:00"/>
    <n v="2100"/>
    <m/>
    <m/>
    <m/>
    <m/>
    <m/>
    <m/>
    <n v="2100"/>
    <n v="0"/>
    <n v="0"/>
  </r>
  <r>
    <s v="X"/>
    <m/>
    <s v="KIỀU THY"/>
    <s v="TT03"/>
    <x v="118"/>
    <x v="24"/>
    <s v="SERANO"/>
    <m/>
    <s v="14.16"/>
    <s v="300"/>
    <s v="NL2018"/>
    <m/>
    <n v="34"/>
    <n v="10200"/>
    <x v="25"/>
    <n v="36720000"/>
    <x v="0"/>
    <d v="2019-02-15T00:00:00"/>
    <d v="2019-03-20T00:00:00"/>
    <d v="2019-03-20T00:00:00"/>
    <s v="15/2AL"/>
    <s v="CONT 10/2019"/>
    <d v="2019-03-17T00:00:00"/>
    <m/>
    <d v="2019-03-19T00:00:00"/>
    <n v="10200"/>
    <m/>
    <m/>
    <m/>
    <m/>
    <m/>
    <m/>
    <n v="10200"/>
    <n v="0"/>
    <n v="0"/>
  </r>
  <r>
    <s v="X"/>
    <m/>
    <s v="KIỀU THY"/>
    <s v="TT03"/>
    <x v="118"/>
    <x v="73"/>
    <s v="YELLOWEEN"/>
    <m/>
    <s v="14.16"/>
    <s v="300"/>
    <s v="NL2017"/>
    <m/>
    <n v="0"/>
    <n v="0"/>
    <x v="62"/>
    <n v="0"/>
    <x v="1"/>
    <d v="2019-02-07T00:00:00"/>
    <d v="2019-03-12T00:00:00"/>
    <d v="2019-03-12T00:00:00"/>
    <s v="7/2AL"/>
    <s v="CONT 87/2018"/>
    <m/>
    <m/>
    <m/>
    <m/>
    <m/>
    <m/>
    <m/>
    <m/>
    <m/>
    <m/>
    <n v="0"/>
    <n v="0"/>
    <n v="0"/>
  </r>
  <r>
    <s v="97B/2019"/>
    <d v="2019-03-08T00:00:00"/>
    <s v="THANH THÚY"/>
    <s v="PU01"/>
    <x v="119"/>
    <x v="6"/>
    <s v="CONCADOR"/>
    <m/>
    <s v="20.22"/>
    <n v="125"/>
    <s v="NL2018"/>
    <m/>
    <n v="48"/>
    <n v="6000"/>
    <x v="59"/>
    <n v="63000000"/>
    <x v="2"/>
    <d v="2019-09-01T00:00:00"/>
    <d v="2019-09-29T00:00:00"/>
    <d v="2019-09-29T00:00:00"/>
    <s v="TẾT"/>
    <m/>
    <m/>
    <m/>
    <m/>
    <n v="0"/>
    <m/>
    <m/>
    <m/>
    <m/>
    <m/>
    <m/>
    <n v="0"/>
    <n v="6000"/>
    <n v="63000000"/>
  </r>
  <r>
    <s v="97B/2019"/>
    <d v="2019-03-08T00:00:00"/>
    <s v="THANH THÚY"/>
    <s v="PU01"/>
    <x v="119"/>
    <x v="47"/>
    <s v="ROBINA"/>
    <m/>
    <s v="18.20"/>
    <n v="150"/>
    <s v="NL2018"/>
    <m/>
    <n v="27"/>
    <n v="4050"/>
    <x v="35"/>
    <n v="29160000"/>
    <x v="2"/>
    <d v="2019-09-01T00:00:00"/>
    <d v="2019-09-29T00:00:00"/>
    <d v="2019-09-29T00:00:00"/>
    <s v="TẾT"/>
    <m/>
    <m/>
    <m/>
    <m/>
    <n v="0"/>
    <m/>
    <m/>
    <m/>
    <m/>
    <m/>
    <m/>
    <n v="0"/>
    <n v="4050"/>
    <n v="29160000"/>
  </r>
  <r>
    <s v="97B/2019"/>
    <d v="2019-03-08T00:00:00"/>
    <s v="THANH THÚY"/>
    <s v="PU01"/>
    <x v="119"/>
    <x v="26"/>
    <s v="ROBINA"/>
    <m/>
    <s v="22.24"/>
    <n v="100"/>
    <s v="NL2018"/>
    <m/>
    <n v="60"/>
    <n v="6000"/>
    <x v="29"/>
    <n v="75000000"/>
    <x v="2"/>
    <d v="2019-09-01T00:00:00"/>
    <d v="2019-09-29T00:00:00"/>
    <d v="2019-09-29T00:00:00"/>
    <s v="TẾT"/>
    <m/>
    <m/>
    <m/>
    <m/>
    <n v="0"/>
    <m/>
    <m/>
    <m/>
    <m/>
    <m/>
    <m/>
    <n v="0"/>
    <n v="6000"/>
    <n v="75000000"/>
  </r>
  <r>
    <s v="97B/2019"/>
    <d v="2019-03-08T00:00:00"/>
    <s v="THANH THÚY"/>
    <s v="PU01"/>
    <x v="119"/>
    <x v="38"/>
    <s v="YELLOWEEN"/>
    <m/>
    <s v="16.18"/>
    <n v="200"/>
    <s v="NL2018"/>
    <m/>
    <n v="25"/>
    <n v="5000"/>
    <x v="48"/>
    <n v="28000000"/>
    <x v="2"/>
    <d v="2019-09-01T00:00:00"/>
    <d v="2019-09-29T00:00:00"/>
    <d v="2019-09-29T00:00:00"/>
    <s v="TẾT"/>
    <m/>
    <m/>
    <m/>
    <m/>
    <n v="0"/>
    <m/>
    <m/>
    <m/>
    <m/>
    <m/>
    <m/>
    <n v="0"/>
    <n v="5000"/>
    <n v="28000000"/>
  </r>
  <r>
    <s v="66B/2019"/>
    <d v="2019-02-21T00:00:00"/>
    <s v="THANH THÚY"/>
    <s v="HS01"/>
    <x v="120"/>
    <x v="6"/>
    <s v="CONCADOR"/>
    <m/>
    <s v="20.22"/>
    <n v="125"/>
    <s v="NL2018"/>
    <m/>
    <n v="13"/>
    <n v="1625"/>
    <x v="41"/>
    <n v="0"/>
    <x v="2"/>
    <d v="2019-09-01T00:00:00"/>
    <d v="2019-09-29T00:00:00"/>
    <d v="2019-09-29T00:00:00"/>
    <s v="TẾT.BÙ CỦ"/>
    <m/>
    <m/>
    <m/>
    <m/>
    <n v="0"/>
    <m/>
    <m/>
    <m/>
    <m/>
    <m/>
    <m/>
    <n v="0"/>
    <n v="1625"/>
    <n v="0"/>
  </r>
  <r>
    <s v="66B/2019"/>
    <d v="2019-02-21T00:00:00"/>
    <s v="THANH THÚY"/>
    <s v="HS01"/>
    <x v="120"/>
    <x v="46"/>
    <s v="CONCADOR"/>
    <m/>
    <s v="22.24"/>
    <n v="100"/>
    <s v="NL2018"/>
    <m/>
    <n v="60"/>
    <n v="6000"/>
    <x v="29"/>
    <n v="75000000"/>
    <x v="2"/>
    <d v="2019-09-01T00:00:00"/>
    <d v="2019-09-29T00:00:00"/>
    <d v="2019-09-29T00:00:00"/>
    <s v="TẾT"/>
    <m/>
    <m/>
    <m/>
    <m/>
    <n v="0"/>
    <m/>
    <m/>
    <m/>
    <m/>
    <m/>
    <m/>
    <n v="0"/>
    <n v="6000"/>
    <n v="75000000"/>
  </r>
  <r>
    <s v="66B/2019"/>
    <d v="2019-02-21T00:00:00"/>
    <s v="THANH THÚY"/>
    <s v="HS01"/>
    <x v="120"/>
    <x v="37"/>
    <s v="PROFUNDO"/>
    <m/>
    <s v="20.22"/>
    <n v="125"/>
    <s v="NL2018"/>
    <m/>
    <n v="48"/>
    <n v="6000"/>
    <x v="40"/>
    <n v="78000000"/>
    <x v="2"/>
    <d v="2019-09-01T00:00:00"/>
    <d v="2019-09-29T00:00:00"/>
    <d v="2019-09-29T00:00:00"/>
    <s v="TẾT"/>
    <m/>
    <m/>
    <m/>
    <m/>
    <n v="0"/>
    <m/>
    <m/>
    <m/>
    <m/>
    <m/>
    <m/>
    <n v="0"/>
    <n v="6000"/>
    <n v="78000000"/>
  </r>
  <r>
    <s v="64A/2019"/>
    <d v="2019-02-21T00:00:00"/>
    <s v="KIỀU THY"/>
    <s v="MP02"/>
    <x v="121"/>
    <x v="15"/>
    <s v="CONCADOR "/>
    <m/>
    <s v="16.18"/>
    <n v="200"/>
    <s v="NL2018"/>
    <m/>
    <n v="12"/>
    <n v="2400"/>
    <x v="83"/>
    <n v="12408000"/>
    <x v="0"/>
    <d v="2019-04-17T00:00:00"/>
    <d v="2019-05-21T00:00:00"/>
    <d v="2019-05-21T00:00:00"/>
    <s v="T4AL"/>
    <m/>
    <m/>
    <s v="R"/>
    <d v="2019-05-21T00:00:00"/>
    <n v="1200"/>
    <d v="2019-05-27T00:00:00"/>
    <n v="1200"/>
    <m/>
    <m/>
    <m/>
    <m/>
    <n v="2400"/>
    <n v="0"/>
    <n v="0"/>
  </r>
  <r>
    <s v="64A/2019"/>
    <d v="2019-02-21T00:00:00"/>
    <s v="KIỀU THY"/>
    <s v="MP02"/>
    <x v="121"/>
    <x v="22"/>
    <s v="ROBINA"/>
    <m/>
    <s v="16.18"/>
    <n v="200"/>
    <s v="NL2018"/>
    <m/>
    <n v="13"/>
    <n v="2600"/>
    <x v="83"/>
    <n v="13442000"/>
    <x v="0"/>
    <d v="2019-04-17T00:00:00"/>
    <d v="2019-05-21T00:00:00"/>
    <d v="2019-05-21T00:00:00"/>
    <s v="T4AL"/>
    <m/>
    <m/>
    <s v="R"/>
    <d v="2019-05-21T00:00:00"/>
    <n v="1400"/>
    <d v="2019-05-27T00:00:00"/>
    <n v="1200"/>
    <m/>
    <m/>
    <m/>
    <m/>
    <n v="2600"/>
    <n v="0"/>
    <n v="0"/>
  </r>
  <r>
    <s v="64A/2019"/>
    <d v="2019-05-14T00:00:00"/>
    <s v="KIỀU THY"/>
    <s v="MP02"/>
    <x v="121"/>
    <x v="17"/>
    <s v="NELLO "/>
    <m/>
    <s v="12.14"/>
    <n v="400"/>
    <s v="NL2018"/>
    <m/>
    <n v="0"/>
    <n v="0"/>
    <x v="28"/>
    <n v="0"/>
    <x v="1"/>
    <d v="2019-05-25T00:00:00"/>
    <d v="2019-06-27T00:00:00"/>
    <d v="2019-06-27T00:00:00"/>
    <m/>
    <m/>
    <m/>
    <m/>
    <m/>
    <m/>
    <m/>
    <m/>
    <m/>
    <m/>
    <m/>
    <m/>
    <n v="0"/>
    <n v="0"/>
    <n v="0"/>
  </r>
  <r>
    <s v="64A/2019"/>
    <m/>
    <m/>
    <s v="MP02"/>
    <x v="121"/>
    <x v="4"/>
    <s v="TEBALDI"/>
    <m/>
    <s v="14.16"/>
    <n v="300"/>
    <s v="NL2018"/>
    <m/>
    <n v="10"/>
    <n v="3000"/>
    <x v="99"/>
    <n v="12900000"/>
    <x v="0"/>
    <d v="2019-05-05T00:00:00"/>
    <d v="2019-06-07T00:00:00"/>
    <d v="2019-06-07T00:00:00"/>
    <m/>
    <m/>
    <m/>
    <m/>
    <d v="2019-06-10T00:00:00"/>
    <n v="3000"/>
    <m/>
    <m/>
    <m/>
    <m/>
    <m/>
    <m/>
    <n v="3000"/>
    <n v="0"/>
    <n v="0"/>
  </r>
  <r>
    <s v="64A/2019"/>
    <d v="2019-05-14T00:00:00"/>
    <s v="KIỀU THY"/>
    <s v="MP02"/>
    <x v="121"/>
    <x v="4"/>
    <s v="TEBALDI"/>
    <m/>
    <s v="14.16"/>
    <n v="300"/>
    <s v="NL2018"/>
    <m/>
    <n v="8"/>
    <n v="2400"/>
    <x v="2"/>
    <n v="10560000"/>
    <x v="2"/>
    <d v="2019-06-29T00:00:00"/>
    <d v="2019-07-31T00:00:00"/>
    <d v="2019-07-31T00:00:00"/>
    <m/>
    <m/>
    <m/>
    <m/>
    <m/>
    <m/>
    <m/>
    <m/>
    <m/>
    <m/>
    <m/>
    <m/>
    <n v="0"/>
    <n v="2400"/>
    <n v="10560000"/>
  </r>
  <r>
    <s v="64A/2019"/>
    <d v="2019-05-14T00:00:00"/>
    <s v="KIỀU THY"/>
    <s v="MP02"/>
    <x v="121"/>
    <x v="28"/>
    <s v="YELLOWEEN"/>
    <m/>
    <s v="14.16"/>
    <n v="300"/>
    <s v="NL2018"/>
    <m/>
    <n v="8.6666666666666661"/>
    <n v="2600"/>
    <x v="57"/>
    <n v="10400000"/>
    <x v="2"/>
    <d v="2019-06-29T00:00:00"/>
    <d v="2019-07-31T00:00:00"/>
    <d v="2019-07-31T00:00:00"/>
    <m/>
    <m/>
    <m/>
    <m/>
    <m/>
    <m/>
    <m/>
    <m/>
    <m/>
    <m/>
    <m/>
    <m/>
    <n v="0"/>
    <n v="2600"/>
    <n v="10400000"/>
  </r>
  <r>
    <s v="64A/2019"/>
    <d v="2019-05-14T00:00:00"/>
    <s v="KIỀU THY"/>
    <s v="MP02"/>
    <x v="121"/>
    <x v="4"/>
    <s v="TEBALDI"/>
    <m/>
    <s v="14.16"/>
    <n v="300"/>
    <s v="NL2018"/>
    <m/>
    <n v="8"/>
    <n v="2400"/>
    <x v="2"/>
    <n v="10560000"/>
    <x v="2"/>
    <d v="2019-07-29T00:00:00"/>
    <d v="2019-08-29T00:00:00"/>
    <d v="2019-08-29T00:00:00"/>
    <m/>
    <m/>
    <m/>
    <m/>
    <m/>
    <m/>
    <m/>
    <m/>
    <m/>
    <m/>
    <m/>
    <m/>
    <n v="0"/>
    <n v="2400"/>
    <n v="10560000"/>
  </r>
  <r>
    <s v="64A/2019"/>
    <d v="2019-05-14T00:00:00"/>
    <s v="KIỀU THY"/>
    <s v="MP02"/>
    <x v="121"/>
    <x v="28"/>
    <s v="YELLOWEEN"/>
    <m/>
    <s v="14.16"/>
    <n v="300"/>
    <s v="NL2018"/>
    <m/>
    <n v="8.6666666666666661"/>
    <n v="2600"/>
    <x v="57"/>
    <n v="10400000"/>
    <x v="2"/>
    <d v="2019-07-29T00:00:00"/>
    <d v="2019-08-29T00:00:00"/>
    <d v="2019-08-29T00:00:00"/>
    <m/>
    <m/>
    <m/>
    <m/>
    <m/>
    <m/>
    <m/>
    <m/>
    <m/>
    <m/>
    <m/>
    <m/>
    <n v="0"/>
    <n v="2600"/>
    <n v="10400000"/>
  </r>
  <r>
    <s v="64A/2019"/>
    <d v="2019-02-21T00:00:00"/>
    <s v="KIỀU THY"/>
    <s v="MP02"/>
    <x v="121"/>
    <x v="4"/>
    <s v="TEBALDI"/>
    <m/>
    <s v="14.16"/>
    <n v="300"/>
    <s v="NL2018"/>
    <m/>
    <n v="9"/>
    <n v="2700"/>
    <x v="3"/>
    <n v="11070000"/>
    <x v="0"/>
    <s v="30-Feb-19"/>
    <d v="2019-04-04T00:00:00"/>
    <d v="2019-04-04T00:00:00"/>
    <s v="30/2AL"/>
    <s v="CONT 15/2019"/>
    <d v="2019-03-31T00:00:00"/>
    <s v="R"/>
    <d v="2019-04-08T00:00:00"/>
    <n v="2700"/>
    <m/>
    <m/>
    <m/>
    <m/>
    <m/>
    <m/>
    <n v="2700"/>
    <n v="0"/>
    <n v="0"/>
  </r>
  <r>
    <s v="64A/2019"/>
    <d v="2019-02-21T00:00:00"/>
    <s v="KIỀU THY"/>
    <s v="MP02"/>
    <x v="121"/>
    <x v="28"/>
    <s v="YELLOWEEN"/>
    <m/>
    <s v="14.16"/>
    <n v="300"/>
    <s v="NL2018"/>
    <m/>
    <n v="8"/>
    <n v="2400"/>
    <x v="6"/>
    <n v="9120000"/>
    <x v="0"/>
    <s v="30-Feb-19"/>
    <d v="2019-04-04T00:00:00"/>
    <d v="2019-04-04T00:00:00"/>
    <s v="30/2AL"/>
    <s v="CONT 14/2019"/>
    <d v="2019-03-31T00:00:00"/>
    <s v="R"/>
    <d v="2019-04-08T00:00:00"/>
    <n v="2400"/>
    <m/>
    <m/>
    <m/>
    <m/>
    <m/>
    <m/>
    <n v="2400"/>
    <n v="0"/>
    <n v="0"/>
  </r>
  <r>
    <s v="131B/2019"/>
    <d v="2019-03-19T00:00:00"/>
    <s v="THANH THÚY"/>
    <s v="HL03"/>
    <x v="122"/>
    <x v="28"/>
    <s v="YELLOWEEN"/>
    <m/>
    <s v="14.16"/>
    <n v="300"/>
    <s v="NL2018"/>
    <m/>
    <n v="10"/>
    <n v="3000"/>
    <x v="6"/>
    <n v="11400000"/>
    <x v="0"/>
    <d v="2019-03-15T00:00:00"/>
    <d v="2019-04-19T00:00:00"/>
    <d v="2019-04-19T00:00:00"/>
    <s v="15/3AL"/>
    <s v="CONT 20/2019"/>
    <m/>
    <m/>
    <d v="2019-05-03T00:00:00"/>
    <n v="3000"/>
    <m/>
    <m/>
    <m/>
    <m/>
    <m/>
    <m/>
    <n v="3000"/>
    <n v="0"/>
    <n v="0"/>
  </r>
  <r>
    <s v="131B/2019"/>
    <d v="2019-03-19T00:00:00"/>
    <s v="THANH THÚY"/>
    <s v="HL03"/>
    <x v="122"/>
    <x v="80"/>
    <s v="PROFUNDO"/>
    <m/>
    <s v="14.16"/>
    <n v="300"/>
    <s v="NL2018"/>
    <m/>
    <n v="0"/>
    <n v="0"/>
    <x v="18"/>
    <n v="0"/>
    <x v="1"/>
    <d v="2019-03-15T00:00:00"/>
    <d v="2019-04-19T00:00:00"/>
    <d v="2019-04-19T00:00:00"/>
    <s v="15/3AL"/>
    <m/>
    <m/>
    <m/>
    <m/>
    <m/>
    <m/>
    <m/>
    <m/>
    <m/>
    <m/>
    <m/>
    <n v="0"/>
    <n v="0"/>
    <n v="0"/>
  </r>
  <r>
    <s v="131B/2019"/>
    <d v="2019-03-19T00:00:00"/>
    <s v="THANH THÚY"/>
    <s v="HL03"/>
    <x v="122"/>
    <x v="5"/>
    <s v="PROFUNDO"/>
    <m/>
    <s v="16.18"/>
    <n v="200"/>
    <s v="NL2018"/>
    <m/>
    <n v="0"/>
    <n v="0"/>
    <x v="74"/>
    <n v="0"/>
    <x v="1"/>
    <d v="2019-03-15T00:00:00"/>
    <d v="2019-04-19T00:00:00"/>
    <d v="2019-04-19T00:00:00"/>
    <s v="15/3AL"/>
    <m/>
    <m/>
    <m/>
    <m/>
    <m/>
    <m/>
    <m/>
    <m/>
    <m/>
    <m/>
    <m/>
    <n v="0"/>
    <n v="0"/>
    <n v="0"/>
  </r>
  <r>
    <s v="131B/2019"/>
    <d v="2019-03-19T00:00:00"/>
    <s v="THANH THÚY"/>
    <s v="HL03"/>
    <x v="122"/>
    <x v="22"/>
    <s v="ROBINA"/>
    <m/>
    <s v="16.18"/>
    <n v="200"/>
    <s v="NL2018"/>
    <m/>
    <n v="50"/>
    <n v="10000"/>
    <x v="18"/>
    <n v="50000000"/>
    <x v="0"/>
    <d v="2019-03-15T00:00:00"/>
    <d v="2019-04-19T00:00:00"/>
    <d v="2019-04-19T00:00:00"/>
    <s v="15/3AL"/>
    <s v="CONT 20/2019"/>
    <m/>
    <m/>
    <d v="2019-05-03T00:00:00"/>
    <n v="10000"/>
    <m/>
    <m/>
    <m/>
    <m/>
    <m/>
    <m/>
    <n v="10000"/>
    <n v="0"/>
    <n v="0"/>
  </r>
  <r>
    <s v="131B/2019"/>
    <d v="2019-05-23T00:00:00"/>
    <s v="THANH THÚY"/>
    <s v="HL03"/>
    <x v="122"/>
    <x v="11"/>
    <s v="YELLOWEEN"/>
    <m/>
    <s v="12.14"/>
    <n v="400"/>
    <s v="NL2018"/>
    <m/>
    <n v="0"/>
    <n v="0"/>
    <x v="4"/>
    <n v="0"/>
    <x v="1"/>
    <d v="2019-04-17T00:00:00"/>
    <d v="2019-05-21T00:00:00"/>
    <d v="2019-05-21T00:00:00"/>
    <m/>
    <m/>
    <m/>
    <m/>
    <m/>
    <m/>
    <m/>
    <m/>
    <m/>
    <m/>
    <m/>
    <m/>
    <n v="0"/>
    <n v="0"/>
    <n v="0"/>
  </r>
  <r>
    <s v="167A/2019"/>
    <d v="2019-02-22T00:00:00"/>
    <s v="KIỀU THY"/>
    <s v="XL01"/>
    <x v="123"/>
    <x v="25"/>
    <s v="CONCAD'OR"/>
    <m/>
    <s v="18.20"/>
    <n v="150"/>
    <s v="NL2018"/>
    <m/>
    <n v="208"/>
    <n v="31200"/>
    <x v="35"/>
    <n v="224640000"/>
    <x v="2"/>
    <d v="2019-09-01T00:00:00"/>
    <d v="2019-09-29T00:00:00"/>
    <d v="2019-09-29T00:00:00"/>
    <s v="TẾT"/>
    <m/>
    <m/>
    <s v="R"/>
    <m/>
    <n v="0"/>
    <m/>
    <m/>
    <m/>
    <m/>
    <m/>
    <m/>
    <n v="0"/>
    <n v="31200"/>
    <n v="224640000"/>
  </r>
  <r>
    <s v="167A/2019"/>
    <d v="2019-02-22T00:00:00"/>
    <s v="KIỀU THY"/>
    <s v="XL01"/>
    <x v="123"/>
    <x v="25"/>
    <s v="CONCAD'OR"/>
    <m/>
    <s v="18.20"/>
    <n v="150"/>
    <s v="NL2018"/>
    <m/>
    <n v="40"/>
    <n v="6000"/>
    <x v="74"/>
    <n v="45000000"/>
    <x v="2"/>
    <d v="2019-09-01T00:00:00"/>
    <d v="2019-09-29T00:00:00"/>
    <d v="2019-09-29T00:00:00"/>
    <s v="TẾT"/>
    <m/>
    <m/>
    <m/>
    <m/>
    <m/>
    <m/>
    <m/>
    <m/>
    <m/>
    <m/>
    <m/>
    <n v="0"/>
    <n v="6000"/>
    <n v="45000000"/>
  </r>
  <r>
    <s v="167A/2019"/>
    <d v="2019-02-22T00:00:00"/>
    <s v="KIỀU THY"/>
    <s v="XL01"/>
    <x v="123"/>
    <x v="36"/>
    <s v="MANISSA"/>
    <m/>
    <s v="20.22"/>
    <n v="125"/>
    <s v="NL2018"/>
    <m/>
    <n v="80"/>
    <n v="10000"/>
    <x v="37"/>
    <n v="135000000"/>
    <x v="2"/>
    <d v="2019-09-01T00:00:00"/>
    <d v="2019-09-29T00:00:00"/>
    <d v="2019-09-29T00:00:00"/>
    <s v="TẾT"/>
    <m/>
    <m/>
    <s v="R"/>
    <m/>
    <n v="0"/>
    <m/>
    <m/>
    <m/>
    <m/>
    <m/>
    <m/>
    <n v="0"/>
    <n v="10000"/>
    <n v="135000000"/>
  </r>
  <r>
    <s v="167A/2019"/>
    <d v="2019-02-22T00:00:00"/>
    <s v="KIỀU THY"/>
    <s v="XL01"/>
    <x v="123"/>
    <x v="16"/>
    <s v="ROBINA"/>
    <m/>
    <s v="20.22"/>
    <n v="125"/>
    <s v="NL2018"/>
    <m/>
    <n v="160"/>
    <n v="20000"/>
    <x v="59"/>
    <n v="210000000"/>
    <x v="2"/>
    <d v="2019-09-01T00:00:00"/>
    <d v="2019-09-29T00:00:00"/>
    <d v="2019-09-29T00:00:00"/>
    <s v="TẾT"/>
    <m/>
    <m/>
    <s v="R"/>
    <m/>
    <n v="0"/>
    <m/>
    <m/>
    <m/>
    <m/>
    <m/>
    <m/>
    <n v="0"/>
    <n v="20000"/>
    <n v="210000000"/>
  </r>
  <r>
    <s v="203A/2019"/>
    <d v="2019-04-22T00:00:00"/>
    <s v="KIỀU THY"/>
    <s v="XL01"/>
    <x v="123"/>
    <x v="176"/>
    <s v="SORBONNE"/>
    <m/>
    <s v="16.18"/>
    <n v="200"/>
    <s v="NL2018"/>
    <m/>
    <n v="18"/>
    <n v="3600"/>
    <x v="80"/>
    <n v="26280000"/>
    <x v="0"/>
    <d v="2019-05-05T00:00:00"/>
    <d v="2019-06-07T00:00:00"/>
    <d v="2019-06-07T00:00:00"/>
    <s v="29/4AL"/>
    <m/>
    <m/>
    <m/>
    <d v="2019-06-13T00:00:00"/>
    <n v="3600"/>
    <m/>
    <m/>
    <m/>
    <m/>
    <m/>
    <m/>
    <n v="3600"/>
    <n v="0"/>
    <n v="0"/>
  </r>
  <r>
    <s v="203A/2019"/>
    <d v="2019-04-22T00:00:00"/>
    <s v="KIỀU THY"/>
    <s v="XL01"/>
    <x v="123"/>
    <x v="162"/>
    <s v="ZAMBESSI"/>
    <m/>
    <s v="16.18"/>
    <n v="200"/>
    <s v="NL2018"/>
    <m/>
    <n v="20"/>
    <n v="4000"/>
    <x v="42"/>
    <n v="25200000"/>
    <x v="0"/>
    <d v="2019-05-05T00:00:00"/>
    <d v="2019-06-07T00:00:00"/>
    <d v="2019-06-07T00:00:00"/>
    <s v="29/4AL"/>
    <m/>
    <m/>
    <m/>
    <d v="2019-06-13T00:00:00"/>
    <n v="4000"/>
    <m/>
    <m/>
    <m/>
    <m/>
    <m/>
    <m/>
    <n v="4000"/>
    <n v="0"/>
    <n v="0"/>
  </r>
  <r>
    <s v="203A/2019"/>
    <d v="2019-04-22T00:00:00"/>
    <s v="KIỀU THY"/>
    <s v="XL01"/>
    <x v="123"/>
    <x v="177"/>
    <s v="ZAMBESSI"/>
    <m/>
    <s v="18.20"/>
    <n v="150"/>
    <s v="NL2018"/>
    <m/>
    <n v="23"/>
    <n v="3450"/>
    <x v="35"/>
    <n v="24840000"/>
    <x v="0"/>
    <d v="2019-05-05T00:00:00"/>
    <d v="2019-06-07T00:00:00"/>
    <d v="2019-06-07T00:00:00"/>
    <s v="29/4AL"/>
    <m/>
    <m/>
    <m/>
    <d v="2019-06-13T00:00:00"/>
    <n v="3450"/>
    <m/>
    <m/>
    <m/>
    <m/>
    <m/>
    <m/>
    <n v="3450"/>
    <n v="0"/>
    <n v="0"/>
  </r>
  <r>
    <s v="203A/2019"/>
    <d v="2019-04-22T00:00:00"/>
    <s v="KIỀU THY"/>
    <s v="XL01"/>
    <x v="123"/>
    <x v="91"/>
    <s v="FERRERO"/>
    <m/>
    <s v="13.14"/>
    <n v="400"/>
    <s v="NL2018"/>
    <m/>
    <n v="25"/>
    <n v="10000"/>
    <x v="68"/>
    <n v="35000000"/>
    <x v="0"/>
    <d v="2019-05-05T00:00:00"/>
    <d v="2019-06-07T00:00:00"/>
    <d v="2019-06-07T00:00:00"/>
    <s v="15/5AL"/>
    <m/>
    <m/>
    <m/>
    <d v="2019-06-13T00:00:00"/>
    <n v="10000"/>
    <m/>
    <m/>
    <m/>
    <m/>
    <m/>
    <m/>
    <n v="10000"/>
    <n v="0"/>
    <n v="0"/>
  </r>
  <r>
    <s v="203A/2019"/>
    <d v="2019-06-10T00:00:00"/>
    <s v="KIỀU THY"/>
    <s v="XL01"/>
    <x v="123"/>
    <x v="11"/>
    <s v="YELLOWEEN"/>
    <m/>
    <s v="12.14"/>
    <n v="400"/>
    <s v="NL2018"/>
    <m/>
    <n v="23"/>
    <n v="9200"/>
    <x v="4"/>
    <n v="25760000"/>
    <x v="0"/>
    <d v="2019-05-05T00:00:00"/>
    <d v="2019-06-07T00:00:00"/>
    <d v="2019-06-07T00:00:00"/>
    <m/>
    <m/>
    <m/>
    <m/>
    <d v="2019-06-13T00:00:00"/>
    <n v="9200"/>
    <m/>
    <m/>
    <m/>
    <m/>
    <m/>
    <m/>
    <n v="9200"/>
    <n v="0"/>
    <n v="0"/>
  </r>
  <r>
    <s v="203A/2019"/>
    <d v="2019-06-10T00:00:00"/>
    <s v="KIỀU THY"/>
    <s v="XL01"/>
    <x v="123"/>
    <x v="72"/>
    <s v="YELLOWEEN"/>
    <s v="DN"/>
    <s v="16.18"/>
    <n v="200"/>
    <s v="NL2018"/>
    <m/>
    <n v="15"/>
    <n v="3000"/>
    <x v="46"/>
    <n v="18000000"/>
    <x v="0"/>
    <d v="2019-05-05T00:00:00"/>
    <d v="2019-06-07T00:00:00"/>
    <d v="2019-06-07T00:00:00"/>
    <m/>
    <m/>
    <m/>
    <m/>
    <d v="2019-06-13T00:00:00"/>
    <n v="3000"/>
    <m/>
    <m/>
    <m/>
    <m/>
    <m/>
    <m/>
    <n v="3000"/>
    <n v="0"/>
    <n v="0"/>
  </r>
  <r>
    <s v="203A/2019"/>
    <d v="2019-06-14T00:00:00"/>
    <s v="KIỀU THY"/>
    <s v="XL01"/>
    <x v="123"/>
    <x v="133"/>
    <s v="MANISSA"/>
    <m/>
    <s v="14.16"/>
    <n v="300"/>
    <s v="NL2018"/>
    <m/>
    <n v="7"/>
    <n v="2100"/>
    <x v="6"/>
    <n v="7980000"/>
    <x v="4"/>
    <d v="2019-06-15T00:00:00"/>
    <d v="2019-07-17T00:00:00"/>
    <d v="2019-07-17T00:00:00"/>
    <m/>
    <m/>
    <m/>
    <m/>
    <m/>
    <m/>
    <m/>
    <m/>
    <m/>
    <m/>
    <m/>
    <m/>
    <n v="0"/>
    <n v="2100"/>
    <n v="7980000"/>
  </r>
  <r>
    <s v="203A/2019"/>
    <d v="2019-05-03T00:00:00"/>
    <s v="KIỀU THY"/>
    <s v="XL01"/>
    <x v="123"/>
    <x v="31"/>
    <s v="TARRANGO"/>
    <m/>
    <s v="14.16"/>
    <n v="300"/>
    <s v="NL2018"/>
    <m/>
    <n v="33"/>
    <n v="9900"/>
    <x v="77"/>
    <n v="48510000"/>
    <x v="3"/>
    <d v="2019-05-18T00:00:00"/>
    <d v="2019-06-20T00:00:00"/>
    <d v="2019-06-20T00:00:00"/>
    <s v="15/5AL"/>
    <m/>
    <m/>
    <m/>
    <m/>
    <m/>
    <m/>
    <m/>
    <m/>
    <m/>
    <m/>
    <m/>
    <n v="0"/>
    <n v="9900"/>
    <n v="48510000"/>
  </r>
  <r>
    <s v="240/2019"/>
    <d v="2019-06-12T00:00:00"/>
    <s v="KIỀU THY"/>
    <s v="XL01"/>
    <x v="123"/>
    <x v="28"/>
    <s v="YELLOWEEN"/>
    <m/>
    <s v="14.16"/>
    <n v="300"/>
    <s v="NL2018"/>
    <m/>
    <n v="34"/>
    <n v="10200"/>
    <x v="57"/>
    <n v="40800000"/>
    <x v="2"/>
    <d v="2019-06-29T00:00:00"/>
    <d v="2019-07-31T00:00:00"/>
    <d v="2019-07-31T00:00:00"/>
    <m/>
    <m/>
    <m/>
    <m/>
    <m/>
    <m/>
    <m/>
    <m/>
    <m/>
    <m/>
    <m/>
    <m/>
    <n v="0"/>
    <n v="10200"/>
    <n v="40800000"/>
  </r>
  <r>
    <s v="240/2019"/>
    <d v="2019-06-12T00:00:00"/>
    <s v="KIỀU THY"/>
    <s v="XL01"/>
    <x v="123"/>
    <x v="65"/>
    <s v="ROBINA"/>
    <m/>
    <s v="14.16"/>
    <n v="300"/>
    <s v="NL2018"/>
    <m/>
    <n v="34"/>
    <n v="10200"/>
    <x v="6"/>
    <n v="38760000"/>
    <x v="2"/>
    <d v="2019-06-29T00:00:00"/>
    <d v="2019-07-31T00:00:00"/>
    <d v="2019-07-31T00:00:00"/>
    <m/>
    <m/>
    <m/>
    <m/>
    <m/>
    <m/>
    <m/>
    <m/>
    <m/>
    <m/>
    <m/>
    <m/>
    <n v="0"/>
    <n v="10200"/>
    <n v="38760000"/>
  </r>
  <r>
    <s v="240/2019"/>
    <d v="2019-06-12T00:00:00"/>
    <s v="KIỀU THY"/>
    <s v="XL01"/>
    <x v="123"/>
    <x v="163"/>
    <s v="DIGAME"/>
    <m/>
    <s v="16.18"/>
    <n v="200"/>
    <s v="NL2018"/>
    <m/>
    <n v="14"/>
    <n v="2800"/>
    <x v="76"/>
    <n v="18480000"/>
    <x v="3"/>
    <d v="2019-06-15T00:00:00"/>
    <d v="2019-07-17T00:00:00"/>
    <d v="2019-07-17T00:00:00"/>
    <m/>
    <m/>
    <m/>
    <m/>
    <m/>
    <m/>
    <m/>
    <m/>
    <m/>
    <m/>
    <m/>
    <m/>
    <n v="0"/>
    <n v="2800"/>
    <n v="18480000"/>
  </r>
  <r>
    <s v="240/2019"/>
    <d v="2019-06-14T00:00:00"/>
    <s v="KIỀU THY"/>
    <s v="XL01"/>
    <x v="123"/>
    <x v="11"/>
    <s v="YELLOWEEN"/>
    <m/>
    <s v="12.14"/>
    <n v="400"/>
    <s v="NL2018"/>
    <m/>
    <n v="50"/>
    <n v="20000"/>
    <x v="14"/>
    <n v="58000000"/>
    <x v="2"/>
    <d v="2019-06-25T00:00:00"/>
    <d v="2019-07-27T00:00:00"/>
    <d v="2019-07-27T00:00:00"/>
    <m/>
    <m/>
    <m/>
    <m/>
    <m/>
    <m/>
    <m/>
    <m/>
    <m/>
    <m/>
    <m/>
    <m/>
    <n v="0"/>
    <n v="20000"/>
    <n v="58000000"/>
  </r>
  <r>
    <s v="203A/2019"/>
    <d v="2019-04-22T00:00:00"/>
    <s v="KIỀU THY"/>
    <s v="XL01"/>
    <x v="123"/>
    <x v="11"/>
    <s v="YELLOWEEN"/>
    <m/>
    <s v="12.14"/>
    <n v="400"/>
    <s v="NL2018"/>
    <m/>
    <n v="50"/>
    <n v="20000"/>
    <x v="4"/>
    <n v="56000000"/>
    <x v="3"/>
    <d v="2019-05-20T00:00:00"/>
    <d v="2019-06-22T00:00:00"/>
    <d v="2019-06-22T00:00:00"/>
    <s v="15/5AL"/>
    <m/>
    <m/>
    <m/>
    <m/>
    <m/>
    <m/>
    <m/>
    <m/>
    <m/>
    <m/>
    <m/>
    <n v="0"/>
    <n v="20000"/>
    <n v="56000000"/>
  </r>
  <r>
    <s v="215A/2019"/>
    <d v="2019-05-03T00:00:00"/>
    <s v="KIỀU THY"/>
    <s v="XL01"/>
    <x v="123"/>
    <x v="28"/>
    <s v="YELLOWEEN"/>
    <m/>
    <s v="14.16"/>
    <n v="300"/>
    <s v="NL2018"/>
    <m/>
    <n v="34"/>
    <n v="10200"/>
    <x v="6"/>
    <n v="38760000"/>
    <x v="0"/>
    <d v="2019-03-15T00:00:00"/>
    <d v="2019-04-19T00:00:00"/>
    <d v="2019-04-19T00:00:00"/>
    <m/>
    <m/>
    <m/>
    <m/>
    <d v="2019-04-20T00:00:00"/>
    <n v="10200"/>
    <m/>
    <m/>
    <m/>
    <m/>
    <m/>
    <m/>
    <n v="10200"/>
    <n v="0"/>
    <n v="0"/>
  </r>
  <r>
    <s v="69A/2019"/>
    <d v="2019-02-22T00:00:00"/>
    <s v="KIỀU THY"/>
    <s v="XL01"/>
    <x v="123"/>
    <x v="15"/>
    <s v="CONCAD'OR"/>
    <m/>
    <s v="16.18"/>
    <n v="200"/>
    <s v="NL2018"/>
    <m/>
    <n v="50"/>
    <n v="10000"/>
    <x v="0"/>
    <n v="47000000"/>
    <x v="0"/>
    <d v="2019-02-15T00:00:00"/>
    <d v="2019-03-20T00:00:00"/>
    <d v="2019-03-20T00:00:00"/>
    <s v="15/2AL"/>
    <s v="CONT 10/2019"/>
    <d v="2019-03-17T00:00:00"/>
    <s v="R"/>
    <d v="2019-03-20T00:00:00"/>
    <n v="10000"/>
    <m/>
    <m/>
    <m/>
    <m/>
    <m/>
    <m/>
    <n v="10000"/>
    <n v="0"/>
    <n v="0"/>
  </r>
  <r>
    <s v="69A/2019"/>
    <d v="2019-02-22T00:00:00"/>
    <s v="KIỀU THY"/>
    <s v="XL01"/>
    <x v="123"/>
    <x v="31"/>
    <s v="TARRANGO"/>
    <m/>
    <s v="14.16"/>
    <n v="300"/>
    <s v="NL2018"/>
    <m/>
    <n v="39"/>
    <n v="11700"/>
    <x v="21"/>
    <n v="53820000"/>
    <x v="0"/>
    <d v="2019-02-15T00:00:00"/>
    <d v="2019-03-20T00:00:00"/>
    <d v="2019-03-20T00:00:00"/>
    <s v="15/2AL"/>
    <s v="CONT 10/2019"/>
    <d v="2019-03-17T00:00:00"/>
    <s v="R"/>
    <d v="2019-03-20T00:00:00"/>
    <n v="11700"/>
    <m/>
    <m/>
    <m/>
    <m/>
    <m/>
    <m/>
    <n v="11700"/>
    <n v="0"/>
    <n v="0"/>
  </r>
  <r>
    <s v="69A/2019"/>
    <d v="2019-02-22T00:00:00"/>
    <s v="KIỀU THY"/>
    <s v="XL01"/>
    <x v="123"/>
    <x v="57"/>
    <s v="DALIAN"/>
    <m/>
    <s v="14.16"/>
    <n v="300"/>
    <s v="NL2018"/>
    <m/>
    <n v="33"/>
    <n v="9900"/>
    <x v="55"/>
    <n v="52470000"/>
    <x v="0"/>
    <s v="30-Feb-19"/>
    <d v="2019-04-04T00:00:00"/>
    <d v="2019-04-04T00:00:00"/>
    <s v="30/2AL"/>
    <s v="CONT 17/2019"/>
    <d v="2019-03-31T00:00:00"/>
    <s v="R"/>
    <d v="2019-04-20T00:00:00"/>
    <n v="9900"/>
    <m/>
    <m/>
    <m/>
    <m/>
    <m/>
    <m/>
    <n v="9900"/>
    <n v="0"/>
    <n v="0"/>
  </r>
  <r>
    <s v="69A/2019"/>
    <d v="2019-02-22T00:00:00"/>
    <s v="KIỀU THY"/>
    <s v="XL01"/>
    <x v="123"/>
    <x v="80"/>
    <s v="PROFUNDO"/>
    <m/>
    <s v="14.16"/>
    <n v="300"/>
    <s v="NL2018"/>
    <m/>
    <n v="17"/>
    <n v="5100"/>
    <x v="23"/>
    <n v="24480000"/>
    <x v="0"/>
    <s v="30-Feb-19"/>
    <d v="2019-04-04T00:00:00"/>
    <d v="2019-04-04T00:00:00"/>
    <s v="30/2AL"/>
    <s v="CONT 15/2019"/>
    <d v="2019-03-31T00:00:00"/>
    <s v="R"/>
    <d v="2019-04-20T00:00:00"/>
    <n v="5100"/>
    <m/>
    <m/>
    <m/>
    <m/>
    <m/>
    <m/>
    <n v="5100"/>
    <n v="0"/>
    <n v="0"/>
  </r>
  <r>
    <s v="69A/2019"/>
    <d v="2019-02-22T00:00:00"/>
    <s v="KIỀU THY"/>
    <s v="XL01"/>
    <x v="123"/>
    <x v="31"/>
    <s v="TARRANGO"/>
    <m/>
    <s v="14.16"/>
    <n v="300"/>
    <s v="NL2018"/>
    <m/>
    <n v="17"/>
    <n v="5100"/>
    <x v="21"/>
    <n v="23460000"/>
    <x v="0"/>
    <s v="30-Feb-19"/>
    <d v="2019-04-04T00:00:00"/>
    <d v="2019-04-04T00:00:00"/>
    <s v="30/2AL"/>
    <s v="CONT 17/2019"/>
    <d v="2019-03-31T00:00:00"/>
    <s v="R"/>
    <d v="2019-04-20T00:00:00"/>
    <n v="5100"/>
    <m/>
    <m/>
    <m/>
    <m/>
    <m/>
    <m/>
    <n v="5100"/>
    <n v="0"/>
    <n v="0"/>
  </r>
  <r>
    <s v="69A/2019"/>
    <d v="2019-02-22T00:00:00"/>
    <s v="KIỀU THY"/>
    <s v="XL01"/>
    <x v="123"/>
    <x v="28"/>
    <s v="YELLOWEEN"/>
    <m/>
    <s v="14.16"/>
    <n v="300"/>
    <s v="NL2018"/>
    <m/>
    <n v="28"/>
    <n v="8400"/>
    <x v="6"/>
    <n v="31920000"/>
    <x v="0"/>
    <s v="30-Feb-19"/>
    <d v="2019-04-04T00:00:00"/>
    <d v="2019-04-04T00:00:00"/>
    <s v="30/2AL"/>
    <s v="CONT 14/2019"/>
    <d v="2019-03-31T00:00:00"/>
    <s v="R"/>
    <d v="2019-04-20T00:00:00"/>
    <n v="8400"/>
    <m/>
    <m/>
    <m/>
    <m/>
    <m/>
    <m/>
    <n v="8400"/>
    <n v="0"/>
    <n v="0"/>
  </r>
  <r>
    <s v="73B/2019"/>
    <d v="2019-02-23T00:00:00"/>
    <s v="THANH THÚY"/>
    <s v="QH01"/>
    <x v="124"/>
    <x v="22"/>
    <s v="ROBINA"/>
    <m/>
    <s v="16.18"/>
    <n v="200"/>
    <s v="NL2018"/>
    <m/>
    <n v="100"/>
    <n v="20000"/>
    <x v="18"/>
    <n v="100000000"/>
    <x v="0"/>
    <d v="2019-03-15T00:00:00"/>
    <d v="2019-04-19T00:00:00"/>
    <d v="2019-04-19T00:00:00"/>
    <s v="30/3AL"/>
    <m/>
    <m/>
    <m/>
    <d v="2019-05-14T00:00:00"/>
    <n v="20000"/>
    <m/>
    <m/>
    <m/>
    <m/>
    <m/>
    <m/>
    <n v="20000"/>
    <n v="0"/>
    <n v="0"/>
  </r>
  <r>
    <s v="146B/2019"/>
    <d v="2019-03-26T00:00:00"/>
    <s v="THANH THÚY"/>
    <s v="QH01"/>
    <x v="124"/>
    <x v="16"/>
    <s v="ROBINA"/>
    <m/>
    <s v="20.22"/>
    <n v="125"/>
    <s v="NL2018"/>
    <m/>
    <n v="240"/>
    <n v="30000"/>
    <x v="59"/>
    <n v="315000000"/>
    <x v="2"/>
    <d v="2019-09-01T00:00:00"/>
    <d v="2019-09-29T00:00:00"/>
    <d v="2019-09-29T00:00:00"/>
    <s v="TẾT"/>
    <m/>
    <m/>
    <m/>
    <m/>
    <n v="0"/>
    <m/>
    <m/>
    <m/>
    <m/>
    <m/>
    <m/>
    <n v="0"/>
    <n v="30000"/>
    <n v="315000000"/>
  </r>
  <r>
    <s v="146B/2019"/>
    <d v="2019-03-26T00:00:00"/>
    <s v="THANH THÚY"/>
    <s v="QH01"/>
    <x v="124"/>
    <x v="25"/>
    <s v="CONCADOR"/>
    <m/>
    <s v="18.20"/>
    <n v="150"/>
    <s v="NL2018"/>
    <m/>
    <n v="400"/>
    <n v="60000"/>
    <x v="27"/>
    <n v="480000000"/>
    <x v="2"/>
    <d v="2019-09-01T00:00:00"/>
    <d v="2019-09-29T00:00:00"/>
    <d v="2019-09-29T00:00:00"/>
    <s v="TẾT"/>
    <m/>
    <m/>
    <m/>
    <m/>
    <m/>
    <m/>
    <m/>
    <m/>
    <m/>
    <m/>
    <m/>
    <n v="0"/>
    <n v="60000"/>
    <n v="480000000"/>
  </r>
  <r>
    <s v="134A/2019"/>
    <d v="2019-01-05T00:00:00"/>
    <s v="KIỀU THY"/>
    <s v="MH01"/>
    <x v="125"/>
    <x v="15"/>
    <s v="CONCADOR "/>
    <m/>
    <s v="16.18"/>
    <n v="200"/>
    <s v="NL2018"/>
    <s v="STEEN"/>
    <n v="18"/>
    <n v="3600"/>
    <x v="171"/>
    <n v="21002400"/>
    <x v="4"/>
    <d v="2019-05-05T00:00:00"/>
    <d v="2019-06-07T00:00:00"/>
    <d v="2019-06-07T00:00:00"/>
    <s v="T5/AL"/>
    <m/>
    <m/>
    <m/>
    <m/>
    <n v="0"/>
    <m/>
    <m/>
    <m/>
    <m/>
    <m/>
    <m/>
    <n v="0"/>
    <n v="3600"/>
    <n v="21002400"/>
  </r>
  <r>
    <s v="134A/2019"/>
    <d v="2019-01-05T00:00:00"/>
    <s v="KIỀU THY"/>
    <s v="MH01"/>
    <x v="125"/>
    <x v="15"/>
    <s v="CONCADOR "/>
    <m/>
    <s v="16.18"/>
    <n v="200"/>
    <s v="NL2018"/>
    <s v="STEEN"/>
    <n v="25"/>
    <n v="5000"/>
    <x v="172"/>
    <n v="29380000"/>
    <x v="3"/>
    <d v="2019-05-18T00:00:00"/>
    <d v="2019-06-20T00:00:00"/>
    <d v="2019-06-20T00:00:00"/>
    <m/>
    <m/>
    <m/>
    <m/>
    <m/>
    <m/>
    <m/>
    <m/>
    <m/>
    <m/>
    <m/>
    <m/>
    <n v="0"/>
    <n v="5000"/>
    <n v="29380000"/>
  </r>
  <r>
    <s v="134A/2019"/>
    <d v="2019-01-05T00:00:00"/>
    <s v="KIỀU THY"/>
    <s v="MH01"/>
    <x v="125"/>
    <x v="15"/>
    <s v="CONCADOR "/>
    <m/>
    <s v="16.18"/>
    <n v="200"/>
    <s v="NL2018"/>
    <m/>
    <n v="0"/>
    <n v="0"/>
    <x v="83"/>
    <n v="0"/>
    <x v="1"/>
    <d v="2019-05-05T00:00:00"/>
    <d v="2019-06-07T00:00:00"/>
    <d v="2019-06-07T00:00:00"/>
    <m/>
    <m/>
    <m/>
    <m/>
    <m/>
    <m/>
    <m/>
    <m/>
    <m/>
    <m/>
    <m/>
    <m/>
    <n v="0"/>
    <n v="0"/>
    <n v="0"/>
  </r>
  <r>
    <s v="134A/2019"/>
    <d v="2019-01-05T00:00:00"/>
    <s v="KIỀU THY"/>
    <s v="MH01"/>
    <x v="125"/>
    <x v="97"/>
    <s v="LAKE CAREY"/>
    <m/>
    <s v="16.18"/>
    <n v="200"/>
    <s v="NL2018"/>
    <m/>
    <n v="50"/>
    <n v="10000"/>
    <x v="113"/>
    <n v="56700000"/>
    <x v="3"/>
    <d v="2019-05-12T00:00:00"/>
    <d v="2019-06-14T00:00:00"/>
    <d v="2019-06-14T00:00:00"/>
    <s v="T5/AL"/>
    <m/>
    <m/>
    <m/>
    <m/>
    <n v="0"/>
    <m/>
    <m/>
    <m/>
    <m/>
    <m/>
    <m/>
    <n v="0"/>
    <n v="10000"/>
    <n v="56700000"/>
  </r>
  <r>
    <s v="134A/2019"/>
    <d v="2019-05-11T00:00:00"/>
    <s v="KIỀU THY"/>
    <s v="MH01"/>
    <x v="125"/>
    <x v="47"/>
    <s v="ROBINA"/>
    <m/>
    <s v="18.20"/>
    <n v="150"/>
    <s v="NL2018"/>
    <s v="STEEN"/>
    <n v="134"/>
    <n v="20100"/>
    <x v="27"/>
    <n v="160800000"/>
    <x v="4"/>
    <d v="2019-05-05T00:00:00"/>
    <d v="2019-06-07T00:00:00"/>
    <d v="2019-06-07T00:00:00"/>
    <s v="T5/AL"/>
    <m/>
    <m/>
    <m/>
    <d v="2019-06-08T00:00:00"/>
    <n v="10050"/>
    <m/>
    <m/>
    <m/>
    <m/>
    <m/>
    <m/>
    <n v="10050"/>
    <n v="10050"/>
    <n v="80400000"/>
  </r>
  <r>
    <s v="134A/2019"/>
    <d v="2019-01-05T00:00:00"/>
    <s v="KIỀU THY"/>
    <s v="MH01"/>
    <x v="125"/>
    <x v="47"/>
    <s v="ROBINA"/>
    <m/>
    <s v="18.20"/>
    <n v="150"/>
    <s v="NL2018"/>
    <m/>
    <n v="67"/>
    <n v="10050"/>
    <x v="73"/>
    <n v="66460650"/>
    <x v="0"/>
    <d v="2019-05-05T00:00:00"/>
    <d v="2019-06-07T00:00:00"/>
    <d v="2019-06-07T00:00:00"/>
    <m/>
    <m/>
    <m/>
    <m/>
    <d v="2019-06-08T00:00:00"/>
    <n v="10050"/>
    <m/>
    <m/>
    <m/>
    <m/>
    <m/>
    <m/>
    <n v="10050"/>
    <n v="0"/>
    <n v="0"/>
  </r>
  <r>
    <s v="134A/2019"/>
    <d v="2019-01-05T00:00:00"/>
    <s v="KIỀU THY"/>
    <s v="MH01"/>
    <x v="125"/>
    <x v="34"/>
    <s v="TARRANGO"/>
    <m/>
    <s v="16.18"/>
    <n v="200"/>
    <s v="NL2018"/>
    <m/>
    <n v="50"/>
    <n v="10000"/>
    <x v="173"/>
    <n v="57700000"/>
    <x v="3"/>
    <d v="2019-05-12T00:00:00"/>
    <d v="2019-06-14T00:00:00"/>
    <d v="2019-06-14T00:00:00"/>
    <s v="T5/AL"/>
    <m/>
    <m/>
    <m/>
    <m/>
    <n v="0"/>
    <m/>
    <m/>
    <m/>
    <m/>
    <m/>
    <m/>
    <n v="0"/>
    <n v="10000"/>
    <n v="57700000"/>
  </r>
  <r>
    <s v="134A/2019"/>
    <d v="2019-01-05T00:00:00"/>
    <s v="KIỀU THY"/>
    <s v="MH01"/>
    <x v="125"/>
    <x v="15"/>
    <s v="CONCADOR "/>
    <m/>
    <s v="16.18"/>
    <n v="200"/>
    <s v="NL2018"/>
    <m/>
    <n v="50"/>
    <n v="10000"/>
    <x v="174"/>
    <n v="52550000"/>
    <x v="3"/>
    <d v="2019-06-08T00:00:00"/>
    <d v="2019-07-10T00:00:00"/>
    <d v="2019-07-10T00:00:00"/>
    <s v="T6/AL"/>
    <m/>
    <m/>
    <m/>
    <m/>
    <n v="0"/>
    <m/>
    <m/>
    <m/>
    <m/>
    <m/>
    <m/>
    <n v="0"/>
    <n v="10000"/>
    <n v="52550000"/>
  </r>
  <r>
    <s v="134A/2019"/>
    <d v="2019-01-05T00:00:00"/>
    <s v="KIỀU THY"/>
    <s v="MH01"/>
    <x v="125"/>
    <x v="47"/>
    <s v="ROBINA"/>
    <m/>
    <s v="18.20"/>
    <n v="150"/>
    <s v="NL2018"/>
    <m/>
    <n v="67"/>
    <n v="10050"/>
    <x v="76"/>
    <n v="66330000"/>
    <x v="3"/>
    <d v="2019-06-08T00:00:00"/>
    <d v="2019-07-10T00:00:00"/>
    <d v="2019-07-10T00:00:00"/>
    <s v="T6/AL"/>
    <m/>
    <m/>
    <m/>
    <m/>
    <n v="0"/>
    <m/>
    <m/>
    <m/>
    <m/>
    <m/>
    <m/>
    <n v="0"/>
    <n v="10050"/>
    <n v="66330000"/>
  </r>
  <r>
    <s v="134A/2019"/>
    <d v="2019-01-05T00:00:00"/>
    <s v="KIỀU THY"/>
    <s v="MH01"/>
    <x v="125"/>
    <x v="34"/>
    <s v="TARRANGO"/>
    <m/>
    <s v="16.18"/>
    <n v="200"/>
    <s v="NL2018"/>
    <m/>
    <n v="50"/>
    <n v="10000"/>
    <x v="175"/>
    <n v="57550000"/>
    <x v="3"/>
    <d v="2019-06-08T00:00:00"/>
    <d v="2019-07-10T00:00:00"/>
    <d v="2019-07-10T00:00:00"/>
    <s v="T6/AL"/>
    <m/>
    <m/>
    <m/>
    <m/>
    <n v="0"/>
    <m/>
    <m/>
    <m/>
    <m/>
    <m/>
    <m/>
    <n v="0"/>
    <n v="10000"/>
    <n v="57550000"/>
  </r>
  <r>
    <s v="134A/2019"/>
    <d v="2019-01-05T00:00:00"/>
    <s v="KIỀU THY"/>
    <s v="MH01"/>
    <x v="125"/>
    <x v="15"/>
    <s v="CONCADOR "/>
    <m/>
    <s v="16.18"/>
    <n v="200"/>
    <s v="NL2018"/>
    <m/>
    <n v="100"/>
    <n v="20000"/>
    <x v="176"/>
    <n v="106800000"/>
    <x v="2"/>
    <d v="2019-07-09T00:00:00"/>
    <d v="2019-08-09T00:00:00"/>
    <d v="2019-08-09T00:00:00"/>
    <s v="T7/AL"/>
    <m/>
    <m/>
    <m/>
    <m/>
    <n v="0"/>
    <m/>
    <m/>
    <m/>
    <m/>
    <m/>
    <m/>
    <n v="0"/>
    <n v="20000"/>
    <n v="106800000"/>
  </r>
  <r>
    <s v="134A/2019"/>
    <d v="2019-01-05T00:00:00"/>
    <s v="KIỀU THY"/>
    <s v="MH01"/>
    <x v="125"/>
    <x v="47"/>
    <s v="ROBINA"/>
    <m/>
    <s v="18.20"/>
    <n v="150"/>
    <s v="NL2018"/>
    <m/>
    <n v="134"/>
    <n v="20100"/>
    <x v="45"/>
    <n v="134670000"/>
    <x v="2"/>
    <d v="2019-07-09T00:00:00"/>
    <d v="2019-08-09T00:00:00"/>
    <d v="2019-08-09T00:00:00"/>
    <s v="T7/AL"/>
    <m/>
    <m/>
    <m/>
    <m/>
    <n v="0"/>
    <m/>
    <m/>
    <m/>
    <m/>
    <m/>
    <m/>
    <n v="0"/>
    <n v="20100"/>
    <n v="134670000"/>
  </r>
  <r>
    <s v="134A/2019"/>
    <d v="2019-01-05T00:00:00"/>
    <s v="KIỀU THY"/>
    <s v="MH01"/>
    <x v="125"/>
    <x v="34"/>
    <s v="TARRANGO"/>
    <m/>
    <s v="16.18"/>
    <n v="200"/>
    <s v="NL2018"/>
    <m/>
    <n v="50"/>
    <n v="10000"/>
    <x v="177"/>
    <n v="58400000"/>
    <x v="2"/>
    <d v="2019-07-09T00:00:00"/>
    <d v="2019-08-09T00:00:00"/>
    <d v="2019-08-09T00:00:00"/>
    <s v="T7/AL"/>
    <m/>
    <m/>
    <m/>
    <m/>
    <n v="0"/>
    <m/>
    <m/>
    <m/>
    <m/>
    <m/>
    <m/>
    <n v="0"/>
    <n v="10000"/>
    <n v="58400000"/>
  </r>
  <r>
    <s v="134A/2019"/>
    <d v="2019-01-05T00:00:00"/>
    <s v="KIỀU THY"/>
    <s v="MH01"/>
    <x v="125"/>
    <x v="97"/>
    <s v="LAKE CAREY"/>
    <m/>
    <s v="16.18"/>
    <n v="200"/>
    <s v="NL2018"/>
    <m/>
    <n v="150"/>
    <n v="30000"/>
    <x v="178"/>
    <n v="177750000"/>
    <x v="2"/>
    <d v="2019-08-10T00:00:00"/>
    <d v="2019-09-08T00:00:00"/>
    <d v="2019-09-08T00:00:00"/>
    <s v="T8/AL"/>
    <m/>
    <m/>
    <m/>
    <m/>
    <n v="0"/>
    <m/>
    <m/>
    <m/>
    <m/>
    <m/>
    <m/>
    <n v="0"/>
    <n v="30000"/>
    <n v="177750000"/>
  </r>
  <r>
    <s v="134A/2019"/>
    <d v="2019-01-05T00:00:00"/>
    <s v="KIỀU THY"/>
    <s v="MH01"/>
    <x v="125"/>
    <x v="47"/>
    <s v="ROBINA"/>
    <m/>
    <s v="18.20"/>
    <n v="150"/>
    <s v="NL2018"/>
    <m/>
    <n v="200"/>
    <n v="30000"/>
    <x v="32"/>
    <n v="204000000"/>
    <x v="2"/>
    <d v="2019-08-10T00:00:00"/>
    <d v="2019-09-08T00:00:00"/>
    <d v="2019-09-08T00:00:00"/>
    <s v="T8/AL"/>
    <m/>
    <m/>
    <m/>
    <m/>
    <n v="0"/>
    <m/>
    <m/>
    <m/>
    <m/>
    <m/>
    <m/>
    <n v="0"/>
    <n v="30000"/>
    <n v="204000000"/>
  </r>
  <r>
    <s v="134A/2019"/>
    <d v="2019-01-05T00:00:00"/>
    <s v="KIỀU THY"/>
    <s v="MH01"/>
    <x v="125"/>
    <x v="34"/>
    <s v="TARRANGO"/>
    <m/>
    <s v="16.18"/>
    <n v="200"/>
    <s v="NL2018"/>
    <m/>
    <n v="50"/>
    <n v="10000"/>
    <x v="179"/>
    <n v="60100000"/>
    <x v="2"/>
    <d v="2019-09-10T00:00:00"/>
    <d v="2019-10-08T00:00:00"/>
    <d v="2019-10-08T00:00:00"/>
    <s v="T9/AL"/>
    <m/>
    <m/>
    <m/>
    <m/>
    <n v="0"/>
    <m/>
    <m/>
    <m/>
    <m/>
    <m/>
    <m/>
    <n v="0"/>
    <n v="10000"/>
    <n v="60100000"/>
  </r>
  <r>
    <s v="135A/2019"/>
    <d v="2019-01-05T00:00:00"/>
    <s v="KIỀU THY"/>
    <s v="MH01"/>
    <x v="125"/>
    <x v="25"/>
    <s v="CONCADOR"/>
    <m/>
    <s v="18.20"/>
    <n v="150"/>
    <s v="NL2018"/>
    <m/>
    <n v="134"/>
    <n v="20100"/>
    <x v="35"/>
    <n v="144720000"/>
    <x v="2"/>
    <d v="2019-09-01T00:00:00"/>
    <d v="2019-09-29T00:00:00"/>
    <d v="2019-09-29T00:00:00"/>
    <s v="TẾT"/>
    <m/>
    <m/>
    <m/>
    <m/>
    <n v="0"/>
    <m/>
    <m/>
    <m/>
    <m/>
    <m/>
    <m/>
    <n v="0"/>
    <n v="20100"/>
    <n v="144720000"/>
  </r>
  <r>
    <s v="135A/2019"/>
    <d v="2019-01-05T00:00:00"/>
    <s v="KIỀU THY"/>
    <s v="MH01"/>
    <x v="125"/>
    <x v="6"/>
    <s v="CONCADOR"/>
    <m/>
    <s v="20.22"/>
    <n v="125"/>
    <s v="NL2018"/>
    <m/>
    <n v="24"/>
    <n v="3000"/>
    <x v="59"/>
    <n v="31500000"/>
    <x v="2"/>
    <d v="2019-09-01T00:00:00"/>
    <d v="2019-09-29T00:00:00"/>
    <d v="2019-09-29T00:00:00"/>
    <s v="TẾT"/>
    <m/>
    <m/>
    <m/>
    <m/>
    <n v="0"/>
    <m/>
    <m/>
    <m/>
    <m/>
    <m/>
    <m/>
    <n v="0"/>
    <n v="3000"/>
    <n v="31500000"/>
  </r>
  <r>
    <s v="135A/2019"/>
    <d v="2019-01-05T00:00:00"/>
    <s v="KIỀU THY"/>
    <s v="MH01"/>
    <x v="125"/>
    <x v="16"/>
    <s v="ROBINA"/>
    <m/>
    <s v="20.22"/>
    <n v="125"/>
    <s v="NL2018"/>
    <m/>
    <n v="80"/>
    <n v="10000"/>
    <x v="59"/>
    <n v="105000000"/>
    <x v="2"/>
    <d v="2019-09-01T00:00:00"/>
    <d v="2019-09-29T00:00:00"/>
    <d v="2019-09-29T00:00:00"/>
    <s v="TẾT"/>
    <m/>
    <m/>
    <m/>
    <m/>
    <n v="0"/>
    <m/>
    <m/>
    <m/>
    <m/>
    <m/>
    <m/>
    <n v="0"/>
    <n v="10000"/>
    <n v="105000000"/>
  </r>
  <r>
    <s v="182A/2019"/>
    <d v="2019-04-08T00:00:00"/>
    <s v="KIỀU THY"/>
    <s v="MH01"/>
    <x v="125"/>
    <x v="5"/>
    <s v="PROFUNDO"/>
    <m/>
    <s v="16.18"/>
    <n v="200"/>
    <s v="NL2018"/>
    <m/>
    <n v="25"/>
    <n v="5000"/>
    <x v="45"/>
    <n v="33500000"/>
    <x v="0"/>
    <s v="30-Feb-19"/>
    <d v="2019-04-04T00:00:00"/>
    <d v="2019-04-04T00:00:00"/>
    <s v="30/2AL"/>
    <m/>
    <m/>
    <m/>
    <d v="2019-04-12T00:00:00"/>
    <n v="5000"/>
    <m/>
    <m/>
    <m/>
    <m/>
    <m/>
    <m/>
    <n v="5000"/>
    <n v="0"/>
    <n v="0"/>
  </r>
  <r>
    <s v="18A/2019"/>
    <d v="2019-01-05T00:00:00"/>
    <s v="KIỀU THY"/>
    <s v="MH01"/>
    <x v="125"/>
    <x v="15"/>
    <s v="CONCADOR "/>
    <m/>
    <s v="16.18"/>
    <s v="200"/>
    <s v="NL2018"/>
    <m/>
    <n v="35"/>
    <n v="7000"/>
    <x v="180"/>
    <n v="35595000"/>
    <x v="0"/>
    <d v="2019-03-15T00:00:00"/>
    <d v="2019-04-19T00:00:00"/>
    <d v="2019-04-19T00:00:00"/>
    <s v="15/3AL"/>
    <m/>
    <m/>
    <m/>
    <d v="2019-05-13T00:00:00"/>
    <n v="7000"/>
    <m/>
    <m/>
    <m/>
    <m/>
    <m/>
    <m/>
    <n v="7000"/>
    <n v="0"/>
    <n v="0"/>
  </r>
  <r>
    <s v="18A/2019"/>
    <d v="2019-01-05T00:00:00"/>
    <s v="KIỀU THY"/>
    <s v="MH01"/>
    <x v="125"/>
    <x v="15"/>
    <s v="CONCADOR "/>
    <m/>
    <s v="16.18"/>
    <n v="200"/>
    <s v="NL2018"/>
    <m/>
    <n v="65"/>
    <n v="13000"/>
    <x v="83"/>
    <n v="67210000"/>
    <x v="0"/>
    <d v="2019-04-17T00:00:00"/>
    <d v="2019-05-21T00:00:00"/>
    <d v="2019-05-21T00:00:00"/>
    <s v="30/03AL"/>
    <m/>
    <m/>
    <m/>
    <d v="2019-05-23T00:00:00"/>
    <n v="2600"/>
    <d v="2019-05-27T00:00:00"/>
    <n v="10400"/>
    <m/>
    <m/>
    <m/>
    <m/>
    <n v="13000"/>
    <n v="0"/>
    <n v="0"/>
  </r>
  <r>
    <s v="18A/2019"/>
    <d v="2019-01-05T00:00:00"/>
    <s v="KIỀU THY"/>
    <s v="MH01"/>
    <x v="125"/>
    <x v="47"/>
    <s v="ROBINA"/>
    <m/>
    <s v="18.20"/>
    <n v="150"/>
    <s v="NL2018"/>
    <m/>
    <n v="67"/>
    <n v="10050"/>
    <x v="134"/>
    <n v="65606400"/>
    <x v="0"/>
    <d v="2019-04-17T00:00:00"/>
    <d v="2019-05-21T00:00:00"/>
    <d v="2019-05-21T00:00:00"/>
    <s v="15/4AL"/>
    <m/>
    <m/>
    <m/>
    <m/>
    <n v="0"/>
    <d v="2019-05-27T00:00:00"/>
    <n v="10050"/>
    <m/>
    <m/>
    <m/>
    <m/>
    <n v="10050"/>
    <n v="0"/>
    <n v="0"/>
  </r>
  <r>
    <s v="18A/2019"/>
    <d v="2019-01-05T00:00:00"/>
    <s v="KIỀU THY"/>
    <s v="MH01"/>
    <x v="125"/>
    <x v="15"/>
    <s v="CONCADOR "/>
    <m/>
    <s v="16.18"/>
    <n v="200"/>
    <s v="NL2018"/>
    <m/>
    <n v="40"/>
    <n v="8000"/>
    <x v="21"/>
    <n v="36800000"/>
    <x v="0"/>
    <d v="2019-01-15T00:00:00"/>
    <d v="2019-02-19T00:00:00"/>
    <d v="2019-02-19T00:00:00"/>
    <s v="15/1AL"/>
    <m/>
    <m/>
    <m/>
    <d v="2019-02-19T00:00:00"/>
    <n v="8000"/>
    <m/>
    <m/>
    <m/>
    <m/>
    <m/>
    <m/>
    <n v="8000"/>
    <n v="0"/>
    <n v="0"/>
  </r>
  <r>
    <s v="18A/2019"/>
    <d v="2019-01-05T00:00:00"/>
    <s v="KIỀU THY"/>
    <s v="MH01"/>
    <x v="125"/>
    <x v="5"/>
    <s v="PROFUNDO"/>
    <m/>
    <s v="16.18"/>
    <n v="200"/>
    <s v="NL2018"/>
    <m/>
    <n v="35"/>
    <n v="7000"/>
    <x v="43"/>
    <n v="45500000"/>
    <x v="0"/>
    <d v="2019-01-15T00:00:00"/>
    <d v="2019-02-19T00:00:00"/>
    <d v="2019-02-19T00:00:00"/>
    <s v="15/1AL"/>
    <m/>
    <m/>
    <m/>
    <d v="2019-02-19T00:00:00"/>
    <n v="7000"/>
    <m/>
    <m/>
    <m/>
    <m/>
    <m/>
    <m/>
    <n v="7000"/>
    <n v="0"/>
    <n v="0"/>
  </r>
  <r>
    <s v="18A/2019"/>
    <d v="2019-01-05T00:00:00"/>
    <s v="KIỀU THY"/>
    <s v="MH01"/>
    <x v="125"/>
    <x v="34"/>
    <s v="TARRANGO"/>
    <m/>
    <s v="16.18"/>
    <n v="200"/>
    <s v="NL2018"/>
    <m/>
    <n v="50"/>
    <n v="10000"/>
    <x v="44"/>
    <n v="55000000"/>
    <x v="0"/>
    <d v="2019-01-15T00:00:00"/>
    <d v="2019-02-19T00:00:00"/>
    <d v="2019-02-19T00:00:00"/>
    <s v="15/1AL"/>
    <m/>
    <m/>
    <m/>
    <d v="2019-02-19T00:00:00"/>
    <n v="10000"/>
    <m/>
    <m/>
    <m/>
    <m/>
    <m/>
    <m/>
    <n v="10000"/>
    <n v="0"/>
    <n v="0"/>
  </r>
  <r>
    <s v="18A/2019"/>
    <d v="2019-01-05T00:00:00"/>
    <s v="KIỀU THY"/>
    <s v="MH01"/>
    <x v="125"/>
    <x v="47"/>
    <s v="ROBINA"/>
    <m/>
    <s v="18.20"/>
    <n v="150"/>
    <s v="NL2018"/>
    <m/>
    <n v="67"/>
    <n v="10050"/>
    <x v="42"/>
    <n v="63315000"/>
    <x v="0"/>
    <d v="2019-01-23T00:00:00"/>
    <d v="2019-02-27T00:00:00"/>
    <d v="2019-02-27T00:00:00"/>
    <s v="23/1AL"/>
    <m/>
    <m/>
    <m/>
    <d v="2019-02-27T00:00:00"/>
    <n v="10050"/>
    <m/>
    <m/>
    <m/>
    <m/>
    <m/>
    <m/>
    <n v="10050"/>
    <n v="0"/>
    <n v="0"/>
  </r>
  <r>
    <s v="18A/2019"/>
    <d v="2019-01-05T00:00:00"/>
    <s v="KIỀU THY"/>
    <s v="MH01"/>
    <x v="125"/>
    <x v="47"/>
    <s v="ROBINA"/>
    <m/>
    <s v="18.20"/>
    <n v="150"/>
    <s v="NL2018"/>
    <m/>
    <n v="15"/>
    <n v="2250"/>
    <x v="42"/>
    <n v="14175000"/>
    <x v="0"/>
    <d v="2019-01-23T00:00:00"/>
    <d v="2019-02-27T00:00:00"/>
    <d v="2019-02-27T00:00:00"/>
    <s v="23/1AL"/>
    <m/>
    <m/>
    <m/>
    <d v="2019-03-19T00:00:00"/>
    <n v="2250"/>
    <m/>
    <m/>
    <m/>
    <m/>
    <m/>
    <m/>
    <n v="2250"/>
    <n v="0"/>
    <n v="0"/>
  </r>
  <r>
    <s v="18A/2019"/>
    <d v="2019-01-05T00:00:00"/>
    <s v="KIỀU THY"/>
    <s v="MH01"/>
    <x v="125"/>
    <x v="15"/>
    <s v="CONCADOR"/>
    <m/>
    <s v="16.18"/>
    <n v="200"/>
    <s v="NL2018"/>
    <m/>
    <n v="50"/>
    <n v="10000"/>
    <x v="21"/>
    <n v="46000000"/>
    <x v="0"/>
    <d v="2019-02-15T00:00:00"/>
    <d v="2019-03-20T00:00:00"/>
    <d v="2019-03-20T00:00:00"/>
    <s v="15/2AL"/>
    <s v="CONT 10/2019"/>
    <d v="2019-03-17T00:00:00"/>
    <m/>
    <d v="2019-03-19T00:00:00"/>
    <n v="10000"/>
    <m/>
    <m/>
    <m/>
    <m/>
    <m/>
    <m/>
    <n v="10000"/>
    <n v="0"/>
    <n v="0"/>
  </r>
  <r>
    <s v="18A/2019"/>
    <d v="2019-01-05T00:00:00"/>
    <s v="KIỀU THY"/>
    <s v="MH01"/>
    <x v="125"/>
    <x v="5"/>
    <s v="PROFUNDO"/>
    <m/>
    <s v="16.18"/>
    <n v="200"/>
    <s v="NL2018"/>
    <m/>
    <n v="50"/>
    <n v="10000"/>
    <x v="45"/>
    <n v="67000000"/>
    <x v="0"/>
    <d v="2019-02-15T00:00:00"/>
    <d v="2019-03-20T00:00:00"/>
    <d v="2019-03-20T00:00:00"/>
    <s v="15/2AL"/>
    <s v="CONT 12/2019"/>
    <d v="2019-03-17T00:00:00"/>
    <m/>
    <d v="2019-03-19T00:00:00"/>
    <n v="10000"/>
    <m/>
    <m/>
    <m/>
    <m/>
    <m/>
    <m/>
    <n v="10000"/>
    <n v="0"/>
    <n v="0"/>
  </r>
  <r>
    <s v="18A/2019"/>
    <d v="2019-01-05T00:00:00"/>
    <s v="KIỀU THY"/>
    <s v="MH01"/>
    <x v="125"/>
    <x v="47"/>
    <s v="ROBINA"/>
    <m/>
    <s v="18.20"/>
    <n v="150"/>
    <s v="NL2018"/>
    <m/>
    <n v="60"/>
    <n v="9000"/>
    <x v="42"/>
    <n v="56700000"/>
    <x v="0"/>
    <d v="2019-02-15T00:00:00"/>
    <d v="2019-03-20T00:00:00"/>
    <d v="2019-03-20T00:00:00"/>
    <s v="15/2AL"/>
    <s v="CONT 10/2019"/>
    <d v="2019-03-17T00:00:00"/>
    <m/>
    <d v="2019-03-19T00:00:00"/>
    <n v="9000"/>
    <m/>
    <m/>
    <m/>
    <m/>
    <m/>
    <m/>
    <n v="9000"/>
    <n v="0"/>
    <n v="0"/>
  </r>
  <r>
    <s v="18A/2019"/>
    <d v="2019-01-05T00:00:00"/>
    <s v="KIỀU THY"/>
    <s v="MH01"/>
    <x v="125"/>
    <x v="47"/>
    <s v="ROBINA"/>
    <m/>
    <s v="18.20"/>
    <n v="150"/>
    <s v="NL2018"/>
    <m/>
    <n v="167"/>
    <n v="25050"/>
    <x v="42"/>
    <n v="157815000"/>
    <x v="0"/>
    <d v="2019-03-15T00:00:00"/>
    <d v="2019-04-19T00:00:00"/>
    <d v="2019-04-19T00:00:00"/>
    <s v="15/3AL"/>
    <s v="CONT 25/2019"/>
    <d v="2019-04-14T00:00:00"/>
    <m/>
    <d v="2019-04-23T00:00:00"/>
    <n v="12000"/>
    <d v="2019-05-04T00:00:00"/>
    <n v="13050"/>
    <m/>
    <m/>
    <m/>
    <m/>
    <n v="25050"/>
    <n v="0"/>
    <n v="0"/>
  </r>
  <r>
    <s v="18A/2019"/>
    <d v="2019-01-05T00:00:00"/>
    <s v="KIỀU THY"/>
    <s v="MH01"/>
    <x v="125"/>
    <x v="97"/>
    <s v="LAKE CAREY"/>
    <m/>
    <s v="16.18"/>
    <n v="200"/>
    <s v="NL2018"/>
    <m/>
    <n v="75"/>
    <n v="15000"/>
    <x v="44"/>
    <n v="82500000"/>
    <x v="0"/>
    <s v="30-Feb-19"/>
    <d v="2019-04-04T00:00:00"/>
    <d v="2019-04-04T00:00:00"/>
    <s v="30/2AL"/>
    <s v="CONT 14/2019"/>
    <d v="2019-03-31T00:00:00"/>
    <m/>
    <d v="2019-04-12T00:00:00"/>
    <n v="15000"/>
    <m/>
    <m/>
    <m/>
    <m/>
    <m/>
    <m/>
    <n v="15000"/>
    <n v="0"/>
    <n v="0"/>
  </r>
  <r>
    <s v="135A/2019"/>
    <d v="2019-01-05T00:00:00"/>
    <s v="KIỀU THY"/>
    <s v="MH01"/>
    <x v="125"/>
    <x v="64"/>
    <s v="TARRANGO"/>
    <m/>
    <s v="18.20"/>
    <n v="150"/>
    <s v="NL2018"/>
    <m/>
    <n v="34"/>
    <n v="5100"/>
    <x v="95"/>
    <n v="46410000"/>
    <x v="2"/>
    <d v="2019-09-01T00:00:00"/>
    <d v="2019-09-29T00:00:00"/>
    <d v="2019-09-29T00:00:00"/>
    <s v="TẾT"/>
    <m/>
    <m/>
    <m/>
    <m/>
    <n v="0"/>
    <m/>
    <m/>
    <m/>
    <m/>
    <m/>
    <m/>
    <n v="0"/>
    <n v="5100"/>
    <n v="46410000"/>
  </r>
  <r>
    <s v="61A/2019"/>
    <d v="2019-02-19T00:00:00"/>
    <s v="THANH THÚY"/>
    <s v="DT01"/>
    <x v="126"/>
    <x v="178"/>
    <s v="VIRUNGA"/>
    <m/>
    <s v="18.20"/>
    <n v="150"/>
    <s v="NL2017"/>
    <m/>
    <n v="103"/>
    <n v="15450"/>
    <x v="57"/>
    <n v="61800000"/>
    <x v="0"/>
    <d v="2019-02-07T00:00:00"/>
    <d v="2019-03-12T00:00:00"/>
    <d v="2019-03-12T00:00:00"/>
    <m/>
    <m/>
    <m/>
    <m/>
    <m/>
    <n v="0"/>
    <m/>
    <m/>
    <m/>
    <m/>
    <m/>
    <m/>
    <n v="0"/>
    <n v="15450"/>
    <n v="61800000"/>
  </r>
  <r>
    <s v="61A/2019"/>
    <d v="2019-02-19T00:00:00"/>
    <s v="THANH THÚY"/>
    <s v="DT01"/>
    <x v="126"/>
    <x v="179"/>
    <s v="VIRUNGA"/>
    <m/>
    <s v="20.22"/>
    <n v="125"/>
    <s v="NL2017"/>
    <m/>
    <n v="17"/>
    <n v="2125"/>
    <x v="57"/>
    <n v="8500000"/>
    <x v="0"/>
    <d v="2019-02-07T00:00:00"/>
    <d v="2019-03-12T00:00:00"/>
    <d v="2019-03-12T00:00:00"/>
    <m/>
    <m/>
    <m/>
    <m/>
    <m/>
    <n v="0"/>
    <m/>
    <m/>
    <m/>
    <m/>
    <m/>
    <m/>
    <n v="0"/>
    <n v="2125"/>
    <n v="8500000"/>
  </r>
  <r>
    <s v="61A/2019"/>
    <d v="2019-02-19T00:00:00"/>
    <s v="THANH THÚY"/>
    <s v="DT01"/>
    <x v="126"/>
    <x v="61"/>
    <s v="BACARDI"/>
    <m/>
    <s v="15.16"/>
    <n v="250"/>
    <s v="NL2018"/>
    <m/>
    <n v="0"/>
    <n v="0"/>
    <x v="65"/>
    <n v="0"/>
    <x v="1"/>
    <d v="2019-03-15T00:00:00"/>
    <d v="2019-04-19T00:00:00"/>
    <d v="2019-04-19T00:00:00"/>
    <s v="15/3AL"/>
    <m/>
    <m/>
    <m/>
    <m/>
    <m/>
    <m/>
    <m/>
    <m/>
    <m/>
    <m/>
    <m/>
    <n v="0"/>
    <n v="0"/>
    <n v="0"/>
  </r>
  <r>
    <s v="61A/2019"/>
    <d v="2019-02-19T00:00:00"/>
    <s v="THANH THÚY"/>
    <s v="DT01"/>
    <x v="126"/>
    <x v="15"/>
    <s v="CONCADOR "/>
    <m/>
    <s v="16.18"/>
    <n v="200"/>
    <s v="NL2018"/>
    <m/>
    <n v="150"/>
    <n v="30000"/>
    <x v="18"/>
    <n v="150000000"/>
    <x v="0"/>
    <d v="2019-03-15T00:00:00"/>
    <d v="2019-04-19T00:00:00"/>
    <d v="2019-04-19T00:00:00"/>
    <s v="15/3AL"/>
    <s v="CONT 22/2019"/>
    <m/>
    <m/>
    <d v="2019-04-18T00:00:00"/>
    <n v="10000"/>
    <d v="2019-05-19T00:00:00"/>
    <n v="20000"/>
    <m/>
    <m/>
    <m/>
    <m/>
    <n v="30000"/>
    <n v="0"/>
    <n v="0"/>
  </r>
  <r>
    <s v="61A/2019"/>
    <d v="2019-02-19T00:00:00"/>
    <s v="THANH THÚY"/>
    <s v="DT01"/>
    <x v="126"/>
    <x v="47"/>
    <s v="ROBINA"/>
    <m/>
    <s v="18.20"/>
    <n v="150"/>
    <s v="NL2018"/>
    <m/>
    <n v="200"/>
    <n v="30000"/>
    <x v="181"/>
    <n v="194100000"/>
    <x v="0"/>
    <d v="2019-04-17T00:00:00"/>
    <d v="2019-05-21T00:00:00"/>
    <d v="2019-05-21T00:00:00"/>
    <s v="17/4AL"/>
    <m/>
    <m/>
    <m/>
    <d v="2019-05-19T00:00:00"/>
    <n v="15000"/>
    <d v="2019-06-08T00:00:00"/>
    <n v="15000"/>
    <m/>
    <m/>
    <m/>
    <m/>
    <n v="30000"/>
    <n v="0"/>
    <n v="0"/>
  </r>
  <r>
    <s v="61A/2019"/>
    <d v="2019-02-19T00:00:00"/>
    <s v="THANH THÚY"/>
    <s v="DT01"/>
    <x v="126"/>
    <x v="30"/>
    <s v="MALDANO"/>
    <m/>
    <s v="16.18"/>
    <n v="200"/>
    <s v="NL2018"/>
    <m/>
    <n v="100"/>
    <n v="20000"/>
    <x v="82"/>
    <n v="104000000"/>
    <x v="4"/>
    <d v="2019-04-17T00:00:00"/>
    <d v="2019-05-21T00:00:00"/>
    <d v="2019-05-21T00:00:00"/>
    <s v="17/4AL"/>
    <m/>
    <m/>
    <m/>
    <d v="2019-06-01T00:00:00"/>
    <n v="10000"/>
    <m/>
    <m/>
    <m/>
    <m/>
    <m/>
    <m/>
    <n v="10000"/>
    <n v="10000"/>
    <n v="52000000"/>
  </r>
  <r>
    <s v="61A/2019"/>
    <d v="2019-02-19T00:00:00"/>
    <s v="THANH THÚY"/>
    <s v="DT01"/>
    <x v="126"/>
    <x v="47"/>
    <s v="ROBINA"/>
    <m/>
    <s v="18.20"/>
    <n v="150"/>
    <s v="NL2018"/>
    <m/>
    <n v="145"/>
    <n v="21750"/>
    <x v="182"/>
    <n v="142027500"/>
    <x v="4"/>
    <d v="2019-04-29T00:00:00"/>
    <d v="2019-06-02T00:00:00"/>
    <d v="2019-06-02T00:00:00"/>
    <s v="29/4AL"/>
    <m/>
    <m/>
    <m/>
    <m/>
    <n v="0"/>
    <m/>
    <m/>
    <m/>
    <m/>
    <m/>
    <m/>
    <n v="0"/>
    <n v="21750"/>
    <n v="142027500"/>
  </r>
  <r>
    <s v="61A/2019"/>
    <d v="2019-02-19T00:00:00"/>
    <s v="THANH THÚY"/>
    <s v="DT01"/>
    <x v="126"/>
    <x v="47"/>
    <s v="ROBINA"/>
    <m/>
    <s v="18.20"/>
    <n v="150"/>
    <s v="NL2018"/>
    <m/>
    <n v="55"/>
    <n v="8250"/>
    <x v="182"/>
    <n v="53872500"/>
    <x v="3"/>
    <d v="2019-05-18T00:00:00"/>
    <d v="2019-06-20T00:00:00"/>
    <d v="2019-06-20T00:00:00"/>
    <s v="29/4AL"/>
    <m/>
    <m/>
    <m/>
    <m/>
    <m/>
    <m/>
    <m/>
    <m/>
    <m/>
    <m/>
    <m/>
    <n v="0"/>
    <n v="8250"/>
    <n v="53872500"/>
  </r>
  <r>
    <s v="61A/2019"/>
    <d v="2019-02-19T00:00:00"/>
    <s v="THANH THÚY"/>
    <s v="DT01"/>
    <x v="126"/>
    <x v="30"/>
    <s v="MALDANO"/>
    <m/>
    <s v="16.18"/>
    <n v="200"/>
    <s v="NL2018"/>
    <m/>
    <n v="100"/>
    <n v="20000"/>
    <x v="55"/>
    <n v="106000000"/>
    <x v="2"/>
    <d v="2019-06-25T00:00:00"/>
    <d v="2019-07-27T00:00:00"/>
    <d v="2019-07-27T00:00:00"/>
    <s v="29/4AL"/>
    <m/>
    <m/>
    <m/>
    <m/>
    <n v="0"/>
    <m/>
    <m/>
    <m/>
    <m/>
    <m/>
    <m/>
    <n v="0"/>
    <n v="20000"/>
    <n v="106000000"/>
  </r>
  <r>
    <s v="61A/2019"/>
    <d v="2019-05-29T00:00:00"/>
    <s v="THANH THÚY"/>
    <s v="DT01"/>
    <x v="126"/>
    <x v="51"/>
    <s v="THALITA"/>
    <s v="RL"/>
    <s v="12.14"/>
    <n v="400"/>
    <s v="NL2018"/>
    <m/>
    <n v="0"/>
    <n v="0"/>
    <x v="137"/>
    <n v="0"/>
    <x v="1"/>
    <d v="2019-04-29T00:00:00"/>
    <d v="2019-06-02T00:00:00"/>
    <d v="2019-06-02T00:00:00"/>
    <m/>
    <m/>
    <m/>
    <m/>
    <m/>
    <m/>
    <m/>
    <m/>
    <m/>
    <m/>
    <m/>
    <m/>
    <n v="0"/>
    <n v="0"/>
    <n v="0"/>
  </r>
  <r>
    <s v="61A/2019"/>
    <d v="2019-02-19T00:00:00"/>
    <s v="THANH THÚY"/>
    <s v="DT01"/>
    <x v="126"/>
    <x v="47"/>
    <s v="ROBINA"/>
    <m/>
    <s v="18.20"/>
    <n v="150"/>
    <s v="NL2018"/>
    <m/>
    <n v="134"/>
    <n v="20100"/>
    <x v="182"/>
    <n v="131253000"/>
    <x v="3"/>
    <d v="2019-05-29T00:00:00"/>
    <d v="2019-07-01T00:00:00"/>
    <d v="2019-07-01T00:00:00"/>
    <s v="29/5AL"/>
    <m/>
    <m/>
    <m/>
    <m/>
    <n v="0"/>
    <m/>
    <m/>
    <m/>
    <m/>
    <m/>
    <m/>
    <n v="0"/>
    <n v="20100"/>
    <n v="131253000"/>
  </r>
  <r>
    <s v="61A/2019"/>
    <d v="2019-02-19T00:00:00"/>
    <s v="THANH THÚY"/>
    <s v="DT01"/>
    <x v="126"/>
    <x v="62"/>
    <s v="BACARDI"/>
    <m/>
    <s v="15.16"/>
    <n v="300"/>
    <s v="NL2018"/>
    <m/>
    <n v="34"/>
    <n v="10200"/>
    <x v="65"/>
    <n v="44574000"/>
    <x v="0"/>
    <s v="30-Feb-19"/>
    <d v="2019-04-04T00:00:00"/>
    <d v="2019-04-04T00:00:00"/>
    <s v="30/2AL"/>
    <s v="CONT 14/2019"/>
    <m/>
    <m/>
    <d v="2019-04-03T00:00:00"/>
    <n v="10200"/>
    <m/>
    <m/>
    <m/>
    <m/>
    <m/>
    <m/>
    <n v="10200"/>
    <n v="0"/>
    <n v="0"/>
  </r>
  <r>
    <s v="61A/2019"/>
    <d v="2019-02-19T00:00:00"/>
    <s v="THANH THÚY"/>
    <s v="DT01"/>
    <x v="126"/>
    <x v="22"/>
    <s v="ROBINA"/>
    <m/>
    <s v="16.18"/>
    <n v="200"/>
    <s v="NL2018"/>
    <m/>
    <n v="150"/>
    <n v="30000"/>
    <x v="23"/>
    <n v="144000000"/>
    <x v="0"/>
    <s v="30-Feb-19"/>
    <d v="2019-04-04T00:00:00"/>
    <d v="2019-04-04T00:00:00"/>
    <s v="30/2AL"/>
    <s v="CONT 18/2019"/>
    <m/>
    <m/>
    <d v="2019-04-03T00:00:00"/>
    <n v="15000"/>
    <d v="2019-04-12T00:00:00"/>
    <n v="15000"/>
    <m/>
    <m/>
    <m/>
    <m/>
    <n v="30000"/>
    <n v="0"/>
    <n v="0"/>
  </r>
  <r>
    <s v="61A/2019"/>
    <d v="2019-02-19T00:00:00"/>
    <s v="THANH THÚY"/>
    <s v="DT01"/>
    <x v="126"/>
    <x v="52"/>
    <s v="MALDANO"/>
    <m/>
    <s v="15.16"/>
    <n v="300"/>
    <s v="NL2018"/>
    <m/>
    <n v="0"/>
    <n v="0"/>
    <x v="56"/>
    <n v="0"/>
    <x v="1"/>
    <s v="30-Feb-19"/>
    <d v="2019-04-04T00:00:00"/>
    <d v="2019-04-04T00:00:00"/>
    <s v="30/2AL"/>
    <m/>
    <m/>
    <m/>
    <m/>
    <n v="0"/>
    <m/>
    <m/>
    <m/>
    <m/>
    <m/>
    <m/>
    <n v="0"/>
    <n v="0"/>
    <n v="0"/>
  </r>
  <r>
    <s v="179B/2019"/>
    <d v="2019-05-07T00:00:00"/>
    <s v="THANH THÚY"/>
    <s v="DT01"/>
    <x v="126"/>
    <x v="10"/>
    <s v="ARVANDRUD"/>
    <m/>
    <s v="16.18"/>
    <n v="200"/>
    <s v="NL2018"/>
    <m/>
    <n v="50"/>
    <n v="10000"/>
    <x v="48"/>
    <n v="56000000"/>
    <x v="0"/>
    <m/>
    <s v=""/>
    <s v=""/>
    <m/>
    <m/>
    <m/>
    <m/>
    <d v="2019-05-09T00:00:00"/>
    <n v="10000"/>
    <m/>
    <m/>
    <m/>
    <m/>
    <m/>
    <m/>
    <n v="10000"/>
    <n v="0"/>
    <n v="0"/>
  </r>
  <r>
    <s v="128A/2019"/>
    <d v="2019-03-20T00:00:00"/>
    <s v="THANH THÚY"/>
    <s v="DT01"/>
    <x v="126"/>
    <x v="35"/>
    <s v="BACARDI"/>
    <m/>
    <s v="20.22"/>
    <n v="125"/>
    <s v="NL2018"/>
    <m/>
    <n v="80"/>
    <n v="10000"/>
    <x v="8"/>
    <n v="108000000"/>
    <x v="2"/>
    <d v="2019-09-01T00:00:00"/>
    <d v="2019-09-29T00:00:00"/>
    <d v="2019-09-29T00:00:00"/>
    <s v="TẾT"/>
    <m/>
    <m/>
    <m/>
    <m/>
    <m/>
    <m/>
    <m/>
    <m/>
    <m/>
    <m/>
    <m/>
    <n v="0"/>
    <n v="10000"/>
    <n v="108000000"/>
  </r>
  <r>
    <s v="128A/2019"/>
    <d v="2019-03-20T00:00:00"/>
    <s v="THANH THÚY"/>
    <s v="DT01"/>
    <x v="126"/>
    <x v="6"/>
    <s v="CONCADOR"/>
    <m/>
    <s v="20.22"/>
    <n v="125"/>
    <s v="NL2018"/>
    <m/>
    <n v="80"/>
    <n v="10000"/>
    <x v="59"/>
    <n v="105000000"/>
    <x v="2"/>
    <d v="2019-09-01T00:00:00"/>
    <d v="2019-09-29T00:00:00"/>
    <d v="2019-09-29T00:00:00"/>
    <s v="TẾT"/>
    <m/>
    <m/>
    <m/>
    <m/>
    <m/>
    <m/>
    <m/>
    <m/>
    <m/>
    <m/>
    <m/>
    <n v="0"/>
    <n v="10000"/>
    <n v="105000000"/>
  </r>
  <r>
    <s v="128A/2019"/>
    <d v="2019-03-20T00:00:00"/>
    <s v="THANH THÚY"/>
    <s v="DT01"/>
    <x v="126"/>
    <x v="25"/>
    <s v="CONCADOR"/>
    <m/>
    <s v="18.20"/>
    <n v="150"/>
    <s v="NL2018"/>
    <m/>
    <n v="67"/>
    <n v="10050"/>
    <x v="74"/>
    <n v="75375000"/>
    <x v="2"/>
    <d v="2019-09-01T00:00:00"/>
    <d v="2019-09-29T00:00:00"/>
    <d v="2019-09-29T00:00:00"/>
    <s v="TẾT"/>
    <m/>
    <m/>
    <m/>
    <m/>
    <m/>
    <m/>
    <m/>
    <m/>
    <m/>
    <m/>
    <m/>
    <n v="0"/>
    <n v="10050"/>
    <n v="75375000"/>
  </r>
  <r>
    <s v="128A/2019"/>
    <d v="2019-03-20T00:00:00"/>
    <s v="THANH THÚY"/>
    <s v="DT01"/>
    <x v="126"/>
    <x v="16"/>
    <s v="ROBINA"/>
    <m/>
    <s v="20.22"/>
    <n v="125"/>
    <s v="NL2018"/>
    <m/>
    <n v="160"/>
    <n v="20000"/>
    <x v="59"/>
    <n v="210000000"/>
    <x v="2"/>
    <d v="2019-09-01T00:00:00"/>
    <d v="2019-09-29T00:00:00"/>
    <d v="2019-09-29T00:00:00"/>
    <s v="TẾT"/>
    <m/>
    <m/>
    <m/>
    <m/>
    <m/>
    <m/>
    <m/>
    <m/>
    <m/>
    <m/>
    <m/>
    <n v="0"/>
    <n v="20000"/>
    <n v="210000000"/>
  </r>
  <r>
    <s v="229/2019"/>
    <d v="2019-05-30T00:00:00"/>
    <s v="KIỀU THY"/>
    <s v="PD01"/>
    <x v="127"/>
    <x v="16"/>
    <s v="ROBINA"/>
    <m/>
    <s v="20.22"/>
    <s v="125"/>
    <s v="NL2018"/>
    <m/>
    <n v="64"/>
    <n v="8000"/>
    <x v="16"/>
    <n v="85600000"/>
    <x v="2"/>
    <d v="2019-09-01T00:00:00"/>
    <d v="2019-09-29T00:00:00"/>
    <d v="2019-09-29T00:00:00"/>
    <m/>
    <m/>
    <m/>
    <m/>
    <m/>
    <m/>
    <m/>
    <m/>
    <m/>
    <m/>
    <m/>
    <m/>
    <n v="0"/>
    <n v="8000"/>
    <n v="85600000"/>
  </r>
  <r>
    <s v="229/2019"/>
    <d v="2019-05-30T00:00:00"/>
    <s v="KIỀU THY"/>
    <s v="PD01"/>
    <x v="127"/>
    <x v="6"/>
    <s v="CONCADOR"/>
    <m/>
    <s v="20.22"/>
    <s v="125"/>
    <s v="NL2018"/>
    <m/>
    <n v="56"/>
    <n v="7000"/>
    <x v="7"/>
    <n v="74200000"/>
    <x v="2"/>
    <d v="2019-09-01T00:00:00"/>
    <d v="2019-09-29T00:00:00"/>
    <d v="2019-09-29T00:00:00"/>
    <m/>
    <m/>
    <m/>
    <m/>
    <m/>
    <m/>
    <m/>
    <m/>
    <m/>
    <m/>
    <m/>
    <m/>
    <n v="0"/>
    <n v="7000"/>
    <n v="74200000"/>
  </r>
  <r>
    <s v="229/2019"/>
    <d v="2019-05-30T00:00:00"/>
    <s v="KIỀU THY"/>
    <s v="PD01"/>
    <x v="127"/>
    <x v="172"/>
    <s v="ROBINA"/>
    <m/>
    <s v="24+"/>
    <s v="75"/>
    <s v="NL2018"/>
    <m/>
    <n v="134"/>
    <n v="10050"/>
    <x v="52"/>
    <n v="153765000"/>
    <x v="2"/>
    <d v="2019-09-01T00:00:00"/>
    <d v="2019-09-29T00:00:00"/>
    <d v="2019-09-29T00:00:00"/>
    <m/>
    <m/>
    <m/>
    <m/>
    <m/>
    <m/>
    <m/>
    <m/>
    <m/>
    <m/>
    <m/>
    <m/>
    <n v="0"/>
    <n v="10050"/>
    <n v="153765000"/>
  </r>
  <r>
    <s v="229/2019"/>
    <d v="2019-05-30T00:00:00"/>
    <s v="KIỀU THY"/>
    <s v="PD01"/>
    <x v="127"/>
    <x v="45"/>
    <s v="CONCADOR"/>
    <m/>
    <s v="24.26"/>
    <s v="80"/>
    <s v="NL2018"/>
    <m/>
    <n v="125"/>
    <n v="10000"/>
    <x v="38"/>
    <n v="152000000"/>
    <x v="2"/>
    <d v="2019-09-01T00:00:00"/>
    <d v="2019-09-29T00:00:00"/>
    <d v="2019-09-29T00:00:00"/>
    <m/>
    <m/>
    <m/>
    <m/>
    <m/>
    <m/>
    <m/>
    <m/>
    <m/>
    <m/>
    <m/>
    <m/>
    <n v="0"/>
    <n v="10000"/>
    <n v="152000000"/>
  </r>
  <r>
    <s v="229/2019"/>
    <d v="2019-05-30T00:00:00"/>
    <s v="KIỀU THY"/>
    <s v="PD01"/>
    <x v="127"/>
    <x v="108"/>
    <s v="ROBINA NEW ZEALAND"/>
    <m/>
    <s v="20.22"/>
    <s v="125"/>
    <s v="NZ2019"/>
    <m/>
    <n v="40"/>
    <n v="5000"/>
    <x v="29"/>
    <n v="62500000"/>
    <x v="2"/>
    <d v="2019-09-01T00:00:00"/>
    <d v="2019-09-29T00:00:00"/>
    <d v="2019-09-29T00:00:00"/>
    <m/>
    <m/>
    <m/>
    <m/>
    <m/>
    <m/>
    <m/>
    <m/>
    <m/>
    <m/>
    <m/>
    <m/>
    <n v="0"/>
    <n v="5000"/>
    <n v="62500000"/>
  </r>
  <r>
    <s v="229/2019"/>
    <d v="2019-05-31T00:00:00"/>
    <s v="KIỀU THY"/>
    <s v="PD01"/>
    <x v="127"/>
    <x v="25"/>
    <s v="CONCADOR"/>
    <m/>
    <s v="18.20"/>
    <s v="150"/>
    <s v="NL2018"/>
    <m/>
    <n v="34"/>
    <n v="5100"/>
    <x v="27"/>
    <n v="40800000"/>
    <x v="2"/>
    <d v="2019-09-01T00:00:00"/>
    <d v="2019-09-29T00:00:00"/>
    <d v="2019-09-29T00:00:00"/>
    <m/>
    <m/>
    <m/>
    <m/>
    <m/>
    <m/>
    <m/>
    <m/>
    <m/>
    <m/>
    <m/>
    <m/>
    <n v="0"/>
    <n v="5100"/>
    <n v="40800000"/>
  </r>
  <r>
    <s v="185B/2019"/>
    <d v="2019-05-23T00:00:00"/>
    <s v="THANH THÚY"/>
    <s v="VH07"/>
    <x v="128"/>
    <x v="31"/>
    <s v="TARRANGO "/>
    <m/>
    <s v="14.16"/>
    <s v="300"/>
    <s v="NL2018"/>
    <m/>
    <n v="34"/>
    <n v="10200"/>
    <x v="23"/>
    <n v="48960000"/>
    <x v="0"/>
    <d v="2019-04-19T00:00:00"/>
    <d v="2019-05-23T00:00:00"/>
    <d v="2019-05-23T00:00:00"/>
    <m/>
    <m/>
    <m/>
    <m/>
    <d v="2019-05-23T00:00:00"/>
    <n v="10200"/>
    <m/>
    <m/>
    <m/>
    <m/>
    <m/>
    <m/>
    <n v="10200"/>
    <n v="0"/>
    <n v="0"/>
  </r>
  <r>
    <s v="185B/2019"/>
    <d v="2019-05-23T00:00:00"/>
    <s v="THANH THÚY"/>
    <s v="VH07"/>
    <x v="128"/>
    <x v="3"/>
    <s v="PAVIA"/>
    <m/>
    <s v="12.14"/>
    <s v="400"/>
    <s v="NL2018"/>
    <m/>
    <n v="25"/>
    <n v="10000"/>
    <x v="14"/>
    <n v="29000000"/>
    <x v="0"/>
    <d v="2019-04-19T00:00:00"/>
    <d v="2019-05-23T00:00:00"/>
    <d v="2019-05-23T00:00:00"/>
    <m/>
    <m/>
    <m/>
    <m/>
    <d v="2019-05-23T00:00:00"/>
    <n v="10000"/>
    <m/>
    <m/>
    <m/>
    <m/>
    <m/>
    <m/>
    <n v="10000"/>
    <n v="0"/>
    <n v="0"/>
  </r>
  <r>
    <s v="206A/2019"/>
    <d v="2019-04-26T00:00:00"/>
    <s v="KIỀU THY"/>
    <s v="BH01"/>
    <x v="129"/>
    <x v="28"/>
    <s v="YELLOWEEN"/>
    <m/>
    <s v="14.16"/>
    <s v="300"/>
    <s v="NL2018"/>
    <m/>
    <n v="0"/>
    <n v="0"/>
    <x v="6"/>
    <n v="0"/>
    <x v="1"/>
    <d v="2019-03-15T00:00:00"/>
    <d v="2019-04-19T00:00:00"/>
    <d v="2019-04-19T00:00:00"/>
    <s v="15/4AL XẢ "/>
    <m/>
    <m/>
    <m/>
    <m/>
    <m/>
    <m/>
    <m/>
    <m/>
    <m/>
    <m/>
    <m/>
    <n v="0"/>
    <n v="0"/>
    <n v="0"/>
  </r>
  <r>
    <s v="206A/2019"/>
    <d v="2019-04-26T00:00:00"/>
    <s v="KIỀU THY"/>
    <s v="BH01"/>
    <x v="129"/>
    <x v="5"/>
    <s v="PROFUNDO"/>
    <m/>
    <s v="16.18"/>
    <s v="200"/>
    <s v="NL2018"/>
    <m/>
    <n v="0"/>
    <n v="0"/>
    <x v="5"/>
    <n v="0"/>
    <x v="1"/>
    <d v="2019-04-05T00:00:00"/>
    <d v="2019-05-09T00:00:00"/>
    <d v="2019-05-09T00:00:00"/>
    <s v="15/4AL XẢ "/>
    <m/>
    <m/>
    <m/>
    <m/>
    <m/>
    <m/>
    <m/>
    <m/>
    <m/>
    <m/>
    <m/>
    <n v="0"/>
    <n v="0"/>
    <n v="0"/>
  </r>
  <r>
    <s v="206A/2019"/>
    <d v="2019-04-26T00:00:00"/>
    <s v="KIỀU THY"/>
    <s v="BH01"/>
    <x v="129"/>
    <x v="57"/>
    <s v="DALIAN"/>
    <m/>
    <s v="14.16"/>
    <s v="300"/>
    <s v="NL2018"/>
    <m/>
    <n v="0"/>
    <n v="0"/>
    <x v="11"/>
    <n v="0"/>
    <x v="1"/>
    <d v="2019-04-05T00:00:00"/>
    <d v="2019-05-09T00:00:00"/>
    <d v="2019-05-09T00:00:00"/>
    <s v="15/4AL XẢ "/>
    <m/>
    <m/>
    <m/>
    <m/>
    <m/>
    <m/>
    <m/>
    <m/>
    <m/>
    <m/>
    <m/>
    <n v="0"/>
    <n v="0"/>
    <n v="0"/>
  </r>
  <r>
    <s v="206A/2019"/>
    <d v="2019-04-26T00:00:00"/>
    <s v="KIỀU THY"/>
    <s v="BH01"/>
    <x v="129"/>
    <x v="5"/>
    <s v="PROFUNDO"/>
    <m/>
    <s v="16.18"/>
    <s v="200"/>
    <s v="NL2018"/>
    <m/>
    <n v="0"/>
    <n v="0"/>
    <x v="5"/>
    <n v="0"/>
    <x v="1"/>
    <d v="2019-04-05T00:00:00"/>
    <d v="2019-05-09T00:00:00"/>
    <d v="2019-05-09T00:00:00"/>
    <s v="23/4AL XẢ"/>
    <m/>
    <m/>
    <m/>
    <m/>
    <m/>
    <m/>
    <m/>
    <m/>
    <m/>
    <m/>
    <m/>
    <n v="0"/>
    <n v="0"/>
    <n v="0"/>
  </r>
  <r>
    <s v="206A/2019"/>
    <d v="2019-04-26T00:00:00"/>
    <s v="KIỀU THY"/>
    <s v="BH01"/>
    <x v="129"/>
    <x v="10"/>
    <s v="ARVANDRUD"/>
    <m/>
    <s v="16.18"/>
    <s v="200"/>
    <s v="NL2018"/>
    <m/>
    <n v="0"/>
    <n v="0"/>
    <x v="24"/>
    <n v="0"/>
    <x v="1"/>
    <d v="2019-04-17T00:00:00"/>
    <d v="2019-05-21T00:00:00"/>
    <d v="2019-05-21T00:00:00"/>
    <s v="23/4AL XẢ"/>
    <m/>
    <m/>
    <m/>
    <m/>
    <m/>
    <m/>
    <m/>
    <m/>
    <m/>
    <m/>
    <m/>
    <n v="0"/>
    <n v="0"/>
    <n v="0"/>
  </r>
  <r>
    <s v="206A/2019"/>
    <d v="2019-04-26T00:00:00"/>
    <s v="KIỀU THY"/>
    <s v="BH01"/>
    <x v="129"/>
    <x v="15"/>
    <s v="CONCADOR"/>
    <m/>
    <s v="16.18"/>
    <s v="200"/>
    <s v="NL2018"/>
    <m/>
    <n v="0"/>
    <n v="0"/>
    <x v="54"/>
    <n v="0"/>
    <x v="1"/>
    <d v="2019-04-17T00:00:00"/>
    <d v="2019-05-21T00:00:00"/>
    <d v="2019-05-21T00:00:00"/>
    <s v="23/4AL XẢ"/>
    <m/>
    <m/>
    <m/>
    <m/>
    <m/>
    <m/>
    <m/>
    <m/>
    <m/>
    <m/>
    <m/>
    <n v="0"/>
    <n v="0"/>
    <n v="0"/>
  </r>
  <r>
    <s v="206A/2019"/>
    <d v="2019-04-26T00:00:00"/>
    <s v="KIỀU THY"/>
    <s v="BH01"/>
    <x v="129"/>
    <x v="28"/>
    <s v="YELLOWEEN"/>
    <m/>
    <s v="14.16"/>
    <s v="300"/>
    <s v="NL2018"/>
    <m/>
    <n v="0"/>
    <n v="0"/>
    <x v="6"/>
    <n v="0"/>
    <x v="1"/>
    <d v="2019-04-17T00:00:00"/>
    <d v="2019-05-21T00:00:00"/>
    <d v="2019-05-21T00:00:00"/>
    <s v="23/4AL XẢ"/>
    <m/>
    <m/>
    <m/>
    <m/>
    <m/>
    <m/>
    <m/>
    <m/>
    <m/>
    <m/>
    <m/>
    <n v="0"/>
    <n v="0"/>
    <n v="0"/>
  </r>
  <r>
    <s v="206A/2019"/>
    <d v="2019-04-26T00:00:00"/>
    <s v="KIỀU THY"/>
    <s v="BH01"/>
    <x v="129"/>
    <x v="48"/>
    <s v="SERANO"/>
    <m/>
    <s v="16.18"/>
    <s v="200"/>
    <s v="NL2018"/>
    <m/>
    <n v="0"/>
    <n v="0"/>
    <x v="55"/>
    <n v="0"/>
    <x v="1"/>
    <d v="2019-05-05T00:00:00"/>
    <d v="2019-06-07T00:00:00"/>
    <d v="2019-06-07T00:00:00"/>
    <s v="5/5AL XẢ 1/2+ 15/5 xả 1/2"/>
    <m/>
    <m/>
    <m/>
    <m/>
    <m/>
    <m/>
    <m/>
    <m/>
    <m/>
    <m/>
    <m/>
    <n v="0"/>
    <n v="0"/>
    <n v="0"/>
  </r>
  <r>
    <s v="206A/2019"/>
    <d v="2019-04-26T00:00:00"/>
    <s v="KIỀU THY"/>
    <s v="BH01"/>
    <x v="129"/>
    <x v="28"/>
    <s v="YELLOWEEN"/>
    <m/>
    <s v="14.16"/>
    <s v="300"/>
    <s v="NL2018"/>
    <m/>
    <n v="0"/>
    <n v="0"/>
    <x v="56"/>
    <n v="0"/>
    <x v="1"/>
    <d v="2019-05-05T00:00:00"/>
    <d v="2019-06-07T00:00:00"/>
    <d v="2019-06-07T00:00:00"/>
    <s v="5/5AL XẢ 1/2+ 15/5 xả 1/2"/>
    <m/>
    <m/>
    <m/>
    <m/>
    <m/>
    <m/>
    <m/>
    <m/>
    <m/>
    <m/>
    <m/>
    <n v="0"/>
    <n v="0"/>
    <n v="0"/>
  </r>
  <r>
    <s v="206A/2019"/>
    <d v="2019-04-26T00:00:00"/>
    <s v="KIỀU THY"/>
    <s v="BH01"/>
    <x v="129"/>
    <x v="22"/>
    <s v="ROBINA"/>
    <m/>
    <s v="16.18"/>
    <s v="200"/>
    <s v="NL2018"/>
    <m/>
    <n v="0"/>
    <n v="0"/>
    <x v="44"/>
    <n v="0"/>
    <x v="1"/>
    <d v="2019-05-05T00:00:00"/>
    <d v="2019-06-07T00:00:00"/>
    <d v="2019-06-07T00:00:00"/>
    <s v="5/5AL XẢ 1/2+ 15/5 xả 1/2"/>
    <m/>
    <m/>
    <m/>
    <m/>
    <m/>
    <m/>
    <m/>
    <m/>
    <m/>
    <m/>
    <m/>
    <n v="0"/>
    <n v="0"/>
    <n v="0"/>
  </r>
  <r>
    <s v="206A/2019"/>
    <d v="2019-04-26T00:00:00"/>
    <s v="KIỀU THY"/>
    <s v="BH01"/>
    <x v="129"/>
    <x v="10"/>
    <s v="ARVANDRUD"/>
    <m/>
    <s v="16.18"/>
    <s v="200"/>
    <s v="NL2018"/>
    <m/>
    <n v="0"/>
    <n v="0"/>
    <x v="26"/>
    <n v="0"/>
    <x v="1"/>
    <d v="2019-05-05T00:00:00"/>
    <d v="2019-06-07T00:00:00"/>
    <d v="2019-06-07T00:00:00"/>
    <s v="5/5AL XẢ 1/2+ 15/5 xả 1/2"/>
    <m/>
    <m/>
    <m/>
    <m/>
    <m/>
    <m/>
    <m/>
    <m/>
    <m/>
    <m/>
    <m/>
    <n v="0"/>
    <n v="0"/>
    <n v="0"/>
  </r>
  <r>
    <s v="206A/2019"/>
    <d v="2019-04-26T00:00:00"/>
    <s v="KIỀU THY"/>
    <s v="BH01"/>
    <x v="129"/>
    <x v="6"/>
    <s v="CONCADOR"/>
    <m/>
    <s v="20.22"/>
    <s v="125"/>
    <s v="NL2018"/>
    <m/>
    <n v="0"/>
    <n v="0"/>
    <x v="7"/>
    <n v="0"/>
    <x v="1"/>
    <d v="2019-09-01T00:00:00"/>
    <d v="2019-09-29T00:00:00"/>
    <d v="2019-09-29T00:00:00"/>
    <s v="TẾT"/>
    <m/>
    <m/>
    <m/>
    <m/>
    <m/>
    <m/>
    <m/>
    <m/>
    <m/>
    <m/>
    <m/>
    <n v="0"/>
    <n v="0"/>
    <n v="0"/>
  </r>
  <r>
    <s v="206A/2019"/>
    <d v="2019-04-26T00:00:00"/>
    <s v="KIỀU THY"/>
    <s v="BH01"/>
    <x v="129"/>
    <x v="45"/>
    <s v="CONCADOR"/>
    <m/>
    <s v="24.26"/>
    <s v="80"/>
    <s v="NL2018"/>
    <m/>
    <n v="0"/>
    <n v="0"/>
    <x v="38"/>
    <n v="0"/>
    <x v="1"/>
    <d v="2019-09-01T00:00:00"/>
    <d v="2019-09-29T00:00:00"/>
    <d v="2019-09-29T00:00:00"/>
    <s v="TẾT"/>
    <m/>
    <m/>
    <m/>
    <m/>
    <m/>
    <m/>
    <m/>
    <m/>
    <m/>
    <m/>
    <m/>
    <n v="0"/>
    <n v="0"/>
    <n v="0"/>
  </r>
  <r>
    <s v="206A/2019"/>
    <d v="2019-04-26T00:00:00"/>
    <s v="KIỀU THY"/>
    <s v="BH01"/>
    <x v="129"/>
    <x v="7"/>
    <s v="PROFUNDO"/>
    <m/>
    <s v="18.20"/>
    <s v="150"/>
    <s v="NL2018"/>
    <m/>
    <n v="0"/>
    <n v="0"/>
    <x v="22"/>
    <n v="0"/>
    <x v="1"/>
    <d v="2019-09-01T00:00:00"/>
    <d v="2019-09-29T00:00:00"/>
    <d v="2019-09-29T00:00:00"/>
    <s v="TẾT"/>
    <m/>
    <m/>
    <m/>
    <m/>
    <m/>
    <m/>
    <m/>
    <m/>
    <m/>
    <m/>
    <m/>
    <n v="0"/>
    <n v="0"/>
    <n v="0"/>
  </r>
  <r>
    <s v="206A/2019"/>
    <d v="2019-04-26T00:00:00"/>
    <s v="KIỀU THY"/>
    <s v="BH01"/>
    <x v="129"/>
    <x v="107"/>
    <s v="PROFUNDO CHILE"/>
    <m/>
    <s v="20.22"/>
    <s v="125"/>
    <s v="CL2019"/>
    <m/>
    <n v="0"/>
    <n v="0"/>
    <x v="183"/>
    <m/>
    <x v="1"/>
    <d v="2019-09-01T00:00:00"/>
    <d v="2019-09-29T00:00:00"/>
    <d v="2019-09-29T00:00:00"/>
    <s v="TẾT"/>
    <m/>
    <m/>
    <m/>
    <m/>
    <m/>
    <m/>
    <m/>
    <m/>
    <m/>
    <m/>
    <m/>
    <n v="0"/>
    <n v="0"/>
    <e v="#VALUE!"/>
  </r>
  <r>
    <s v="63B/2019"/>
    <d v="2019-02-20T00:00:00"/>
    <s v="THANH THÚY"/>
    <s v="TD03"/>
    <x v="130"/>
    <x v="15"/>
    <s v="CONCADOR"/>
    <m/>
    <s v="16.18"/>
    <n v="200"/>
    <s v="NL2018"/>
    <m/>
    <n v="10"/>
    <n v="2000"/>
    <x v="0"/>
    <n v="9400000"/>
    <x v="0"/>
    <s v="30-Feb-19"/>
    <d v="2019-04-04T00:00:00"/>
    <d v="2019-04-04T00:00:00"/>
    <s v="15/3AL"/>
    <s v="CONT 21/2019"/>
    <m/>
    <m/>
    <d v="2019-04-03T00:00:00"/>
    <n v="2000"/>
    <m/>
    <m/>
    <m/>
    <m/>
    <m/>
    <m/>
    <n v="2000"/>
    <n v="0"/>
    <n v="0"/>
  </r>
  <r>
    <s v="63B/2019"/>
    <d v="2019-02-20T00:00:00"/>
    <s v="THANH THÚY"/>
    <s v="TD03"/>
    <x v="130"/>
    <x v="15"/>
    <s v="CONCADOR"/>
    <m/>
    <s v="16.18"/>
    <n v="200"/>
    <s v="NL2018"/>
    <m/>
    <n v="20"/>
    <n v="4000"/>
    <x v="0"/>
    <n v="18800000"/>
    <x v="0"/>
    <s v="30-Feb-19"/>
    <d v="2019-04-04T00:00:00"/>
    <d v="2019-04-04T00:00:00"/>
    <m/>
    <m/>
    <m/>
    <m/>
    <d v="2019-04-16T00:00:00"/>
    <n v="4000"/>
    <m/>
    <m/>
    <m/>
    <m/>
    <m/>
    <m/>
    <n v="4000"/>
    <n v="0"/>
    <n v="0"/>
  </r>
  <r>
    <s v="63B/2019"/>
    <d v="2019-02-20T00:00:00"/>
    <s v="THANH THÚY"/>
    <s v="TD03"/>
    <x v="130"/>
    <x v="22"/>
    <s v="ROBINA"/>
    <m/>
    <s v="16.18"/>
    <n v="200"/>
    <s v="NL2018"/>
    <m/>
    <n v="50"/>
    <n v="10000"/>
    <x v="18"/>
    <n v="50000000"/>
    <x v="0"/>
    <s v="30-Feb-19"/>
    <d v="2019-04-04T00:00:00"/>
    <d v="2019-04-04T00:00:00"/>
    <s v="15/3AL"/>
    <s v="CONT 26/2019"/>
    <m/>
    <m/>
    <d v="2019-04-03T00:00:00"/>
    <n v="5000"/>
    <d v="2019-04-16T00:00:00"/>
    <n v="5000"/>
    <m/>
    <m/>
    <m/>
    <m/>
    <n v="10000"/>
    <n v="0"/>
    <n v="0"/>
  </r>
  <r>
    <s v="63B/2019"/>
    <d v="2019-02-20T00:00:00"/>
    <s v="THANH THÚY"/>
    <s v="TD03"/>
    <x v="130"/>
    <x v="28"/>
    <s v="YELLOWEEN"/>
    <m/>
    <s v="14.16"/>
    <n v="300"/>
    <s v="NL2018"/>
    <m/>
    <n v="27"/>
    <n v="8100"/>
    <x v="6"/>
    <n v="30780000"/>
    <x v="0"/>
    <s v="30-Feb-19"/>
    <d v="2019-04-04T00:00:00"/>
    <d v="2019-04-04T00:00:00"/>
    <s v="15/3AL"/>
    <s v="CONT 20/2019"/>
    <m/>
    <m/>
    <d v="2019-04-03T00:00:00"/>
    <n v="4200"/>
    <d v="2019-04-16T00:00:00"/>
    <n v="3900"/>
    <m/>
    <m/>
    <m/>
    <m/>
    <n v="8100"/>
    <n v="0"/>
    <n v="0"/>
  </r>
  <r>
    <s v="63B/2019"/>
    <d v="2019-02-20T00:00:00"/>
    <s v="THANH THÚY"/>
    <s v="TD03"/>
    <x v="130"/>
    <x v="17"/>
    <s v="NELLO "/>
    <m/>
    <s v="12.14"/>
    <n v="400"/>
    <s v="NL2018"/>
    <m/>
    <n v="5"/>
    <n v="2000"/>
    <x v="17"/>
    <n v="6000000"/>
    <x v="0"/>
    <d v="2019-03-15T00:00:00"/>
    <d v="2019-04-19T00:00:00"/>
    <d v="2019-04-19T00:00:00"/>
    <s v="15/3AL"/>
    <s v="CONT 20/2019"/>
    <m/>
    <m/>
    <d v="2019-04-23T00:00:00"/>
    <n v="2000"/>
    <m/>
    <m/>
    <m/>
    <m/>
    <m/>
    <m/>
    <n v="2000"/>
    <n v="0"/>
    <n v="0"/>
  </r>
  <r>
    <s v="63B/2019"/>
    <d v="2019-02-20T00:00:00"/>
    <s v="THANH THÚY"/>
    <s v="TD03"/>
    <x v="130"/>
    <x v="61"/>
    <s v="BACARDI"/>
    <m/>
    <s v="15.16"/>
    <n v="250"/>
    <s v="NL2018"/>
    <m/>
    <n v="8"/>
    <n v="2000"/>
    <x v="13"/>
    <n v="9000000"/>
    <x v="0"/>
    <d v="2019-03-15T00:00:00"/>
    <d v="2019-04-19T00:00:00"/>
    <d v="2019-04-19T00:00:00"/>
    <s v="15/3AL"/>
    <s v="CONT 20/2019"/>
    <m/>
    <m/>
    <d v="2019-04-23T00:00:00"/>
    <n v="2000"/>
    <m/>
    <m/>
    <m/>
    <m/>
    <m/>
    <m/>
    <n v="2000"/>
    <n v="0"/>
    <n v="0"/>
  </r>
  <r>
    <s v="63B/2019"/>
    <d v="2019-05-18T00:00:00"/>
    <s v="THANH THÚY"/>
    <s v="TD03"/>
    <x v="130"/>
    <x v="30"/>
    <s v="MALDANO"/>
    <m/>
    <s v="16.18"/>
    <n v="200"/>
    <s v="NL2018"/>
    <m/>
    <n v="20"/>
    <n v="4000"/>
    <x v="11"/>
    <n v="21600000"/>
    <x v="0"/>
    <d v="2019-04-17T00:00:00"/>
    <d v="2019-05-21T00:00:00"/>
    <d v="2019-05-21T00:00:00"/>
    <m/>
    <m/>
    <m/>
    <m/>
    <d v="2019-05-19T00:00:00"/>
    <n v="4000"/>
    <m/>
    <m/>
    <m/>
    <m/>
    <m/>
    <m/>
    <n v="4000"/>
    <n v="0"/>
    <n v="0"/>
  </r>
  <r>
    <s v="63B/2019"/>
    <d v="2019-05-18T00:00:00"/>
    <s v="THANH THÚY"/>
    <s v="TD03"/>
    <x v="130"/>
    <x v="3"/>
    <s v="PAVIA"/>
    <m/>
    <s v="12.14"/>
    <n v="400"/>
    <s v="NL2018"/>
    <m/>
    <n v="5"/>
    <n v="2000"/>
    <x v="14"/>
    <n v="5800000"/>
    <x v="0"/>
    <d v="2019-04-17T00:00:00"/>
    <d v="2019-05-21T00:00:00"/>
    <d v="2019-05-21T00:00:00"/>
    <m/>
    <m/>
    <m/>
    <m/>
    <d v="2019-06-03T00:00:00"/>
    <n v="2000"/>
    <m/>
    <m/>
    <m/>
    <m/>
    <m/>
    <m/>
    <n v="2000"/>
    <n v="0"/>
    <n v="0"/>
  </r>
  <r>
    <s v="63B/2019"/>
    <d v="2019-05-18T00:00:00"/>
    <s v="THANH THÚY"/>
    <s v="TD03"/>
    <x v="130"/>
    <x v="72"/>
    <s v="YELLOWEEN"/>
    <s v="DN"/>
    <s v="16.18"/>
    <n v="200"/>
    <s v="NL2018"/>
    <m/>
    <n v="10"/>
    <n v="2000"/>
    <x v="44"/>
    <n v="11000000"/>
    <x v="0"/>
    <d v="2019-04-17T00:00:00"/>
    <d v="2019-05-21T00:00:00"/>
    <d v="2019-05-21T00:00:00"/>
    <m/>
    <m/>
    <m/>
    <m/>
    <m/>
    <m/>
    <m/>
    <m/>
    <m/>
    <m/>
    <m/>
    <m/>
    <n v="0"/>
    <n v="2000"/>
    <n v="11000000"/>
  </r>
  <r>
    <s v="151B/2019"/>
    <d v="2019-04-03T00:00:00"/>
    <s v="THANH THÚY"/>
    <s v="TD03"/>
    <x v="130"/>
    <x v="22"/>
    <s v="ROBINA"/>
    <m/>
    <s v="16.18"/>
    <n v="200"/>
    <s v="NL2018"/>
    <m/>
    <n v="0"/>
    <n v="0"/>
    <x v="11"/>
    <n v="0"/>
    <x v="1"/>
    <d v="2019-05-28T00:00:00"/>
    <d v="2019-06-30T00:00:00"/>
    <d v="2019-06-30T00:00:00"/>
    <s v="28/5AL"/>
    <m/>
    <m/>
    <m/>
    <m/>
    <m/>
    <m/>
    <m/>
    <m/>
    <m/>
    <m/>
    <m/>
    <n v="0"/>
    <n v="0"/>
    <n v="0"/>
  </r>
  <r>
    <s v="151B/2019"/>
    <d v="2019-05-20T00:00:00"/>
    <s v="THANH THÚY"/>
    <s v="TD03"/>
    <x v="130"/>
    <x v="30"/>
    <s v="MALDANO"/>
    <m/>
    <s v="16.18"/>
    <n v="200"/>
    <s v="NL2018"/>
    <m/>
    <n v="50"/>
    <n v="10000"/>
    <x v="44"/>
    <n v="55000000"/>
    <x v="3"/>
    <d v="2019-05-28T00:00:00"/>
    <d v="2019-06-30T00:00:00"/>
    <d v="2019-06-30T00:00:00"/>
    <s v="28/5AL"/>
    <m/>
    <m/>
    <m/>
    <m/>
    <m/>
    <m/>
    <m/>
    <m/>
    <m/>
    <m/>
    <m/>
    <n v="0"/>
    <n v="10000"/>
    <n v="55000000"/>
  </r>
  <r>
    <s v="151B/2019"/>
    <d v="2019-05-20T00:00:00"/>
    <s v="THANH THÚY"/>
    <s v="TD03"/>
    <x v="130"/>
    <x v="54"/>
    <s v="MALDANO"/>
    <m/>
    <s v="14.16"/>
    <s v="300"/>
    <s v="NL2018"/>
    <m/>
    <n v="14"/>
    <n v="4200"/>
    <x v="3"/>
    <n v="17220000"/>
    <x v="3"/>
    <d v="2019-05-28T00:00:00"/>
    <d v="2019-06-30T00:00:00"/>
    <d v="2019-06-30T00:00:00"/>
    <s v="28/5AL"/>
    <m/>
    <m/>
    <m/>
    <m/>
    <m/>
    <m/>
    <m/>
    <m/>
    <m/>
    <m/>
    <m/>
    <n v="0"/>
    <n v="4200"/>
    <n v="17220000"/>
  </r>
  <r>
    <s v="151B/2019"/>
    <d v="2019-04-03T00:00:00"/>
    <s v="THANH THÚY"/>
    <s v="TD03"/>
    <x v="130"/>
    <x v="28"/>
    <s v="YELLOWEEN"/>
    <m/>
    <s v="14.16"/>
    <n v="300"/>
    <s v="NL2018"/>
    <m/>
    <n v="34"/>
    <n v="10200"/>
    <x v="57"/>
    <n v="40800000"/>
    <x v="3"/>
    <d v="2019-05-28T00:00:00"/>
    <d v="2019-06-30T00:00:00"/>
    <d v="2019-06-30T00:00:00"/>
    <s v="28/5AL"/>
    <m/>
    <m/>
    <m/>
    <m/>
    <m/>
    <m/>
    <m/>
    <m/>
    <m/>
    <m/>
    <m/>
    <n v="0"/>
    <n v="10200"/>
    <n v="40800000"/>
  </r>
  <r>
    <s v="151B/2019"/>
    <d v="2019-04-03T00:00:00"/>
    <s v="THANH THÚY"/>
    <s v="TD03"/>
    <x v="130"/>
    <x v="31"/>
    <s v="TARRANGO"/>
    <m/>
    <s v="14.16"/>
    <n v="300"/>
    <s v="NL2018"/>
    <m/>
    <n v="20"/>
    <n v="6000"/>
    <x v="23"/>
    <n v="28800000"/>
    <x v="3"/>
    <d v="2019-05-28T00:00:00"/>
    <d v="2019-06-30T00:00:00"/>
    <d v="2019-06-30T00:00:00"/>
    <s v="28/5AL"/>
    <m/>
    <m/>
    <m/>
    <m/>
    <m/>
    <m/>
    <m/>
    <m/>
    <m/>
    <m/>
    <m/>
    <n v="0"/>
    <n v="6000"/>
    <n v="28800000"/>
  </r>
  <r>
    <s v="150B/2019"/>
    <d v="2019-02-20T00:00:00"/>
    <s v="THANH THÚY"/>
    <s v="TD03"/>
    <x v="130"/>
    <x v="46"/>
    <s v="CONCADOR"/>
    <m/>
    <s v="22.24"/>
    <n v="100"/>
    <s v="NL2018"/>
    <m/>
    <n v="50"/>
    <n v="5000"/>
    <x v="29"/>
    <n v="62500000"/>
    <x v="2"/>
    <d v="2019-09-01T00:00:00"/>
    <d v="2019-09-29T00:00:00"/>
    <d v="2019-09-29T00:00:00"/>
    <s v="TẾT"/>
    <m/>
    <m/>
    <m/>
    <m/>
    <n v="0"/>
    <m/>
    <m/>
    <m/>
    <m/>
    <m/>
    <m/>
    <n v="0"/>
    <n v="5000"/>
    <n v="62500000"/>
  </r>
  <r>
    <s v="150B/2019"/>
    <d v="2019-02-20T00:00:00"/>
    <s v="THANH THÚY"/>
    <s v="TD03"/>
    <x v="130"/>
    <x v="14"/>
    <s v="TARRANGO"/>
    <m/>
    <s v="20.22"/>
    <n v="125"/>
    <s v="NL2018"/>
    <m/>
    <n v="40"/>
    <n v="5000"/>
    <x v="36"/>
    <n v="55000000"/>
    <x v="2"/>
    <d v="2019-09-01T00:00:00"/>
    <d v="2019-09-29T00:00:00"/>
    <d v="2019-09-29T00:00:00"/>
    <s v="TẾT"/>
    <m/>
    <m/>
    <m/>
    <m/>
    <n v="0"/>
    <m/>
    <m/>
    <m/>
    <m/>
    <m/>
    <m/>
    <n v="0"/>
    <n v="5000"/>
    <n v="55000000"/>
  </r>
  <r>
    <s v="150B/2019"/>
    <d v="2019-02-20T00:00:00"/>
    <s v="THANH THÚY"/>
    <s v="TD03"/>
    <x v="130"/>
    <x v="37"/>
    <s v="PROFUNDO"/>
    <m/>
    <s v="20.22"/>
    <n v="125"/>
    <s v="NL2018"/>
    <m/>
    <n v="80"/>
    <n v="10000"/>
    <x v="40"/>
    <n v="130000000"/>
    <x v="2"/>
    <d v="2019-09-01T00:00:00"/>
    <d v="2019-09-29T00:00:00"/>
    <d v="2019-09-29T00:00:00"/>
    <s v="TẾT"/>
    <m/>
    <m/>
    <m/>
    <m/>
    <n v="0"/>
    <m/>
    <m/>
    <m/>
    <m/>
    <m/>
    <m/>
    <n v="0"/>
    <n v="10000"/>
    <n v="130000000"/>
  </r>
  <r>
    <s v="150B/2019"/>
    <d v="2019-02-20T00:00:00"/>
    <s v="THANH THÚY"/>
    <s v="TD03"/>
    <x v="130"/>
    <x v="8"/>
    <s v="TEBALDI"/>
    <m/>
    <s v="16.18"/>
    <n v="200"/>
    <s v="NL2018"/>
    <m/>
    <n v="25"/>
    <n v="5000"/>
    <x v="20"/>
    <n v="30500000"/>
    <x v="2"/>
    <d v="2019-09-01T00:00:00"/>
    <d v="2019-09-29T00:00:00"/>
    <d v="2019-09-29T00:00:00"/>
    <s v="TẾT"/>
    <m/>
    <m/>
    <m/>
    <m/>
    <n v="0"/>
    <m/>
    <m/>
    <m/>
    <m/>
    <m/>
    <m/>
    <n v="0"/>
    <n v="5000"/>
    <n v="30500000"/>
  </r>
  <r>
    <s v="133A/2019"/>
    <d v="2019-02-03T00:00:00"/>
    <s v="KIỀU THY"/>
    <s v="HN01"/>
    <x v="131"/>
    <x v="25"/>
    <s v="CONCADOR "/>
    <m/>
    <s v="18.20"/>
    <n v="150"/>
    <s v="NL2018"/>
    <m/>
    <n v="34"/>
    <n v="5100"/>
    <x v="35"/>
    <n v="36720000"/>
    <x v="2"/>
    <d v="2019-09-01T00:00:00"/>
    <d v="2019-09-29T00:00:00"/>
    <d v="2019-09-29T00:00:00"/>
    <s v="TẾT"/>
    <m/>
    <m/>
    <m/>
    <m/>
    <n v="0"/>
    <m/>
    <m/>
    <m/>
    <m/>
    <m/>
    <m/>
    <n v="0"/>
    <n v="5100"/>
    <n v="36720000"/>
  </r>
  <r>
    <s v="133A/2019"/>
    <d v="2019-02-03T00:00:00"/>
    <s v="KIỀU THY"/>
    <s v="HN01"/>
    <x v="131"/>
    <x v="46"/>
    <s v="CONCADOR "/>
    <m/>
    <s v="22.24"/>
    <n v="100"/>
    <s v="NL2018"/>
    <m/>
    <n v="40"/>
    <n v="4000"/>
    <x v="29"/>
    <n v="50000000"/>
    <x v="2"/>
    <d v="2019-09-01T00:00:00"/>
    <d v="2019-09-29T00:00:00"/>
    <d v="2019-09-29T00:00:00"/>
    <s v="TẾT"/>
    <m/>
    <m/>
    <m/>
    <m/>
    <n v="0"/>
    <m/>
    <m/>
    <m/>
    <m/>
    <m/>
    <m/>
    <n v="0"/>
    <n v="4000"/>
    <n v="50000000"/>
  </r>
  <r>
    <s v="133A/2019"/>
    <d v="2019-02-03T00:00:00"/>
    <s v="KIỀU THY"/>
    <s v="HN01"/>
    <x v="131"/>
    <x v="110"/>
    <s v="CONCADOR NEWZELAND"/>
    <m/>
    <s v="20.22"/>
    <n v="125"/>
    <s v="NZ2019"/>
    <m/>
    <n v="8"/>
    <n v="1000"/>
    <x v="53"/>
    <n v="12000000"/>
    <x v="2"/>
    <d v="2019-09-01T00:00:00"/>
    <s v=""/>
    <s v=""/>
    <s v="TẾT"/>
    <m/>
    <m/>
    <m/>
    <m/>
    <n v="0"/>
    <m/>
    <m/>
    <m/>
    <m/>
    <m/>
    <m/>
    <n v="0"/>
    <n v="1000"/>
    <n v="12000000"/>
  </r>
  <r>
    <s v="133A/2019"/>
    <d v="2019-02-03T00:00:00"/>
    <s v="KIỀU THY"/>
    <s v="HN01"/>
    <x v="131"/>
    <x v="37"/>
    <s v="PROFUNDO"/>
    <m/>
    <s v="20.22"/>
    <n v="125"/>
    <s v="NL2018"/>
    <m/>
    <n v="40"/>
    <n v="5000"/>
    <x v="40"/>
    <n v="65000000"/>
    <x v="2"/>
    <d v="2019-09-01T00:00:00"/>
    <d v="2019-09-29T00:00:00"/>
    <d v="2019-09-29T00:00:00"/>
    <s v="TẾT"/>
    <m/>
    <m/>
    <m/>
    <m/>
    <n v="0"/>
    <m/>
    <m/>
    <m/>
    <m/>
    <m/>
    <m/>
    <n v="0"/>
    <n v="5000"/>
    <n v="65000000"/>
  </r>
  <r>
    <s v="133A/2019"/>
    <d v="2019-02-03T00:00:00"/>
    <s v="KIỀU THY"/>
    <s v="HN01"/>
    <x v="131"/>
    <x v="47"/>
    <s v="ROBINA"/>
    <m/>
    <s v="18.20"/>
    <n v="150"/>
    <s v="NL2018"/>
    <m/>
    <n v="34"/>
    <n v="5100"/>
    <x v="35"/>
    <n v="36720000"/>
    <x v="2"/>
    <d v="2019-09-01T00:00:00"/>
    <d v="2019-09-29T00:00:00"/>
    <d v="2019-09-29T00:00:00"/>
    <s v="TẾT"/>
    <m/>
    <m/>
    <m/>
    <m/>
    <n v="0"/>
    <m/>
    <m/>
    <m/>
    <m/>
    <m/>
    <m/>
    <n v="0"/>
    <n v="5100"/>
    <n v="36720000"/>
  </r>
  <r>
    <s v="133A/2019"/>
    <d v="2019-02-03T00:00:00"/>
    <s v="KIỀU THY"/>
    <s v="HN01"/>
    <x v="131"/>
    <x v="26"/>
    <s v="ROBINA"/>
    <m/>
    <s v="22.24"/>
    <n v="100"/>
    <s v="NL2018"/>
    <m/>
    <n v="50"/>
    <n v="5000"/>
    <x v="29"/>
    <n v="62500000"/>
    <x v="2"/>
    <d v="2019-09-01T00:00:00"/>
    <d v="2019-09-29T00:00:00"/>
    <d v="2019-09-29T00:00:00"/>
    <s v="TẾT"/>
    <m/>
    <m/>
    <m/>
    <m/>
    <n v="0"/>
    <m/>
    <m/>
    <m/>
    <m/>
    <m/>
    <m/>
    <n v="0"/>
    <n v="5000"/>
    <n v="62500000"/>
  </r>
  <r>
    <s v="133A/2019"/>
    <d v="2019-02-03T00:00:00"/>
    <s v="KIỀU THY"/>
    <s v="HN01"/>
    <x v="131"/>
    <x v="38"/>
    <s v="YELLOWEEN"/>
    <m/>
    <s v="16.18"/>
    <n v="200"/>
    <s v="NL2018"/>
    <m/>
    <n v="25"/>
    <n v="5000"/>
    <x v="44"/>
    <n v="27500000"/>
    <x v="2"/>
    <d v="2019-09-01T00:00:00"/>
    <d v="2019-09-29T00:00:00"/>
    <d v="2019-09-29T00:00:00"/>
    <s v="TẾT"/>
    <m/>
    <m/>
    <m/>
    <m/>
    <n v="0"/>
    <m/>
    <m/>
    <m/>
    <m/>
    <m/>
    <m/>
    <n v="0"/>
    <n v="5000"/>
    <n v="27500000"/>
  </r>
  <r>
    <s v="33A/2019"/>
    <d v="2019-02-03T00:00:00"/>
    <s v="KIỀU THY"/>
    <s v="HN01"/>
    <x v="131"/>
    <x v="156"/>
    <s v="CONCADOR FR"/>
    <m/>
    <s v="14.16"/>
    <n v="250"/>
    <s v="NL2018"/>
    <m/>
    <n v="80"/>
    <n v="20000"/>
    <x v="117"/>
    <n v="74000000"/>
    <x v="0"/>
    <d v="2019-01-15T00:00:00"/>
    <d v="2019-02-19T00:00:00"/>
    <d v="2019-02-19T00:00:00"/>
    <s v="15/1AL"/>
    <m/>
    <m/>
    <s v="R"/>
    <d v="2019-02-19T00:00:00"/>
    <n v="10000"/>
    <d v="2019-03-04T00:00:00"/>
    <n v="10000"/>
    <m/>
    <m/>
    <m/>
    <m/>
    <n v="20000"/>
    <n v="0"/>
    <n v="0"/>
  </r>
  <r>
    <s v="33A/2019"/>
    <d v="2019-02-03T00:00:00"/>
    <s v="KIỀU THY"/>
    <s v="HN01"/>
    <x v="131"/>
    <x v="15"/>
    <s v="CONCADOR "/>
    <m/>
    <s v="16.18"/>
    <n v="200"/>
    <s v="NL2018"/>
    <m/>
    <n v="2"/>
    <n v="400"/>
    <x v="0"/>
    <n v="1880000"/>
    <x v="0"/>
    <d v="2019-02-15T00:00:00"/>
    <d v="2019-03-20T00:00:00"/>
    <d v="2019-03-20T00:00:00"/>
    <s v="15/2AL"/>
    <s v="CONT 11/2019"/>
    <d v="2019-03-17T00:00:00"/>
    <s v="R"/>
    <d v="2019-03-19T00:00:00"/>
    <n v="400"/>
    <m/>
    <m/>
    <m/>
    <m/>
    <m/>
    <m/>
    <n v="400"/>
    <n v="0"/>
    <n v="0"/>
  </r>
  <r>
    <s v="33A/2019"/>
    <d v="2019-02-03T00:00:00"/>
    <s v="KIỀU THY"/>
    <s v="HN01"/>
    <x v="131"/>
    <x v="15"/>
    <s v="CONCADOR "/>
    <m/>
    <s v="16.18"/>
    <n v="200"/>
    <s v="NL2018"/>
    <m/>
    <n v="13"/>
    <n v="2600"/>
    <x v="0"/>
    <n v="12220000"/>
    <x v="0"/>
    <d v="2019-02-15T00:00:00"/>
    <d v="2019-03-20T00:00:00"/>
    <d v="2019-03-20T00:00:00"/>
    <s v="15/2AL"/>
    <s v="CONT 10/2019"/>
    <d v="2019-03-17T00:00:00"/>
    <s v="R"/>
    <d v="2019-03-19T00:00:00"/>
    <n v="2600"/>
    <m/>
    <m/>
    <m/>
    <m/>
    <m/>
    <m/>
    <n v="2600"/>
    <n v="0"/>
    <n v="0"/>
  </r>
  <r>
    <s v="33A/2019"/>
    <d v="2019-02-03T00:00:00"/>
    <s v="KIỀU THY"/>
    <s v="HN01"/>
    <x v="131"/>
    <x v="80"/>
    <s v="PROFUNDO"/>
    <m/>
    <s v="14.16"/>
    <n v="300"/>
    <s v="NL2018"/>
    <m/>
    <n v="34"/>
    <n v="10200"/>
    <x v="82"/>
    <n v="53040000"/>
    <x v="0"/>
    <d v="2019-02-15T00:00:00"/>
    <d v="2019-03-20T00:00:00"/>
    <d v="2019-03-20T00:00:00"/>
    <s v="15/2AL"/>
    <s v="CONT 12/2019"/>
    <d v="2019-03-17T00:00:00"/>
    <s v="R"/>
    <d v="2019-03-19T00:00:00"/>
    <n v="10200"/>
    <m/>
    <m/>
    <m/>
    <m/>
    <m/>
    <m/>
    <n v="10200"/>
    <n v="0"/>
    <n v="0"/>
  </r>
  <r>
    <s v="33A/2019"/>
    <d v="2019-02-03T00:00:00"/>
    <s v="KIỀU THY"/>
    <s v="HN01"/>
    <x v="131"/>
    <x v="5"/>
    <s v="PROFUNDO"/>
    <m/>
    <s v="16.18"/>
    <n v="200"/>
    <s v="NL2018"/>
    <m/>
    <n v="100"/>
    <n v="20000"/>
    <x v="45"/>
    <n v="134000000"/>
    <x v="0"/>
    <d v="2019-02-15T00:00:00"/>
    <d v="2019-03-20T00:00:00"/>
    <d v="2019-03-20T00:00:00"/>
    <s v="15/2AL"/>
    <s v="CONT 12/2019"/>
    <d v="2019-03-17T00:00:00"/>
    <s v="R"/>
    <d v="2019-04-03T00:00:00"/>
    <n v="5000"/>
    <d v="2019-04-15T00:00:00"/>
    <n v="5000"/>
    <d v="2019-04-26T00:00:00"/>
    <n v="10000"/>
    <m/>
    <m/>
    <n v="20000"/>
    <n v="0"/>
    <n v="0"/>
  </r>
  <r>
    <s v="33A/2019"/>
    <d v="2019-02-03T00:00:00"/>
    <s v="KIỀU THY"/>
    <s v="HN01"/>
    <x v="131"/>
    <x v="15"/>
    <s v="CONCADOR "/>
    <m/>
    <s v="16.18"/>
    <n v="200"/>
    <s v="NL2018"/>
    <m/>
    <n v="50"/>
    <n v="10000"/>
    <x v="0"/>
    <n v="47000000"/>
    <x v="0"/>
    <d v="2019-03-15T00:00:00"/>
    <d v="2019-04-19T00:00:00"/>
    <d v="2019-04-19T00:00:00"/>
    <s v="15/3AL"/>
    <s v="CONT 22/2019"/>
    <d v="2019-04-14T00:00:00"/>
    <s v="R"/>
    <d v="2019-04-03T00:00:00"/>
    <n v="5000"/>
    <d v="2019-04-15T00:00:00"/>
    <n v="5000"/>
    <m/>
    <m/>
    <m/>
    <m/>
    <n v="10000"/>
    <n v="0"/>
    <n v="0"/>
  </r>
  <r>
    <s v="33A/2019"/>
    <d v="2019-02-03T00:00:00"/>
    <s v="KIỀU THY"/>
    <s v="HN01"/>
    <x v="131"/>
    <x v="22"/>
    <s v="ROBINA"/>
    <m/>
    <s v="16.18"/>
    <n v="200"/>
    <s v="NL2018"/>
    <m/>
    <n v="0"/>
    <n v="0"/>
    <x v="18"/>
    <n v="0"/>
    <x v="1"/>
    <d v="2019-03-15T00:00:00"/>
    <d v="2019-04-19T00:00:00"/>
    <d v="2019-04-19T00:00:00"/>
    <s v="15/3AL"/>
    <s v="CONT 26/2019"/>
    <d v="2019-04-14T00:00:00"/>
    <s v="R"/>
    <m/>
    <n v="0"/>
    <m/>
    <m/>
    <m/>
    <m/>
    <m/>
    <m/>
    <n v="0"/>
    <n v="0"/>
    <n v="0"/>
  </r>
  <r>
    <s v="33A/2019"/>
    <d v="2019-02-03T00:00:00"/>
    <s v="KIỀU THY"/>
    <s v="HN01"/>
    <x v="131"/>
    <x v="47"/>
    <s v="ROBINA"/>
    <m/>
    <s v="18.20"/>
    <n v="150"/>
    <s v="NL2018"/>
    <m/>
    <n v="100"/>
    <n v="15000"/>
    <x v="42"/>
    <n v="94500000"/>
    <x v="0"/>
    <d v="2019-03-15T00:00:00"/>
    <d v="2019-04-19T00:00:00"/>
    <d v="2019-04-19T00:00:00"/>
    <s v="15/3AL"/>
    <s v="CONT 25/2019"/>
    <d v="2019-04-14T00:00:00"/>
    <s v="R"/>
    <d v="2019-05-15T00:00:00"/>
    <n v="15000"/>
    <m/>
    <m/>
    <m/>
    <m/>
    <m/>
    <m/>
    <n v="15000"/>
    <n v="0"/>
    <n v="0"/>
  </r>
  <r>
    <s v="33A/2019"/>
    <d v="2019-02-03T00:00:00"/>
    <s v="KIỀU THY"/>
    <s v="HN01"/>
    <x v="131"/>
    <x v="57"/>
    <s v="DALIAN"/>
    <m/>
    <s v="14.16"/>
    <n v="300"/>
    <s v="NL2018"/>
    <m/>
    <n v="21"/>
    <n v="6300"/>
    <x v="184"/>
    <n v="34101900"/>
    <x v="0"/>
    <d v="2019-03-30T00:00:00"/>
    <d v="2019-05-04T00:00:00"/>
    <d v="2019-05-04T00:00:00"/>
    <s v="15/3AL"/>
    <m/>
    <m/>
    <m/>
    <d v="2019-05-27T00:00:00"/>
    <n v="5100"/>
    <d v="2019-06-17T00:00:00"/>
    <n v="1200"/>
    <m/>
    <m/>
    <m/>
    <m/>
    <n v="6300"/>
    <n v="0"/>
    <n v="0"/>
  </r>
  <r>
    <s v="33A/2019"/>
    <d v="2019-02-03T00:00:00"/>
    <s v="KIỀU THY"/>
    <s v="HN01"/>
    <x v="131"/>
    <x v="57"/>
    <s v="DALIAN"/>
    <m/>
    <s v="14.16"/>
    <n v="300"/>
    <s v="NL2018"/>
    <m/>
    <n v="13"/>
    <n v="3900"/>
    <x v="184"/>
    <n v="21110700"/>
    <x v="0"/>
    <d v="2019-04-17T00:00:00"/>
    <d v="2019-05-21T00:00:00"/>
    <d v="2019-05-21T00:00:00"/>
    <s v="15/3AL"/>
    <s v="CONT 23/2019"/>
    <d v="2019-04-14T00:00:00"/>
    <m/>
    <d v="2019-06-17T00:00:00"/>
    <n v="3900"/>
    <m/>
    <m/>
    <m/>
    <m/>
    <m/>
    <m/>
    <n v="3900"/>
    <n v="0"/>
    <n v="0"/>
  </r>
  <r>
    <s v="33A/2019"/>
    <d v="2019-02-03T00:00:00"/>
    <s v="KIỀU THY"/>
    <s v="HN01"/>
    <x v="131"/>
    <x v="50"/>
    <s v="PROFUNDO"/>
    <m/>
    <s v="14.16"/>
    <n v="275"/>
    <s v="NL2018"/>
    <m/>
    <n v="37"/>
    <n v="10175"/>
    <x v="18"/>
    <n v="50875000"/>
    <x v="4"/>
    <d v="2019-04-17T00:00:00"/>
    <d v="2019-05-21T00:00:00"/>
    <d v="2019-05-21T00:00:00"/>
    <s v="30/3AL"/>
    <m/>
    <m/>
    <m/>
    <d v="2019-06-17T00:00:00"/>
    <n v="6000"/>
    <m/>
    <m/>
    <m/>
    <m/>
    <m/>
    <m/>
    <n v="6000"/>
    <n v="4175"/>
    <n v="20875000"/>
  </r>
  <r>
    <s v="33A/2019"/>
    <d v="2019-02-03T00:00:00"/>
    <s v="KIỀU THY"/>
    <s v="HN01"/>
    <x v="131"/>
    <x v="22"/>
    <s v="ROBINA"/>
    <m/>
    <s v="16.18"/>
    <n v="200"/>
    <s v="NL2018"/>
    <m/>
    <n v="50"/>
    <n v="10000"/>
    <x v="185"/>
    <n v="51630000"/>
    <x v="3"/>
    <d v="2019-06-15T00:00:00"/>
    <d v="2019-07-17T00:00:00"/>
    <d v="2019-07-17T00:00:00"/>
    <s v="15/3AL"/>
    <m/>
    <m/>
    <m/>
    <m/>
    <m/>
    <m/>
    <m/>
    <m/>
    <m/>
    <m/>
    <m/>
    <n v="0"/>
    <n v="10000"/>
    <n v="51630000"/>
  </r>
  <r>
    <s v="33A/2019"/>
    <d v="2019-05-25T00:00:00"/>
    <s v="KIỀU THY"/>
    <s v="HN01"/>
    <x v="131"/>
    <x v="15"/>
    <s v="CONCADOR"/>
    <m/>
    <s v="16.18"/>
    <n v="200"/>
    <s v="NL2018"/>
    <m/>
    <n v="25"/>
    <n v="5000"/>
    <x v="18"/>
    <n v="25000000"/>
    <x v="0"/>
    <d v="2019-04-17T00:00:00"/>
    <d v="2019-05-21T00:00:00"/>
    <d v="2019-05-21T00:00:00"/>
    <m/>
    <m/>
    <m/>
    <m/>
    <d v="2019-05-27T00:00:00"/>
    <n v="5000"/>
    <m/>
    <m/>
    <m/>
    <m/>
    <m/>
    <m/>
    <n v="5000"/>
    <n v="0"/>
    <n v="0"/>
  </r>
  <r>
    <s v="33A/2019"/>
    <d v="2019-05-25T00:00:00"/>
    <s v="KIỀU THY"/>
    <s v="HN01"/>
    <x v="131"/>
    <x v="133"/>
    <s v="MANISSA"/>
    <m/>
    <s v="14.16"/>
    <n v="300"/>
    <s v="NL2018"/>
    <m/>
    <n v="17"/>
    <n v="5100"/>
    <x v="6"/>
    <n v="19380000"/>
    <x v="0"/>
    <d v="2019-05-05T00:00:00"/>
    <d v="2019-06-07T00:00:00"/>
    <d v="2019-06-07T00:00:00"/>
    <m/>
    <m/>
    <m/>
    <m/>
    <d v="2019-06-17T00:00:00"/>
    <n v="5100"/>
    <m/>
    <m/>
    <m/>
    <m/>
    <m/>
    <m/>
    <n v="5100"/>
    <n v="0"/>
    <n v="0"/>
  </r>
  <r>
    <s v="33A/2019"/>
    <d v="2019-02-03T00:00:00"/>
    <s v="KIỀU THY"/>
    <s v="HN01"/>
    <x v="131"/>
    <x v="22"/>
    <s v="ROBINA"/>
    <m/>
    <s v="16.18"/>
    <n v="200"/>
    <s v="NL2018"/>
    <m/>
    <n v="50"/>
    <n v="10000"/>
    <x v="185"/>
    <n v="51630000"/>
    <x v="3"/>
    <d v="2019-05-18T00:00:00"/>
    <d v="2019-06-20T00:00:00"/>
    <d v="2019-06-20T00:00:00"/>
    <m/>
    <m/>
    <m/>
    <m/>
    <m/>
    <m/>
    <m/>
    <m/>
    <m/>
    <m/>
    <m/>
    <m/>
    <n v="0"/>
    <n v="10000"/>
    <n v="51630000"/>
  </r>
  <r>
    <s v="33A/2019"/>
    <d v="2019-02-03T00:00:00"/>
    <s v="KIỀU THY"/>
    <s v="HN01"/>
    <x v="131"/>
    <x v="5"/>
    <s v="PROFUNDO"/>
    <m/>
    <s v="16.18"/>
    <n v="200"/>
    <s v="NL2018"/>
    <m/>
    <n v="0"/>
    <n v="0"/>
    <x v="45"/>
    <n v="0"/>
    <x v="1"/>
    <d v="2019-05-05T00:00:00"/>
    <d v="2019-06-07T00:00:00"/>
    <d v="2019-06-07T00:00:00"/>
    <s v="15/3AL"/>
    <s v="CONT 23/2019"/>
    <d v="2019-04-14T00:00:00"/>
    <s v="R"/>
    <m/>
    <n v="0"/>
    <m/>
    <m/>
    <m/>
    <m/>
    <m/>
    <m/>
    <n v="0"/>
    <n v="0"/>
    <n v="0"/>
  </r>
  <r>
    <s v="33A/2019"/>
    <d v="2019-02-03T00:00:00"/>
    <s v="KIỀU THY"/>
    <s v="HN01"/>
    <x v="131"/>
    <x v="15"/>
    <s v="CONCADOR "/>
    <m/>
    <s v="16.18"/>
    <n v="200"/>
    <s v="NL2018"/>
    <m/>
    <n v="50"/>
    <n v="10000"/>
    <x v="0"/>
    <n v="47000000"/>
    <x v="0"/>
    <s v="30-Feb-19"/>
    <d v="2019-04-04T00:00:00"/>
    <d v="2019-04-04T00:00:00"/>
    <s v="30/2AL"/>
    <s v="CONT 16/2019"/>
    <d v="2019-03-31T00:00:00"/>
    <s v="R"/>
    <d v="2019-04-26T00:00:00"/>
    <n v="5000"/>
    <d v="2019-05-06T00:00:00"/>
    <n v="5000"/>
    <m/>
    <m/>
    <m/>
    <m/>
    <n v="10000"/>
    <n v="0"/>
    <n v="0"/>
  </r>
  <r>
    <s v="33A/2019"/>
    <d v="2019-02-03T00:00:00"/>
    <s v="KIỀU THY"/>
    <s v="HN01"/>
    <x v="131"/>
    <x v="67"/>
    <s v="INDIANA"/>
    <m/>
    <s v="14.16"/>
    <n v="300"/>
    <s v="NL2018"/>
    <m/>
    <n v="39"/>
    <n v="11700"/>
    <x v="0"/>
    <n v="54990000"/>
    <x v="0"/>
    <s v="30-Feb-19"/>
    <d v="2019-04-04T00:00:00"/>
    <d v="2019-04-04T00:00:00"/>
    <s v="30/2AL"/>
    <s v="CONT 14/2019"/>
    <d v="2019-03-31T00:00:00"/>
    <s v="R"/>
    <d v="2019-04-15T00:00:00"/>
    <n v="5100"/>
    <d v="2019-05-06T00:00:00"/>
    <n v="6600"/>
    <m/>
    <m/>
    <m/>
    <m/>
    <n v="11700"/>
    <n v="0"/>
    <n v="0"/>
  </r>
  <r>
    <s v="33A/2019"/>
    <d v="2019-02-03T00:00:00"/>
    <s v="KIỀU THY"/>
    <s v="HN01"/>
    <x v="131"/>
    <x v="22"/>
    <s v="ROBINA"/>
    <m/>
    <s v="16.18"/>
    <n v="200"/>
    <s v="NL2018"/>
    <m/>
    <n v="0"/>
    <n v="0"/>
    <x v="23"/>
    <n v="0"/>
    <x v="1"/>
    <s v="30-Feb-19"/>
    <d v="2019-04-04T00:00:00"/>
    <d v="2019-04-04T00:00:00"/>
    <s v="30/2AL"/>
    <s v="CONT 15/2019"/>
    <d v="2019-03-31T00:00:00"/>
    <s v="R"/>
    <m/>
    <n v="0"/>
    <m/>
    <m/>
    <m/>
    <m/>
    <m/>
    <m/>
    <n v="0"/>
    <n v="0"/>
    <n v="0"/>
  </r>
  <r>
    <s v="198A/2019"/>
    <d v="2019-02-21T00:00:00"/>
    <s v="KIỀU THY"/>
    <s v="VT09"/>
    <x v="132"/>
    <x v="6"/>
    <s v="CONCADOR"/>
    <m/>
    <s v="20.22"/>
    <n v="125"/>
    <s v="NL2018"/>
    <m/>
    <n v="6"/>
    <n v="750"/>
    <x v="59"/>
    <n v="7875000"/>
    <x v="2"/>
    <d v="2019-09-01T00:00:00"/>
    <d v="2019-09-29T00:00:00"/>
    <d v="2019-09-29T00:00:00"/>
    <s v="TẾT"/>
    <m/>
    <m/>
    <m/>
    <m/>
    <m/>
    <m/>
    <m/>
    <m/>
    <m/>
    <m/>
    <m/>
    <n v="0"/>
    <n v="750"/>
    <n v="7875000"/>
  </r>
  <r>
    <s v="198A/2019"/>
    <d v="2019-02-21T00:00:00"/>
    <s v="KIỀU THY"/>
    <s v="VT09"/>
    <x v="132"/>
    <x v="6"/>
    <s v="CONCADOR"/>
    <m/>
    <s v="20.22"/>
    <n v="125"/>
    <s v="NL2018"/>
    <m/>
    <n v="10"/>
    <n v="1250"/>
    <x v="7"/>
    <n v="13250000"/>
    <x v="2"/>
    <d v="2019-09-01T00:00:00"/>
    <d v="2019-09-29T00:00:00"/>
    <d v="2019-09-29T00:00:00"/>
    <s v="TẾT"/>
    <m/>
    <m/>
    <m/>
    <m/>
    <m/>
    <m/>
    <m/>
    <m/>
    <m/>
    <m/>
    <m/>
    <n v="0"/>
    <n v="1250"/>
    <n v="13250000"/>
  </r>
  <r>
    <s v="198A/2019"/>
    <d v="2019-02-21T00:00:00"/>
    <s v="KIỀU THY"/>
    <s v="VT09"/>
    <x v="132"/>
    <x v="14"/>
    <s v="TARRANGO"/>
    <m/>
    <s v="20.22"/>
    <n v="125"/>
    <s v="NL2018"/>
    <m/>
    <n v="28"/>
    <n v="3500"/>
    <x v="39"/>
    <n v="35350000"/>
    <x v="2"/>
    <d v="2019-09-01T00:00:00"/>
    <d v="2019-09-29T00:00:00"/>
    <d v="2019-09-29T00:00:00"/>
    <s v="TẾT"/>
    <m/>
    <m/>
    <m/>
    <m/>
    <m/>
    <m/>
    <m/>
    <m/>
    <m/>
    <m/>
    <m/>
    <n v="0"/>
    <n v="3500"/>
    <n v="35350000"/>
  </r>
  <r>
    <s v="198A/2019"/>
    <d v="2019-02-21T00:00:00"/>
    <s v="KIỀU THY"/>
    <s v="VT09"/>
    <x v="132"/>
    <x v="37"/>
    <s v="PROFUNDO"/>
    <m/>
    <s v="20.22"/>
    <n v="125"/>
    <s v="NL2018"/>
    <m/>
    <n v="84"/>
    <n v="10500"/>
    <x v="40"/>
    <n v="136500000"/>
    <x v="2"/>
    <d v="2019-09-01T00:00:00"/>
    <d v="2019-09-29T00:00:00"/>
    <d v="2019-09-29T00:00:00"/>
    <s v="TẾT"/>
    <m/>
    <m/>
    <m/>
    <m/>
    <m/>
    <m/>
    <m/>
    <m/>
    <m/>
    <m/>
    <m/>
    <n v="0"/>
    <n v="10500"/>
    <n v="136500000"/>
  </r>
  <r>
    <s v="198A/2019"/>
    <d v="2019-02-21T00:00:00"/>
    <s v="KIỀU THY"/>
    <s v="VT09"/>
    <x v="132"/>
    <x v="111"/>
    <s v="SERANO"/>
    <m/>
    <s v="20.22"/>
    <n v="125"/>
    <s v="NL2018"/>
    <m/>
    <n v="46"/>
    <n v="5750"/>
    <x v="115"/>
    <n v="53475000"/>
    <x v="2"/>
    <d v="2019-09-01T00:00:00"/>
    <d v="2019-09-29T00:00:00"/>
    <d v="2019-09-29T00:00:00"/>
    <s v="TẾT"/>
    <m/>
    <m/>
    <m/>
    <m/>
    <m/>
    <m/>
    <m/>
    <m/>
    <m/>
    <m/>
    <m/>
    <n v="0"/>
    <n v="5750"/>
    <n v="53475000"/>
  </r>
  <r>
    <s v="198A/2019"/>
    <d v="2019-04-24T00:00:00"/>
    <s v="KIỀU THY"/>
    <s v="VT09"/>
    <x v="132"/>
    <x v="111"/>
    <s v="SERANO"/>
    <m/>
    <s v="20.22"/>
    <n v="125"/>
    <s v="NL2018"/>
    <m/>
    <n v="50"/>
    <n v="6250"/>
    <x v="103"/>
    <n v="60000000"/>
    <x v="2"/>
    <d v="2019-09-01T00:00:00"/>
    <d v="2019-09-29T00:00:00"/>
    <d v="2019-09-29T00:00:00"/>
    <s v="TẾT"/>
    <m/>
    <m/>
    <m/>
    <m/>
    <m/>
    <m/>
    <m/>
    <m/>
    <m/>
    <m/>
    <m/>
    <n v="0"/>
    <n v="6250"/>
    <n v="60000000"/>
  </r>
  <r>
    <s v="197A/2019"/>
    <d v="2019-02-21T00:00:00"/>
    <s v="KIỀU THY"/>
    <s v="VT09"/>
    <x v="133"/>
    <x v="37"/>
    <s v="PROFUNDO"/>
    <m/>
    <s v="20.22"/>
    <n v="125"/>
    <s v="NL2018"/>
    <m/>
    <n v="56"/>
    <n v="7000"/>
    <x v="40"/>
    <n v="91000000"/>
    <x v="2"/>
    <d v="2019-09-01T00:00:00"/>
    <d v="2019-09-29T00:00:00"/>
    <d v="2019-09-29T00:00:00"/>
    <s v="TẾT"/>
    <m/>
    <m/>
    <m/>
    <m/>
    <m/>
    <m/>
    <m/>
    <m/>
    <m/>
    <m/>
    <m/>
    <n v="0"/>
    <n v="7000"/>
    <n v="91000000"/>
  </r>
  <r>
    <s v="197A/2019"/>
    <d v="2019-02-21T00:00:00"/>
    <s v="KIỀU THY"/>
    <s v="VT09"/>
    <x v="133"/>
    <x v="6"/>
    <s v="CONCADOR"/>
    <m/>
    <s v="20.22"/>
    <n v="125"/>
    <s v="NL2018"/>
    <m/>
    <n v="32"/>
    <n v="4000"/>
    <x v="7"/>
    <n v="42400000"/>
    <x v="2"/>
    <d v="2019-09-01T00:00:00"/>
    <d v="2019-09-29T00:00:00"/>
    <d v="2019-09-29T00:00:00"/>
    <s v="TẾT"/>
    <m/>
    <m/>
    <m/>
    <m/>
    <m/>
    <m/>
    <m/>
    <m/>
    <m/>
    <m/>
    <m/>
    <n v="0"/>
    <n v="4000"/>
    <n v="42400000"/>
  </r>
  <r>
    <s v="197A/2019"/>
    <d v="2019-02-21T00:00:00"/>
    <s v="KIỀU THY"/>
    <s v="VT09"/>
    <x v="133"/>
    <x v="16"/>
    <s v="ROBINA"/>
    <m/>
    <s v="20.22"/>
    <n v="125"/>
    <s v="NL2018"/>
    <m/>
    <n v="24"/>
    <n v="3000"/>
    <x v="16"/>
    <n v="32100000"/>
    <x v="2"/>
    <d v="2019-09-01T00:00:00"/>
    <d v="2019-09-29T00:00:00"/>
    <d v="2019-09-29T00:00:00"/>
    <s v="TẾT"/>
    <m/>
    <m/>
    <m/>
    <m/>
    <m/>
    <m/>
    <m/>
    <m/>
    <m/>
    <m/>
    <m/>
    <n v="0"/>
    <n v="3000"/>
    <n v="32100000"/>
  </r>
  <r>
    <s v="197A/2019"/>
    <d v="2019-02-21T00:00:00"/>
    <s v="KIỀU THY"/>
    <s v="VT09"/>
    <x v="133"/>
    <x v="36"/>
    <s v="MANISSA"/>
    <m/>
    <s v="20.22"/>
    <n v="125"/>
    <s v="NL2018"/>
    <m/>
    <n v="24"/>
    <n v="3000"/>
    <x v="37"/>
    <n v="40500000"/>
    <x v="2"/>
    <d v="2019-09-01T00:00:00"/>
    <d v="2019-09-29T00:00:00"/>
    <d v="2019-09-29T00:00:00"/>
    <s v="TẾT"/>
    <m/>
    <m/>
    <m/>
    <m/>
    <m/>
    <m/>
    <m/>
    <m/>
    <m/>
    <m/>
    <m/>
    <n v="0"/>
    <n v="3000"/>
    <n v="40500000"/>
  </r>
  <r>
    <s v="197A/2019"/>
    <d v="2019-02-21T00:00:00"/>
    <s v="KIỀU THY"/>
    <s v="VT09"/>
    <x v="133"/>
    <x v="111"/>
    <s v="SERANO"/>
    <m/>
    <s v="20.22"/>
    <n v="125"/>
    <s v="NL2018"/>
    <m/>
    <n v="16"/>
    <n v="2000"/>
    <x v="115"/>
    <n v="18600000"/>
    <x v="2"/>
    <d v="2019-09-01T00:00:00"/>
    <d v="2019-09-29T00:00:00"/>
    <d v="2019-09-29T00:00:00"/>
    <s v="TẾT"/>
    <m/>
    <m/>
    <m/>
    <m/>
    <m/>
    <m/>
    <m/>
    <m/>
    <m/>
    <m/>
    <m/>
    <n v="0"/>
    <n v="2000"/>
    <n v="18600000"/>
  </r>
  <r>
    <s v="197A/2019"/>
    <d v="2019-04-24T00:00:00"/>
    <s v="KIỀU THY"/>
    <s v="VT09"/>
    <x v="133"/>
    <x v="111"/>
    <s v="SERANO"/>
    <m/>
    <s v="20.22"/>
    <n v="125"/>
    <s v="NL2018"/>
    <m/>
    <n v="8"/>
    <n v="1000"/>
    <x v="103"/>
    <n v="9600000"/>
    <x v="2"/>
    <d v="2019-09-01T00:00:00"/>
    <d v="2019-09-29T00:00:00"/>
    <d v="2019-09-29T00:00:00"/>
    <s v="TẾT"/>
    <m/>
    <m/>
    <m/>
    <m/>
    <m/>
    <m/>
    <m/>
    <m/>
    <m/>
    <m/>
    <m/>
    <n v="0"/>
    <n v="1000"/>
    <n v="9600000"/>
  </r>
  <r>
    <s v="199A/2019"/>
    <d v="2019-02-21T00:00:00"/>
    <s v="KIỀU THY"/>
    <s v="VT09"/>
    <x v="134"/>
    <x v="6"/>
    <s v="CONCADOR"/>
    <m/>
    <s v="20.22"/>
    <n v="125"/>
    <s v="NL2018"/>
    <m/>
    <n v="64"/>
    <n v="8000"/>
    <x v="59"/>
    <n v="84000000"/>
    <x v="2"/>
    <d v="2019-09-01T00:00:00"/>
    <d v="2019-09-29T00:00:00"/>
    <d v="2019-09-29T00:00:00"/>
    <s v="TẾT"/>
    <m/>
    <m/>
    <m/>
    <m/>
    <m/>
    <m/>
    <m/>
    <m/>
    <m/>
    <m/>
    <m/>
    <n v="0"/>
    <n v="8000"/>
    <n v="84000000"/>
  </r>
  <r>
    <s v="199A/2019"/>
    <d v="2019-02-21T00:00:00"/>
    <s v="KIỀU THY"/>
    <s v="VT09"/>
    <x v="134"/>
    <x v="9"/>
    <s v="MANISSA"/>
    <m/>
    <s v="22.24"/>
    <n v="100"/>
    <s v="NL2018"/>
    <m/>
    <n v="70"/>
    <n v="7000"/>
    <x v="38"/>
    <n v="106400000"/>
    <x v="2"/>
    <d v="2019-09-01T00:00:00"/>
    <d v="2019-09-29T00:00:00"/>
    <d v="2019-09-29T00:00:00"/>
    <s v="TẾT"/>
    <m/>
    <m/>
    <m/>
    <m/>
    <m/>
    <m/>
    <m/>
    <m/>
    <m/>
    <m/>
    <m/>
    <n v="0"/>
    <n v="7000"/>
    <n v="106400000"/>
  </r>
  <r>
    <s v="199A/2019"/>
    <d v="2019-02-21T00:00:00"/>
    <s v="KIỀU THY"/>
    <s v="VT09"/>
    <x v="134"/>
    <x v="36"/>
    <s v="MANISSA"/>
    <m/>
    <s v="20.22"/>
    <n v="125"/>
    <s v="NL2018"/>
    <m/>
    <n v="32"/>
    <n v="4000"/>
    <x v="37"/>
    <n v="54000000"/>
    <x v="2"/>
    <d v="2019-09-01T00:00:00"/>
    <d v="2019-09-29T00:00:00"/>
    <d v="2019-09-29T00:00:00"/>
    <s v="TẾT"/>
    <m/>
    <m/>
    <m/>
    <m/>
    <m/>
    <m/>
    <m/>
    <m/>
    <m/>
    <m/>
    <m/>
    <n v="0"/>
    <n v="4000"/>
    <n v="54000000"/>
  </r>
  <r>
    <s v="199A/2019"/>
    <d v="2019-02-21T00:00:00"/>
    <s v="KIỀU THY"/>
    <s v="VT09"/>
    <x v="134"/>
    <x v="111"/>
    <s v="SERANO"/>
    <m/>
    <s v="20.22"/>
    <n v="125"/>
    <s v="NL2018"/>
    <m/>
    <n v="48"/>
    <n v="6000"/>
    <x v="115"/>
    <n v="55800000"/>
    <x v="2"/>
    <d v="2019-09-01T00:00:00"/>
    <d v="2019-09-29T00:00:00"/>
    <d v="2019-09-29T00:00:00"/>
    <s v="TẾT"/>
    <m/>
    <m/>
    <m/>
    <m/>
    <m/>
    <m/>
    <m/>
    <m/>
    <m/>
    <m/>
    <m/>
    <n v="0"/>
    <n v="6000"/>
    <n v="55800000"/>
  </r>
  <r>
    <s v="199A/2019"/>
    <d v="2019-02-21T00:00:00"/>
    <s v="KIỀU THY"/>
    <s v="VT09"/>
    <x v="134"/>
    <x v="37"/>
    <s v="PROFUNDO"/>
    <m/>
    <s v="20.22"/>
    <n v="125"/>
    <s v="NL2018"/>
    <m/>
    <n v="80"/>
    <n v="10000"/>
    <x v="40"/>
    <n v="130000000"/>
    <x v="2"/>
    <d v="2019-09-01T00:00:00"/>
    <d v="2019-09-29T00:00:00"/>
    <d v="2019-09-29T00:00:00"/>
    <s v="TẾT"/>
    <m/>
    <m/>
    <m/>
    <m/>
    <m/>
    <m/>
    <m/>
    <m/>
    <m/>
    <m/>
    <m/>
    <n v="0"/>
    <n v="10000"/>
    <n v="130000000"/>
  </r>
  <r>
    <s v="199A/2019"/>
    <d v="2019-02-21T00:00:00"/>
    <s v="KIỀU THY"/>
    <s v="VT09"/>
    <x v="134"/>
    <x v="14"/>
    <s v="TARRANGO"/>
    <m/>
    <s v="20.22"/>
    <n v="125"/>
    <s v="NL2018"/>
    <m/>
    <n v="64"/>
    <n v="8000"/>
    <x v="39"/>
    <n v="80800000"/>
    <x v="2"/>
    <d v="2019-09-01T00:00:00"/>
    <d v="2019-09-29T00:00:00"/>
    <d v="2019-09-29T00:00:00"/>
    <s v="TẾT"/>
    <m/>
    <m/>
    <m/>
    <m/>
    <m/>
    <m/>
    <m/>
    <m/>
    <m/>
    <m/>
    <m/>
    <n v="0"/>
    <n v="8000"/>
    <n v="80800000"/>
  </r>
  <r>
    <s v="199A/2019"/>
    <d v="2019-04-18T00:00:00"/>
    <s v="KIỀU THY"/>
    <s v="VT09"/>
    <x v="134"/>
    <x v="16"/>
    <s v="ROBINA"/>
    <m/>
    <s v="20.22"/>
    <n v="125"/>
    <s v="NL2018"/>
    <m/>
    <n v="24"/>
    <n v="3000"/>
    <x v="16"/>
    <n v="32100000"/>
    <x v="2"/>
    <d v="2019-09-01T00:00:00"/>
    <d v="2019-09-29T00:00:00"/>
    <d v="2019-09-29T00:00:00"/>
    <s v="TẾT"/>
    <m/>
    <m/>
    <m/>
    <m/>
    <m/>
    <m/>
    <m/>
    <m/>
    <m/>
    <m/>
    <m/>
    <n v="0"/>
    <n v="3000"/>
    <n v="32100000"/>
  </r>
  <r>
    <s v="199A/2019"/>
    <d v="2019-05-21T00:00:00"/>
    <s v="KIỀU THY"/>
    <s v="VT09"/>
    <x v="134"/>
    <x v="35"/>
    <s v="BACARDI"/>
    <m/>
    <s v="20.22"/>
    <n v="125"/>
    <s v="NL2018"/>
    <m/>
    <n v="24"/>
    <n v="3000"/>
    <x v="36"/>
    <n v="33000000"/>
    <x v="2"/>
    <d v="2019-09-01T00:00:00"/>
    <d v="2019-09-29T00:00:00"/>
    <d v="2019-09-29T00:00:00"/>
    <s v="TẾT"/>
    <m/>
    <m/>
    <m/>
    <m/>
    <m/>
    <m/>
    <m/>
    <m/>
    <m/>
    <m/>
    <m/>
    <n v="0"/>
    <n v="3000"/>
    <n v="33000000"/>
  </r>
  <r>
    <s v="199A/2019"/>
    <d v="2019-05-21T00:00:00"/>
    <s v="KIỀU THY"/>
    <s v="VT09"/>
    <x v="134"/>
    <x v="70"/>
    <s v="INDIANA"/>
    <m/>
    <s v="18.20"/>
    <n v="150"/>
    <s v="NL2018"/>
    <m/>
    <n v="20"/>
    <n v="3000"/>
    <x v="39"/>
    <n v="30300000"/>
    <x v="2"/>
    <d v="2019-09-01T00:00:00"/>
    <d v="2019-09-29T00:00:00"/>
    <d v="2019-09-29T00:00:00"/>
    <s v="TẾT"/>
    <m/>
    <m/>
    <m/>
    <m/>
    <m/>
    <m/>
    <m/>
    <m/>
    <m/>
    <m/>
    <m/>
    <n v="0"/>
    <n v="3000"/>
    <n v="30300000"/>
  </r>
  <r>
    <s v="8A/2019"/>
    <d v="2019-01-01T00:00:00"/>
    <s v="KIỀU THY"/>
    <s v="VT09"/>
    <x v="134"/>
    <x v="15"/>
    <s v="CONCADOR"/>
    <m/>
    <s v="16.18"/>
    <n v="200"/>
    <s v="NL2018"/>
    <m/>
    <n v="35"/>
    <n v="7000"/>
    <x v="18"/>
    <n v="35000000"/>
    <x v="0"/>
    <d v="2019-01-15T00:00:00"/>
    <d v="2019-02-19T00:00:00"/>
    <d v="2019-02-19T00:00:00"/>
    <s v="15/1AL"/>
    <m/>
    <m/>
    <m/>
    <d v="2019-02-19T00:00:00"/>
    <n v="7000"/>
    <m/>
    <m/>
    <m/>
    <m/>
    <m/>
    <m/>
    <n v="7000"/>
    <n v="0"/>
    <n v="0"/>
  </r>
  <r>
    <s v="8A/2019"/>
    <d v="2019-01-01T00:00:00"/>
    <s v="KIỀU THY"/>
    <s v="VT09"/>
    <x v="134"/>
    <x v="5"/>
    <s v="PROFUNDO"/>
    <m/>
    <s v="16.18"/>
    <n v="200"/>
    <s v="NL2018"/>
    <m/>
    <n v="40"/>
    <n v="8000"/>
    <x v="45"/>
    <n v="53600000"/>
    <x v="0"/>
    <d v="2019-01-15T00:00:00"/>
    <d v="2019-02-19T00:00:00"/>
    <d v="2019-02-19T00:00:00"/>
    <s v="15/1AL"/>
    <m/>
    <m/>
    <m/>
    <d v="2019-02-19T00:00:00"/>
    <n v="8000"/>
    <m/>
    <m/>
    <m/>
    <m/>
    <m/>
    <m/>
    <n v="8000"/>
    <n v="0"/>
    <n v="0"/>
  </r>
  <r>
    <s v="8A/2019"/>
    <d v="2019-01-01T00:00:00"/>
    <s v="KIỀU THY"/>
    <s v="VT09"/>
    <x v="134"/>
    <x v="31"/>
    <s v="TARRANGO"/>
    <m/>
    <s v="14.16"/>
    <n v="300"/>
    <s v="NL2018"/>
    <m/>
    <n v="20"/>
    <n v="6000"/>
    <x v="21"/>
    <n v="27600000"/>
    <x v="0"/>
    <d v="2019-01-15T00:00:00"/>
    <d v="2019-02-19T00:00:00"/>
    <d v="2019-02-19T00:00:00"/>
    <s v="15/1AL"/>
    <m/>
    <m/>
    <m/>
    <d v="2019-02-19T00:00:00"/>
    <n v="6000"/>
    <m/>
    <m/>
    <m/>
    <m/>
    <m/>
    <m/>
    <n v="6000"/>
    <n v="0"/>
    <n v="0"/>
  </r>
  <r>
    <s v="8A/2019"/>
    <d v="2019-01-01T00:00:00"/>
    <s v="KIỀU THY"/>
    <s v="VT09"/>
    <x v="134"/>
    <x v="34"/>
    <s v="TARRANGO"/>
    <m/>
    <s v="16.18"/>
    <n v="200"/>
    <s v="NL2018"/>
    <m/>
    <n v="20"/>
    <n v="4000"/>
    <x v="44"/>
    <n v="22000000"/>
    <x v="0"/>
    <d v="2019-01-15T00:00:00"/>
    <d v="2019-02-19T00:00:00"/>
    <d v="2019-02-19T00:00:00"/>
    <s v="15/1AL"/>
    <m/>
    <m/>
    <m/>
    <d v="2019-02-19T00:00:00"/>
    <n v="4000"/>
    <m/>
    <m/>
    <m/>
    <m/>
    <m/>
    <m/>
    <n v="4000"/>
    <n v="0"/>
    <n v="0"/>
  </r>
  <r>
    <s v="8A/2019"/>
    <d v="2019-01-01T00:00:00"/>
    <s v="KIỀU THY"/>
    <s v="VT09"/>
    <x v="134"/>
    <x v="11"/>
    <s v="YELLOWEEN"/>
    <m/>
    <s v="12.14"/>
    <n v="400"/>
    <s v="NL2018"/>
    <m/>
    <n v="100"/>
    <n v="40000"/>
    <x v="12"/>
    <n v="104000000"/>
    <x v="0"/>
    <d v="2019-01-15T00:00:00"/>
    <d v="2019-02-19T00:00:00"/>
    <d v="2019-02-19T00:00:00"/>
    <s v="15/1AL"/>
    <m/>
    <m/>
    <m/>
    <d v="2019-02-19T00:00:00"/>
    <n v="40000"/>
    <m/>
    <m/>
    <m/>
    <m/>
    <m/>
    <m/>
    <n v="40000"/>
    <n v="0"/>
    <n v="0"/>
  </r>
  <r>
    <s v="8A/2019"/>
    <d v="2019-02-11T00:00:00"/>
    <s v="KIỀU THY"/>
    <s v="VT09"/>
    <x v="134"/>
    <x v="20"/>
    <s v="AMATERAS"/>
    <m/>
    <s v="12.14"/>
    <n v="400"/>
    <s v="NL2018"/>
    <m/>
    <n v="20"/>
    <n v="8000"/>
    <x v="4"/>
    <n v="22400000"/>
    <x v="0"/>
    <d v="2019-02-15T00:00:00"/>
    <d v="2019-03-20T00:00:00"/>
    <d v="2019-03-20T00:00:00"/>
    <s v="15/2AL"/>
    <s v="CONT 9/2019"/>
    <d v="2019-03-17T00:00:00"/>
    <m/>
    <d v="2019-03-19T00:00:00"/>
    <n v="8000"/>
    <m/>
    <m/>
    <m/>
    <m/>
    <m/>
    <m/>
    <n v="8000"/>
    <n v="0"/>
    <n v="0"/>
  </r>
  <r>
    <s v="8A/2019"/>
    <d v="2019-02-11T00:00:00"/>
    <s v="KIỀU THY"/>
    <s v="VT09"/>
    <x v="134"/>
    <x v="3"/>
    <s v="PAVIA"/>
    <m/>
    <s v="12.14"/>
    <n v="400"/>
    <s v="NL2018"/>
    <m/>
    <n v="20"/>
    <n v="8000"/>
    <x v="4"/>
    <n v="22400000"/>
    <x v="0"/>
    <d v="2019-02-15T00:00:00"/>
    <d v="2019-03-20T00:00:00"/>
    <d v="2019-03-20T00:00:00"/>
    <s v="15/2AL"/>
    <s v="CONT 9/2019"/>
    <d v="2019-03-17T00:00:00"/>
    <m/>
    <d v="2019-03-19T00:00:00"/>
    <n v="8000"/>
    <m/>
    <m/>
    <m/>
    <m/>
    <m/>
    <m/>
    <n v="8000"/>
    <n v="0"/>
    <n v="0"/>
  </r>
  <r>
    <s v="8A/2019"/>
    <d v="2019-02-21T00:00:00"/>
    <s v="KIỀU THY"/>
    <s v="VT09"/>
    <x v="134"/>
    <x v="17"/>
    <s v="NELLO "/>
    <m/>
    <s v="12.14"/>
    <n v="400"/>
    <s v="NL2018"/>
    <m/>
    <n v="0"/>
    <n v="0"/>
    <x v="17"/>
    <n v="0"/>
    <x v="1"/>
    <d v="2019-03-13T00:00:00"/>
    <d v="2019-04-17T00:00:00"/>
    <d v="2019-04-17T00:00:00"/>
    <s v="15/3AL"/>
    <s v="CONT 20/2019"/>
    <d v="2019-04-14T00:00:00"/>
    <m/>
    <m/>
    <n v="0"/>
    <m/>
    <m/>
    <m/>
    <m/>
    <m/>
    <m/>
    <n v="0"/>
    <n v="0"/>
    <n v="0"/>
  </r>
  <r>
    <s v="8A/2019"/>
    <d v="2019-02-11T00:00:00"/>
    <s v="KIỀU THY"/>
    <s v="VT09"/>
    <x v="134"/>
    <x v="20"/>
    <s v="AMATERAS"/>
    <m/>
    <s v="12.14"/>
    <n v="400"/>
    <s v="NL2018"/>
    <m/>
    <n v="0"/>
    <n v="0"/>
    <x v="4"/>
    <n v="0"/>
    <x v="1"/>
    <d v="2019-03-15T00:00:00"/>
    <d v="2019-04-19T00:00:00"/>
    <d v="2019-04-19T00:00:00"/>
    <s v="15/3AL"/>
    <s v="CONT 20/2019"/>
    <d v="2019-04-14T00:00:00"/>
    <m/>
    <m/>
    <n v="0"/>
    <m/>
    <m/>
    <m/>
    <m/>
    <m/>
    <m/>
    <n v="0"/>
    <n v="0"/>
    <n v="0"/>
  </r>
  <r>
    <s v="8A/2019"/>
    <d v="2019-02-11T00:00:00"/>
    <s v="KIỀU THY"/>
    <s v="VT09"/>
    <x v="134"/>
    <x v="62"/>
    <s v="BACARDI"/>
    <m/>
    <s v="15.16"/>
    <n v="300"/>
    <s v="NL2018"/>
    <m/>
    <n v="0"/>
    <n v="0"/>
    <x v="65"/>
    <n v="0"/>
    <x v="1"/>
    <d v="2019-03-15T00:00:00"/>
    <d v="2019-04-19T00:00:00"/>
    <d v="2019-04-19T00:00:00"/>
    <s v="15/3AL"/>
    <s v="CONT 22/2019"/>
    <d v="2019-04-14T00:00:00"/>
    <m/>
    <m/>
    <n v="0"/>
    <m/>
    <m/>
    <m/>
    <m/>
    <m/>
    <m/>
    <n v="0"/>
    <n v="0"/>
    <n v="0"/>
  </r>
  <r>
    <s v="8A/2019"/>
    <d v="2019-02-11T00:00:00"/>
    <s v="KIỀU THY"/>
    <s v="VT09"/>
    <x v="134"/>
    <x v="32"/>
    <s v="BACARDI"/>
    <m/>
    <s v="16.18"/>
    <n v="200"/>
    <s v="NL2018"/>
    <m/>
    <n v="32"/>
    <n v="6400"/>
    <x v="42"/>
    <n v="40320000"/>
    <x v="0"/>
    <d v="2019-03-15T00:00:00"/>
    <d v="2019-04-19T00:00:00"/>
    <d v="2019-04-19T00:00:00"/>
    <m/>
    <s v="CONT 20/2019"/>
    <d v="2019-04-14T00:00:00"/>
    <m/>
    <d v="2019-04-23T00:00:00"/>
    <n v="6400"/>
    <m/>
    <m/>
    <m/>
    <m/>
    <m/>
    <m/>
    <n v="6400"/>
    <n v="0"/>
    <n v="0"/>
  </r>
  <r>
    <s v="8A/2019"/>
    <d v="2019-01-01T00:00:00"/>
    <s v="KIỀU THY"/>
    <s v="VT09"/>
    <x v="134"/>
    <x v="15"/>
    <s v="CONCADOR"/>
    <m/>
    <s v="16.18"/>
    <n v="200"/>
    <s v="NL2018"/>
    <m/>
    <n v="35"/>
    <n v="7000"/>
    <x v="18"/>
    <n v="35000000"/>
    <x v="0"/>
    <d v="2019-03-15T00:00:00"/>
    <d v="2019-04-19T00:00:00"/>
    <d v="2019-04-19T00:00:00"/>
    <s v="15/3AL"/>
    <s v="CONT 22/2019"/>
    <d v="2019-04-14T00:00:00"/>
    <m/>
    <d v="2019-04-17T00:00:00"/>
    <n v="7000"/>
    <m/>
    <m/>
    <m/>
    <m/>
    <m/>
    <m/>
    <n v="7000"/>
    <n v="0"/>
    <n v="0"/>
  </r>
  <r>
    <s v="8A/2019"/>
    <d v="2019-02-11T00:00:00"/>
    <s v="KIỀU THY"/>
    <s v="VT09"/>
    <x v="134"/>
    <x v="3"/>
    <s v="PAVIA"/>
    <m/>
    <s v="12.14"/>
    <n v="400"/>
    <s v="NL2018"/>
    <m/>
    <n v="0"/>
    <n v="0"/>
    <x v="4"/>
    <n v="0"/>
    <x v="1"/>
    <d v="2019-03-15T00:00:00"/>
    <d v="2019-04-19T00:00:00"/>
    <d v="2019-04-19T00:00:00"/>
    <s v="15/3AL"/>
    <s v="CONT 20/2019"/>
    <d v="2019-04-14T00:00:00"/>
    <m/>
    <m/>
    <n v="0"/>
    <m/>
    <m/>
    <m/>
    <m/>
    <m/>
    <m/>
    <n v="0"/>
    <n v="0"/>
    <n v="0"/>
  </r>
  <r>
    <s v="8A/2019"/>
    <d v="2019-01-01T00:00:00"/>
    <s v="KIỀU THY"/>
    <s v="VT09"/>
    <x v="134"/>
    <x v="5"/>
    <s v="PROFUNDO"/>
    <m/>
    <s v="16.18"/>
    <n v="200"/>
    <s v="NL2018"/>
    <m/>
    <n v="30"/>
    <n v="6000"/>
    <x v="45"/>
    <n v="40200000"/>
    <x v="0"/>
    <d v="2019-03-15T00:00:00"/>
    <d v="2019-04-19T00:00:00"/>
    <d v="2019-04-19T00:00:00"/>
    <s v="15/3AL"/>
    <s v="CONT 23/2019"/>
    <d v="2019-04-14T00:00:00"/>
    <m/>
    <d v="2019-04-17T00:00:00"/>
    <n v="6000"/>
    <m/>
    <m/>
    <m/>
    <m/>
    <m/>
    <m/>
    <n v="6000"/>
    <n v="0"/>
    <n v="0"/>
  </r>
  <r>
    <s v="8A/2019"/>
    <d v="2019-01-01T00:00:00"/>
    <s v="KIỀU THY"/>
    <s v="VT09"/>
    <x v="134"/>
    <x v="31"/>
    <s v="TARRANGO"/>
    <m/>
    <s v="14.16"/>
    <n v="300"/>
    <s v="NL2018"/>
    <m/>
    <n v="20"/>
    <n v="6000"/>
    <x v="21"/>
    <n v="27600000"/>
    <x v="0"/>
    <d v="2019-03-15T00:00:00"/>
    <d v="2019-04-19T00:00:00"/>
    <d v="2019-04-19T00:00:00"/>
    <s v="15/3AL"/>
    <s v="CONT 24/2019"/>
    <d v="2019-04-14T00:00:00"/>
    <m/>
    <d v="2019-04-17T00:00:00"/>
    <n v="6000"/>
    <m/>
    <m/>
    <m/>
    <m/>
    <m/>
    <m/>
    <n v="6000"/>
    <n v="0"/>
    <n v="0"/>
  </r>
  <r>
    <s v="8A/2019"/>
    <d v="2019-01-01T00:00:00"/>
    <s v="KIỀU THY"/>
    <s v="VT09"/>
    <x v="134"/>
    <x v="34"/>
    <s v="TARRANGO"/>
    <m/>
    <s v="16.18"/>
    <n v="200"/>
    <s v="NL2018"/>
    <m/>
    <n v="20"/>
    <n v="4000"/>
    <x v="44"/>
    <n v="22000000"/>
    <x v="0"/>
    <d v="2019-03-15T00:00:00"/>
    <d v="2019-04-19T00:00:00"/>
    <d v="2019-04-19T00:00:00"/>
    <s v="15/3AL"/>
    <s v="CONT 26/2019"/>
    <d v="2019-04-14T00:00:00"/>
    <m/>
    <d v="2019-04-17T00:00:00"/>
    <n v="4000"/>
    <m/>
    <m/>
    <m/>
    <m/>
    <m/>
    <m/>
    <n v="4000"/>
    <n v="0"/>
    <n v="0"/>
  </r>
  <r>
    <s v="8A/2019"/>
    <d v="2019-01-01T00:00:00"/>
    <s v="KIỀU THY"/>
    <s v="VT09"/>
    <x v="134"/>
    <x v="11"/>
    <s v="YELLOWEEN"/>
    <m/>
    <s v="12.14"/>
    <n v="400"/>
    <s v="NL2018"/>
    <m/>
    <n v="40"/>
    <n v="16000"/>
    <x v="12"/>
    <n v="41600000"/>
    <x v="0"/>
    <d v="2019-03-15T00:00:00"/>
    <d v="2019-04-19T00:00:00"/>
    <d v="2019-04-19T00:00:00"/>
    <s v="15/3AL"/>
    <s v="CONT 24/2019"/>
    <d v="2019-04-14T00:00:00"/>
    <m/>
    <d v="2019-04-17T00:00:00"/>
    <n v="16000"/>
    <m/>
    <m/>
    <m/>
    <m/>
    <m/>
    <m/>
    <n v="16000"/>
    <n v="0"/>
    <n v="0"/>
  </r>
  <r>
    <s v="8A/2019"/>
    <d v="2019-01-01T00:00:00"/>
    <s v="KIỀU THY"/>
    <s v="VT09"/>
    <x v="134"/>
    <x v="30"/>
    <s v="MALDANO"/>
    <m/>
    <s v="16.18"/>
    <n v="200"/>
    <s v="NL2018"/>
    <m/>
    <n v="20"/>
    <n v="4000"/>
    <x v="82"/>
    <n v="20800000"/>
    <x v="0"/>
    <d v="2019-04-17T00:00:00"/>
    <d v="2019-05-21T00:00:00"/>
    <d v="2019-05-21T00:00:00"/>
    <s v="10/4AL"/>
    <m/>
    <m/>
    <m/>
    <d v="2019-05-19T00:00:00"/>
    <n v="4000"/>
    <m/>
    <m/>
    <m/>
    <m/>
    <m/>
    <m/>
    <n v="4000"/>
    <n v="0"/>
    <n v="0"/>
  </r>
  <r>
    <s v="8A/2019"/>
    <d v="2019-01-01T00:00:00"/>
    <s v="KIỀU THY"/>
    <s v="VT09"/>
    <x v="134"/>
    <x v="15"/>
    <s v="CONCADOR"/>
    <m/>
    <s v="16.18"/>
    <n v="200"/>
    <s v="NL2018"/>
    <m/>
    <n v="25"/>
    <n v="5000"/>
    <x v="46"/>
    <n v="30000000"/>
    <x v="0"/>
    <d v="2019-04-17T00:00:00"/>
    <d v="2019-05-21T00:00:00"/>
    <d v="2019-05-21T00:00:00"/>
    <s v="10/4AL"/>
    <m/>
    <m/>
    <m/>
    <d v="2019-05-19T00:00:00"/>
    <n v="5000"/>
    <m/>
    <m/>
    <m/>
    <m/>
    <m/>
    <m/>
    <n v="5000"/>
    <n v="0"/>
    <n v="0"/>
  </r>
  <r>
    <s v="8A/2019"/>
    <d v="2019-01-01T00:00:00"/>
    <s v="KIỀU THY"/>
    <s v="VT09"/>
    <x v="134"/>
    <x v="31"/>
    <s v="TARRANGO"/>
    <m/>
    <s v="14.16"/>
    <n v="300"/>
    <s v="NL2018"/>
    <m/>
    <n v="20"/>
    <n v="6000"/>
    <x v="186"/>
    <n v="27900000"/>
    <x v="0"/>
    <d v="2019-04-17T00:00:00"/>
    <d v="2019-05-21T00:00:00"/>
    <d v="2019-05-21T00:00:00"/>
    <s v="10/4AL"/>
    <m/>
    <m/>
    <m/>
    <d v="2019-05-19T00:00:00"/>
    <n v="6000"/>
    <m/>
    <m/>
    <m/>
    <m/>
    <m/>
    <m/>
    <n v="6000"/>
    <n v="0"/>
    <n v="0"/>
  </r>
  <r>
    <s v="8A/2019"/>
    <d v="2019-01-01T00:00:00"/>
    <s v="KIỀU THY"/>
    <s v="VT09"/>
    <x v="134"/>
    <x v="72"/>
    <s v="YELLOWEEN"/>
    <s v="DN"/>
    <s v="16.18"/>
    <n v="200"/>
    <s v="NL2018"/>
    <m/>
    <n v="75"/>
    <n v="15000"/>
    <x v="44"/>
    <n v="82500000"/>
    <x v="0"/>
    <d v="2019-04-17T00:00:00"/>
    <d v="2019-05-21T00:00:00"/>
    <d v="2019-05-21T00:00:00"/>
    <s v="10/4AL"/>
    <m/>
    <m/>
    <m/>
    <d v="2019-05-19T00:00:00"/>
    <n v="15000"/>
    <m/>
    <m/>
    <m/>
    <m/>
    <m/>
    <m/>
    <n v="15000"/>
    <n v="0"/>
    <n v="0"/>
  </r>
  <r>
    <s v="8A/2019"/>
    <d v="2019-01-01T00:00:00"/>
    <s v="KIỀU THY"/>
    <s v="VT09"/>
    <x v="134"/>
    <x v="5"/>
    <s v="PROFUNDO"/>
    <m/>
    <s v="16.18"/>
    <n v="200"/>
    <s v="NL2018"/>
    <m/>
    <n v="25"/>
    <n v="5000"/>
    <x v="32"/>
    <n v="34000000"/>
    <x v="0"/>
    <d v="2019-04-17T00:00:00"/>
    <d v="2019-05-21T00:00:00"/>
    <d v="2019-05-21T00:00:00"/>
    <s v="10/4AL"/>
    <m/>
    <m/>
    <m/>
    <d v="2019-05-19T00:00:00"/>
    <n v="5000"/>
    <m/>
    <m/>
    <m/>
    <m/>
    <m/>
    <m/>
    <n v="5000"/>
    <n v="0"/>
    <n v="0"/>
  </r>
  <r>
    <s v="8A/2019"/>
    <d v="2019-06-13T00:00:00"/>
    <s v="KIỀU THY"/>
    <s v="VT09"/>
    <x v="134"/>
    <x v="31"/>
    <s v="TARRANGO"/>
    <m/>
    <s v="14.16"/>
    <n v="300"/>
    <s v="NL2018"/>
    <m/>
    <n v="20"/>
    <n v="6000"/>
    <x v="18"/>
    <n v="30000000"/>
    <x v="3"/>
    <d v="2019-06-15T00:00:00"/>
    <d v="2019-07-17T00:00:00"/>
    <d v="2019-07-17T00:00:00"/>
    <s v="20/6AL"/>
    <m/>
    <m/>
    <m/>
    <m/>
    <m/>
    <m/>
    <m/>
    <m/>
    <m/>
    <m/>
    <m/>
    <n v="0"/>
    <n v="6000"/>
    <n v="30000000"/>
  </r>
  <r>
    <s v="8A/2019"/>
    <d v="2019-06-13T00:00:00"/>
    <s v="KIỀU THY"/>
    <s v="VT09"/>
    <x v="134"/>
    <x v="28"/>
    <s v="YELLOWEEN"/>
    <m/>
    <s v="14.16"/>
    <n v="300"/>
    <s v="NL2018"/>
    <m/>
    <n v="30"/>
    <n v="9000"/>
    <x v="57"/>
    <n v="36000000"/>
    <x v="3"/>
    <d v="2019-06-15T00:00:00"/>
    <d v="2019-07-17T00:00:00"/>
    <d v="2019-07-17T00:00:00"/>
    <s v="20/6AL"/>
    <m/>
    <m/>
    <m/>
    <m/>
    <m/>
    <m/>
    <m/>
    <m/>
    <m/>
    <m/>
    <m/>
    <n v="0"/>
    <n v="9000"/>
    <n v="36000000"/>
  </r>
  <r>
    <s v="8A/2019"/>
    <d v="2019-06-13T00:00:00"/>
    <s v="KIỀU THY"/>
    <s v="VT09"/>
    <x v="134"/>
    <x v="72"/>
    <s v="YELLOWEEN"/>
    <s v="DN"/>
    <s v="16.18"/>
    <n v="200"/>
    <s v="NL2018"/>
    <m/>
    <n v="30"/>
    <n v="6000"/>
    <x v="46"/>
    <n v="36000000"/>
    <x v="3"/>
    <d v="2019-06-15T00:00:00"/>
    <d v="2019-07-17T00:00:00"/>
    <d v="2019-07-17T00:00:00"/>
    <s v="20/6AL"/>
    <m/>
    <m/>
    <m/>
    <m/>
    <m/>
    <m/>
    <m/>
    <m/>
    <m/>
    <m/>
    <m/>
    <n v="0"/>
    <n v="6000"/>
    <n v="36000000"/>
  </r>
  <r>
    <s v="8A/2019"/>
    <d v="2019-06-13T00:00:00"/>
    <s v="KIỀU THY"/>
    <s v="VT09"/>
    <x v="134"/>
    <x v="29"/>
    <s v="MANISSA"/>
    <m/>
    <s v="16.18"/>
    <n v="200"/>
    <s v="NL2018"/>
    <m/>
    <n v="30"/>
    <n v="6000"/>
    <x v="34"/>
    <n v="42600000"/>
    <x v="3"/>
    <d v="2019-06-15T00:00:00"/>
    <d v="2019-07-17T00:00:00"/>
    <d v="2019-07-17T00:00:00"/>
    <s v="20/6AL"/>
    <m/>
    <m/>
    <m/>
    <m/>
    <m/>
    <m/>
    <m/>
    <m/>
    <m/>
    <m/>
    <m/>
    <n v="0"/>
    <n v="6000"/>
    <n v="42600000"/>
  </r>
  <r>
    <s v="8A/2019"/>
    <d v="2019-06-13T00:00:00"/>
    <s v="KIỀU THY"/>
    <s v="VT09"/>
    <x v="134"/>
    <x v="54"/>
    <s v="MALDANO"/>
    <m/>
    <s v="14.16"/>
    <n v="300"/>
    <s v="NL2018"/>
    <m/>
    <n v="20"/>
    <n v="6000"/>
    <x v="13"/>
    <n v="27000000"/>
    <x v="3"/>
    <d v="2019-06-15T00:00:00"/>
    <d v="2019-07-17T00:00:00"/>
    <d v="2019-07-17T00:00:00"/>
    <s v="20/6AL"/>
    <m/>
    <m/>
    <m/>
    <m/>
    <m/>
    <m/>
    <m/>
    <m/>
    <m/>
    <m/>
    <m/>
    <n v="0"/>
    <n v="6000"/>
    <n v="27000000"/>
  </r>
  <r>
    <s v="8A/2019"/>
    <d v="2019-06-13T00:00:00"/>
    <s v="KIỀU THY"/>
    <s v="VT09"/>
    <x v="134"/>
    <x v="57"/>
    <s v="DALIAN"/>
    <m/>
    <s v="14.16"/>
    <n v="300"/>
    <s v="NL2018"/>
    <m/>
    <n v="20"/>
    <n v="6000"/>
    <x v="48"/>
    <n v="33600000"/>
    <x v="3"/>
    <d v="2019-06-15T00:00:00"/>
    <d v="2019-07-17T00:00:00"/>
    <d v="2019-07-17T00:00:00"/>
    <s v="20/6AL"/>
    <m/>
    <m/>
    <m/>
    <m/>
    <m/>
    <m/>
    <m/>
    <m/>
    <m/>
    <m/>
    <m/>
    <n v="0"/>
    <n v="6000"/>
    <n v="33600000"/>
  </r>
  <r>
    <s v="8A/2019"/>
    <d v="2019-06-13T00:00:00"/>
    <s v="KIỀU THY"/>
    <s v="VT09"/>
    <x v="134"/>
    <x v="3"/>
    <s v="PAVIA"/>
    <m/>
    <s v="12.14"/>
    <n v="400"/>
    <s v="NL2018"/>
    <m/>
    <n v="10"/>
    <n v="4000"/>
    <x v="17"/>
    <n v="12000000"/>
    <x v="3"/>
    <d v="2019-06-15T00:00:00"/>
    <d v="2019-07-17T00:00:00"/>
    <d v="2019-07-17T00:00:00"/>
    <s v="20/6AL"/>
    <m/>
    <m/>
    <m/>
    <m/>
    <m/>
    <m/>
    <m/>
    <m/>
    <m/>
    <m/>
    <m/>
    <n v="0"/>
    <n v="4000"/>
    <n v="12000000"/>
  </r>
  <r>
    <s v="8A/2019"/>
    <d v="2019-06-13T00:00:00"/>
    <s v="KIỀU THY"/>
    <s v="VT09"/>
    <x v="134"/>
    <x v="72"/>
    <s v="YELLOWEEN"/>
    <s v="DN"/>
    <s v="16.18"/>
    <n v="200"/>
    <s v="NL2018"/>
    <m/>
    <n v="30"/>
    <n v="6000"/>
    <x v="187"/>
    <n v="36540000"/>
    <x v="2"/>
    <d v="2019-07-01T00:00:00"/>
    <d v="2019-08-01T00:00:00"/>
    <d v="2019-08-01T00:00:00"/>
    <m/>
    <m/>
    <m/>
    <m/>
    <m/>
    <m/>
    <m/>
    <m/>
    <m/>
    <m/>
    <m/>
    <m/>
    <n v="0"/>
    <n v="6000"/>
    <n v="36540000"/>
  </r>
  <r>
    <s v="8A/2019"/>
    <d v="2019-06-13T00:00:00"/>
    <s v="KIỀU THY"/>
    <s v="VT09"/>
    <x v="134"/>
    <x v="28"/>
    <s v="YELLOWEEN"/>
    <m/>
    <s v="14.16"/>
    <n v="300"/>
    <s v="NL2018"/>
    <m/>
    <n v="30"/>
    <n v="9000"/>
    <x v="57"/>
    <n v="36000000"/>
    <x v="2"/>
    <d v="2019-07-01T00:00:00"/>
    <d v="2019-08-01T00:00:00"/>
    <d v="2019-08-01T00:00:00"/>
    <m/>
    <m/>
    <m/>
    <m/>
    <m/>
    <m/>
    <m/>
    <m/>
    <m/>
    <m/>
    <m/>
    <m/>
    <n v="0"/>
    <n v="9000"/>
    <n v="36000000"/>
  </r>
  <r>
    <s v="8A/2019"/>
    <d v="2019-06-13T00:00:00"/>
    <s v="KIỀU THY"/>
    <s v="VT09"/>
    <x v="134"/>
    <x v="31"/>
    <s v="TARRANGO"/>
    <m/>
    <s v="14.16"/>
    <n v="300"/>
    <s v="NL2018"/>
    <m/>
    <n v="30"/>
    <n v="9000"/>
    <x v="18"/>
    <n v="45000000"/>
    <x v="2"/>
    <d v="2019-07-01T00:00:00"/>
    <d v="2019-08-01T00:00:00"/>
    <d v="2019-08-01T00:00:00"/>
    <m/>
    <m/>
    <m/>
    <m/>
    <m/>
    <m/>
    <m/>
    <m/>
    <m/>
    <m/>
    <m/>
    <m/>
    <n v="0"/>
    <n v="9000"/>
    <n v="45000000"/>
  </r>
  <r>
    <s v="8A/2019"/>
    <d v="2019-06-13T00:00:00"/>
    <s v="KIỀU THY"/>
    <s v="VT09"/>
    <x v="134"/>
    <x v="29"/>
    <s v="MANISSA"/>
    <m/>
    <s v="16.18"/>
    <n v="200"/>
    <s v="NL2018"/>
    <m/>
    <n v="40"/>
    <n v="8000"/>
    <x v="35"/>
    <n v="57600000"/>
    <x v="2"/>
    <d v="2019-07-01T00:00:00"/>
    <d v="2019-08-01T00:00:00"/>
    <d v="2019-08-01T00:00:00"/>
    <m/>
    <m/>
    <m/>
    <m/>
    <m/>
    <m/>
    <m/>
    <m/>
    <m/>
    <m/>
    <m/>
    <m/>
    <n v="0"/>
    <n v="8000"/>
    <n v="57600000"/>
  </r>
  <r>
    <s v="8A/2019"/>
    <d v="2019-06-13T00:00:00"/>
    <s v="KIỀU THY"/>
    <s v="VT09"/>
    <x v="134"/>
    <x v="5"/>
    <s v="PROFUNDO"/>
    <m/>
    <s v="16.18"/>
    <n v="200"/>
    <s v="NL2018"/>
    <m/>
    <n v="40"/>
    <n v="8000"/>
    <x v="118"/>
    <n v="64800000"/>
    <x v="2"/>
    <d v="2019-07-01T00:00:00"/>
    <d v="2019-08-01T00:00:00"/>
    <d v="2019-08-01T00:00:00"/>
    <m/>
    <m/>
    <m/>
    <m/>
    <m/>
    <m/>
    <m/>
    <m/>
    <m/>
    <m/>
    <m/>
    <m/>
    <n v="0"/>
    <n v="8000"/>
    <n v="64800000"/>
  </r>
  <r>
    <s v="72A/2019"/>
    <d v="2019-02-23T00:00:00"/>
    <s v="KIỀU THY"/>
    <s v="VT10"/>
    <x v="135"/>
    <x v="3"/>
    <s v="PAVIA"/>
    <m/>
    <s v="12.14"/>
    <n v="400"/>
    <s v="NL2018"/>
    <m/>
    <n v="14"/>
    <n v="5600"/>
    <x v="4"/>
    <n v="15680000"/>
    <x v="0"/>
    <d v="2019-02-15T00:00:00"/>
    <d v="2019-03-20T00:00:00"/>
    <d v="2019-03-20T00:00:00"/>
    <s v="15/2AL"/>
    <s v="CONT 9/2019"/>
    <d v="2019-03-17T00:00:00"/>
    <m/>
    <d v="2019-03-19T00:00:00"/>
    <n v="5600"/>
    <m/>
    <m/>
    <m/>
    <m/>
    <m/>
    <m/>
    <n v="5600"/>
    <n v="0"/>
    <n v="0"/>
  </r>
  <r>
    <s v="72A/2019"/>
    <d v="2019-02-23T00:00:00"/>
    <s v="KIỀU THY"/>
    <s v="VT10"/>
    <x v="135"/>
    <x v="35"/>
    <s v="BACARDI"/>
    <m/>
    <s v="20.22"/>
    <n v="125"/>
    <s v="NL2018"/>
    <m/>
    <n v="40"/>
    <n v="5000"/>
    <x v="8"/>
    <n v="54000000"/>
    <x v="2"/>
    <d v="2019-09-01T00:00:00"/>
    <d v="2019-09-29T00:00:00"/>
    <d v="2019-09-29T00:00:00"/>
    <s v="TẾT"/>
    <m/>
    <m/>
    <m/>
    <m/>
    <n v="0"/>
    <m/>
    <m/>
    <m/>
    <m/>
    <m/>
    <m/>
    <n v="0"/>
    <n v="5000"/>
    <n v="54000000"/>
  </r>
  <r>
    <s v="72A/2019"/>
    <d v="2019-02-23T00:00:00"/>
    <s v="KIỀU THY"/>
    <s v="VT10"/>
    <x v="135"/>
    <x v="9"/>
    <s v="MANISSA"/>
    <m/>
    <s v="22.24"/>
    <n v="100"/>
    <s v="NL2018"/>
    <m/>
    <n v="50"/>
    <n v="5000"/>
    <x v="38"/>
    <n v="76000000"/>
    <x v="2"/>
    <d v="2019-09-01T00:00:00"/>
    <d v="2019-09-29T00:00:00"/>
    <d v="2019-09-29T00:00:00"/>
    <s v="TẾT"/>
    <m/>
    <m/>
    <m/>
    <m/>
    <n v="0"/>
    <m/>
    <m/>
    <m/>
    <m/>
    <m/>
    <m/>
    <n v="0"/>
    <n v="5000"/>
    <n v="76000000"/>
  </r>
  <r>
    <s v="72A/2019"/>
    <d v="2019-02-23T00:00:00"/>
    <s v="KIỀU THY"/>
    <s v="VT10"/>
    <x v="135"/>
    <x v="37"/>
    <s v="PROFUNDO"/>
    <m/>
    <s v="20.22"/>
    <n v="125"/>
    <s v="NL2018"/>
    <m/>
    <n v="40"/>
    <n v="5000"/>
    <x v="40"/>
    <n v="65000000"/>
    <x v="2"/>
    <d v="2019-09-01T00:00:00"/>
    <d v="2019-09-29T00:00:00"/>
    <d v="2019-09-29T00:00:00"/>
    <s v="TẾT"/>
    <m/>
    <m/>
    <m/>
    <m/>
    <n v="0"/>
    <m/>
    <m/>
    <m/>
    <m/>
    <m/>
    <m/>
    <n v="0"/>
    <n v="5000"/>
    <n v="65000000"/>
  </r>
  <r>
    <s v="72A/2019"/>
    <d v="2019-02-23T00:00:00"/>
    <s v="KIỀU THY"/>
    <s v="VT10"/>
    <x v="135"/>
    <x v="111"/>
    <s v="SERANO"/>
    <m/>
    <s v="20.22"/>
    <n v="125"/>
    <s v="NL2018"/>
    <m/>
    <n v="40"/>
    <n v="5000"/>
    <x v="115"/>
    <n v="46500000"/>
    <x v="2"/>
    <d v="2019-09-01T00:00:00"/>
    <d v="2019-09-29T00:00:00"/>
    <d v="2019-09-29T00:00:00"/>
    <s v="TẾT"/>
    <m/>
    <m/>
    <m/>
    <m/>
    <n v="0"/>
    <m/>
    <m/>
    <m/>
    <m/>
    <m/>
    <m/>
    <n v="0"/>
    <n v="5000"/>
    <n v="46500000"/>
  </r>
  <r>
    <s v="72A/2019"/>
    <d v="2019-02-23T00:00:00"/>
    <s v="KIỀU THY"/>
    <s v="VT10"/>
    <x v="135"/>
    <x v="14"/>
    <s v="TARRANGO"/>
    <m/>
    <s v="20.22"/>
    <n v="125"/>
    <s v="NL2018"/>
    <m/>
    <n v="40"/>
    <n v="5000"/>
    <x v="39"/>
    <n v="50500000"/>
    <x v="2"/>
    <d v="2019-09-01T00:00:00"/>
    <d v="2019-09-29T00:00:00"/>
    <d v="2019-09-29T00:00:00"/>
    <s v="TẾT"/>
    <m/>
    <m/>
    <m/>
    <m/>
    <n v="0"/>
    <m/>
    <m/>
    <m/>
    <m/>
    <m/>
    <m/>
    <n v="0"/>
    <n v="5000"/>
    <n v="50500000"/>
  </r>
  <r>
    <s v="72A/2019"/>
    <d v="2019-02-23T00:00:00"/>
    <s v="KIỀU THY"/>
    <s v="VT10"/>
    <x v="135"/>
    <x v="78"/>
    <s v="NATALIA"/>
    <s v="RL"/>
    <s v="12.14"/>
    <n v="400"/>
    <s v="NL2018"/>
    <m/>
    <n v="1"/>
    <n v="400"/>
    <x v="27"/>
    <n v="3200000"/>
    <x v="0"/>
    <s v="30-Feb-19"/>
    <d v="2019-04-04T00:00:00"/>
    <d v="2019-04-04T00:00:00"/>
    <s v="30/2AL"/>
    <s v="CONT 17/2019"/>
    <d v="2019-03-31T00:00:00"/>
    <m/>
    <d v="2019-04-03T00:00:00"/>
    <n v="400"/>
    <m/>
    <m/>
    <m/>
    <m/>
    <m/>
    <m/>
    <n v="400"/>
    <n v="0"/>
    <n v="0"/>
  </r>
  <r>
    <s v="56A/2019"/>
    <d v="2019-02-16T00:00:00"/>
    <s v="KIỀU THY"/>
    <s v="VK03"/>
    <x v="136"/>
    <x v="6"/>
    <s v="CONCADOR"/>
    <m/>
    <s v="20.22"/>
    <n v="125"/>
    <s v="NL2018"/>
    <m/>
    <n v="24"/>
    <n v="3000"/>
    <x v="59"/>
    <n v="31500000"/>
    <x v="2"/>
    <d v="2019-09-01T00:00:00"/>
    <d v="2019-09-29T00:00:00"/>
    <d v="2019-09-29T00:00:00"/>
    <s v="TẾT"/>
    <m/>
    <m/>
    <s v="CUỐI T1, NHẮC KHÁCH"/>
    <m/>
    <n v="0"/>
    <m/>
    <m/>
    <m/>
    <m/>
    <m/>
    <m/>
    <n v="0"/>
    <n v="3000"/>
    <n v="31500000"/>
  </r>
  <r>
    <s v="56A/2019"/>
    <d v="2019-02-16T00:00:00"/>
    <s v="KIỀU THY"/>
    <s v="VK03"/>
    <x v="136"/>
    <x v="37"/>
    <s v="PROFUNDO"/>
    <m/>
    <s v="20.22"/>
    <n v="125"/>
    <s v="NL2018"/>
    <m/>
    <n v="80"/>
    <n v="10000"/>
    <x v="40"/>
    <n v="130000000"/>
    <x v="2"/>
    <d v="2019-09-01T00:00:00"/>
    <d v="2019-09-29T00:00:00"/>
    <d v="2019-09-29T00:00:00"/>
    <s v="TẾT"/>
    <m/>
    <m/>
    <s v="CUỐI T1, NHẮC KHÁCH"/>
    <m/>
    <n v="0"/>
    <m/>
    <m/>
    <m/>
    <m/>
    <m/>
    <m/>
    <n v="0"/>
    <n v="10000"/>
    <n v="130000000"/>
  </r>
  <r>
    <s v="56A/2019"/>
    <d v="2019-02-16T00:00:00"/>
    <s v="KIỀU THY"/>
    <s v="VK03"/>
    <x v="136"/>
    <x v="16"/>
    <s v="ROBINA"/>
    <m/>
    <n v="20.22"/>
    <n v="125"/>
    <s v="NL2018"/>
    <m/>
    <n v="40"/>
    <n v="5000"/>
    <x v="59"/>
    <n v="52500000"/>
    <x v="2"/>
    <d v="2019-09-01T00:00:00"/>
    <d v="2019-09-29T00:00:00"/>
    <d v="2019-09-29T00:00:00"/>
    <s v="TẾT"/>
    <m/>
    <m/>
    <m/>
    <m/>
    <n v="0"/>
    <m/>
    <m/>
    <m/>
    <m/>
    <m/>
    <m/>
    <n v="0"/>
    <n v="5000"/>
    <n v="52500000"/>
  </r>
  <r>
    <s v="56A/2019"/>
    <d v="2019-02-16T00:00:00"/>
    <s v="KIỀU THY"/>
    <s v="VK03"/>
    <x v="136"/>
    <x v="111"/>
    <s v="SERANO"/>
    <m/>
    <s v="20.22"/>
    <n v="125"/>
    <s v="NL2018"/>
    <m/>
    <n v="80"/>
    <n v="10000"/>
    <x v="115"/>
    <n v="93000000"/>
    <x v="2"/>
    <d v="2019-09-01T00:00:00"/>
    <d v="2019-09-29T00:00:00"/>
    <d v="2019-09-29T00:00:00"/>
    <s v="TẾT"/>
    <m/>
    <m/>
    <s v="CUỐI T1, NHẮC KHÁCH"/>
    <m/>
    <n v="0"/>
    <m/>
    <m/>
    <m/>
    <m/>
    <m/>
    <m/>
    <n v="0"/>
    <n v="10000"/>
    <n v="93000000"/>
  </r>
  <r>
    <s v="56A/2019"/>
    <d v="2019-04-25T00:00:00"/>
    <s v="KIỀU THY"/>
    <s v="VK03"/>
    <x v="136"/>
    <x v="14"/>
    <s v="TARRANGO"/>
    <m/>
    <s v="20.22"/>
    <n v="125"/>
    <s v="NL2018"/>
    <m/>
    <n v="16"/>
    <n v="2000"/>
    <x v="36"/>
    <n v="22000000"/>
    <x v="2"/>
    <d v="2019-09-01T00:00:00"/>
    <d v="2019-09-29T00:00:00"/>
    <d v="2019-09-29T00:00:00"/>
    <m/>
    <m/>
    <m/>
    <m/>
    <m/>
    <m/>
    <m/>
    <m/>
    <m/>
    <m/>
    <m/>
    <m/>
    <n v="0"/>
    <n v="2000"/>
    <n v="22000000"/>
  </r>
  <r>
    <s v="57A/2019"/>
    <d v="2019-02-20T00:00:00"/>
    <s v="KIỀU THY"/>
    <s v="VC02"/>
    <x v="137"/>
    <x v="36"/>
    <s v="MANISSA"/>
    <m/>
    <s v="20.22"/>
    <n v="125"/>
    <s v="NL2018"/>
    <m/>
    <n v="80"/>
    <n v="10000"/>
    <x v="37"/>
    <n v="135000000"/>
    <x v="2"/>
    <d v="2019-09-01T00:00:00"/>
    <d v="2019-09-29T00:00:00"/>
    <d v="2019-09-29T00:00:00"/>
    <s v="TẾT"/>
    <m/>
    <m/>
    <s v="R"/>
    <m/>
    <n v="0"/>
    <m/>
    <m/>
    <m/>
    <m/>
    <m/>
    <m/>
    <n v="0"/>
    <n v="10000"/>
    <n v="135000000"/>
  </r>
  <r>
    <s v="57A/2019"/>
    <d v="2019-02-20T00:00:00"/>
    <s v="KIỀU THY"/>
    <s v="VC02"/>
    <x v="137"/>
    <x v="37"/>
    <s v="PROFUNDO"/>
    <m/>
    <s v="20.22"/>
    <n v="125"/>
    <s v="NL2018"/>
    <m/>
    <n v="80"/>
    <n v="10000"/>
    <x v="40"/>
    <n v="130000000"/>
    <x v="2"/>
    <d v="2019-09-01T00:00:00"/>
    <d v="2019-09-29T00:00:00"/>
    <d v="2019-09-29T00:00:00"/>
    <s v="TẾT"/>
    <m/>
    <m/>
    <s v="R"/>
    <m/>
    <n v="0"/>
    <m/>
    <m/>
    <m/>
    <m/>
    <m/>
    <m/>
    <n v="0"/>
    <n v="10000"/>
    <n v="130000000"/>
  </r>
  <r>
    <s v="57A/2019"/>
    <d v="2019-02-20T00:00:00"/>
    <s v="KIỀU THY"/>
    <s v="VC02"/>
    <x v="137"/>
    <x v="111"/>
    <s v="SERANO"/>
    <m/>
    <s v="20.22"/>
    <n v="125"/>
    <s v="NL2018"/>
    <m/>
    <n v="40"/>
    <n v="5000"/>
    <x v="115"/>
    <n v="46500000"/>
    <x v="2"/>
    <d v="2019-09-01T00:00:00"/>
    <d v="2019-09-29T00:00:00"/>
    <d v="2019-09-29T00:00:00"/>
    <s v="TẾT"/>
    <m/>
    <m/>
    <s v="R"/>
    <m/>
    <n v="0"/>
    <m/>
    <m/>
    <m/>
    <m/>
    <m/>
    <m/>
    <n v="0"/>
    <n v="5000"/>
    <n v="46500000"/>
  </r>
  <r>
    <s v="57A/2019"/>
    <d v="2019-02-20T00:00:00"/>
    <s v="KIỀU THY"/>
    <s v="VC02"/>
    <x v="137"/>
    <x v="14"/>
    <s v="TARRANGO"/>
    <m/>
    <s v="20.22"/>
    <n v="125"/>
    <s v="NL2018"/>
    <m/>
    <n v="40"/>
    <n v="5000"/>
    <x v="39"/>
    <n v="50500000"/>
    <x v="2"/>
    <d v="2019-09-01T00:00:00"/>
    <d v="2019-09-29T00:00:00"/>
    <d v="2019-09-29T00:00:00"/>
    <s v="TẾT"/>
    <m/>
    <m/>
    <s v="R"/>
    <m/>
    <n v="0"/>
    <m/>
    <m/>
    <m/>
    <m/>
    <m/>
    <m/>
    <n v="0"/>
    <n v="5000"/>
    <n v="50500000"/>
  </r>
  <r>
    <s v="15B/2019"/>
    <d v="2019-01-05T00:00:00"/>
    <s v="THANH THÚY"/>
    <s v="NT02"/>
    <x v="138"/>
    <x v="38"/>
    <s v="YELLOWEEN"/>
    <m/>
    <s v="16.18"/>
    <n v="200"/>
    <s v="NL2018"/>
    <m/>
    <n v="40"/>
    <n v="8000"/>
    <x v="18"/>
    <n v="40000000"/>
    <x v="0"/>
    <d v="2019-01-09T00:00:00"/>
    <d v="2019-02-13T00:00:00"/>
    <d v="2019-02-13T00:00:00"/>
    <s v="09/1AL"/>
    <m/>
    <m/>
    <m/>
    <d v="2019-02-20T00:00:00"/>
    <n v="8000"/>
    <m/>
    <m/>
    <m/>
    <m/>
    <m/>
    <m/>
    <n v="8000"/>
    <n v="0"/>
    <n v="0"/>
  </r>
  <r>
    <s v="15B/2019"/>
    <d v="2019-01-05T00:00:00"/>
    <s v="THANH THÚY"/>
    <s v="NT02"/>
    <x v="138"/>
    <x v="38"/>
    <s v="YELLOWEEN"/>
    <m/>
    <s v="16.18"/>
    <n v="200"/>
    <s v="NL2018"/>
    <m/>
    <n v="25"/>
    <n v="5000"/>
    <x v="18"/>
    <n v="25000000"/>
    <x v="0"/>
    <d v="2019-01-09T00:00:00"/>
    <d v="2019-02-13T00:00:00"/>
    <d v="2019-02-13T00:00:00"/>
    <s v="09/1AL"/>
    <m/>
    <m/>
    <m/>
    <d v="2019-03-06T00:00:00"/>
    <n v="5000"/>
    <m/>
    <m/>
    <m/>
    <m/>
    <m/>
    <m/>
    <n v="5000"/>
    <n v="0"/>
    <n v="0"/>
  </r>
  <r>
    <s v="15B/2019"/>
    <d v="2019-01-05T00:00:00"/>
    <s v="THANH THÚY"/>
    <s v="NT02"/>
    <x v="138"/>
    <x v="79"/>
    <s v="YELLOWEEN"/>
    <m/>
    <s v="16.18"/>
    <n v="200"/>
    <s v="NL2017"/>
    <m/>
    <n v="15"/>
    <n v="3000"/>
    <x v="6"/>
    <n v="11400000"/>
    <x v="0"/>
    <d v="2019-01-11T00:00:00"/>
    <d v="2019-02-15T00:00:00"/>
    <d v="2019-02-15T00:00:00"/>
    <s v="11/1AL"/>
    <m/>
    <m/>
    <m/>
    <d v="2019-03-06T00:00:00"/>
    <n v="3000"/>
    <m/>
    <m/>
    <m/>
    <m/>
    <m/>
    <m/>
    <n v="3000"/>
    <n v="0"/>
    <n v="0"/>
  </r>
  <r>
    <s v="15B/2019"/>
    <d v="2019-01-05T00:00:00"/>
    <s v="THANH THÚY"/>
    <s v="NT02"/>
    <x v="138"/>
    <x v="34"/>
    <s v="TARRANGO"/>
    <m/>
    <s v="16.18"/>
    <n v="200"/>
    <s v="NL2018"/>
    <m/>
    <n v="50"/>
    <n v="10000"/>
    <x v="44"/>
    <n v="55000000"/>
    <x v="0"/>
    <d v="2019-01-15T00:00:00"/>
    <d v="2019-02-19T00:00:00"/>
    <d v="2019-02-19T00:00:00"/>
    <s v="15/1AL"/>
    <m/>
    <m/>
    <m/>
    <d v="2019-02-19T00:00:00"/>
    <n v="10000"/>
    <m/>
    <m/>
    <m/>
    <m/>
    <m/>
    <m/>
    <n v="10000"/>
    <n v="0"/>
    <n v="0"/>
  </r>
  <r>
    <s v="15B/2019"/>
    <d v="2019-01-05T00:00:00"/>
    <s v="THANH THÚY"/>
    <s v="NT02"/>
    <x v="138"/>
    <x v="10"/>
    <s v="ARVANDRUD"/>
    <m/>
    <s v="16.18"/>
    <n v="200"/>
    <s v="NL2018"/>
    <m/>
    <n v="25"/>
    <n v="5000"/>
    <x v="44"/>
    <n v="27500000"/>
    <x v="0"/>
    <d v="2019-03-15T00:00:00"/>
    <d v="2019-04-19T00:00:00"/>
    <d v="2019-04-19T00:00:00"/>
    <m/>
    <s v="CONT 21/2019"/>
    <m/>
    <m/>
    <m/>
    <n v="0"/>
    <m/>
    <m/>
    <m/>
    <m/>
    <m/>
    <m/>
    <n v="0"/>
    <n v="5000"/>
    <n v="27500000"/>
  </r>
  <r>
    <s v="15B/2019"/>
    <d v="2019-01-05T00:00:00"/>
    <s v="THANH THÚY"/>
    <s v="NT02"/>
    <x v="138"/>
    <x v="102"/>
    <s v="COMPETITION"/>
    <m/>
    <s v="16.18"/>
    <n v="200"/>
    <s v="NL2018"/>
    <m/>
    <n v="100"/>
    <n v="20000"/>
    <x v="45"/>
    <n v="134000000"/>
    <x v="0"/>
    <d v="2019-03-15T00:00:00"/>
    <d v="2019-04-19T00:00:00"/>
    <d v="2019-04-19T00:00:00"/>
    <s v="15/3AL"/>
    <s v="CONT 20/2019"/>
    <m/>
    <m/>
    <d v="2019-05-22T00:00:00"/>
    <n v="20000"/>
    <m/>
    <m/>
    <m/>
    <m/>
    <m/>
    <m/>
    <n v="20000"/>
    <n v="0"/>
    <n v="0"/>
  </r>
  <r>
    <s v="15B/2019"/>
    <d v="2019-01-05T00:00:00"/>
    <s v="THANH THÚY"/>
    <s v="NT02"/>
    <x v="138"/>
    <x v="15"/>
    <s v="CONCADOR"/>
    <m/>
    <s v="16.18"/>
    <n v="200"/>
    <s v="NL2018"/>
    <m/>
    <n v="50"/>
    <n v="10000"/>
    <x v="18"/>
    <n v="50000000"/>
    <x v="0"/>
    <d v="2019-03-15T00:00:00"/>
    <d v="2019-04-19T00:00:00"/>
    <d v="2019-04-19T00:00:00"/>
    <s v="15/3AL"/>
    <s v="CONT 22/2019"/>
    <m/>
    <m/>
    <d v="2019-05-16T00:00:00"/>
    <n v="10000"/>
    <m/>
    <m/>
    <m/>
    <m/>
    <m/>
    <m/>
    <n v="10000"/>
    <n v="0"/>
    <n v="0"/>
  </r>
  <r>
    <s v="15B/2019"/>
    <d v="2019-01-05T00:00:00"/>
    <s v="THANH THÚY"/>
    <s v="NT02"/>
    <x v="138"/>
    <x v="161"/>
    <s v="MONTEZUMA"/>
    <m/>
    <s v="16.18"/>
    <n v="200"/>
    <s v="NL2018"/>
    <m/>
    <n v="80"/>
    <n v="16000"/>
    <x v="9"/>
    <n v="99200000"/>
    <x v="0"/>
    <d v="2019-03-15T00:00:00"/>
    <d v="2019-04-19T00:00:00"/>
    <d v="2019-04-19T00:00:00"/>
    <s v="15/3AL"/>
    <s v="CONT 27/2019"/>
    <m/>
    <m/>
    <m/>
    <n v="0"/>
    <m/>
    <m/>
    <m/>
    <m/>
    <m/>
    <m/>
    <n v="0"/>
    <n v="16000"/>
    <n v="99200000"/>
  </r>
  <r>
    <s v="15B/2019"/>
    <d v="2019-01-05T00:00:00"/>
    <s v="THANH THÚY"/>
    <s v="NT02"/>
    <x v="138"/>
    <x v="5"/>
    <s v="PROFUNDO"/>
    <m/>
    <s v="16.18"/>
    <n v="200"/>
    <s v="NL2018"/>
    <m/>
    <n v="25"/>
    <n v="5000"/>
    <x v="45"/>
    <n v="33500000"/>
    <x v="0"/>
    <d v="2019-03-15T00:00:00"/>
    <d v="2019-04-19T00:00:00"/>
    <d v="2019-04-19T00:00:00"/>
    <s v="15/3AL"/>
    <s v="CONT 23/2019"/>
    <m/>
    <m/>
    <m/>
    <n v="0"/>
    <m/>
    <m/>
    <m/>
    <m/>
    <m/>
    <m/>
    <n v="0"/>
    <n v="5000"/>
    <n v="33500000"/>
  </r>
  <r>
    <s v="15B/2019"/>
    <d v="2019-01-05T00:00:00"/>
    <s v="THANH THÚY"/>
    <s v="NT02"/>
    <x v="138"/>
    <x v="15"/>
    <s v="CONCADOR"/>
    <m/>
    <s v="16.18"/>
    <n v="200"/>
    <s v="NL2018"/>
    <m/>
    <n v="0"/>
    <n v="0"/>
    <x v="18"/>
    <n v="0"/>
    <x v="1"/>
    <d v="2019-04-15T00:00:00"/>
    <d v="2019-05-19T00:00:00"/>
    <d v="2019-05-19T00:00:00"/>
    <s v="15/4AL"/>
    <s v="CONT 22/2019"/>
    <m/>
    <m/>
    <m/>
    <n v="0"/>
    <m/>
    <m/>
    <m/>
    <m/>
    <m/>
    <m/>
    <n v="0"/>
    <n v="0"/>
    <n v="0"/>
  </r>
  <r>
    <s v="15B/2019"/>
    <d v="2019-01-05T00:00:00"/>
    <s v="THANH THÚY"/>
    <s v="NT02"/>
    <x v="138"/>
    <x v="180"/>
    <s v="TOUCHSTONE"/>
    <m/>
    <s v="13.14"/>
    <n v="350"/>
    <s v="NL2018"/>
    <m/>
    <n v="20"/>
    <n v="7000"/>
    <x v="188"/>
    <n v="30450000"/>
    <x v="0"/>
    <d v="2019-04-15T00:00:00"/>
    <d v="2019-05-19T00:00:00"/>
    <d v="2019-05-19T00:00:00"/>
    <s v="15/4AL"/>
    <m/>
    <m/>
    <m/>
    <d v="2019-05-22T00:00:00"/>
    <n v="7000"/>
    <m/>
    <m/>
    <m/>
    <m/>
    <m/>
    <m/>
    <n v="7000"/>
    <n v="0"/>
    <n v="0"/>
  </r>
  <r>
    <s v="15B/2019"/>
    <d v="2019-01-05T00:00:00"/>
    <s v="THANH THÚY"/>
    <s v="NT02"/>
    <x v="138"/>
    <x v="181"/>
    <s v="TOUCHSTONE"/>
    <m/>
    <s v="14.16"/>
    <n v="300"/>
    <s v="NL2018"/>
    <m/>
    <n v="9"/>
    <n v="2700"/>
    <x v="33"/>
    <n v="18900000"/>
    <x v="0"/>
    <d v="2019-04-15T00:00:00"/>
    <d v="2019-05-19T00:00:00"/>
    <d v="2019-05-19T00:00:00"/>
    <s v="15/4AL"/>
    <m/>
    <m/>
    <m/>
    <d v="2019-05-22T00:00:00"/>
    <n v="2700"/>
    <m/>
    <m/>
    <m/>
    <m/>
    <m/>
    <m/>
    <n v="2700"/>
    <n v="0"/>
    <n v="0"/>
  </r>
  <r>
    <s v="15B/2019"/>
    <d v="2019-06-13T00:00:00"/>
    <s v="THANH THÚY"/>
    <s v="NT02"/>
    <x v="138"/>
    <x v="54"/>
    <s v="MALDANO"/>
    <m/>
    <s v="14.16"/>
    <n v="300"/>
    <s v="NL2018"/>
    <m/>
    <n v="27"/>
    <n v="8100"/>
    <x v="57"/>
    <n v="32400000"/>
    <x v="4"/>
    <d v="2019-05-05T00:00:00"/>
    <d v="2019-06-07T00:00:00"/>
    <d v="2019-06-07T00:00:00"/>
    <m/>
    <m/>
    <m/>
    <m/>
    <m/>
    <m/>
    <m/>
    <m/>
    <m/>
    <m/>
    <m/>
    <m/>
    <n v="0"/>
    <n v="8100"/>
    <n v="32400000"/>
  </r>
  <r>
    <s v="15B/2019"/>
    <d v="2019-06-13T00:00:00"/>
    <s v="THANH THÚY"/>
    <s v="NT02"/>
    <x v="138"/>
    <x v="66"/>
    <s v="ALUSTA"/>
    <m/>
    <s v="14.16"/>
    <n v="300"/>
    <s v="NL2018"/>
    <m/>
    <n v="13"/>
    <n v="3900"/>
    <x v="57"/>
    <n v="15600000"/>
    <x v="4"/>
    <d v="2019-05-05T00:00:00"/>
    <d v="2019-06-07T00:00:00"/>
    <d v="2019-06-07T00:00:00"/>
    <m/>
    <m/>
    <m/>
    <m/>
    <m/>
    <m/>
    <m/>
    <m/>
    <m/>
    <m/>
    <m/>
    <m/>
    <n v="0"/>
    <n v="3900"/>
    <n v="15600000"/>
  </r>
  <r>
    <s v="141B/2019"/>
    <d v="2019-03-21T00:00:00"/>
    <s v="THANH THÚY"/>
    <s v="NT02"/>
    <x v="138"/>
    <x v="6"/>
    <s v="CONCADOR"/>
    <m/>
    <s v="20.22"/>
    <n v="125"/>
    <s v="NL2018"/>
    <m/>
    <n v="160"/>
    <n v="20000"/>
    <x v="59"/>
    <n v="210000000"/>
    <x v="2"/>
    <d v="2019-09-01T00:00:00"/>
    <d v="2019-09-29T00:00:00"/>
    <d v="2019-09-29T00:00:00"/>
    <s v="TẾT"/>
    <m/>
    <m/>
    <m/>
    <m/>
    <m/>
    <m/>
    <m/>
    <m/>
    <m/>
    <m/>
    <m/>
    <n v="0"/>
    <n v="20000"/>
    <n v="210000000"/>
  </r>
  <r>
    <s v="141B/2019"/>
    <d v="2019-03-21T00:00:00"/>
    <s v="THANH THÚY"/>
    <s v="NT02"/>
    <x v="138"/>
    <x v="106"/>
    <s v="ARVANDRUD"/>
    <m/>
    <s v="18.20"/>
    <n v="150"/>
    <s v="NL2018"/>
    <m/>
    <n v="0"/>
    <n v="0"/>
    <x v="61"/>
    <n v="0"/>
    <x v="1"/>
    <d v="2019-09-01T00:00:00"/>
    <d v="2019-09-29T00:00:00"/>
    <d v="2019-09-29T00:00:00"/>
    <s v="TẾT"/>
    <m/>
    <m/>
    <m/>
    <m/>
    <m/>
    <m/>
    <m/>
    <m/>
    <m/>
    <m/>
    <m/>
    <n v="0"/>
    <n v="0"/>
    <n v="0"/>
  </r>
  <r>
    <s v="141B/2019"/>
    <d v="2019-05-21T00:00:00"/>
    <s v="THANH THÚY"/>
    <s v="NT02"/>
    <x v="138"/>
    <x v="35"/>
    <s v="BACARDI"/>
    <m/>
    <s v="20.22"/>
    <n v="125"/>
    <s v="NL2018"/>
    <m/>
    <n v="0"/>
    <n v="0"/>
    <x v="36"/>
    <n v="0"/>
    <x v="1"/>
    <d v="2019-09-01T00:00:00"/>
    <d v="2019-09-29T00:00:00"/>
    <d v="2019-09-29T00:00:00"/>
    <m/>
    <m/>
    <m/>
    <m/>
    <m/>
    <m/>
    <m/>
    <m/>
    <m/>
    <m/>
    <m/>
    <m/>
    <n v="0"/>
    <n v="0"/>
    <n v="0"/>
  </r>
  <r>
    <s v="15B/2019"/>
    <d v="2019-01-05T00:00:00"/>
    <s v="THANH THÚY"/>
    <s v="NT02"/>
    <x v="138"/>
    <x v="49"/>
    <s v="MARENGO"/>
    <m/>
    <s v="16.18"/>
    <n v="200"/>
    <s v="NL2018"/>
    <m/>
    <n v="25"/>
    <n v="5000"/>
    <x v="46"/>
    <n v="30000000"/>
    <x v="0"/>
    <s v="29-Feb-19"/>
    <d v="2019-04-03T00:00:00"/>
    <d v="2019-04-03T00:00:00"/>
    <s v="30/2AL"/>
    <s v="CONT 17/2019"/>
    <m/>
    <m/>
    <d v="2019-04-03T00:00:00"/>
    <n v="5000"/>
    <m/>
    <m/>
    <m/>
    <m/>
    <m/>
    <m/>
    <n v="5000"/>
    <n v="0"/>
    <n v="0"/>
  </r>
  <r>
    <s v="15B/2019"/>
    <d v="2019-01-05T00:00:00"/>
    <s v="THANH THÚY"/>
    <s v="NT02"/>
    <x v="138"/>
    <x v="5"/>
    <s v="PROFUNDO"/>
    <m/>
    <s v="16.18"/>
    <n v="200"/>
    <s v="NL2018"/>
    <m/>
    <n v="50"/>
    <n v="10000"/>
    <x v="45"/>
    <n v="67000000"/>
    <x v="0"/>
    <s v="29-Feb-19"/>
    <d v="2019-04-03T00:00:00"/>
    <d v="2019-04-03T00:00:00"/>
    <s v="30/2AL"/>
    <s v="CONT 17/2019"/>
    <m/>
    <m/>
    <d v="2019-04-03T00:00:00"/>
    <n v="5000"/>
    <d v="2019-04-09T00:00:00"/>
    <n v="5000"/>
    <m/>
    <m/>
    <m/>
    <m/>
    <n v="10000"/>
    <n v="0"/>
    <n v="0"/>
  </r>
  <r>
    <s v="15B/2019"/>
    <d v="2019-01-05T00:00:00"/>
    <s v="THANH THÚY"/>
    <s v="NT02"/>
    <x v="138"/>
    <x v="53"/>
    <s v="SENSI"/>
    <m/>
    <s v="16.18"/>
    <n v="200"/>
    <s v="NL2018"/>
    <m/>
    <n v="25"/>
    <n v="5000"/>
    <x v="44"/>
    <n v="27500000"/>
    <x v="0"/>
    <s v="29-Feb-19"/>
    <d v="2019-04-03T00:00:00"/>
    <d v="2019-04-03T00:00:00"/>
    <s v="30/2AL"/>
    <s v="CONT 15/2019"/>
    <m/>
    <m/>
    <d v="2019-05-07T00:00:00"/>
    <n v="5000"/>
    <m/>
    <m/>
    <m/>
    <m/>
    <m/>
    <m/>
    <n v="5000"/>
    <n v="0"/>
    <n v="0"/>
  </r>
  <r>
    <s v="15B/2019"/>
    <d v="2019-01-05T00:00:00"/>
    <s v="THANH THÚY"/>
    <s v="NT02"/>
    <x v="138"/>
    <x v="34"/>
    <s v="TARRANGO"/>
    <m/>
    <s v="16.18"/>
    <n v="200"/>
    <s v="NL2018"/>
    <m/>
    <n v="25"/>
    <n v="5000"/>
    <x v="44"/>
    <n v="27500000"/>
    <x v="0"/>
    <s v="29-Feb-19"/>
    <d v="2019-04-03T00:00:00"/>
    <d v="2019-04-03T00:00:00"/>
    <s v="30/2AL"/>
    <s v="CONT 14/2019"/>
    <m/>
    <m/>
    <d v="2019-04-09T00:00:00"/>
    <n v="5000"/>
    <m/>
    <m/>
    <m/>
    <m/>
    <m/>
    <m/>
    <n v="5000"/>
    <n v="0"/>
    <n v="0"/>
  </r>
  <r>
    <s v="15B/2019"/>
    <d v="2019-01-05T00:00:00"/>
    <s v="THANH THÚY"/>
    <s v="NT02"/>
    <x v="138"/>
    <x v="15"/>
    <s v="CONCADOR"/>
    <m/>
    <s v="16.18"/>
    <n v="200"/>
    <s v="NL2018"/>
    <m/>
    <n v="25"/>
    <n v="5000"/>
    <x v="0"/>
    <n v="23500000"/>
    <x v="0"/>
    <s v="29-Feb-19"/>
    <d v="2019-04-03T00:00:00"/>
    <d v="2019-04-03T00:00:00"/>
    <s v="30/2AL"/>
    <s v="CONT 17/2019"/>
    <m/>
    <m/>
    <d v="2019-05-07T00:00:00"/>
    <n v="5000"/>
    <m/>
    <m/>
    <m/>
    <m/>
    <m/>
    <m/>
    <n v="5000"/>
    <n v="0"/>
    <n v="0"/>
  </r>
  <r>
    <s v="120B/2019"/>
    <d v="2019-03-14T00:00:00"/>
    <s v="THANH THÚY"/>
    <s v="VT01"/>
    <x v="139"/>
    <x v="46"/>
    <s v="CONCADOR"/>
    <m/>
    <s v="22.24"/>
    <s v="100"/>
    <s v="NL2018"/>
    <m/>
    <n v="50"/>
    <n v="5000"/>
    <x v="29"/>
    <n v="62500000"/>
    <x v="2"/>
    <d v="2019-09-01T00:00:00"/>
    <d v="2019-09-29T00:00:00"/>
    <d v="2019-09-29T00:00:00"/>
    <s v="TẾT"/>
    <m/>
    <m/>
    <m/>
    <m/>
    <n v="0"/>
    <m/>
    <m/>
    <m/>
    <m/>
    <m/>
    <m/>
    <n v="0"/>
    <n v="5000"/>
    <n v="62500000"/>
  </r>
  <r>
    <s v="120B/2019"/>
    <d v="2019-03-14T00:00:00"/>
    <s v="THANH THÚY"/>
    <s v="VT01"/>
    <x v="139"/>
    <x v="6"/>
    <s v="CONCADOR"/>
    <m/>
    <s v="20.22"/>
    <s v="125"/>
    <s v="NL2018"/>
    <m/>
    <n v="8"/>
    <n v="1000"/>
    <x v="7"/>
    <n v="10600000"/>
    <x v="2"/>
    <d v="2019-09-01T00:00:00"/>
    <d v="2019-09-29T00:00:00"/>
    <d v="2019-09-29T00:00:00"/>
    <s v="TẾT"/>
    <m/>
    <m/>
    <m/>
    <m/>
    <m/>
    <m/>
    <m/>
    <m/>
    <m/>
    <m/>
    <m/>
    <n v="0"/>
    <n v="1000"/>
    <n v="10600000"/>
  </r>
  <r>
    <s v="120B/2019"/>
    <d v="2019-03-14T00:00:00"/>
    <s v="THANH THÚY"/>
    <s v="VT01"/>
    <x v="139"/>
    <x v="104"/>
    <s v="LARGO"/>
    <m/>
    <s v="22.24"/>
    <s v="100"/>
    <s v="NL2018"/>
    <m/>
    <n v="30"/>
    <n v="3000"/>
    <x v="110"/>
    <n v="34200000"/>
    <x v="2"/>
    <d v="2019-09-01T00:00:00"/>
    <d v="2019-09-29T00:00:00"/>
    <d v="2019-09-29T00:00:00"/>
    <s v="TẾT"/>
    <m/>
    <m/>
    <m/>
    <m/>
    <n v="0"/>
    <m/>
    <m/>
    <m/>
    <m/>
    <m/>
    <m/>
    <n v="0"/>
    <n v="3000"/>
    <n v="34200000"/>
  </r>
  <r>
    <s v="120B/2019"/>
    <d v="2019-03-14T00:00:00"/>
    <s v="THANH THÚY"/>
    <s v="VT01"/>
    <x v="139"/>
    <x v="9"/>
    <s v="MANISSA"/>
    <m/>
    <s v="22.24"/>
    <s v="100"/>
    <s v="NL2018"/>
    <m/>
    <n v="110"/>
    <n v="11000"/>
    <x v="38"/>
    <n v="167200000"/>
    <x v="2"/>
    <d v="2019-09-01T00:00:00"/>
    <d v="2019-09-29T00:00:00"/>
    <d v="2019-09-29T00:00:00"/>
    <s v="TẾT"/>
    <m/>
    <m/>
    <m/>
    <m/>
    <n v="0"/>
    <m/>
    <m/>
    <m/>
    <m/>
    <m/>
    <m/>
    <n v="0"/>
    <n v="11000"/>
    <n v="167200000"/>
  </r>
  <r>
    <s v="120B/2019"/>
    <d v="2019-03-14T00:00:00"/>
    <s v="THANH THÚY"/>
    <s v="VT01"/>
    <x v="139"/>
    <x v="26"/>
    <s v="ROBINA"/>
    <m/>
    <s v="22.24"/>
    <s v="100"/>
    <s v="NL2018"/>
    <m/>
    <n v="100"/>
    <n v="10000"/>
    <x v="29"/>
    <n v="125000000"/>
    <x v="2"/>
    <d v="2019-09-01T00:00:00"/>
    <d v="2019-09-29T00:00:00"/>
    <d v="2019-09-29T00:00:00"/>
    <s v="TẾT"/>
    <m/>
    <m/>
    <m/>
    <m/>
    <n v="0"/>
    <m/>
    <m/>
    <m/>
    <m/>
    <m/>
    <m/>
    <n v="0"/>
    <n v="10000"/>
    <n v="125000000"/>
  </r>
  <r>
    <s v="120B/2019"/>
    <d v="2019-03-14T00:00:00"/>
    <s v="THANH THÚY"/>
    <s v="VT01"/>
    <x v="139"/>
    <x v="16"/>
    <s v="ROBINA"/>
    <m/>
    <s v="20.22"/>
    <s v="125"/>
    <s v="NL2018"/>
    <m/>
    <n v="24"/>
    <n v="3000"/>
    <x v="16"/>
    <n v="32100000"/>
    <x v="2"/>
    <d v="2019-09-01T00:00:00"/>
    <d v="2019-09-29T00:00:00"/>
    <d v="2019-09-29T00:00:00"/>
    <s v="TẾT"/>
    <m/>
    <m/>
    <m/>
    <m/>
    <m/>
    <m/>
    <m/>
    <m/>
    <m/>
    <m/>
    <m/>
    <n v="0"/>
    <n v="3000"/>
    <n v="32100000"/>
  </r>
  <r>
    <s v="120B/2019"/>
    <d v="2019-03-14T00:00:00"/>
    <s v="THANH THÚY"/>
    <s v="VT01"/>
    <x v="139"/>
    <x v="14"/>
    <s v="TARRANGO"/>
    <m/>
    <s v="20.22"/>
    <s v="125"/>
    <s v="NL2018"/>
    <m/>
    <n v="16"/>
    <n v="2000"/>
    <x v="22"/>
    <n v="21800000"/>
    <x v="2"/>
    <d v="2019-09-01T00:00:00"/>
    <d v="2019-09-29T00:00:00"/>
    <d v="2019-09-29T00:00:00"/>
    <s v="TẾT"/>
    <m/>
    <m/>
    <m/>
    <m/>
    <n v="0"/>
    <m/>
    <m/>
    <m/>
    <m/>
    <m/>
    <m/>
    <n v="0"/>
    <n v="2000"/>
    <n v="21800000"/>
  </r>
  <r>
    <s v="120B/2019"/>
    <d v="2019-03-14T00:00:00"/>
    <s v="THANH THÚY"/>
    <s v="VT01"/>
    <x v="139"/>
    <x v="64"/>
    <s v="TARRANGO"/>
    <m/>
    <s v="18.20"/>
    <s v="150"/>
    <s v="NL2018"/>
    <m/>
    <n v="14"/>
    <n v="2100"/>
    <x v="95"/>
    <n v="19110000"/>
    <x v="2"/>
    <d v="2019-09-01T00:00:00"/>
    <d v="2019-09-29T00:00:00"/>
    <d v="2019-09-29T00:00:00"/>
    <s v="TẾT"/>
    <m/>
    <m/>
    <m/>
    <m/>
    <n v="0"/>
    <m/>
    <m/>
    <m/>
    <m/>
    <m/>
    <m/>
    <n v="0"/>
    <n v="2100"/>
    <n v="19110000"/>
  </r>
  <r>
    <s v="147A/2019"/>
    <d v="2019-03-26T00:00:00"/>
    <s v="KIỀU THY"/>
    <s v="TD04"/>
    <x v="140"/>
    <x v="35"/>
    <s v="BACARDI"/>
    <m/>
    <s v="20.22"/>
    <s v="125"/>
    <s v="NL2018"/>
    <m/>
    <n v="40"/>
    <n v="5000"/>
    <x v="8"/>
    <n v="54000000"/>
    <x v="2"/>
    <d v="2019-09-01T00:00:00"/>
    <d v="2019-09-29T00:00:00"/>
    <d v="2019-09-29T00:00:00"/>
    <s v="TẾT"/>
    <m/>
    <m/>
    <m/>
    <m/>
    <m/>
    <m/>
    <m/>
    <m/>
    <m/>
    <m/>
    <m/>
    <n v="0"/>
    <n v="5000"/>
    <n v="54000000"/>
  </r>
  <r>
    <s v="147A/2019"/>
    <d v="2019-03-26T00:00:00"/>
    <s v="KIỀU THY"/>
    <s v="TD04"/>
    <x v="140"/>
    <x v="36"/>
    <s v="MANISSA"/>
    <m/>
    <s v="20.22"/>
    <s v="125"/>
    <s v="NL2018"/>
    <m/>
    <n v="32"/>
    <n v="4000"/>
    <x v="37"/>
    <n v="54000000"/>
    <x v="2"/>
    <d v="2019-09-01T00:00:00"/>
    <d v="2019-09-29T00:00:00"/>
    <d v="2019-09-29T00:00:00"/>
    <s v="TẾT"/>
    <m/>
    <m/>
    <m/>
    <m/>
    <m/>
    <m/>
    <m/>
    <m/>
    <m/>
    <m/>
    <m/>
    <n v="0"/>
    <n v="4000"/>
    <n v="54000000"/>
  </r>
  <r>
    <s v="147A/2019"/>
    <d v="2019-03-26T00:00:00"/>
    <s v="KIỀU THY"/>
    <s v="TD04"/>
    <x v="140"/>
    <x v="8"/>
    <s v="TEBALDI"/>
    <m/>
    <s v="16.18"/>
    <s v="200"/>
    <s v="NL2018"/>
    <m/>
    <n v="15"/>
    <n v="3000"/>
    <x v="20"/>
    <n v="18300000"/>
    <x v="2"/>
    <d v="2019-09-01T00:00:00"/>
    <d v="2019-09-29T00:00:00"/>
    <d v="2019-09-29T00:00:00"/>
    <s v="TẾT"/>
    <m/>
    <m/>
    <m/>
    <m/>
    <m/>
    <m/>
    <m/>
    <m/>
    <m/>
    <m/>
    <m/>
    <n v="0"/>
    <n v="3000"/>
    <n v="18300000"/>
  </r>
  <r>
    <s v="130A/2019"/>
    <d v="2019-03-16T00:00:00"/>
    <s v="KIỀU THY"/>
    <s v="DT03"/>
    <x v="141"/>
    <x v="6"/>
    <s v="CONCADOR"/>
    <m/>
    <s v="20.22"/>
    <n v="125"/>
    <s v="NL2018"/>
    <m/>
    <n v="6"/>
    <n v="750"/>
    <x v="59"/>
    <n v="7875000"/>
    <x v="2"/>
    <d v="2019-09-01T00:00:00"/>
    <d v="2019-09-29T00:00:00"/>
    <d v="2019-09-29T00:00:00"/>
    <s v="TẾT"/>
    <m/>
    <m/>
    <m/>
    <m/>
    <m/>
    <m/>
    <m/>
    <m/>
    <m/>
    <m/>
    <m/>
    <n v="0"/>
    <n v="750"/>
    <n v="7875000"/>
  </r>
  <r>
    <s v="130A/2019"/>
    <d v="2019-03-16T00:00:00"/>
    <s v="KIỀU THY"/>
    <s v="DT03"/>
    <x v="141"/>
    <x v="36"/>
    <s v="MANISSA"/>
    <m/>
    <s v="20.22"/>
    <n v="125"/>
    <s v="NL2018"/>
    <m/>
    <n v="10"/>
    <n v="1250"/>
    <x v="37"/>
    <n v="16875000"/>
    <x v="2"/>
    <d v="2019-09-01T00:00:00"/>
    <d v="2019-09-29T00:00:00"/>
    <d v="2019-09-29T00:00:00"/>
    <s v="TẾT"/>
    <m/>
    <m/>
    <m/>
    <m/>
    <m/>
    <m/>
    <m/>
    <m/>
    <m/>
    <m/>
    <m/>
    <n v="0"/>
    <n v="1250"/>
    <n v="16875000"/>
  </r>
  <r>
    <s v="130A/2019"/>
    <d v="2019-03-16T00:00:00"/>
    <s v="KIỀU THY"/>
    <s v="DT03"/>
    <x v="141"/>
    <x v="42"/>
    <s v="PAVIA"/>
    <m/>
    <s v="16.18"/>
    <n v="200"/>
    <s v="NL2018"/>
    <m/>
    <n v="5"/>
    <n v="1000"/>
    <x v="20"/>
    <n v="6100000"/>
    <x v="2"/>
    <d v="2019-09-01T00:00:00"/>
    <d v="2019-09-29T00:00:00"/>
    <d v="2019-09-29T00:00:00"/>
    <s v="TẾT"/>
    <m/>
    <m/>
    <m/>
    <m/>
    <m/>
    <m/>
    <m/>
    <m/>
    <m/>
    <m/>
    <m/>
    <n v="0"/>
    <n v="1000"/>
    <n v="6100000"/>
  </r>
  <r>
    <s v="130A/2019"/>
    <d v="2019-03-16T00:00:00"/>
    <s v="KIỀU THY"/>
    <s v="DT03"/>
    <x v="141"/>
    <x v="8"/>
    <s v="TEBALDI"/>
    <m/>
    <s v="16.18"/>
    <n v="200"/>
    <s v="NL2018"/>
    <m/>
    <n v="5"/>
    <n v="1000"/>
    <x v="20"/>
    <n v="6100000"/>
    <x v="2"/>
    <d v="2019-09-01T00:00:00"/>
    <d v="2019-09-29T00:00:00"/>
    <d v="2019-09-29T00:00:00"/>
    <s v="TẾT"/>
    <m/>
    <m/>
    <m/>
    <m/>
    <m/>
    <m/>
    <m/>
    <m/>
    <m/>
    <m/>
    <m/>
    <n v="0"/>
    <n v="1000"/>
    <n v="6100000"/>
  </r>
  <r>
    <s v="129A/2019"/>
    <d v="2019-03-16T00:00:00"/>
    <s v="KIỀU THY"/>
    <s v="DT03"/>
    <x v="142"/>
    <x v="106"/>
    <s v="ARVANDRUD"/>
    <m/>
    <s v="18.20"/>
    <n v="150"/>
    <s v="NL2018"/>
    <m/>
    <n v="14"/>
    <n v="2100"/>
    <x v="61"/>
    <n v="17850000"/>
    <x v="2"/>
    <d v="2019-09-01T00:00:00"/>
    <d v="2019-09-29T00:00:00"/>
    <d v="2019-09-29T00:00:00"/>
    <s v="TẾT"/>
    <m/>
    <m/>
    <m/>
    <m/>
    <m/>
    <m/>
    <m/>
    <m/>
    <m/>
    <m/>
    <m/>
    <n v="0"/>
    <n v="2100"/>
    <n v="17850000"/>
  </r>
  <r>
    <s v="129A/2019"/>
    <d v="2019-03-16T00:00:00"/>
    <s v="KIỀU THY"/>
    <s v="DT03"/>
    <x v="142"/>
    <x v="6"/>
    <s v="CONCADOR"/>
    <m/>
    <s v="20.22"/>
    <n v="125"/>
    <s v="NL2018"/>
    <m/>
    <n v="16"/>
    <n v="2000"/>
    <x v="59"/>
    <n v="21000000"/>
    <x v="2"/>
    <d v="2019-09-01T00:00:00"/>
    <d v="2019-09-29T00:00:00"/>
    <d v="2019-09-29T00:00:00"/>
    <s v="TẾT"/>
    <m/>
    <m/>
    <m/>
    <m/>
    <m/>
    <m/>
    <m/>
    <m/>
    <m/>
    <m/>
    <m/>
    <n v="0"/>
    <n v="2000"/>
    <n v="21000000"/>
  </r>
  <r>
    <s v="129A/2019"/>
    <d v="2019-03-16T00:00:00"/>
    <s v="KIỀU THY"/>
    <s v="DT03"/>
    <x v="142"/>
    <x v="85"/>
    <s v="DALIAN"/>
    <m/>
    <s v="20.22"/>
    <n v="125"/>
    <s v="NL2018"/>
    <m/>
    <n v="24"/>
    <n v="3000"/>
    <x v="85"/>
    <n v="42600000"/>
    <x v="2"/>
    <d v="2019-09-01T00:00:00"/>
    <d v="2019-09-29T00:00:00"/>
    <d v="2019-09-29T00:00:00"/>
    <s v="TẾT"/>
    <m/>
    <m/>
    <m/>
    <m/>
    <m/>
    <m/>
    <m/>
    <m/>
    <m/>
    <m/>
    <m/>
    <n v="0"/>
    <n v="3000"/>
    <n v="42600000"/>
  </r>
  <r>
    <s v="129A/2019"/>
    <d v="2019-03-16T00:00:00"/>
    <s v="KIỀU THY"/>
    <s v="DT03"/>
    <x v="142"/>
    <x v="143"/>
    <s v="NELLO "/>
    <m/>
    <s v="18.20"/>
    <n v="150"/>
    <s v="NL2018"/>
    <m/>
    <n v="134"/>
    <n v="20100"/>
    <x v="35"/>
    <n v="144720000"/>
    <x v="2"/>
    <d v="2019-09-01T00:00:00"/>
    <d v="2019-09-29T00:00:00"/>
    <d v="2019-09-29T00:00:00"/>
    <s v="TẾT"/>
    <m/>
    <m/>
    <m/>
    <m/>
    <m/>
    <m/>
    <m/>
    <m/>
    <m/>
    <m/>
    <m/>
    <n v="0"/>
    <n v="20100"/>
    <n v="144720000"/>
  </r>
  <r>
    <s v="129A/2019"/>
    <d v="2019-03-16T00:00:00"/>
    <s v="KIỀU THY"/>
    <s v="DT03"/>
    <x v="142"/>
    <x v="87"/>
    <s v="PROFUNDO"/>
    <m/>
    <s v="22.24"/>
    <n v="100"/>
    <s v="NL2018"/>
    <m/>
    <n v="60"/>
    <n v="6000"/>
    <x v="85"/>
    <n v="85200000"/>
    <x v="2"/>
    <d v="2019-09-01T00:00:00"/>
    <d v="2019-09-29T00:00:00"/>
    <d v="2019-09-29T00:00:00"/>
    <s v="TẾT"/>
    <m/>
    <m/>
    <m/>
    <m/>
    <m/>
    <m/>
    <m/>
    <m/>
    <m/>
    <m/>
    <m/>
    <n v="0"/>
    <n v="6000"/>
    <n v="85200000"/>
  </r>
  <r>
    <s v="131A/2019"/>
    <d v="2019-01-06T00:00:00"/>
    <s v="KIỀU THY"/>
    <s v="DT03"/>
    <x v="142"/>
    <x v="20"/>
    <s v="AMATERAS"/>
    <m/>
    <s v="12.14"/>
    <n v="400"/>
    <s v="NL2018"/>
    <m/>
    <n v="25"/>
    <n v="10000"/>
    <x v="4"/>
    <n v="28000000"/>
    <x v="0"/>
    <d v="2019-01-15T00:00:00"/>
    <d v="2019-02-19T00:00:00"/>
    <d v="2019-02-19T00:00:00"/>
    <s v="15/1AL"/>
    <m/>
    <m/>
    <m/>
    <d v="2019-02-19T00:00:00"/>
    <n v="10000"/>
    <m/>
    <m/>
    <m/>
    <m/>
    <m/>
    <m/>
    <n v="10000"/>
    <n v="0"/>
    <n v="0"/>
  </r>
  <r>
    <s v="131A/2019"/>
    <d v="2019-01-06T00:00:00"/>
    <s v="KIỀU THY"/>
    <s v="DT03"/>
    <x v="142"/>
    <x v="38"/>
    <s v="YELLOWEEN"/>
    <m/>
    <s v="16.18"/>
    <n v="200"/>
    <s v="NL2018"/>
    <m/>
    <n v="71"/>
    <n v="14200"/>
    <x v="18"/>
    <n v="71000000"/>
    <x v="0"/>
    <d v="2019-01-16T00:00:00"/>
    <d v="2019-02-20T00:00:00"/>
    <d v="2019-02-20T00:00:00"/>
    <s v="16/1AL"/>
    <m/>
    <m/>
    <m/>
    <d v="2019-02-20T00:00:00"/>
    <n v="14200"/>
    <m/>
    <m/>
    <m/>
    <m/>
    <m/>
    <m/>
    <n v="14200"/>
    <n v="0"/>
    <n v="0"/>
  </r>
  <r>
    <s v="131A/2019"/>
    <d v="2019-01-06T00:00:00"/>
    <s v="KIỀU THY"/>
    <s v="DT03"/>
    <x v="142"/>
    <x v="20"/>
    <s v="AMATERAS"/>
    <m/>
    <s v="12.14"/>
    <n v="400"/>
    <s v="NL2018"/>
    <m/>
    <n v="25"/>
    <n v="10000"/>
    <x v="4"/>
    <n v="28000000"/>
    <x v="0"/>
    <d v="2019-02-15T00:00:00"/>
    <d v="2019-03-20T00:00:00"/>
    <d v="2019-03-20T00:00:00"/>
    <s v="15/2AL"/>
    <s v="CONT 9/2019"/>
    <d v="2019-03-17T00:00:00"/>
    <m/>
    <d v="2019-03-19T00:00:00"/>
    <n v="10000"/>
    <m/>
    <m/>
    <m/>
    <m/>
    <m/>
    <m/>
    <n v="10000"/>
    <n v="0"/>
    <n v="0"/>
  </r>
  <r>
    <s v="131A/2019"/>
    <d v="2019-01-06T00:00:00"/>
    <s v="KIỀU THY"/>
    <s v="DT03"/>
    <x v="142"/>
    <x v="61"/>
    <s v="BACARDI"/>
    <m/>
    <s v="15.16"/>
    <n v="250"/>
    <s v="NL2018"/>
    <m/>
    <n v="72"/>
    <n v="18000"/>
    <x v="2"/>
    <n v="79200000"/>
    <x v="0"/>
    <d v="2019-03-15T00:00:00"/>
    <d v="2019-04-19T00:00:00"/>
    <d v="2019-04-19T00:00:00"/>
    <s v="15/3AL"/>
    <s v="CONT 22/2019"/>
    <d v="2019-04-14T00:00:00"/>
    <m/>
    <d v="2019-04-17T00:00:00"/>
    <n v="18000"/>
    <m/>
    <m/>
    <m/>
    <m/>
    <m/>
    <m/>
    <n v="18000"/>
    <n v="0"/>
    <n v="0"/>
  </r>
  <r>
    <s v="131A/2019"/>
    <d v="2019-01-06T00:00:00"/>
    <s v="KIỀU THY"/>
    <s v="DT03"/>
    <x v="142"/>
    <x v="4"/>
    <s v="TEBALDI"/>
    <m/>
    <s v="14.16"/>
    <n v="300"/>
    <s v="NL2018"/>
    <m/>
    <n v="3"/>
    <n v="900"/>
    <x v="3"/>
    <n v="3690000"/>
    <x v="0"/>
    <s v="30-Feb-19"/>
    <d v="2019-04-04T00:00:00"/>
    <d v="2019-04-04T00:00:00"/>
    <s v="30/2AL"/>
    <m/>
    <m/>
    <m/>
    <d v="2019-04-03T00:00:00"/>
    <n v="900"/>
    <m/>
    <m/>
    <m/>
    <m/>
    <m/>
    <m/>
    <n v="900"/>
    <n v="0"/>
    <n v="0"/>
  </r>
  <r>
    <s v="131A/2019"/>
    <d v="2019-01-06T00:00:00"/>
    <s v="KIỀU THY"/>
    <s v="DT03"/>
    <x v="142"/>
    <x v="20"/>
    <s v="AMATERAS"/>
    <m/>
    <s v="12.14"/>
    <n v="400"/>
    <s v="NL2018"/>
    <m/>
    <n v="48"/>
    <n v="19200"/>
    <x v="4"/>
    <n v="53760000"/>
    <x v="0"/>
    <s v="30-Feb-19"/>
    <d v="2019-04-04T00:00:00"/>
    <d v="2019-04-04T00:00:00"/>
    <s v="30/2AL"/>
    <s v="CONT 17/2019"/>
    <d v="2019-03-31T00:00:00"/>
    <m/>
    <d v="2019-04-03T00:00:00"/>
    <n v="19200"/>
    <m/>
    <m/>
    <m/>
    <m/>
    <m/>
    <m/>
    <n v="19200"/>
    <n v="0"/>
    <n v="0"/>
  </r>
  <r>
    <s v="152A/2019"/>
    <d v="2019-03-28T00:00:00"/>
    <s v="KIỀU THY"/>
    <s v="DT03"/>
    <x v="142"/>
    <x v="57"/>
    <s v="DALIAN"/>
    <m/>
    <s v="14.16"/>
    <n v="300"/>
    <s v="NL2018"/>
    <m/>
    <n v="4"/>
    <n v="1200"/>
    <x v="44"/>
    <n v="6600000"/>
    <x v="0"/>
    <d v="2019-04-17T00:00:00"/>
    <d v="2019-05-21T00:00:00"/>
    <d v="2019-05-21T00:00:00"/>
    <s v="10/4AL"/>
    <m/>
    <m/>
    <m/>
    <d v="2019-05-19T00:00:00"/>
    <n v="1200"/>
    <m/>
    <m/>
    <m/>
    <m/>
    <m/>
    <m/>
    <n v="1200"/>
    <n v="0"/>
    <n v="0"/>
  </r>
  <r>
    <s v="152A/2019"/>
    <d v="2019-05-13T00:00:00"/>
    <s v="KIỀU THY"/>
    <s v="DT03"/>
    <x v="142"/>
    <x v="4"/>
    <s v="TEBALDI"/>
    <m/>
    <s v="14.16"/>
    <n v="300"/>
    <s v="NL2018"/>
    <m/>
    <n v="10"/>
    <n v="3000"/>
    <x v="1"/>
    <n v="12600000"/>
    <x v="0"/>
    <d v="2019-04-17T00:00:00"/>
    <d v="2019-05-21T00:00:00"/>
    <d v="2019-05-21T00:00:00"/>
    <s v="10/4AL"/>
    <m/>
    <m/>
    <m/>
    <d v="2019-05-19T00:00:00"/>
    <n v="3000"/>
    <m/>
    <m/>
    <m/>
    <m/>
    <m/>
    <m/>
    <n v="3000"/>
    <n v="0"/>
    <n v="0"/>
  </r>
  <r>
    <s v="152A/2019"/>
    <d v="2019-05-13T00:00:00"/>
    <s v="KIỀU THY"/>
    <s v="DT03"/>
    <x v="142"/>
    <x v="2"/>
    <s v="NASHVILLE"/>
    <m/>
    <s v="14.16"/>
    <n v="300"/>
    <s v="NL2018"/>
    <m/>
    <n v="10"/>
    <n v="3000"/>
    <x v="56"/>
    <n v="11700000"/>
    <x v="0"/>
    <d v="2019-04-17T00:00:00"/>
    <d v="2019-05-21T00:00:00"/>
    <d v="2019-05-21T00:00:00"/>
    <s v="10/4AL"/>
    <m/>
    <m/>
    <m/>
    <d v="2019-05-19T00:00:00"/>
    <n v="3000"/>
    <m/>
    <m/>
    <m/>
    <m/>
    <m/>
    <m/>
    <n v="3000"/>
    <n v="0"/>
    <n v="0"/>
  </r>
  <r>
    <s v="183A/2019"/>
    <d v="2019-04-09T00:00:00"/>
    <s v="KIỀU THY"/>
    <s v="DT03"/>
    <x v="142"/>
    <x v="20"/>
    <s v="AMATERAS"/>
    <m/>
    <s v="12.14"/>
    <n v="400"/>
    <s v="NL2018"/>
    <m/>
    <n v="9"/>
    <n v="3600"/>
    <x v="4"/>
    <n v="10080000"/>
    <x v="0"/>
    <d v="2019-03-15T00:00:00"/>
    <d v="2019-04-19T00:00:00"/>
    <d v="2019-04-19T00:00:00"/>
    <s v="15/3AL"/>
    <m/>
    <m/>
    <m/>
    <d v="2019-04-23T00:00:00"/>
    <n v="3600"/>
    <m/>
    <m/>
    <m/>
    <m/>
    <m/>
    <m/>
    <n v="3600"/>
    <n v="0"/>
    <n v="0"/>
  </r>
  <r>
    <s v="183A/2019"/>
    <d v="2019-04-09T00:00:00"/>
    <s v="KIỀU THY"/>
    <s v="DT03"/>
    <x v="142"/>
    <x v="3"/>
    <s v="PAVIA"/>
    <m/>
    <s v="12.14"/>
    <n v="400"/>
    <s v="NL2018"/>
    <m/>
    <n v="5"/>
    <n v="2000"/>
    <x v="17"/>
    <n v="6000000"/>
    <x v="0"/>
    <d v="2019-03-15T00:00:00"/>
    <d v="2019-04-19T00:00:00"/>
    <d v="2019-04-19T00:00:00"/>
    <s v="15/3AL"/>
    <m/>
    <m/>
    <m/>
    <d v="2019-04-23T00:00:00"/>
    <n v="2000"/>
    <m/>
    <m/>
    <m/>
    <m/>
    <m/>
    <m/>
    <n v="2000"/>
    <n v="0"/>
    <n v="0"/>
  </r>
  <r>
    <s v="183A/2019"/>
    <d v="2019-05-15T00:00:00"/>
    <s v="KIỀU THY"/>
    <s v="DT03"/>
    <x v="142"/>
    <x v="12"/>
    <s v="AMATERAS"/>
    <m/>
    <s v="14.16"/>
    <n v="300"/>
    <s v="NL2018"/>
    <m/>
    <n v="23"/>
    <n v="6900"/>
    <x v="189"/>
    <n v="30912000"/>
    <x v="4"/>
    <d v="2019-05-05T00:00:00"/>
    <d v="2019-06-07T00:00:00"/>
    <d v="2019-06-07T00:00:00"/>
    <m/>
    <m/>
    <m/>
    <m/>
    <d v="2019-06-08T00:00:00"/>
    <n v="5700"/>
    <m/>
    <m/>
    <m/>
    <m/>
    <m/>
    <m/>
    <n v="5700"/>
    <n v="1200"/>
    <n v="5376000"/>
  </r>
  <r>
    <s v="183A/2019"/>
    <d v="2019-06-01T00:00:00"/>
    <s v="KIỀU THY"/>
    <s v="DT03"/>
    <x v="142"/>
    <x v="13"/>
    <s v="AMATERAS"/>
    <m/>
    <s v="14.16"/>
    <n v="275"/>
    <s v="NL2018"/>
    <m/>
    <n v="68"/>
    <n v="18700"/>
    <x v="189"/>
    <n v="83776000"/>
    <x v="3"/>
    <d v="2019-05-18T00:00:00"/>
    <d v="2019-06-20T00:00:00"/>
    <d v="2019-06-20T00:00:00"/>
    <m/>
    <m/>
    <m/>
    <m/>
    <m/>
    <m/>
    <m/>
    <m/>
    <m/>
    <m/>
    <m/>
    <m/>
    <n v="0"/>
    <n v="18700"/>
    <n v="83776000"/>
  </r>
  <r>
    <s v="183A/2019"/>
    <d v="2019-05-15T00:00:00"/>
    <s v="KIỀU THY"/>
    <s v="DT03"/>
    <x v="142"/>
    <x v="12"/>
    <s v="AMATERAS"/>
    <m/>
    <s v="14.16"/>
    <n v="300"/>
    <s v="NL2018"/>
    <m/>
    <n v="51"/>
    <n v="15300"/>
    <x v="190"/>
    <n v="69462000"/>
    <x v="3"/>
    <d v="2019-06-15T00:00:00"/>
    <d v="2019-07-17T00:00:00"/>
    <d v="2019-07-17T00:00:00"/>
    <m/>
    <m/>
    <m/>
    <m/>
    <m/>
    <m/>
    <m/>
    <m/>
    <m/>
    <m/>
    <m/>
    <m/>
    <n v="0"/>
    <n v="15300"/>
    <n v="69462000"/>
  </r>
  <r>
    <s v="03A/2019"/>
    <d v="2019-03-19T00:00:00"/>
    <s v="KIỀU THY"/>
    <s v="TH13"/>
    <x v="143"/>
    <x v="3"/>
    <s v="PAVIA"/>
    <m/>
    <s v="12.14"/>
    <s v="400"/>
    <s v="NL2018"/>
    <m/>
    <n v="24"/>
    <n v="9600"/>
    <x v="4"/>
    <n v="26880000"/>
    <x v="0"/>
    <d v="2019-03-15T00:00:00"/>
    <d v="2019-04-19T00:00:00"/>
    <d v="2019-04-19T00:00:00"/>
    <s v="15/3AL"/>
    <s v="CONT 20/2019"/>
    <d v="2019-04-19T00:00:00"/>
    <m/>
    <d v="2019-04-23T00:00:00"/>
    <n v="9600"/>
    <m/>
    <m/>
    <m/>
    <m/>
    <m/>
    <m/>
    <n v="9600"/>
    <n v="0"/>
    <n v="0"/>
  </r>
  <r>
    <s v="03A/2019"/>
    <d v="2019-03-19T00:00:00"/>
    <s v="KIỀU THY"/>
    <s v="TH13"/>
    <x v="143"/>
    <x v="3"/>
    <s v="PAVIA"/>
    <m/>
    <s v="12.14"/>
    <s v="400"/>
    <s v="NL2018"/>
    <m/>
    <n v="0"/>
    <n v="0"/>
    <x v="4"/>
    <n v="0"/>
    <x v="1"/>
    <d v="2019-04-17T00:00:00"/>
    <d v="2019-05-21T00:00:00"/>
    <d v="2019-05-21T00:00:00"/>
    <s v="30/3AL"/>
    <m/>
    <m/>
    <m/>
    <m/>
    <m/>
    <m/>
    <m/>
    <m/>
    <m/>
    <m/>
    <m/>
    <n v="0"/>
    <n v="0"/>
    <n v="0"/>
  </r>
  <r>
    <s v="164A/2019"/>
    <d v="2019-03-19T00:00:00"/>
    <s v="KIỀU THY"/>
    <s v="TH13"/>
    <x v="143"/>
    <x v="27"/>
    <s v="MANISSA"/>
    <m/>
    <s v="24+"/>
    <s v="75"/>
    <s v="NL2018"/>
    <m/>
    <n v="68"/>
    <n v="5100"/>
    <x v="30"/>
    <n v="81600000"/>
    <x v="2"/>
    <d v="2019-09-01T00:00:00"/>
    <d v="2019-09-29T00:00:00"/>
    <d v="2019-09-29T00:00:00"/>
    <s v="TẾT"/>
    <m/>
    <m/>
    <m/>
    <m/>
    <m/>
    <m/>
    <m/>
    <m/>
    <m/>
    <m/>
    <m/>
    <n v="0"/>
    <n v="5100"/>
    <n v="81600000"/>
  </r>
  <r>
    <s v="164A/2019"/>
    <d v="2019-03-19T00:00:00"/>
    <s v="KIỀU THY"/>
    <s v="TH13"/>
    <x v="143"/>
    <x v="143"/>
    <s v="NELLO "/>
    <m/>
    <s v="18.20"/>
    <s v="150"/>
    <s v="NL2018"/>
    <m/>
    <n v="20"/>
    <n v="3000"/>
    <x v="35"/>
    <n v="21600000"/>
    <x v="2"/>
    <d v="2019-09-01T00:00:00"/>
    <d v="2019-09-29T00:00:00"/>
    <d v="2019-09-29T00:00:00"/>
    <s v="TẾT"/>
    <m/>
    <m/>
    <m/>
    <m/>
    <m/>
    <m/>
    <m/>
    <m/>
    <m/>
    <m/>
    <m/>
    <n v="0"/>
    <n v="3000"/>
    <n v="21600000"/>
  </r>
  <r>
    <s v="164A/2019"/>
    <d v="2019-03-19T00:00:00"/>
    <s v="KIỀU THY"/>
    <s v="TH13"/>
    <x v="143"/>
    <x v="42"/>
    <s v="PAVIA"/>
    <m/>
    <s v="16.18"/>
    <s v="200"/>
    <s v="NL2018"/>
    <m/>
    <n v="35"/>
    <n v="7000"/>
    <x v="20"/>
    <n v="42700000"/>
    <x v="2"/>
    <d v="2019-09-01T00:00:00"/>
    <d v="2019-09-29T00:00:00"/>
    <d v="2019-09-29T00:00:00"/>
    <s v="TẾT"/>
    <m/>
    <m/>
    <m/>
    <m/>
    <m/>
    <m/>
    <m/>
    <m/>
    <m/>
    <m/>
    <m/>
    <n v="0"/>
    <n v="7000"/>
    <n v="42700000"/>
  </r>
  <r>
    <s v="164A/2019"/>
    <d v="2019-03-19T00:00:00"/>
    <s v="KIỀU THY"/>
    <s v="TH13"/>
    <x v="143"/>
    <x v="16"/>
    <s v="ROBINA"/>
    <m/>
    <s v="20.22"/>
    <s v="125"/>
    <s v="NL2018"/>
    <m/>
    <n v="40"/>
    <n v="5000"/>
    <x v="59"/>
    <n v="52500000"/>
    <x v="2"/>
    <d v="2019-09-01T00:00:00"/>
    <d v="2019-09-29T00:00:00"/>
    <d v="2019-09-29T00:00:00"/>
    <s v="TẾT"/>
    <m/>
    <m/>
    <m/>
    <m/>
    <m/>
    <m/>
    <m/>
    <m/>
    <m/>
    <m/>
    <m/>
    <n v="0"/>
    <n v="5000"/>
    <n v="52500000"/>
  </r>
  <r>
    <s v="164A/2019"/>
    <d v="2019-03-19T00:00:00"/>
    <s v="KIỀU THY"/>
    <s v="TH13"/>
    <x v="143"/>
    <x v="26"/>
    <s v="ROBINA"/>
    <m/>
    <s v="22.24"/>
    <s v="100"/>
    <s v="NL2018"/>
    <m/>
    <n v="0"/>
    <n v="0"/>
    <x v="29"/>
    <n v="0"/>
    <x v="1"/>
    <d v="2019-09-01T00:00:00"/>
    <d v="2019-09-29T00:00:00"/>
    <d v="2019-09-29T00:00:00"/>
    <s v="TẾT"/>
    <m/>
    <m/>
    <m/>
    <m/>
    <m/>
    <m/>
    <m/>
    <m/>
    <m/>
    <m/>
    <m/>
    <n v="0"/>
    <n v="0"/>
    <n v="0"/>
  </r>
  <r>
    <s v="173A/2019"/>
    <d v="2019-04-04T00:00:00"/>
    <s v="KIỀU THY"/>
    <s v="TH13"/>
    <x v="143"/>
    <x v="3"/>
    <s v="PAVIA"/>
    <m/>
    <s v="12.14"/>
    <s v="400"/>
    <s v="NL2018"/>
    <m/>
    <n v="22"/>
    <n v="8800"/>
    <x v="49"/>
    <n v="27280000"/>
    <x v="0"/>
    <d v="2019-05-05T00:00:00"/>
    <d v="2019-06-07T00:00:00"/>
    <d v="2019-06-07T00:00:00"/>
    <s v="05/05AL"/>
    <m/>
    <m/>
    <m/>
    <d v="2019-06-08T00:00:00"/>
    <n v="8400"/>
    <d v="2019-06-10T00:00:00"/>
    <s v="400"/>
    <m/>
    <m/>
    <m/>
    <m/>
    <n v="8800"/>
    <n v="0"/>
    <n v="0"/>
  </r>
  <r>
    <s v="173A/2019"/>
    <d v="2019-06-06T00:00:00"/>
    <s v="KIỀU THY"/>
    <s v="TH13"/>
    <x v="143"/>
    <x v="17"/>
    <s v="NELLO "/>
    <m/>
    <s v="12.14"/>
    <s v="400"/>
    <s v="NL2018"/>
    <m/>
    <n v="8"/>
    <n v="3200"/>
    <x v="28"/>
    <n v="10240000"/>
    <x v="0"/>
    <d v="2019-05-05T00:00:00"/>
    <d v="2019-06-07T00:00:00"/>
    <d v="2019-06-07T00:00:00"/>
    <m/>
    <m/>
    <m/>
    <m/>
    <d v="2019-06-08T00:00:00"/>
    <n v="3200"/>
    <m/>
    <m/>
    <m/>
    <m/>
    <m/>
    <m/>
    <n v="3200"/>
    <n v="0"/>
    <n v="0"/>
  </r>
  <r>
    <s v="173A/2019"/>
    <d v="2019-06-01T00:00:00"/>
    <s v="KIỀU THY"/>
    <s v="TH13"/>
    <x v="143"/>
    <x v="3"/>
    <s v="PAVIA"/>
    <m/>
    <s v="12.14"/>
    <s v="400"/>
    <s v="NL2018"/>
    <m/>
    <n v="25"/>
    <n v="10000"/>
    <x v="17"/>
    <n v="30000000"/>
    <x v="3"/>
    <d v="2019-06-15T00:00:00"/>
    <d v="2019-07-17T00:00:00"/>
    <d v="2019-07-17T00:00:00"/>
    <m/>
    <m/>
    <m/>
    <m/>
    <m/>
    <m/>
    <m/>
    <m/>
    <m/>
    <m/>
    <m/>
    <m/>
    <n v="0"/>
    <n v="10000"/>
    <n v="30000000"/>
  </r>
  <r>
    <s v="96B/2019"/>
    <d v="2019-03-08T00:00:00"/>
    <s v="THANH THÚY"/>
    <s v="TG01"/>
    <x v="144"/>
    <x v="46"/>
    <s v="CONCADOR"/>
    <m/>
    <s v="22.24"/>
    <n v="100"/>
    <s v="NL2018"/>
    <m/>
    <n v="150"/>
    <n v="15000"/>
    <x v="29"/>
    <n v="187500000"/>
    <x v="2"/>
    <d v="2019-09-01T00:00:00"/>
    <d v="2019-09-29T00:00:00"/>
    <d v="2019-09-29T00:00:00"/>
    <s v="TẾT"/>
    <m/>
    <m/>
    <m/>
    <m/>
    <n v="0"/>
    <m/>
    <m/>
    <m/>
    <m/>
    <m/>
    <m/>
    <n v="0"/>
    <n v="15000"/>
    <n v="187500000"/>
  </r>
  <r>
    <s v="96B/2019"/>
    <d v="2019-03-08T00:00:00"/>
    <s v="THANH THÚY"/>
    <s v="TG01"/>
    <x v="144"/>
    <x v="22"/>
    <s v="ROBINA"/>
    <m/>
    <s v="16.18"/>
    <n v="200"/>
    <s v="NL2018"/>
    <m/>
    <n v="50"/>
    <n v="10000"/>
    <x v="18"/>
    <n v="50000000"/>
    <x v="0"/>
    <d v="2019-03-15T00:00:00"/>
    <d v="2019-04-19T00:00:00"/>
    <d v="2019-04-19T00:00:00"/>
    <s v="15/3AL"/>
    <s v="CONT 25/2019"/>
    <m/>
    <m/>
    <d v="2019-04-23T00:00:00"/>
    <n v="10000"/>
    <m/>
    <m/>
    <m/>
    <m/>
    <m/>
    <m/>
    <n v="10000"/>
    <n v="0"/>
    <n v="0"/>
  </r>
  <r>
    <s v="96B/2019"/>
    <d v="2019-03-08T00:00:00"/>
    <s v="THANH THÚY"/>
    <s v="TG01"/>
    <x v="144"/>
    <x v="22"/>
    <s v="ROBINA"/>
    <m/>
    <s v="16.18"/>
    <n v="200"/>
    <s v="NL2018"/>
    <m/>
    <n v="0"/>
    <n v="0"/>
    <x v="11"/>
    <n v="0"/>
    <x v="1"/>
    <d v="2019-05-02T00:00:00"/>
    <d v="2019-06-04T00:00:00"/>
    <d v="2019-06-04T00:00:00"/>
    <s v="02/5AL"/>
    <m/>
    <m/>
    <m/>
    <m/>
    <n v="0"/>
    <m/>
    <m/>
    <m/>
    <m/>
    <m/>
    <m/>
    <n v="0"/>
    <n v="0"/>
    <n v="0"/>
  </r>
  <r>
    <s v="96B/2019"/>
    <d v="2019-06-10T00:00:00"/>
    <s v="THANH THÚY"/>
    <s v="TG01"/>
    <x v="144"/>
    <x v="11"/>
    <s v="YELLOWEEN"/>
    <m/>
    <s v="12.14"/>
    <n v="400"/>
    <s v="NL2018"/>
    <m/>
    <n v="13"/>
    <n v="5200"/>
    <x v="4"/>
    <n v="14560000"/>
    <x v="0"/>
    <d v="2019-05-05T00:00:00"/>
    <d v="2019-06-07T00:00:00"/>
    <d v="2019-06-07T00:00:00"/>
    <m/>
    <m/>
    <m/>
    <m/>
    <d v="2019-06-18T00:00:00"/>
    <n v="5200"/>
    <m/>
    <m/>
    <m/>
    <m/>
    <m/>
    <m/>
    <n v="5200"/>
    <n v="0"/>
    <n v="0"/>
  </r>
  <r>
    <s v="96B/2019"/>
    <d v="2019-03-08T00:00:00"/>
    <s v="THANH THÚY"/>
    <s v="TG01"/>
    <x v="144"/>
    <x v="26"/>
    <s v="ROBINA"/>
    <m/>
    <s v="22.24"/>
    <n v="100"/>
    <s v="NL2018"/>
    <m/>
    <n v="100"/>
    <n v="10000"/>
    <x v="29"/>
    <n v="125000000"/>
    <x v="2"/>
    <d v="2019-09-01T00:00:00"/>
    <d v="2019-09-29T00:00:00"/>
    <d v="2019-09-29T00:00:00"/>
    <s v="TẾT"/>
    <m/>
    <m/>
    <m/>
    <m/>
    <n v="0"/>
    <m/>
    <m/>
    <m/>
    <m/>
    <m/>
    <m/>
    <n v="0"/>
    <n v="10000"/>
    <n v="125000000"/>
  </r>
  <r>
    <s v="96B/2019"/>
    <d v="2019-03-08T00:00:00"/>
    <s v="THANH THÚY"/>
    <s v="TG01"/>
    <x v="144"/>
    <x v="109"/>
    <s v="ROBINA"/>
    <m/>
    <s v="22.24"/>
    <n v="100"/>
    <s v="NZ2019"/>
    <m/>
    <n v="50"/>
    <n v="5000"/>
    <x v="40"/>
    <n v="65000000"/>
    <x v="2"/>
    <d v="2019-09-01T00:00:00"/>
    <d v="2019-09-29T00:00:00"/>
    <d v="2019-09-29T00:00:00"/>
    <s v="TẾT"/>
    <m/>
    <m/>
    <m/>
    <m/>
    <n v="0"/>
    <m/>
    <m/>
    <m/>
    <m/>
    <m/>
    <m/>
    <n v="0"/>
    <n v="5000"/>
    <n v="65000000"/>
  </r>
  <r>
    <s v="96B/2019"/>
    <d v="2019-03-08T00:00:00"/>
    <s v="THANH THÚY"/>
    <s v="TG01"/>
    <x v="144"/>
    <x v="38"/>
    <s v="YELLOWEEN"/>
    <m/>
    <s v="16.18"/>
    <n v="200"/>
    <s v="NL2018"/>
    <m/>
    <n v="25"/>
    <n v="5000"/>
    <x v="48"/>
    <n v="28000000"/>
    <x v="2"/>
    <d v="2019-09-01T00:00:00"/>
    <d v="2019-09-29T00:00:00"/>
    <d v="2019-09-29T00:00:00"/>
    <s v="TẾT"/>
    <m/>
    <m/>
    <m/>
    <m/>
    <n v="0"/>
    <m/>
    <m/>
    <m/>
    <m/>
    <m/>
    <m/>
    <n v="0"/>
    <n v="5000"/>
    <n v="28000000"/>
  </r>
  <r>
    <s v="162B/2019"/>
    <d v="2019-04-08T00:00:00"/>
    <s v="THANH THÚY"/>
    <s v="TG01"/>
    <x v="144"/>
    <x v="25"/>
    <s v="CONCADOR"/>
    <m/>
    <s v="18.20"/>
    <n v="150"/>
    <s v="NL2018"/>
    <m/>
    <n v="34"/>
    <n v="5100"/>
    <x v="27"/>
    <n v="40800000"/>
    <x v="2"/>
    <d v="2019-09-01T00:00:00"/>
    <d v="2019-09-29T00:00:00"/>
    <d v="2019-09-29T00:00:00"/>
    <s v="TẾT"/>
    <m/>
    <m/>
    <m/>
    <m/>
    <m/>
    <m/>
    <m/>
    <m/>
    <m/>
    <m/>
    <m/>
    <n v="0"/>
    <n v="5100"/>
    <n v="40800000"/>
  </r>
  <r>
    <s v="162B/2019"/>
    <d v="2019-04-08T00:00:00"/>
    <s v="THANH THÚY"/>
    <s v="TG01"/>
    <x v="144"/>
    <x v="6"/>
    <s v="CONCADOR"/>
    <m/>
    <s v="20.22"/>
    <n v="125"/>
    <s v="NL2018"/>
    <m/>
    <n v="40"/>
    <n v="5000"/>
    <x v="7"/>
    <n v="53000000"/>
    <x v="2"/>
    <d v="2019-09-01T00:00:00"/>
    <d v="2019-09-29T00:00:00"/>
    <d v="2019-09-29T00:00:00"/>
    <s v="TẾT"/>
    <m/>
    <m/>
    <m/>
    <m/>
    <m/>
    <m/>
    <m/>
    <m/>
    <m/>
    <m/>
    <m/>
    <n v="0"/>
    <n v="5000"/>
    <n v="53000000"/>
  </r>
  <r>
    <s v="224A/2019"/>
    <d v="2019-05-27T00:00:00"/>
    <s v="KIỀU THY"/>
    <s v="MP05"/>
    <x v="145"/>
    <x v="11"/>
    <s v="YELLOWEEN"/>
    <m/>
    <s v="12.14"/>
    <s v="400"/>
    <s v="NL2018"/>
    <m/>
    <n v="9"/>
    <n v="3600"/>
    <x v="4"/>
    <n v="10080000"/>
    <x v="0"/>
    <d v="2019-03-15T00:00:00"/>
    <d v="2019-04-19T00:00:00"/>
    <d v="2019-04-19T00:00:00"/>
    <m/>
    <m/>
    <m/>
    <m/>
    <d v="2019-05-27T00:00:00"/>
    <n v="3600"/>
    <m/>
    <m/>
    <m/>
    <m/>
    <m/>
    <m/>
    <n v="3600"/>
    <n v="0"/>
    <n v="0"/>
  </r>
  <r>
    <s v="16B/2019"/>
    <d v="2019-01-06T00:00:00"/>
    <s v="THANH THÚY"/>
    <s v="VK02"/>
    <x v="145"/>
    <x v="34"/>
    <s v="TARRANGO"/>
    <m/>
    <s v="16.18"/>
    <n v="200"/>
    <s v="NL2018"/>
    <m/>
    <n v="30"/>
    <n v="6000"/>
    <x v="44"/>
    <n v="33000000"/>
    <x v="0"/>
    <d v="2019-01-15T00:00:00"/>
    <d v="2019-02-19T00:00:00"/>
    <d v="2019-02-19T00:00:00"/>
    <s v="15/1AL"/>
    <m/>
    <m/>
    <m/>
    <d v="2019-02-19T00:00:00"/>
    <n v="6000"/>
    <m/>
    <m/>
    <m/>
    <m/>
    <m/>
    <m/>
    <n v="6000"/>
    <n v="0"/>
    <n v="0"/>
  </r>
  <r>
    <s v="16B/2019"/>
    <d v="2019-01-06T00:00:00"/>
    <s v="THANH THÚY"/>
    <s v="VK02"/>
    <x v="145"/>
    <x v="68"/>
    <s v="TEBALDI"/>
    <m/>
    <s v="12.14"/>
    <n v="400"/>
    <s v="NL2018"/>
    <m/>
    <n v="150"/>
    <n v="60000"/>
    <x v="4"/>
    <n v="168000000"/>
    <x v="0"/>
    <d v="2019-01-23T00:00:00"/>
    <d v="2019-02-27T00:00:00"/>
    <d v="2019-02-27T00:00:00"/>
    <s v="23/1AL"/>
    <m/>
    <m/>
    <m/>
    <d v="2019-02-27T00:00:00"/>
    <n v="30000"/>
    <d v="2019-03-05T00:00:00"/>
    <n v="30000"/>
    <m/>
    <m/>
    <m/>
    <m/>
    <n v="60000"/>
    <n v="0"/>
    <n v="0"/>
  </r>
  <r>
    <s v="16B/2019"/>
    <d v="2019-01-06T00:00:00"/>
    <s v="THANH THÚY"/>
    <s v="VK02"/>
    <x v="145"/>
    <x v="66"/>
    <s v="ALUSTA"/>
    <m/>
    <s v="14.16"/>
    <n v="300"/>
    <s v="NL2018"/>
    <m/>
    <n v="50"/>
    <n v="15000"/>
    <x v="57"/>
    <n v="60000000"/>
    <x v="0"/>
    <d v="2019-01-23T00:00:00"/>
    <d v="2019-02-27T00:00:00"/>
    <d v="2019-02-27T00:00:00"/>
    <s v="23/1AL"/>
    <m/>
    <m/>
    <m/>
    <d v="2019-02-27T00:00:00"/>
    <n v="15000"/>
    <m/>
    <m/>
    <m/>
    <m/>
    <m/>
    <m/>
    <n v="15000"/>
    <n v="0"/>
    <n v="0"/>
  </r>
  <r>
    <s v="16B/2019"/>
    <d v="2019-01-06T00:00:00"/>
    <s v="THANH THÚY"/>
    <s v="VK02"/>
    <x v="145"/>
    <x v="182"/>
    <s v="FELINO"/>
    <m/>
    <s v="15.16"/>
    <n v="300"/>
    <s v="NL2018"/>
    <m/>
    <n v="32.166666666666664"/>
    <n v="9650"/>
    <x v="191"/>
    <n v="51868750"/>
    <x v="0"/>
    <d v="2019-01-23T00:00:00"/>
    <d v="2019-02-27T00:00:00"/>
    <d v="2019-02-27T00:00:00"/>
    <s v="23/1AL"/>
    <m/>
    <m/>
    <m/>
    <d v="2019-02-27T00:00:00"/>
    <n v="9650"/>
    <m/>
    <m/>
    <m/>
    <m/>
    <m/>
    <m/>
    <n v="9650"/>
    <n v="0"/>
    <n v="0"/>
  </r>
  <r>
    <s v="16B/2019"/>
    <d v="2019-01-06T00:00:00"/>
    <s v="THANH THÚY"/>
    <s v="VK02"/>
    <x v="145"/>
    <x v="49"/>
    <s v="MARENGO"/>
    <m/>
    <s v="16.18"/>
    <n v="200"/>
    <s v="NL2018"/>
    <m/>
    <n v="45"/>
    <n v="9000"/>
    <x v="46"/>
    <n v="54000000"/>
    <x v="0"/>
    <d v="2019-01-23T00:00:00"/>
    <d v="2019-02-27T00:00:00"/>
    <d v="2019-02-27T00:00:00"/>
    <s v="23/1AL"/>
    <m/>
    <m/>
    <m/>
    <d v="2019-03-02T00:00:00"/>
    <n v="9000"/>
    <m/>
    <m/>
    <m/>
    <m/>
    <m/>
    <m/>
    <n v="9000"/>
    <n v="0"/>
    <n v="0"/>
  </r>
  <r>
    <s v="16B/2019"/>
    <d v="2019-01-06T00:00:00"/>
    <s v="THANH THÚY"/>
    <s v="VK02"/>
    <x v="145"/>
    <x v="53"/>
    <s v="SENSI"/>
    <m/>
    <s v="16.18"/>
    <n v="200"/>
    <s v="NL2018"/>
    <m/>
    <n v="50"/>
    <n v="10000"/>
    <x v="44"/>
    <n v="55000000"/>
    <x v="0"/>
    <d v="2019-01-23T00:00:00"/>
    <d v="2019-02-27T00:00:00"/>
    <d v="2019-02-27T00:00:00"/>
    <s v="23/1AL"/>
    <m/>
    <m/>
    <m/>
    <d v="2019-02-27T00:00:00"/>
    <n v="10000"/>
    <m/>
    <m/>
    <m/>
    <m/>
    <m/>
    <m/>
    <n v="10000"/>
    <n v="0"/>
    <n v="0"/>
  </r>
  <r>
    <s v="16B/2019"/>
    <d v="2019-01-06T00:00:00"/>
    <s v="THANH THÚY"/>
    <s v="VK02"/>
    <x v="145"/>
    <x v="168"/>
    <s v="HONESTY"/>
    <m/>
    <s v="16.18"/>
    <n v="200"/>
    <s v="NL2017"/>
    <m/>
    <n v="46"/>
    <n v="9200"/>
    <x v="17"/>
    <n v="27600000"/>
    <x v="0"/>
    <d v="2019-02-07T00:00:00"/>
    <d v="2019-03-12T00:00:00"/>
    <d v="2019-03-12T00:00:00"/>
    <s v="07/2AL"/>
    <m/>
    <m/>
    <m/>
    <d v="2019-03-19T00:00:00"/>
    <n v="9200"/>
    <m/>
    <m/>
    <m/>
    <m/>
    <m/>
    <m/>
    <n v="9200"/>
    <n v="0"/>
    <n v="0"/>
  </r>
  <r>
    <s v="16B/2019"/>
    <d v="2019-01-06T00:00:00"/>
    <s v="THANH THÚY"/>
    <s v="VK02"/>
    <x v="145"/>
    <x v="20"/>
    <s v="AMATERAS"/>
    <m/>
    <s v="12.14"/>
    <n v="400"/>
    <s v="NL2018"/>
    <m/>
    <n v="120"/>
    <n v="48000"/>
    <x v="4"/>
    <n v="134400000"/>
    <x v="0"/>
    <d v="2019-02-15T00:00:00"/>
    <d v="2019-03-20T00:00:00"/>
    <d v="2019-03-20T00:00:00"/>
    <s v="15/2AL"/>
    <s v="CONT 9/2019"/>
    <m/>
    <m/>
    <d v="2019-03-20T00:00:00"/>
    <n v="48000"/>
    <m/>
    <m/>
    <m/>
    <m/>
    <m/>
    <m/>
    <n v="48000"/>
    <n v="0"/>
    <n v="0"/>
  </r>
  <r>
    <s v="16B/2019"/>
    <d v="2019-01-06T00:00:00"/>
    <s v="THANH THÚY"/>
    <s v="VK02"/>
    <x v="145"/>
    <x v="12"/>
    <s v="AMATERAS"/>
    <m/>
    <s v="14.16"/>
    <n v="300"/>
    <s v="NL2018"/>
    <m/>
    <n v="149"/>
    <n v="44700"/>
    <x v="1"/>
    <n v="187740000"/>
    <x v="0"/>
    <d v="2019-02-15T00:00:00"/>
    <d v="2019-03-20T00:00:00"/>
    <d v="2019-03-20T00:00:00"/>
    <s v="15/2AL"/>
    <s v="CONT 9/2019"/>
    <m/>
    <m/>
    <d v="2019-03-20T00:00:00"/>
    <n v="44700"/>
    <m/>
    <m/>
    <m/>
    <m/>
    <m/>
    <m/>
    <n v="44700"/>
    <n v="0"/>
    <n v="0"/>
  </r>
  <r>
    <s v="16B/2019"/>
    <d v="2019-01-06T00:00:00"/>
    <s v="THANH THÚY"/>
    <s v="VK02"/>
    <x v="145"/>
    <x v="102"/>
    <s v="COMPETITION"/>
    <m/>
    <s v="16.18"/>
    <n v="200"/>
    <s v="NL2018"/>
    <m/>
    <n v="3"/>
    <n v="600"/>
    <x v="45"/>
    <n v="4020000"/>
    <x v="0"/>
    <d v="2019-02-15T00:00:00"/>
    <d v="2019-03-20T00:00:00"/>
    <d v="2019-03-20T00:00:00"/>
    <s v="15/2AL"/>
    <s v="CONT 9/2019"/>
    <m/>
    <m/>
    <d v="2019-03-20T00:00:00"/>
    <n v="600"/>
    <m/>
    <m/>
    <m/>
    <m/>
    <m/>
    <m/>
    <n v="600"/>
    <n v="0"/>
    <n v="0"/>
  </r>
  <r>
    <s v="16B/2019"/>
    <d v="2019-01-06T00:00:00"/>
    <s v="THANH THÚY"/>
    <s v="VK02"/>
    <x v="145"/>
    <x v="19"/>
    <s v="PAVIA"/>
    <m/>
    <s v="12.14"/>
    <n v="400"/>
    <s v="NL2017"/>
    <m/>
    <n v="115"/>
    <n v="46000"/>
    <x v="19"/>
    <n v="92000000"/>
    <x v="0"/>
    <d v="2019-02-15T00:00:00"/>
    <d v="2019-03-20T00:00:00"/>
    <d v="2019-03-20T00:00:00"/>
    <s v="15/2AL"/>
    <s v="CONT 9/2019"/>
    <m/>
    <m/>
    <d v="2019-03-20T00:00:00"/>
    <n v="26000"/>
    <d v="2019-03-22T00:00:00"/>
    <n v="20000"/>
    <m/>
    <m/>
    <m/>
    <m/>
    <n v="46000"/>
    <n v="0"/>
    <n v="0"/>
  </r>
  <r>
    <s v="16B/2019"/>
    <d v="2019-01-06T00:00:00"/>
    <s v="THANH THÚY"/>
    <s v="VK02"/>
    <x v="145"/>
    <x v="3"/>
    <s v="PAVIA"/>
    <m/>
    <s v="12.14"/>
    <n v="400"/>
    <s v="NL2018"/>
    <m/>
    <n v="28"/>
    <n v="11200"/>
    <x v="4"/>
    <n v="31360000"/>
    <x v="0"/>
    <d v="2019-02-15T00:00:00"/>
    <d v="2019-03-20T00:00:00"/>
    <d v="2019-03-20T00:00:00"/>
    <s v="15/2AL"/>
    <s v="CONT 9/2019"/>
    <m/>
    <m/>
    <m/>
    <n v="11200"/>
    <m/>
    <m/>
    <m/>
    <m/>
    <m/>
    <m/>
    <n v="11200"/>
    <n v="0"/>
    <n v="0"/>
  </r>
  <r>
    <s v="16B/2019"/>
    <d v="2019-01-06T00:00:00"/>
    <s v="THANH THÚY"/>
    <s v="VK02"/>
    <x v="145"/>
    <x v="183"/>
    <s v="SHADAI"/>
    <m/>
    <s v="14.16"/>
    <n v="300"/>
    <s v="NL2018"/>
    <m/>
    <n v="5"/>
    <n v="1500"/>
    <x v="57"/>
    <n v="6000000"/>
    <x v="0"/>
    <d v="2019-02-15T00:00:00"/>
    <d v="2019-03-20T00:00:00"/>
    <d v="2019-03-20T00:00:00"/>
    <s v="15/2AL"/>
    <s v="CONT 9/2019"/>
    <m/>
    <m/>
    <d v="2019-03-20T00:00:00"/>
    <n v="1500"/>
    <m/>
    <m/>
    <m/>
    <m/>
    <m/>
    <m/>
    <n v="1500"/>
    <n v="0"/>
    <n v="0"/>
  </r>
  <r>
    <s v="16B/2019"/>
    <d v="2019-01-06T00:00:00"/>
    <s v="THANH THÚY"/>
    <s v="VK02"/>
    <x v="145"/>
    <x v="184"/>
    <s v="SUNDERLAND"/>
    <m/>
    <s v="12.14"/>
    <n v="400"/>
    <s v="NL2018"/>
    <m/>
    <n v="2"/>
    <n v="800"/>
    <x v="4"/>
    <n v="2240000"/>
    <x v="0"/>
    <d v="2019-03-10T00:00:00"/>
    <d v="2019-04-14T00:00:00"/>
    <d v="2019-04-14T00:00:00"/>
    <s v="15/3AL"/>
    <s v="CONT 20/2019"/>
    <m/>
    <m/>
    <m/>
    <n v="800"/>
    <m/>
    <m/>
    <m/>
    <m/>
    <m/>
    <m/>
    <n v="800"/>
    <n v="0"/>
    <n v="0"/>
  </r>
  <r>
    <s v="16B/2019"/>
    <d v="2019-01-06T00:00:00"/>
    <s v="THANH THÚY"/>
    <s v="VK02"/>
    <x v="145"/>
    <x v="31"/>
    <s v="TARRANGO"/>
    <m/>
    <s v="14.16"/>
    <n v="300"/>
    <s v="NL2018"/>
    <m/>
    <n v="34"/>
    <n v="10200"/>
    <x v="21"/>
    <n v="46920000"/>
    <x v="0"/>
    <d v="2019-03-15T00:00:00"/>
    <d v="2019-04-19T00:00:00"/>
    <d v="2019-04-19T00:00:00"/>
    <s v="15/3AL"/>
    <s v="CONT 24/2019"/>
    <m/>
    <m/>
    <d v="2019-04-20T00:00:00"/>
    <n v="5100"/>
    <d v="2019-05-04T00:00:00"/>
    <n v="5100"/>
    <m/>
    <m/>
    <m/>
    <m/>
    <n v="10200"/>
    <n v="0"/>
    <n v="0"/>
  </r>
  <r>
    <s v="16B/2019"/>
    <d v="2019-01-06T00:00:00"/>
    <s v="THANH THÚY"/>
    <s v="VK02"/>
    <x v="145"/>
    <x v="68"/>
    <s v="TEBALDI"/>
    <m/>
    <s v="12.14"/>
    <n v="400"/>
    <s v="NL2018"/>
    <m/>
    <n v="175"/>
    <n v="70000"/>
    <x v="4"/>
    <n v="196000000"/>
    <x v="0"/>
    <d v="2019-03-15T00:00:00"/>
    <d v="2019-04-19T00:00:00"/>
    <d v="2019-04-19T00:00:00"/>
    <s v="15/3AL"/>
    <s v="CONT 24/2019"/>
    <m/>
    <m/>
    <d v="2019-04-20T00:00:00"/>
    <n v="4800"/>
    <d v="2019-04-22T00:00:00"/>
    <n v="65200"/>
    <m/>
    <m/>
    <m/>
    <m/>
    <n v="70000"/>
    <n v="0"/>
    <n v="0"/>
  </r>
  <r>
    <s v="16B/2019"/>
    <d v="2019-01-06T00:00:00"/>
    <s v="THANH THÚY"/>
    <s v="VK02"/>
    <x v="145"/>
    <x v="4"/>
    <s v="TEBALDI"/>
    <m/>
    <s v="14.16"/>
    <n v="300"/>
    <s v="NL2018"/>
    <m/>
    <n v="167"/>
    <n v="50100"/>
    <x v="3"/>
    <n v="205410000"/>
    <x v="0"/>
    <d v="2019-03-15T00:00:00"/>
    <d v="2019-04-19T00:00:00"/>
    <d v="2019-04-19T00:00:00"/>
    <s v="15/3AL"/>
    <s v="CONT 23/2019"/>
    <m/>
    <m/>
    <d v="2019-04-20T00:00:00"/>
    <n v="37200"/>
    <d v="2019-04-22T00:00:00"/>
    <n v="12900"/>
    <m/>
    <m/>
    <m/>
    <m/>
    <n v="50100"/>
    <n v="0"/>
    <n v="0"/>
  </r>
  <r>
    <s v="16B/2019"/>
    <d v="2019-03-20T00:00:00"/>
    <s v="THANH THÚY"/>
    <s v="VK02"/>
    <x v="145"/>
    <x v="30"/>
    <s v="MALDANO"/>
    <m/>
    <s v="16.18"/>
    <n v="200"/>
    <s v="NL2018"/>
    <m/>
    <n v="0"/>
    <n v="0"/>
    <x v="18"/>
    <n v="0"/>
    <x v="1"/>
    <d v="2019-03-15T00:00:00"/>
    <d v="2019-04-19T00:00:00"/>
    <d v="2019-04-19T00:00:00"/>
    <s v="15/3AL"/>
    <s v="CONT 23/2019"/>
    <m/>
    <m/>
    <m/>
    <n v="0"/>
    <m/>
    <m/>
    <m/>
    <m/>
    <m/>
    <m/>
    <n v="0"/>
    <n v="0"/>
    <n v="0"/>
  </r>
  <r>
    <s v="16B/2019"/>
    <d v="2019-03-20T00:00:00"/>
    <s v="THANH THÚY"/>
    <s v="VK02"/>
    <x v="145"/>
    <x v="80"/>
    <s v="PROFUNDO"/>
    <m/>
    <s v="14.16"/>
    <n v="300"/>
    <s v="NL2018"/>
    <m/>
    <n v="0"/>
    <n v="0"/>
    <x v="18"/>
    <n v="0"/>
    <x v="1"/>
    <d v="2019-03-15T00:00:00"/>
    <d v="2019-04-19T00:00:00"/>
    <d v="2019-04-19T00:00:00"/>
    <s v="15/3AL"/>
    <s v="CONT 23/2019"/>
    <m/>
    <m/>
    <m/>
    <m/>
    <m/>
    <m/>
    <m/>
    <m/>
    <m/>
    <m/>
    <n v="0"/>
    <n v="0"/>
    <n v="0"/>
  </r>
  <r>
    <s v="16B/2019"/>
    <d v="2019-03-20T00:00:00"/>
    <s v="THANH THÚY"/>
    <s v="VK02"/>
    <x v="145"/>
    <x v="5"/>
    <s v="PROFUNDO"/>
    <m/>
    <s v="16.18"/>
    <n v="200"/>
    <s v="NL2018"/>
    <m/>
    <n v="0"/>
    <n v="0"/>
    <x v="45"/>
    <n v="0"/>
    <x v="1"/>
    <d v="2019-03-15T00:00:00"/>
    <d v="2019-04-19T00:00:00"/>
    <d v="2019-04-19T00:00:00"/>
    <s v="15/3AL"/>
    <s v="CONT 23/2019"/>
    <m/>
    <m/>
    <m/>
    <m/>
    <m/>
    <m/>
    <m/>
    <m/>
    <m/>
    <m/>
    <n v="0"/>
    <n v="0"/>
    <n v="0"/>
  </r>
  <r>
    <s v="16B/2019"/>
    <d v="2019-03-20T00:00:00"/>
    <s v="THANH THÚY"/>
    <s v="VK02"/>
    <x v="145"/>
    <x v="13"/>
    <s v="AMATERAS"/>
    <m/>
    <s v="14.16"/>
    <n v="275"/>
    <s v="NL2018"/>
    <m/>
    <n v="18"/>
    <n v="4950"/>
    <x v="1"/>
    <n v="20790000"/>
    <x v="0"/>
    <d v="2019-03-15T00:00:00"/>
    <d v="2019-04-19T00:00:00"/>
    <d v="2019-04-19T00:00:00"/>
    <s v="15/3AL"/>
    <m/>
    <m/>
    <m/>
    <m/>
    <n v="4950"/>
    <m/>
    <m/>
    <m/>
    <m/>
    <m/>
    <m/>
    <n v="4950"/>
    <n v="0"/>
    <n v="0"/>
  </r>
  <r>
    <s v="16B/2019"/>
    <d v="2019-03-20T00:00:00"/>
    <s v="THANH THÚY"/>
    <s v="VK02"/>
    <x v="145"/>
    <x v="17"/>
    <s v="NELLO "/>
    <m/>
    <s v="12.14"/>
    <n v="400"/>
    <s v="NL2018"/>
    <m/>
    <n v="11"/>
    <n v="4400"/>
    <x v="17"/>
    <n v="13200000"/>
    <x v="0"/>
    <d v="2019-03-15T00:00:00"/>
    <d v="2019-04-19T00:00:00"/>
    <d v="2019-04-19T00:00:00"/>
    <s v="15/3AL"/>
    <m/>
    <m/>
    <m/>
    <m/>
    <n v="4400"/>
    <m/>
    <m/>
    <m/>
    <m/>
    <m/>
    <m/>
    <n v="4400"/>
    <n v="0"/>
    <n v="0"/>
  </r>
  <r>
    <s v="16B/2019"/>
    <d v="2019-03-20T00:00:00"/>
    <s v="THANH THÚY"/>
    <s v="VK02"/>
    <x v="145"/>
    <x v="30"/>
    <s v="MALDANO"/>
    <m/>
    <s v="16.18"/>
    <n v="200"/>
    <s v="NL2018"/>
    <m/>
    <n v="0"/>
    <n v="0"/>
    <x v="11"/>
    <n v="0"/>
    <x v="1"/>
    <d v="2019-04-10T00:00:00"/>
    <d v="2019-05-14T00:00:00"/>
    <d v="2019-05-14T00:00:00"/>
    <s v="10/4AL"/>
    <m/>
    <m/>
    <m/>
    <m/>
    <m/>
    <m/>
    <m/>
    <m/>
    <m/>
    <m/>
    <m/>
    <n v="0"/>
    <n v="0"/>
    <n v="0"/>
  </r>
  <r>
    <s v="16B/2019"/>
    <d v="2019-03-20T00:00:00"/>
    <s v="THANH THÚY"/>
    <s v="VK02"/>
    <x v="145"/>
    <x v="68"/>
    <s v="TEBALDI"/>
    <m/>
    <s v="12.14"/>
    <n v="400"/>
    <s v="NL2018"/>
    <m/>
    <n v="157"/>
    <n v="62800"/>
    <x v="14"/>
    <n v="182120000"/>
    <x v="4"/>
    <d v="2019-04-17T00:00:00"/>
    <d v="2019-05-21T00:00:00"/>
    <d v="2019-05-21T00:00:00"/>
    <s v="17/4AL"/>
    <m/>
    <m/>
    <m/>
    <d v="2019-05-23T00:00:00"/>
    <n v="10400"/>
    <d v="2019-05-29T00:00:00"/>
    <n v="7200"/>
    <d v="2019-06-06T00:00:00"/>
    <n v="39200"/>
    <m/>
    <m/>
    <n v="56800"/>
    <n v="6000"/>
    <n v="17400000"/>
  </r>
  <r>
    <s v="16B/2019"/>
    <d v="2019-03-20T00:00:00"/>
    <s v="THANH THÚY"/>
    <s v="VK02"/>
    <x v="145"/>
    <x v="4"/>
    <s v="TEBALDI"/>
    <m/>
    <s v="14.16"/>
    <n v="300"/>
    <s v="NL2018"/>
    <m/>
    <n v="192"/>
    <n v="57600"/>
    <x v="1"/>
    <n v="241920000"/>
    <x v="0"/>
    <d v="2019-04-17T00:00:00"/>
    <d v="2019-05-21T00:00:00"/>
    <d v="2019-05-21T00:00:00"/>
    <s v="17/4AL"/>
    <m/>
    <m/>
    <m/>
    <d v="2019-05-22T00:00:00"/>
    <n v="12900"/>
    <d v="2019-05-23T00:00:00"/>
    <n v="27000"/>
    <d v="2019-06-06T00:00:00"/>
    <n v="17700"/>
    <m/>
    <m/>
    <n v="57600"/>
    <n v="0"/>
    <n v="0"/>
  </r>
  <r>
    <s v="16B/2019"/>
    <d v="2019-03-20T00:00:00"/>
    <s v="THANH THÚY"/>
    <s v="VK02"/>
    <x v="145"/>
    <x v="31"/>
    <s v="TARRANGO"/>
    <m/>
    <s v="14.16"/>
    <n v="300"/>
    <s v="NL2018"/>
    <m/>
    <n v="50"/>
    <n v="15000"/>
    <x v="23"/>
    <n v="72000000"/>
    <x v="0"/>
    <d v="2019-04-17T00:00:00"/>
    <d v="2019-05-21T00:00:00"/>
    <d v="2019-05-21T00:00:00"/>
    <s v="17/4AL"/>
    <m/>
    <m/>
    <m/>
    <d v="2019-05-22T00:00:00"/>
    <n v="9000"/>
    <d v="2019-05-23T00:00:00"/>
    <n v="6000"/>
    <m/>
    <m/>
    <m/>
    <m/>
    <n v="15000"/>
    <n v="0"/>
    <n v="0"/>
  </r>
  <r>
    <s v="16B/2019"/>
    <d v="2019-01-06T00:00:00"/>
    <s v="THANH THÚY"/>
    <s v="VK02"/>
    <x v="145"/>
    <x v="4"/>
    <s v="TEBALDI"/>
    <m/>
    <s v="14.16"/>
    <n v="300"/>
    <s v="NL2018"/>
    <m/>
    <n v="151"/>
    <n v="45300"/>
    <x v="1"/>
    <n v="190260000"/>
    <x v="4"/>
    <d v="2019-04-29T00:00:00"/>
    <d v="2019-06-02T00:00:00"/>
    <d v="2019-06-02T00:00:00"/>
    <s v="29/4AL"/>
    <m/>
    <m/>
    <m/>
    <d v="2019-06-08T00:00:00"/>
    <n v="32100"/>
    <m/>
    <m/>
    <m/>
    <m/>
    <m/>
    <m/>
    <n v="32100"/>
    <n v="13200"/>
    <n v="55440000"/>
  </r>
  <r>
    <s v="16B/2019"/>
    <d v="2019-05-22T00:00:00"/>
    <s v="THANH THÚY"/>
    <s v="VK02"/>
    <x v="145"/>
    <x v="4"/>
    <s v="TEBALDI"/>
    <m/>
    <s v="14.16"/>
    <n v="300"/>
    <s v="NL2018"/>
    <m/>
    <n v="39"/>
    <n v="11700"/>
    <x v="99"/>
    <n v="50310000"/>
    <x v="3"/>
    <d v="2019-05-20T00:00:00"/>
    <d v="2019-06-22T00:00:00"/>
    <d v="2019-06-22T00:00:00"/>
    <s v="20/5AL"/>
    <s v="CONT 56+57/2019"/>
    <m/>
    <m/>
    <m/>
    <m/>
    <m/>
    <m/>
    <m/>
    <m/>
    <m/>
    <m/>
    <n v="0"/>
    <n v="11700"/>
    <n v="50310000"/>
  </r>
  <r>
    <s v="16B/2019"/>
    <d v="2019-06-06T00:00:00"/>
    <s v="THANH THÚY"/>
    <s v="VK02"/>
    <x v="145"/>
    <x v="1"/>
    <s v="EREMO"/>
    <m/>
    <s v="14.16"/>
    <n v="300"/>
    <s v="NL2018"/>
    <m/>
    <n v="3"/>
    <n v="900"/>
    <x v="99"/>
    <n v="3870000"/>
    <x v="3"/>
    <d v="2019-05-20T00:00:00"/>
    <d v="2019-06-22T00:00:00"/>
    <d v="2019-06-22T00:00:00"/>
    <m/>
    <m/>
    <m/>
    <m/>
    <m/>
    <m/>
    <m/>
    <m/>
    <m/>
    <m/>
    <m/>
    <m/>
    <n v="0"/>
    <n v="900"/>
    <n v="3870000"/>
  </r>
  <r>
    <s v="16B/2019"/>
    <d v="2019-06-13T00:00:00"/>
    <s v="THANH THÚY"/>
    <s v="VK02"/>
    <x v="145"/>
    <x v="12"/>
    <s v="AMATERAS"/>
    <m/>
    <s v="14.16"/>
    <n v="300"/>
    <s v="NL2018"/>
    <m/>
    <n v="267"/>
    <n v="80100"/>
    <x v="21"/>
    <n v="368460000"/>
    <x v="3"/>
    <d v="2019-06-15T00:00:00"/>
    <d v="2019-07-17T00:00:00"/>
    <d v="2019-07-17T00:00:00"/>
    <m/>
    <m/>
    <m/>
    <m/>
    <m/>
    <m/>
    <m/>
    <m/>
    <m/>
    <m/>
    <m/>
    <m/>
    <n v="0"/>
    <n v="80100"/>
    <n v="368460000"/>
  </r>
  <r>
    <s v="16B/2019"/>
    <d v="2019-06-18T00:00:00"/>
    <s v="THANH THÚY"/>
    <s v="VK02"/>
    <x v="145"/>
    <x v="69"/>
    <s v="GENERAL LEE"/>
    <m/>
    <s v="12.14"/>
    <n v="400"/>
    <s v="NL2018"/>
    <m/>
    <n v="15"/>
    <n v="6000"/>
    <x v="28"/>
    <n v="19200000"/>
    <x v="3"/>
    <d v="2019-06-15T00:00:00"/>
    <d v="2019-07-17T00:00:00"/>
    <d v="2019-07-17T00:00:00"/>
    <m/>
    <m/>
    <m/>
    <m/>
    <m/>
    <m/>
    <m/>
    <m/>
    <m/>
    <m/>
    <m/>
    <m/>
    <n v="0"/>
    <n v="6000"/>
    <n v="19200000"/>
  </r>
  <r>
    <s v="16B/2019"/>
    <d v="2019-06-18T00:00:00"/>
    <s v="THANH THÚY"/>
    <s v="VK02"/>
    <x v="145"/>
    <x v="43"/>
    <s v="GENERAL LEE"/>
    <m/>
    <s v="14.16"/>
    <n v="300"/>
    <s v="NL2018"/>
    <m/>
    <n v="48"/>
    <n v="14400"/>
    <x v="13"/>
    <n v="64800000"/>
    <x v="3"/>
    <d v="2019-06-15T00:00:00"/>
    <d v="2019-07-17T00:00:00"/>
    <d v="2019-07-17T00:00:00"/>
    <m/>
    <m/>
    <m/>
    <m/>
    <m/>
    <m/>
    <m/>
    <m/>
    <m/>
    <m/>
    <m/>
    <m/>
    <n v="0"/>
    <n v="14400"/>
    <n v="64800000"/>
  </r>
  <r>
    <s v="16B/2019"/>
    <d v="2019-06-13T00:00:00"/>
    <s v="THANH THÚY"/>
    <s v="VK02"/>
    <x v="145"/>
    <x v="31"/>
    <s v="TARRANGO"/>
    <m/>
    <s v="14.16"/>
    <n v="300"/>
    <s v="NL2018"/>
    <m/>
    <n v="22"/>
    <n v="6600"/>
    <x v="77"/>
    <n v="32340000"/>
    <x v="0"/>
    <d v="2019-05-13T00:00:00"/>
    <d v="2019-06-15T00:00:00"/>
    <d v="2019-06-15T00:00:00"/>
    <m/>
    <m/>
    <m/>
    <m/>
    <d v="2019-06-15T00:00:00"/>
    <n v="6600"/>
    <m/>
    <m/>
    <m/>
    <m/>
    <m/>
    <m/>
    <n v="6600"/>
    <n v="0"/>
    <n v="0"/>
  </r>
  <r>
    <s v="16B/2019"/>
    <d v="2019-01-06T00:00:00"/>
    <s v="THANH THÚY"/>
    <s v="VK02"/>
    <x v="145"/>
    <x v="13"/>
    <s v="AMATERAS"/>
    <m/>
    <s v="14.16"/>
    <n v="275"/>
    <s v="NL2018"/>
    <m/>
    <n v="35"/>
    <n v="9625"/>
    <x v="2"/>
    <n v="42350000"/>
    <x v="0"/>
    <d v="2019-04-29T00:00:00"/>
    <d v="2019-06-02T00:00:00"/>
    <d v="2019-06-02T00:00:00"/>
    <s v="29/4AL"/>
    <m/>
    <m/>
    <m/>
    <d v="2019-06-08T00:00:00"/>
    <n v="9625"/>
    <m/>
    <m/>
    <m/>
    <m/>
    <m/>
    <m/>
    <n v="9625"/>
    <n v="0"/>
    <n v="0"/>
  </r>
  <r>
    <s v="16B/2019"/>
    <d v="2019-01-06T00:00:00"/>
    <s v="THANH THÚY"/>
    <s v="VK02"/>
    <x v="145"/>
    <x v="12"/>
    <s v="AMATERAS"/>
    <m/>
    <s v="14.16"/>
    <n v="300"/>
    <s v="NL2018"/>
    <m/>
    <n v="88"/>
    <n v="26400"/>
    <x v="2"/>
    <n v="116160000"/>
    <x v="0"/>
    <d v="2019-04-29T00:00:00"/>
    <d v="2019-06-02T00:00:00"/>
    <d v="2019-06-02T00:00:00"/>
    <s v="29/4AL"/>
    <m/>
    <m/>
    <m/>
    <d v="2019-06-08T00:00:00"/>
    <n v="26400"/>
    <m/>
    <m/>
    <m/>
    <m/>
    <m/>
    <m/>
    <n v="26400"/>
    <n v="0"/>
    <n v="0"/>
  </r>
  <r>
    <s v="16B/2019"/>
    <d v="2019-03-20T00:00:00"/>
    <s v="THANH THÚY"/>
    <s v="VK02"/>
    <x v="145"/>
    <x v="103"/>
    <s v="LARGO"/>
    <m/>
    <s v="16.18"/>
    <n v="200"/>
    <s v="NL2018"/>
    <m/>
    <n v="2"/>
    <n v="400"/>
    <x v="26"/>
    <n v="2320000"/>
    <x v="0"/>
    <d v="2019-04-29T00:00:00"/>
    <d v="2019-06-02T00:00:00"/>
    <d v="2019-06-02T00:00:00"/>
    <s v="1/5AL"/>
    <m/>
    <m/>
    <m/>
    <d v="2019-06-08T00:00:00"/>
    <n v="400"/>
    <m/>
    <m/>
    <m/>
    <m/>
    <m/>
    <m/>
    <n v="400"/>
    <n v="0"/>
    <n v="0"/>
  </r>
  <r>
    <s v="16B/2019"/>
    <d v="2019-05-14T00:00:00"/>
    <s v="THANH THÚY"/>
    <s v="VK02"/>
    <x v="145"/>
    <x v="185"/>
    <s v="YELLOWEEN DIAMOND"/>
    <s v="DI"/>
    <s v="12.14"/>
    <n v="400"/>
    <s v="NL2018"/>
    <m/>
    <n v="11"/>
    <n v="4400"/>
    <x v="49"/>
    <n v="13640000"/>
    <x v="0"/>
    <d v="2019-04-29T00:00:00"/>
    <d v="2019-06-02T00:00:00"/>
    <d v="2019-06-02T00:00:00"/>
    <m/>
    <m/>
    <m/>
    <m/>
    <d v="2019-06-08T00:00:00"/>
    <n v="4400"/>
    <m/>
    <m/>
    <m/>
    <m/>
    <m/>
    <m/>
    <n v="4400"/>
    <n v="0"/>
    <n v="0"/>
  </r>
  <r>
    <s v="16B/2019"/>
    <d v="2019-05-14T00:00:00"/>
    <s v="THANH THÚY"/>
    <s v="VK02"/>
    <x v="145"/>
    <x v="186"/>
    <s v="TAMPA"/>
    <m/>
    <s v="12.14"/>
    <n v="400"/>
    <s v="NL2018"/>
    <m/>
    <n v="8"/>
    <n v="3200"/>
    <x v="17"/>
    <n v="9600000"/>
    <x v="0"/>
    <d v="2019-04-29T00:00:00"/>
    <d v="2019-06-02T00:00:00"/>
    <d v="2019-06-02T00:00:00"/>
    <m/>
    <m/>
    <m/>
    <m/>
    <d v="2019-06-08T00:00:00"/>
    <n v="3200"/>
    <m/>
    <m/>
    <m/>
    <m/>
    <m/>
    <m/>
    <n v="3200"/>
    <n v="0"/>
    <n v="0"/>
  </r>
  <r>
    <s v="16B/2019"/>
    <d v="2019-06-01T00:00:00"/>
    <s v="THANH THÚY"/>
    <s v="VK02"/>
    <x v="145"/>
    <x v="3"/>
    <s v="PAVIA"/>
    <m/>
    <s v="12.14"/>
    <n v="400"/>
    <s v="NL2018"/>
    <m/>
    <n v="15"/>
    <n v="6000"/>
    <x v="14"/>
    <n v="17400000"/>
    <x v="1"/>
    <d v="2019-04-29T00:00:00"/>
    <d v="2019-06-02T00:00:00"/>
    <d v="2019-06-02T00:00:00"/>
    <m/>
    <m/>
    <m/>
    <m/>
    <m/>
    <m/>
    <m/>
    <m/>
    <m/>
    <m/>
    <m/>
    <m/>
    <n v="0"/>
    <n v="6000"/>
    <n v="17400000"/>
  </r>
  <r>
    <s v="16B/2019"/>
    <d v="2019-06-12T00:00:00"/>
    <s v="THANH THÚY"/>
    <s v="VK02"/>
    <x v="145"/>
    <x v="13"/>
    <s v="AMATERAS"/>
    <m/>
    <s v="14.16"/>
    <n v="275"/>
    <s v="NL2018"/>
    <m/>
    <n v="32"/>
    <n v="8800"/>
    <x v="2"/>
    <n v="38720000"/>
    <x v="3"/>
    <d v="2019-05-20T00:00:00"/>
    <d v="2019-06-22T00:00:00"/>
    <d v="2019-06-22T00:00:00"/>
    <m/>
    <m/>
    <m/>
    <m/>
    <m/>
    <m/>
    <m/>
    <m/>
    <m/>
    <m/>
    <m/>
    <m/>
    <n v="0"/>
    <n v="8800"/>
    <n v="38720000"/>
  </r>
  <r>
    <s v="138B/2019"/>
    <d v="2019-03-19T00:00:00"/>
    <s v="THANH THÚY"/>
    <s v="VK02"/>
    <x v="145"/>
    <x v="8"/>
    <s v="TEBALDI"/>
    <m/>
    <s v="16.18"/>
    <n v="200"/>
    <s v="NL2018"/>
    <m/>
    <n v="250"/>
    <n v="50000"/>
    <x v="20"/>
    <n v="305000000"/>
    <x v="2"/>
    <d v="2019-09-01T00:00:00"/>
    <d v="2019-09-29T00:00:00"/>
    <d v="2019-09-29T00:00:00"/>
    <s v="TẾT"/>
    <m/>
    <m/>
    <m/>
    <m/>
    <n v="0"/>
    <m/>
    <m/>
    <m/>
    <m/>
    <m/>
    <m/>
    <n v="0"/>
    <n v="50000"/>
    <n v="305000000"/>
  </r>
  <r>
    <s v="138B/2019"/>
    <d v="2019-03-19T00:00:00"/>
    <s v="THANH THÚY"/>
    <s v="VK02"/>
    <x v="145"/>
    <x v="47"/>
    <s v="ROBINA"/>
    <m/>
    <s v="18.20"/>
    <n v="150"/>
    <s v="NL2018"/>
    <m/>
    <n v="187"/>
    <n v="28050"/>
    <x v="74"/>
    <n v="210375000"/>
    <x v="2"/>
    <d v="2019-09-01T00:00:00"/>
    <d v="2019-09-29T00:00:00"/>
    <d v="2019-09-29T00:00:00"/>
    <s v="TẾT"/>
    <m/>
    <m/>
    <m/>
    <m/>
    <n v="0"/>
    <m/>
    <m/>
    <m/>
    <m/>
    <m/>
    <m/>
    <n v="0"/>
    <n v="28050"/>
    <n v="210375000"/>
  </r>
  <r>
    <s v="138B/2019"/>
    <d v="2019-03-19T00:00:00"/>
    <s v="THANH THÚY"/>
    <s v="VK02"/>
    <x v="145"/>
    <x v="16"/>
    <s v="ROBINA"/>
    <m/>
    <s v="20.22"/>
    <n v="125"/>
    <s v="NL2018"/>
    <m/>
    <n v="408"/>
    <n v="51000"/>
    <x v="59"/>
    <n v="535500000"/>
    <x v="2"/>
    <d v="2019-09-01T00:00:00"/>
    <d v="2019-09-29T00:00:00"/>
    <d v="2019-09-29T00:00:00"/>
    <s v="TẾT"/>
    <m/>
    <m/>
    <m/>
    <m/>
    <n v="0"/>
    <m/>
    <m/>
    <m/>
    <m/>
    <m/>
    <m/>
    <n v="0"/>
    <n v="51000"/>
    <n v="535500000"/>
  </r>
  <r>
    <s v="138B/2019"/>
    <d v="2019-03-19T00:00:00"/>
    <s v="THANH THÚY"/>
    <s v="VK02"/>
    <x v="145"/>
    <x v="37"/>
    <s v="PROFUNDO"/>
    <m/>
    <s v="20.22"/>
    <n v="125"/>
    <s v="NL2018"/>
    <m/>
    <n v="0"/>
    <n v="0"/>
    <x v="40"/>
    <n v="0"/>
    <x v="1"/>
    <d v="2019-09-01T00:00:00"/>
    <d v="2019-09-29T00:00:00"/>
    <d v="2019-09-29T00:00:00"/>
    <s v="TẾT"/>
    <m/>
    <m/>
    <m/>
    <m/>
    <n v="0"/>
    <m/>
    <m/>
    <m/>
    <m/>
    <m/>
    <m/>
    <n v="0"/>
    <n v="0"/>
    <n v="0"/>
  </r>
  <r>
    <s v="138B/2019"/>
    <d v="2019-03-19T00:00:00"/>
    <s v="THANH THÚY"/>
    <s v="VK02"/>
    <x v="145"/>
    <x v="3"/>
    <s v="PAVIA"/>
    <m/>
    <s v="12.14"/>
    <n v="400"/>
    <s v="NL2018"/>
    <m/>
    <n v="33"/>
    <n v="13200"/>
    <x v="69"/>
    <n v="43560000"/>
    <x v="2"/>
    <d v="2019-09-01T00:00:00"/>
    <d v="2019-09-29T00:00:00"/>
    <d v="2019-09-29T00:00:00"/>
    <s v="TẾT"/>
    <m/>
    <m/>
    <m/>
    <m/>
    <n v="0"/>
    <m/>
    <m/>
    <m/>
    <m/>
    <m/>
    <m/>
    <n v="0"/>
    <n v="13200"/>
    <n v="43560000"/>
  </r>
  <r>
    <s v="138B/2019"/>
    <d v="2019-03-19T00:00:00"/>
    <s v="THANH THÚY"/>
    <s v="VK02"/>
    <x v="145"/>
    <x v="41"/>
    <s v="PAVIA"/>
    <m/>
    <s v="14.16"/>
    <n v="300"/>
    <s v="NL2018"/>
    <m/>
    <n v="0"/>
    <n v="0"/>
    <x v="13"/>
    <n v="0"/>
    <x v="1"/>
    <d v="2019-09-01T00:00:00"/>
    <d v="2019-09-29T00:00:00"/>
    <d v="2019-09-29T00:00:00"/>
    <s v="TẾT"/>
    <m/>
    <m/>
    <m/>
    <m/>
    <n v="0"/>
    <m/>
    <m/>
    <m/>
    <m/>
    <m/>
    <m/>
    <n v="0"/>
    <n v="0"/>
    <n v="0"/>
  </r>
  <r>
    <s v="138B/2019"/>
    <d v="2019-03-19T00:00:00"/>
    <s v="THANH THÚY"/>
    <s v="VK02"/>
    <x v="145"/>
    <x v="42"/>
    <s v="PAVIA"/>
    <m/>
    <s v="16.18"/>
    <n v="200"/>
    <s v="NL2018"/>
    <m/>
    <n v="25"/>
    <n v="5000"/>
    <x v="20"/>
    <n v="30500000"/>
    <x v="2"/>
    <d v="2019-09-01T00:00:00"/>
    <d v="2019-09-29T00:00:00"/>
    <d v="2019-09-29T00:00:00"/>
    <s v="TẾT"/>
    <m/>
    <m/>
    <m/>
    <m/>
    <n v="0"/>
    <m/>
    <m/>
    <m/>
    <m/>
    <m/>
    <m/>
    <n v="0"/>
    <n v="5000"/>
    <n v="30500000"/>
  </r>
  <r>
    <s v="138B/2019"/>
    <d v="2019-03-19T00:00:00"/>
    <s v="THANH THÚY"/>
    <s v="VK02"/>
    <x v="145"/>
    <x v="113"/>
    <s v="YELLOW DIAMOND"/>
    <s v="DI"/>
    <s v="18.20"/>
    <n v="150"/>
    <s v="NL2018"/>
    <m/>
    <n v="100"/>
    <n v="15000"/>
    <x v="9"/>
    <n v="93000000"/>
    <x v="2"/>
    <d v="2019-09-01T00:00:00"/>
    <d v="2019-09-29T00:00:00"/>
    <d v="2019-09-29T00:00:00"/>
    <s v="TẾT"/>
    <m/>
    <m/>
    <m/>
    <m/>
    <n v="0"/>
    <m/>
    <m/>
    <m/>
    <m/>
    <m/>
    <m/>
    <n v="0"/>
    <n v="15000"/>
    <n v="93000000"/>
  </r>
  <r>
    <s v="138B/2019"/>
    <d v="2019-05-14T00:00:00"/>
    <s v="THANH THÚY"/>
    <s v="VK02"/>
    <x v="145"/>
    <x v="47"/>
    <s v="ROBINA"/>
    <m/>
    <s v="18.20"/>
    <n v="150"/>
    <s v="NL2018"/>
    <m/>
    <n v="40"/>
    <n v="6000"/>
    <x v="61"/>
    <n v="51000000"/>
    <x v="2"/>
    <d v="2019-09-01T00:00:00"/>
    <d v="2019-09-29T00:00:00"/>
    <d v="2019-09-29T00:00:00"/>
    <s v="TẾT"/>
    <m/>
    <m/>
    <m/>
    <m/>
    <m/>
    <m/>
    <m/>
    <m/>
    <m/>
    <m/>
    <m/>
    <n v="0"/>
    <n v="6000"/>
    <n v="51000000"/>
  </r>
  <r>
    <s v="16B/2019"/>
    <d v="2019-01-06T00:00:00"/>
    <s v="THANH THÚY"/>
    <s v="VK02"/>
    <x v="145"/>
    <x v="80"/>
    <s v="PROFUNDO"/>
    <m/>
    <s v="14.16"/>
    <n v="300"/>
    <s v="NL2018"/>
    <m/>
    <n v="57"/>
    <n v="17100"/>
    <x v="23"/>
    <n v="82080000"/>
    <x v="0"/>
    <s v="29-Feb-19"/>
    <d v="2019-04-03T00:00:00"/>
    <d v="2019-04-03T00:00:00"/>
    <s v="28/2AL"/>
    <s v="CONT 15/2019"/>
    <m/>
    <m/>
    <m/>
    <n v="17100"/>
    <m/>
    <m/>
    <m/>
    <m/>
    <m/>
    <m/>
    <n v="17100"/>
    <n v="0"/>
    <n v="0"/>
  </r>
  <r>
    <s v="16B/2019"/>
    <d v="2019-01-06T00:00:00"/>
    <s v="THANH THÚY"/>
    <s v="VK02"/>
    <x v="145"/>
    <x v="31"/>
    <s v="TARRANGO"/>
    <m/>
    <s v="14.16"/>
    <n v="300"/>
    <s v="NL2018"/>
    <m/>
    <n v="17"/>
    <n v="5100"/>
    <x v="21"/>
    <n v="23460000"/>
    <x v="0"/>
    <s v="29-Feb-19"/>
    <d v="2019-04-03T00:00:00"/>
    <d v="2019-04-03T00:00:00"/>
    <s v="28/2AL"/>
    <s v="CONT 17/2019"/>
    <m/>
    <m/>
    <d v="2019-04-03T00:00:00"/>
    <n v="5100"/>
    <m/>
    <m/>
    <m/>
    <m/>
    <m/>
    <m/>
    <n v="5100"/>
    <n v="0"/>
    <n v="0"/>
  </r>
  <r>
    <s v="16B/2019"/>
    <d v="2019-01-06T00:00:00"/>
    <s v="THANH THÚY"/>
    <s v="VK02"/>
    <x v="145"/>
    <x v="68"/>
    <s v="TEBALDI"/>
    <m/>
    <s v="12.14"/>
    <n v="400"/>
    <s v="NL2018"/>
    <m/>
    <n v="150"/>
    <n v="60000"/>
    <x v="4"/>
    <n v="168000000"/>
    <x v="0"/>
    <s v="29-Feb-19"/>
    <d v="2019-04-03T00:00:00"/>
    <d v="2019-04-03T00:00:00"/>
    <s v="28/2AL"/>
    <s v="CONT 15/2019"/>
    <m/>
    <m/>
    <d v="2019-04-02T00:00:00"/>
    <n v="60000"/>
    <m/>
    <m/>
    <m/>
    <m/>
    <m/>
    <m/>
    <n v="60000"/>
    <n v="0"/>
    <n v="0"/>
  </r>
  <r>
    <s v="138B/2019"/>
    <d v="2019-03-19T00:00:00"/>
    <s v="THANH THÚY"/>
    <s v="VK02"/>
    <x v="145"/>
    <x v="187"/>
    <s v="BEAU SOLEIL"/>
    <m/>
    <s v="16.18"/>
    <n v="200"/>
    <s v="NL2018"/>
    <m/>
    <n v="0"/>
    <n v="0"/>
    <x v="93"/>
    <n v="0"/>
    <x v="1"/>
    <d v="2019-09-01T00:00:00"/>
    <d v="2019-09-29T00:00:00"/>
    <d v="2019-09-29T00:00:00"/>
    <s v="TẾT"/>
    <m/>
    <m/>
    <m/>
    <m/>
    <n v="0"/>
    <m/>
    <m/>
    <m/>
    <m/>
    <m/>
    <m/>
    <n v="0"/>
    <n v="0"/>
    <n v="0"/>
  </r>
  <r>
    <s v="16B/2019"/>
    <d v="2019-03-20T00:00:00"/>
    <s v="THANH THÚY"/>
    <s v="VK02"/>
    <x v="145"/>
    <x v="5"/>
    <s v="PROFUNDO"/>
    <m/>
    <s v="16.18"/>
    <n v="200"/>
    <s v="NL2018"/>
    <m/>
    <n v="0"/>
    <n v="0"/>
    <x v="45"/>
    <n v="0"/>
    <x v="1"/>
    <s v="29-Feb-19"/>
    <d v="2019-04-03T00:00:00"/>
    <d v="2019-04-03T00:00:00"/>
    <s v="28/2AL"/>
    <m/>
    <m/>
    <m/>
    <m/>
    <m/>
    <m/>
    <m/>
    <m/>
    <m/>
    <m/>
    <m/>
    <n v="0"/>
    <n v="0"/>
    <n v="0"/>
  </r>
  <r>
    <s v="138B/2019"/>
    <d v="2019-03-19T00:00:00"/>
    <s v="THANH THÚY"/>
    <s v="VK02"/>
    <x v="145"/>
    <x v="25"/>
    <s v="CONCADOR"/>
    <m/>
    <s v="18.20"/>
    <n v="150"/>
    <s v="NL2018"/>
    <m/>
    <n v="20"/>
    <n v="3000"/>
    <x v="74"/>
    <n v="22500000"/>
    <x v="2"/>
    <d v="2019-09-01T00:00:00"/>
    <d v="2019-09-29T00:00:00"/>
    <d v="2019-09-29T00:00:00"/>
    <s v="TẾT"/>
    <m/>
    <m/>
    <m/>
    <m/>
    <n v="0"/>
    <m/>
    <m/>
    <m/>
    <m/>
    <m/>
    <m/>
    <n v="0"/>
    <n v="3000"/>
    <n v="22500000"/>
  </r>
  <r>
    <s v="138B/2019"/>
    <d v="2019-03-19T00:00:00"/>
    <s v="THANH THÚY"/>
    <s v="VK02"/>
    <x v="145"/>
    <x v="6"/>
    <s v="CONCADOR"/>
    <m/>
    <s v="20.22"/>
    <n v="125"/>
    <s v="NL2018"/>
    <m/>
    <n v="80"/>
    <n v="10000"/>
    <x v="7"/>
    <n v="106000000"/>
    <x v="2"/>
    <d v="2019-09-01T00:00:00"/>
    <d v="2019-09-29T00:00:00"/>
    <d v="2019-09-29T00:00:00"/>
    <s v="TẾT"/>
    <m/>
    <m/>
    <m/>
    <m/>
    <n v="0"/>
    <m/>
    <m/>
    <m/>
    <m/>
    <m/>
    <m/>
    <n v="0"/>
    <n v="10000"/>
    <n v="106000000"/>
  </r>
  <r>
    <s v="16B/2019"/>
    <d v="2019-01-06T00:00:00"/>
    <s v="THANH THÚY"/>
    <s v="VK02"/>
    <x v="145"/>
    <x v="4"/>
    <s v="TEBALDI"/>
    <m/>
    <s v="14.16"/>
    <n v="300"/>
    <s v="NL2018"/>
    <m/>
    <n v="126"/>
    <n v="37800"/>
    <x v="3"/>
    <n v="154980000"/>
    <x v="0"/>
    <s v="29-Feb-19"/>
    <d v="2019-04-03T00:00:00"/>
    <d v="2019-04-03T00:00:00"/>
    <s v="28/2AL"/>
    <s v="CONT 15/2019"/>
    <m/>
    <m/>
    <d v="2019-04-03T00:00:00"/>
    <n v="31200"/>
    <d v="2019-05-04T00:00:00"/>
    <n v="6600"/>
    <m/>
    <m/>
    <m/>
    <m/>
    <n v="37800"/>
    <n v="0"/>
    <n v="0"/>
  </r>
  <r>
    <s v="138B/2019"/>
    <d v="2019-03-19T00:00:00"/>
    <s v="THANH THÚY"/>
    <s v="VK02"/>
    <x v="145"/>
    <x v="64"/>
    <s v="TARRANGO"/>
    <m/>
    <s v="18.20"/>
    <n v="150"/>
    <s v="NL2018"/>
    <m/>
    <n v="187"/>
    <n v="28050"/>
    <x v="64"/>
    <n v="246840000"/>
    <x v="2"/>
    <d v="2019-09-01T00:00:00"/>
    <d v="2019-09-29T00:00:00"/>
    <d v="2019-09-29T00:00:00"/>
    <s v="TẾT"/>
    <m/>
    <m/>
    <m/>
    <m/>
    <n v="0"/>
    <m/>
    <m/>
    <m/>
    <m/>
    <m/>
    <m/>
    <n v="0"/>
    <n v="28050"/>
    <n v="246840000"/>
  </r>
  <r>
    <s v="16B/2019"/>
    <d v="2019-06-14T00:00:00"/>
    <s v="THANH THÚY"/>
    <s v="VK02"/>
    <x v="145"/>
    <x v="41"/>
    <s v="PAVIA"/>
    <m/>
    <s v="14.16"/>
    <n v="300"/>
    <s v="NL2018"/>
    <m/>
    <n v="13"/>
    <n v="3900"/>
    <x v="2"/>
    <n v="17160000"/>
    <x v="4"/>
    <m/>
    <m/>
    <m/>
    <m/>
    <m/>
    <m/>
    <m/>
    <m/>
    <m/>
    <m/>
    <m/>
    <m/>
    <m/>
    <m/>
    <m/>
    <n v="0"/>
    <n v="3900"/>
    <n v="17160000"/>
  </r>
  <r>
    <s v="186A/2019"/>
    <d v="2019-04-09T00:00:00"/>
    <s v="KIỀU THY"/>
    <s v="VT19"/>
    <x v="146"/>
    <x v="6"/>
    <s v="CONCADOR"/>
    <m/>
    <s v="20.22"/>
    <s v="125"/>
    <s v="NL2018"/>
    <m/>
    <n v="24"/>
    <n v="3000"/>
    <x v="7"/>
    <n v="31800000"/>
    <x v="2"/>
    <d v="2019-09-01T00:00:00"/>
    <d v="2019-09-29T00:00:00"/>
    <d v="2019-09-29T00:00:00"/>
    <s v="TẾT"/>
    <m/>
    <m/>
    <m/>
    <m/>
    <m/>
    <m/>
    <m/>
    <m/>
    <m/>
    <m/>
    <m/>
    <n v="0"/>
    <n v="3000"/>
    <n v="31800000"/>
  </r>
  <r>
    <s v="186A/2019"/>
    <d v="2019-04-09T00:00:00"/>
    <s v="KIỀU THY"/>
    <s v="VT19"/>
    <x v="146"/>
    <x v="45"/>
    <s v="CONCADOR"/>
    <m/>
    <s v="24.26"/>
    <s v="80"/>
    <s v="NL2018"/>
    <m/>
    <n v="20"/>
    <n v="1600"/>
    <x v="38"/>
    <n v="24320000"/>
    <x v="2"/>
    <d v="2019-09-01T00:00:00"/>
    <d v="2019-09-29T00:00:00"/>
    <d v="2019-09-29T00:00:00"/>
    <s v="TẾT"/>
    <m/>
    <m/>
    <m/>
    <m/>
    <m/>
    <m/>
    <m/>
    <m/>
    <m/>
    <m/>
    <m/>
    <n v="0"/>
    <n v="1600"/>
    <n v="24320000"/>
  </r>
  <r>
    <s v="186A/2019"/>
    <d v="2019-04-09T00:00:00"/>
    <s v="KIỀU THY"/>
    <s v="VT19"/>
    <x v="146"/>
    <x v="16"/>
    <s v="ROBINA"/>
    <m/>
    <s v="20.22"/>
    <s v="125"/>
    <s v="NL2018"/>
    <m/>
    <n v="4"/>
    <n v="500"/>
    <x v="16"/>
    <n v="5350000"/>
    <x v="2"/>
    <d v="2019-09-01T00:00:00"/>
    <d v="2019-09-29T00:00:00"/>
    <d v="2019-09-29T00:00:00"/>
    <s v="TẾT"/>
    <m/>
    <m/>
    <m/>
    <m/>
    <m/>
    <m/>
    <m/>
    <m/>
    <m/>
    <m/>
    <m/>
    <n v="0"/>
    <n v="500"/>
    <n v="5350000"/>
  </r>
  <r>
    <s v="125A/2019"/>
    <d v="2019-03-12T00:00:00"/>
    <s v="KIỀU THY"/>
    <s v="CL01"/>
    <x v="147"/>
    <x v="46"/>
    <s v="CONCADOR"/>
    <m/>
    <s v="22.24"/>
    <n v="100"/>
    <s v="NL2018"/>
    <m/>
    <n v="200"/>
    <n v="20000"/>
    <x v="29"/>
    <n v="250000000"/>
    <x v="2"/>
    <d v="2019-09-01T00:00:00"/>
    <d v="2019-09-29T00:00:00"/>
    <d v="2019-09-29T00:00:00"/>
    <s v="TẾT"/>
    <m/>
    <m/>
    <m/>
    <m/>
    <n v="0"/>
    <m/>
    <m/>
    <m/>
    <m/>
    <m/>
    <m/>
    <n v="0"/>
    <n v="20000"/>
    <n v="250000000"/>
  </r>
  <r>
    <s v="125A/2019"/>
    <d v="2019-03-12T00:00:00"/>
    <s v="KIỀU THY"/>
    <s v="CL01"/>
    <x v="147"/>
    <x v="26"/>
    <s v="ROBINA"/>
    <m/>
    <s v="22.24"/>
    <n v="100"/>
    <s v="NL2018"/>
    <m/>
    <n v="200"/>
    <n v="20000"/>
    <x v="29"/>
    <n v="250000000"/>
    <x v="2"/>
    <d v="2019-09-01T00:00:00"/>
    <d v="2019-09-29T00:00:00"/>
    <d v="2019-09-29T00:00:00"/>
    <s v="TẾT"/>
    <m/>
    <m/>
    <m/>
    <m/>
    <n v="0"/>
    <m/>
    <m/>
    <m/>
    <m/>
    <m/>
    <m/>
    <n v="0"/>
    <n v="20000"/>
    <n v="250000000"/>
  </r>
  <r>
    <s v="14A/2019"/>
    <d v="2019-01-05T00:00:00"/>
    <s v="KIỀU THY"/>
    <s v="CL01"/>
    <x v="147"/>
    <x v="62"/>
    <s v="BACARDI"/>
    <m/>
    <s v="15.16"/>
    <n v="300"/>
    <s v="NL2018"/>
    <m/>
    <n v="67"/>
    <n v="20100"/>
    <x v="13"/>
    <n v="90450000"/>
    <x v="0"/>
    <d v="2019-01-15T00:00:00"/>
    <d v="2019-02-19T00:00:00"/>
    <d v="2019-02-19T00:00:00"/>
    <s v="15/1AL"/>
    <m/>
    <m/>
    <m/>
    <d v="2019-02-19T00:00:00"/>
    <n v="20100"/>
    <m/>
    <m/>
    <m/>
    <m/>
    <m/>
    <m/>
    <n v="20100"/>
    <n v="0"/>
    <n v="0"/>
  </r>
  <r>
    <s v="14A/2019"/>
    <d v="2019-01-05T00:00:00"/>
    <s v="KIỀU THY"/>
    <s v="CL01"/>
    <x v="147"/>
    <x v="53"/>
    <s v="SENSI"/>
    <m/>
    <s v="16.18"/>
    <n v="200"/>
    <s v="NL2018"/>
    <m/>
    <n v="25"/>
    <n v="5000"/>
    <x v="44"/>
    <n v="27500000"/>
    <x v="0"/>
    <d v="2019-02-28T00:00:00"/>
    <d v="2019-04-02T00:00:00"/>
    <d v="2019-04-02T00:00:00"/>
    <s v="28/2AL"/>
    <s v="CONT 15/2019"/>
    <d v="2019-03-31T00:00:00"/>
    <m/>
    <d v="2019-04-02T00:00:00"/>
    <n v="5000"/>
    <m/>
    <m/>
    <m/>
    <m/>
    <m/>
    <m/>
    <n v="5000"/>
    <n v="0"/>
    <n v="0"/>
  </r>
  <r>
    <s v="14A/2019"/>
    <d v="2019-01-05T00:00:00"/>
    <s v="KIỀU THY"/>
    <s v="CL01"/>
    <x v="147"/>
    <x v="103"/>
    <s v="LARGO"/>
    <m/>
    <s v="16.18"/>
    <n v="200"/>
    <s v="NL2018"/>
    <m/>
    <n v="50"/>
    <n v="10000"/>
    <x v="44"/>
    <n v="55000000"/>
    <x v="0"/>
    <d v="2019-03-15T00:00:00"/>
    <d v="2019-04-19T00:00:00"/>
    <d v="2019-04-19T00:00:00"/>
    <s v="15/3AL"/>
    <s v="CONT 27/2019"/>
    <d v="2019-04-14T00:00:00"/>
    <m/>
    <d v="2019-05-03T00:00:00"/>
    <n v="10000"/>
    <m/>
    <m/>
    <m/>
    <m/>
    <m/>
    <m/>
    <n v="10000"/>
    <n v="0"/>
    <n v="0"/>
  </r>
  <r>
    <s v="14A/2019"/>
    <d v="2019-01-05T00:00:00"/>
    <s v="KIỀU THY"/>
    <s v="CL01"/>
    <x v="147"/>
    <x v="57"/>
    <s v="DALIAN"/>
    <m/>
    <s v="14.16"/>
    <n v="300"/>
    <s v="NL2018"/>
    <m/>
    <n v="0"/>
    <n v="0"/>
    <x v="55"/>
    <n v="0"/>
    <x v="1"/>
    <d v="2019-04-17T00:00:00"/>
    <d v="2019-05-21T00:00:00"/>
    <d v="2019-05-21T00:00:00"/>
    <s v="17/4AL"/>
    <m/>
    <m/>
    <m/>
    <m/>
    <n v="0"/>
    <m/>
    <m/>
    <m/>
    <m/>
    <m/>
    <m/>
    <n v="0"/>
    <n v="0"/>
    <n v="0"/>
  </r>
  <r>
    <s v="14A/2019"/>
    <d v="2019-05-19T00:00:00"/>
    <s v="KIỀU THY"/>
    <s v="CL01"/>
    <x v="147"/>
    <x v="30"/>
    <s v="MALDANO"/>
    <m/>
    <s v="16.18"/>
    <n v="200"/>
    <s v="NL2018"/>
    <m/>
    <n v="55"/>
    <n v="11000"/>
    <x v="11"/>
    <n v="59400000"/>
    <x v="0"/>
    <d v="2019-04-17T00:00:00"/>
    <d v="2019-05-21T00:00:00"/>
    <d v="2019-05-21T00:00:00"/>
    <m/>
    <m/>
    <m/>
    <m/>
    <d v="2019-05-20T00:00:00"/>
    <n v="11000"/>
    <m/>
    <m/>
    <m/>
    <m/>
    <m/>
    <m/>
    <n v="11000"/>
    <n v="0"/>
    <n v="0"/>
  </r>
  <r>
    <s v="14A/2019"/>
    <d v="2019-05-19T00:00:00"/>
    <s v="KIỀU THY"/>
    <s v="CL01"/>
    <x v="147"/>
    <x v="53"/>
    <s v="SENSI"/>
    <m/>
    <s v="16.18"/>
    <n v="200"/>
    <s v="NL2018"/>
    <m/>
    <n v="51"/>
    <n v="10200"/>
    <x v="26"/>
    <n v="59160000"/>
    <x v="3"/>
    <d v="2019-05-30T00:00:00"/>
    <d v="2019-07-02T00:00:00"/>
    <d v="2019-07-02T00:00:00"/>
    <m/>
    <m/>
    <m/>
    <m/>
    <m/>
    <m/>
    <m/>
    <m/>
    <m/>
    <m/>
    <m/>
    <m/>
    <n v="0"/>
    <n v="10200"/>
    <n v="59160000"/>
  </r>
  <r>
    <s v="14A/2019"/>
    <d v="2019-06-17T00:00:00"/>
    <s v="KIỀU THY"/>
    <s v="CL01"/>
    <x v="147"/>
    <x v="15"/>
    <s v="CONCADOR"/>
    <m/>
    <s v="16.18"/>
    <n v="200"/>
    <s v="NL2018"/>
    <m/>
    <n v="50"/>
    <n v="10000"/>
    <x v="26"/>
    <n v="58000000"/>
    <x v="0"/>
    <d v="2019-06-17T00:00:00"/>
    <d v="2019-07-19T00:00:00"/>
    <d v="2019-07-19T00:00:00"/>
    <m/>
    <m/>
    <m/>
    <m/>
    <d v="2019-06-17T00:00:00"/>
    <n v="10000"/>
    <m/>
    <m/>
    <m/>
    <m/>
    <m/>
    <m/>
    <n v="10000"/>
    <n v="0"/>
    <n v="0"/>
  </r>
  <r>
    <s v="14A/2019"/>
    <d v="2019-06-17T00:00:00"/>
    <s v="KIỀU THY"/>
    <s v="CL01"/>
    <x v="147"/>
    <x v="47"/>
    <s v="ROBINA"/>
    <m/>
    <s v="18.20"/>
    <n v="150"/>
    <s v="NL2018"/>
    <m/>
    <n v="67"/>
    <n v="10050"/>
    <x v="74"/>
    <n v="75375000"/>
    <x v="3"/>
    <d v="2019-06-01T00:00:00"/>
    <d v="2019-07-03T00:00:00"/>
    <d v="2019-07-03T00:00:00"/>
    <s v="Hà Nội chuyển vô"/>
    <m/>
    <m/>
    <m/>
    <m/>
    <m/>
    <m/>
    <m/>
    <m/>
    <m/>
    <m/>
    <m/>
    <n v="0"/>
    <n v="10050"/>
    <n v="75375000"/>
  </r>
  <r>
    <s v="14A/2019"/>
    <d v="2019-06-17T00:00:00"/>
    <s v="KIỀU THY"/>
    <s v="CL01"/>
    <x v="147"/>
    <x v="144"/>
    <s v="INDIANA"/>
    <m/>
    <s v="16.18"/>
    <n v="200"/>
    <s v="NL2018"/>
    <m/>
    <n v="50"/>
    <n v="10000"/>
    <x v="45"/>
    <n v="67000000"/>
    <x v="2"/>
    <d v="2019-06-25T00:00:00"/>
    <d v="2019-07-27T00:00:00"/>
    <d v="2019-07-27T00:00:00"/>
    <m/>
    <m/>
    <m/>
    <m/>
    <m/>
    <m/>
    <m/>
    <m/>
    <m/>
    <m/>
    <m/>
    <m/>
    <n v="0"/>
    <n v="10000"/>
    <n v="67000000"/>
  </r>
  <r>
    <s v="160A/2019"/>
    <d v="2019-03-13T00:00:00"/>
    <s v="KIỀU THY"/>
    <s v="QH06"/>
    <x v="148"/>
    <x v="35"/>
    <s v="BACARDI"/>
    <m/>
    <n v="20.22"/>
    <s v="125"/>
    <s v="NL2018"/>
    <m/>
    <n v="16"/>
    <n v="2000"/>
    <x v="8"/>
    <n v="21600000"/>
    <x v="2"/>
    <d v="2019-09-01T00:00:00"/>
    <d v="2019-09-29T00:00:00"/>
    <d v="2019-09-29T00:00:00"/>
    <s v="TẾT"/>
    <m/>
    <m/>
    <m/>
    <m/>
    <n v="0"/>
    <m/>
    <m/>
    <m/>
    <m/>
    <m/>
    <m/>
    <n v="0"/>
    <n v="2000"/>
    <n v="21600000"/>
  </r>
  <r>
    <s v="160A/2019"/>
    <d v="2019-03-13T00:00:00"/>
    <s v="KIỀU THY"/>
    <s v="QH06"/>
    <x v="148"/>
    <x v="46"/>
    <s v="CONCADOR"/>
    <m/>
    <n v="22.24"/>
    <s v="100"/>
    <s v="NL2018"/>
    <m/>
    <n v="100"/>
    <n v="10000"/>
    <x v="29"/>
    <n v="125000000"/>
    <x v="2"/>
    <d v="2019-09-01T00:00:00"/>
    <d v="2019-09-29T00:00:00"/>
    <d v="2019-09-29T00:00:00"/>
    <s v="TẾT"/>
    <m/>
    <m/>
    <m/>
    <m/>
    <n v="0"/>
    <m/>
    <m/>
    <m/>
    <m/>
    <m/>
    <m/>
    <n v="0"/>
    <n v="10000"/>
    <n v="125000000"/>
  </r>
  <r>
    <s v="160A/2019"/>
    <d v="2019-03-13T00:00:00"/>
    <s v="KIỀU THY"/>
    <s v="QH06"/>
    <x v="148"/>
    <x v="26"/>
    <s v="ROBINA"/>
    <m/>
    <n v="22.24"/>
    <s v="100"/>
    <s v="NL2018"/>
    <m/>
    <n v="40"/>
    <n v="4000"/>
    <x v="29"/>
    <n v="50000000"/>
    <x v="2"/>
    <d v="2019-09-01T00:00:00"/>
    <d v="2019-09-29T00:00:00"/>
    <d v="2019-09-29T00:00:00"/>
    <s v="TẾT"/>
    <m/>
    <m/>
    <m/>
    <m/>
    <n v="0"/>
    <m/>
    <m/>
    <m/>
    <m/>
    <m/>
    <m/>
    <n v="0"/>
    <n v="4000"/>
    <n v="50000000"/>
  </r>
  <r>
    <s v="160A/2019"/>
    <d v="2019-04-01T00:00:00"/>
    <s v="KIỀU THY"/>
    <s v="QH06"/>
    <x v="148"/>
    <x v="45"/>
    <s v="CONCADOR"/>
    <m/>
    <s v="24.26"/>
    <s v="80"/>
    <s v="NL2018"/>
    <m/>
    <n v="25"/>
    <n v="2000"/>
    <x v="38"/>
    <n v="30400000"/>
    <x v="2"/>
    <d v="2019-09-01T00:00:00"/>
    <d v="2019-09-29T00:00:00"/>
    <d v="2019-09-29T00:00:00"/>
    <s v="TẾT"/>
    <m/>
    <m/>
    <m/>
    <m/>
    <m/>
    <m/>
    <m/>
    <m/>
    <m/>
    <m/>
    <m/>
    <n v="0"/>
    <n v="2000"/>
    <n v="30400000"/>
  </r>
  <r>
    <s v="160A/2019"/>
    <d v="2019-04-01T00:00:00"/>
    <s v="KIỀU THY"/>
    <s v="QH06"/>
    <x v="148"/>
    <x v="35"/>
    <s v="BACARDI"/>
    <m/>
    <n v="20.22"/>
    <s v="125"/>
    <s v="NL2018"/>
    <m/>
    <n v="16"/>
    <n v="2000"/>
    <x v="36"/>
    <n v="22000000"/>
    <x v="2"/>
    <d v="2019-09-01T00:00:00"/>
    <d v="2019-09-29T00:00:00"/>
    <d v="2019-09-29T00:00:00"/>
    <s v="TẾT"/>
    <m/>
    <m/>
    <m/>
    <m/>
    <m/>
    <m/>
    <m/>
    <m/>
    <m/>
    <m/>
    <m/>
    <n v="0"/>
    <n v="2000"/>
    <n v="22000000"/>
  </r>
  <r>
    <s v="159A/2019"/>
    <d v="2019-04-01T00:00:00"/>
    <s v="KIỀU THY"/>
    <s v="QH06"/>
    <x v="148"/>
    <x v="62"/>
    <s v="BACARDI"/>
    <m/>
    <s v="15.16"/>
    <s v="300"/>
    <s v="NL2018"/>
    <m/>
    <n v="17"/>
    <n v="5100"/>
    <x v="21"/>
    <n v="23460000"/>
    <x v="0"/>
    <d v="2019-04-17T00:00:00"/>
    <d v="2019-05-21T00:00:00"/>
    <d v="2019-05-21T00:00:00"/>
    <s v="10/4AL"/>
    <m/>
    <m/>
    <m/>
    <d v="2019-06-03T00:00:00"/>
    <n v="5100"/>
    <m/>
    <m/>
    <m/>
    <m/>
    <m/>
    <m/>
    <n v="5100"/>
    <n v="0"/>
    <n v="0"/>
  </r>
  <r>
    <s v="159A/2019"/>
    <d v="2019-05-27T00:00:00"/>
    <s v="KIỀU THY"/>
    <s v="QH06"/>
    <x v="148"/>
    <x v="57"/>
    <s v="DALIAN"/>
    <m/>
    <s v="14.16"/>
    <s v="300"/>
    <s v="NL2018"/>
    <m/>
    <n v="17"/>
    <n v="5100"/>
    <x v="11"/>
    <n v="27540000"/>
    <x v="1"/>
    <d v="2019-04-17T00:00:00"/>
    <d v="2019-05-21T00:00:00"/>
    <d v="2019-05-21T00:00:00"/>
    <m/>
    <m/>
    <m/>
    <m/>
    <m/>
    <m/>
    <m/>
    <m/>
    <m/>
    <m/>
    <m/>
    <m/>
    <n v="0"/>
    <n v="5100"/>
    <n v="27540000"/>
  </r>
  <r>
    <s v="85A/2019"/>
    <d v="2019-03-13T00:00:00"/>
    <s v="KIỀU THY"/>
    <s v="QH06"/>
    <x v="148"/>
    <x v="73"/>
    <s v="YELLOWEEN"/>
    <m/>
    <s v="14.16"/>
    <s v="300"/>
    <s v="NL2017"/>
    <m/>
    <n v="34"/>
    <n v="10200"/>
    <x v="17"/>
    <n v="30600000"/>
    <x v="0"/>
    <d v="2019-02-07T00:00:00"/>
    <d v="2019-03-12T00:00:00"/>
    <d v="2019-03-12T00:00:00"/>
    <s v="7/2AL"/>
    <s v="CONT 87/2018"/>
    <m/>
    <m/>
    <d v="2019-03-13T00:00:00"/>
    <n v="5100"/>
    <d v="2019-03-26T00:00:00"/>
    <s v="5100"/>
    <m/>
    <m/>
    <m/>
    <m/>
    <n v="10200"/>
    <n v="0"/>
    <n v="0"/>
  </r>
  <r>
    <s v="84A/2019"/>
    <d v="2019-03-04T00:00:00"/>
    <s v="KIỀU THY"/>
    <s v="PV01"/>
    <x v="149"/>
    <x v="46"/>
    <s v="CONCADOR"/>
    <m/>
    <s v="22.24"/>
    <n v="100"/>
    <s v="NL2018"/>
    <m/>
    <n v="150"/>
    <n v="15000"/>
    <x v="29"/>
    <n v="187500000"/>
    <x v="2"/>
    <d v="2019-09-01T00:00:00"/>
    <d v="2019-09-29T00:00:00"/>
    <d v="2019-09-29T00:00:00"/>
    <s v="TẾT"/>
    <m/>
    <m/>
    <s v="R"/>
    <m/>
    <n v="0"/>
    <m/>
    <m/>
    <m/>
    <m/>
    <m/>
    <m/>
    <n v="0"/>
    <n v="15000"/>
    <n v="187500000"/>
  </r>
  <r>
    <s v="84A/2019"/>
    <d v="2019-03-04T00:00:00"/>
    <s v="KIỀU THY"/>
    <s v="PV01"/>
    <x v="149"/>
    <x v="87"/>
    <s v="PROFUNDO"/>
    <m/>
    <s v="22.24"/>
    <n v="100"/>
    <s v="NL2018"/>
    <m/>
    <n v="50"/>
    <n v="5000"/>
    <x v="85"/>
    <n v="71000000"/>
    <x v="2"/>
    <d v="2019-09-01T00:00:00"/>
    <d v="2019-09-29T00:00:00"/>
    <d v="2019-09-29T00:00:00"/>
    <s v="TẾT"/>
    <m/>
    <m/>
    <s v="R"/>
    <m/>
    <n v="0"/>
    <m/>
    <m/>
    <m/>
    <m/>
    <m/>
    <m/>
    <n v="0"/>
    <n v="5000"/>
    <n v="71000000"/>
  </r>
  <r>
    <s v="50B/2019"/>
    <d v="2019-02-15T00:00:00"/>
    <s v="THANH THÚY"/>
    <s v="PKL01"/>
    <x v="150"/>
    <x v="22"/>
    <s v="ROBINA"/>
    <m/>
    <s v="16.18"/>
    <n v="200"/>
    <s v="NL2018"/>
    <m/>
    <n v="19"/>
    <n v="3800"/>
    <x v="192"/>
    <n v="18430000"/>
    <x v="0"/>
    <s v="29-Feb-19"/>
    <d v="2019-04-03T00:00:00"/>
    <d v="2019-04-03T00:00:00"/>
    <s v="30/2AL"/>
    <s v="CONT 13/2019"/>
    <m/>
    <m/>
    <d v="2019-04-02T00:00:00"/>
    <n v="3800"/>
    <m/>
    <m/>
    <m/>
    <m/>
    <m/>
    <m/>
    <n v="3800"/>
    <n v="0"/>
    <n v="0"/>
  </r>
  <r>
    <s v="50B/2019"/>
    <d v="2019-02-15T00:00:00"/>
    <s v="THANH THÚY"/>
    <s v="PKL01"/>
    <x v="150"/>
    <x v="47"/>
    <s v="ROBINA"/>
    <m/>
    <s v="18.20"/>
    <n v="150"/>
    <s v="NL2018"/>
    <m/>
    <n v="1031"/>
    <n v="154650"/>
    <x v="193"/>
    <n v="983264700"/>
    <x v="0"/>
    <s v="29-Feb-19"/>
    <d v="2019-04-03T00:00:00"/>
    <d v="2019-04-03T00:00:00"/>
    <s v="30/2AL"/>
    <s v="CONT 13/2019"/>
    <m/>
    <m/>
    <d v="2019-04-02T00:00:00"/>
    <n v="154650"/>
    <m/>
    <m/>
    <m/>
    <m/>
    <m/>
    <m/>
    <n v="154650"/>
    <n v="0"/>
    <n v="0"/>
  </r>
  <r>
    <s v="170B/2019"/>
    <d v="2019-04-19T00:00:00"/>
    <s v="THANH THÚY"/>
    <s v="PKL01"/>
    <x v="150"/>
    <x v="51"/>
    <s v="THALITA"/>
    <s v="RL"/>
    <s v="12.14"/>
    <n v="400"/>
    <s v="NL2018"/>
    <m/>
    <n v="0"/>
    <n v="0"/>
    <x v="79"/>
    <n v="0"/>
    <x v="1"/>
    <d v="2019-03-18T00:00:00"/>
    <d v="2019-04-22T00:00:00"/>
    <d v="2019-04-22T00:00:00"/>
    <s v="18/3AL"/>
    <m/>
    <m/>
    <m/>
    <m/>
    <m/>
    <m/>
    <m/>
    <m/>
    <m/>
    <m/>
    <m/>
    <n v="0"/>
    <n v="0"/>
    <n v="0"/>
  </r>
  <r>
    <s v="170B/2019"/>
    <d v="2019-04-19T00:00:00"/>
    <s v="THANH THÚY"/>
    <s v="PKL01"/>
    <x v="150"/>
    <x v="89"/>
    <s v="TATSJANA"/>
    <s v="RL"/>
    <s v="12.14"/>
    <n v="350"/>
    <s v="NL2018"/>
    <m/>
    <n v="0"/>
    <n v="0"/>
    <x v="137"/>
    <n v="0"/>
    <x v="1"/>
    <d v="2019-05-02T00:00:00"/>
    <d v="2019-06-04T00:00:00"/>
    <d v="2019-06-04T00:00:00"/>
    <s v="02/5AL"/>
    <m/>
    <m/>
    <m/>
    <m/>
    <m/>
    <m/>
    <m/>
    <m/>
    <m/>
    <m/>
    <m/>
    <n v="0"/>
    <n v="0"/>
    <n v="0"/>
  </r>
  <r>
    <s v="170B/2019"/>
    <d v="2019-04-19T00:00:00"/>
    <s v="THANH THÚY"/>
    <s v="PKL01"/>
    <x v="150"/>
    <x v="173"/>
    <s v="BACARDI"/>
    <m/>
    <s v="18.20"/>
    <n v="150"/>
    <s v="NL2018"/>
    <m/>
    <n v="152"/>
    <n v="22800"/>
    <x v="137"/>
    <n v="198360000"/>
    <x v="4"/>
    <d v="2019-04-29T00:00:00"/>
    <d v="2019-06-02T00:00:00"/>
    <d v="2019-06-02T00:00:00"/>
    <s v="29/4AL"/>
    <m/>
    <m/>
    <m/>
    <d v="2019-06-10T00:00:00"/>
    <n v="22500"/>
    <m/>
    <m/>
    <m/>
    <m/>
    <m/>
    <m/>
    <n v="22500"/>
    <n v="300"/>
    <n v="2610000"/>
  </r>
  <r>
    <s v="170B/2019"/>
    <d v="2019-04-19T00:00:00"/>
    <s v="THANH THÚY"/>
    <s v="PKL01"/>
    <x v="150"/>
    <x v="173"/>
    <s v="BACARDI"/>
    <m/>
    <s v="18.20"/>
    <n v="150"/>
    <s v="NL2018"/>
    <m/>
    <n v="0"/>
    <n v="0"/>
    <x v="64"/>
    <n v="0"/>
    <x v="1"/>
    <d v="2019-05-29T00:00:00"/>
    <d v="2019-07-01T00:00:00"/>
    <d v="2019-07-01T00:00:00"/>
    <s v="29/5AL"/>
    <m/>
    <m/>
    <m/>
    <m/>
    <m/>
    <m/>
    <m/>
    <m/>
    <m/>
    <m/>
    <m/>
    <n v="0"/>
    <n v="0"/>
    <n v="0"/>
  </r>
  <r>
    <s v="170B/2019"/>
    <d v="2019-04-19T00:00:00"/>
    <s v="THANH THÚY"/>
    <s v="PKL01"/>
    <x v="150"/>
    <x v="173"/>
    <s v="BACARDI"/>
    <m/>
    <s v="18.20"/>
    <n v="150"/>
    <s v="NL2018"/>
    <m/>
    <n v="0"/>
    <n v="0"/>
    <x v="94"/>
    <n v="0"/>
    <x v="1"/>
    <d v="2019-06-29T00:00:00"/>
    <d v="2019-07-31T00:00:00"/>
    <d v="2019-07-31T00:00:00"/>
    <s v="29/6AL"/>
    <m/>
    <m/>
    <m/>
    <m/>
    <m/>
    <m/>
    <m/>
    <m/>
    <m/>
    <m/>
    <m/>
    <n v="0"/>
    <n v="0"/>
    <n v="0"/>
  </r>
  <r>
    <s v="170B/2019"/>
    <d v="2019-04-19T00:00:00"/>
    <s v="THANH THÚY"/>
    <s v="PKL01"/>
    <x v="150"/>
    <x v="173"/>
    <s v="BACARDI"/>
    <m/>
    <s v="18.20"/>
    <n v="150"/>
    <s v="NL2018"/>
    <m/>
    <n v="0"/>
    <n v="0"/>
    <x v="127"/>
    <n v="0"/>
    <x v="1"/>
    <d v="2019-07-29T00:00:00"/>
    <d v="2019-08-29T00:00:00"/>
    <d v="2019-08-29T00:00:00"/>
    <s v="29/6AL"/>
    <m/>
    <m/>
    <m/>
    <m/>
    <m/>
    <m/>
    <m/>
    <m/>
    <m/>
    <m/>
    <m/>
    <n v="0"/>
    <n v="0"/>
    <n v="0"/>
  </r>
  <r>
    <s v="170B/2019"/>
    <d v="2019-04-19T00:00:00"/>
    <s v="THANH THÚY"/>
    <s v="PKL01"/>
    <x v="150"/>
    <x v="173"/>
    <s v="BACARDI"/>
    <m/>
    <s v="18.20"/>
    <n v="150"/>
    <s v="NL2018"/>
    <m/>
    <n v="0"/>
    <n v="0"/>
    <x v="95"/>
    <n v="0"/>
    <x v="1"/>
    <d v="2019-08-29T00:00:00"/>
    <d v="2019-09-27T00:00:00"/>
    <d v="2019-09-27T00:00:00"/>
    <s v="29/6AL"/>
    <m/>
    <m/>
    <m/>
    <m/>
    <m/>
    <m/>
    <m/>
    <m/>
    <m/>
    <m/>
    <m/>
    <n v="0"/>
    <n v="0"/>
    <n v="0"/>
  </r>
  <r>
    <s v="42B/2019"/>
    <d v="2019-02-11T00:00:00"/>
    <s v="THANH THÚY"/>
    <s v="MT01"/>
    <x v="151"/>
    <x v="188"/>
    <s v="STENDHAL"/>
    <m/>
    <s v="16.18"/>
    <n v="200"/>
    <s v="NL2018"/>
    <m/>
    <n v="0"/>
    <n v="0"/>
    <x v="18"/>
    <n v="0"/>
    <x v="1"/>
    <d v="2019-02-05T00:00:00"/>
    <d v="2019-03-10T00:00:00"/>
    <d v="2019-03-10T00:00:00"/>
    <s v="07/2AL"/>
    <m/>
    <m/>
    <m/>
    <m/>
    <n v="0"/>
    <m/>
    <m/>
    <m/>
    <m/>
    <m/>
    <m/>
    <n v="0"/>
    <n v="0"/>
    <n v="0"/>
  </r>
  <r>
    <s v="42B/2019"/>
    <d v="2019-02-11T00:00:00"/>
    <s v="THANH THÚY"/>
    <s v="MT01"/>
    <x v="151"/>
    <x v="189"/>
    <s v="STENDHAL"/>
    <m/>
    <s v="18.20"/>
    <n v="150"/>
    <s v="NL2018"/>
    <m/>
    <n v="0"/>
    <n v="0"/>
    <x v="18"/>
    <n v="0"/>
    <x v="1"/>
    <d v="2019-02-05T00:00:00"/>
    <d v="2019-03-10T00:00:00"/>
    <d v="2019-03-10T00:00:00"/>
    <s v="07/2AL"/>
    <m/>
    <m/>
    <m/>
    <m/>
    <n v="0"/>
    <m/>
    <m/>
    <m/>
    <m/>
    <m/>
    <m/>
    <n v="0"/>
    <n v="0"/>
    <n v="0"/>
  </r>
  <r>
    <s v="42B/2019"/>
    <d v="2019-02-11T00:00:00"/>
    <s v="THANH THÚY"/>
    <s v="MT01"/>
    <x v="151"/>
    <x v="11"/>
    <s v="YELLOWEEN"/>
    <m/>
    <s v="12.14"/>
    <n v="400"/>
    <s v="NL2018"/>
    <m/>
    <n v="40"/>
    <n v="16000"/>
    <x v="12"/>
    <n v="41600000"/>
    <x v="0"/>
    <d v="2019-01-15T00:00:00"/>
    <d v="2019-02-19T00:00:00"/>
    <d v="2019-02-19T00:00:00"/>
    <s v="15/1AL"/>
    <m/>
    <m/>
    <m/>
    <d v="2019-02-19T00:00:00"/>
    <n v="16000"/>
    <m/>
    <m/>
    <m/>
    <m/>
    <m/>
    <m/>
    <n v="16000"/>
    <n v="0"/>
    <n v="0"/>
  </r>
  <r>
    <s v="45B/2019"/>
    <d v="2019-02-12T00:00:00"/>
    <s v="THANH THÚY"/>
    <s v="DN01"/>
    <x v="152"/>
    <x v="15"/>
    <s v="CONCADOR"/>
    <m/>
    <s v="16.18"/>
    <n v="200"/>
    <s v="NL2018"/>
    <m/>
    <n v="50"/>
    <n v="10000"/>
    <x v="0"/>
    <n v="47000000"/>
    <x v="0"/>
    <d v="2019-02-15T00:00:00"/>
    <d v="2019-03-20T00:00:00"/>
    <d v="2019-03-20T00:00:00"/>
    <s v="15/2AL"/>
    <s v="CONT 11/2019"/>
    <m/>
    <m/>
    <d v="2019-03-20T00:00:00"/>
    <n v="5000"/>
    <d v="2019-04-01T00:00:00"/>
    <n v="5000"/>
    <m/>
    <m/>
    <m/>
    <m/>
    <n v="10000"/>
    <n v="0"/>
    <n v="0"/>
  </r>
  <r>
    <s v="45B/2019"/>
    <d v="2019-02-12T00:00:00"/>
    <s v="THANH THÚY"/>
    <s v="DN01"/>
    <x v="152"/>
    <x v="34"/>
    <s v="TARRANGO"/>
    <m/>
    <s v="16.18"/>
    <n v="200"/>
    <s v="NL2018"/>
    <m/>
    <n v="50"/>
    <n v="10000"/>
    <x v="44"/>
    <n v="55000000"/>
    <x v="0"/>
    <d v="2019-02-15T00:00:00"/>
    <d v="2019-03-20T00:00:00"/>
    <d v="2019-03-20T00:00:00"/>
    <s v="15/2AL"/>
    <s v="CONT 12/2019"/>
    <m/>
    <m/>
    <d v="2019-03-20T00:00:00"/>
    <n v="6200"/>
    <d v="2019-04-01T00:00:00"/>
    <n v="3800"/>
    <m/>
    <m/>
    <m/>
    <m/>
    <n v="10000"/>
    <n v="0"/>
    <n v="0"/>
  </r>
  <r>
    <s v="165B/2019"/>
    <d v="2019-04-17T00:00:00"/>
    <s v="THANH THÚY"/>
    <s v="DN01"/>
    <x v="152"/>
    <x v="5"/>
    <s v="PROFUNDO"/>
    <m/>
    <s v="16.18"/>
    <n v="200"/>
    <s v="NL2018"/>
    <m/>
    <n v="13"/>
    <n v="2600"/>
    <x v="5"/>
    <n v="20020000"/>
    <x v="0"/>
    <d v="2019-03-15T00:00:00"/>
    <d v="2019-04-19T00:00:00"/>
    <d v="2019-04-19T00:00:00"/>
    <s v="15/3AL"/>
    <m/>
    <m/>
    <m/>
    <d v="2019-05-03T00:00:00"/>
    <n v="2600"/>
    <m/>
    <m/>
    <m/>
    <m/>
    <m/>
    <m/>
    <n v="2600"/>
    <n v="0"/>
    <n v="0"/>
  </r>
  <r>
    <s v="165B/2019"/>
    <d v="2019-04-17T00:00:00"/>
    <s v="THANH THÚY"/>
    <s v="DN01"/>
    <x v="152"/>
    <x v="80"/>
    <s v="PROFUNDO"/>
    <m/>
    <s v="14.16"/>
    <n v="300"/>
    <s v="NL2018"/>
    <m/>
    <n v="2"/>
    <n v="600"/>
    <x v="18"/>
    <n v="3000000"/>
    <x v="0"/>
    <d v="2019-03-15T00:00:00"/>
    <d v="2019-04-19T00:00:00"/>
    <d v="2019-04-19T00:00:00"/>
    <s v="15/3AL"/>
    <m/>
    <m/>
    <m/>
    <d v="2019-05-04T00:00:00"/>
    <n v="600"/>
    <m/>
    <m/>
    <m/>
    <m/>
    <m/>
    <m/>
    <n v="600"/>
    <n v="0"/>
    <n v="0"/>
  </r>
  <r>
    <s v="165B/2019"/>
    <d v="2019-04-17T00:00:00"/>
    <s v="THANH THÚY"/>
    <s v="DN01"/>
    <x v="152"/>
    <x v="62"/>
    <s v="BACARDI"/>
    <m/>
    <s v="15.16"/>
    <n v="300"/>
    <s v="NL2018"/>
    <m/>
    <n v="16"/>
    <n v="4800"/>
    <x v="13"/>
    <n v="21600000"/>
    <x v="0"/>
    <d v="2019-03-15T00:00:00"/>
    <d v="2019-04-19T00:00:00"/>
    <d v="2019-04-19T00:00:00"/>
    <s v="15/3AL"/>
    <m/>
    <m/>
    <m/>
    <d v="2019-04-24T00:00:00"/>
    <n v="4800"/>
    <m/>
    <m/>
    <m/>
    <m/>
    <m/>
    <m/>
    <n v="4800"/>
    <n v="0"/>
    <n v="0"/>
  </r>
  <r>
    <s v="165B/2019"/>
    <d v="2019-04-17T00:00:00"/>
    <s v="THANH THÚY"/>
    <s v="DN01"/>
    <x v="152"/>
    <x v="15"/>
    <s v="CONCADOR"/>
    <m/>
    <s v="16.18"/>
    <n v="200"/>
    <s v="NL2018"/>
    <m/>
    <n v="24"/>
    <n v="4800"/>
    <x v="9"/>
    <n v="29760000"/>
    <x v="0"/>
    <d v="2019-03-15T00:00:00"/>
    <d v="2019-04-19T00:00:00"/>
    <d v="2019-04-19T00:00:00"/>
    <s v="15/3AL"/>
    <m/>
    <m/>
    <m/>
    <d v="2019-04-24T00:00:00"/>
    <n v="4800"/>
    <m/>
    <m/>
    <m/>
    <m/>
    <m/>
    <m/>
    <n v="4800"/>
    <n v="0"/>
    <n v="0"/>
  </r>
  <r>
    <s v="122A/2019"/>
    <d v="2019-03-15T00:00:00"/>
    <s v="KIỀU THY"/>
    <s v="ML01"/>
    <x v="153"/>
    <x v="24"/>
    <s v="SERANO"/>
    <m/>
    <s v="14.16"/>
    <s v="300"/>
    <s v="NL2018"/>
    <m/>
    <n v="24"/>
    <n v="7200"/>
    <x v="68"/>
    <n v="25200000"/>
    <x v="0"/>
    <d v="2019-02-15T00:00:00"/>
    <d v="2019-03-20T00:00:00"/>
    <d v="2019-03-20T00:00:00"/>
    <s v="15/02AL"/>
    <s v="CONT 10/2019"/>
    <d v="2019-03-17T00:00:00"/>
    <m/>
    <d v="2019-03-25T00:00:00"/>
    <n v="7200"/>
    <m/>
    <m/>
    <m/>
    <m/>
    <m/>
    <m/>
    <n v="7200"/>
    <n v="0"/>
    <n v="0"/>
  </r>
  <r>
    <s v="122A/2019"/>
    <d v="2019-03-15T00:00:00"/>
    <s v="KIỀU THY"/>
    <s v="ML01"/>
    <x v="153"/>
    <x v="11"/>
    <s v="YELLOWEEN"/>
    <m/>
    <n v="12.14"/>
    <s v="400"/>
    <s v="NL2018"/>
    <m/>
    <n v="8"/>
    <n v="3200"/>
    <x v="12"/>
    <n v="8320000"/>
    <x v="0"/>
    <d v="2019-02-15T00:00:00"/>
    <d v="2019-03-20T00:00:00"/>
    <d v="2019-03-20T00:00:00"/>
    <s v="15/02AL"/>
    <s v="CONT 12/2019"/>
    <d v="2019-03-17T00:00:00"/>
    <m/>
    <d v="2019-03-25T00:00:00"/>
    <n v="3200"/>
    <m/>
    <m/>
    <m/>
    <m/>
    <m/>
    <m/>
    <n v="3200"/>
    <n v="0"/>
    <n v="0"/>
  </r>
  <r>
    <s v="122A/2019"/>
    <d v="2019-03-15T00:00:00"/>
    <s v="KIỀU THY"/>
    <s v="ML01"/>
    <x v="153"/>
    <x v="10"/>
    <s v="ARVANDRUD"/>
    <m/>
    <s v="16.18"/>
    <s v="200"/>
    <s v="NL2018"/>
    <m/>
    <n v="0"/>
    <n v="0"/>
    <x v="44"/>
    <n v="0"/>
    <x v="1"/>
    <d v="2019-03-15T00:00:00"/>
    <d v="2019-04-19T00:00:00"/>
    <d v="2019-04-19T00:00:00"/>
    <s v="15/3AL"/>
    <s v="CONT 21/2019"/>
    <d v="2019-04-14T00:00:00"/>
    <m/>
    <m/>
    <n v="0"/>
    <m/>
    <m/>
    <m/>
    <m/>
    <m/>
    <m/>
    <n v="0"/>
    <n v="0"/>
    <n v="0"/>
  </r>
  <r>
    <s v="122A/2019"/>
    <d v="2019-03-15T00:00:00"/>
    <s v="KIỀU THY"/>
    <s v="ML01"/>
    <x v="153"/>
    <x v="15"/>
    <s v="CONCADOR"/>
    <m/>
    <s v="16.18"/>
    <s v="200"/>
    <s v="NL2018"/>
    <m/>
    <n v="50"/>
    <n v="10000"/>
    <x v="18"/>
    <n v="50000000"/>
    <x v="0"/>
    <d v="2019-03-15T00:00:00"/>
    <d v="2019-04-19T00:00:00"/>
    <d v="2019-04-19T00:00:00"/>
    <s v="15/3AL"/>
    <s v="CONT 21/2019"/>
    <d v="2019-04-14T00:00:00"/>
    <m/>
    <d v="2019-04-24T00:00:00"/>
    <n v="10000"/>
    <m/>
    <m/>
    <m/>
    <m/>
    <m/>
    <m/>
    <n v="10000"/>
    <n v="0"/>
    <n v="0"/>
  </r>
  <r>
    <s v="122A/2019"/>
    <d v="2019-03-15T00:00:00"/>
    <s v="KIỀU THY"/>
    <s v="ML01"/>
    <x v="153"/>
    <x v="22"/>
    <s v="ROBINA"/>
    <m/>
    <s v="16.18"/>
    <s v="200"/>
    <s v="NL2018"/>
    <m/>
    <n v="100"/>
    <n v="20000"/>
    <x v="83"/>
    <n v="103400000"/>
    <x v="0"/>
    <d v="2019-04-17T00:00:00"/>
    <d v="2019-05-21T00:00:00"/>
    <d v="2019-05-21T00:00:00"/>
    <s v="30/3AL"/>
    <m/>
    <m/>
    <m/>
    <d v="2019-05-20T00:00:00"/>
    <n v="10000"/>
    <d v="2019-06-08T00:00:00"/>
    <n v="10000"/>
    <m/>
    <m/>
    <m/>
    <m/>
    <n v="20000"/>
    <n v="0"/>
    <n v="0"/>
  </r>
  <r>
    <s v="122A/2019"/>
    <d v="2019-03-15T00:00:00"/>
    <s v="KIỀU THY"/>
    <s v="ML01"/>
    <x v="153"/>
    <x v="11"/>
    <s v="YELLOWEEN"/>
    <m/>
    <n v="12.14"/>
    <s v="400"/>
    <s v="NL2018"/>
    <m/>
    <n v="0"/>
    <n v="0"/>
    <x v="47"/>
    <n v="0"/>
    <x v="1"/>
    <d v="2019-04-17T00:00:00"/>
    <d v="2019-05-21T00:00:00"/>
    <d v="2019-05-21T00:00:00"/>
    <s v="30/3AL"/>
    <m/>
    <m/>
    <m/>
    <m/>
    <n v="0"/>
    <m/>
    <m/>
    <m/>
    <m/>
    <m/>
    <m/>
    <n v="0"/>
    <n v="0"/>
    <n v="0"/>
  </r>
  <r>
    <s v="150A/2019"/>
    <d v="2019-03-15T00:00:00"/>
    <s v="KIỀU THY"/>
    <s v="ML01"/>
    <x v="153"/>
    <x v="6"/>
    <s v="CONCADOR"/>
    <m/>
    <s v="20.22"/>
    <s v="125"/>
    <s v="NL2018"/>
    <m/>
    <n v="160"/>
    <n v="20000"/>
    <x v="59"/>
    <n v="210000000"/>
    <x v="2"/>
    <d v="2019-09-01T00:00:00"/>
    <d v="2019-09-29T00:00:00"/>
    <d v="2019-09-29T00:00:00"/>
    <s v="TẾT"/>
    <m/>
    <m/>
    <m/>
    <m/>
    <m/>
    <m/>
    <m/>
    <m/>
    <m/>
    <m/>
    <m/>
    <n v="0"/>
    <n v="20000"/>
    <n v="210000000"/>
  </r>
  <r>
    <s v="150A/2019"/>
    <d v="2019-03-15T00:00:00"/>
    <s v="KIỀU THY"/>
    <s v="ML01"/>
    <x v="153"/>
    <x v="16"/>
    <s v="ROBINA"/>
    <m/>
    <s v="20.22"/>
    <s v="125"/>
    <s v="NL2018"/>
    <m/>
    <n v="160"/>
    <n v="20000"/>
    <x v="59"/>
    <n v="210000000"/>
    <x v="2"/>
    <d v="2019-09-01T00:00:00"/>
    <d v="2019-09-29T00:00:00"/>
    <d v="2019-09-29T00:00:00"/>
    <s v="TẾT"/>
    <m/>
    <m/>
    <m/>
    <m/>
    <m/>
    <m/>
    <m/>
    <m/>
    <m/>
    <m/>
    <m/>
    <n v="0"/>
    <n v="20000"/>
    <n v="210000000"/>
  </r>
  <r>
    <s v="192A/2019"/>
    <d v="2019-04-12T00:00:00"/>
    <s v="KIỀU THY"/>
    <s v="ML01"/>
    <x v="153"/>
    <x v="22"/>
    <s v="ROBINA"/>
    <m/>
    <s v="16.18"/>
    <s v="200"/>
    <s v="NL2018"/>
    <m/>
    <n v="50"/>
    <n v="10000"/>
    <x v="11"/>
    <n v="54000000"/>
    <x v="3"/>
    <d v="2019-05-18T00:00:00"/>
    <d v="2019-06-20T00:00:00"/>
    <d v="2019-06-20T00:00:00"/>
    <s v="18/5AL"/>
    <m/>
    <m/>
    <m/>
    <m/>
    <m/>
    <m/>
    <m/>
    <m/>
    <m/>
    <m/>
    <m/>
    <n v="0"/>
    <n v="10000"/>
    <n v="54000000"/>
  </r>
  <r>
    <s v="192A/2019"/>
    <d v="2019-06-08T00:00:00"/>
    <s v="KIỀU THY"/>
    <s v="ML01"/>
    <x v="153"/>
    <x v="22"/>
    <s v="ROBINA"/>
    <m/>
    <s v="16.18"/>
    <s v="200"/>
    <s v="NL2018"/>
    <m/>
    <n v="100"/>
    <n v="20000"/>
    <x v="11"/>
    <n v="108000000"/>
    <x v="3"/>
    <d v="2019-06-15T00:00:00"/>
    <d v="2019-07-17T00:00:00"/>
    <d v="2019-07-17T00:00:00"/>
    <m/>
    <m/>
    <m/>
    <m/>
    <m/>
    <m/>
    <m/>
    <m/>
    <m/>
    <m/>
    <m/>
    <m/>
    <n v="0"/>
    <n v="20000"/>
    <n v="108000000"/>
  </r>
  <r>
    <s v="193A/2019"/>
    <d v="2019-04-12T00:00:00"/>
    <s v="KIỀU THY"/>
    <s v="ML01"/>
    <x v="153"/>
    <x v="25"/>
    <s v="CONCADOR"/>
    <m/>
    <s v="18.20"/>
    <s v="150"/>
    <s v="NL2018"/>
    <m/>
    <n v="0"/>
    <n v="0"/>
    <x v="27"/>
    <n v="0"/>
    <x v="1"/>
    <d v="2019-09-01T00:00:00"/>
    <d v="2019-09-29T00:00:00"/>
    <d v="2019-09-29T00:00:00"/>
    <s v="TẾT"/>
    <m/>
    <m/>
    <m/>
    <m/>
    <m/>
    <m/>
    <m/>
    <m/>
    <m/>
    <m/>
    <m/>
    <n v="0"/>
    <n v="0"/>
    <n v="0"/>
  </r>
  <r>
    <s v="193A/2019"/>
    <d v="2019-04-12T00:00:00"/>
    <s v="KIỀU THY"/>
    <s v="ML01"/>
    <x v="153"/>
    <x v="47"/>
    <s v="ROBINA"/>
    <m/>
    <s v="18.20"/>
    <s v="150"/>
    <s v="NL2018"/>
    <m/>
    <n v="0"/>
    <n v="0"/>
    <x v="118"/>
    <n v="0"/>
    <x v="1"/>
    <d v="2019-09-01T00:00:00"/>
    <d v="2019-09-29T00:00:00"/>
    <d v="2019-09-29T00:00:00"/>
    <s v="TẾT"/>
    <m/>
    <m/>
    <m/>
    <m/>
    <m/>
    <m/>
    <m/>
    <m/>
    <m/>
    <m/>
    <m/>
    <n v="0"/>
    <n v="0"/>
    <n v="0"/>
  </r>
  <r>
    <s v="193A/2019"/>
    <d v="2019-04-12T00:00:00"/>
    <s v="KIỀU THY"/>
    <s v="ML01"/>
    <x v="153"/>
    <x v="64"/>
    <s v="TARRANGO"/>
    <m/>
    <s v="18.20"/>
    <s v="150"/>
    <s v="NL2018"/>
    <m/>
    <n v="34"/>
    <n v="5100"/>
    <x v="115"/>
    <n v="47430000"/>
    <x v="2"/>
    <d v="2019-09-01T00:00:00"/>
    <d v="2019-09-29T00:00:00"/>
    <d v="2019-09-29T00:00:00"/>
    <s v="TẾT"/>
    <m/>
    <m/>
    <m/>
    <m/>
    <m/>
    <m/>
    <m/>
    <m/>
    <m/>
    <m/>
    <m/>
    <n v="0"/>
    <n v="5100"/>
    <n v="47430000"/>
  </r>
  <r>
    <m/>
    <m/>
    <m/>
    <m/>
    <x v="154"/>
    <x v="47"/>
    <s v="ROBINA"/>
    <m/>
    <s v="18.20"/>
    <s v="150"/>
    <s v="NL2018"/>
    <m/>
    <n v="9"/>
    <n v="1350"/>
    <x v="93"/>
    <m/>
    <x v="4"/>
    <m/>
    <s v=""/>
    <s v=""/>
    <m/>
    <m/>
    <m/>
    <m/>
    <m/>
    <m/>
    <m/>
    <m/>
    <m/>
    <m/>
    <m/>
    <m/>
    <n v="0"/>
    <n v="1350"/>
    <n v="0"/>
  </r>
  <r>
    <m/>
    <m/>
    <m/>
    <m/>
    <x v="154"/>
    <x v="15"/>
    <s v="CONCADOR"/>
    <m/>
    <s v="16.18"/>
    <s v="200"/>
    <s v="NL2018"/>
    <m/>
    <n v="25"/>
    <n v="5000"/>
    <x v="93"/>
    <m/>
    <x v="4"/>
    <m/>
    <s v=""/>
    <s v=""/>
    <m/>
    <m/>
    <m/>
    <m/>
    <m/>
    <m/>
    <m/>
    <m/>
    <m/>
    <m/>
    <m/>
    <m/>
    <n v="0"/>
    <n v="5000"/>
    <n v="0"/>
  </r>
  <r>
    <m/>
    <m/>
    <m/>
    <m/>
    <x v="154"/>
    <x v="22"/>
    <s v="ROBINA"/>
    <m/>
    <s v="16.18"/>
    <s v="200"/>
    <s v="NL2018"/>
    <m/>
    <n v="30"/>
    <n v="6000"/>
    <x v="93"/>
    <m/>
    <x v="4"/>
    <m/>
    <s v=""/>
    <s v=""/>
    <m/>
    <m/>
    <m/>
    <m/>
    <m/>
    <m/>
    <m/>
    <m/>
    <m/>
    <m/>
    <m/>
    <m/>
    <n v="0"/>
    <n v="6000"/>
    <n v="0"/>
  </r>
  <r>
    <m/>
    <m/>
    <m/>
    <m/>
    <x v="155"/>
    <x v="91"/>
    <s v="FERRERO"/>
    <m/>
    <s v="13.14"/>
    <s v="400"/>
    <s v="NL2018"/>
    <m/>
    <n v="38"/>
    <n v="15200"/>
    <x v="93"/>
    <m/>
    <x v="4"/>
    <m/>
    <s v=""/>
    <s v=""/>
    <m/>
    <m/>
    <m/>
    <m/>
    <m/>
    <m/>
    <m/>
    <m/>
    <m/>
    <m/>
    <m/>
    <m/>
    <n v="0"/>
    <n v="15200"/>
    <n v="0"/>
  </r>
  <r>
    <m/>
    <m/>
    <m/>
    <m/>
    <x v="156"/>
    <x v="190"/>
    <m/>
    <m/>
    <m/>
    <m/>
    <m/>
    <m/>
    <m/>
    <m/>
    <x v="93"/>
    <m/>
    <x v="5"/>
    <m/>
    <s v=""/>
    <s v=""/>
    <m/>
    <m/>
    <m/>
    <m/>
    <m/>
    <m/>
    <m/>
    <m/>
    <m/>
    <m/>
    <m/>
    <m/>
    <n v="0"/>
    <n v="0"/>
    <n v="0"/>
  </r>
  <r>
    <m/>
    <m/>
    <m/>
    <m/>
    <x v="156"/>
    <x v="190"/>
    <m/>
    <m/>
    <m/>
    <m/>
    <m/>
    <m/>
    <m/>
    <m/>
    <x v="93"/>
    <m/>
    <x v="5"/>
    <m/>
    <s v=""/>
    <s v=""/>
    <m/>
    <m/>
    <m/>
    <m/>
    <m/>
    <m/>
    <m/>
    <m/>
    <m/>
    <m/>
    <m/>
    <m/>
    <n v="0"/>
    <n v="0"/>
    <n v="0"/>
  </r>
  <r>
    <m/>
    <m/>
    <m/>
    <m/>
    <x v="156"/>
    <x v="190"/>
    <m/>
    <m/>
    <m/>
    <m/>
    <m/>
    <m/>
    <m/>
    <m/>
    <x v="93"/>
    <m/>
    <x v="5"/>
    <m/>
    <s v=""/>
    <s v=""/>
    <m/>
    <m/>
    <m/>
    <m/>
    <m/>
    <m/>
    <m/>
    <m/>
    <m/>
    <m/>
    <m/>
    <m/>
    <n v="0"/>
    <n v="0"/>
    <n v="0"/>
  </r>
  <r>
    <m/>
    <m/>
    <m/>
    <m/>
    <x v="156"/>
    <x v="190"/>
    <m/>
    <m/>
    <m/>
    <m/>
    <m/>
    <m/>
    <m/>
    <m/>
    <x v="93"/>
    <m/>
    <x v="5"/>
    <m/>
    <s v=""/>
    <s v=""/>
    <m/>
    <m/>
    <m/>
    <m/>
    <m/>
    <m/>
    <m/>
    <m/>
    <m/>
    <m/>
    <m/>
    <m/>
    <n v="0"/>
    <n v="0"/>
    <n v="0"/>
  </r>
  <r>
    <m/>
    <m/>
    <m/>
    <m/>
    <x v="156"/>
    <x v="190"/>
    <m/>
    <m/>
    <m/>
    <m/>
    <m/>
    <m/>
    <m/>
    <m/>
    <x v="93"/>
    <m/>
    <x v="5"/>
    <m/>
    <s v=""/>
    <s v=""/>
    <m/>
    <m/>
    <m/>
    <m/>
    <m/>
    <m/>
    <m/>
    <m/>
    <m/>
    <m/>
    <m/>
    <m/>
    <n v="0"/>
    <n v="0"/>
    <n v="0"/>
  </r>
  <r>
    <m/>
    <m/>
    <m/>
    <m/>
    <x v="156"/>
    <x v="190"/>
    <m/>
    <m/>
    <m/>
    <m/>
    <m/>
    <m/>
    <m/>
    <m/>
    <x v="93"/>
    <m/>
    <x v="5"/>
    <m/>
    <m/>
    <m/>
    <m/>
    <m/>
    <m/>
    <m/>
    <m/>
    <m/>
    <m/>
    <m/>
    <m/>
    <m/>
    <m/>
    <m/>
    <m/>
    <m/>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872">
  <r>
    <s v="68A/2019"/>
    <d v="2019-04-25T00:00:00"/>
    <s v="KIỀU THY"/>
    <s v="TU05"/>
    <x v="0"/>
    <x v="0"/>
    <s v="ELDIVO"/>
    <m/>
    <s v="14.16"/>
    <n v="300"/>
    <s v="NL2018"/>
    <m/>
    <n v="10"/>
    <n v="3000"/>
    <x v="0"/>
    <n v="14100000"/>
    <x v="0"/>
    <d v="2019-05-05T00:00:00"/>
    <d v="2019-06-07T00:00:00"/>
    <d v="2019-06-07T00:00:00"/>
    <s v="5/5AL"/>
    <m/>
    <m/>
    <m/>
    <d v="2019-06-08T00:00:00"/>
    <n v="3000"/>
    <m/>
    <m/>
    <m/>
    <m/>
    <m/>
    <m/>
    <n v="3000"/>
    <n v="0"/>
    <n v="0"/>
  </r>
  <r>
    <s v="68A/2019"/>
    <d v="2019-05-09T00:00:00"/>
    <s v="KIỀU THY"/>
    <s v="TU05"/>
    <x v="0"/>
    <x v="1"/>
    <s v="EREMO"/>
    <m/>
    <s v="14.16"/>
    <n v="300"/>
    <s v="NL2018"/>
    <m/>
    <n v="10"/>
    <n v="3000"/>
    <x v="1"/>
    <n v="12600000"/>
    <x v="0"/>
    <d v="2019-05-05T00:00:00"/>
    <d v="2019-06-07T00:00:00"/>
    <d v="2019-06-07T00:00:00"/>
    <s v="5/5AL"/>
    <m/>
    <m/>
    <m/>
    <d v="2019-06-08T00:00:00"/>
    <n v="3000"/>
    <m/>
    <m/>
    <m/>
    <m/>
    <m/>
    <m/>
    <n v="3000"/>
    <n v="0"/>
    <n v="0"/>
  </r>
  <r>
    <s v="68A/2019"/>
    <d v="2019-05-30T00:00:00"/>
    <s v="KIỀU THY"/>
    <s v="TU05"/>
    <x v="0"/>
    <x v="1"/>
    <s v="EREMO"/>
    <m/>
    <s v="14.16"/>
    <n v="300"/>
    <s v="NL2018"/>
    <m/>
    <n v="0"/>
    <n v="0"/>
    <x v="2"/>
    <n v="0"/>
    <x v="1"/>
    <d v="2019-06-15T00:00:00"/>
    <d v="2019-07-17T00:00:00"/>
    <d v="2019-07-17T00:00:00"/>
    <m/>
    <m/>
    <m/>
    <m/>
    <m/>
    <m/>
    <m/>
    <m/>
    <m/>
    <m/>
    <m/>
    <m/>
    <n v="0"/>
    <n v="0"/>
    <n v="0"/>
  </r>
  <r>
    <s v="68A/2019"/>
    <d v="2019-05-30T00:00:00"/>
    <s v="KIỀU THY"/>
    <s v="TU05"/>
    <x v="0"/>
    <x v="2"/>
    <s v="NASHVILLE"/>
    <m/>
    <s v="14.16"/>
    <n v="300"/>
    <s v="NL2018"/>
    <m/>
    <n v="0"/>
    <n v="0"/>
    <x v="3"/>
    <n v="0"/>
    <x v="1"/>
    <d v="2019-06-15T00:00:00"/>
    <d v="2019-07-17T00:00:00"/>
    <d v="2019-07-17T00:00:00"/>
    <m/>
    <m/>
    <m/>
    <m/>
    <m/>
    <m/>
    <m/>
    <m/>
    <m/>
    <m/>
    <m/>
    <m/>
    <n v="0"/>
    <n v="0"/>
    <n v="0"/>
  </r>
  <r>
    <s v="68A/2019"/>
    <d v="2019-02-22T00:00:00"/>
    <s v="KIỀU THY"/>
    <s v="TU05"/>
    <x v="0"/>
    <x v="3"/>
    <s v="PAVIA"/>
    <m/>
    <s v="12.14"/>
    <n v="400"/>
    <s v="NL2018"/>
    <m/>
    <n v="8"/>
    <n v="3200"/>
    <x v="4"/>
    <n v="8960000"/>
    <x v="0"/>
    <d v="2019-03-15T00:00:00"/>
    <d v="2019-04-19T00:00:00"/>
    <d v="2019-04-19T00:00:00"/>
    <s v="15/3AL"/>
    <s v="CONT 20/2019"/>
    <d v="2019-04-14T00:00:00"/>
    <m/>
    <d v="2019-04-03T00:00:00"/>
    <n v="3200"/>
    <m/>
    <m/>
    <m/>
    <m/>
    <m/>
    <m/>
    <n v="3200"/>
    <n v="0"/>
    <n v="0"/>
  </r>
  <r>
    <s v="68A/2019"/>
    <d v="2019-02-22T00:00:00"/>
    <s v="KIỀU THY"/>
    <s v="TU05"/>
    <x v="0"/>
    <x v="4"/>
    <s v="TEBALDI"/>
    <m/>
    <s v="14.16"/>
    <n v="300"/>
    <s v="NL2018"/>
    <m/>
    <n v="10"/>
    <n v="3000"/>
    <x v="3"/>
    <n v="12300000"/>
    <x v="0"/>
    <d v="2019-03-15T00:00:00"/>
    <d v="2019-04-19T00:00:00"/>
    <d v="2019-04-19T00:00:00"/>
    <s v="15/3AL"/>
    <s v="CONT 24/2019"/>
    <d v="2019-04-14T00:00:00"/>
    <m/>
    <d v="2019-04-03T00:00:00"/>
    <n v="3000"/>
    <m/>
    <m/>
    <m/>
    <m/>
    <m/>
    <m/>
    <n v="3000"/>
    <n v="0"/>
    <n v="0"/>
  </r>
  <r>
    <s v="68A/2019"/>
    <d v="2019-05-09T00:00:00"/>
    <s v="KIỀU THY"/>
    <s v="TU05"/>
    <x v="0"/>
    <x v="5"/>
    <s v="PROFUNDO"/>
    <m/>
    <s v="16.18"/>
    <n v="200"/>
    <s v="NL2018"/>
    <m/>
    <n v="5"/>
    <n v="1000"/>
    <x v="5"/>
    <n v="7700000"/>
    <x v="0"/>
    <d v="2019-03-15T00:00:00"/>
    <d v="2019-04-19T00:00:00"/>
    <d v="2019-04-19T00:00:00"/>
    <s v="15/3AL"/>
    <m/>
    <m/>
    <m/>
    <d v="2019-05-09T00:00:00"/>
    <n v="1000"/>
    <m/>
    <m/>
    <m/>
    <m/>
    <m/>
    <m/>
    <n v="1000"/>
    <n v="0"/>
    <n v="0"/>
  </r>
  <r>
    <s v="68A/2019"/>
    <d v="2019-02-22T00:00:00"/>
    <s v="KIỀU THY"/>
    <s v="TU05"/>
    <x v="0"/>
    <x v="2"/>
    <s v="NASHVILLE"/>
    <m/>
    <s v="14.16"/>
    <n v="300"/>
    <s v="NL2018"/>
    <m/>
    <n v="10"/>
    <n v="3000"/>
    <x v="6"/>
    <n v="11400000"/>
    <x v="0"/>
    <d v="2019-04-17T00:00:00"/>
    <d v="2019-05-21T00:00:00"/>
    <d v="2019-05-21T00:00:00"/>
    <s v="30/3AL"/>
    <m/>
    <m/>
    <m/>
    <d v="2019-05-24T00:00:00"/>
    <n v="3000"/>
    <m/>
    <m/>
    <m/>
    <m/>
    <m/>
    <m/>
    <n v="3000"/>
    <n v="0"/>
    <n v="0"/>
  </r>
  <r>
    <s v="68A/2019"/>
    <d v="2019-02-22T00:00:00"/>
    <s v="KIỀU THY"/>
    <s v="TU05"/>
    <x v="0"/>
    <x v="4"/>
    <s v="TEBALDI"/>
    <m/>
    <s v="14.16"/>
    <n v="300"/>
    <s v="NL2018"/>
    <m/>
    <n v="10"/>
    <n v="3000"/>
    <x v="3"/>
    <n v="12300000"/>
    <x v="0"/>
    <d v="2019-04-17T00:00:00"/>
    <d v="2019-05-21T00:00:00"/>
    <d v="2019-05-21T00:00:00"/>
    <s v="30/3AL"/>
    <m/>
    <m/>
    <m/>
    <d v="2019-05-24T00:00:00"/>
    <n v="3000"/>
    <m/>
    <m/>
    <m/>
    <m/>
    <m/>
    <m/>
    <n v="3000"/>
    <n v="0"/>
    <n v="0"/>
  </r>
  <r>
    <s v="171A/2019"/>
    <d v="2019-04-04T00:00:00"/>
    <s v="KIỀU THY"/>
    <s v="TU05"/>
    <x v="0"/>
    <x v="6"/>
    <s v="CONCADOR"/>
    <m/>
    <s v="20.22"/>
    <n v="125"/>
    <s v="NL2018"/>
    <m/>
    <n v="80"/>
    <n v="10000"/>
    <x v="7"/>
    <n v="106000000"/>
    <x v="2"/>
    <d v="2019-09-01T00:00:00"/>
    <d v="2019-09-29T00:00:00"/>
    <d v="2019-09-29T00:00:00"/>
    <s v="TẾT"/>
    <m/>
    <m/>
    <m/>
    <m/>
    <m/>
    <m/>
    <m/>
    <m/>
    <m/>
    <m/>
    <m/>
    <n v="0"/>
    <n v="10000"/>
    <n v="106000000"/>
  </r>
  <r>
    <s v="171A/2019"/>
    <d v="2019-04-04T00:00:00"/>
    <s v="KIỀU THY"/>
    <s v="TU05"/>
    <x v="0"/>
    <x v="7"/>
    <s v="PROFUNDO"/>
    <m/>
    <s v="18.20"/>
    <n v="150"/>
    <s v="NL2018"/>
    <m/>
    <n v="34"/>
    <n v="5100"/>
    <x v="8"/>
    <n v="55080000"/>
    <x v="2"/>
    <d v="2019-09-01T00:00:00"/>
    <d v="2019-09-29T00:00:00"/>
    <d v="2019-09-29T00:00:00"/>
    <s v="TẾT"/>
    <m/>
    <m/>
    <m/>
    <m/>
    <m/>
    <m/>
    <m/>
    <m/>
    <m/>
    <m/>
    <m/>
    <n v="0"/>
    <n v="5100"/>
    <n v="55080000"/>
  </r>
  <r>
    <s v="171A/2019"/>
    <d v="2019-04-04T00:00:00"/>
    <s v="KIỀU THY"/>
    <s v="TU05"/>
    <x v="0"/>
    <x v="8"/>
    <s v="TEBALDI"/>
    <m/>
    <s v="16.18"/>
    <n v="200"/>
    <s v="NL2018"/>
    <m/>
    <n v="25"/>
    <n v="5000"/>
    <x v="9"/>
    <n v="31000000"/>
    <x v="2"/>
    <d v="2019-09-01T00:00:00"/>
    <d v="2019-09-29T00:00:00"/>
    <d v="2019-09-29T00:00:00"/>
    <s v="TẾT"/>
    <m/>
    <m/>
    <m/>
    <m/>
    <m/>
    <m/>
    <m/>
    <m/>
    <m/>
    <m/>
    <m/>
    <n v="0"/>
    <n v="5000"/>
    <n v="31000000"/>
  </r>
  <r>
    <s v="171A/2019"/>
    <d v="2019-04-04T00:00:00"/>
    <s v="KIỀU THY"/>
    <s v="TU05"/>
    <x v="0"/>
    <x v="9"/>
    <s v="MANISSA"/>
    <m/>
    <s v="22.24"/>
    <n v="100"/>
    <s v="NL2018"/>
    <m/>
    <n v="50"/>
    <n v="5000"/>
    <x v="10"/>
    <n v="77000000"/>
    <x v="2"/>
    <d v="2019-09-01T00:00:00"/>
    <d v="2019-09-29T00:00:00"/>
    <d v="2019-09-29T00:00:00"/>
    <s v="TẾT"/>
    <m/>
    <m/>
    <m/>
    <m/>
    <m/>
    <m/>
    <m/>
    <m/>
    <m/>
    <m/>
    <m/>
    <n v="0"/>
    <n v="5000"/>
    <n v="77000000"/>
  </r>
  <r>
    <s v="68A/2019"/>
    <d v="2019-06-14T00:00:00"/>
    <s v="KIỀU THY"/>
    <s v="TU05"/>
    <x v="0"/>
    <x v="10"/>
    <s v="ARVANDRUD"/>
    <m/>
    <s v="16.18"/>
    <n v="200"/>
    <s v="NL2018"/>
    <m/>
    <n v="15"/>
    <n v="3000"/>
    <x v="11"/>
    <n v="16200000"/>
    <x v="0"/>
    <d v="2019-04-17T00:00:00"/>
    <d v="2019-05-21T00:00:00"/>
    <d v="2019-05-21T00:00:00"/>
    <m/>
    <m/>
    <m/>
    <m/>
    <d v="2019-06-14T00:00:00"/>
    <n v="3000"/>
    <m/>
    <m/>
    <m/>
    <m/>
    <m/>
    <m/>
    <n v="3000"/>
    <n v="0"/>
    <n v="0"/>
  </r>
  <r>
    <s v="68A/2019"/>
    <d v="2019-02-22T00:00:00"/>
    <s v="KIỀU THY"/>
    <s v="TU05"/>
    <x v="0"/>
    <x v="3"/>
    <s v="PAVIA"/>
    <m/>
    <s v="12.14"/>
    <n v="400"/>
    <s v="NL2018"/>
    <m/>
    <n v="8"/>
    <n v="3200"/>
    <x v="4"/>
    <n v="8960000"/>
    <x v="0"/>
    <s v="30-Feb-19"/>
    <d v="2019-04-04T00:00:00"/>
    <d v="2019-04-04T00:00:00"/>
    <s v="30/2AL"/>
    <s v="CONT 14/2019"/>
    <d v="2019-03-31T00:00:00"/>
    <s v="R"/>
    <d v="2019-05-09T00:00:00"/>
    <n v="3200"/>
    <m/>
    <m/>
    <m/>
    <m/>
    <m/>
    <m/>
    <n v="3200"/>
    <n v="0"/>
    <n v="0"/>
  </r>
  <r>
    <s v="68A/2019"/>
    <d v="2019-02-22T00:00:00"/>
    <s v="KIỀU THY"/>
    <s v="TU05"/>
    <x v="0"/>
    <x v="4"/>
    <s v="TEBALDI"/>
    <m/>
    <s v="14.16"/>
    <n v="300"/>
    <s v="NL2018"/>
    <m/>
    <n v="10"/>
    <n v="3000"/>
    <x v="3"/>
    <n v="12300000"/>
    <x v="0"/>
    <s v="30-Feb-19"/>
    <d v="2019-04-04T00:00:00"/>
    <d v="2019-04-04T00:00:00"/>
    <s v="30/2AL"/>
    <s v="CONT 15/2019"/>
    <d v="2019-03-31T00:00:00"/>
    <s v="R"/>
    <d v="2019-05-09T00:00:00"/>
    <n v="3000"/>
    <m/>
    <m/>
    <m/>
    <m/>
    <m/>
    <m/>
    <n v="3000"/>
    <n v="0"/>
    <n v="0"/>
  </r>
  <r>
    <s v="62A/2019"/>
    <d v="2019-02-19T00:00:00"/>
    <s v="KIỀU THY"/>
    <s v="HT02"/>
    <x v="1"/>
    <x v="2"/>
    <s v="NASHVILLE"/>
    <m/>
    <s v="14.16"/>
    <n v="300"/>
    <s v="NL2018"/>
    <m/>
    <n v="14"/>
    <n v="4200"/>
    <x v="6"/>
    <n v="15960000"/>
    <x v="0"/>
    <d v="2019-04-17T00:00:00"/>
    <d v="2019-05-21T00:00:00"/>
    <d v="2019-05-21T00:00:00"/>
    <s v="30/3AL"/>
    <m/>
    <m/>
    <m/>
    <d v="2019-05-19T00:00:00"/>
    <n v="4200"/>
    <m/>
    <m/>
    <m/>
    <m/>
    <m/>
    <m/>
    <n v="4200"/>
    <n v="0"/>
    <n v="0"/>
  </r>
  <r>
    <s v="62A/2019"/>
    <d v="2019-02-19T00:00:00"/>
    <s v="KIỀU THY"/>
    <s v="HT02"/>
    <x v="1"/>
    <x v="11"/>
    <s v="YELLOWEEN"/>
    <m/>
    <s v="12.14"/>
    <n v="400"/>
    <s v="NL2018"/>
    <m/>
    <n v="10"/>
    <n v="4000"/>
    <x v="12"/>
    <n v="10400000"/>
    <x v="0"/>
    <d v="2019-01-15T00:00:00"/>
    <d v="2019-02-19T00:00:00"/>
    <d v="2019-02-19T00:00:00"/>
    <s v="15/1AL"/>
    <m/>
    <m/>
    <s v="R"/>
    <d v="2019-02-22T00:00:00"/>
    <n v="4000"/>
    <m/>
    <m/>
    <m/>
    <m/>
    <m/>
    <m/>
    <n v="4000"/>
    <n v="0"/>
    <n v="0"/>
  </r>
  <r>
    <s v="62A/2019"/>
    <d v="2019-02-19T00:00:00"/>
    <s v="KIỀU THY"/>
    <s v="HT02"/>
    <x v="1"/>
    <x v="11"/>
    <s v="YELLOWEEN"/>
    <m/>
    <s v="12.14"/>
    <n v="400"/>
    <s v="NL2018"/>
    <m/>
    <n v="5"/>
    <n v="2000"/>
    <x v="12"/>
    <n v="5200000"/>
    <x v="0"/>
    <s v="30-Feb-19"/>
    <d v="2019-04-04T00:00:00"/>
    <d v="2019-04-04T00:00:00"/>
    <s v="30/2AL"/>
    <s v="CONT 18/2019"/>
    <d v="2019-03-31T00:00:00"/>
    <m/>
    <d v="2019-04-03T00:00:00"/>
    <n v="2000"/>
    <m/>
    <m/>
    <m/>
    <m/>
    <m/>
    <m/>
    <n v="2000"/>
    <n v="0"/>
    <n v="0"/>
  </r>
  <r>
    <s v="208A/2019"/>
    <d v="2019-04-29T00:00:00"/>
    <s v="KIỀU THY"/>
    <s v="DC03"/>
    <x v="2"/>
    <x v="12"/>
    <s v="AMATERAS"/>
    <m/>
    <s v="14.16"/>
    <s v="300"/>
    <s v="NL2018"/>
    <m/>
    <n v="50"/>
    <n v="15000"/>
    <x v="13"/>
    <n v="67500000"/>
    <x v="0"/>
    <d v="2019-05-05T00:00:00"/>
    <d v="2019-06-07T00:00:00"/>
    <d v="2019-06-07T00:00:00"/>
    <s v="5/5AL"/>
    <m/>
    <m/>
    <m/>
    <d v="2019-06-08T00:00:00"/>
    <n v="15000"/>
    <m/>
    <m/>
    <m/>
    <m/>
    <m/>
    <m/>
    <n v="15000"/>
    <n v="0"/>
    <n v="0"/>
  </r>
  <r>
    <s v="208A/2019"/>
    <d v="2019-04-29T00:00:00"/>
    <s v="KIỀU THY"/>
    <s v="DC03"/>
    <x v="2"/>
    <x v="3"/>
    <s v="PAVIA"/>
    <m/>
    <s v="12.14"/>
    <s v="400"/>
    <s v="NL2018"/>
    <m/>
    <n v="18"/>
    <n v="7200"/>
    <x v="14"/>
    <n v="20880000"/>
    <x v="0"/>
    <d v="2019-05-05T00:00:00"/>
    <d v="2019-06-07T00:00:00"/>
    <d v="2019-06-07T00:00:00"/>
    <s v="5/5AL"/>
    <m/>
    <m/>
    <m/>
    <d v="2019-06-08T00:00:00"/>
    <n v="5200"/>
    <d v="2019-06-18T00:00:00"/>
    <s v="2000"/>
    <m/>
    <m/>
    <m/>
    <m/>
    <n v="7200"/>
    <n v="0"/>
    <n v="0"/>
  </r>
  <r>
    <s v="208A/2019"/>
    <d v="2019-05-08T00:00:00"/>
    <s v="KIỀU THY"/>
    <s v="DC03"/>
    <x v="2"/>
    <x v="3"/>
    <s v="PAVIA"/>
    <m/>
    <s v="12.14"/>
    <s v="400"/>
    <s v="NL2018"/>
    <m/>
    <n v="0"/>
    <n v="0"/>
    <x v="14"/>
    <n v="0"/>
    <x v="1"/>
    <d v="2019-05-25T00:00:00"/>
    <d v="2019-06-27T00:00:00"/>
    <d v="2019-06-27T00:00:00"/>
    <m/>
    <m/>
    <m/>
    <m/>
    <m/>
    <m/>
    <m/>
    <m/>
    <m/>
    <m/>
    <m/>
    <m/>
    <n v="0"/>
    <n v="0"/>
    <n v="0"/>
  </r>
  <r>
    <s v="208A/2019"/>
    <d v="2019-05-08T00:00:00"/>
    <s v="KIỀU THY"/>
    <s v="DC03"/>
    <x v="2"/>
    <x v="13"/>
    <s v="AMATERAS"/>
    <m/>
    <s v="14.16"/>
    <s v="275"/>
    <s v="NL2018"/>
    <m/>
    <n v="0"/>
    <n v="0"/>
    <x v="13"/>
    <n v="0"/>
    <x v="1"/>
    <d v="2019-05-18T00:00:00"/>
    <d v="2019-06-20T00:00:00"/>
    <d v="2019-06-20T00:00:00"/>
    <m/>
    <m/>
    <m/>
    <m/>
    <m/>
    <m/>
    <m/>
    <m/>
    <m/>
    <m/>
    <m/>
    <m/>
    <n v="0"/>
    <n v="0"/>
    <n v="0"/>
  </r>
  <r>
    <s v="164B/2019"/>
    <d v="2019-04-09T00:00:00"/>
    <s v="THANH THÚY"/>
    <s v="VT18"/>
    <x v="3"/>
    <x v="9"/>
    <s v="MANISSA"/>
    <m/>
    <s v="22.24"/>
    <s v="100"/>
    <s v="NL2018"/>
    <m/>
    <n v="200"/>
    <n v="20000"/>
    <x v="10"/>
    <n v="308000000"/>
    <x v="2"/>
    <d v="2019-09-01T00:00:00"/>
    <d v="2019-09-29T00:00:00"/>
    <d v="2019-09-29T00:00:00"/>
    <s v="TẾT"/>
    <m/>
    <m/>
    <m/>
    <m/>
    <n v="0"/>
    <m/>
    <m/>
    <m/>
    <m/>
    <m/>
    <m/>
    <n v="0"/>
    <n v="20000"/>
    <n v="308000000"/>
  </r>
  <r>
    <s v="164B/2019"/>
    <d v="2019-04-09T00:00:00"/>
    <s v="THANH THÚY"/>
    <s v="VT18"/>
    <x v="3"/>
    <x v="14"/>
    <s v="TARRANGO CHILE"/>
    <m/>
    <s v="20.22"/>
    <s v="125"/>
    <s v="NL2018"/>
    <m/>
    <n v="160"/>
    <n v="20000"/>
    <x v="15"/>
    <n v="246000000"/>
    <x v="2"/>
    <d v="2019-09-01T00:00:00"/>
    <d v="2019-09-29T00:00:00"/>
    <d v="2019-09-29T00:00:00"/>
    <s v="TẾT"/>
    <m/>
    <m/>
    <m/>
    <m/>
    <n v="0"/>
    <m/>
    <m/>
    <m/>
    <m/>
    <m/>
    <m/>
    <n v="0"/>
    <n v="20000"/>
    <n v="246000000"/>
  </r>
  <r>
    <s v="51A/2019"/>
    <d v="2019-02-16T00:00:00"/>
    <s v="KIỀU THY"/>
    <s v="VQ01"/>
    <x v="4"/>
    <x v="15"/>
    <s v="CONCADOR "/>
    <m/>
    <s v="16.18"/>
    <n v="200"/>
    <s v="NL2018"/>
    <m/>
    <n v="0"/>
    <n v="0"/>
    <x v="0"/>
    <n v="0"/>
    <x v="1"/>
    <d v="2019-07-15T00:00:00"/>
    <d v="2019-08-15T00:00:00"/>
    <d v="2019-08-15T00:00:00"/>
    <s v="NHẮC KH CỌC. KH TRỒNG RẰM THÁNG 7"/>
    <m/>
    <m/>
    <s v="CHƯA CỌC, CHƯA XẾP LỊCH"/>
    <m/>
    <n v="0"/>
    <m/>
    <m/>
    <m/>
    <m/>
    <m/>
    <m/>
    <n v="0"/>
    <n v="0"/>
    <n v="0"/>
  </r>
  <r>
    <s v="51A/2019"/>
    <d v="2019-05-20T00:00:00"/>
    <s v="KIỀU THY"/>
    <s v="VQ01"/>
    <x v="4"/>
    <x v="6"/>
    <s v="CONCADOR "/>
    <m/>
    <s v="20.22"/>
    <n v="125"/>
    <s v="NL2018"/>
    <m/>
    <n v="80"/>
    <n v="10000"/>
    <x v="7"/>
    <n v="106000000"/>
    <x v="2"/>
    <d v="2019-09-01T00:00:00"/>
    <d v="2019-09-29T00:00:00"/>
    <d v="2019-09-29T00:00:00"/>
    <s v="TẾT"/>
    <m/>
    <m/>
    <m/>
    <m/>
    <m/>
    <m/>
    <m/>
    <m/>
    <m/>
    <m/>
    <m/>
    <n v="0"/>
    <n v="10000"/>
    <n v="106000000"/>
  </r>
  <r>
    <s v="51A/2019"/>
    <d v="2019-05-20T00:00:00"/>
    <s v="KIỀU THY"/>
    <s v="VQ01"/>
    <x v="4"/>
    <x v="16"/>
    <s v="ROBINA"/>
    <m/>
    <s v="20.22"/>
    <n v="125"/>
    <s v="NL2018"/>
    <m/>
    <n v="80"/>
    <n v="10000"/>
    <x v="16"/>
    <n v="107000000"/>
    <x v="2"/>
    <d v="2019-09-01T00:00:00"/>
    <d v="2019-09-29T00:00:00"/>
    <d v="2019-09-29T00:00:00"/>
    <s v="TẾT"/>
    <m/>
    <m/>
    <m/>
    <m/>
    <m/>
    <m/>
    <m/>
    <m/>
    <m/>
    <m/>
    <m/>
    <n v="0"/>
    <n v="10000"/>
    <n v="107000000"/>
  </r>
  <r>
    <s v="32A/2019"/>
    <d v="2019-01-15T00:00:00"/>
    <s v="KIỀU THY"/>
    <s v="TP01"/>
    <x v="5"/>
    <x v="17"/>
    <s v="NELLO "/>
    <m/>
    <s v="12.14"/>
    <n v="400"/>
    <s v="NL2018"/>
    <m/>
    <n v="6"/>
    <n v="2400"/>
    <x v="17"/>
    <n v="7200000"/>
    <x v="0"/>
    <d v="2019-01-15T00:00:00"/>
    <d v="2019-02-19T00:00:00"/>
    <d v="2019-02-19T00:00:00"/>
    <s v="15/1AL"/>
    <m/>
    <m/>
    <s v="R"/>
    <d v="2019-02-22T00:00:00"/>
    <n v="2400"/>
    <m/>
    <m/>
    <m/>
    <m/>
    <m/>
    <m/>
    <n v="2400"/>
    <n v="0"/>
    <n v="0"/>
  </r>
  <r>
    <s v="32A/2019"/>
    <d v="2019-01-15T00:00:00"/>
    <s v="KIỀU THY"/>
    <s v="TP01"/>
    <x v="5"/>
    <x v="3"/>
    <s v="PAVIA"/>
    <m/>
    <s v="12.14"/>
    <n v="400"/>
    <s v="NL2018"/>
    <m/>
    <n v="6"/>
    <n v="2400"/>
    <x v="4"/>
    <n v="6720000"/>
    <x v="0"/>
    <d v="2019-01-15T00:00:00"/>
    <d v="2019-02-19T00:00:00"/>
    <d v="2019-02-19T00:00:00"/>
    <s v="15/1AL"/>
    <m/>
    <m/>
    <s v="R"/>
    <d v="2019-02-22T00:00:00"/>
    <n v="2400"/>
    <m/>
    <m/>
    <m/>
    <m/>
    <m/>
    <m/>
    <n v="2400"/>
    <n v="0"/>
    <n v="0"/>
  </r>
  <r>
    <s v="32A/2019"/>
    <d v="2019-01-15T00:00:00"/>
    <s v="KIỀU THY"/>
    <s v="TP01"/>
    <x v="5"/>
    <x v="11"/>
    <s v="YELLOWEEN"/>
    <m/>
    <s v="12.14"/>
    <n v="400"/>
    <s v="NL2018"/>
    <m/>
    <n v="6"/>
    <n v="2400"/>
    <x v="12"/>
    <n v="6240000"/>
    <x v="0"/>
    <d v="2019-01-15T00:00:00"/>
    <d v="2019-02-19T00:00:00"/>
    <d v="2019-02-19T00:00:00"/>
    <s v="15/1AL"/>
    <m/>
    <m/>
    <s v="R"/>
    <d v="2019-02-22T00:00:00"/>
    <n v="2400"/>
    <m/>
    <m/>
    <m/>
    <m/>
    <m/>
    <m/>
    <n v="2400"/>
    <n v="0"/>
    <n v="0"/>
  </r>
  <r>
    <s v="32A/2019"/>
    <d v="2019-01-15T00:00:00"/>
    <s v="KIỀU THY"/>
    <s v="TP01"/>
    <x v="5"/>
    <x v="18"/>
    <s v="STENDHAL"/>
    <m/>
    <s v="16.18"/>
    <n v="200"/>
    <s v="NL2017"/>
    <m/>
    <n v="25"/>
    <n v="5000"/>
    <x v="18"/>
    <n v="25000000"/>
    <x v="0"/>
    <d v="2019-02-07T00:00:00"/>
    <d v="2019-03-12T00:00:00"/>
    <d v="2019-03-12T00:00:00"/>
    <s v="07/2AL"/>
    <s v="CONT 87/2018"/>
    <m/>
    <s v="R"/>
    <d v="2019-03-16T00:00:00"/>
    <n v="5000"/>
    <m/>
    <m/>
    <m/>
    <m/>
    <m/>
    <m/>
    <n v="5000"/>
    <n v="0"/>
    <n v="0"/>
  </r>
  <r>
    <s v="32A/2019"/>
    <d v="2019-01-15T00:00:00"/>
    <s v="KIỀU THY"/>
    <s v="TP01"/>
    <x v="5"/>
    <x v="19"/>
    <s v="PAVIA"/>
    <m/>
    <s v="12.14"/>
    <n v="400"/>
    <s v="NL2017"/>
    <m/>
    <n v="18"/>
    <n v="7200"/>
    <x v="19"/>
    <n v="14400000"/>
    <x v="0"/>
    <d v="2019-02-15T00:00:00"/>
    <d v="2019-03-20T00:00:00"/>
    <d v="2019-03-20T00:00:00"/>
    <s v="15/2AL"/>
    <s v="CONT 9/2019"/>
    <d v="2019-03-17T00:00:00"/>
    <s v="R"/>
    <d v="2019-03-19T00:00:00"/>
    <n v="7200"/>
    <m/>
    <m/>
    <m/>
    <m/>
    <m/>
    <m/>
    <n v="7200"/>
    <n v="0"/>
    <n v="0"/>
  </r>
  <r>
    <s v="32A/2019"/>
    <d v="2019-01-15T00:00:00"/>
    <s v="KIỀU THY"/>
    <s v="TP01"/>
    <x v="5"/>
    <x v="8"/>
    <s v="TEBALDI"/>
    <m/>
    <s v="16.18"/>
    <n v="200"/>
    <s v="NL2018"/>
    <m/>
    <n v="5"/>
    <n v="1000"/>
    <x v="20"/>
    <n v="6100000"/>
    <x v="2"/>
    <d v="2019-09-01T00:00:00"/>
    <d v="2019-09-29T00:00:00"/>
    <d v="2019-09-29T00:00:00"/>
    <s v="TẾT"/>
    <m/>
    <m/>
    <m/>
    <m/>
    <m/>
    <m/>
    <m/>
    <m/>
    <m/>
    <m/>
    <m/>
    <n v="0"/>
    <n v="1000"/>
    <n v="6100000"/>
  </r>
  <r>
    <s v="32A/2019"/>
    <d v="2019-01-15T00:00:00"/>
    <s v="KIỀU THY"/>
    <s v="TP01"/>
    <x v="5"/>
    <x v="20"/>
    <s v="AMATERAS"/>
    <m/>
    <s v="12.14"/>
    <n v="400"/>
    <s v="NL2018"/>
    <m/>
    <n v="12"/>
    <n v="4800"/>
    <x v="4"/>
    <n v="13440000"/>
    <x v="0"/>
    <s v="30-Feb-19"/>
    <d v="2019-04-04T00:00:00"/>
    <d v="2019-04-04T00:00:00"/>
    <s v="30/2AL"/>
    <s v="CONT 16/2019"/>
    <d v="2019-03-31T00:00:00"/>
    <s v="R"/>
    <d v="2019-04-03T00:00:00"/>
    <n v="4800"/>
    <m/>
    <m/>
    <m/>
    <m/>
    <m/>
    <m/>
    <n v="4800"/>
    <n v="0"/>
    <n v="0"/>
  </r>
  <r>
    <s v="32A/2019"/>
    <d v="2019-01-15T00:00:00"/>
    <s v="KIỀU THY"/>
    <s v="TP01"/>
    <x v="5"/>
    <x v="3"/>
    <s v="PAVIA"/>
    <m/>
    <s v="12.14"/>
    <n v="400"/>
    <s v="NL2018"/>
    <m/>
    <n v="6"/>
    <n v="2400"/>
    <x v="4"/>
    <n v="6720000"/>
    <x v="0"/>
    <s v="30-Feb-19"/>
    <d v="2019-04-04T00:00:00"/>
    <d v="2019-04-04T00:00:00"/>
    <s v="30/2AL"/>
    <s v="CONT 14/2019"/>
    <d v="2019-03-31T00:00:00"/>
    <s v="R"/>
    <d v="2019-04-03T00:00:00"/>
    <n v="2400"/>
    <m/>
    <m/>
    <m/>
    <m/>
    <m/>
    <m/>
    <n v="2400"/>
    <n v="0"/>
    <n v="0"/>
  </r>
  <r>
    <s v="218A/2019"/>
    <d v="2019-05-18T00:00:00"/>
    <s v="KIỀU THY"/>
    <s v="TD05"/>
    <x v="6"/>
    <x v="12"/>
    <s v="AMATERAS"/>
    <m/>
    <s v="14.16"/>
    <s v="300"/>
    <s v="NL2018"/>
    <m/>
    <n v="34"/>
    <n v="10200"/>
    <x v="13"/>
    <n v="45900000"/>
    <x v="3"/>
    <d v="2019-05-30T00:00:00"/>
    <d v="2019-07-02T00:00:00"/>
    <d v="2019-07-02T00:00:00"/>
    <m/>
    <m/>
    <m/>
    <m/>
    <m/>
    <m/>
    <m/>
    <m/>
    <m/>
    <m/>
    <m/>
    <m/>
    <n v="0"/>
    <n v="10200"/>
    <n v="45900000"/>
  </r>
  <r>
    <s v="218A/2019"/>
    <d v="2019-06-18T00:00:00"/>
    <s v="KIỀU THY"/>
    <s v="TD05"/>
    <x v="6"/>
    <x v="2"/>
    <s v="NASHVILLE"/>
    <m/>
    <s v="14.16"/>
    <s v="300"/>
    <s v="NL2018"/>
    <m/>
    <n v="34"/>
    <n v="10200"/>
    <x v="3"/>
    <n v="41820000"/>
    <x v="3"/>
    <d v="2019-06-15T00:00:00"/>
    <d v="2019-07-17T00:00:00"/>
    <d v="2019-07-17T00:00:00"/>
    <m/>
    <m/>
    <m/>
    <m/>
    <m/>
    <m/>
    <m/>
    <m/>
    <m/>
    <m/>
    <m/>
    <m/>
    <n v="0"/>
    <n v="10200"/>
    <n v="41820000"/>
  </r>
  <r>
    <s v="218A/2019"/>
    <d v="2019-05-21T00:00:00"/>
    <s v="KIỀU THY"/>
    <s v="TD05"/>
    <x v="6"/>
    <x v="12"/>
    <s v="AMATERAS"/>
    <m/>
    <s v="14.16"/>
    <s v="300"/>
    <s v="NL2018"/>
    <m/>
    <n v="27"/>
    <n v="8100"/>
    <x v="21"/>
    <n v="37260000"/>
    <x v="2"/>
    <d v="2019-06-25T00:00:00"/>
    <d v="2019-07-27T00:00:00"/>
    <d v="2019-07-27T00:00:00"/>
    <m/>
    <m/>
    <m/>
    <m/>
    <m/>
    <m/>
    <m/>
    <m/>
    <m/>
    <m/>
    <m/>
    <m/>
    <n v="0"/>
    <n v="8100"/>
    <n v="37260000"/>
  </r>
  <r>
    <s v="218A/2019"/>
    <d v="2019-05-28T00:00:00"/>
    <s v="KIỀU THY"/>
    <s v="TD05"/>
    <x v="6"/>
    <x v="10"/>
    <s v="ARVANDRUD"/>
    <m/>
    <s v="16.18"/>
    <s v="200"/>
    <s v="NL2018"/>
    <m/>
    <n v="31"/>
    <n v="6200"/>
    <x v="11"/>
    <n v="33480000"/>
    <x v="0"/>
    <d v="2019-04-17T00:00:00"/>
    <d v="2019-05-21T00:00:00"/>
    <d v="2019-05-21T00:00:00"/>
    <m/>
    <m/>
    <m/>
    <m/>
    <d v="2019-06-14T00:00:00"/>
    <n v="6200"/>
    <m/>
    <m/>
    <m/>
    <m/>
    <m/>
    <m/>
    <n v="6200"/>
    <n v="0"/>
    <n v="0"/>
  </r>
  <r>
    <s v="218A/2019"/>
    <d v="2019-05-21T00:00:00"/>
    <s v="KIỀU THY"/>
    <s v="TD05"/>
    <x v="6"/>
    <x v="1"/>
    <s v="EREMO"/>
    <m/>
    <s v="14.16"/>
    <s v="300"/>
    <s v="NL2018"/>
    <m/>
    <n v="7"/>
    <n v="2100"/>
    <x v="2"/>
    <n v="9240000"/>
    <x v="2"/>
    <d v="2019-06-25T00:00:00"/>
    <d v="2019-07-27T00:00:00"/>
    <d v="2019-07-27T00:00:00"/>
    <m/>
    <m/>
    <m/>
    <m/>
    <m/>
    <m/>
    <m/>
    <m/>
    <m/>
    <m/>
    <m/>
    <m/>
    <n v="0"/>
    <n v="2100"/>
    <n v="9240000"/>
  </r>
  <r>
    <s v="221A/2019"/>
    <d v="2019-05-21T00:00:00"/>
    <s v="KIỀU THY"/>
    <s v="TD05"/>
    <x v="6"/>
    <x v="21"/>
    <s v="SERANO"/>
    <m/>
    <s v="18.20"/>
    <s v="150"/>
    <s v="NL2018"/>
    <m/>
    <n v="67"/>
    <n v="10050"/>
    <x v="5"/>
    <n v="77385000"/>
    <x v="2"/>
    <d v="2019-09-01T00:00:00"/>
    <d v="2019-09-29T00:00:00"/>
    <d v="2019-09-29T00:00:00"/>
    <s v="TẾT"/>
    <m/>
    <m/>
    <m/>
    <m/>
    <m/>
    <m/>
    <m/>
    <m/>
    <m/>
    <m/>
    <m/>
    <n v="0"/>
    <n v="10050"/>
    <n v="77385000"/>
  </r>
  <r>
    <s v="221A/2019"/>
    <d v="2019-05-21T00:00:00"/>
    <s v="KIỀU THY"/>
    <s v="TD05"/>
    <x v="6"/>
    <x v="7"/>
    <s v="PROFUNDO"/>
    <m/>
    <s v="18.20"/>
    <s v="150"/>
    <s v="NL2018"/>
    <m/>
    <n v="67"/>
    <n v="10050"/>
    <x v="22"/>
    <n v="109545000"/>
    <x v="2"/>
    <d v="2019-09-01T00:00:00"/>
    <d v="2019-09-29T00:00:00"/>
    <d v="2019-09-29T00:00:00"/>
    <s v="TẾT"/>
    <m/>
    <m/>
    <m/>
    <m/>
    <m/>
    <m/>
    <m/>
    <m/>
    <m/>
    <m/>
    <m/>
    <n v="0"/>
    <n v="10050"/>
    <n v="109545000"/>
  </r>
  <r>
    <s v="107A/2019"/>
    <d v="2019-03-11T00:00:00"/>
    <s v="KIỀU THY"/>
    <s v="DT05"/>
    <x v="7"/>
    <x v="15"/>
    <s v="CONCADOR"/>
    <m/>
    <n v="16.18"/>
    <n v="200"/>
    <s v="NL2018"/>
    <m/>
    <n v="5"/>
    <n v="1000"/>
    <x v="18"/>
    <n v="5000000"/>
    <x v="0"/>
    <d v="2019-03-15T00:00:00"/>
    <d v="2019-04-19T00:00:00"/>
    <d v="2019-04-19T00:00:00"/>
    <s v="15/3AL"/>
    <s v="CONT 21/2019"/>
    <d v="2019-04-14T00:00:00"/>
    <m/>
    <d v="2019-04-24T00:00:00"/>
    <n v="1000"/>
    <m/>
    <m/>
    <m/>
    <m/>
    <m/>
    <m/>
    <n v="1000"/>
    <n v="0"/>
    <n v="0"/>
  </r>
  <r>
    <s v="107A/2019"/>
    <d v="2019-03-11T00:00:00"/>
    <s v="KIỀU THY"/>
    <s v="DT05"/>
    <x v="7"/>
    <x v="22"/>
    <s v="ROBINA"/>
    <m/>
    <n v="16.18"/>
    <n v="200"/>
    <s v="NL2018"/>
    <m/>
    <n v="15"/>
    <n v="3000"/>
    <x v="23"/>
    <n v="14400000"/>
    <x v="0"/>
    <d v="2019-03-15T00:00:00"/>
    <d v="2019-04-19T00:00:00"/>
    <d v="2019-04-19T00:00:00"/>
    <s v="15/3AL"/>
    <s v="CONT 25/2019"/>
    <d v="2019-04-14T00:00:00"/>
    <m/>
    <d v="2019-04-24T00:00:00"/>
    <n v="3000"/>
    <m/>
    <m/>
    <m/>
    <m/>
    <m/>
    <m/>
    <n v="3000"/>
    <n v="0"/>
    <n v="0"/>
  </r>
  <r>
    <s v="107A/2019"/>
    <d v="2019-03-11T00:00:00"/>
    <s v="KIỀU THY"/>
    <s v="DT05"/>
    <x v="7"/>
    <x v="23"/>
    <s v="FELINO"/>
    <m/>
    <n v="15.16"/>
    <n v="250"/>
    <s v="NL2018"/>
    <m/>
    <n v="5"/>
    <n v="1250"/>
    <x v="24"/>
    <n v="7125000"/>
    <x v="0"/>
    <d v="2019-03-15T00:00:00"/>
    <d v="2019-04-19T00:00:00"/>
    <d v="2019-04-19T00:00:00"/>
    <s v="15/3AL"/>
    <m/>
    <m/>
    <m/>
    <d v="2019-04-24T00:00:00"/>
    <n v="1250"/>
    <m/>
    <m/>
    <m/>
    <m/>
    <m/>
    <m/>
    <n v="1250"/>
    <n v="0"/>
    <n v="0"/>
  </r>
  <r>
    <s v="107A/2019"/>
    <d v="2019-03-11T00:00:00"/>
    <s v="KIỀU THY"/>
    <s v="DT05"/>
    <x v="7"/>
    <x v="22"/>
    <s v="ROBINA"/>
    <m/>
    <n v="16.18"/>
    <n v="200"/>
    <s v="NL2018"/>
    <m/>
    <n v="15"/>
    <n v="3000"/>
    <x v="23"/>
    <n v="14400000"/>
    <x v="0"/>
    <d v="2019-03-15T00:00:00"/>
    <d v="2019-04-19T00:00:00"/>
    <d v="2019-04-19T00:00:00"/>
    <s v="15/3AL"/>
    <m/>
    <m/>
    <m/>
    <d v="2019-04-24T00:00:00"/>
    <n v="3000"/>
    <m/>
    <m/>
    <m/>
    <m/>
    <m/>
    <m/>
    <n v="3000"/>
    <n v="0"/>
    <n v="0"/>
  </r>
  <r>
    <s v="107A/2019"/>
    <d v="2019-03-11T00:00:00"/>
    <s v="KIỀU THY"/>
    <s v="DT05"/>
    <x v="7"/>
    <x v="24"/>
    <s v="SERANO"/>
    <m/>
    <s v="14.16"/>
    <n v="300"/>
    <s v="NL2018"/>
    <m/>
    <n v="10"/>
    <n v="3000"/>
    <x v="25"/>
    <n v="10800000"/>
    <x v="0"/>
    <d v="2019-04-17T00:00:00"/>
    <d v="2019-05-21T00:00:00"/>
    <d v="2019-05-21T00:00:00"/>
    <s v="15/4AL"/>
    <m/>
    <m/>
    <m/>
    <d v="2019-05-20T00:00:00"/>
    <n v="3000"/>
    <m/>
    <m/>
    <m/>
    <m/>
    <m/>
    <m/>
    <n v="3000"/>
    <n v="0"/>
    <n v="0"/>
  </r>
  <r>
    <s v="107A/2019"/>
    <d v="2019-03-11T00:00:00"/>
    <s v="KIỀU THY"/>
    <s v="DT05"/>
    <x v="7"/>
    <x v="22"/>
    <s v="ROBINA"/>
    <m/>
    <n v="16.18"/>
    <n v="200"/>
    <s v="NL2018"/>
    <m/>
    <n v="35"/>
    <n v="7000"/>
    <x v="18"/>
    <n v="35000000"/>
    <x v="0"/>
    <d v="2019-04-17T00:00:00"/>
    <d v="2019-05-21T00:00:00"/>
    <d v="2019-05-21T00:00:00"/>
    <s v="15/4AL"/>
    <m/>
    <m/>
    <m/>
    <d v="2019-05-20T00:00:00"/>
    <n v="7000"/>
    <m/>
    <m/>
    <m/>
    <m/>
    <m/>
    <m/>
    <n v="7000"/>
    <n v="0"/>
    <n v="0"/>
  </r>
  <r>
    <s v="205A/2019"/>
    <d v="2019-04-24T00:00:00"/>
    <s v="KIỀU THY"/>
    <s v="DT05"/>
    <x v="7"/>
    <x v="22"/>
    <s v="ROBINA"/>
    <m/>
    <n v="16.18"/>
    <n v="200"/>
    <s v="NL2018"/>
    <m/>
    <n v="35"/>
    <n v="7000"/>
    <x v="26"/>
    <n v="40600000"/>
    <x v="2"/>
    <d v="2019-09-01T00:00:00"/>
    <d v="2019-09-29T00:00:00"/>
    <d v="2019-09-29T00:00:00"/>
    <s v="TẾT"/>
    <m/>
    <m/>
    <m/>
    <m/>
    <m/>
    <m/>
    <m/>
    <m/>
    <m/>
    <m/>
    <m/>
    <n v="0"/>
    <n v="7000"/>
    <n v="40600000"/>
  </r>
  <r>
    <s v="205A/2019"/>
    <d v="2019-04-24T00:00:00"/>
    <s v="KIỀU THY"/>
    <s v="DT05"/>
    <x v="7"/>
    <x v="25"/>
    <s v="CONCADOR"/>
    <m/>
    <s v="18.20"/>
    <n v="150"/>
    <s v="NL2018"/>
    <m/>
    <n v="20"/>
    <n v="3000"/>
    <x v="27"/>
    <n v="24000000"/>
    <x v="2"/>
    <d v="2019-09-01T00:00:00"/>
    <d v="2019-09-29T00:00:00"/>
    <d v="2019-09-29T00:00:00"/>
    <s v="TẾT"/>
    <m/>
    <m/>
    <m/>
    <m/>
    <m/>
    <m/>
    <m/>
    <m/>
    <m/>
    <m/>
    <m/>
    <n v="0"/>
    <n v="3000"/>
    <n v="24000000"/>
  </r>
  <r>
    <s v="11B/2019"/>
    <d v="2019-12-21T00:00:00"/>
    <s v="THANH THÚY"/>
    <s v="DD01"/>
    <x v="8"/>
    <x v="17"/>
    <s v="NELLO "/>
    <m/>
    <s v="12.14"/>
    <n v="400"/>
    <s v="NL2018"/>
    <m/>
    <n v="63"/>
    <n v="25200"/>
    <x v="17"/>
    <n v="75600000"/>
    <x v="0"/>
    <d v="2019-01-15T00:00:00"/>
    <d v="2019-02-19T00:00:00"/>
    <d v="2019-02-19T00:00:00"/>
    <s v="15/1AL"/>
    <m/>
    <m/>
    <m/>
    <d v="2019-02-22T00:00:00"/>
    <n v="17600"/>
    <d v="2019-04-23T00:00:00"/>
    <n v="6000"/>
    <d v="2019-05-02T00:00:00"/>
    <n v="1600"/>
    <m/>
    <m/>
    <n v="25200"/>
    <n v="0"/>
    <n v="0"/>
  </r>
  <r>
    <s v="11B/2019"/>
    <d v="2019-12-21T00:00:00"/>
    <s v="THANH THÚY"/>
    <s v="DD01"/>
    <x v="8"/>
    <x v="20"/>
    <s v="AMATERAS"/>
    <m/>
    <s v="12.14"/>
    <n v="400"/>
    <s v="NL2018"/>
    <m/>
    <n v="23"/>
    <n v="9200"/>
    <x v="4"/>
    <n v="25760000"/>
    <x v="0"/>
    <d v="2019-02-15T00:00:00"/>
    <d v="2019-03-20T00:00:00"/>
    <d v="2019-03-20T00:00:00"/>
    <s v="15/2AL"/>
    <s v="CONT 9/2019"/>
    <m/>
    <m/>
    <d v="2019-03-29T00:00:00"/>
    <n v="4800"/>
    <d v="2019-04-01T00:00:00"/>
    <n v="4400"/>
    <m/>
    <m/>
    <m/>
    <m/>
    <n v="9200"/>
    <n v="0"/>
    <n v="0"/>
  </r>
  <r>
    <s v="147B/2019"/>
    <d v="2019-04-01T00:00:00"/>
    <s v="THANH THÚY"/>
    <s v="DD01"/>
    <x v="8"/>
    <x v="13"/>
    <s v="AMATERAS"/>
    <m/>
    <s v="14.16"/>
    <n v="275"/>
    <s v="NL2018"/>
    <m/>
    <n v="15"/>
    <n v="4125"/>
    <x v="1"/>
    <n v="17325000"/>
    <x v="0"/>
    <s v="ÔNG LỘC"/>
    <s v=""/>
    <s v=""/>
    <s v="15/3AL"/>
    <m/>
    <m/>
    <m/>
    <d v="2019-04-17T00:00:00"/>
    <n v="4125"/>
    <m/>
    <m/>
    <m/>
    <m/>
    <m/>
    <m/>
    <n v="4125"/>
    <n v="0"/>
    <n v="0"/>
  </r>
  <r>
    <s v="147B/2019"/>
    <d v="2019-04-01T00:00:00"/>
    <s v="THANH THÚY"/>
    <s v="DD01"/>
    <x v="8"/>
    <x v="4"/>
    <s v="TEBALDI"/>
    <m/>
    <s v="14.16"/>
    <n v="300"/>
    <s v="NL2018"/>
    <m/>
    <n v="7"/>
    <n v="2100"/>
    <x v="1"/>
    <n v="8820000"/>
    <x v="0"/>
    <d v="2019-03-10T00:00:00"/>
    <d v="2019-04-14T00:00:00"/>
    <d v="2019-04-14T00:00:00"/>
    <s v="15/3AL"/>
    <m/>
    <m/>
    <m/>
    <d v="2019-04-17T00:00:00"/>
    <n v="2100"/>
    <m/>
    <m/>
    <m/>
    <m/>
    <m/>
    <m/>
    <n v="2100"/>
    <n v="0"/>
    <n v="0"/>
  </r>
  <r>
    <s v="161B/2019"/>
    <d v="2019-04-08T00:00:00"/>
    <s v="THANH THÚY"/>
    <s v="DD01"/>
    <x v="8"/>
    <x v="19"/>
    <s v="PAVIA 2017"/>
    <m/>
    <s v="12.14"/>
    <n v="400"/>
    <s v="NL2017"/>
    <m/>
    <n v="13"/>
    <n v="5200"/>
    <x v="19"/>
    <n v="10400000"/>
    <x v="0"/>
    <d v="2019-03-04T00:00:00"/>
    <d v="2019-04-08T00:00:00"/>
    <d v="2019-04-08T00:00:00"/>
    <s v="4/3AL"/>
    <m/>
    <m/>
    <m/>
    <d v="2019-04-08T00:00:00"/>
    <n v="5200"/>
    <m/>
    <m/>
    <m/>
    <m/>
    <m/>
    <m/>
    <n v="5200"/>
    <n v="0"/>
    <n v="0"/>
  </r>
  <r>
    <s v="11B/2019"/>
    <d v="2019-12-21T00:00:00"/>
    <s v="THANH THÚY"/>
    <s v="DD01"/>
    <x v="8"/>
    <x v="17"/>
    <s v="NELLO "/>
    <m/>
    <s v="12.14"/>
    <n v="400"/>
    <s v="NL2018"/>
    <m/>
    <n v="75"/>
    <n v="30000"/>
    <x v="17"/>
    <n v="90000000"/>
    <x v="0"/>
    <d v="2019-03-10T00:00:00"/>
    <d v="2019-04-14T00:00:00"/>
    <d v="2019-04-14T00:00:00"/>
    <s v="15/3AL"/>
    <s v="CONT 20/2019"/>
    <m/>
    <m/>
    <d v="2019-05-02T00:00:00"/>
    <n v="4400"/>
    <d v="2019-05-08T00:00:00"/>
    <n v="5200"/>
    <d v="2019-05-17T00:00:00"/>
    <n v="20400"/>
    <m/>
    <m/>
    <n v="30000"/>
    <n v="0"/>
    <n v="0"/>
  </r>
  <r>
    <s v="147B/2019"/>
    <d v="2019-04-01T00:00:00"/>
    <s v="THANH THÚY"/>
    <s v="DD01"/>
    <x v="8"/>
    <x v="17"/>
    <s v="NELLO "/>
    <m/>
    <s v="12.14"/>
    <n v="400"/>
    <s v="NL2018"/>
    <m/>
    <n v="10"/>
    <n v="4000"/>
    <x v="17"/>
    <n v="12000000"/>
    <x v="0"/>
    <d v="2019-03-10T00:00:00"/>
    <d v="2019-04-14T00:00:00"/>
    <d v="2019-04-14T00:00:00"/>
    <s v="15/3AL"/>
    <m/>
    <m/>
    <m/>
    <m/>
    <n v="4000"/>
    <m/>
    <m/>
    <m/>
    <m/>
    <m/>
    <m/>
    <n v="4000"/>
    <n v="0"/>
    <n v="0"/>
  </r>
  <r>
    <s v="147B/2019"/>
    <d v="2019-04-01T00:00:00"/>
    <s v="THANH THÚY"/>
    <s v="DD01"/>
    <x v="8"/>
    <x v="17"/>
    <s v="NELLO "/>
    <m/>
    <s v="12.14"/>
    <n v="400"/>
    <s v="NL2018"/>
    <m/>
    <n v="49"/>
    <n v="19600"/>
    <x v="28"/>
    <n v="62720000"/>
    <x v="4"/>
    <d v="2019-04-29T00:00:00"/>
    <d v="2019-06-02T00:00:00"/>
    <d v="2019-06-02T00:00:00"/>
    <s v="29/4AL"/>
    <m/>
    <m/>
    <m/>
    <d v="2019-06-14T00:00:00"/>
    <n v="5600"/>
    <d v="2019-06-17T00:00:00"/>
    <n v="8000"/>
    <m/>
    <m/>
    <m/>
    <m/>
    <n v="13600"/>
    <n v="6000"/>
    <n v="19200000"/>
  </r>
  <r>
    <s v="147B/2019"/>
    <d v="2019-06-05T00:00:00"/>
    <s v="THANH THÚY"/>
    <s v="DD01"/>
    <x v="8"/>
    <x v="3"/>
    <s v="PAVIA"/>
    <m/>
    <s v="12.14"/>
    <n v="400"/>
    <s v="NL2018"/>
    <m/>
    <n v="8"/>
    <n v="3200"/>
    <x v="14"/>
    <n v="9280000"/>
    <x v="0"/>
    <d v="2019-04-17T00:00:00"/>
    <d v="2019-05-21T00:00:00"/>
    <d v="2019-05-21T00:00:00"/>
    <s v="29/4AL"/>
    <m/>
    <m/>
    <m/>
    <d v="2019-06-06T00:00:00"/>
    <n v="3200"/>
    <m/>
    <m/>
    <m/>
    <m/>
    <m/>
    <m/>
    <n v="3200"/>
    <n v="0"/>
    <n v="0"/>
  </r>
  <r>
    <s v="147B/2019"/>
    <d v="2019-04-01T00:00:00"/>
    <s v="THANH THÚY"/>
    <s v="DD01"/>
    <x v="8"/>
    <x v="12"/>
    <s v="AMATERAS"/>
    <m/>
    <s v="14.16"/>
    <n v="300"/>
    <s v="NL2018"/>
    <m/>
    <n v="0"/>
    <n v="0"/>
    <x v="13"/>
    <n v="0"/>
    <x v="1"/>
    <d v="2019-04-29T00:00:00"/>
    <d v="2019-06-02T00:00:00"/>
    <d v="2019-06-02T00:00:00"/>
    <s v="29/4AL"/>
    <m/>
    <m/>
    <m/>
    <m/>
    <m/>
    <m/>
    <m/>
    <m/>
    <m/>
    <m/>
    <m/>
    <n v="0"/>
    <n v="0"/>
    <n v="0"/>
  </r>
  <r>
    <s v="130B/2019"/>
    <d v="2019-12-21T00:00:00"/>
    <s v="THANH THÚY"/>
    <s v="DD01"/>
    <x v="8"/>
    <x v="26"/>
    <s v="ROBINA"/>
    <m/>
    <s v="22.24"/>
    <n v="100"/>
    <s v="NL2018"/>
    <m/>
    <n v="70"/>
    <n v="7000"/>
    <x v="29"/>
    <n v="87500000"/>
    <x v="2"/>
    <d v="2019-09-01T00:00:00"/>
    <d v="2019-09-29T00:00:00"/>
    <d v="2019-09-29T00:00:00"/>
    <s v="TẾT"/>
    <m/>
    <m/>
    <m/>
    <m/>
    <m/>
    <m/>
    <m/>
    <m/>
    <m/>
    <m/>
    <m/>
    <n v="0"/>
    <n v="7000"/>
    <n v="87500000"/>
  </r>
  <r>
    <s v="130B/2019"/>
    <d v="2019-12-21T00:00:00"/>
    <s v="THANH THÚY"/>
    <s v="DD01"/>
    <x v="8"/>
    <x v="27"/>
    <s v="MANISSA"/>
    <m/>
    <s v="24+"/>
    <n v="75"/>
    <s v="NL2018"/>
    <m/>
    <n v="27"/>
    <n v="2025"/>
    <x v="30"/>
    <n v="32400000"/>
    <x v="2"/>
    <d v="2019-09-01T00:00:00"/>
    <d v="2019-09-29T00:00:00"/>
    <d v="2019-09-29T00:00:00"/>
    <s v="TẾT"/>
    <m/>
    <m/>
    <m/>
    <m/>
    <m/>
    <m/>
    <m/>
    <m/>
    <m/>
    <m/>
    <m/>
    <n v="0"/>
    <n v="2025"/>
    <n v="32400000"/>
  </r>
  <r>
    <s v="130B/2019"/>
    <d v="2019-12-21T00:00:00"/>
    <s v="THANH THÚY"/>
    <s v="DD01"/>
    <x v="8"/>
    <x v="8"/>
    <s v="TEBALDI"/>
    <m/>
    <s v="16.18"/>
    <n v="200"/>
    <s v="NL2018"/>
    <m/>
    <n v="25"/>
    <n v="5000"/>
    <x v="20"/>
    <n v="30500000"/>
    <x v="2"/>
    <d v="2019-09-01T00:00:00"/>
    <d v="2019-09-29T00:00:00"/>
    <d v="2019-09-29T00:00:00"/>
    <s v="TẾT"/>
    <m/>
    <m/>
    <m/>
    <m/>
    <m/>
    <m/>
    <m/>
    <m/>
    <m/>
    <m/>
    <m/>
    <n v="0"/>
    <n v="5000"/>
    <n v="30500000"/>
  </r>
  <r>
    <s v="156A/2019"/>
    <d v="2019-03-29T00:00:00"/>
    <s v="KIỀU THY"/>
    <s v="DP02"/>
    <x v="9"/>
    <x v="28"/>
    <s v="YELLOWEEN"/>
    <m/>
    <s v="14.16"/>
    <n v="300"/>
    <s v="NL2018"/>
    <m/>
    <n v="0"/>
    <n v="0"/>
    <x v="6"/>
    <n v="0"/>
    <x v="1"/>
    <d v="2019-04-17T00:00:00"/>
    <d v="2019-05-21T00:00:00"/>
    <d v="2019-05-21T00:00:00"/>
    <s v="17/4AL"/>
    <m/>
    <m/>
    <m/>
    <m/>
    <m/>
    <m/>
    <m/>
    <m/>
    <m/>
    <m/>
    <m/>
    <n v="0"/>
    <n v="0"/>
    <n v="0"/>
  </r>
  <r>
    <s v="156A/2019"/>
    <d v="2019-03-29T00:00:00"/>
    <s v="KIỀU THY"/>
    <s v="DP02"/>
    <x v="9"/>
    <x v="28"/>
    <s v="YELLOWEEN"/>
    <m/>
    <s v="14.16"/>
    <n v="300"/>
    <s v="NL2018"/>
    <m/>
    <n v="0"/>
    <n v="0"/>
    <x v="6"/>
    <n v="0"/>
    <x v="1"/>
    <d v="2019-04-29T00:00:00"/>
    <d v="2019-06-02T00:00:00"/>
    <d v="2019-06-02T00:00:00"/>
    <s v="29/4AL"/>
    <m/>
    <m/>
    <m/>
    <m/>
    <m/>
    <m/>
    <m/>
    <m/>
    <m/>
    <m/>
    <m/>
    <n v="0"/>
    <n v="0"/>
    <n v="0"/>
  </r>
  <r>
    <s v="156A/2019"/>
    <d v="2019-03-29T00:00:00"/>
    <s v="KIỀU THY"/>
    <s v="DP02"/>
    <x v="9"/>
    <x v="29"/>
    <s v="MANISSA"/>
    <m/>
    <s v="16.18"/>
    <n v="200"/>
    <s v="NL2018"/>
    <m/>
    <n v="100"/>
    <n v="20000"/>
    <x v="31"/>
    <n v="138000000"/>
    <x v="0"/>
    <d v="2019-04-17T00:00:00"/>
    <d v="2019-05-21T00:00:00"/>
    <d v="2019-05-21T00:00:00"/>
    <s v="17/4AL"/>
    <m/>
    <m/>
    <m/>
    <d v="2019-05-18T00:00:00"/>
    <n v="20000"/>
    <m/>
    <m/>
    <m/>
    <m/>
    <m/>
    <m/>
    <n v="20000"/>
    <n v="0"/>
    <n v="0"/>
  </r>
  <r>
    <s v="156A/2019"/>
    <d v="2019-03-29T00:00:00"/>
    <s v="KIỀU THY"/>
    <s v="DP02"/>
    <x v="9"/>
    <x v="30"/>
    <s v="MALDANO"/>
    <m/>
    <s v="16.18"/>
    <n v="200"/>
    <s v="NL2018"/>
    <m/>
    <n v="150"/>
    <n v="30000"/>
    <x v="11"/>
    <n v="162000000"/>
    <x v="0"/>
    <d v="2019-04-17T00:00:00"/>
    <d v="2019-05-21T00:00:00"/>
    <d v="2019-05-21T00:00:00"/>
    <s v="17/4AL"/>
    <m/>
    <m/>
    <m/>
    <d v="2019-05-18T00:00:00"/>
    <n v="30000"/>
    <m/>
    <m/>
    <m/>
    <m/>
    <m/>
    <m/>
    <n v="30000"/>
    <n v="0"/>
    <n v="0"/>
  </r>
  <r>
    <s v="156A/2019"/>
    <d v="2019-03-29T00:00:00"/>
    <s v="KIỀU THY"/>
    <s v="DP02"/>
    <x v="9"/>
    <x v="31"/>
    <s v="TARRANGO"/>
    <m/>
    <s v="14.16"/>
    <n v="300"/>
    <s v="NL2018"/>
    <m/>
    <n v="100"/>
    <n v="30000"/>
    <x v="23"/>
    <n v="144000000"/>
    <x v="0"/>
    <d v="2019-04-17T00:00:00"/>
    <d v="2019-05-21T00:00:00"/>
    <d v="2019-05-21T00:00:00"/>
    <s v="17/4AL"/>
    <m/>
    <m/>
    <m/>
    <d v="2019-05-18T00:00:00"/>
    <n v="30000"/>
    <m/>
    <m/>
    <m/>
    <m/>
    <m/>
    <m/>
    <n v="30000"/>
    <n v="0"/>
    <n v="0"/>
  </r>
  <r>
    <s v="156A/2019"/>
    <d v="2019-03-29T00:00:00"/>
    <s v="KIỀU THY"/>
    <s v="DP02"/>
    <x v="9"/>
    <x v="32"/>
    <s v="BACARDI"/>
    <m/>
    <s v="16.18"/>
    <n v="200"/>
    <s v="NL2018"/>
    <m/>
    <n v="100"/>
    <n v="20000"/>
    <x v="32"/>
    <n v="136000000"/>
    <x v="0"/>
    <d v="2019-04-17T00:00:00"/>
    <d v="2019-05-21T00:00:00"/>
    <d v="2019-05-21T00:00:00"/>
    <s v="17/4AL"/>
    <m/>
    <m/>
    <m/>
    <d v="2019-05-18T00:00:00"/>
    <n v="20000"/>
    <m/>
    <m/>
    <m/>
    <m/>
    <m/>
    <m/>
    <n v="20000"/>
    <n v="0"/>
    <n v="0"/>
  </r>
  <r>
    <s v="156A/2019"/>
    <d v="2019-03-29T00:00:00"/>
    <s v="KIỀU THY"/>
    <s v="DP02"/>
    <x v="9"/>
    <x v="29"/>
    <s v="MANISSA"/>
    <m/>
    <s v="16.18"/>
    <n v="200"/>
    <s v="NL2018"/>
    <m/>
    <n v="100"/>
    <n v="20000"/>
    <x v="31"/>
    <n v="138000000"/>
    <x v="0"/>
    <d v="2019-05-05T00:00:00"/>
    <d v="2019-06-07T00:00:00"/>
    <d v="2019-06-07T00:00:00"/>
    <s v="05/5AL"/>
    <m/>
    <m/>
    <m/>
    <d v="2019-06-08T00:00:00"/>
    <n v="20000"/>
    <m/>
    <m/>
    <m/>
    <m/>
    <m/>
    <m/>
    <n v="20000"/>
    <n v="0"/>
    <n v="0"/>
  </r>
  <r>
    <s v="156A/2019"/>
    <d v="2019-03-29T00:00:00"/>
    <s v="KIỀU THY"/>
    <s v="DP02"/>
    <x v="9"/>
    <x v="32"/>
    <s v="BACARDI"/>
    <m/>
    <s v="16.18"/>
    <n v="200"/>
    <s v="NL2018"/>
    <m/>
    <n v="150"/>
    <n v="30000"/>
    <x v="31"/>
    <n v="207000000"/>
    <x v="0"/>
    <d v="2019-05-05T00:00:00"/>
    <d v="2019-06-07T00:00:00"/>
    <d v="2019-06-07T00:00:00"/>
    <s v="05/5AL"/>
    <m/>
    <m/>
    <m/>
    <d v="2019-06-08T00:00:00"/>
    <n v="20000"/>
    <d v="2019-06-17T00:00:00"/>
    <n v="10000"/>
    <m/>
    <m/>
    <m/>
    <m/>
    <n v="30000"/>
    <n v="0"/>
    <n v="0"/>
  </r>
  <r>
    <s v="156A/2019"/>
    <d v="2019-03-29T00:00:00"/>
    <s v="KIỀU THY"/>
    <s v="DP02"/>
    <x v="9"/>
    <x v="29"/>
    <s v="MANISSA"/>
    <m/>
    <s v="16.18"/>
    <n v="200"/>
    <s v="NL2018"/>
    <m/>
    <n v="100"/>
    <n v="20000"/>
    <x v="33"/>
    <n v="140000000"/>
    <x v="3"/>
    <d v="2019-05-18T00:00:00"/>
    <d v="2019-06-20T00:00:00"/>
    <d v="2019-06-20T00:00:00"/>
    <s v="30/5AL"/>
    <m/>
    <m/>
    <m/>
    <m/>
    <n v="0"/>
    <m/>
    <m/>
    <m/>
    <m/>
    <m/>
    <m/>
    <n v="0"/>
    <n v="20000"/>
    <n v="140000000"/>
  </r>
  <r>
    <s v="156A/2019"/>
    <d v="2019-03-29T00:00:00"/>
    <s v="KIỀU THY"/>
    <s v="DP02"/>
    <x v="9"/>
    <x v="32"/>
    <s v="BACARDI"/>
    <m/>
    <s v="16.18"/>
    <n v="200"/>
    <s v="NL2018"/>
    <m/>
    <n v="150"/>
    <n v="30000"/>
    <x v="33"/>
    <n v="210000000"/>
    <x v="3"/>
    <d v="2019-06-15T00:00:00"/>
    <d v="2019-07-17T00:00:00"/>
    <d v="2019-07-17T00:00:00"/>
    <s v="05/6AL"/>
    <m/>
    <m/>
    <m/>
    <m/>
    <m/>
    <m/>
    <m/>
    <m/>
    <m/>
    <m/>
    <m/>
    <n v="0"/>
    <n v="30000"/>
    <n v="210000000"/>
  </r>
  <r>
    <s v="156A/2019"/>
    <d v="2019-06-14T00:00:00"/>
    <s v="KIỀU THY"/>
    <s v="DP02"/>
    <x v="9"/>
    <x v="29"/>
    <s v="MANISSA"/>
    <m/>
    <s v="16.18"/>
    <n v="200"/>
    <s v="NL2018"/>
    <m/>
    <n v="150"/>
    <n v="30000"/>
    <x v="33"/>
    <n v="210000000"/>
    <x v="3"/>
    <d v="2019-06-15T00:00:00"/>
    <d v="2019-07-17T00:00:00"/>
    <d v="2019-07-17T00:00:00"/>
    <m/>
    <m/>
    <m/>
    <m/>
    <m/>
    <m/>
    <m/>
    <m/>
    <m/>
    <m/>
    <m/>
    <m/>
    <n v="0"/>
    <n v="30000"/>
    <n v="210000000"/>
  </r>
  <r>
    <s v="156A/2019"/>
    <d v="2019-06-11T00:00:00"/>
    <s v="KIỀU THY"/>
    <s v="DP02"/>
    <x v="9"/>
    <x v="33"/>
    <s v="PARAGUAY"/>
    <m/>
    <s v="16.18"/>
    <n v="175"/>
    <s v="NL2018"/>
    <m/>
    <n v="2"/>
    <n v="350"/>
    <x v="9"/>
    <n v="2170000"/>
    <x v="0"/>
    <d v="2019-05-05T00:00:00"/>
    <d v="2019-06-07T00:00:00"/>
    <d v="2019-06-07T00:00:00"/>
    <m/>
    <m/>
    <m/>
    <m/>
    <d v="2019-06-17T00:00:00"/>
    <n v="350"/>
    <m/>
    <m/>
    <m/>
    <m/>
    <m/>
    <m/>
    <n v="350"/>
    <n v="0"/>
    <n v="0"/>
  </r>
  <r>
    <s v="156A/2019"/>
    <d v="2019-06-11T00:00:00"/>
    <s v="KIỀU THY"/>
    <s v="DP02"/>
    <x v="9"/>
    <x v="34"/>
    <s v="TARRANGO"/>
    <m/>
    <s v="16.18"/>
    <n v="200"/>
    <s v="NL2018"/>
    <m/>
    <n v="100"/>
    <n v="20000"/>
    <x v="34"/>
    <n v="142000000"/>
    <x v="3"/>
    <d v="2019-06-25T00:00:00"/>
    <d v="2019-07-27T00:00:00"/>
    <d v="2019-07-27T00:00:00"/>
    <m/>
    <m/>
    <m/>
    <m/>
    <m/>
    <m/>
    <m/>
    <m/>
    <m/>
    <m/>
    <m/>
    <m/>
    <n v="0"/>
    <n v="20000"/>
    <n v="142000000"/>
  </r>
  <r>
    <s v="156A/2019"/>
    <d v="2019-06-11T00:00:00"/>
    <s v="KIỀU THY"/>
    <s v="DP02"/>
    <x v="9"/>
    <x v="34"/>
    <s v="TARRANGO"/>
    <m/>
    <s v="16.18"/>
    <n v="200"/>
    <s v="NL2018"/>
    <m/>
    <n v="113"/>
    <n v="22600"/>
    <x v="35"/>
    <n v="162720000"/>
    <x v="2"/>
    <d v="2019-07-15T00:00:00"/>
    <d v="2019-08-15T00:00:00"/>
    <d v="2019-08-15T00:00:00"/>
    <m/>
    <m/>
    <m/>
    <m/>
    <m/>
    <m/>
    <m/>
    <m/>
    <m/>
    <m/>
    <m/>
    <m/>
    <n v="0"/>
    <n v="22600"/>
    <n v="162720000"/>
  </r>
  <r>
    <s v="156A/2019"/>
    <d v="2019-06-11T00:00:00"/>
    <s v="KIỀU THY"/>
    <s v="DP02"/>
    <x v="9"/>
    <x v="29"/>
    <s v="MANISSA"/>
    <m/>
    <s v="16.18"/>
    <n v="200"/>
    <s v="NL2018"/>
    <m/>
    <n v="150"/>
    <n v="30000"/>
    <x v="35"/>
    <n v="216000000"/>
    <x v="2"/>
    <d v="2019-07-15T00:00:00"/>
    <d v="2019-08-15T00:00:00"/>
    <d v="2019-08-15T00:00:00"/>
    <m/>
    <m/>
    <m/>
    <m/>
    <m/>
    <m/>
    <m/>
    <m/>
    <m/>
    <m/>
    <m/>
    <m/>
    <n v="0"/>
    <n v="30000"/>
    <n v="216000000"/>
  </r>
  <r>
    <s v="127A2019"/>
    <d v="2019-01-05T00:00:00"/>
    <s v="KIỀU THY"/>
    <s v="DP02"/>
    <x v="9"/>
    <x v="35"/>
    <s v="BACARDI"/>
    <m/>
    <s v="20.22"/>
    <n v="125"/>
    <s v="NL2018"/>
    <m/>
    <n v="240"/>
    <n v="30000"/>
    <x v="8"/>
    <n v="324000000"/>
    <x v="2"/>
    <d v="2019-09-01T00:00:00"/>
    <d v="2019-09-29T00:00:00"/>
    <d v="2019-09-29T00:00:00"/>
    <s v="TẾT"/>
    <m/>
    <m/>
    <m/>
    <m/>
    <n v="0"/>
    <m/>
    <m/>
    <m/>
    <m/>
    <m/>
    <m/>
    <n v="0"/>
    <n v="30000"/>
    <n v="324000000"/>
  </r>
  <r>
    <s v="127A2019"/>
    <d v="2019-01-05T00:00:00"/>
    <s v="KIỀU THY"/>
    <s v="DP02"/>
    <x v="9"/>
    <x v="35"/>
    <s v="BACARDI"/>
    <m/>
    <s v="20.22"/>
    <n v="125"/>
    <s v="NL2018"/>
    <m/>
    <n v="80"/>
    <n v="10000"/>
    <x v="36"/>
    <n v="110000000"/>
    <x v="2"/>
    <d v="2019-09-01T00:00:00"/>
    <d v="2019-09-29T00:00:00"/>
    <d v="2019-09-29T00:00:00"/>
    <s v="TẾT"/>
    <m/>
    <m/>
    <m/>
    <m/>
    <n v="0"/>
    <m/>
    <m/>
    <m/>
    <m/>
    <m/>
    <m/>
    <n v="0"/>
    <n v="10000"/>
    <n v="110000000"/>
  </r>
  <r>
    <s v="127A2019"/>
    <d v="2019-01-05T00:00:00"/>
    <s v="KIỀU THY"/>
    <s v="DP02"/>
    <x v="9"/>
    <x v="36"/>
    <s v="MANISSA"/>
    <m/>
    <s v="20.22"/>
    <n v="125"/>
    <s v="NL2018"/>
    <m/>
    <n v="320"/>
    <n v="40000"/>
    <x v="37"/>
    <n v="540000000"/>
    <x v="2"/>
    <d v="2019-09-01T00:00:00"/>
    <d v="2019-09-29T00:00:00"/>
    <d v="2019-09-29T00:00:00"/>
    <s v="TẾT"/>
    <m/>
    <m/>
    <m/>
    <m/>
    <n v="0"/>
    <m/>
    <m/>
    <m/>
    <m/>
    <m/>
    <m/>
    <n v="0"/>
    <n v="40000"/>
    <n v="540000000"/>
  </r>
  <r>
    <s v="127A2019"/>
    <d v="2019-01-05T00:00:00"/>
    <s v="KIỀU THY"/>
    <s v="DP02"/>
    <x v="9"/>
    <x v="9"/>
    <s v="MANISSA"/>
    <m/>
    <s v="22.24"/>
    <n v="100"/>
    <s v="NL2018"/>
    <m/>
    <n v="200"/>
    <n v="20000"/>
    <x v="38"/>
    <n v="304000000"/>
    <x v="2"/>
    <d v="2019-09-01T00:00:00"/>
    <d v="2019-09-29T00:00:00"/>
    <d v="2019-09-29T00:00:00"/>
    <s v="TẾT"/>
    <m/>
    <m/>
    <m/>
    <m/>
    <n v="0"/>
    <m/>
    <m/>
    <m/>
    <m/>
    <m/>
    <m/>
    <n v="0"/>
    <n v="20000"/>
    <n v="304000000"/>
  </r>
  <r>
    <s v="127A2019"/>
    <d v="2019-01-05T00:00:00"/>
    <s v="KIỀU THY"/>
    <s v="DP02"/>
    <x v="9"/>
    <x v="14"/>
    <s v="TARRANGO"/>
    <m/>
    <s v="20.22"/>
    <n v="125"/>
    <s v="NL2018"/>
    <m/>
    <n v="160"/>
    <n v="20000"/>
    <x v="39"/>
    <n v="202000000"/>
    <x v="2"/>
    <d v="2019-09-01T00:00:00"/>
    <d v="2019-09-29T00:00:00"/>
    <d v="2019-09-29T00:00:00"/>
    <s v="TẾT"/>
    <m/>
    <m/>
    <m/>
    <m/>
    <n v="0"/>
    <m/>
    <m/>
    <m/>
    <m/>
    <m/>
    <m/>
    <n v="0"/>
    <n v="20000"/>
    <n v="202000000"/>
  </r>
  <r>
    <s v="127A2019"/>
    <d v="2019-01-05T00:00:00"/>
    <s v="KIỀU THY"/>
    <s v="DP02"/>
    <x v="9"/>
    <x v="37"/>
    <s v="PROFUNDO"/>
    <m/>
    <s v="20.22"/>
    <n v="125"/>
    <s v="NL2018"/>
    <m/>
    <n v="160"/>
    <n v="20000"/>
    <x v="40"/>
    <n v="260000000"/>
    <x v="2"/>
    <d v="2019-09-01T00:00:00"/>
    <d v="2019-09-29T00:00:00"/>
    <d v="2019-09-29T00:00:00"/>
    <s v="TẾT"/>
    <m/>
    <m/>
    <m/>
    <m/>
    <n v="0"/>
    <m/>
    <m/>
    <m/>
    <m/>
    <m/>
    <m/>
    <n v="0"/>
    <n v="20000"/>
    <n v="260000000"/>
  </r>
  <r>
    <s v="127A2019"/>
    <d v="2019-01-05T00:00:00"/>
    <s v="KIỀU THY"/>
    <s v="DP02"/>
    <x v="9"/>
    <x v="37"/>
    <s v="PROFUNDO CHILE"/>
    <m/>
    <s v="20.22"/>
    <n v="125"/>
    <s v="NL2018"/>
    <m/>
    <n v="80"/>
    <n v="10000"/>
    <x v="37"/>
    <n v="135000000"/>
    <x v="2"/>
    <d v="2019-09-01T00:00:00"/>
    <d v="2019-09-29T00:00:00"/>
    <d v="2019-09-29T00:00:00"/>
    <s v="TẾT"/>
    <m/>
    <m/>
    <m/>
    <m/>
    <n v="0"/>
    <m/>
    <m/>
    <m/>
    <m/>
    <m/>
    <m/>
    <n v="0"/>
    <n v="10000"/>
    <n v="135000000"/>
  </r>
  <r>
    <s v="156A/2019"/>
    <d v="2019-03-29T00:00:00"/>
    <s v="KIỀU THY"/>
    <s v="DP02"/>
    <x v="9"/>
    <x v="29"/>
    <s v="MANISSA"/>
    <m/>
    <s v="16.18"/>
    <n v="200"/>
    <s v="NL2018"/>
    <m/>
    <n v="350"/>
    <n v="70000"/>
    <x v="41"/>
    <n v="0"/>
    <x v="2"/>
    <m/>
    <s v=""/>
    <s v=""/>
    <m/>
    <m/>
    <m/>
    <m/>
    <m/>
    <n v="0"/>
    <m/>
    <m/>
    <m/>
    <m/>
    <m/>
    <m/>
    <n v="0"/>
    <n v="70000"/>
    <n v="0"/>
  </r>
  <r>
    <s v="17A/2019"/>
    <d v="2019-01-05T00:00:00"/>
    <s v="KIỀU THY"/>
    <s v="DP02"/>
    <x v="9"/>
    <x v="32"/>
    <s v="BACARDI"/>
    <m/>
    <s v="16.18"/>
    <n v="200"/>
    <s v="NL2018"/>
    <m/>
    <n v="140"/>
    <n v="28000"/>
    <x v="42"/>
    <n v="176400000"/>
    <x v="0"/>
    <d v="2019-01-15T00:00:00"/>
    <d v="2019-02-19T00:00:00"/>
    <d v="2019-02-19T00:00:00"/>
    <s v="15/1AL"/>
    <m/>
    <m/>
    <m/>
    <d v="2019-02-19T00:00:00"/>
    <n v="28000"/>
    <m/>
    <m/>
    <m/>
    <m/>
    <m/>
    <m/>
    <n v="28000"/>
    <n v="0"/>
    <n v="0"/>
  </r>
  <r>
    <s v="17A/2019"/>
    <d v="2019-01-05T00:00:00"/>
    <s v="KIỀU THY"/>
    <s v="DP02"/>
    <x v="9"/>
    <x v="5"/>
    <s v="PROFUNDO"/>
    <m/>
    <s v="16.18"/>
    <n v="200"/>
    <s v="NL2018"/>
    <m/>
    <n v="150"/>
    <n v="30000"/>
    <x v="43"/>
    <n v="195000000"/>
    <x v="0"/>
    <d v="2019-01-15T00:00:00"/>
    <d v="2019-02-19T00:00:00"/>
    <d v="2019-02-19T00:00:00"/>
    <s v="15/1AL"/>
    <m/>
    <m/>
    <m/>
    <d v="2019-02-19T00:00:00"/>
    <n v="30000"/>
    <m/>
    <m/>
    <m/>
    <m/>
    <m/>
    <m/>
    <n v="30000"/>
    <n v="0"/>
    <n v="0"/>
  </r>
  <r>
    <s v="17A/2019"/>
    <d v="2019-01-05T00:00:00"/>
    <s v="KIỀU THY"/>
    <s v="DP02"/>
    <x v="9"/>
    <x v="34"/>
    <s v="TARRANGO"/>
    <m/>
    <s v="16.18"/>
    <n v="200"/>
    <s v="NL2018"/>
    <m/>
    <n v="50"/>
    <n v="10000"/>
    <x v="44"/>
    <n v="55000000"/>
    <x v="0"/>
    <d v="2019-01-15T00:00:00"/>
    <d v="2019-02-19T00:00:00"/>
    <d v="2019-02-19T00:00:00"/>
    <s v="15/1AL"/>
    <m/>
    <m/>
    <m/>
    <d v="2019-02-19T00:00:00"/>
    <n v="10000"/>
    <m/>
    <m/>
    <m/>
    <m/>
    <m/>
    <m/>
    <n v="10000"/>
    <n v="0"/>
    <n v="0"/>
  </r>
  <r>
    <s v="17A/2019"/>
    <d v="2019-01-05T00:00:00"/>
    <s v="KIỀU THY"/>
    <s v="DP02"/>
    <x v="9"/>
    <x v="38"/>
    <s v="YELLOWEEN"/>
    <m/>
    <s v="16.18"/>
    <n v="200"/>
    <s v="NL2018"/>
    <m/>
    <n v="250"/>
    <n v="50000"/>
    <x v="18"/>
    <n v="250000000"/>
    <x v="0"/>
    <d v="2019-01-15T00:00:00"/>
    <d v="2019-02-19T00:00:00"/>
    <d v="2019-02-19T00:00:00"/>
    <s v="15/1AL"/>
    <m/>
    <m/>
    <m/>
    <d v="2019-02-22T00:00:00"/>
    <n v="20000"/>
    <d v="2019-02-23T00:00:00"/>
    <n v="30000"/>
    <m/>
    <m/>
    <m/>
    <m/>
    <n v="50000"/>
    <n v="0"/>
    <n v="0"/>
  </r>
  <r>
    <s v="17A/2019"/>
    <d v="2019-01-05T00:00:00"/>
    <s v="KIỀU THY"/>
    <s v="DP02"/>
    <x v="9"/>
    <x v="32"/>
    <s v="BACARDI"/>
    <m/>
    <s v="16.18"/>
    <n v="200"/>
    <s v="NL2018"/>
    <m/>
    <n v="100"/>
    <n v="20000"/>
    <x v="42"/>
    <n v="126000000"/>
    <x v="0"/>
    <d v="2019-02-15T00:00:00"/>
    <d v="2019-03-20T00:00:00"/>
    <d v="2019-03-20T00:00:00"/>
    <s v="15/2AL"/>
    <s v="CONT 11/2019"/>
    <d v="2019-03-17T00:00:00"/>
    <m/>
    <d v="2019-03-19T00:00:00"/>
    <n v="20000"/>
    <m/>
    <m/>
    <m/>
    <m/>
    <m/>
    <m/>
    <n v="20000"/>
    <n v="0"/>
    <n v="0"/>
  </r>
  <r>
    <s v="17A/2019"/>
    <d v="2019-01-05T00:00:00"/>
    <s v="KIỀU THY"/>
    <s v="DP02"/>
    <x v="9"/>
    <x v="5"/>
    <s v="PROFUNDO"/>
    <m/>
    <s v="16.18"/>
    <n v="200"/>
    <s v="NL2018"/>
    <m/>
    <n v="100"/>
    <n v="20000"/>
    <x v="45"/>
    <n v="134000000"/>
    <x v="0"/>
    <d v="2019-02-15T00:00:00"/>
    <d v="2019-03-20T00:00:00"/>
    <d v="2019-03-20T00:00:00"/>
    <s v="15/2AL"/>
    <s v="CONT 12/2019"/>
    <d v="2019-03-17T00:00:00"/>
    <m/>
    <d v="2019-03-19T00:00:00"/>
    <n v="20000"/>
    <m/>
    <m/>
    <m/>
    <m/>
    <m/>
    <m/>
    <n v="20000"/>
    <n v="0"/>
    <n v="0"/>
  </r>
  <r>
    <s v="17A/2019"/>
    <d v="2019-01-05T00:00:00"/>
    <s v="KIỀU THY"/>
    <s v="DP02"/>
    <x v="9"/>
    <x v="34"/>
    <s v="TARRANGO"/>
    <m/>
    <s v="16.18"/>
    <n v="200"/>
    <s v="NL2018"/>
    <m/>
    <n v="50"/>
    <n v="10000"/>
    <x v="44"/>
    <n v="55000000"/>
    <x v="0"/>
    <d v="2019-02-15T00:00:00"/>
    <d v="2019-03-20T00:00:00"/>
    <d v="2019-03-20T00:00:00"/>
    <s v="15/2AL"/>
    <s v="CONT 12/2019"/>
    <d v="2019-03-17T00:00:00"/>
    <m/>
    <d v="2019-03-19T00:00:00"/>
    <n v="10000"/>
    <m/>
    <m/>
    <m/>
    <m/>
    <m/>
    <m/>
    <n v="10000"/>
    <n v="0"/>
    <n v="0"/>
  </r>
  <r>
    <s v="17A/2019"/>
    <d v="2019-01-05T00:00:00"/>
    <s v="KIỀU THY"/>
    <s v="DP02"/>
    <x v="9"/>
    <x v="39"/>
    <s v="MANISSA"/>
    <s v="PR"/>
    <s v="16.18"/>
    <n v="200"/>
    <s v="NL2018"/>
    <m/>
    <n v="117"/>
    <n v="23400"/>
    <x v="46"/>
    <n v="140400000"/>
    <x v="0"/>
    <d v="2019-02-28T00:00:00"/>
    <d v="2019-04-02T00:00:00"/>
    <d v="2019-04-02T00:00:00"/>
    <s v="28/2AL"/>
    <s v="CONT 16/2019"/>
    <d v="2019-03-31T00:00:00"/>
    <m/>
    <d v="2019-04-02T00:00:00"/>
    <n v="11400"/>
    <d v="2019-04-15T00:00:00"/>
    <n v="12000"/>
    <m/>
    <m/>
    <m/>
    <m/>
    <n v="23400"/>
    <n v="0"/>
    <n v="0"/>
  </r>
  <r>
    <s v="17A/2019"/>
    <d v="2019-01-05T00:00:00"/>
    <s v="KIỀU THY"/>
    <s v="DP02"/>
    <x v="9"/>
    <x v="29"/>
    <s v="MANISSA"/>
    <m/>
    <s v="16.18"/>
    <n v="200"/>
    <s v="NL2018"/>
    <m/>
    <n v="180"/>
    <n v="36000"/>
    <x v="45"/>
    <n v="241200000"/>
    <x v="0"/>
    <d v="2019-02-28T00:00:00"/>
    <d v="2019-04-02T00:00:00"/>
    <d v="2019-04-02T00:00:00"/>
    <s v="28/2AL"/>
    <m/>
    <m/>
    <m/>
    <d v="2019-04-02T00:00:00"/>
    <n v="36000"/>
    <m/>
    <m/>
    <m/>
    <m/>
    <m/>
    <m/>
    <n v="36000"/>
    <n v="0"/>
    <n v="0"/>
  </r>
  <r>
    <s v="17A/2019"/>
    <d v="2019-01-05T00:00:00"/>
    <s v="KIỀU THY"/>
    <s v="DP02"/>
    <x v="9"/>
    <x v="32"/>
    <s v="BACARDI"/>
    <m/>
    <s v="16.18"/>
    <n v="200"/>
    <s v="NL2018"/>
    <m/>
    <n v="80"/>
    <n v="16000"/>
    <x v="42"/>
    <n v="100800000"/>
    <x v="0"/>
    <d v="2019-02-28T00:00:00"/>
    <d v="2019-04-02T00:00:00"/>
    <d v="2019-04-02T00:00:00"/>
    <s v="28/2AL"/>
    <s v="CONT 14/2019"/>
    <d v="2019-03-31T00:00:00"/>
    <m/>
    <d v="2019-04-15T00:00:00"/>
    <n v="16000"/>
    <m/>
    <m/>
    <m/>
    <m/>
    <m/>
    <m/>
    <n v="16000"/>
    <n v="0"/>
    <n v="0"/>
  </r>
  <r>
    <s v="17A/2019"/>
    <d v="2019-01-05T00:00:00"/>
    <s v="KIỀU THY"/>
    <s v="DP02"/>
    <x v="9"/>
    <x v="5"/>
    <s v="PROFUNDO"/>
    <m/>
    <s v="16.18"/>
    <n v="200"/>
    <s v="NL2018"/>
    <m/>
    <n v="50"/>
    <n v="10000"/>
    <x v="45"/>
    <n v="67000000"/>
    <x v="0"/>
    <d v="2019-02-28T00:00:00"/>
    <d v="2019-04-02T00:00:00"/>
    <d v="2019-04-02T00:00:00"/>
    <s v="28/2AL"/>
    <s v="CONT 17/2019"/>
    <d v="2019-03-31T00:00:00"/>
    <m/>
    <d v="2019-04-15T00:00:00"/>
    <n v="10000"/>
    <m/>
    <m/>
    <m/>
    <m/>
    <m/>
    <m/>
    <n v="10000"/>
    <n v="0"/>
    <n v="0"/>
  </r>
  <r>
    <s v="17A/2019"/>
    <d v="2019-01-05T00:00:00"/>
    <s v="KIỀU THY"/>
    <s v="DP02"/>
    <x v="9"/>
    <x v="34"/>
    <s v="TARRANGO"/>
    <m/>
    <s v="16.18"/>
    <n v="200"/>
    <s v="NL2018"/>
    <m/>
    <n v="100"/>
    <n v="20000"/>
    <x v="44"/>
    <n v="110000000"/>
    <x v="0"/>
    <d v="2019-02-28T00:00:00"/>
    <d v="2019-04-02T00:00:00"/>
    <d v="2019-04-02T00:00:00"/>
    <s v="28/2AL"/>
    <s v="CONT 14/2019"/>
    <d v="2019-03-31T00:00:00"/>
    <m/>
    <d v="2019-04-15T00:00:00"/>
    <n v="20000"/>
    <m/>
    <m/>
    <m/>
    <m/>
    <m/>
    <m/>
    <n v="20000"/>
    <n v="0"/>
    <n v="0"/>
  </r>
  <r>
    <s v="17A/2019"/>
    <d v="2019-01-05T00:00:00"/>
    <s v="KIỀU THY"/>
    <s v="DP02"/>
    <x v="9"/>
    <x v="34"/>
    <s v="TARRANGO"/>
    <m/>
    <s v="16.18"/>
    <n v="200"/>
    <s v="NL2018"/>
    <m/>
    <n v="50"/>
    <n v="10000"/>
    <x v="44"/>
    <n v="55000000"/>
    <x v="0"/>
    <d v="2019-03-15T00:00:00"/>
    <d v="2019-04-19T00:00:00"/>
    <d v="2019-04-19T00:00:00"/>
    <s v="15/3AL"/>
    <s v="CONT 14/2019"/>
    <d v="2019-03-31T00:00:00"/>
    <m/>
    <d v="2019-04-17T00:00:00"/>
    <n v="10000"/>
    <m/>
    <m/>
    <m/>
    <m/>
    <m/>
    <m/>
    <n v="10000"/>
    <n v="0"/>
    <n v="0"/>
  </r>
  <r>
    <s v="53A/2019"/>
    <d v="2019-02-16T00:00:00"/>
    <s v="KIỀU THY"/>
    <s v="CV"/>
    <x v="10"/>
    <x v="31"/>
    <s v="TARRANGO"/>
    <m/>
    <s v="14.16"/>
    <n v="300"/>
    <s v="NL2018"/>
    <m/>
    <n v="0"/>
    <n v="0"/>
    <x v="21"/>
    <n v="0"/>
    <x v="1"/>
    <s v="30-Feb-19"/>
    <d v="2019-04-04T00:00:00"/>
    <d v="2019-04-04T00:00:00"/>
    <s v="30/2AL"/>
    <s v="CONT 17/2019"/>
    <d v="2019-03-31T00:00:00"/>
    <s v="NHẮC CỌC"/>
    <m/>
    <n v="0"/>
    <m/>
    <m/>
    <m/>
    <m/>
    <m/>
    <m/>
    <n v="0"/>
    <n v="0"/>
    <n v="0"/>
  </r>
  <r>
    <s v="53A/2019"/>
    <d v="2019-02-16T00:00:00"/>
    <s v="KIỀU THY"/>
    <s v="CV"/>
    <x v="10"/>
    <x v="28"/>
    <s v="YELLOWEEN"/>
    <m/>
    <s v="14.16"/>
    <n v="300"/>
    <s v="NL2018"/>
    <m/>
    <n v="0"/>
    <n v="0"/>
    <x v="6"/>
    <n v="0"/>
    <x v="1"/>
    <s v="30-Feb-19"/>
    <d v="2019-04-04T00:00:00"/>
    <d v="2019-04-04T00:00:00"/>
    <s v="30/2AL"/>
    <s v="CONT 18/2019"/>
    <d v="2019-03-31T00:00:00"/>
    <s v="NHẮC CỌC"/>
    <m/>
    <n v="0"/>
    <m/>
    <m/>
    <m/>
    <m/>
    <m/>
    <m/>
    <n v="0"/>
    <n v="0"/>
    <n v="0"/>
  </r>
  <r>
    <s v="53A/2019"/>
    <d v="2019-02-16T00:00:00"/>
    <s v="KIỀU THY"/>
    <s v="CV"/>
    <x v="10"/>
    <x v="40"/>
    <s v="PARAGUAY"/>
    <m/>
    <s v="14.16"/>
    <n v="300"/>
    <s v="NL2018"/>
    <m/>
    <n v="0"/>
    <n v="0"/>
    <x v="23"/>
    <n v="0"/>
    <x v="1"/>
    <d v="2019-03-15T00:00:00"/>
    <d v="2019-04-19T00:00:00"/>
    <d v="2019-04-19T00:00:00"/>
    <s v="15/3AL"/>
    <m/>
    <m/>
    <m/>
    <m/>
    <m/>
    <m/>
    <m/>
    <m/>
    <m/>
    <m/>
    <m/>
    <n v="0"/>
    <n v="0"/>
    <n v="0"/>
  </r>
  <r>
    <s v="53A/2019"/>
    <d v="2019-02-16T00:00:00"/>
    <s v="KIỀU THY"/>
    <s v="CV"/>
    <x v="10"/>
    <x v="11"/>
    <s v="YELLOWEEN"/>
    <m/>
    <s v="12.14"/>
    <n v="400"/>
    <s v="NL2018"/>
    <m/>
    <n v="0"/>
    <n v="0"/>
    <x v="47"/>
    <n v="0"/>
    <x v="1"/>
    <d v="2019-03-15T00:00:00"/>
    <d v="2019-04-19T00:00:00"/>
    <d v="2019-04-19T00:00:00"/>
    <s v="15/3AL"/>
    <m/>
    <m/>
    <m/>
    <m/>
    <m/>
    <m/>
    <m/>
    <m/>
    <m/>
    <m/>
    <m/>
    <n v="0"/>
    <n v="0"/>
    <n v="0"/>
  </r>
  <r>
    <s v="54A/2019"/>
    <d v="2019-02-16T00:00:00"/>
    <s v="KIỀU THY"/>
    <s v="PL01"/>
    <x v="11"/>
    <x v="19"/>
    <s v="PAVIA"/>
    <m/>
    <s v="12.14"/>
    <n v="400"/>
    <s v="NL2017"/>
    <m/>
    <n v="28"/>
    <n v="11200"/>
    <x v="19"/>
    <n v="22400000"/>
    <x v="0"/>
    <d v="2019-02-15T00:00:00"/>
    <d v="2019-03-20T00:00:00"/>
    <d v="2019-03-20T00:00:00"/>
    <s v="15/2AL"/>
    <s v="CONT 9/2019"/>
    <d v="2019-03-17T00:00:00"/>
    <s v="R"/>
    <d v="2019-03-23T00:00:00"/>
    <n v="7200"/>
    <d v="2019-04-03T00:00:00"/>
    <n v="4000"/>
    <m/>
    <m/>
    <m/>
    <m/>
    <n v="11200"/>
    <n v="0"/>
    <n v="0"/>
  </r>
  <r>
    <s v="54A/2019"/>
    <d v="2019-02-16T00:00:00"/>
    <s v="KIỀU THY"/>
    <s v="PL01"/>
    <x v="11"/>
    <x v="3"/>
    <s v="PAVIA"/>
    <m/>
    <s v="12.14"/>
    <n v="400"/>
    <s v="NL2018"/>
    <m/>
    <n v="5"/>
    <n v="2000"/>
    <x v="4"/>
    <n v="5600000"/>
    <x v="0"/>
    <s v="30-Feb-19"/>
    <d v="2019-04-04T00:00:00"/>
    <d v="2019-04-04T00:00:00"/>
    <s v="30/2AL"/>
    <s v="CONT 14/2019"/>
    <d v="2019-03-31T00:00:00"/>
    <m/>
    <d v="2019-04-03T00:00:00"/>
    <n v="2000"/>
    <m/>
    <m/>
    <m/>
    <m/>
    <m/>
    <m/>
    <n v="2000"/>
    <n v="0"/>
    <n v="0"/>
  </r>
  <r>
    <s v="54A/2019"/>
    <d v="2019-02-16T00:00:00"/>
    <s v="KIỀU THY"/>
    <s v="PL01"/>
    <x v="11"/>
    <x v="4"/>
    <s v="TEBALDI"/>
    <m/>
    <s v="14.16"/>
    <n v="300"/>
    <s v="NL2018"/>
    <m/>
    <n v="1"/>
    <n v="300"/>
    <x v="3"/>
    <n v="1230000"/>
    <x v="0"/>
    <s v="30-Feb-19"/>
    <d v="2019-04-04T00:00:00"/>
    <d v="2019-04-04T00:00:00"/>
    <s v="30/2AL"/>
    <s v="CONT 15/2019"/>
    <d v="2019-03-31T00:00:00"/>
    <s v="R"/>
    <d v="2019-04-03T00:00:00"/>
    <n v="300"/>
    <m/>
    <m/>
    <m/>
    <m/>
    <m/>
    <m/>
    <n v="300"/>
    <n v="0"/>
    <n v="0"/>
  </r>
  <r>
    <s v="54A/2019"/>
    <d v="2019-05-29T00:00:00"/>
    <s v="KIỀU THY"/>
    <s v="PL01"/>
    <x v="11"/>
    <x v="3"/>
    <s v="PAVIA"/>
    <m/>
    <s v="12.14"/>
    <n v="400"/>
    <s v="NL2018"/>
    <m/>
    <n v="7"/>
    <n v="2800"/>
    <x v="14"/>
    <n v="8120000"/>
    <x v="0"/>
    <d v="2019-05-05T00:00:00"/>
    <d v="2019-06-07T00:00:00"/>
    <d v="2019-06-07T00:00:00"/>
    <m/>
    <m/>
    <m/>
    <m/>
    <d v="2019-06-08T00:00:00"/>
    <n v="2800"/>
    <m/>
    <m/>
    <m/>
    <m/>
    <m/>
    <m/>
    <n v="2800"/>
    <n v="0"/>
    <n v="0"/>
  </r>
  <r>
    <s v="54A/2019"/>
    <d v="2019-05-31T00:00:00"/>
    <s v="KIỀU THY"/>
    <s v="PL01"/>
    <x v="11"/>
    <x v="22"/>
    <s v="ROBINA"/>
    <m/>
    <s v="16.18"/>
    <n v="200"/>
    <s v="NL2018"/>
    <m/>
    <n v="1"/>
    <n v="200"/>
    <x v="44"/>
    <n v="1100000"/>
    <x v="0"/>
    <d v="2019-05-05T00:00:00"/>
    <d v="2019-06-07T00:00:00"/>
    <d v="2019-06-07T00:00:00"/>
    <m/>
    <m/>
    <m/>
    <m/>
    <d v="2019-06-08T00:00:00"/>
    <n v="200"/>
    <m/>
    <m/>
    <m/>
    <m/>
    <m/>
    <m/>
    <n v="200"/>
    <n v="0"/>
    <n v="0"/>
  </r>
  <r>
    <s v="54A/2019"/>
    <d v="2019-05-31T00:00:00"/>
    <s v="KIỀU THY"/>
    <s v="PL01"/>
    <x v="11"/>
    <x v="3"/>
    <s v="PAVIA"/>
    <m/>
    <s v="12.14"/>
    <n v="400"/>
    <s v="NL2018"/>
    <m/>
    <n v="10"/>
    <n v="4000"/>
    <x v="17"/>
    <n v="12000000"/>
    <x v="4"/>
    <d v="2019-05-05T00:00:00"/>
    <d v="2019-06-07T00:00:00"/>
    <d v="2019-06-07T00:00:00"/>
    <s v="8/6al TRỒNG"/>
    <m/>
    <m/>
    <m/>
    <m/>
    <m/>
    <m/>
    <m/>
    <m/>
    <m/>
    <m/>
    <m/>
    <n v="0"/>
    <n v="4000"/>
    <n v="12000000"/>
  </r>
  <r>
    <s v="54A/2019"/>
    <d v="2019-06-11T00:00:00"/>
    <s v="KIỀU THY"/>
    <s v="PL01"/>
    <x v="11"/>
    <x v="22"/>
    <s v="ROBINA"/>
    <m/>
    <s v="16.18"/>
    <n v="200"/>
    <s v="NL2018"/>
    <m/>
    <n v="12"/>
    <n v="2400"/>
    <x v="48"/>
    <n v="13440000"/>
    <x v="3"/>
    <d v="2019-05-18T00:00:00"/>
    <d v="2019-06-20T00:00:00"/>
    <d v="2019-06-20T00:00:00"/>
    <m/>
    <m/>
    <m/>
    <m/>
    <m/>
    <m/>
    <m/>
    <m/>
    <m/>
    <m/>
    <m/>
    <m/>
    <n v="0"/>
    <n v="2400"/>
    <n v="13440000"/>
  </r>
  <r>
    <s v="54A/2019"/>
    <d v="2019-06-07T00:00:00"/>
    <s v="KIỀU THY"/>
    <s v="PL01"/>
    <x v="11"/>
    <x v="3"/>
    <s v="PAVIA"/>
    <m/>
    <s v="12.14"/>
    <n v="400"/>
    <s v="NL2018"/>
    <m/>
    <n v="15"/>
    <n v="6000"/>
    <x v="17"/>
    <n v="18000000"/>
    <x v="2"/>
    <d v="2019-07-20T00:00:00"/>
    <d v="2019-08-20T00:00:00"/>
    <d v="2019-08-20T00:00:00"/>
    <m/>
    <m/>
    <m/>
    <m/>
    <m/>
    <m/>
    <m/>
    <m/>
    <m/>
    <m/>
    <m/>
    <m/>
    <n v="0"/>
    <n v="6000"/>
    <n v="18000000"/>
  </r>
  <r>
    <s v="54A/2019"/>
    <d v="2019-06-07T00:00:00"/>
    <s v="KIỀU THY"/>
    <s v="PL01"/>
    <x v="11"/>
    <x v="3"/>
    <s v="PAVIA"/>
    <m/>
    <s v="12.14"/>
    <n v="400"/>
    <s v="NL2018"/>
    <m/>
    <n v="18"/>
    <n v="7200"/>
    <x v="49"/>
    <n v="22320000"/>
    <x v="2"/>
    <d v="2019-07-10T00:00:00"/>
    <d v="2019-08-10T00:00:00"/>
    <d v="2019-08-10T00:00:00"/>
    <m/>
    <m/>
    <m/>
    <m/>
    <m/>
    <m/>
    <m/>
    <m/>
    <m/>
    <m/>
    <m/>
    <m/>
    <n v="0"/>
    <n v="7200"/>
    <n v="22320000"/>
  </r>
  <r>
    <s v="54A/2019"/>
    <d v="2019-06-07T00:00:00"/>
    <s v="KIỀU THY"/>
    <s v="PL01"/>
    <x v="11"/>
    <x v="3"/>
    <s v="PAVIA"/>
    <m/>
    <s v="12.14"/>
    <n v="400"/>
    <s v="NL2018"/>
    <m/>
    <n v="18"/>
    <n v="7200"/>
    <x v="49"/>
    <n v="22320000"/>
    <x v="2"/>
    <d v="2019-08-10T00:00:00"/>
    <d v="2019-09-08T00:00:00"/>
    <d v="2019-09-08T00:00:00"/>
    <m/>
    <m/>
    <m/>
    <m/>
    <m/>
    <m/>
    <m/>
    <m/>
    <m/>
    <m/>
    <m/>
    <m/>
    <n v="0"/>
    <n v="7200"/>
    <n v="22320000"/>
  </r>
  <r>
    <s v="234/2019"/>
    <d v="2019-05-31T00:00:00"/>
    <s v="KIỀU THY"/>
    <s v="PL01"/>
    <x v="11"/>
    <x v="16"/>
    <s v="ROBINA"/>
    <m/>
    <s v="20.22"/>
    <n v="125"/>
    <s v="NL2018"/>
    <m/>
    <n v="24"/>
    <n v="3000"/>
    <x v="16"/>
    <n v="32100000"/>
    <x v="2"/>
    <d v="2019-09-01T00:00:00"/>
    <d v="2019-09-29T00:00:00"/>
    <d v="2019-09-29T00:00:00"/>
    <s v="TẾT"/>
    <m/>
    <m/>
    <m/>
    <m/>
    <m/>
    <m/>
    <m/>
    <m/>
    <m/>
    <m/>
    <m/>
    <n v="0"/>
    <n v="3000"/>
    <n v="32100000"/>
  </r>
  <r>
    <s v="234/2019"/>
    <d v="2019-05-31T00:00:00"/>
    <s v="KIỀU THY"/>
    <s v="PL01"/>
    <x v="11"/>
    <x v="41"/>
    <s v="PAVIA"/>
    <m/>
    <s v="14.16"/>
    <n v="300"/>
    <s v="NL2018"/>
    <m/>
    <n v="4"/>
    <n v="1200"/>
    <x v="21"/>
    <n v="5520000"/>
    <x v="2"/>
    <d v="2019-09-01T00:00:00"/>
    <d v="2019-09-29T00:00:00"/>
    <d v="2019-09-29T00:00:00"/>
    <s v="TẾT"/>
    <m/>
    <m/>
    <m/>
    <m/>
    <m/>
    <m/>
    <m/>
    <m/>
    <m/>
    <m/>
    <m/>
    <n v="0"/>
    <n v="1200"/>
    <n v="5520000"/>
  </r>
  <r>
    <s v="234/2019"/>
    <d v="2019-05-31T00:00:00"/>
    <s v="KIỀU THY"/>
    <s v="PL01"/>
    <x v="11"/>
    <x v="42"/>
    <s v="PAVIA"/>
    <m/>
    <s v="16.18"/>
    <n v="200"/>
    <s v="NL2018"/>
    <m/>
    <n v="10"/>
    <n v="2000"/>
    <x v="42"/>
    <n v="12600000"/>
    <x v="2"/>
    <d v="2019-09-01T00:00:00"/>
    <d v="2019-09-29T00:00:00"/>
    <d v="2019-09-29T00:00:00"/>
    <s v="TẾT"/>
    <m/>
    <m/>
    <m/>
    <m/>
    <m/>
    <m/>
    <m/>
    <m/>
    <m/>
    <m/>
    <m/>
    <n v="0"/>
    <n v="2000"/>
    <n v="12600000"/>
  </r>
  <r>
    <s v="234/2019"/>
    <d v="2019-05-31T00:00:00"/>
    <s v="KIỀU THY"/>
    <s v="PL01"/>
    <x v="11"/>
    <x v="8"/>
    <s v="TEBALDI"/>
    <m/>
    <s v="16.18"/>
    <n v="200"/>
    <s v="NL2018"/>
    <m/>
    <n v="15"/>
    <n v="3000"/>
    <x v="9"/>
    <n v="18600000"/>
    <x v="2"/>
    <d v="2019-09-01T00:00:00"/>
    <d v="2019-09-29T00:00:00"/>
    <d v="2019-09-29T00:00:00"/>
    <s v="TẾT"/>
    <m/>
    <m/>
    <m/>
    <m/>
    <m/>
    <m/>
    <m/>
    <m/>
    <m/>
    <m/>
    <m/>
    <n v="0"/>
    <n v="3000"/>
    <n v="18600000"/>
  </r>
  <r>
    <s v="234/2019"/>
    <d v="2019-05-31T00:00:00"/>
    <s v="KIỀU THY"/>
    <s v="PL01"/>
    <x v="11"/>
    <x v="38"/>
    <s v="YELLOWEEN"/>
    <m/>
    <s v="16.18"/>
    <n v="200"/>
    <s v="NL2018"/>
    <m/>
    <n v="10"/>
    <n v="2000"/>
    <x v="44"/>
    <n v="11000000"/>
    <x v="2"/>
    <d v="2019-09-01T00:00:00"/>
    <d v="2019-09-29T00:00:00"/>
    <d v="2019-09-29T00:00:00"/>
    <s v="TẾT"/>
    <m/>
    <m/>
    <m/>
    <m/>
    <m/>
    <m/>
    <m/>
    <m/>
    <m/>
    <m/>
    <m/>
    <n v="0"/>
    <n v="2000"/>
    <n v="11000000"/>
  </r>
  <r>
    <s v="242/2019"/>
    <d v="2019-06-14T00:00:00"/>
    <s v="KIỀU THY"/>
    <s v="VK04"/>
    <x v="12"/>
    <x v="10"/>
    <s v="ARVANDRUD"/>
    <m/>
    <s v="16.18"/>
    <s v="200"/>
    <s v="NL2018"/>
    <m/>
    <n v="30"/>
    <n v="6000"/>
    <x v="11"/>
    <n v="32400000"/>
    <x v="0"/>
    <d v="2019-04-17T00:00:00"/>
    <d v="2019-05-21T00:00:00"/>
    <d v="2019-05-21T00:00:00"/>
    <m/>
    <m/>
    <m/>
    <m/>
    <d v="2019-06-14T00:00:00"/>
    <n v="3000"/>
    <m/>
    <m/>
    <m/>
    <m/>
    <m/>
    <m/>
    <n v="3000"/>
    <n v="3000"/>
    <n v="16200000"/>
  </r>
  <r>
    <s v="242/2019"/>
    <d v="2019-06-14T00:00:00"/>
    <s v="KIỀU THY"/>
    <s v="VK04"/>
    <x v="12"/>
    <x v="3"/>
    <s v="PAVIA"/>
    <m/>
    <s v="12.14"/>
    <s v="400"/>
    <s v="NL2018"/>
    <m/>
    <n v="25"/>
    <n v="10000"/>
    <x v="17"/>
    <n v="30000000"/>
    <x v="3"/>
    <d v="2019-06-15T00:00:00"/>
    <d v="2019-07-17T00:00:00"/>
    <d v="2019-07-17T00:00:00"/>
    <m/>
    <m/>
    <m/>
    <m/>
    <m/>
    <m/>
    <m/>
    <m/>
    <m/>
    <m/>
    <m/>
    <m/>
    <n v="0"/>
    <n v="10000"/>
    <n v="30000000"/>
  </r>
  <r>
    <s v="242/2019"/>
    <d v="2019-06-14T00:00:00"/>
    <s v="KIỀU THY"/>
    <s v="VK04"/>
    <x v="12"/>
    <x v="43"/>
    <s v="GENERAL LEE"/>
    <m/>
    <s v="14.16"/>
    <s v="300"/>
    <s v="NL2018"/>
    <m/>
    <n v="17"/>
    <n v="5100"/>
    <x v="13"/>
    <n v="22950000"/>
    <x v="2"/>
    <d v="2019-06-29T00:00:00"/>
    <d v="2019-07-31T00:00:00"/>
    <d v="2019-07-31T00:00:00"/>
    <m/>
    <m/>
    <m/>
    <m/>
    <m/>
    <m/>
    <m/>
    <m/>
    <m/>
    <m/>
    <m/>
    <m/>
    <n v="0"/>
    <n v="5100"/>
    <n v="22950000"/>
  </r>
  <r>
    <s v="211A/2019"/>
    <d v="2019-05-02T00:00:00"/>
    <s v="KIỀU THY"/>
    <s v="VD06"/>
    <x v="13"/>
    <x v="9"/>
    <s v="MANISSA"/>
    <m/>
    <s v="22.24"/>
    <n v="100"/>
    <s v="NL2018"/>
    <m/>
    <n v="75"/>
    <n v="7500"/>
    <x v="10"/>
    <n v="115500000"/>
    <x v="2"/>
    <d v="2019-09-01T00:00:00"/>
    <d v="2019-09-29T00:00:00"/>
    <d v="2019-09-29T00:00:00"/>
    <s v="TẾT"/>
    <m/>
    <m/>
    <m/>
    <m/>
    <m/>
    <m/>
    <m/>
    <m/>
    <m/>
    <m/>
    <m/>
    <n v="0"/>
    <n v="7500"/>
    <n v="115500000"/>
  </r>
  <r>
    <s v="211A/2019"/>
    <d v="2019-05-02T00:00:00"/>
    <s v="KIỀU THY"/>
    <s v="VD06"/>
    <x v="13"/>
    <x v="27"/>
    <s v="MANISSA"/>
    <m/>
    <s v="24+"/>
    <n v="75"/>
    <s v="NL2018"/>
    <m/>
    <n v="100"/>
    <n v="7500"/>
    <x v="50"/>
    <n v="121500000"/>
    <x v="2"/>
    <d v="2019-09-01T00:00:00"/>
    <d v="2019-09-29T00:00:00"/>
    <d v="2019-09-29T00:00:00"/>
    <s v="TẾT"/>
    <m/>
    <m/>
    <m/>
    <m/>
    <m/>
    <m/>
    <m/>
    <m/>
    <m/>
    <m/>
    <m/>
    <n v="0"/>
    <n v="7500"/>
    <n v="121500000"/>
  </r>
  <r>
    <s v="211A/2019"/>
    <d v="2019-05-02T00:00:00"/>
    <s v="KIỀU THY"/>
    <s v="VD06"/>
    <x v="13"/>
    <x v="26"/>
    <s v="ROBINA"/>
    <m/>
    <s v="22.24"/>
    <n v="100"/>
    <s v="NL2018"/>
    <m/>
    <n v="100"/>
    <n v="10000"/>
    <x v="51"/>
    <n v="137000000"/>
    <x v="2"/>
    <d v="2019-09-01T00:00:00"/>
    <d v="2019-09-29T00:00:00"/>
    <d v="2019-09-29T00:00:00"/>
    <s v="TẾT"/>
    <m/>
    <m/>
    <m/>
    <m/>
    <m/>
    <m/>
    <m/>
    <m/>
    <m/>
    <m/>
    <m/>
    <n v="0"/>
    <n v="10000"/>
    <n v="137000000"/>
  </r>
  <r>
    <s v="211A/2019"/>
    <d v="2019-05-07T00:00:00"/>
    <s v="KIỀU THY"/>
    <s v="VD06"/>
    <x v="13"/>
    <x v="26"/>
    <s v="ROBINA NZ"/>
    <m/>
    <s v="22.24"/>
    <n v="100"/>
    <s v="NL2018"/>
    <m/>
    <n v="180"/>
    <n v="18000"/>
    <x v="37"/>
    <n v="243000000"/>
    <x v="2"/>
    <d v="2019-09-01T00:00:00"/>
    <d v="2019-09-29T00:00:00"/>
    <d v="2019-09-29T00:00:00"/>
    <s v="TẾT"/>
    <m/>
    <m/>
    <m/>
    <m/>
    <m/>
    <m/>
    <m/>
    <m/>
    <m/>
    <m/>
    <m/>
    <n v="0"/>
    <n v="18000"/>
    <n v="243000000"/>
  </r>
  <r>
    <s v="211A/2019"/>
    <d v="2019-05-20T00:00:00"/>
    <s v="KIỀU THY"/>
    <s v="VD06"/>
    <x v="13"/>
    <x v="44"/>
    <s v="ROBINA"/>
    <m/>
    <s v="24.26"/>
    <n v="80"/>
    <s v="NL2018"/>
    <m/>
    <n v="88"/>
    <n v="7040"/>
    <x v="52"/>
    <n v="107712000"/>
    <x v="2"/>
    <d v="2019-09-01T00:00:00"/>
    <d v="2019-09-29T00:00:00"/>
    <d v="2019-09-29T00:00:00"/>
    <s v="TẾT"/>
    <m/>
    <m/>
    <m/>
    <m/>
    <m/>
    <m/>
    <m/>
    <m/>
    <m/>
    <m/>
    <m/>
    <n v="0"/>
    <n v="7040"/>
    <n v="107712000"/>
  </r>
  <r>
    <s v="211A/2019"/>
    <d v="2019-05-07T00:00:00"/>
    <s v="KIỀU THY"/>
    <s v="VD06"/>
    <x v="13"/>
    <x v="6"/>
    <s v="CONCADOR NEWZELAND"/>
    <m/>
    <s v="20.22"/>
    <n v="125"/>
    <s v="NL2018"/>
    <m/>
    <n v="40"/>
    <n v="5000"/>
    <x v="53"/>
    <n v="60000000"/>
    <x v="2"/>
    <d v="2019-09-01T00:00:00"/>
    <d v="2019-09-29T00:00:00"/>
    <d v="2019-09-29T00:00:00"/>
    <s v="TẾT"/>
    <m/>
    <m/>
    <m/>
    <m/>
    <m/>
    <m/>
    <m/>
    <m/>
    <m/>
    <m/>
    <m/>
    <n v="0"/>
    <n v="5000"/>
    <n v="60000000"/>
  </r>
  <r>
    <s v="211A/2019"/>
    <d v="2019-05-07T00:00:00"/>
    <s v="KIỀU THY"/>
    <s v="VD06"/>
    <x v="13"/>
    <x v="45"/>
    <s v="CONCADOR"/>
    <m/>
    <s v="24.26"/>
    <n v="80"/>
    <s v="NL2018"/>
    <m/>
    <n v="63"/>
    <n v="5040"/>
    <x v="38"/>
    <n v="76608000"/>
    <x v="2"/>
    <d v="2019-09-01T00:00:00"/>
    <d v="2019-09-29T00:00:00"/>
    <d v="2019-09-29T00:00:00"/>
    <s v="TẾT"/>
    <m/>
    <m/>
    <m/>
    <m/>
    <m/>
    <m/>
    <m/>
    <m/>
    <m/>
    <m/>
    <m/>
    <n v="0"/>
    <n v="5040"/>
    <n v="76608000"/>
  </r>
  <r>
    <s v="211A/2019"/>
    <d v="2019-05-02T00:00:00"/>
    <s v="KIỀU THY"/>
    <s v="VD06"/>
    <x v="13"/>
    <x v="46"/>
    <s v="CONCADOR"/>
    <m/>
    <s v="22.24"/>
    <n v="100"/>
    <s v="NL2018"/>
    <m/>
    <n v="50"/>
    <n v="5000"/>
    <x v="29"/>
    <n v="62500000"/>
    <x v="2"/>
    <d v="2019-09-01T00:00:00"/>
    <d v="2019-09-29T00:00:00"/>
    <d v="2019-09-29T00:00:00"/>
    <s v="TẾT"/>
    <m/>
    <m/>
    <m/>
    <m/>
    <m/>
    <m/>
    <m/>
    <m/>
    <m/>
    <m/>
    <m/>
    <n v="0"/>
    <n v="5000"/>
    <n v="62500000"/>
  </r>
  <r>
    <s v="81A/2019"/>
    <d v="2019-02-27T00:00:00"/>
    <s v="KIỀU THY"/>
    <s v="VD06"/>
    <x v="13"/>
    <x v="32"/>
    <s v="BACARDI"/>
    <m/>
    <s v="16.18"/>
    <n v="200"/>
    <s v="NL2018"/>
    <m/>
    <n v="50"/>
    <n v="10000"/>
    <x v="42"/>
    <n v="63000000"/>
    <x v="0"/>
    <d v="2019-03-15T00:00:00"/>
    <d v="2019-04-19T00:00:00"/>
    <d v="2019-04-19T00:00:00"/>
    <s v="15/3AL"/>
    <s v="CONT 20/2019"/>
    <d v="2019-04-14T00:00:00"/>
    <m/>
    <d v="2019-05-02T00:00:00"/>
    <n v="10000"/>
    <m/>
    <m/>
    <m/>
    <m/>
    <m/>
    <m/>
    <n v="10000"/>
    <n v="0"/>
    <n v="0"/>
  </r>
  <r>
    <s v="81A/2019"/>
    <d v="2019-02-27T00:00:00"/>
    <s v="KIỀU THY"/>
    <s v="VD06"/>
    <x v="13"/>
    <x v="15"/>
    <s v="CONCADOR"/>
    <m/>
    <s v="16.18"/>
    <n v="200"/>
    <s v="NL2018"/>
    <m/>
    <n v="150"/>
    <n v="30000"/>
    <x v="18"/>
    <n v="150000000"/>
    <x v="0"/>
    <d v="2019-03-15T00:00:00"/>
    <d v="2019-04-19T00:00:00"/>
    <d v="2019-04-19T00:00:00"/>
    <s v="15/3AL"/>
    <s v="CONT 22/2019"/>
    <d v="2019-04-14T00:00:00"/>
    <m/>
    <d v="2019-05-02T00:00:00"/>
    <n v="10000"/>
    <d v="2019-05-06T00:00:00"/>
    <n v="20000"/>
    <m/>
    <m/>
    <m/>
    <m/>
    <n v="30000"/>
    <n v="0"/>
    <n v="0"/>
  </r>
  <r>
    <s v="81A/2019"/>
    <d v="2019-02-27T00:00:00"/>
    <s v="KIỀU THY"/>
    <s v="VD06"/>
    <x v="13"/>
    <x v="5"/>
    <s v="PROFUNDO"/>
    <m/>
    <s v="16.18"/>
    <n v="200"/>
    <s v="NL2018"/>
    <m/>
    <n v="50"/>
    <n v="10000"/>
    <x v="45"/>
    <n v="67000000"/>
    <x v="0"/>
    <d v="2019-03-15T00:00:00"/>
    <d v="2019-04-19T00:00:00"/>
    <d v="2019-04-19T00:00:00"/>
    <s v="15/3AL"/>
    <s v="CONT 23/2019"/>
    <d v="2019-04-14T00:00:00"/>
    <m/>
    <d v="2019-05-18T00:00:00"/>
    <n v="10000"/>
    <m/>
    <m/>
    <m/>
    <m/>
    <m/>
    <m/>
    <n v="10000"/>
    <n v="0"/>
    <n v="0"/>
  </r>
  <r>
    <s v="81A/2019"/>
    <d v="2019-02-27T00:00:00"/>
    <s v="KIỀU THY"/>
    <s v="VD06"/>
    <x v="13"/>
    <x v="47"/>
    <s v="ROBINA"/>
    <m/>
    <s v="18.20"/>
    <n v="150"/>
    <s v="NL2018"/>
    <m/>
    <n v="200"/>
    <n v="30000"/>
    <x v="42"/>
    <n v="189000000"/>
    <x v="0"/>
    <d v="2019-03-15T00:00:00"/>
    <d v="2019-04-19T00:00:00"/>
    <d v="2019-04-19T00:00:00"/>
    <s v="15/3AL"/>
    <s v="CONT 25/2019"/>
    <d v="2019-04-14T00:00:00"/>
    <m/>
    <d v="2019-05-02T00:00:00"/>
    <n v="10050"/>
    <d v="2019-05-06T00:00:00"/>
    <n v="19950"/>
    <m/>
    <m/>
    <m/>
    <m/>
    <n v="30000"/>
    <n v="0"/>
    <n v="0"/>
  </r>
  <r>
    <s v="81A/2019"/>
    <d v="2019-02-27T00:00:00"/>
    <s v="KIỀU THY"/>
    <s v="VD06"/>
    <x v="13"/>
    <x v="48"/>
    <s v="SERANO"/>
    <m/>
    <s v="16.18"/>
    <n v="200"/>
    <s v="NL2018"/>
    <m/>
    <n v="50"/>
    <n v="10000"/>
    <x v="18"/>
    <n v="50000000"/>
    <x v="0"/>
    <d v="2019-03-15T00:00:00"/>
    <d v="2019-04-19T00:00:00"/>
    <d v="2019-04-19T00:00:00"/>
    <s v="15/3AL"/>
    <s v="CONT 27/2019"/>
    <d v="2019-04-14T00:00:00"/>
    <m/>
    <d v="2019-05-18T00:00:00"/>
    <n v="10000"/>
    <m/>
    <m/>
    <m/>
    <m/>
    <m/>
    <m/>
    <n v="10000"/>
    <n v="0"/>
    <n v="0"/>
  </r>
  <r>
    <s v="81A/2019"/>
    <d v="2019-05-07T00:00:00"/>
    <s v="KIỀU THY"/>
    <s v="VD06"/>
    <x v="13"/>
    <x v="22"/>
    <s v="ROBINA"/>
    <m/>
    <s v="16.18"/>
    <n v="200"/>
    <s v="NL2018"/>
    <m/>
    <n v="150"/>
    <n v="30000"/>
    <x v="11"/>
    <n v="162000000"/>
    <x v="0"/>
    <d v="2019-04-17T00:00:00"/>
    <d v="2019-05-21T00:00:00"/>
    <d v="2019-05-21T00:00:00"/>
    <s v="29/4AL"/>
    <m/>
    <m/>
    <m/>
    <m/>
    <m/>
    <m/>
    <m/>
    <m/>
    <m/>
    <m/>
    <m/>
    <n v="0"/>
    <n v="30000"/>
    <n v="162000000"/>
  </r>
  <r>
    <s v="81A/2019"/>
    <d v="2019-06-11T00:00:00"/>
    <s v="KIỀU THY"/>
    <s v="VD06"/>
    <x v="13"/>
    <x v="49"/>
    <s v="MARENGO"/>
    <m/>
    <s v="16.18"/>
    <n v="200"/>
    <s v="NL2018"/>
    <m/>
    <n v="15"/>
    <n v="3000"/>
    <x v="54"/>
    <n v="19200000"/>
    <x v="3"/>
    <d v="2019-06-15T00:00:00"/>
    <d v="2019-07-17T00:00:00"/>
    <d v="2019-07-17T00:00:00"/>
    <m/>
    <m/>
    <m/>
    <m/>
    <m/>
    <m/>
    <m/>
    <m/>
    <m/>
    <m/>
    <m/>
    <m/>
    <n v="0"/>
    <n v="3000"/>
    <n v="19200000"/>
  </r>
  <r>
    <s v="81A/2019"/>
    <d v="2019-05-06T00:00:00"/>
    <s v="KIỀU THY"/>
    <s v="VD06"/>
    <x v="13"/>
    <x v="22"/>
    <s v="ROBINA"/>
    <m/>
    <s v="16.18"/>
    <n v="200"/>
    <s v="NL2018"/>
    <m/>
    <n v="500"/>
    <n v="100000"/>
    <x v="44"/>
    <n v="550000000"/>
    <x v="3"/>
    <d v="2019-05-18T00:00:00"/>
    <d v="2019-06-20T00:00:00"/>
    <d v="2019-06-20T00:00:00"/>
    <s v="25/5AL"/>
    <m/>
    <m/>
    <m/>
    <m/>
    <m/>
    <m/>
    <m/>
    <m/>
    <m/>
    <m/>
    <m/>
    <n v="0"/>
    <n v="100000"/>
    <n v="550000000"/>
  </r>
  <r>
    <s v="209A/2019"/>
    <d v="2019-04-29T00:00:00"/>
    <s v="KIỀU THY"/>
    <s v="VL04"/>
    <x v="14"/>
    <x v="50"/>
    <s v="PROFUNDO"/>
    <m/>
    <s v="14.16"/>
    <s v="275"/>
    <s v="NL2018"/>
    <m/>
    <n v="20"/>
    <n v="5500"/>
    <x v="18"/>
    <n v="27500000"/>
    <x v="0"/>
    <d v="2019-04-17T00:00:00"/>
    <d v="2019-05-21T00:00:00"/>
    <d v="2019-05-21T00:00:00"/>
    <s v="30/3AL"/>
    <m/>
    <m/>
    <m/>
    <d v="2019-06-12T00:00:00"/>
    <n v="5500"/>
    <m/>
    <m/>
    <m/>
    <m/>
    <m/>
    <m/>
    <n v="5500"/>
    <n v="0"/>
    <n v="0"/>
  </r>
  <r>
    <s v="207A/2019"/>
    <d v="2019-05-08T00:00:00"/>
    <s v="KIỀU THY"/>
    <s v="VL04"/>
    <x v="14"/>
    <x v="16"/>
    <s v="ROBINA"/>
    <m/>
    <s v="20.22"/>
    <s v="125"/>
    <s v="NL2018"/>
    <m/>
    <n v="80"/>
    <n v="10000"/>
    <x v="16"/>
    <n v="107000000"/>
    <x v="2"/>
    <d v="2019-09-01T00:00:00"/>
    <d v="2019-09-29T00:00:00"/>
    <d v="2019-09-29T00:00:00"/>
    <s v="TẾT"/>
    <m/>
    <m/>
    <m/>
    <m/>
    <m/>
    <m/>
    <m/>
    <m/>
    <m/>
    <m/>
    <m/>
    <n v="0"/>
    <n v="10000"/>
    <n v="107000000"/>
  </r>
  <r>
    <s v="207A/2019"/>
    <d v="2019-06-13T00:00:00"/>
    <s v="KIỀU THY"/>
    <s v="VL04"/>
    <x v="14"/>
    <x v="45"/>
    <s v="CONCADOR"/>
    <m/>
    <s v="24.26"/>
    <s v="80"/>
    <s v="NL2018"/>
    <m/>
    <n v="125"/>
    <n v="10000"/>
    <x v="38"/>
    <n v="152000000"/>
    <x v="2"/>
    <d v="2019-09-01T00:00:00"/>
    <d v="2019-09-29T00:00:00"/>
    <d v="2019-09-29T00:00:00"/>
    <s v="TẾT"/>
    <m/>
    <m/>
    <m/>
    <m/>
    <m/>
    <m/>
    <m/>
    <m/>
    <m/>
    <m/>
    <m/>
    <n v="0"/>
    <n v="10000"/>
    <n v="152000000"/>
  </r>
  <r>
    <s v="77A/2019"/>
    <d v="2019-02-25T00:00:00"/>
    <s v="KIỀU THY"/>
    <s v="VD05"/>
    <x v="15"/>
    <x v="4"/>
    <s v="TEBALDI"/>
    <m/>
    <s v="14.16"/>
    <n v="300"/>
    <s v="NL2018"/>
    <m/>
    <n v="45"/>
    <n v="13500"/>
    <x v="3"/>
    <n v="55350000"/>
    <x v="0"/>
    <d v="2019-02-28T00:00:00"/>
    <d v="2019-04-02T00:00:00"/>
    <d v="2019-04-02T00:00:00"/>
    <s v="28/2 AL"/>
    <s v="CONT 15/2019"/>
    <d v="2019-03-31T00:00:00"/>
    <s v="08/03/2019 KH THANH TOÁN"/>
    <d v="2019-04-03T00:00:00"/>
    <n v="13500"/>
    <m/>
    <m/>
    <m/>
    <m/>
    <m/>
    <m/>
    <n v="13500"/>
    <n v="0"/>
    <n v="0"/>
  </r>
  <r>
    <s v="77A/2019"/>
    <d v="2019-02-25T00:00:00"/>
    <s v="KIỀU THY"/>
    <s v="VD05"/>
    <x v="15"/>
    <x v="28"/>
    <s v="YELLOWEEN"/>
    <m/>
    <s v="14.16"/>
    <n v="300"/>
    <s v="NL2018"/>
    <m/>
    <n v="65"/>
    <n v="19500"/>
    <x v="6"/>
    <n v="74100000"/>
    <x v="0"/>
    <d v="2019-02-28T00:00:00"/>
    <d v="2019-04-02T00:00:00"/>
    <d v="2019-04-02T00:00:00"/>
    <s v="28/2 AL"/>
    <s v="CONT 18/2019"/>
    <d v="2019-03-31T00:00:00"/>
    <s v="08/03/2019 KH THANH TOÁN"/>
    <d v="2019-04-03T00:00:00"/>
    <n v="19500"/>
    <m/>
    <m/>
    <m/>
    <m/>
    <m/>
    <m/>
    <n v="19500"/>
    <n v="0"/>
    <n v="0"/>
  </r>
  <r>
    <s v="13B/2019"/>
    <d v="2019-01-05T00:00:00"/>
    <s v="THANH THÚY"/>
    <s v="KN01"/>
    <x v="16"/>
    <x v="51"/>
    <s v="THALITA"/>
    <s v="RL"/>
    <s v="12.14"/>
    <n v="400"/>
    <s v="NL2018"/>
    <m/>
    <n v="0"/>
    <n v="0"/>
    <x v="27"/>
    <n v="0"/>
    <x v="1"/>
    <d v="2019-01-19T00:00:00"/>
    <d v="2019-02-23T00:00:00"/>
    <d v="2019-02-23T00:00:00"/>
    <s v="23/1AL. Kh chưa lấy"/>
    <m/>
    <m/>
    <m/>
    <m/>
    <n v="0"/>
    <m/>
    <m/>
    <m/>
    <m/>
    <m/>
    <m/>
    <n v="0"/>
    <n v="0"/>
    <n v="0"/>
  </r>
  <r>
    <s v="13B/2019"/>
    <d v="2019-01-05T00:00:00"/>
    <s v="THANH THÚY"/>
    <s v="KN01"/>
    <x v="16"/>
    <x v="30"/>
    <s v="MALDANO"/>
    <m/>
    <s v="16.18"/>
    <n v="200"/>
    <s v="NL2018"/>
    <m/>
    <n v="0"/>
    <n v="0"/>
    <x v="55"/>
    <n v="0"/>
    <x v="1"/>
    <d v="2019-03-15T00:00:00"/>
    <d v="2019-04-19T00:00:00"/>
    <d v="2019-04-19T00:00:00"/>
    <m/>
    <m/>
    <m/>
    <m/>
    <m/>
    <m/>
    <m/>
    <m/>
    <m/>
    <m/>
    <m/>
    <m/>
    <n v="0"/>
    <n v="0"/>
    <n v="0"/>
  </r>
  <r>
    <s v="13B/2019"/>
    <d v="2019-01-05T00:00:00"/>
    <s v="THANH THÚY"/>
    <s v="KN01"/>
    <x v="16"/>
    <x v="11"/>
    <s v="YELLOWEEN"/>
    <m/>
    <s v="12.14"/>
    <n v="400"/>
    <s v="NL2018"/>
    <m/>
    <n v="75"/>
    <n v="30000"/>
    <x v="12"/>
    <n v="78000000"/>
    <x v="0"/>
    <d v="2019-01-15T00:00:00"/>
    <d v="2019-02-19T00:00:00"/>
    <d v="2019-02-19T00:00:00"/>
    <s v="15/1AL"/>
    <m/>
    <m/>
    <m/>
    <d v="2019-02-19T00:00:00"/>
    <n v="30000"/>
    <m/>
    <m/>
    <m/>
    <m/>
    <m/>
    <m/>
    <n v="30000"/>
    <n v="0"/>
    <n v="0"/>
  </r>
  <r>
    <s v="13B/2019"/>
    <d v="2019-01-05T00:00:00"/>
    <s v="THANH THÚY"/>
    <s v="KN01"/>
    <x v="16"/>
    <x v="52"/>
    <s v="MALDANO"/>
    <m/>
    <s v="15.16"/>
    <n v="300"/>
    <s v="NL2018"/>
    <m/>
    <n v="34"/>
    <n v="10200"/>
    <x v="56"/>
    <n v="39780000"/>
    <x v="0"/>
    <d v="2019-01-15T00:00:00"/>
    <d v="2019-02-19T00:00:00"/>
    <d v="2019-02-19T00:00:00"/>
    <s v="15/1AL"/>
    <m/>
    <m/>
    <m/>
    <d v="2019-05-19T00:00:00"/>
    <n v="10200"/>
    <m/>
    <m/>
    <m/>
    <m/>
    <m/>
    <m/>
    <n v="10200"/>
    <n v="0"/>
    <n v="0"/>
  </r>
  <r>
    <s v="13B/2019"/>
    <d v="2019-01-05T00:00:00"/>
    <s v="THANH THÚY"/>
    <s v="KN01"/>
    <x v="16"/>
    <x v="51"/>
    <s v="THALITA"/>
    <s v="RL"/>
    <s v="12.14"/>
    <n v="400"/>
    <s v="NL2018"/>
    <m/>
    <n v="5"/>
    <n v="2000"/>
    <x v="27"/>
    <n v="16000000"/>
    <x v="0"/>
    <d v="2019-01-19T00:00:00"/>
    <d v="2019-02-23T00:00:00"/>
    <d v="2019-02-23T00:00:00"/>
    <s v="23/1AL"/>
    <m/>
    <m/>
    <m/>
    <d v="2019-02-27T00:00:00"/>
    <n v="2000"/>
    <m/>
    <m/>
    <m/>
    <m/>
    <m/>
    <m/>
    <n v="2000"/>
    <n v="0"/>
    <n v="0"/>
  </r>
  <r>
    <s v="13B/2019"/>
    <d v="2019-01-05T00:00:00"/>
    <s v="THANH THÚY"/>
    <s v="KN01"/>
    <x v="16"/>
    <x v="53"/>
    <s v="SENSI"/>
    <m/>
    <s v="16.18"/>
    <n v="200"/>
    <s v="NL2018"/>
    <m/>
    <n v="25"/>
    <n v="5000"/>
    <x v="44"/>
    <n v="27500000"/>
    <x v="0"/>
    <d v="2019-01-19T00:00:00"/>
    <d v="2019-02-23T00:00:00"/>
    <d v="2019-02-23T00:00:00"/>
    <s v="23/1AL"/>
    <m/>
    <m/>
    <m/>
    <d v="2019-02-27T00:00:00"/>
    <n v="5000"/>
    <m/>
    <m/>
    <m/>
    <m/>
    <m/>
    <m/>
    <n v="5000"/>
    <n v="0"/>
    <n v="0"/>
  </r>
  <r>
    <s v="13B/2019"/>
    <d v="2019-01-05T00:00:00"/>
    <s v="THANH THÚY"/>
    <s v="KN01"/>
    <x v="16"/>
    <x v="53"/>
    <s v="SENSI"/>
    <m/>
    <s v="16.18"/>
    <n v="200"/>
    <s v="NL2018"/>
    <m/>
    <n v="25"/>
    <n v="5000"/>
    <x v="44"/>
    <n v="27500000"/>
    <x v="0"/>
    <d v="2019-01-19T00:00:00"/>
    <d v="2019-02-23T00:00:00"/>
    <d v="2019-02-23T00:00:00"/>
    <s v="23/1AL"/>
    <m/>
    <m/>
    <m/>
    <d v="2019-03-14T00:00:00"/>
    <n v="5000"/>
    <m/>
    <m/>
    <m/>
    <m/>
    <m/>
    <m/>
    <n v="5000"/>
    <n v="0"/>
    <n v="0"/>
  </r>
  <r>
    <s v="13B/2019"/>
    <d v="2019-01-05T00:00:00"/>
    <s v="THANH THÚY"/>
    <s v="KN01"/>
    <x v="16"/>
    <x v="52"/>
    <s v="MALDANO"/>
    <m/>
    <s v="15.16"/>
    <n v="300"/>
    <s v="NL2018"/>
    <m/>
    <n v="34"/>
    <n v="10200"/>
    <x v="56"/>
    <n v="39780000"/>
    <x v="0"/>
    <d v="2019-02-15T00:00:00"/>
    <d v="2019-03-20T00:00:00"/>
    <d v="2019-03-20T00:00:00"/>
    <s v="15/2AL"/>
    <s v="CONT 10/2019"/>
    <m/>
    <m/>
    <d v="2019-03-19T00:00:00"/>
    <n v="5100"/>
    <d v="2019-03-29T00:00:00"/>
    <n v="5100"/>
    <m/>
    <m/>
    <m/>
    <m/>
    <n v="10200"/>
    <n v="0"/>
    <n v="0"/>
  </r>
  <r>
    <s v="13B/2019"/>
    <d v="2019-01-05T00:00:00"/>
    <s v="THANH THÚY"/>
    <s v="KN01"/>
    <x v="16"/>
    <x v="11"/>
    <s v="YELLOWEEN"/>
    <m/>
    <s v="12.14"/>
    <n v="400"/>
    <s v="NL2018"/>
    <m/>
    <n v="38"/>
    <n v="15200"/>
    <x v="12"/>
    <n v="39520000"/>
    <x v="0"/>
    <d v="2019-02-15T00:00:00"/>
    <d v="2019-03-20T00:00:00"/>
    <d v="2019-03-20T00:00:00"/>
    <s v="15/2AL"/>
    <s v="CONT 12/2019"/>
    <m/>
    <m/>
    <d v="2019-03-19T00:00:00"/>
    <n v="15200"/>
    <m/>
    <m/>
    <m/>
    <m/>
    <m/>
    <m/>
    <n v="15200"/>
    <n v="0"/>
    <n v="0"/>
  </r>
  <r>
    <s v="13B/2019"/>
    <d v="2019-01-05T00:00:00"/>
    <s v="THANH THÚY"/>
    <s v="KN01"/>
    <x v="16"/>
    <x v="52"/>
    <s v="MALDANO"/>
    <m/>
    <s v="15.16"/>
    <n v="300"/>
    <s v="NL2018"/>
    <m/>
    <n v="0"/>
    <n v="0"/>
    <x v="56"/>
    <n v="0"/>
    <x v="1"/>
    <d v="2019-04-15T00:00:00"/>
    <d v="2019-05-19T00:00:00"/>
    <d v="2019-05-19T00:00:00"/>
    <s v="15/4AL"/>
    <m/>
    <m/>
    <m/>
    <m/>
    <m/>
    <m/>
    <m/>
    <m/>
    <m/>
    <m/>
    <m/>
    <n v="0"/>
    <n v="0"/>
    <n v="0"/>
  </r>
  <r>
    <s v="13B/2019"/>
    <d v="2019-01-05T00:00:00"/>
    <s v="THANH THÚY"/>
    <s v="KN01"/>
    <x v="16"/>
    <x v="52"/>
    <s v="MALDANO"/>
    <m/>
    <s v="15.16"/>
    <n v="300"/>
    <s v="NL2018"/>
    <m/>
    <n v="34"/>
    <n v="10200"/>
    <x v="56"/>
    <n v="39780000"/>
    <x v="0"/>
    <s v="29-Feb-19"/>
    <d v="2019-04-03T00:00:00"/>
    <d v="2019-04-03T00:00:00"/>
    <s v="28/2AL"/>
    <s v="CONT 18/2019"/>
    <m/>
    <m/>
    <d v="2019-05-19T00:00:00"/>
    <n v="10200"/>
    <m/>
    <m/>
    <m/>
    <m/>
    <m/>
    <m/>
    <n v="10200"/>
    <n v="0"/>
    <n v="0"/>
  </r>
  <r>
    <s v="13B/2019"/>
    <d v="2019-01-05T00:00:00"/>
    <s v="THANH THÚY"/>
    <s v="KN01"/>
    <x v="16"/>
    <x v="11"/>
    <s v="YELLOWEEN"/>
    <m/>
    <s v="12.14"/>
    <n v="400"/>
    <s v="NL2018"/>
    <m/>
    <n v="38"/>
    <n v="15200"/>
    <x v="12"/>
    <n v="39520000"/>
    <x v="0"/>
    <s v="29-Feb-19"/>
    <d v="2019-04-03T00:00:00"/>
    <d v="2019-04-03T00:00:00"/>
    <s v="28/2AL"/>
    <s v="CONT 15/2019"/>
    <m/>
    <m/>
    <d v="2019-04-05T00:00:00"/>
    <n v="15200"/>
    <m/>
    <m/>
    <m/>
    <m/>
    <m/>
    <m/>
    <n v="15200"/>
    <n v="0"/>
    <n v="0"/>
  </r>
  <r>
    <s v="13B/2019"/>
    <d v="2019-01-05T00:00:00"/>
    <s v="THANH THÚY"/>
    <s v="KN01"/>
    <x v="16"/>
    <x v="11"/>
    <s v="YELLOWEEN"/>
    <m/>
    <s v="12.14"/>
    <n v="400"/>
    <s v="NL2018"/>
    <m/>
    <n v="75"/>
    <n v="30000"/>
    <x v="12"/>
    <n v="78000000"/>
    <x v="0"/>
    <d v="2019-03-15T00:00:00"/>
    <d v="2019-04-19T00:00:00"/>
    <d v="2019-04-19T00:00:00"/>
    <s v="15/3AL"/>
    <s v="CONT 24/2019"/>
    <m/>
    <m/>
    <d v="2019-04-17T00:00:00"/>
    <n v="15200"/>
    <d v="2019-05-06T00:00:00"/>
    <n v="14800"/>
    <m/>
    <m/>
    <m/>
    <m/>
    <n v="30000"/>
    <n v="0"/>
    <n v="0"/>
  </r>
  <r>
    <s v="13B/2019"/>
    <d v="2019-05-16T00:00:00"/>
    <s v="THANH THÚY"/>
    <s v="KN01"/>
    <x v="16"/>
    <x v="54"/>
    <s v="MALDANO"/>
    <m/>
    <s v="14.16"/>
    <n v="300"/>
    <s v="NL2018"/>
    <m/>
    <n v="33"/>
    <n v="9900"/>
    <x v="57"/>
    <n v="39600000"/>
    <x v="4"/>
    <d v="2019-04-29T00:00:00"/>
    <d v="2019-06-02T00:00:00"/>
    <d v="2019-06-02T00:00:00"/>
    <m/>
    <m/>
    <m/>
    <m/>
    <d v="2019-06-12T00:00:00"/>
    <n v="5100"/>
    <m/>
    <m/>
    <m/>
    <m/>
    <m/>
    <m/>
    <n v="5100"/>
    <n v="4800"/>
    <n v="19200000"/>
  </r>
  <r>
    <s v="13B/2019"/>
    <d v="2019-06-18T00:00:00"/>
    <s v="THANH THÚY"/>
    <s v="KN01"/>
    <x v="16"/>
    <x v="28"/>
    <s v="YELLOWEEN"/>
    <m/>
    <s v="14.16"/>
    <n v="300"/>
    <s v="NL2018"/>
    <m/>
    <n v="17"/>
    <n v="5100"/>
    <x v="56"/>
    <n v="19890000"/>
    <x v="0"/>
    <d v="2019-06-18T00:00:00"/>
    <d v="2019-07-20T00:00:00"/>
    <d v="2019-07-20T00:00:00"/>
    <m/>
    <m/>
    <m/>
    <m/>
    <d v="2019-06-18T00:00:00"/>
    <n v="5100"/>
    <m/>
    <m/>
    <m/>
    <m/>
    <m/>
    <m/>
    <n v="5100"/>
    <n v="0"/>
    <n v="0"/>
  </r>
  <r>
    <s v="13B/2019"/>
    <d v="2019-01-05T00:00:00"/>
    <s v="THANH THÚY"/>
    <s v="KN01"/>
    <x v="16"/>
    <x v="53"/>
    <s v="SENSI"/>
    <m/>
    <s v="16.18"/>
    <n v="200"/>
    <s v="NL2018"/>
    <m/>
    <n v="50"/>
    <n v="10000"/>
    <x v="44"/>
    <n v="55000000"/>
    <x v="0"/>
    <s v="29-Feb-19"/>
    <d v="2019-04-03T00:00:00"/>
    <d v="2019-04-03T00:00:00"/>
    <s v="28/2AL"/>
    <s v="CONT 15/2019"/>
    <m/>
    <m/>
    <d v="2019-04-05T00:00:00"/>
    <n v="5000"/>
    <d v="2019-05-06T00:00:00"/>
    <n v="5000"/>
    <m/>
    <m/>
    <m/>
    <m/>
    <n v="10000"/>
    <n v="0"/>
    <n v="0"/>
  </r>
  <r>
    <s v="13B/2019"/>
    <d v="2019-01-05T00:00:00"/>
    <s v="THANH THÚY"/>
    <s v="KN01"/>
    <x v="16"/>
    <x v="54"/>
    <s v="MALDANO"/>
    <m/>
    <s v="14.16"/>
    <n v="300"/>
    <s v="NL2018"/>
    <m/>
    <n v="34"/>
    <n v="10200"/>
    <x v="57"/>
    <n v="40800000"/>
    <x v="0"/>
    <d v="2019-04-17T00:00:00"/>
    <d v="2019-05-21T00:00:00"/>
    <d v="2019-05-21T00:00:00"/>
    <s v="29/4AL"/>
    <m/>
    <m/>
    <m/>
    <d v="2019-04-17T00:00:00"/>
    <n v="10200"/>
    <m/>
    <m/>
    <m/>
    <m/>
    <m/>
    <m/>
    <n v="10200"/>
    <n v="0"/>
    <n v="0"/>
  </r>
  <r>
    <s v="13B/2019"/>
    <d v="2019-01-05T00:00:00"/>
    <s v="THANH THÚY"/>
    <s v="KN01"/>
    <x v="16"/>
    <x v="11"/>
    <s v="YELLOWEEN"/>
    <m/>
    <s v="12.14"/>
    <n v="400"/>
    <s v="NL2018"/>
    <m/>
    <n v="0"/>
    <n v="0"/>
    <x v="58"/>
    <n v="0"/>
    <x v="1"/>
    <d v="2019-05-15T00:00:00"/>
    <d v="2019-06-17T00:00:00"/>
    <d v="2019-06-17T00:00:00"/>
    <s v="15/5AL"/>
    <m/>
    <m/>
    <m/>
    <m/>
    <m/>
    <m/>
    <m/>
    <m/>
    <m/>
    <m/>
    <m/>
    <n v="0"/>
    <n v="0"/>
    <n v="0"/>
  </r>
  <r>
    <s v="13B/2019"/>
    <d v="2019-01-05T00:00:00"/>
    <s v="THANH THÚY"/>
    <s v="KN01"/>
    <x v="16"/>
    <x v="54"/>
    <s v="MALDANO"/>
    <m/>
    <s v="14.16"/>
    <n v="300"/>
    <s v="NL2018"/>
    <m/>
    <n v="34"/>
    <n v="10200"/>
    <x v="57"/>
    <n v="40800000"/>
    <x v="3"/>
    <d v="2019-06-15T00:00:00"/>
    <d v="2019-07-17T00:00:00"/>
    <d v="2019-07-17T00:00:00"/>
    <s v="15/5AL"/>
    <m/>
    <m/>
    <m/>
    <m/>
    <m/>
    <m/>
    <m/>
    <m/>
    <m/>
    <m/>
    <m/>
    <n v="0"/>
    <n v="10200"/>
    <n v="40800000"/>
  </r>
  <r>
    <s v="13B/2019"/>
    <d v="2019-06-14T00:00:00"/>
    <s v="THANH THÚY"/>
    <s v="KN01"/>
    <x v="16"/>
    <x v="28"/>
    <s v="YELLOWEEN"/>
    <m/>
    <s v="14.16"/>
    <n v="300"/>
    <s v="NL2018"/>
    <m/>
    <n v="67"/>
    <n v="20100"/>
    <x v="57"/>
    <n v="80400000"/>
    <x v="3"/>
    <d v="2019-06-15T00:00:00"/>
    <d v="2019-07-17T00:00:00"/>
    <d v="2019-07-17T00:00:00"/>
    <m/>
    <m/>
    <m/>
    <m/>
    <m/>
    <m/>
    <m/>
    <m/>
    <m/>
    <m/>
    <m/>
    <m/>
    <n v="0"/>
    <n v="20100"/>
    <n v="80400000"/>
  </r>
  <r>
    <s v="13B/2019"/>
    <d v="2019-05-28T00:00:00"/>
    <s v="THANH THÚY"/>
    <s v="KN01"/>
    <x v="16"/>
    <x v="28"/>
    <s v="YELLOWEEN"/>
    <m/>
    <s v="14.16"/>
    <n v="300"/>
    <s v="NL2018"/>
    <m/>
    <n v="50"/>
    <n v="15000"/>
    <x v="56"/>
    <n v="58500000"/>
    <x v="3"/>
    <d v="2019-05-18T00:00:00"/>
    <d v="2019-06-20T00:00:00"/>
    <d v="2019-06-20T00:00:00"/>
    <m/>
    <m/>
    <m/>
    <m/>
    <m/>
    <m/>
    <m/>
    <m/>
    <m/>
    <m/>
    <m/>
    <m/>
    <n v="0"/>
    <n v="15000"/>
    <n v="58500000"/>
  </r>
  <r>
    <s v="157B/2019"/>
    <d v="2019-04-03T00:00:00"/>
    <s v="THANH THÚY"/>
    <s v="KN01"/>
    <x v="16"/>
    <x v="6"/>
    <s v="CONCADOR"/>
    <m/>
    <s v="20.22"/>
    <n v="125"/>
    <s v="NL2018"/>
    <m/>
    <n v="80"/>
    <n v="10000"/>
    <x v="59"/>
    <n v="105000000"/>
    <x v="2"/>
    <d v="2019-09-01T00:00:00"/>
    <d v="2019-09-29T00:00:00"/>
    <d v="2019-09-29T00:00:00"/>
    <s v="TẾT"/>
    <m/>
    <m/>
    <m/>
    <m/>
    <m/>
    <m/>
    <m/>
    <m/>
    <m/>
    <m/>
    <m/>
    <n v="0"/>
    <n v="10000"/>
    <n v="105000000"/>
  </r>
  <r>
    <s v="157B/2019"/>
    <d v="2019-05-19T00:00:00"/>
    <s v="THANH THÚY"/>
    <s v="KN01"/>
    <x v="16"/>
    <x v="55"/>
    <s v="MALDANO"/>
    <m/>
    <s v="20.22"/>
    <n v="125"/>
    <s v="NL2018"/>
    <m/>
    <n v="120"/>
    <n v="15000"/>
    <x v="60"/>
    <n v="142500000"/>
    <x v="2"/>
    <d v="2019-09-01T00:00:00"/>
    <d v="2019-09-29T00:00:00"/>
    <d v="2019-09-29T00:00:00"/>
    <m/>
    <m/>
    <m/>
    <m/>
    <m/>
    <m/>
    <m/>
    <m/>
    <m/>
    <m/>
    <m/>
    <m/>
    <n v="0"/>
    <n v="15000"/>
    <n v="142500000"/>
  </r>
  <r>
    <s v="157B/2019"/>
    <d v="2019-05-19T00:00:00"/>
    <s v="THANH THÚY"/>
    <s v="KN01"/>
    <x v="16"/>
    <x v="16"/>
    <s v="ROBINA"/>
    <m/>
    <s v="20.22"/>
    <n v="125"/>
    <s v="NL2018"/>
    <m/>
    <n v="40"/>
    <n v="5000"/>
    <x v="16"/>
    <n v="53500000"/>
    <x v="2"/>
    <d v="2019-09-01T00:00:00"/>
    <d v="2019-09-29T00:00:00"/>
    <d v="2019-09-29T00:00:00"/>
    <m/>
    <m/>
    <m/>
    <m/>
    <m/>
    <m/>
    <m/>
    <m/>
    <m/>
    <m/>
    <m/>
    <m/>
    <n v="0"/>
    <n v="5000"/>
    <n v="53500000"/>
  </r>
  <r>
    <s v="13B/2019"/>
    <d v="2019-01-05T00:00:00"/>
    <s v="THANH THÚY"/>
    <s v="KN01"/>
    <x v="16"/>
    <x v="5"/>
    <s v="PROFUNDO"/>
    <m/>
    <s v="16.18"/>
    <n v="200"/>
    <s v="NL2018"/>
    <m/>
    <n v="90"/>
    <n v="18000"/>
    <x v="45"/>
    <n v="120600000"/>
    <x v="4"/>
    <s v="29-Feb-19"/>
    <d v="2019-04-03T00:00:00"/>
    <d v="2019-04-03T00:00:00"/>
    <s v="28/2AL"/>
    <s v="CONT 17/2019"/>
    <m/>
    <m/>
    <d v="2019-05-17T00:00:00"/>
    <n v="8000"/>
    <m/>
    <m/>
    <m/>
    <m/>
    <m/>
    <m/>
    <n v="8000"/>
    <n v="10000"/>
    <n v="67000000"/>
  </r>
  <r>
    <s v="13B/2019"/>
    <d v="2019-01-05T00:00:00"/>
    <s v="THANH THÚY"/>
    <s v="KN01"/>
    <x v="16"/>
    <x v="54"/>
    <s v="MALDANO"/>
    <m/>
    <s v="14.16"/>
    <n v="300"/>
    <s v="NL2018"/>
    <m/>
    <n v="100"/>
    <n v="30000"/>
    <x v="57"/>
    <n v="120000000"/>
    <x v="2"/>
    <m/>
    <s v=""/>
    <s v=""/>
    <m/>
    <m/>
    <m/>
    <m/>
    <m/>
    <m/>
    <m/>
    <m/>
    <m/>
    <m/>
    <m/>
    <m/>
    <n v="0"/>
    <n v="30000"/>
    <n v="120000000"/>
  </r>
  <r>
    <s v="13B/2019"/>
    <d v="2019-01-05T00:00:00"/>
    <s v="THANH THÚY"/>
    <s v="KN01"/>
    <x v="16"/>
    <x v="28"/>
    <s v="YELLOWEEN"/>
    <m/>
    <s v="14.16"/>
    <n v="300"/>
    <s v="NL2018"/>
    <m/>
    <n v="0"/>
    <n v="0"/>
    <x v="6"/>
    <n v="0"/>
    <x v="1"/>
    <m/>
    <s v=""/>
    <s v=""/>
    <m/>
    <m/>
    <m/>
    <m/>
    <m/>
    <n v="0"/>
    <m/>
    <m/>
    <m/>
    <m/>
    <m/>
    <m/>
    <n v="0"/>
    <n v="0"/>
    <n v="0"/>
  </r>
  <r>
    <s v="13B/2019"/>
    <d v="2019-01-05T00:00:00"/>
    <s v="THANH THÚY"/>
    <s v="KN01"/>
    <x v="16"/>
    <x v="30"/>
    <s v="MALDANO"/>
    <m/>
    <s v="16.18"/>
    <n v="200"/>
    <s v="NL2018"/>
    <m/>
    <n v="103"/>
    <n v="20600"/>
    <x v="18"/>
    <n v="103000000"/>
    <x v="2"/>
    <m/>
    <s v=""/>
    <s v=""/>
    <s v="T6AL bắt đầu về hàng size lớn"/>
    <m/>
    <m/>
    <m/>
    <m/>
    <n v="0"/>
    <m/>
    <m/>
    <m/>
    <m/>
    <m/>
    <m/>
    <n v="0"/>
    <n v="20600"/>
    <n v="103000000"/>
  </r>
  <r>
    <s v="13B/2019"/>
    <d v="2019-01-05T00:00:00"/>
    <s v="THANH THÚY"/>
    <s v="KN01"/>
    <x v="16"/>
    <x v="11"/>
    <s v="YELLOWEEN"/>
    <m/>
    <s v="12.14"/>
    <n v="400"/>
    <s v="NL2018"/>
    <m/>
    <n v="75"/>
    <n v="30000"/>
    <x v="47"/>
    <n v="81000000"/>
    <x v="0"/>
    <d v="2019-04-17T00:00:00"/>
    <d v="2019-05-21T00:00:00"/>
    <d v="2019-05-21T00:00:00"/>
    <s v="29/4AL"/>
    <m/>
    <m/>
    <m/>
    <m/>
    <n v="14800"/>
    <d v="2019-05-31T00:00:00"/>
    <n v="15200"/>
    <m/>
    <m/>
    <m/>
    <m/>
    <n v="30000"/>
    <n v="0"/>
    <n v="0"/>
  </r>
  <r>
    <s v="143B/2019"/>
    <d v="2019-03-19T00:00:00"/>
    <s v="THANH THÚY"/>
    <s v="BL02"/>
    <x v="17"/>
    <x v="56"/>
    <s v="OUTBACK"/>
    <m/>
    <s v="14.16"/>
    <n v="300"/>
    <s v="NL2018"/>
    <m/>
    <n v="7"/>
    <n v="2100"/>
    <x v="18"/>
    <n v="10500000"/>
    <x v="0"/>
    <d v="2019-03-30T00:00:00"/>
    <d v="2019-05-04T00:00:00"/>
    <d v="2019-05-04T00:00:00"/>
    <s v="30/3AL"/>
    <m/>
    <m/>
    <m/>
    <d v="2019-06-05T00:00:00"/>
    <n v="2100"/>
    <m/>
    <m/>
    <m/>
    <m/>
    <m/>
    <m/>
    <n v="2100"/>
    <n v="0"/>
    <n v="0"/>
  </r>
  <r>
    <s v="143B/2019"/>
    <d v="2019-03-19T00:00:00"/>
    <s v="THANH THÚY"/>
    <s v="BL02"/>
    <x v="17"/>
    <x v="51"/>
    <s v="THALITA"/>
    <s v="RL"/>
    <s v="12.14"/>
    <n v="400"/>
    <s v="NL2018"/>
    <m/>
    <n v="1"/>
    <n v="400"/>
    <x v="61"/>
    <n v="3400000"/>
    <x v="0"/>
    <d v="2019-03-30T00:00:00"/>
    <d v="2019-05-04T00:00:00"/>
    <d v="2019-05-04T00:00:00"/>
    <s v="30/3AL"/>
    <m/>
    <m/>
    <m/>
    <d v="2019-06-05T00:00:00"/>
    <n v="400"/>
    <m/>
    <m/>
    <m/>
    <m/>
    <m/>
    <m/>
    <n v="400"/>
    <n v="0"/>
    <n v="0"/>
  </r>
  <r>
    <s v="143B/2019"/>
    <d v="2019-06-11T00:00:00"/>
    <s v="THANH THÚY"/>
    <s v="BL02"/>
    <x v="17"/>
    <x v="57"/>
    <s v="DALIAN"/>
    <m/>
    <s v="14.16"/>
    <n v="300"/>
    <s v="NL2018"/>
    <m/>
    <n v="2"/>
    <n v="600"/>
    <x v="44"/>
    <n v="3300000"/>
    <x v="0"/>
    <d v="2019-05-05T00:00:00"/>
    <d v="2019-06-07T00:00:00"/>
    <d v="2019-06-07T00:00:00"/>
    <m/>
    <m/>
    <m/>
    <m/>
    <d v="2019-06-11T00:00:00"/>
    <n v="600"/>
    <m/>
    <m/>
    <m/>
    <m/>
    <m/>
    <m/>
    <n v="600"/>
    <n v="0"/>
    <n v="0"/>
  </r>
  <r>
    <s v="143B/2019"/>
    <d v="2019-03-19T00:00:00"/>
    <s v="THANH THÚY"/>
    <s v="BL02"/>
    <x v="17"/>
    <x v="58"/>
    <s v="OUTBACK"/>
    <m/>
    <s v="18.20"/>
    <n v="150"/>
    <s v="NL2018"/>
    <m/>
    <n v="14"/>
    <n v="2100"/>
    <x v="62"/>
    <n v="21420000"/>
    <x v="2"/>
    <d v="2019-09-01T00:00:00"/>
    <d v="2019-09-29T00:00:00"/>
    <d v="2019-09-29T00:00:00"/>
    <s v="TẾT"/>
    <m/>
    <m/>
    <m/>
    <m/>
    <m/>
    <m/>
    <m/>
    <m/>
    <m/>
    <m/>
    <m/>
    <n v="0"/>
    <n v="2100"/>
    <n v="21420000"/>
  </r>
  <r>
    <s v="143B/2019"/>
    <d v="2019-03-19T00:00:00"/>
    <s v="THANH THÚY"/>
    <s v="BL02"/>
    <x v="17"/>
    <x v="16"/>
    <s v="ROBINA"/>
    <m/>
    <s v="20.22"/>
    <n v="125"/>
    <s v="NL2018"/>
    <m/>
    <n v="16"/>
    <n v="2000"/>
    <x v="59"/>
    <n v="21000000"/>
    <x v="2"/>
    <d v="2019-09-01T00:00:00"/>
    <d v="2019-09-29T00:00:00"/>
    <d v="2019-09-29T00:00:00"/>
    <s v="TẾT"/>
    <m/>
    <m/>
    <m/>
    <m/>
    <m/>
    <m/>
    <m/>
    <m/>
    <m/>
    <m/>
    <m/>
    <n v="0"/>
    <n v="2000"/>
    <n v="21000000"/>
  </r>
  <r>
    <s v="143B/2019"/>
    <d v="2019-03-19T00:00:00"/>
    <s v="THANH THÚY"/>
    <s v="BL02"/>
    <x v="17"/>
    <x v="59"/>
    <s v="DALIAN"/>
    <m/>
    <s v="18.20"/>
    <n v="150"/>
    <s v="NL2018"/>
    <m/>
    <n v="14"/>
    <n v="2100"/>
    <x v="63"/>
    <n v="25410000"/>
    <x v="2"/>
    <d v="2019-09-01T00:00:00"/>
    <d v="2019-09-29T00:00:00"/>
    <d v="2019-09-29T00:00:00"/>
    <s v="TẾT"/>
    <m/>
    <m/>
    <m/>
    <m/>
    <m/>
    <m/>
    <m/>
    <m/>
    <m/>
    <m/>
    <m/>
    <n v="0"/>
    <n v="2100"/>
    <n v="25410000"/>
  </r>
  <r>
    <s v="143B/2019"/>
    <d v="2019-03-19T00:00:00"/>
    <s v="THANH THÚY"/>
    <s v="BL02"/>
    <x v="17"/>
    <x v="14"/>
    <s v="TARRANGO"/>
    <m/>
    <s v="20.22"/>
    <n v="125"/>
    <s v="NL2018"/>
    <m/>
    <n v="20"/>
    <n v="2500"/>
    <x v="8"/>
    <n v="27000000"/>
    <x v="2"/>
    <d v="2019-09-01T00:00:00"/>
    <d v="2019-09-29T00:00:00"/>
    <d v="2019-09-29T00:00:00"/>
    <s v="TẾT"/>
    <m/>
    <m/>
    <m/>
    <m/>
    <m/>
    <m/>
    <m/>
    <m/>
    <m/>
    <m/>
    <m/>
    <n v="0"/>
    <n v="2500"/>
    <n v="27000000"/>
  </r>
  <r>
    <s v="143B/2019"/>
    <d v="2019-03-19T00:00:00"/>
    <s v="THANH THÚY"/>
    <s v="BL02"/>
    <x v="17"/>
    <x v="60"/>
    <s v="PATRICIA"/>
    <s v="RL"/>
    <s v="12.14"/>
    <n v="400"/>
    <s v="NL2018"/>
    <m/>
    <n v="8"/>
    <n v="3200"/>
    <x v="64"/>
    <n v="28160000"/>
    <x v="2"/>
    <d v="2019-09-01T00:00:00"/>
    <d v="2019-09-29T00:00:00"/>
    <d v="2019-09-29T00:00:00"/>
    <s v="TẾT"/>
    <m/>
    <m/>
    <m/>
    <m/>
    <m/>
    <m/>
    <m/>
    <m/>
    <m/>
    <m/>
    <m/>
    <n v="0"/>
    <n v="3200"/>
    <n v="28160000"/>
  </r>
  <r>
    <s v="43A/2019"/>
    <d v="2019-02-12T00:00:00"/>
    <s v="KIỀU THY"/>
    <s v="TA04"/>
    <x v="18"/>
    <x v="32"/>
    <s v="BACARDI"/>
    <m/>
    <s v="16.18"/>
    <n v="200"/>
    <s v="NL2018"/>
    <m/>
    <n v="0"/>
    <n v="0"/>
    <x v="42"/>
    <n v="0"/>
    <x v="1"/>
    <d v="2019-02-15T00:00:00"/>
    <d v="2019-03-20T00:00:00"/>
    <d v="2019-03-20T00:00:00"/>
    <s v="15/2AL"/>
    <s v="CONT 11/2019"/>
    <d v="2019-03-17T00:00:00"/>
    <m/>
    <m/>
    <m/>
    <m/>
    <m/>
    <m/>
    <m/>
    <m/>
    <m/>
    <n v="0"/>
    <n v="0"/>
    <n v="0"/>
  </r>
  <r>
    <s v="43A/2019"/>
    <d v="2019-02-12T00:00:00"/>
    <s v="KIỀU THY"/>
    <s v="TA04"/>
    <x v="18"/>
    <x v="61"/>
    <s v="BACARDI"/>
    <m/>
    <s v="15.16"/>
    <n v="250"/>
    <s v="NL2018"/>
    <m/>
    <n v="0"/>
    <n v="0"/>
    <x v="65"/>
    <n v="0"/>
    <x v="1"/>
    <d v="2019-03-15T00:00:00"/>
    <d v="2019-04-19T00:00:00"/>
    <d v="2019-04-19T00:00:00"/>
    <s v="15/3AL"/>
    <s v="CONT 22/2019"/>
    <d v="2019-04-14T00:00:00"/>
    <s v="R"/>
    <m/>
    <n v="0"/>
    <m/>
    <m/>
    <m/>
    <m/>
    <m/>
    <m/>
    <n v="0"/>
    <n v="0"/>
    <n v="0"/>
  </r>
  <r>
    <s v="43A/2019"/>
    <d v="2019-02-12T00:00:00"/>
    <s v="KIỀU THY"/>
    <s v="TA04"/>
    <x v="18"/>
    <x v="22"/>
    <s v="ROBINA"/>
    <m/>
    <s v="16.18"/>
    <n v="200"/>
    <s v="NL2018"/>
    <m/>
    <n v="0"/>
    <n v="0"/>
    <x v="18"/>
    <n v="0"/>
    <x v="1"/>
    <d v="2019-03-15T00:00:00"/>
    <d v="2019-04-19T00:00:00"/>
    <d v="2019-04-19T00:00:00"/>
    <s v="15/3AL"/>
    <s v="CONT 26/2019"/>
    <d v="2019-04-14T00:00:00"/>
    <s v="R"/>
    <m/>
    <n v="0"/>
    <m/>
    <m/>
    <m/>
    <m/>
    <m/>
    <m/>
    <n v="0"/>
    <n v="0"/>
    <n v="0"/>
  </r>
  <r>
    <s v="43A/2019"/>
    <d v="2019-02-12T00:00:00"/>
    <s v="KIỀU THY"/>
    <s v="TA04"/>
    <x v="18"/>
    <x v="31"/>
    <s v="TARRANGO"/>
    <m/>
    <s v="14.16"/>
    <n v="300"/>
    <s v="NL2018"/>
    <m/>
    <n v="0"/>
    <n v="0"/>
    <x v="21"/>
    <n v="0"/>
    <x v="1"/>
    <d v="2019-03-15T00:00:00"/>
    <d v="2019-04-19T00:00:00"/>
    <d v="2019-04-19T00:00:00"/>
    <s v="15/2AL_3.000+10/03AL_4.000"/>
    <s v="CONT 24/2019"/>
    <d v="2019-04-14T00:00:00"/>
    <s v="R"/>
    <m/>
    <n v="0"/>
    <m/>
    <m/>
    <m/>
    <m/>
    <m/>
    <m/>
    <n v="0"/>
    <n v="0"/>
    <n v="0"/>
  </r>
  <r>
    <s v="43A/2019"/>
    <d v="2019-02-12T00:00:00"/>
    <s v="KIỀU THY"/>
    <s v="TA04"/>
    <x v="18"/>
    <x v="62"/>
    <s v="BACARDI"/>
    <m/>
    <s v="15.16"/>
    <n v="300"/>
    <s v="NL2018"/>
    <m/>
    <n v="7"/>
    <n v="2100"/>
    <x v="65"/>
    <n v="9177000"/>
    <x v="0"/>
    <d v="2019-02-15T00:00:00"/>
    <d v="2019-03-20T00:00:00"/>
    <d v="2019-03-20T00:00:00"/>
    <s v="15/2AL"/>
    <s v="CONT 11/2019"/>
    <d v="2019-03-17T00:00:00"/>
    <s v="R"/>
    <d v="2019-03-23T00:00:00"/>
    <n v="2100"/>
    <m/>
    <m/>
    <m/>
    <m/>
    <m/>
    <m/>
    <n v="2100"/>
    <n v="0"/>
    <n v="0"/>
  </r>
  <r>
    <s v="43A/2019"/>
    <d v="2019-02-12T00:00:00"/>
    <s v="KIỀU THY"/>
    <s v="TA04"/>
    <x v="18"/>
    <x v="31"/>
    <s v="TARRANGO"/>
    <m/>
    <s v="14.16"/>
    <n v="300"/>
    <s v="NL2018"/>
    <m/>
    <n v="7"/>
    <n v="2100"/>
    <x v="21"/>
    <n v="9660000"/>
    <x v="0"/>
    <d v="2019-02-15T00:00:00"/>
    <d v="2019-03-20T00:00:00"/>
    <d v="2019-03-20T00:00:00"/>
    <s v="15/2AL_3.000+10/03AL_4.000"/>
    <s v="CONT 10/2019"/>
    <d v="2019-03-17T00:00:00"/>
    <s v="R"/>
    <d v="2019-03-23T00:00:00"/>
    <n v="2100"/>
    <m/>
    <m/>
    <m/>
    <m/>
    <m/>
    <m/>
    <n v="2100"/>
    <n v="0"/>
    <n v="0"/>
  </r>
  <r>
    <s v="43A/2019"/>
    <d v="2019-05-20T00:00:00"/>
    <s v="KIỀU THY"/>
    <s v="TA04"/>
    <x v="18"/>
    <x v="57"/>
    <s v="DALIAN"/>
    <m/>
    <s v="14.16"/>
    <n v="300"/>
    <s v="NL2018"/>
    <m/>
    <n v="7"/>
    <n v="2100"/>
    <x v="44"/>
    <n v="11550000"/>
    <x v="0"/>
    <d v="2019-04-17T00:00:00"/>
    <d v="2019-05-21T00:00:00"/>
    <d v="2019-05-21T00:00:00"/>
    <m/>
    <m/>
    <m/>
    <m/>
    <d v="2019-05-21T00:00:00"/>
    <n v="2100"/>
    <m/>
    <m/>
    <m/>
    <m/>
    <m/>
    <m/>
    <n v="2100"/>
    <n v="0"/>
    <n v="0"/>
  </r>
  <r>
    <s v="220A/2019"/>
    <d v="2019-05-16T00:00:00"/>
    <s v="KIỀU THY"/>
    <s v="PH01"/>
    <x v="19"/>
    <x v="63"/>
    <s v="MANISSA"/>
    <m/>
    <s v="24.26"/>
    <s v="80"/>
    <s v="NL2018"/>
    <m/>
    <n v="35"/>
    <n v="2800"/>
    <x v="50"/>
    <n v="45360000"/>
    <x v="2"/>
    <d v="2019-09-01T00:00:00"/>
    <d v="2019-09-29T00:00:00"/>
    <d v="2019-09-29T00:00:00"/>
    <m/>
    <m/>
    <m/>
    <m/>
    <m/>
    <m/>
    <m/>
    <m/>
    <m/>
    <m/>
    <m/>
    <m/>
    <n v="0"/>
    <n v="2800"/>
    <n v="45360000"/>
  </r>
  <r>
    <s v="220A/2019"/>
    <d v="2019-05-16T00:00:00"/>
    <s v="KIỀU THY"/>
    <s v="PH01"/>
    <x v="19"/>
    <x v="36"/>
    <s v="MANISSA"/>
    <m/>
    <s v="20.22"/>
    <s v="125"/>
    <s v="NL2018"/>
    <m/>
    <n v="19"/>
    <n v="2375"/>
    <x v="66"/>
    <n v="32300000"/>
    <x v="2"/>
    <d v="2019-09-01T00:00:00"/>
    <d v="2019-09-29T00:00:00"/>
    <d v="2019-09-29T00:00:00"/>
    <m/>
    <m/>
    <m/>
    <m/>
    <m/>
    <m/>
    <m/>
    <m/>
    <m/>
    <m/>
    <m/>
    <m/>
    <n v="0"/>
    <n v="2375"/>
    <n v="32300000"/>
  </r>
  <r>
    <s v="220A/2019"/>
    <d v="2019-05-20T00:00:00"/>
    <s v="KIỀU THY"/>
    <s v="PH01"/>
    <x v="19"/>
    <x v="44"/>
    <s v="ROBINA"/>
    <m/>
    <s v="24.26"/>
    <s v="80"/>
    <s v="NL2018"/>
    <m/>
    <n v="63"/>
    <n v="5040"/>
    <x v="52"/>
    <n v="77112000"/>
    <x v="2"/>
    <d v="2019-09-01T00:00:00"/>
    <d v="2019-09-29T00:00:00"/>
    <d v="2019-09-29T00:00:00"/>
    <m/>
    <m/>
    <m/>
    <m/>
    <m/>
    <m/>
    <m/>
    <m/>
    <m/>
    <m/>
    <m/>
    <m/>
    <n v="0"/>
    <n v="5040"/>
    <n v="77112000"/>
  </r>
  <r>
    <s v="220A/2019"/>
    <d v="2019-06-17T00:00:00"/>
    <s v="KIỀU THY"/>
    <s v="PH01"/>
    <x v="19"/>
    <x v="64"/>
    <s v="TARRANGO"/>
    <m/>
    <s v="18.20"/>
    <s v="150"/>
    <s v="NL2018"/>
    <m/>
    <n v="68"/>
    <n v="10200"/>
    <x v="67"/>
    <n v="95880000"/>
    <x v="2"/>
    <d v="2019-09-01T00:00:00"/>
    <d v="2019-09-29T00:00:00"/>
    <d v="2019-09-29T00:00:00"/>
    <m/>
    <m/>
    <m/>
    <m/>
    <m/>
    <m/>
    <m/>
    <m/>
    <m/>
    <m/>
    <m/>
    <m/>
    <n v="0"/>
    <n v="10200"/>
    <n v="95880000"/>
  </r>
  <r>
    <s v="220A/2019"/>
    <d v="2019-06-17T00:00:00"/>
    <s v="KIỀU THY"/>
    <s v="PH01"/>
    <x v="19"/>
    <x v="6"/>
    <s v="CONCADOR"/>
    <m/>
    <s v="20.22"/>
    <s v="125"/>
    <s v="NL2018"/>
    <m/>
    <n v="40"/>
    <n v="5000"/>
    <x v="7"/>
    <n v="53000000"/>
    <x v="2"/>
    <d v="2019-09-01T00:00:00"/>
    <d v="2019-09-29T00:00:00"/>
    <d v="2019-09-29T00:00:00"/>
    <m/>
    <m/>
    <m/>
    <m/>
    <m/>
    <m/>
    <m/>
    <m/>
    <m/>
    <m/>
    <m/>
    <m/>
    <n v="0"/>
    <n v="5000"/>
    <n v="53000000"/>
  </r>
  <r>
    <s v="220A/2019"/>
    <d v="2019-06-17T00:00:00"/>
    <s v="KIỀU THY"/>
    <s v="PH01"/>
    <x v="19"/>
    <x v="16"/>
    <s v="ROBINA"/>
    <m/>
    <s v="20.22"/>
    <s v="125"/>
    <s v="NL2018"/>
    <m/>
    <n v="40"/>
    <n v="5000"/>
    <x v="16"/>
    <n v="53500000"/>
    <x v="2"/>
    <d v="2019-09-01T00:00:00"/>
    <d v="2019-09-29T00:00:00"/>
    <d v="2019-09-29T00:00:00"/>
    <m/>
    <m/>
    <m/>
    <m/>
    <m/>
    <m/>
    <m/>
    <m/>
    <m/>
    <m/>
    <m/>
    <m/>
    <n v="0"/>
    <n v="5000"/>
    <n v="53500000"/>
  </r>
  <r>
    <s v="217A/2019"/>
    <d v="2019-05-16T00:00:00"/>
    <s v="KIỀU THY"/>
    <s v="PH01"/>
    <x v="19"/>
    <x v="11"/>
    <s v="YELLOWEEN"/>
    <m/>
    <s v="12.14"/>
    <s v="400"/>
    <s v="NL2018"/>
    <m/>
    <n v="25"/>
    <n v="10000"/>
    <x v="4"/>
    <n v="28000000"/>
    <x v="0"/>
    <d v="2019-04-17T00:00:00"/>
    <d v="2019-05-21T00:00:00"/>
    <d v="2019-05-21T00:00:00"/>
    <m/>
    <m/>
    <m/>
    <m/>
    <d v="2019-05-19T00:00:00"/>
    <n v="10000"/>
    <m/>
    <m/>
    <m/>
    <m/>
    <m/>
    <m/>
    <n v="10000"/>
    <n v="0"/>
    <n v="0"/>
  </r>
  <r>
    <s v="217A/2019"/>
    <d v="2019-05-16T00:00:00"/>
    <s v="KIỀU THY"/>
    <s v="PH01"/>
    <x v="19"/>
    <x v="28"/>
    <s v="YELLOWEEN"/>
    <m/>
    <s v="14.16"/>
    <s v="300"/>
    <s v="NL2018"/>
    <m/>
    <n v="24"/>
    <n v="7200"/>
    <x v="56"/>
    <n v="28080000"/>
    <x v="0"/>
    <d v="2019-05-05T00:00:00"/>
    <d v="2019-06-07T00:00:00"/>
    <d v="2019-06-07T00:00:00"/>
    <m/>
    <m/>
    <m/>
    <m/>
    <d v="2019-06-10T00:00:00"/>
    <n v="7200"/>
    <m/>
    <m/>
    <m/>
    <m/>
    <m/>
    <m/>
    <n v="7200"/>
    <n v="0"/>
    <n v="0"/>
  </r>
  <r>
    <s v="217A/2019"/>
    <d v="2019-05-22T00:00:00"/>
    <s v="KIỀU THY"/>
    <s v="PH01"/>
    <x v="19"/>
    <x v="65"/>
    <s v="ROBINA"/>
    <m/>
    <s v="14.16"/>
    <s v="300"/>
    <s v="NL2018"/>
    <m/>
    <n v="27"/>
    <n v="8100"/>
    <x v="6"/>
    <n v="30780000"/>
    <x v="0"/>
    <d v="2019-05-05T00:00:00"/>
    <d v="2019-06-07T00:00:00"/>
    <d v="2019-06-07T00:00:00"/>
    <m/>
    <m/>
    <m/>
    <m/>
    <d v="2019-06-17T00:00:00"/>
    <n v="8100"/>
    <m/>
    <m/>
    <m/>
    <m/>
    <m/>
    <m/>
    <n v="8100"/>
    <n v="0"/>
    <n v="0"/>
  </r>
  <r>
    <s v="217A/2019"/>
    <d v="2019-06-05T00:00:00"/>
    <s v="KIỀU THY"/>
    <s v="PH01"/>
    <x v="19"/>
    <x v="57"/>
    <s v="DALIAN"/>
    <m/>
    <s v="14.16"/>
    <s v="300"/>
    <s v="NL2018"/>
    <m/>
    <n v="9"/>
    <n v="2700"/>
    <x v="44"/>
    <n v="14850000"/>
    <x v="0"/>
    <d v="2019-05-05T00:00:00"/>
    <d v="2019-06-07T00:00:00"/>
    <d v="2019-06-07T00:00:00"/>
    <m/>
    <m/>
    <m/>
    <m/>
    <d v="2019-06-17T00:00:00"/>
    <n v="2700"/>
    <m/>
    <m/>
    <m/>
    <m/>
    <m/>
    <m/>
    <n v="2700"/>
    <n v="0"/>
    <n v="0"/>
  </r>
  <r>
    <s v="217A/2019"/>
    <d v="2019-06-12T00:00:00"/>
    <s v="KIỀU THY"/>
    <s v="PH01"/>
    <x v="19"/>
    <x v="57"/>
    <s v="DALIAN"/>
    <m/>
    <s v="14.16"/>
    <s v="300"/>
    <s v="NL2018"/>
    <m/>
    <n v="17"/>
    <n v="5100"/>
    <x v="44"/>
    <n v="28050000"/>
    <x v="0"/>
    <d v="2019-05-05T00:00:00"/>
    <d v="2019-06-07T00:00:00"/>
    <d v="2019-06-07T00:00:00"/>
    <m/>
    <m/>
    <m/>
    <m/>
    <d v="2019-06-17T00:00:00"/>
    <n v="5100"/>
    <m/>
    <m/>
    <m/>
    <m/>
    <m/>
    <m/>
    <n v="5100"/>
    <n v="0"/>
    <n v="0"/>
  </r>
  <r>
    <s v="217A/2019"/>
    <d v="2019-06-12T00:00:00"/>
    <s v="KIỀU THY"/>
    <s v="PH01"/>
    <x v="19"/>
    <x v="66"/>
    <s v="ALUSTA"/>
    <m/>
    <s v="14.16"/>
    <s v="300"/>
    <s v="NL2018"/>
    <m/>
    <n v="17"/>
    <n v="5100"/>
    <x v="1"/>
    <n v="21420000"/>
    <x v="0"/>
    <d v="2019-05-05T00:00:00"/>
    <d v="2019-06-07T00:00:00"/>
    <d v="2019-06-07T00:00:00"/>
    <m/>
    <m/>
    <m/>
    <m/>
    <d v="2019-06-17T00:00:00"/>
    <n v="5100"/>
    <m/>
    <m/>
    <m/>
    <m/>
    <m/>
    <m/>
    <n v="5100"/>
    <n v="0"/>
    <n v="0"/>
  </r>
  <r>
    <s v="217A/2019"/>
    <d v="2019-05-20T00:00:00"/>
    <s v="KIỀU THY"/>
    <s v="PH01"/>
    <x v="19"/>
    <x v="28"/>
    <s v="YELLOWEEN"/>
    <m/>
    <s v="14.16"/>
    <s v="300"/>
    <s v="NL2018"/>
    <m/>
    <n v="17"/>
    <n v="5100"/>
    <x v="57"/>
    <n v="20400000"/>
    <x v="3"/>
    <d v="2019-05-30T00:00:00"/>
    <d v="2019-07-02T00:00:00"/>
    <d v="2019-07-02T00:00:00"/>
    <m/>
    <m/>
    <m/>
    <m/>
    <m/>
    <m/>
    <m/>
    <m/>
    <m/>
    <m/>
    <m/>
    <m/>
    <n v="0"/>
    <n v="5100"/>
    <n v="20400000"/>
  </r>
  <r>
    <s v="217A/2019"/>
    <d v="2019-05-22T00:00:00"/>
    <s v="KIỀU THY"/>
    <s v="PH01"/>
    <x v="19"/>
    <x v="65"/>
    <s v="ROBINA"/>
    <m/>
    <s v="14.16"/>
    <s v="300"/>
    <s v="NL2018"/>
    <m/>
    <n v="34"/>
    <n v="10200"/>
    <x v="56"/>
    <n v="39780000"/>
    <x v="3"/>
    <d v="2019-05-30T00:00:00"/>
    <d v="2019-07-02T00:00:00"/>
    <d v="2019-07-02T00:00:00"/>
    <m/>
    <m/>
    <m/>
    <m/>
    <m/>
    <m/>
    <m/>
    <m/>
    <m/>
    <m/>
    <m/>
    <m/>
    <n v="0"/>
    <n v="10200"/>
    <n v="39780000"/>
  </r>
  <r>
    <s v="217A/2019"/>
    <d v="2019-05-31T00:00:00"/>
    <s v="KIỀU THY"/>
    <s v="PH01"/>
    <x v="19"/>
    <x v="28"/>
    <s v="YELLOWEEN"/>
    <m/>
    <s v="14.16"/>
    <s v="300"/>
    <s v="NL2018"/>
    <m/>
    <n v="17"/>
    <n v="5100"/>
    <x v="57"/>
    <n v="20400000"/>
    <x v="2"/>
    <d v="2019-07-01T00:00:00"/>
    <d v="2019-08-01T00:00:00"/>
    <d v="2019-08-01T00:00:00"/>
    <m/>
    <m/>
    <m/>
    <m/>
    <m/>
    <m/>
    <m/>
    <m/>
    <m/>
    <m/>
    <m/>
    <m/>
    <n v="0"/>
    <n v="5100"/>
    <n v="20400000"/>
  </r>
  <r>
    <s v="217A/2019"/>
    <d v="2019-05-31T00:00:00"/>
    <s v="KIỀU THY"/>
    <s v="PH01"/>
    <x v="19"/>
    <x v="65"/>
    <s v="ROBINA"/>
    <m/>
    <s v="14.16"/>
    <s v="300"/>
    <s v="NL2018"/>
    <m/>
    <n v="34"/>
    <n v="10200"/>
    <x v="56"/>
    <n v="39780000"/>
    <x v="2"/>
    <d v="2019-07-01T00:00:00"/>
    <d v="2019-08-01T00:00:00"/>
    <d v="2019-08-01T00:00:00"/>
    <m/>
    <m/>
    <m/>
    <m/>
    <m/>
    <m/>
    <m/>
    <m/>
    <m/>
    <m/>
    <m/>
    <m/>
    <n v="0"/>
    <n v="10200"/>
    <n v="39780000"/>
  </r>
  <r>
    <s v="52B/2019"/>
    <d v="2019-02-16T00:00:00"/>
    <s v="THANH THÚY"/>
    <s v="PC01"/>
    <x v="20"/>
    <x v="31"/>
    <s v="TARRANGO"/>
    <m/>
    <s v="14.16"/>
    <n v="300"/>
    <s v="NL2018"/>
    <m/>
    <n v="7"/>
    <n v="2100"/>
    <x v="21"/>
    <n v="9660000"/>
    <x v="0"/>
    <d v="2019-01-15T00:00:00"/>
    <d v="2019-02-19T00:00:00"/>
    <d v="2019-02-19T00:00:00"/>
    <s v="15/1AL"/>
    <m/>
    <m/>
    <m/>
    <d v="2019-04-06T00:00:00"/>
    <n v="2100"/>
    <m/>
    <m/>
    <m/>
    <m/>
    <m/>
    <m/>
    <n v="2100"/>
    <n v="0"/>
    <n v="0"/>
  </r>
  <r>
    <s v="52B/2019"/>
    <d v="2019-02-16T00:00:00"/>
    <s v="THANH THÚY"/>
    <s v="PC01"/>
    <x v="20"/>
    <x v="31"/>
    <s v="TARRANGO"/>
    <m/>
    <s v="14.16"/>
    <n v="300"/>
    <s v="NL2018"/>
    <m/>
    <n v="0"/>
    <n v="0"/>
    <x v="21"/>
    <n v="0"/>
    <x v="1"/>
    <s v="29-Feb-19"/>
    <d v="2019-04-03T00:00:00"/>
    <d v="2019-04-03T00:00:00"/>
    <s v="30/2AL"/>
    <s v="CONT 17/2019"/>
    <m/>
    <m/>
    <m/>
    <n v="2100"/>
    <m/>
    <m/>
    <m/>
    <m/>
    <m/>
    <m/>
    <n v="2100"/>
    <n v="-2100"/>
    <n v="-9660000"/>
  </r>
  <r>
    <s v="52B/2019"/>
    <d v="2019-02-16T00:00:00"/>
    <s v="THANH THÚY"/>
    <s v="PC01"/>
    <x v="20"/>
    <x v="28"/>
    <s v="YELLOWEEN"/>
    <m/>
    <s v="14.16"/>
    <n v="300"/>
    <s v="NL2018"/>
    <m/>
    <n v="2"/>
    <n v="600"/>
    <x v="57"/>
    <n v="2400000"/>
    <x v="0"/>
    <s v="29-Feb-19"/>
    <d v="2019-04-03T00:00:00"/>
    <d v="2019-04-03T00:00:00"/>
    <s v="30/2AL"/>
    <m/>
    <m/>
    <m/>
    <d v="2019-04-06T00:00:00"/>
    <n v="600"/>
    <m/>
    <m/>
    <m/>
    <m/>
    <m/>
    <m/>
    <n v="600"/>
    <n v="0"/>
    <n v="0"/>
  </r>
  <r>
    <s v="52B/2019"/>
    <d v="2019-02-16T00:00:00"/>
    <s v="THANH THÚY"/>
    <s v="PC01"/>
    <x v="20"/>
    <x v="38"/>
    <s v="YELLOWEEN"/>
    <m/>
    <s v="16.18"/>
    <n v="200"/>
    <s v="NL2018"/>
    <m/>
    <n v="10"/>
    <n v="2000"/>
    <x v="18"/>
    <n v="10000000"/>
    <x v="0"/>
    <d v="2019-01-15T00:00:00"/>
    <d v="2019-02-19T00:00:00"/>
    <d v="2019-02-19T00:00:00"/>
    <s v="15/1AL"/>
    <m/>
    <m/>
    <m/>
    <d v="2019-02-23T00:00:00"/>
    <n v="2000"/>
    <m/>
    <m/>
    <m/>
    <m/>
    <m/>
    <m/>
    <n v="2000"/>
    <n v="0"/>
    <n v="0"/>
  </r>
  <r>
    <s v="52B/2019"/>
    <d v="2019-02-16T00:00:00"/>
    <s v="THANH THÚY"/>
    <s v="PC01"/>
    <x v="20"/>
    <x v="24"/>
    <s v="SERANO"/>
    <m/>
    <s v="14.16"/>
    <n v="300"/>
    <s v="NL2018"/>
    <m/>
    <n v="7"/>
    <n v="2100"/>
    <x v="68"/>
    <n v="7350000"/>
    <x v="0"/>
    <d v="2019-02-15T00:00:00"/>
    <d v="2019-03-20T00:00:00"/>
    <d v="2019-03-20T00:00:00"/>
    <s v="15/2AL"/>
    <m/>
    <m/>
    <m/>
    <d v="2019-04-06T00:00:00"/>
    <n v="2100"/>
    <m/>
    <m/>
    <m/>
    <m/>
    <m/>
    <m/>
    <n v="2100"/>
    <n v="0"/>
    <n v="0"/>
  </r>
  <r>
    <s v="233/2019"/>
    <d v="2019-05-31T00:00:00"/>
    <s v="KIỀU THY"/>
    <s v="NH05"/>
    <x v="21"/>
    <x v="31"/>
    <s v="TARRANGO"/>
    <m/>
    <s v="14.16"/>
    <s v="300"/>
    <s v="NL2018"/>
    <m/>
    <n v="12"/>
    <n v="3600"/>
    <x v="23"/>
    <n v="17280000"/>
    <x v="0"/>
    <d v="2019-04-17T00:00:00"/>
    <d v="2019-05-21T00:00:00"/>
    <d v="2019-05-21T00:00:00"/>
    <m/>
    <m/>
    <m/>
    <m/>
    <d v="2019-05-31T00:00:00"/>
    <n v="3600"/>
    <m/>
    <m/>
    <m/>
    <m/>
    <m/>
    <m/>
    <n v="3600"/>
    <n v="0"/>
    <n v="0"/>
  </r>
  <r>
    <s v="233/2019"/>
    <d v="2019-05-31T00:00:00"/>
    <s v="KIỀU THY"/>
    <s v="NH05"/>
    <x v="21"/>
    <x v="57"/>
    <s v="DALIAN"/>
    <m/>
    <s v="14.16"/>
    <s v="300"/>
    <s v="NL2018"/>
    <m/>
    <n v="2"/>
    <n v="600"/>
    <x v="11"/>
    <n v="3240000"/>
    <x v="0"/>
    <d v="2019-04-17T00:00:00"/>
    <d v="2019-05-21T00:00:00"/>
    <d v="2019-05-21T00:00:00"/>
    <m/>
    <m/>
    <m/>
    <m/>
    <d v="2019-05-31T00:00:00"/>
    <s v="600"/>
    <m/>
    <m/>
    <m/>
    <m/>
    <m/>
    <m/>
    <n v="600"/>
    <n v="0"/>
    <n v="0"/>
  </r>
  <r>
    <s v="233/2019"/>
    <d v="2019-06-06T00:00:00"/>
    <s v="KIỀU THY"/>
    <s v="NH05"/>
    <x v="21"/>
    <x v="22"/>
    <s v="ROBINA"/>
    <m/>
    <s v="16.18"/>
    <s v="200"/>
    <s v="NL2018"/>
    <m/>
    <n v="15"/>
    <n v="3000"/>
    <x v="44"/>
    <n v="16500000"/>
    <x v="4"/>
    <d v="2019-05-05T00:00:00"/>
    <d v="2019-06-07T00:00:00"/>
    <d v="2019-06-07T00:00:00"/>
    <m/>
    <m/>
    <m/>
    <m/>
    <m/>
    <m/>
    <m/>
    <m/>
    <m/>
    <m/>
    <m/>
    <m/>
    <n v="0"/>
    <n v="3000"/>
    <n v="16500000"/>
  </r>
  <r>
    <s v="93A/2019"/>
    <d v="2019-03-07T00:00:00"/>
    <s v="KIỀU THY"/>
    <s v="LG01"/>
    <x v="21"/>
    <x v="67"/>
    <s v="INDIANA"/>
    <m/>
    <s v="14.16"/>
    <n v="300"/>
    <s v="NL2018"/>
    <m/>
    <n v="1"/>
    <n v="300"/>
    <x v="44"/>
    <n v="1650000"/>
    <x v="0"/>
    <s v="30-Feb-19"/>
    <d v="2019-04-04T00:00:00"/>
    <d v="2019-04-04T00:00:00"/>
    <s v="30/2AL"/>
    <s v="CONT 14/2019"/>
    <d v="2019-03-31T00:00:00"/>
    <m/>
    <d v="2019-04-03T00:00:00"/>
    <n v="300"/>
    <m/>
    <m/>
    <m/>
    <m/>
    <m/>
    <m/>
    <n v="300"/>
    <n v="0"/>
    <n v="0"/>
  </r>
  <r>
    <s v="109A/2019"/>
    <d v="2019-03-12T00:00:00"/>
    <s v="KIỀU THY"/>
    <s v="MS02"/>
    <x v="22"/>
    <x v="2"/>
    <s v="NASHVILLE"/>
    <m/>
    <s v="14.16"/>
    <s v="300"/>
    <s v="NL2018"/>
    <m/>
    <n v="21"/>
    <n v="6300"/>
    <x v="56"/>
    <n v="24570000"/>
    <x v="0"/>
    <d v="2019-04-17T00:00:00"/>
    <d v="2019-05-21T00:00:00"/>
    <d v="2019-05-21T00:00:00"/>
    <s v="15/4AL"/>
    <m/>
    <m/>
    <m/>
    <d v="2019-05-24T00:00:00"/>
    <n v="3000"/>
    <d v="2019-06-08T00:00:00"/>
    <s v="3300"/>
    <m/>
    <m/>
    <m/>
    <m/>
    <n v="6300"/>
    <n v="0"/>
    <n v="0"/>
  </r>
  <r>
    <s v="109A/2019"/>
    <d v="2019-06-04T00:00:00"/>
    <s v="KIỀU THY"/>
    <s v="MS02"/>
    <x v="22"/>
    <x v="3"/>
    <s v="PAVIA"/>
    <m/>
    <s v="12.14"/>
    <s v="400"/>
    <s v="NL2018"/>
    <m/>
    <n v="12"/>
    <n v="4800"/>
    <x v="14"/>
    <n v="13920000"/>
    <x v="4"/>
    <d v="2019-05-05T00:00:00"/>
    <d v="2019-06-07T00:00:00"/>
    <d v="2019-06-07T00:00:00"/>
    <m/>
    <m/>
    <m/>
    <m/>
    <d v="2019-06-08T00:00:00"/>
    <n v="2000"/>
    <m/>
    <m/>
    <m/>
    <m/>
    <m/>
    <m/>
    <n v="2000"/>
    <n v="2800"/>
    <n v="8120000"/>
  </r>
  <r>
    <s v="109A/2019"/>
    <d v="2019-05-29T00:00:00"/>
    <s v="KIỀU THY"/>
    <s v="MS02"/>
    <x v="22"/>
    <x v="12"/>
    <s v="AMATERAS"/>
    <m/>
    <s v="14.16"/>
    <s v="300"/>
    <s v="NL2018"/>
    <m/>
    <n v="4"/>
    <n v="1200"/>
    <x v="13"/>
    <n v="5400000"/>
    <x v="0"/>
    <d v="2019-05-05T00:00:00"/>
    <d v="2019-06-07T00:00:00"/>
    <d v="2019-06-07T00:00:00"/>
    <m/>
    <m/>
    <m/>
    <m/>
    <d v="2019-06-08T00:00:00"/>
    <n v="1200"/>
    <m/>
    <m/>
    <m/>
    <m/>
    <m/>
    <m/>
    <n v="1200"/>
    <n v="0"/>
    <n v="0"/>
  </r>
  <r>
    <s v="109A/2019"/>
    <d v="2019-03-12T00:00:00"/>
    <s v="KIỀU THY"/>
    <s v="MS02"/>
    <x v="22"/>
    <x v="2"/>
    <s v="NASHVILLE"/>
    <m/>
    <s v="14.16"/>
    <s v="300"/>
    <s v="NL2018"/>
    <m/>
    <n v="10"/>
    <n v="3000"/>
    <x v="57"/>
    <n v="12000000"/>
    <x v="0"/>
    <d v="2019-05-05T00:00:00"/>
    <d v="2019-06-07T00:00:00"/>
    <d v="2019-06-07T00:00:00"/>
    <s v="30/4AL"/>
    <m/>
    <m/>
    <m/>
    <d v="2019-06-08T00:00:00"/>
    <n v="3000"/>
    <m/>
    <m/>
    <m/>
    <m/>
    <m/>
    <m/>
    <n v="3000"/>
    <n v="0"/>
    <n v="0"/>
  </r>
  <r>
    <s v="109A/2019"/>
    <d v="2019-03-12T00:00:00"/>
    <s v="KIỀU THY"/>
    <s v="MS02"/>
    <x v="22"/>
    <x v="2"/>
    <s v="NASHVILLE"/>
    <m/>
    <s v="14.16"/>
    <s v="300"/>
    <s v="NL2018"/>
    <m/>
    <n v="2"/>
    <n v="600"/>
    <x v="3"/>
    <n v="2460000"/>
    <x v="4"/>
    <d v="2019-05-05T00:00:00"/>
    <d v="2019-06-07T00:00:00"/>
    <d v="2019-06-07T00:00:00"/>
    <s v="15/5AL"/>
    <m/>
    <m/>
    <m/>
    <m/>
    <n v="0"/>
    <m/>
    <m/>
    <m/>
    <m/>
    <m/>
    <m/>
    <n v="0"/>
    <n v="600"/>
    <n v="2460000"/>
  </r>
  <r>
    <s v="109A/2019"/>
    <d v="2019-03-12T00:00:00"/>
    <s v="KIỀU THY"/>
    <s v="MS02"/>
    <x v="22"/>
    <x v="20"/>
    <s v="AMATERAS"/>
    <m/>
    <s v="12.14"/>
    <s v="400"/>
    <s v="NL2018"/>
    <m/>
    <n v="0"/>
    <n v="0"/>
    <x v="4"/>
    <n v="0"/>
    <x v="1"/>
    <d v="2019-04-17T00:00:00"/>
    <d v="2019-05-21T00:00:00"/>
    <d v="2019-05-21T00:00:00"/>
    <s v="30/3AL"/>
    <m/>
    <m/>
    <m/>
    <m/>
    <n v="0"/>
    <m/>
    <m/>
    <m/>
    <m/>
    <m/>
    <m/>
    <n v="0"/>
    <n v="0"/>
    <n v="0"/>
  </r>
  <r>
    <s v="109A/2019"/>
    <d v="2019-05-25T00:00:00"/>
    <s v="KIỀU THY"/>
    <s v="MS02"/>
    <x v="22"/>
    <x v="3"/>
    <s v="PAVIA"/>
    <m/>
    <s v="12.14"/>
    <s v="400"/>
    <s v="NL2018"/>
    <m/>
    <n v="0"/>
    <n v="0"/>
    <x v="14"/>
    <n v="0"/>
    <x v="1"/>
    <d v="2019-05-05T00:00:00"/>
    <d v="2019-06-07T00:00:00"/>
    <d v="2019-06-07T00:00:00"/>
    <m/>
    <m/>
    <m/>
    <m/>
    <m/>
    <m/>
    <m/>
    <m/>
    <m/>
    <m/>
    <m/>
    <m/>
    <n v="0"/>
    <n v="0"/>
    <n v="0"/>
  </r>
  <r>
    <s v="109A/2019"/>
    <d v="2019-03-12T00:00:00"/>
    <s v="KIỀU THY"/>
    <s v="MS02"/>
    <x v="22"/>
    <x v="17"/>
    <s v="NELLO "/>
    <m/>
    <s v="12.14"/>
    <s v="400"/>
    <s v="NL2018"/>
    <m/>
    <n v="6"/>
    <n v="2400"/>
    <x v="17"/>
    <n v="7200000"/>
    <x v="0"/>
    <d v="2019-03-15T00:00:00"/>
    <d v="2019-04-19T00:00:00"/>
    <d v="2019-04-19T00:00:00"/>
    <s v="15/3AL/15 NGÀY XUỐNG 1 LẦN"/>
    <s v="CONT 20/2019"/>
    <d v="2019-04-14T00:00:00"/>
    <m/>
    <d v="2019-04-23T00:00:00"/>
    <n v="2400"/>
    <m/>
    <m/>
    <m/>
    <m/>
    <m/>
    <m/>
    <n v="2400"/>
    <n v="0"/>
    <n v="0"/>
  </r>
  <r>
    <s v="109A/2019"/>
    <d v="2019-03-12T00:00:00"/>
    <s v="KIỀU THY"/>
    <s v="MS02"/>
    <x v="22"/>
    <x v="3"/>
    <s v="PAVIA"/>
    <m/>
    <s v="12.14"/>
    <s v="400"/>
    <s v="NL2018"/>
    <m/>
    <n v="7"/>
    <n v="2800"/>
    <x v="4"/>
    <n v="7840000"/>
    <x v="0"/>
    <d v="2019-03-15T00:00:00"/>
    <d v="2019-04-19T00:00:00"/>
    <d v="2019-04-19T00:00:00"/>
    <s v="15/3AL/15 NGÀY XUỐNG 1 LẦN"/>
    <s v="CONT 20/2019"/>
    <d v="2019-04-14T00:00:00"/>
    <m/>
    <d v="2019-04-23T00:00:00"/>
    <n v="2800"/>
    <m/>
    <m/>
    <m/>
    <m/>
    <m/>
    <m/>
    <n v="2800"/>
    <n v="0"/>
    <n v="0"/>
  </r>
  <r>
    <s v="109A/2019"/>
    <d v="2019-03-12T00:00:00"/>
    <s v="KIỀU THY"/>
    <s v="MS02"/>
    <x v="22"/>
    <x v="4"/>
    <s v="TEBALDI"/>
    <m/>
    <s v="14.16"/>
    <s v="300"/>
    <s v="NL2018"/>
    <m/>
    <n v="7"/>
    <n v="2100"/>
    <x v="3"/>
    <n v="8610000"/>
    <x v="0"/>
    <d v="2019-03-15T00:00:00"/>
    <d v="2019-04-19T00:00:00"/>
    <d v="2019-04-19T00:00:00"/>
    <s v="15/3AL"/>
    <s v="CONT 24/2019"/>
    <d v="2019-04-14T00:00:00"/>
    <m/>
    <d v="2019-04-23T00:00:00"/>
    <n v="2100"/>
    <m/>
    <m/>
    <m/>
    <m/>
    <m/>
    <m/>
    <n v="2100"/>
    <n v="0"/>
    <n v="0"/>
  </r>
  <r>
    <s v="109A/2019"/>
    <d v="2019-03-12T00:00:00"/>
    <s v="KIỀU THY"/>
    <s v="MS02"/>
    <x v="22"/>
    <x v="3"/>
    <s v="PAVIA"/>
    <m/>
    <s v="12.14"/>
    <s v="400"/>
    <s v="NL2018"/>
    <m/>
    <n v="5"/>
    <n v="2000"/>
    <x v="14"/>
    <n v="5800000"/>
    <x v="0"/>
    <d v="2019-03-15T00:00:00"/>
    <d v="2019-04-19T00:00:00"/>
    <d v="2019-04-19T00:00:00"/>
    <s v="30/3AL"/>
    <m/>
    <m/>
    <m/>
    <d v="2019-05-04T00:00:00"/>
    <n v="2000"/>
    <m/>
    <m/>
    <m/>
    <m/>
    <m/>
    <m/>
    <n v="2000"/>
    <n v="0"/>
    <n v="0"/>
  </r>
  <r>
    <s v="109A/2019"/>
    <d v="2019-03-12T00:00:00"/>
    <s v="KIỀU THY"/>
    <s v="MS02"/>
    <x v="22"/>
    <x v="4"/>
    <s v="TEBALDI"/>
    <m/>
    <s v="14.16"/>
    <s v="300"/>
    <s v="NL2018"/>
    <m/>
    <n v="7"/>
    <n v="2100"/>
    <x v="1"/>
    <n v="8820000"/>
    <x v="0"/>
    <d v="2019-03-15T00:00:00"/>
    <d v="2019-04-19T00:00:00"/>
    <d v="2019-04-19T00:00:00"/>
    <s v="30/3AL"/>
    <m/>
    <m/>
    <m/>
    <d v="2019-05-04T00:00:00"/>
    <n v="2100"/>
    <m/>
    <m/>
    <m/>
    <m/>
    <m/>
    <m/>
    <n v="2100"/>
    <n v="0"/>
    <n v="0"/>
  </r>
  <r>
    <s v="109A/2019"/>
    <d v="2019-03-12T00:00:00"/>
    <s v="KIỀU THY"/>
    <s v="MS02"/>
    <x v="22"/>
    <x v="68"/>
    <s v="TEBALDI"/>
    <m/>
    <s v="12.14"/>
    <s v="400"/>
    <s v="NL2018"/>
    <m/>
    <n v="5"/>
    <n v="2000"/>
    <x v="4"/>
    <n v="5600000"/>
    <x v="0"/>
    <d v="2019-04-17T00:00:00"/>
    <d v="2019-05-21T00:00:00"/>
    <d v="2019-05-21T00:00:00"/>
    <s v="15/4AL"/>
    <m/>
    <m/>
    <m/>
    <d v="2019-05-24T00:00:00"/>
    <n v="2000"/>
    <m/>
    <m/>
    <m/>
    <m/>
    <m/>
    <m/>
    <n v="2000"/>
    <n v="0"/>
    <n v="0"/>
  </r>
  <r>
    <s v="109A/2019"/>
    <d v="2019-05-04T00:00:00"/>
    <s v="KIỀU THY"/>
    <s v="MS02"/>
    <x v="22"/>
    <x v="3"/>
    <s v="PAVIA"/>
    <m/>
    <s v="12.14"/>
    <s v="400"/>
    <s v="NL2018"/>
    <m/>
    <n v="10"/>
    <n v="4000"/>
    <x v="14"/>
    <n v="11600000"/>
    <x v="0"/>
    <d v="2019-04-17T00:00:00"/>
    <d v="2019-05-21T00:00:00"/>
    <d v="2019-05-21T00:00:00"/>
    <s v="15/4AL"/>
    <m/>
    <m/>
    <m/>
    <d v="2019-05-24T00:00:00"/>
    <n v="4000"/>
    <m/>
    <m/>
    <m/>
    <m/>
    <m/>
    <m/>
    <n v="4000"/>
    <n v="0"/>
    <n v="0"/>
  </r>
  <r>
    <s v="109A/2019"/>
    <d v="2019-03-12T00:00:00"/>
    <s v="KIỀU THY"/>
    <s v="MS02"/>
    <x v="22"/>
    <x v="17"/>
    <s v="NELLO "/>
    <m/>
    <s v="12.14"/>
    <s v="400"/>
    <s v="NL2018"/>
    <m/>
    <n v="5"/>
    <n v="2000"/>
    <x v="28"/>
    <n v="6400000"/>
    <x v="0"/>
    <d v="2019-05-05T00:00:00"/>
    <d v="2019-06-07T00:00:00"/>
    <d v="2019-06-07T00:00:00"/>
    <s v="30/4AL"/>
    <m/>
    <m/>
    <m/>
    <d v="2019-06-08T00:00:00"/>
    <n v="2000"/>
    <m/>
    <m/>
    <m/>
    <m/>
    <m/>
    <m/>
    <n v="2000"/>
    <n v="0"/>
    <n v="0"/>
  </r>
  <r>
    <s v="109A/2019"/>
    <d v="2019-03-12T00:00:00"/>
    <s v="KIỀU THY"/>
    <s v="MS02"/>
    <x v="22"/>
    <x v="17"/>
    <s v="NELLO "/>
    <m/>
    <s v="12.14"/>
    <s v="400"/>
    <s v="NL2018"/>
    <m/>
    <n v="5"/>
    <n v="2000"/>
    <x v="69"/>
    <n v="6600000"/>
    <x v="4"/>
    <d v="2019-05-05T00:00:00"/>
    <d v="2019-06-07T00:00:00"/>
    <d v="2019-06-07T00:00:00"/>
    <s v="15/5AL"/>
    <m/>
    <m/>
    <m/>
    <m/>
    <n v="0"/>
    <m/>
    <m/>
    <m/>
    <m/>
    <m/>
    <m/>
    <n v="0"/>
    <n v="2000"/>
    <n v="6600000"/>
  </r>
  <r>
    <s v="109A/2019"/>
    <d v="2019-06-08T00:00:00"/>
    <s v="KIỀU THY"/>
    <s v="MS02"/>
    <x v="22"/>
    <x v="3"/>
    <s v="PAVIA"/>
    <m/>
    <s v="12.14"/>
    <s v="400"/>
    <s v="NL2018"/>
    <m/>
    <n v="15"/>
    <n v="6000"/>
    <x v="17"/>
    <n v="18000000"/>
    <x v="3"/>
    <d v="2019-06-15T00:00:00"/>
    <d v="2019-07-17T00:00:00"/>
    <d v="2019-07-17T00:00:00"/>
    <m/>
    <m/>
    <m/>
    <m/>
    <m/>
    <m/>
    <m/>
    <m/>
    <m/>
    <m/>
    <m/>
    <m/>
    <n v="0"/>
    <n v="6000"/>
    <n v="18000000"/>
  </r>
  <r>
    <s v="109A/2019"/>
    <d v="2019-06-08T00:00:00"/>
    <s v="KIỀU THY"/>
    <s v="MS02"/>
    <x v="22"/>
    <x v="69"/>
    <s v="GENERAL LEE"/>
    <m/>
    <s v="12.14"/>
    <s v="400"/>
    <s v="NL2018"/>
    <m/>
    <n v="5"/>
    <n v="2000"/>
    <x v="28"/>
    <n v="6400000"/>
    <x v="3"/>
    <d v="2019-06-15T00:00:00"/>
    <d v="2019-07-17T00:00:00"/>
    <d v="2019-07-17T00:00:00"/>
    <m/>
    <m/>
    <m/>
    <m/>
    <m/>
    <m/>
    <m/>
    <m/>
    <m/>
    <m/>
    <m/>
    <m/>
    <n v="0"/>
    <n v="2000"/>
    <n v="6400000"/>
  </r>
  <r>
    <s v="195A/2019"/>
    <d v="2019-04-17T00:00:00"/>
    <s v="KIỀU THY"/>
    <s v="MP04"/>
    <x v="23"/>
    <x v="61"/>
    <s v="BACARDI"/>
    <m/>
    <s v="15.16"/>
    <s v="250"/>
    <s v="NL2018"/>
    <m/>
    <n v="14"/>
    <n v="3500"/>
    <x v="13"/>
    <n v="15750000"/>
    <x v="0"/>
    <d v="2019-03-15T00:00:00"/>
    <d v="2019-04-19T00:00:00"/>
    <d v="2019-04-19T00:00:00"/>
    <s v="15/3AL"/>
    <m/>
    <m/>
    <m/>
    <d v="2019-04-25T00:00:00"/>
    <n v="3500"/>
    <m/>
    <m/>
    <m/>
    <m/>
    <m/>
    <m/>
    <n v="3500"/>
    <n v="0"/>
    <n v="0"/>
  </r>
  <r>
    <s v="196A/2019"/>
    <d v="2019-04-17T00:00:00"/>
    <s v="KIỀU THY"/>
    <s v="MP04"/>
    <x v="23"/>
    <x v="37"/>
    <s v="PROFUNDO CHILE"/>
    <m/>
    <s v="20.22"/>
    <s v="125"/>
    <s v="NL2018"/>
    <m/>
    <n v="80"/>
    <n v="10000"/>
    <x v="70"/>
    <n v="138000000"/>
    <x v="2"/>
    <d v="2019-09-01T00:00:00"/>
    <d v="2019-09-29T00:00:00"/>
    <d v="2019-09-29T00:00:00"/>
    <s v="TẾT"/>
    <m/>
    <m/>
    <m/>
    <m/>
    <m/>
    <m/>
    <m/>
    <m/>
    <m/>
    <m/>
    <m/>
    <n v="0"/>
    <n v="10000"/>
    <n v="138000000"/>
  </r>
  <r>
    <s v="196A/2019"/>
    <d v="2019-04-17T00:00:00"/>
    <s v="KIỀU THY"/>
    <s v="MP04"/>
    <x v="23"/>
    <x v="9"/>
    <s v="MANISSA"/>
    <m/>
    <s v="22.24"/>
    <s v="100"/>
    <s v="NL2018"/>
    <m/>
    <n v="50"/>
    <n v="5000"/>
    <x v="10"/>
    <n v="77000000"/>
    <x v="2"/>
    <d v="2019-09-01T00:00:00"/>
    <d v="2019-09-29T00:00:00"/>
    <d v="2019-09-29T00:00:00"/>
    <s v="TẾT"/>
    <m/>
    <m/>
    <m/>
    <m/>
    <m/>
    <m/>
    <m/>
    <m/>
    <m/>
    <m/>
    <m/>
    <n v="0"/>
    <n v="5000"/>
    <n v="77000000"/>
  </r>
  <r>
    <s v="196A/2019"/>
    <d v="2019-04-17T00:00:00"/>
    <s v="KIỀU THY"/>
    <s v="MP04"/>
    <x v="23"/>
    <x v="70"/>
    <s v="INDIANA"/>
    <m/>
    <s v="18.20"/>
    <s v="150"/>
    <s v="NL2018"/>
    <s v="V.W.S"/>
    <n v="34"/>
    <n v="5100"/>
    <x v="71"/>
    <n v="51000000"/>
    <x v="2"/>
    <d v="2019-09-01T00:00:00"/>
    <d v="2019-09-29T00:00:00"/>
    <d v="2019-09-29T00:00:00"/>
    <s v="TẾT"/>
    <m/>
    <m/>
    <m/>
    <m/>
    <m/>
    <m/>
    <m/>
    <m/>
    <m/>
    <m/>
    <m/>
    <n v="0"/>
    <n v="5100"/>
    <n v="51000000"/>
  </r>
  <r>
    <s v="196A/2019"/>
    <d v="2019-04-17T00:00:00"/>
    <s v="KIỀU THY"/>
    <s v="MP04"/>
    <x v="23"/>
    <x v="6"/>
    <s v="CONCADOR"/>
    <m/>
    <s v="20.22"/>
    <s v="125"/>
    <s v="NL2018"/>
    <m/>
    <n v="72"/>
    <n v="9000"/>
    <x v="7"/>
    <n v="95400000"/>
    <x v="2"/>
    <d v="2019-09-01T00:00:00"/>
    <d v="2019-09-29T00:00:00"/>
    <d v="2019-09-29T00:00:00"/>
    <s v="TẾT"/>
    <m/>
    <m/>
    <m/>
    <m/>
    <m/>
    <m/>
    <m/>
    <m/>
    <m/>
    <m/>
    <m/>
    <n v="0"/>
    <n v="9000"/>
    <n v="95400000"/>
  </r>
  <r>
    <s v="196A/2019"/>
    <d v="2019-04-17T00:00:00"/>
    <s v="KIỀU THY"/>
    <s v="MP04"/>
    <x v="23"/>
    <x v="71"/>
    <s v="CONCADOR"/>
    <m/>
    <s v="24+"/>
    <s v="75"/>
    <s v="NL2018"/>
    <m/>
    <n v="80"/>
    <n v="6000"/>
    <x v="38"/>
    <n v="91200000"/>
    <x v="2"/>
    <d v="2019-09-01T00:00:00"/>
    <d v="2019-09-29T00:00:00"/>
    <d v="2019-09-29T00:00:00"/>
    <s v="TẾT"/>
    <m/>
    <m/>
    <m/>
    <m/>
    <m/>
    <m/>
    <m/>
    <m/>
    <m/>
    <m/>
    <m/>
    <n v="0"/>
    <n v="6000"/>
    <n v="91200000"/>
  </r>
  <r>
    <s v="196A/2019"/>
    <d v="2019-05-07T00:00:00"/>
    <s v="KIỀU THY"/>
    <s v="MP04"/>
    <x v="23"/>
    <x v="36"/>
    <s v="MANISSA NEW ZEALAND"/>
    <m/>
    <s v="20.22"/>
    <s v="125"/>
    <s v="NL2018"/>
    <m/>
    <n v="24"/>
    <n v="3000"/>
    <x v="72"/>
    <n v="47400000"/>
    <x v="2"/>
    <d v="2019-09-01T00:00:00"/>
    <d v="2019-09-29T00:00:00"/>
    <d v="2019-09-29T00:00:00"/>
    <s v="TẾT"/>
    <m/>
    <m/>
    <m/>
    <m/>
    <m/>
    <m/>
    <m/>
    <m/>
    <m/>
    <m/>
    <m/>
    <n v="0"/>
    <n v="3000"/>
    <n v="47400000"/>
  </r>
  <r>
    <s v="4B/2019"/>
    <d v="2018-12-27T00:00:00"/>
    <s v="THANH THÚY"/>
    <s v="KK01"/>
    <x v="24"/>
    <x v="32"/>
    <s v="BACARDI"/>
    <m/>
    <s v="16.18"/>
    <n v="200"/>
    <s v="NL2018"/>
    <m/>
    <n v="115"/>
    <n v="23000"/>
    <x v="46"/>
    <n v="138000000"/>
    <x v="0"/>
    <d v="2019-01-15T00:00:00"/>
    <d v="2019-02-19T00:00:00"/>
    <d v="2019-02-19T00:00:00"/>
    <s v="15/1AL"/>
    <m/>
    <m/>
    <m/>
    <d v="2019-02-25T00:00:00"/>
    <n v="20000"/>
    <d v="2019-02-26T00:00:00"/>
    <n v="3000"/>
    <m/>
    <m/>
    <m/>
    <m/>
    <n v="23000"/>
    <n v="0"/>
    <n v="0"/>
  </r>
  <r>
    <s v="4B/2019"/>
    <d v="2018-12-27T00:00:00"/>
    <s v="THANH THÚY"/>
    <s v="KK01"/>
    <x v="24"/>
    <x v="15"/>
    <s v="CONCADOR "/>
    <m/>
    <s v="16.18"/>
    <n v="200"/>
    <s v="NL2018"/>
    <m/>
    <n v="50"/>
    <n v="10000"/>
    <x v="21"/>
    <n v="46000000"/>
    <x v="0"/>
    <d v="2019-01-15T00:00:00"/>
    <d v="2019-02-19T00:00:00"/>
    <d v="2019-02-19T00:00:00"/>
    <s v="15/1AL"/>
    <m/>
    <m/>
    <m/>
    <d v="2019-02-25T00:00:00"/>
    <n v="10000"/>
    <m/>
    <m/>
    <m/>
    <m/>
    <m/>
    <m/>
    <n v="10000"/>
    <n v="0"/>
    <n v="0"/>
  </r>
  <r>
    <s v="4B/2019"/>
    <d v="2018-12-27T00:00:00"/>
    <s v="THANH THÚY"/>
    <s v="KK01"/>
    <x v="24"/>
    <x v="47"/>
    <s v="ROBINA"/>
    <m/>
    <s v="18.20"/>
    <n v="150"/>
    <s v="NL2018"/>
    <m/>
    <n v="81"/>
    <n v="12150"/>
    <x v="20"/>
    <n v="74115000"/>
    <x v="0"/>
    <d v="2019-01-15T00:00:00"/>
    <d v="2019-02-19T00:00:00"/>
    <d v="2019-02-19T00:00:00"/>
    <s v="15/1AL"/>
    <m/>
    <m/>
    <m/>
    <d v="2019-02-25T00:00:00"/>
    <n v="10050"/>
    <d v="2019-02-26T00:00:00"/>
    <n v="2100"/>
    <m/>
    <m/>
    <m/>
    <m/>
    <n v="12150"/>
    <n v="0"/>
    <n v="0"/>
  </r>
  <r>
    <s v="4B/2019"/>
    <d v="2018-12-27T00:00:00"/>
    <s v="THANH THÚY"/>
    <s v="KK01"/>
    <x v="24"/>
    <x v="47"/>
    <s v="ROBINA"/>
    <m/>
    <s v="18.20"/>
    <n v="150"/>
    <s v="NL2018"/>
    <m/>
    <n v="138"/>
    <n v="20700"/>
    <x v="20"/>
    <n v="126270000"/>
    <x v="0"/>
    <d v="2019-01-23T00:00:00"/>
    <d v="2019-02-27T00:00:00"/>
    <d v="2019-02-27T00:00:00"/>
    <s v="23/1AL"/>
    <m/>
    <m/>
    <m/>
    <d v="2019-03-19T00:00:00"/>
    <n v="20700"/>
    <m/>
    <m/>
    <m/>
    <m/>
    <m/>
    <m/>
    <n v="20700"/>
    <n v="0"/>
    <n v="0"/>
  </r>
  <r>
    <s v="4B/2019"/>
    <d v="2018-12-27T00:00:00"/>
    <s v="THANH THÚY"/>
    <s v="KK01"/>
    <x v="24"/>
    <x v="32"/>
    <s v="BACARDI"/>
    <m/>
    <s v="16.18"/>
    <n v="200"/>
    <s v="NL2018"/>
    <m/>
    <n v="125"/>
    <n v="25000"/>
    <x v="46"/>
    <n v="150000000"/>
    <x v="0"/>
    <d v="2019-02-15T00:00:00"/>
    <d v="2019-03-20T00:00:00"/>
    <d v="2019-03-20T00:00:00"/>
    <s v="15/2AL"/>
    <s v="CONT 11/2019"/>
    <m/>
    <m/>
    <d v="2019-05-04T00:00:00"/>
    <n v="25000"/>
    <m/>
    <m/>
    <m/>
    <m/>
    <m/>
    <m/>
    <n v="25000"/>
    <n v="0"/>
    <n v="0"/>
  </r>
  <r>
    <s v="4B/2019"/>
    <d v="2018-12-27T00:00:00"/>
    <s v="THANH THÚY"/>
    <s v="KK01"/>
    <x v="24"/>
    <x v="15"/>
    <s v="CONCADOR"/>
    <m/>
    <s v="16.18"/>
    <n v="200"/>
    <s v="NL2018"/>
    <m/>
    <n v="50"/>
    <n v="10000"/>
    <x v="21"/>
    <n v="46000000"/>
    <x v="0"/>
    <d v="2019-02-15T00:00:00"/>
    <d v="2019-03-20T00:00:00"/>
    <d v="2019-03-20T00:00:00"/>
    <s v="15/2AL"/>
    <s v="CONT 10/2019"/>
    <m/>
    <m/>
    <d v="2019-03-22T00:00:00"/>
    <n v="10000"/>
    <m/>
    <m/>
    <m/>
    <m/>
    <m/>
    <m/>
    <n v="10000"/>
    <n v="0"/>
    <n v="0"/>
  </r>
  <r>
    <s v="4B/2019"/>
    <d v="2018-12-27T00:00:00"/>
    <s v="THANH THÚY"/>
    <s v="KK01"/>
    <x v="24"/>
    <x v="47"/>
    <s v="ROBINA"/>
    <m/>
    <s v="18.20"/>
    <n v="150"/>
    <s v="NL2018"/>
    <m/>
    <n v="92"/>
    <n v="13800"/>
    <x v="20"/>
    <n v="84180000"/>
    <x v="0"/>
    <d v="2019-02-15T00:00:00"/>
    <d v="2019-03-20T00:00:00"/>
    <d v="2019-03-20T00:00:00"/>
    <s v="15/2AL"/>
    <s v="CONT 10/2019"/>
    <m/>
    <m/>
    <d v="2019-04-15T00:00:00"/>
    <n v="13800"/>
    <m/>
    <m/>
    <m/>
    <m/>
    <m/>
    <m/>
    <n v="13800"/>
    <n v="0"/>
    <n v="0"/>
  </r>
  <r>
    <s v="4B/2019"/>
    <d v="2018-12-27T00:00:00"/>
    <s v="THANH THÚY"/>
    <s v="KK01"/>
    <x v="24"/>
    <x v="47"/>
    <s v="ROBINA"/>
    <m/>
    <s v="18.20"/>
    <n v="150"/>
    <s v="NL2018"/>
    <m/>
    <n v="134"/>
    <n v="20100"/>
    <x v="42"/>
    <n v="126630000"/>
    <x v="0"/>
    <d v="2019-03-15T00:00:00"/>
    <d v="2019-04-19T00:00:00"/>
    <d v="2019-04-19T00:00:00"/>
    <s v="15/3AL"/>
    <s v="CONT 25/2019"/>
    <m/>
    <m/>
    <d v="2019-05-19T00:00:00"/>
    <n v="10050"/>
    <d v="2019-05-23T00:00:00"/>
    <n v="10050"/>
    <m/>
    <m/>
    <m/>
    <m/>
    <n v="20100"/>
    <n v="0"/>
    <n v="0"/>
  </r>
  <r>
    <s v="4B/2019"/>
    <d v="2018-12-27T00:00:00"/>
    <s v="THANH THÚY"/>
    <s v="KK01"/>
    <x v="24"/>
    <x v="47"/>
    <s v="ROBINA"/>
    <m/>
    <s v="18.20"/>
    <n v="150"/>
    <s v="NL2018"/>
    <m/>
    <n v="66"/>
    <n v="9900"/>
    <x v="73"/>
    <n v="65468700"/>
    <x v="4"/>
    <d v="2019-04-17T00:00:00"/>
    <d v="2019-05-21T00:00:00"/>
    <d v="2019-05-21T00:00:00"/>
    <m/>
    <m/>
    <m/>
    <m/>
    <m/>
    <m/>
    <m/>
    <m/>
    <m/>
    <m/>
    <m/>
    <m/>
    <n v="0"/>
    <n v="9900"/>
    <n v="65468700"/>
  </r>
  <r>
    <s v="4B/2019"/>
    <d v="2018-12-27T00:00:00"/>
    <s v="THANH THÚY"/>
    <s v="KK01"/>
    <x v="24"/>
    <x v="47"/>
    <s v="ROBINA"/>
    <m/>
    <s v="18.20"/>
    <n v="150"/>
    <s v="NL2018"/>
    <m/>
    <n v="67"/>
    <n v="10050"/>
    <x v="73"/>
    <n v="66460650"/>
    <x v="4"/>
    <d v="2019-05-05T00:00:00"/>
    <d v="2019-06-07T00:00:00"/>
    <d v="2019-06-07T00:00:00"/>
    <m/>
    <m/>
    <m/>
    <m/>
    <m/>
    <m/>
    <m/>
    <m/>
    <m/>
    <m/>
    <m/>
    <m/>
    <n v="0"/>
    <n v="10050"/>
    <n v="66460650"/>
  </r>
  <r>
    <s v="4B/2019"/>
    <d v="2018-12-27T00:00:00"/>
    <s v="THANH THÚY"/>
    <s v="KK01"/>
    <x v="24"/>
    <x v="72"/>
    <s v="YELLOWEEN"/>
    <s v="DN"/>
    <s v="16.18"/>
    <n v="200"/>
    <s v="NL2018"/>
    <m/>
    <n v="49"/>
    <n v="9800"/>
    <x v="44"/>
    <n v="53900000"/>
    <x v="0"/>
    <d v="2019-04-15T00:00:00"/>
    <d v="2019-05-19T00:00:00"/>
    <d v="2019-05-19T00:00:00"/>
    <s v="15/4AL"/>
    <m/>
    <m/>
    <m/>
    <d v="2019-06-17T00:00:00"/>
    <n v="9800"/>
    <m/>
    <m/>
    <m/>
    <m/>
    <m/>
    <m/>
    <n v="9800"/>
    <n v="0"/>
    <n v="0"/>
  </r>
  <r>
    <s v="4B/2019"/>
    <d v="2019-06-15T00:00:00"/>
    <s v="THANH THÚY"/>
    <s v="KK01"/>
    <x v="24"/>
    <x v="22"/>
    <s v="ROBINA"/>
    <m/>
    <s v="16.18"/>
    <n v="200"/>
    <s v="NL2018"/>
    <m/>
    <n v="100"/>
    <n v="20000"/>
    <x v="44"/>
    <n v="110000000"/>
    <x v="4"/>
    <d v="2019-05-15T00:00:00"/>
    <d v="2019-06-17T00:00:00"/>
    <d v="2019-06-17T00:00:00"/>
    <m/>
    <m/>
    <m/>
    <m/>
    <m/>
    <m/>
    <m/>
    <m/>
    <m/>
    <m/>
    <m/>
    <m/>
    <n v="0"/>
    <n v="20000"/>
    <n v="110000000"/>
  </r>
  <r>
    <s v="4B/2019"/>
    <d v="2019-06-15T00:00:00"/>
    <s v="THANH THÚY"/>
    <s v="KK01"/>
    <x v="24"/>
    <x v="47"/>
    <s v="ROBINA"/>
    <m/>
    <s v="18.20"/>
    <n v="150"/>
    <s v="NL2018"/>
    <m/>
    <n v="167"/>
    <n v="25050"/>
    <x v="74"/>
    <n v="187875000"/>
    <x v="3"/>
    <d v="2019-06-01T00:00:00"/>
    <d v="2019-07-03T00:00:00"/>
    <d v="2019-07-03T00:00:00"/>
    <s v="Hà Nội chuyển vô"/>
    <m/>
    <m/>
    <m/>
    <m/>
    <m/>
    <m/>
    <m/>
    <m/>
    <m/>
    <m/>
    <m/>
    <n v="0"/>
    <n v="25050"/>
    <n v="187875000"/>
  </r>
  <r>
    <s v="4B/2019"/>
    <d v="2019-06-15T00:00:00"/>
    <s v="THANH THÚY"/>
    <s v="KK01"/>
    <x v="24"/>
    <x v="47"/>
    <s v="ROBINA"/>
    <m/>
    <s v="18.20"/>
    <n v="150"/>
    <s v="NL2018"/>
    <m/>
    <n v="167"/>
    <n v="25050"/>
    <x v="74"/>
    <n v="187875000"/>
    <x v="3"/>
    <d v="2019-06-15T00:00:00"/>
    <d v="2019-07-17T00:00:00"/>
    <d v="2019-07-17T00:00:00"/>
    <m/>
    <m/>
    <m/>
    <m/>
    <m/>
    <m/>
    <m/>
    <m/>
    <m/>
    <m/>
    <m/>
    <m/>
    <n v="0"/>
    <n v="25050"/>
    <n v="187875000"/>
  </r>
  <r>
    <s v="4B/2019"/>
    <d v="2019-06-17T00:00:00"/>
    <s v="THANH THÚY"/>
    <s v="KK01"/>
    <x v="24"/>
    <x v="70"/>
    <s v="INDIANA"/>
    <m/>
    <s v="18.20"/>
    <n v="150"/>
    <s v="NL2018"/>
    <m/>
    <n v="200"/>
    <n v="30000"/>
    <x v="71"/>
    <n v="300000000"/>
    <x v="2"/>
    <m/>
    <m/>
    <m/>
    <m/>
    <m/>
    <m/>
    <m/>
    <m/>
    <m/>
    <m/>
    <m/>
    <m/>
    <m/>
    <m/>
    <m/>
    <n v="0"/>
    <n v="30000"/>
    <n v="300000000"/>
  </r>
  <r>
    <s v="156B/2019"/>
    <d v="2019-02-28T00:00:00"/>
    <s v="THANH THÚY"/>
    <s v="KK01"/>
    <x v="24"/>
    <x v="36"/>
    <s v="MANISSA"/>
    <m/>
    <s v="20.22"/>
    <n v="125"/>
    <s v="NL2018"/>
    <m/>
    <n v="240"/>
    <n v="30000"/>
    <x v="37"/>
    <n v="405000000"/>
    <x v="2"/>
    <d v="2019-09-01T00:00:00"/>
    <d v="2019-09-29T00:00:00"/>
    <d v="2019-09-29T00:00:00"/>
    <s v="TẾT"/>
    <m/>
    <m/>
    <m/>
    <m/>
    <n v="0"/>
    <m/>
    <m/>
    <m/>
    <m/>
    <m/>
    <m/>
    <n v="0"/>
    <n v="30000"/>
    <n v="405000000"/>
  </r>
  <r>
    <s v="4B/2019"/>
    <d v="2018-12-27T00:00:00"/>
    <s v="THANH THÚY"/>
    <s v="KK01"/>
    <x v="24"/>
    <x v="29"/>
    <s v="MANISSA"/>
    <m/>
    <s v="16.18"/>
    <n v="200"/>
    <s v="NL2018"/>
    <m/>
    <n v="250"/>
    <n v="50000"/>
    <x v="45"/>
    <n v="335000000"/>
    <x v="0"/>
    <s v="29-Feb-19"/>
    <d v="2019-04-03T00:00:00"/>
    <d v="2019-04-03T00:00:00"/>
    <s v="30/2AL"/>
    <s v="CONT 16/2019"/>
    <m/>
    <m/>
    <d v="2019-04-08T00:00:00"/>
    <n v="10000"/>
    <d v="2019-04-29T00:00:00"/>
    <n v="20000"/>
    <d v="2019-04-29T00:00:00"/>
    <n v="20000"/>
    <m/>
    <m/>
    <n v="50000"/>
    <n v="0"/>
    <n v="0"/>
  </r>
  <r>
    <s v="4B/2019"/>
    <d v="2018-12-27T00:00:00"/>
    <s v="THANH THÚY"/>
    <s v="KK01"/>
    <x v="24"/>
    <x v="11"/>
    <s v="YELLOWEEN"/>
    <m/>
    <s v="12.14"/>
    <n v="400"/>
    <s v="NL2018"/>
    <m/>
    <n v="71"/>
    <n v="28400"/>
    <x v="12"/>
    <n v="73840000"/>
    <x v="0"/>
    <d v="2019-04-15T00:00:00"/>
    <d v="2019-05-19T00:00:00"/>
    <d v="2019-05-19T00:00:00"/>
    <s v="15/4AL"/>
    <m/>
    <m/>
    <m/>
    <d v="2019-04-29T00:00:00"/>
    <n v="3200"/>
    <d v="2019-05-23T00:00:00"/>
    <n v="25200"/>
    <m/>
    <m/>
    <m/>
    <m/>
    <n v="28400"/>
    <n v="0"/>
    <n v="0"/>
  </r>
  <r>
    <s v="4B/2019"/>
    <d v="2018-12-27T00:00:00"/>
    <s v="THANH THÚY"/>
    <s v="KK01"/>
    <x v="24"/>
    <x v="11"/>
    <s v="YELLOWEEN"/>
    <m/>
    <s v="12.14"/>
    <n v="400"/>
    <s v="NL2018"/>
    <m/>
    <n v="12"/>
    <n v="4800"/>
    <x v="47"/>
    <n v="12960000"/>
    <x v="0"/>
    <d v="2019-04-15T00:00:00"/>
    <d v="2019-05-19T00:00:00"/>
    <d v="2019-05-19T00:00:00"/>
    <m/>
    <m/>
    <m/>
    <m/>
    <d v="2019-06-17T00:00:00"/>
    <n v="4800"/>
    <m/>
    <m/>
    <m/>
    <m/>
    <m/>
    <m/>
    <n v="4800"/>
    <n v="0"/>
    <n v="0"/>
  </r>
  <r>
    <s v="4B/2019"/>
    <d v="2018-12-27T00:00:00"/>
    <s v="THANH THÚY"/>
    <s v="KK01"/>
    <x v="24"/>
    <x v="11"/>
    <s v="YELLOWEEN"/>
    <m/>
    <s v="12.14"/>
    <n v="400"/>
    <s v="NL2018"/>
    <m/>
    <n v="117"/>
    <n v="46800"/>
    <x v="12"/>
    <n v="121680000"/>
    <x v="0"/>
    <s v="29-Feb-19"/>
    <d v="2019-04-03T00:00:00"/>
    <d v="2019-04-03T00:00:00"/>
    <s v="30/2AL"/>
    <s v="CONT 18/2019"/>
    <m/>
    <m/>
    <d v="2019-03-21T00:00:00"/>
    <n v="10000"/>
    <d v="2019-04-08T00:00:00"/>
    <n v="20000"/>
    <d v="2019-04-29T00:00:00"/>
    <n v="16800"/>
    <m/>
    <m/>
    <n v="46800"/>
    <n v="0"/>
    <n v="0"/>
  </r>
  <r>
    <s v="170A/2019"/>
    <d v="2019-04-04T00:00:00"/>
    <s v="KIỀU THY"/>
    <s v="TH12"/>
    <x v="25"/>
    <x v="36"/>
    <s v="MANISSA"/>
    <m/>
    <s v="20.22"/>
    <s v="125"/>
    <s v="NL2018"/>
    <m/>
    <n v="120"/>
    <n v="15000"/>
    <x v="66"/>
    <n v="204000000"/>
    <x v="2"/>
    <d v="2019-09-01T00:00:00"/>
    <d v="2019-09-29T00:00:00"/>
    <d v="2019-09-29T00:00:00"/>
    <s v="TẾT"/>
    <m/>
    <m/>
    <m/>
    <m/>
    <m/>
    <m/>
    <m/>
    <m/>
    <m/>
    <m/>
    <m/>
    <n v="0"/>
    <n v="15000"/>
    <n v="204000000"/>
  </r>
  <r>
    <s v="216A/2019"/>
    <d v="2019-05-08T00:00:00"/>
    <s v="KIỀU THY"/>
    <s v="HY01"/>
    <x v="26"/>
    <x v="36"/>
    <s v="MANISSA"/>
    <m/>
    <s v="20.22"/>
    <s v="125"/>
    <s v="NL2018"/>
    <m/>
    <n v="40"/>
    <n v="5000"/>
    <x v="66"/>
    <n v="68000000"/>
    <x v="2"/>
    <d v="2019-09-01T00:00:00"/>
    <d v="2019-09-29T00:00:00"/>
    <d v="2019-09-29T00:00:00"/>
    <s v="TẾT"/>
    <m/>
    <m/>
    <m/>
    <m/>
    <m/>
    <m/>
    <m/>
    <m/>
    <m/>
    <m/>
    <m/>
    <n v="0"/>
    <n v="5000"/>
    <n v="68000000"/>
  </r>
  <r>
    <s v="216A/2019"/>
    <d v="2019-05-09T00:00:00"/>
    <s v="KIỀU THY"/>
    <s v="HY01"/>
    <x v="26"/>
    <x v="14"/>
    <s v="TARRANGO"/>
    <m/>
    <s v="20.22"/>
    <s v="125"/>
    <s v="NL2018"/>
    <m/>
    <n v="24"/>
    <n v="3000"/>
    <x v="36"/>
    <n v="33000000"/>
    <x v="2"/>
    <d v="2019-09-01T00:00:00"/>
    <d v="2019-09-29T00:00:00"/>
    <d v="2019-09-29T00:00:00"/>
    <s v="TẾT"/>
    <m/>
    <m/>
    <m/>
    <m/>
    <m/>
    <m/>
    <m/>
    <m/>
    <m/>
    <m/>
    <m/>
    <n v="0"/>
    <n v="3000"/>
    <n v="33000000"/>
  </r>
  <r>
    <s v="10B/2019"/>
    <d v="2018-08-24T00:00:00"/>
    <s v="THANH THÚY"/>
    <s v="TB02"/>
    <x v="27"/>
    <x v="15"/>
    <s v="CONCADOR "/>
    <m/>
    <s v="16.18"/>
    <n v="200"/>
    <s v="NL2018"/>
    <m/>
    <n v="50"/>
    <n v="10000"/>
    <x v="21"/>
    <n v="46000000"/>
    <x v="0"/>
    <d v="2019-01-15T00:00:00"/>
    <d v="2019-02-19T00:00:00"/>
    <d v="2019-02-19T00:00:00"/>
    <s v="15/1AL"/>
    <m/>
    <m/>
    <m/>
    <d v="2019-02-19T00:00:00"/>
    <n v="10000"/>
    <m/>
    <m/>
    <m/>
    <m/>
    <m/>
    <m/>
    <n v="10000"/>
    <n v="0"/>
    <n v="0"/>
  </r>
  <r>
    <s v="10B/2019"/>
    <d v="2018-08-24T00:00:00"/>
    <s v="THANH THÚY"/>
    <s v="TB02"/>
    <x v="27"/>
    <x v="31"/>
    <s v="TARRANGO"/>
    <m/>
    <s v="14.16"/>
    <n v="300"/>
    <s v="NL2018"/>
    <m/>
    <n v="67"/>
    <n v="20100"/>
    <x v="75"/>
    <n v="90349500"/>
    <x v="0"/>
    <d v="2019-01-15T00:00:00"/>
    <d v="2019-02-19T00:00:00"/>
    <d v="2019-02-19T00:00:00"/>
    <s v="15/1AL"/>
    <m/>
    <m/>
    <m/>
    <d v="2019-02-19T00:00:00"/>
    <n v="20100"/>
    <m/>
    <m/>
    <m/>
    <m/>
    <m/>
    <m/>
    <n v="20100"/>
    <n v="0"/>
    <n v="0"/>
  </r>
  <r>
    <s v="10B/2019"/>
    <d v="2018-08-24T00:00:00"/>
    <s v="THANH THÚY"/>
    <s v="TB02"/>
    <x v="27"/>
    <x v="11"/>
    <s v="YELLOWEEN"/>
    <m/>
    <s v="12.14"/>
    <n v="400"/>
    <s v="NL2018"/>
    <m/>
    <n v="25"/>
    <n v="10000"/>
    <x v="12"/>
    <n v="26000000"/>
    <x v="0"/>
    <d v="2019-01-15T00:00:00"/>
    <d v="2019-02-19T00:00:00"/>
    <d v="2019-02-19T00:00:00"/>
    <s v="15/1AL"/>
    <m/>
    <m/>
    <m/>
    <d v="2019-02-19T00:00:00"/>
    <n v="10000"/>
    <m/>
    <m/>
    <m/>
    <m/>
    <m/>
    <m/>
    <n v="10000"/>
    <n v="0"/>
    <n v="0"/>
  </r>
  <r>
    <s v="10B/2019"/>
    <d v="2018-08-24T00:00:00"/>
    <s v="THANH THÚY"/>
    <s v="TB02"/>
    <x v="27"/>
    <x v="73"/>
    <s v="YELLOWEEN"/>
    <m/>
    <s v="14.16"/>
    <n v="300"/>
    <s v="NL2017"/>
    <m/>
    <n v="34"/>
    <n v="10200"/>
    <x v="17"/>
    <n v="30600000"/>
    <x v="0"/>
    <d v="2019-02-05T00:00:00"/>
    <d v="2019-03-10T00:00:00"/>
    <d v="2019-03-10T00:00:00"/>
    <s v="07/2AL"/>
    <m/>
    <m/>
    <m/>
    <d v="2019-03-12T00:00:00"/>
    <n v="10200"/>
    <m/>
    <m/>
    <m/>
    <m/>
    <m/>
    <m/>
    <n v="10200"/>
    <n v="0"/>
    <n v="0"/>
  </r>
  <r>
    <s v="10B/2019"/>
    <d v="2018-08-24T00:00:00"/>
    <s v="THANH THÚY"/>
    <s v="TB02"/>
    <x v="27"/>
    <x v="32"/>
    <s v="BACARDI"/>
    <m/>
    <s v="16.18"/>
    <n v="200"/>
    <s v="NL2018"/>
    <m/>
    <n v="50"/>
    <n v="10000"/>
    <x v="42"/>
    <n v="63000000"/>
    <x v="0"/>
    <d v="2019-02-15T00:00:00"/>
    <d v="2019-03-20T00:00:00"/>
    <d v="2019-03-20T00:00:00"/>
    <s v="15/2AL"/>
    <s v="CONT 11/2019"/>
    <m/>
    <m/>
    <d v="2019-03-19T00:00:00"/>
    <n v="10000"/>
    <m/>
    <m/>
    <m/>
    <m/>
    <m/>
    <m/>
    <n v="10000"/>
    <n v="0"/>
    <n v="0"/>
  </r>
  <r>
    <s v="10B/2019"/>
    <d v="2018-08-24T00:00:00"/>
    <s v="THANH THÚY"/>
    <s v="TB02"/>
    <x v="27"/>
    <x v="31"/>
    <s v="TARRANGO"/>
    <m/>
    <s v="14.16"/>
    <n v="300"/>
    <s v="NL2018"/>
    <m/>
    <n v="84"/>
    <n v="25200"/>
    <x v="13"/>
    <n v="113400000"/>
    <x v="0"/>
    <d v="2019-02-15T00:00:00"/>
    <d v="2019-03-20T00:00:00"/>
    <d v="2019-03-20T00:00:00"/>
    <s v="15/2AL"/>
    <s v="CONT 10/2019"/>
    <m/>
    <m/>
    <d v="2019-03-19T00:00:00"/>
    <n v="25200"/>
    <m/>
    <m/>
    <m/>
    <m/>
    <m/>
    <m/>
    <n v="25200"/>
    <n v="0"/>
    <n v="0"/>
  </r>
  <r>
    <s v="10B/2019"/>
    <d v="2018-08-24T00:00:00"/>
    <s v="THANH THÚY"/>
    <s v="TB02"/>
    <x v="27"/>
    <x v="11"/>
    <s v="YELLOWEEN"/>
    <m/>
    <s v="12.14"/>
    <n v="400"/>
    <s v="NL2018"/>
    <m/>
    <n v="25"/>
    <n v="10000"/>
    <x v="12"/>
    <n v="26000000"/>
    <x v="0"/>
    <d v="2019-02-15T00:00:00"/>
    <d v="2019-03-20T00:00:00"/>
    <d v="2019-03-20T00:00:00"/>
    <s v="15/2AL"/>
    <s v="CONT 12/2019"/>
    <m/>
    <m/>
    <d v="2019-02-19T00:00:00"/>
    <n v="10000"/>
    <m/>
    <m/>
    <m/>
    <m/>
    <m/>
    <m/>
    <n v="10000"/>
    <n v="0"/>
    <n v="0"/>
  </r>
  <r>
    <s v="10B/2019"/>
    <d v="2018-08-24T00:00:00"/>
    <s v="THANH THÚY"/>
    <s v="TB02"/>
    <x v="27"/>
    <x v="74"/>
    <s v="LESOTHO"/>
    <m/>
    <s v="18.20"/>
    <n v="150"/>
    <s v="NL2017"/>
    <m/>
    <n v="53"/>
    <n v="7950"/>
    <x v="23"/>
    <n v="38160000"/>
    <x v="0"/>
    <m/>
    <s v=""/>
    <s v=""/>
    <m/>
    <m/>
    <m/>
    <m/>
    <d v="2019-04-03T00:00:00"/>
    <n v="7950"/>
    <m/>
    <m/>
    <m/>
    <m/>
    <m/>
    <m/>
    <n v="7950"/>
    <n v="0"/>
    <n v="0"/>
  </r>
  <r>
    <s v="10B/2019"/>
    <d v="2018-08-24T00:00:00"/>
    <s v="THANH THÚY"/>
    <s v="TB02"/>
    <x v="27"/>
    <x v="15"/>
    <s v="CONCADOR "/>
    <m/>
    <s v="16.18"/>
    <n v="200"/>
    <s v="NL2018"/>
    <m/>
    <n v="50"/>
    <n v="10000"/>
    <x v="0"/>
    <n v="47000000"/>
    <x v="0"/>
    <s v="29-Feb-19"/>
    <d v="2019-04-03T00:00:00"/>
    <d v="2019-04-03T00:00:00"/>
    <s v="30/2AL"/>
    <s v="CONT 17/2019"/>
    <m/>
    <m/>
    <d v="2019-04-02T00:00:00"/>
    <n v="10000"/>
    <m/>
    <m/>
    <m/>
    <m/>
    <m/>
    <m/>
    <n v="10000"/>
    <n v="0"/>
    <n v="0"/>
  </r>
  <r>
    <s v="10B/2019"/>
    <d v="2018-08-24T00:00:00"/>
    <s v="THANH THÚY"/>
    <s v="TB02"/>
    <x v="27"/>
    <x v="39"/>
    <s v="MANISSA"/>
    <s v="PR"/>
    <s v="16.18"/>
    <n v="200"/>
    <s v="NL2018"/>
    <m/>
    <n v="50"/>
    <n v="10000"/>
    <x v="46"/>
    <n v="60000000"/>
    <x v="0"/>
    <s v="29-Feb-19"/>
    <d v="2019-04-03T00:00:00"/>
    <d v="2019-04-03T00:00:00"/>
    <s v="30/2AL"/>
    <s v="CONT 16/2019"/>
    <m/>
    <m/>
    <d v="2019-04-02T00:00:00"/>
    <n v="10000"/>
    <m/>
    <m/>
    <m/>
    <m/>
    <m/>
    <m/>
    <n v="10000"/>
    <n v="0"/>
    <n v="0"/>
  </r>
  <r>
    <s v="10B/2019"/>
    <d v="2018-08-24T00:00:00"/>
    <s v="THANH THÚY"/>
    <s v="TB02"/>
    <x v="27"/>
    <x v="75"/>
    <s v="SEDONA"/>
    <m/>
    <s v="16.18"/>
    <n v="200"/>
    <s v="NL2018"/>
    <m/>
    <n v="59"/>
    <n v="11800"/>
    <x v="18"/>
    <n v="59000000"/>
    <x v="0"/>
    <s v="29-Feb-19"/>
    <d v="2019-04-03T00:00:00"/>
    <d v="2019-04-03T00:00:00"/>
    <s v="30/2AL"/>
    <s v="CONT 14/2019"/>
    <m/>
    <m/>
    <d v="2019-04-03T00:00:00"/>
    <n v="11800"/>
    <m/>
    <m/>
    <m/>
    <m/>
    <m/>
    <m/>
    <n v="11800"/>
    <n v="0"/>
    <n v="0"/>
  </r>
  <r>
    <s v="10B/2019"/>
    <d v="2018-08-24T00:00:00"/>
    <s v="THANH THÚY"/>
    <s v="TB02"/>
    <x v="27"/>
    <x v="76"/>
    <s v="SEDONA"/>
    <m/>
    <s v="18.20"/>
    <n v="150"/>
    <s v="NL2018"/>
    <m/>
    <n v="134"/>
    <n v="20100"/>
    <x v="76"/>
    <n v="132660000"/>
    <x v="2"/>
    <d v="2019-07-05T00:00:00"/>
    <d v="2019-08-05T00:00:00"/>
    <d v="2019-08-05T00:00:00"/>
    <s v="1/7AL. TRỒNG RẰM T10"/>
    <m/>
    <m/>
    <m/>
    <m/>
    <n v="0"/>
    <m/>
    <m/>
    <m/>
    <m/>
    <m/>
    <m/>
    <n v="0"/>
    <n v="20100"/>
    <n v="132660000"/>
  </r>
  <r>
    <s v="10B/2019"/>
    <d v="2018-08-24T00:00:00"/>
    <s v="THANH THÚY"/>
    <s v="TB02"/>
    <x v="27"/>
    <x v="15"/>
    <s v="CONCADOR "/>
    <m/>
    <s v="16.18"/>
    <n v="200"/>
    <s v="NL2018"/>
    <m/>
    <n v="0"/>
    <n v="0"/>
    <x v="0"/>
    <n v="0"/>
    <x v="1"/>
    <m/>
    <s v=""/>
    <s v=""/>
    <m/>
    <m/>
    <m/>
    <m/>
    <m/>
    <n v="0"/>
    <m/>
    <m/>
    <m/>
    <m/>
    <m/>
    <m/>
    <n v="0"/>
    <n v="0"/>
    <n v="0"/>
  </r>
  <r>
    <s v="148B/2019"/>
    <d v="2018-08-24T00:00:00"/>
    <s v="THANH THÚY"/>
    <s v="TB02"/>
    <x v="27"/>
    <x v="77"/>
    <s v="SEDONA"/>
    <m/>
    <s v="20.22"/>
    <n v="125"/>
    <s v="NL2018"/>
    <m/>
    <n v="40"/>
    <n v="5000"/>
    <x v="7"/>
    <n v="53000000"/>
    <x v="2"/>
    <d v="2019-09-01T00:00:00"/>
    <d v="2019-09-29T00:00:00"/>
    <d v="2019-09-29T00:00:00"/>
    <s v="TẾT"/>
    <m/>
    <m/>
    <m/>
    <m/>
    <n v="0"/>
    <m/>
    <m/>
    <m/>
    <m/>
    <m/>
    <m/>
    <n v="0"/>
    <n v="5000"/>
    <n v="53000000"/>
  </r>
  <r>
    <s v="148B/2019"/>
    <d v="2018-08-24T00:00:00"/>
    <s v="THANH THÚY"/>
    <s v="TB02"/>
    <x v="27"/>
    <x v="36"/>
    <s v="MANISSA"/>
    <m/>
    <s v="20.22"/>
    <n v="125"/>
    <s v="NL2018"/>
    <m/>
    <n v="40"/>
    <n v="5000"/>
    <x v="37"/>
    <n v="67500000"/>
    <x v="2"/>
    <d v="2019-09-01T00:00:00"/>
    <d v="2019-09-29T00:00:00"/>
    <d v="2019-09-29T00:00:00"/>
    <s v="TẾT"/>
    <m/>
    <m/>
    <m/>
    <m/>
    <n v="0"/>
    <m/>
    <m/>
    <m/>
    <m/>
    <m/>
    <m/>
    <n v="0"/>
    <n v="5000"/>
    <n v="67500000"/>
  </r>
  <r>
    <s v="148B/2019"/>
    <d v="2018-08-24T00:00:00"/>
    <s v="THANH THÚY"/>
    <s v="TB02"/>
    <x v="27"/>
    <x v="9"/>
    <s v="MANISSA"/>
    <m/>
    <s v="22.24"/>
    <n v="100"/>
    <s v="NL2018"/>
    <m/>
    <n v="100"/>
    <n v="10000"/>
    <x v="38"/>
    <n v="152000000"/>
    <x v="2"/>
    <d v="2019-09-01T00:00:00"/>
    <d v="2019-09-29T00:00:00"/>
    <d v="2019-09-29T00:00:00"/>
    <s v="TẾT"/>
    <m/>
    <m/>
    <m/>
    <m/>
    <n v="0"/>
    <m/>
    <m/>
    <m/>
    <m/>
    <m/>
    <m/>
    <n v="0"/>
    <n v="10000"/>
    <n v="152000000"/>
  </r>
  <r>
    <s v="174A/2019"/>
    <d v="2019-04-05T00:00:00"/>
    <s v="KIỀU THY"/>
    <s v="VT04"/>
    <x v="28"/>
    <x v="6"/>
    <s v="CONCADOR"/>
    <m/>
    <s v="20.22"/>
    <n v="125"/>
    <s v="NL2018"/>
    <m/>
    <n v="136"/>
    <n v="17000"/>
    <x v="7"/>
    <n v="180200000"/>
    <x v="2"/>
    <d v="2019-09-01T00:00:00"/>
    <d v="2019-09-29T00:00:00"/>
    <d v="2019-09-29T00:00:00"/>
    <s v="TẾT"/>
    <m/>
    <m/>
    <m/>
    <m/>
    <m/>
    <m/>
    <m/>
    <m/>
    <m/>
    <m/>
    <m/>
    <n v="0"/>
    <n v="17000"/>
    <n v="180200000"/>
  </r>
  <r>
    <s v="174A/2019"/>
    <d v="2019-04-05T00:00:00"/>
    <s v="KIỀU THY"/>
    <s v="VT04"/>
    <x v="28"/>
    <x v="16"/>
    <s v="ROBINA"/>
    <m/>
    <s v="20.22"/>
    <n v="125"/>
    <s v="NL2018"/>
    <m/>
    <n v="56"/>
    <n v="7000"/>
    <x v="16"/>
    <n v="74900000"/>
    <x v="2"/>
    <d v="2019-09-01T00:00:00"/>
    <d v="2019-09-29T00:00:00"/>
    <d v="2019-09-29T00:00:00"/>
    <s v="TẾT"/>
    <m/>
    <m/>
    <m/>
    <m/>
    <m/>
    <m/>
    <m/>
    <m/>
    <m/>
    <m/>
    <m/>
    <n v="0"/>
    <n v="7000"/>
    <n v="74900000"/>
  </r>
  <r>
    <s v="90A/2019"/>
    <d v="2019-03-06T00:00:00"/>
    <s v="KIỀU THY"/>
    <s v="VT04"/>
    <x v="28"/>
    <x v="22"/>
    <s v="ROBINA"/>
    <m/>
    <s v="16.18"/>
    <n v="200"/>
    <s v="NL2018"/>
    <m/>
    <n v="15"/>
    <n v="3000"/>
    <x v="77"/>
    <n v="14700000"/>
    <x v="0"/>
    <d v="2019-03-15T00:00:00"/>
    <d v="2019-04-19T00:00:00"/>
    <d v="2019-04-19T00:00:00"/>
    <s v="15/3AL"/>
    <s v="CONT 26/2019"/>
    <d v="2019-04-14T00:00:00"/>
    <s v="R"/>
    <d v="2019-04-19T00:00:00"/>
    <n v="3000"/>
    <m/>
    <m/>
    <m/>
    <m/>
    <m/>
    <m/>
    <n v="3000"/>
    <n v="0"/>
    <n v="0"/>
  </r>
  <r>
    <s v="90A/2019"/>
    <d v="2019-03-06T00:00:00"/>
    <s v="KIỀU THY"/>
    <s v="VT04"/>
    <x v="28"/>
    <x v="22"/>
    <s v="ROBINA"/>
    <m/>
    <s v="16.18"/>
    <n v="200"/>
    <s v="NL2018"/>
    <m/>
    <n v="25"/>
    <n v="5000"/>
    <x v="77"/>
    <n v="24500000"/>
    <x v="0"/>
    <d v="2019-03-15T00:00:00"/>
    <d v="2019-04-19T00:00:00"/>
    <d v="2019-04-19T00:00:00"/>
    <s v="15/3AL"/>
    <m/>
    <m/>
    <s v="R"/>
    <d v="2019-05-14T00:00:00"/>
    <n v="5000"/>
    <m/>
    <m/>
    <m/>
    <m/>
    <m/>
    <m/>
    <n v="5000"/>
    <n v="0"/>
    <n v="0"/>
  </r>
  <r>
    <s v="90A/2019"/>
    <d v="2019-03-06T00:00:00"/>
    <s v="KIỀU THY"/>
    <s v="VT04"/>
    <x v="28"/>
    <x v="22"/>
    <s v="ROBINA"/>
    <m/>
    <s v="16.18"/>
    <n v="200"/>
    <s v="NL2018"/>
    <m/>
    <n v="25"/>
    <n v="5000"/>
    <x v="18"/>
    <n v="25000000"/>
    <x v="0"/>
    <d v="2019-04-17T00:00:00"/>
    <d v="2019-05-21T00:00:00"/>
    <d v="2019-05-21T00:00:00"/>
    <s v="30/3AL"/>
    <m/>
    <m/>
    <s v="R"/>
    <d v="2019-05-28T00:00:00"/>
    <n v="5000"/>
    <m/>
    <m/>
    <m/>
    <m/>
    <m/>
    <m/>
    <n v="5000"/>
    <n v="0"/>
    <n v="0"/>
  </r>
  <r>
    <s v="90A/2019"/>
    <d v="2019-03-06T00:00:00"/>
    <s v="KIỀU THY"/>
    <s v="VT04"/>
    <x v="28"/>
    <x v="22"/>
    <s v="ROBINA"/>
    <m/>
    <s v="16.18"/>
    <n v="200"/>
    <s v="NL2018"/>
    <m/>
    <n v="0"/>
    <n v="0"/>
    <x v="77"/>
    <n v="0"/>
    <x v="0"/>
    <d v="2019-04-17T00:00:00"/>
    <d v="2019-05-21T00:00:00"/>
    <d v="2019-05-21T00:00:00"/>
    <s v="30/3AL"/>
    <m/>
    <m/>
    <s v="R"/>
    <m/>
    <n v="0"/>
    <m/>
    <m/>
    <m/>
    <m/>
    <m/>
    <m/>
    <n v="0"/>
    <n v="0"/>
    <n v="0"/>
  </r>
  <r>
    <s v="90A/2019"/>
    <d v="2019-06-07T00:00:00"/>
    <s v="KIỀU THY"/>
    <s v="VT04"/>
    <x v="28"/>
    <x v="22"/>
    <s v="ROBINA"/>
    <m/>
    <s v="16.18"/>
    <n v="200"/>
    <s v="NL2018"/>
    <m/>
    <n v="35"/>
    <n v="7000"/>
    <x v="48"/>
    <n v="39200000"/>
    <x v="3"/>
    <d v="2019-06-15T00:00:00"/>
    <d v="2019-07-17T00:00:00"/>
    <d v="2019-07-17T00:00:00"/>
    <m/>
    <m/>
    <m/>
    <m/>
    <m/>
    <m/>
    <m/>
    <m/>
    <m/>
    <m/>
    <m/>
    <m/>
    <n v="0"/>
    <n v="7000"/>
    <n v="39200000"/>
  </r>
  <r>
    <s v="142A/2019"/>
    <d v="2019-03-25T00:00:00"/>
    <s v="KIỀU THY"/>
    <s v="VQ02"/>
    <x v="29"/>
    <x v="22"/>
    <s v="ROBINA"/>
    <m/>
    <s v="16.18"/>
    <s v="200"/>
    <s v="NL2018"/>
    <m/>
    <n v="150"/>
    <n v="30000"/>
    <x v="18"/>
    <n v="150000000"/>
    <x v="0"/>
    <s v="29-Feb-19"/>
    <d v="2019-04-03T00:00:00"/>
    <d v="2019-04-03T00:00:00"/>
    <m/>
    <s v="CONT 18/2019"/>
    <d v="2019-03-31T00:00:00"/>
    <m/>
    <d v="2019-04-08T00:00:00"/>
    <n v="30000"/>
    <m/>
    <m/>
    <m/>
    <m/>
    <m/>
    <m/>
    <n v="30000"/>
    <n v="0"/>
    <n v="0"/>
  </r>
  <r>
    <s v="142A/2019"/>
    <d v="2019-03-25T00:00:00"/>
    <s v="KIỀU THY"/>
    <s v="VQ02"/>
    <x v="29"/>
    <x v="31"/>
    <s v="TARRANGO"/>
    <m/>
    <s v="14.16"/>
    <s v="300"/>
    <s v="NL2018"/>
    <m/>
    <n v="100"/>
    <n v="30000"/>
    <x v="21"/>
    <n v="138000000"/>
    <x v="0"/>
    <d v="2019-04-17T00:00:00"/>
    <d v="2019-05-21T00:00:00"/>
    <d v="2019-05-21T00:00:00"/>
    <s v="30/3AL"/>
    <m/>
    <d v="2019-03-31T00:00:00"/>
    <m/>
    <d v="2019-05-19T00:00:00"/>
    <n v="30000"/>
    <m/>
    <m/>
    <m/>
    <m/>
    <m/>
    <m/>
    <n v="30000"/>
    <n v="0"/>
    <n v="0"/>
  </r>
  <r>
    <s v="142A/2019"/>
    <d v="2019-03-25T00:00:00"/>
    <s v="KIỀU THY"/>
    <s v="VQ02"/>
    <x v="29"/>
    <x v="22"/>
    <s v="ROBINA"/>
    <m/>
    <s v="16.18"/>
    <s v="200"/>
    <s v="NL2018"/>
    <m/>
    <n v="150"/>
    <n v="30000"/>
    <x v="78"/>
    <n v="153000000"/>
    <x v="0"/>
    <d v="2019-04-17T00:00:00"/>
    <d v="2019-05-21T00:00:00"/>
    <d v="2019-05-21T00:00:00"/>
    <s v="30/3AL"/>
    <m/>
    <d v="2019-03-31T00:00:00"/>
    <m/>
    <d v="2019-05-18T00:00:00"/>
    <n v="30000"/>
    <m/>
    <m/>
    <m/>
    <m/>
    <m/>
    <m/>
    <n v="30000"/>
    <n v="0"/>
    <n v="0"/>
  </r>
  <r>
    <s v="142A/2019"/>
    <d v="2019-05-10T00:00:00"/>
    <s v="KIỀU THY"/>
    <s v="VQ02"/>
    <x v="29"/>
    <x v="31"/>
    <s v="TARRANGO"/>
    <m/>
    <s v="14.16"/>
    <s v="300"/>
    <s v="NL2018"/>
    <m/>
    <n v="134"/>
    <n v="40200"/>
    <x v="18"/>
    <n v="201000000"/>
    <x v="2"/>
    <d v="2019-07-05T00:00:00"/>
    <d v="2019-08-05T00:00:00"/>
    <d v="2019-08-05T00:00:00"/>
    <m/>
    <m/>
    <m/>
    <m/>
    <m/>
    <m/>
    <m/>
    <m/>
    <m/>
    <m/>
    <m/>
    <m/>
    <n v="0"/>
    <n v="40200"/>
    <n v="201000000"/>
  </r>
  <r>
    <s v="142A/2019"/>
    <d v="2019-05-10T00:00:00"/>
    <s v="KIỀU THY"/>
    <s v="VQ02"/>
    <x v="29"/>
    <x v="78"/>
    <s v="NATALIA"/>
    <s v="RL"/>
    <s v="12.14"/>
    <s v="400"/>
    <s v="NL2018"/>
    <m/>
    <n v="3"/>
    <n v="1200"/>
    <x v="79"/>
    <n v="10320000"/>
    <x v="3"/>
    <d v="2019-05-18T00:00:00"/>
    <d v="2019-06-20T00:00:00"/>
    <d v="2019-06-20T00:00:00"/>
    <m/>
    <m/>
    <m/>
    <m/>
    <m/>
    <m/>
    <m/>
    <m/>
    <m/>
    <m/>
    <m/>
    <m/>
    <n v="0"/>
    <n v="1200"/>
    <n v="10320000"/>
  </r>
  <r>
    <s v="04A/2019"/>
    <d v="2019-03-21T00:00:00"/>
    <s v="KIỀU THY"/>
    <s v="VC03"/>
    <x v="30"/>
    <x v="31"/>
    <s v="TARRANGO"/>
    <m/>
    <s v="14.16"/>
    <s v="300"/>
    <s v="NL2018"/>
    <m/>
    <n v="0"/>
    <n v="0"/>
    <x v="21"/>
    <n v="0"/>
    <x v="1"/>
    <d v="2019-04-17T00:00:00"/>
    <d v="2019-05-21T00:00:00"/>
    <d v="2019-05-21T00:00:00"/>
    <s v="2 tháng/lần"/>
    <m/>
    <m/>
    <m/>
    <m/>
    <m/>
    <m/>
    <m/>
    <m/>
    <m/>
    <m/>
    <m/>
    <n v="0"/>
    <n v="0"/>
    <n v="0"/>
  </r>
  <r>
    <s v="04A/2019"/>
    <d v="2019-03-21T00:00:00"/>
    <s v="KIỀU THY"/>
    <s v="VC03"/>
    <x v="30"/>
    <x v="34"/>
    <s v="TARRANGO"/>
    <m/>
    <s v="16.18"/>
    <s v="200"/>
    <s v="NL2018"/>
    <m/>
    <n v="50"/>
    <n v="10000"/>
    <x v="31"/>
    <n v="69000000"/>
    <x v="0"/>
    <d v="2019-04-17T00:00:00"/>
    <d v="2019-05-21T00:00:00"/>
    <d v="2019-05-21T00:00:00"/>
    <m/>
    <m/>
    <m/>
    <m/>
    <d v="2019-05-18T00:00:00"/>
    <n v="10000"/>
    <m/>
    <m/>
    <m/>
    <m/>
    <m/>
    <m/>
    <n v="10000"/>
    <n v="0"/>
    <n v="0"/>
  </r>
  <r>
    <s v="04A/2019"/>
    <d v="2019-05-17T00:00:00"/>
    <s v="KIỀU THY"/>
    <s v="VC03"/>
    <x v="30"/>
    <x v="34"/>
    <s v="TARRANGO"/>
    <m/>
    <s v="16.18"/>
    <s v="200"/>
    <s v="NL2018"/>
    <m/>
    <n v="50"/>
    <n v="10000"/>
    <x v="33"/>
    <n v="70000000"/>
    <x v="3"/>
    <d v="2019-05-30T00:00:00"/>
    <d v="2019-07-02T00:00:00"/>
    <d v="2019-07-02T00:00:00"/>
    <m/>
    <m/>
    <m/>
    <m/>
    <m/>
    <m/>
    <m/>
    <m/>
    <m/>
    <m/>
    <m/>
    <m/>
    <n v="0"/>
    <n v="10000"/>
    <n v="70000000"/>
  </r>
  <r>
    <s v="04A/2019"/>
    <d v="2019-05-14T00:00:00"/>
    <s v="KIỀU THY"/>
    <s v="VC03"/>
    <x v="30"/>
    <x v="34"/>
    <s v="TARRANGO"/>
    <m/>
    <s v="16.18"/>
    <s v="200"/>
    <s v="NL2018"/>
    <m/>
    <n v="100"/>
    <n v="20000"/>
    <x v="80"/>
    <n v="146000000"/>
    <x v="2"/>
    <d v="2019-09-01T00:00:00"/>
    <d v="2019-09-29T00:00:00"/>
    <d v="2019-09-29T00:00:00"/>
    <m/>
    <m/>
    <m/>
    <m/>
    <m/>
    <m/>
    <m/>
    <m/>
    <m/>
    <m/>
    <m/>
    <m/>
    <n v="0"/>
    <n v="20000"/>
    <n v="146000000"/>
  </r>
  <r>
    <s v="47B/2019"/>
    <d v="2019-02-13T00:00:00"/>
    <s v="THANH THÚY"/>
    <s v="TN02"/>
    <x v="31"/>
    <x v="15"/>
    <s v="CONCADOR "/>
    <m/>
    <s v="16.18"/>
    <n v="200"/>
    <s v="NL2018"/>
    <m/>
    <n v="50"/>
    <n v="10000"/>
    <x v="21"/>
    <n v="46000000"/>
    <x v="0"/>
    <d v="2019-01-15T00:00:00"/>
    <d v="2019-02-19T00:00:00"/>
    <d v="2019-02-19T00:00:00"/>
    <s v="15/1AL"/>
    <m/>
    <m/>
    <m/>
    <d v="2019-02-19T00:00:00"/>
    <n v="10000"/>
    <m/>
    <m/>
    <m/>
    <m/>
    <m/>
    <m/>
    <n v="10000"/>
    <n v="0"/>
    <n v="0"/>
  </r>
  <r>
    <s v="47B/2019"/>
    <d v="2019-02-13T00:00:00"/>
    <s v="THANH THÚY"/>
    <s v="TN02"/>
    <x v="31"/>
    <x v="15"/>
    <s v="CONCADOR "/>
    <m/>
    <s v="16.18"/>
    <n v="200"/>
    <s v="NL2018"/>
    <m/>
    <n v="0"/>
    <n v="0"/>
    <x v="0"/>
    <n v="0"/>
    <x v="1"/>
    <d v="2019-01-15T00:00:00"/>
    <d v="2019-02-19T00:00:00"/>
    <d v="2019-02-19T00:00:00"/>
    <s v="15/1AL"/>
    <m/>
    <m/>
    <m/>
    <m/>
    <n v="0"/>
    <m/>
    <m/>
    <m/>
    <m/>
    <m/>
    <m/>
    <n v="0"/>
    <n v="0"/>
    <n v="0"/>
  </r>
  <r>
    <s v="47B/2019"/>
    <d v="2019-02-13T00:00:00"/>
    <s v="THANH THÚY"/>
    <s v="TN02"/>
    <x v="31"/>
    <x v="34"/>
    <s v="TARRANGO"/>
    <m/>
    <s v="16.18"/>
    <n v="200"/>
    <s v="NL2018"/>
    <m/>
    <n v="100"/>
    <n v="20000"/>
    <x v="44"/>
    <n v="110000000"/>
    <x v="0"/>
    <d v="2019-01-15T00:00:00"/>
    <d v="2019-02-19T00:00:00"/>
    <d v="2019-02-19T00:00:00"/>
    <s v="15/1AL"/>
    <m/>
    <m/>
    <m/>
    <d v="2019-02-19T00:00:00"/>
    <n v="20000"/>
    <m/>
    <m/>
    <m/>
    <m/>
    <m/>
    <m/>
    <n v="20000"/>
    <n v="0"/>
    <n v="0"/>
  </r>
  <r>
    <s v="47B/2019"/>
    <d v="2019-02-13T00:00:00"/>
    <s v="THANH THÚY"/>
    <s v="TN02"/>
    <x v="31"/>
    <x v="79"/>
    <s v="YELLOWEEN"/>
    <m/>
    <s v="16.18"/>
    <n v="200"/>
    <s v="NL2017"/>
    <m/>
    <n v="100"/>
    <n v="20000"/>
    <x v="81"/>
    <n v="75000000"/>
    <x v="0"/>
    <d v="2019-01-21T00:00:00"/>
    <d v="2019-02-25T00:00:00"/>
    <d v="2019-02-25T00:00:00"/>
    <s v="21/1AL"/>
    <m/>
    <m/>
    <m/>
    <d v="2019-02-25T00:00:00"/>
    <n v="20000"/>
    <m/>
    <m/>
    <m/>
    <m/>
    <m/>
    <m/>
    <n v="20000"/>
    <n v="0"/>
    <n v="0"/>
  </r>
  <r>
    <s v="47B/2019"/>
    <d v="2019-02-13T00:00:00"/>
    <s v="THANH THÚY"/>
    <s v="TN02"/>
    <x v="31"/>
    <x v="74"/>
    <s v="LESOTHO"/>
    <m/>
    <s v="18.20"/>
    <n v="150"/>
    <s v="NL2017"/>
    <m/>
    <n v="47"/>
    <n v="7050"/>
    <x v="23"/>
    <n v="33840000"/>
    <x v="0"/>
    <d v="2019-02-01T00:00:00"/>
    <d v="2019-03-06T00:00:00"/>
    <d v="2019-03-06T00:00:00"/>
    <s v="01/2AL"/>
    <m/>
    <m/>
    <m/>
    <d v="2019-03-06T00:00:00"/>
    <n v="7050"/>
    <m/>
    <m/>
    <m/>
    <m/>
    <m/>
    <m/>
    <n v="7050"/>
    <n v="0"/>
    <n v="0"/>
  </r>
  <r>
    <s v="47B/2019"/>
    <d v="2019-02-13T00:00:00"/>
    <s v="THANH THÚY"/>
    <s v="TN02"/>
    <x v="31"/>
    <x v="19"/>
    <s v="PAVIA"/>
    <m/>
    <s v="12.14"/>
    <n v="400"/>
    <s v="NL2017"/>
    <m/>
    <n v="27"/>
    <n v="10800"/>
    <x v="19"/>
    <n v="21600000"/>
    <x v="0"/>
    <d v="2019-02-15T00:00:00"/>
    <d v="2019-03-20T00:00:00"/>
    <d v="2019-03-20T00:00:00"/>
    <s v="15/2AL"/>
    <s v="CONT 9/2019"/>
    <m/>
    <m/>
    <d v="2019-03-20T00:00:00"/>
    <n v="10800"/>
    <m/>
    <m/>
    <m/>
    <m/>
    <m/>
    <m/>
    <n v="10800"/>
    <n v="0"/>
    <n v="0"/>
  </r>
  <r>
    <s v="47B/2019"/>
    <d v="2019-02-13T00:00:00"/>
    <s v="THANH THÚY"/>
    <s v="TN02"/>
    <x v="31"/>
    <x v="57"/>
    <s v="DALIAN"/>
    <m/>
    <s v="14.16"/>
    <n v="300"/>
    <s v="NL2018"/>
    <m/>
    <n v="34"/>
    <n v="10200"/>
    <x v="55"/>
    <n v="54060000"/>
    <x v="0"/>
    <d v="2019-03-15T00:00:00"/>
    <d v="2019-04-19T00:00:00"/>
    <d v="2019-04-19T00:00:00"/>
    <s v="15/3AL"/>
    <s v="CONT 23/2019"/>
    <m/>
    <m/>
    <d v="2019-04-29T00:00:00"/>
    <n v="10200"/>
    <m/>
    <m/>
    <m/>
    <m/>
    <m/>
    <m/>
    <n v="10200"/>
    <n v="0"/>
    <n v="0"/>
  </r>
  <r>
    <s v="47B/2019"/>
    <d v="2019-02-13T00:00:00"/>
    <s v="THANH THÚY"/>
    <s v="TN02"/>
    <x v="31"/>
    <x v="47"/>
    <s v="ROBINA"/>
    <m/>
    <s v="18.20"/>
    <n v="150"/>
    <s v="NL2018"/>
    <m/>
    <n v="67"/>
    <n v="10050"/>
    <x v="42"/>
    <n v="63315000"/>
    <x v="0"/>
    <d v="2019-03-15T00:00:00"/>
    <d v="2019-04-19T00:00:00"/>
    <d v="2019-04-19T00:00:00"/>
    <s v="15/3AL"/>
    <s v="CONT 25/2019"/>
    <m/>
    <m/>
    <d v="2019-04-29T00:00:00"/>
    <n v="10050"/>
    <m/>
    <m/>
    <m/>
    <m/>
    <m/>
    <m/>
    <n v="10050"/>
    <n v="0"/>
    <n v="0"/>
  </r>
  <r>
    <s v="47B/2019"/>
    <d v="2019-02-13T00:00:00"/>
    <s v="THANH THÚY"/>
    <s v="TN02"/>
    <x v="31"/>
    <x v="49"/>
    <s v="MARENGO"/>
    <m/>
    <s v="16.18"/>
    <n v="200"/>
    <s v="NL2018"/>
    <m/>
    <n v="25"/>
    <n v="5000"/>
    <x v="46"/>
    <n v="30000000"/>
    <x v="0"/>
    <s v="29-Feb-19"/>
    <d v="2019-04-03T00:00:00"/>
    <d v="2019-04-03T00:00:00"/>
    <s v="30/2AL. Thiếu 5.000"/>
    <s v="CONT 17/2019"/>
    <m/>
    <m/>
    <d v="2019-04-29T00:00:00"/>
    <n v="5000"/>
    <m/>
    <m/>
    <m/>
    <m/>
    <m/>
    <m/>
    <n v="5000"/>
    <n v="0"/>
    <n v="0"/>
  </r>
  <r>
    <s v="47B/2019"/>
    <d v="2019-06-03T00:00:00"/>
    <s v="THANH THÚY"/>
    <s v="TN02"/>
    <x v="31"/>
    <x v="65"/>
    <s v="ROBINA"/>
    <m/>
    <s v="14.16"/>
    <n v="300"/>
    <s v="NL2018"/>
    <m/>
    <n v="10"/>
    <n v="3000"/>
    <x v="6"/>
    <n v="11400000"/>
    <x v="0"/>
    <d v="2019-05-05T00:00:00"/>
    <d v="2019-06-07T00:00:00"/>
    <d v="2019-06-07T00:00:00"/>
    <m/>
    <m/>
    <m/>
    <m/>
    <d v="2019-06-17T00:00:00"/>
    <n v="3000"/>
    <m/>
    <m/>
    <m/>
    <m/>
    <m/>
    <m/>
    <n v="3000"/>
    <n v="0"/>
    <n v="0"/>
  </r>
  <r>
    <s v="47B/2019"/>
    <d v="2019-05-31T00:00:00"/>
    <s v="THANH THÚY"/>
    <s v="TN02"/>
    <x v="31"/>
    <x v="65"/>
    <s v="ROBINA"/>
    <m/>
    <s v="14.16"/>
    <n v="300"/>
    <s v="NL2018"/>
    <m/>
    <n v="0"/>
    <n v="0"/>
    <x v="6"/>
    <n v="0"/>
    <x v="1"/>
    <d v="2019-05-05T00:00:00"/>
    <d v="2019-06-07T00:00:00"/>
    <d v="2019-06-07T00:00:00"/>
    <m/>
    <m/>
    <m/>
    <m/>
    <m/>
    <m/>
    <m/>
    <m/>
    <m/>
    <m/>
    <m/>
    <m/>
    <n v="0"/>
    <n v="0"/>
    <n v="0"/>
  </r>
  <r>
    <s v="21B/2019"/>
    <d v="2019-01-05T00:00:00"/>
    <s v="THANH THÚY"/>
    <s v="TH01"/>
    <x v="32"/>
    <x v="19"/>
    <s v="PAVIA 2018"/>
    <m/>
    <s v="12.14"/>
    <n v="400"/>
    <s v="NL2017"/>
    <m/>
    <n v="0"/>
    <n v="0"/>
    <x v="19"/>
    <n v="0"/>
    <x v="1"/>
    <d v="2019-02-15T00:00:00"/>
    <d v="2019-03-20T00:00:00"/>
    <d v="2019-03-20T00:00:00"/>
    <s v="15/2AL"/>
    <s v="CONT 9/2019"/>
    <m/>
    <m/>
    <m/>
    <n v="0"/>
    <m/>
    <m/>
    <m/>
    <m/>
    <m/>
    <m/>
    <n v="0"/>
    <n v="0"/>
    <n v="0"/>
  </r>
  <r>
    <s v="133B/2019"/>
    <d v="2019-03-15T00:00:00"/>
    <s v="THANH THÚY"/>
    <s v="TH01"/>
    <x v="32"/>
    <x v="10"/>
    <s v="ARVANDRUD"/>
    <m/>
    <s v="16.18"/>
    <n v="200"/>
    <s v="NL2018"/>
    <m/>
    <n v="0"/>
    <n v="0"/>
    <x v="44"/>
    <n v="0"/>
    <x v="1"/>
    <d v="2019-03-15T00:00:00"/>
    <d v="2019-04-19T00:00:00"/>
    <d v="2019-04-19T00:00:00"/>
    <s v="15/3AL"/>
    <s v="CONT 22/2019"/>
    <m/>
    <m/>
    <m/>
    <n v="0"/>
    <m/>
    <m/>
    <m/>
    <m/>
    <m/>
    <m/>
    <n v="0"/>
    <n v="0"/>
    <n v="0"/>
  </r>
  <r>
    <s v="21B/2019"/>
    <d v="2019-01-05T00:00:00"/>
    <s v="THANH THÚY"/>
    <s v="TH01"/>
    <x v="32"/>
    <x v="34"/>
    <s v="TARRANGO"/>
    <m/>
    <s v="16.18"/>
    <n v="200"/>
    <s v="NL2018"/>
    <m/>
    <n v="150"/>
    <n v="30000"/>
    <x v="44"/>
    <n v="165000000"/>
    <x v="4"/>
    <d v="2019-03-15T00:00:00"/>
    <d v="2019-04-19T00:00:00"/>
    <d v="2019-04-19T00:00:00"/>
    <s v="15/3AL"/>
    <s v="CONT 24/2019"/>
    <m/>
    <m/>
    <d v="2019-05-07T00:00:00"/>
    <n v="20000"/>
    <m/>
    <m/>
    <m/>
    <m/>
    <m/>
    <m/>
    <n v="20000"/>
    <n v="10000"/>
    <n v="55000000"/>
  </r>
  <r>
    <s v="158B/2019"/>
    <d v="2019-01-05T00:00:00"/>
    <s v="THANH THÚY"/>
    <s v="TH01"/>
    <x v="32"/>
    <x v="36"/>
    <s v="MANISSA"/>
    <m/>
    <s v="20.22"/>
    <n v="125"/>
    <s v="NL2018"/>
    <m/>
    <n v="320"/>
    <n v="40000"/>
    <x v="37"/>
    <n v="540000000"/>
    <x v="2"/>
    <d v="2019-09-01T00:00:00"/>
    <d v="2019-09-29T00:00:00"/>
    <d v="2019-09-29T00:00:00"/>
    <s v="TẾT"/>
    <m/>
    <m/>
    <m/>
    <m/>
    <n v="0"/>
    <m/>
    <m/>
    <m/>
    <m/>
    <m/>
    <m/>
    <n v="0"/>
    <n v="40000"/>
    <n v="540000000"/>
  </r>
  <r>
    <s v="158B/2019"/>
    <d v="2019-01-05T00:00:00"/>
    <s v="THANH THÚY"/>
    <s v="TH01"/>
    <x v="32"/>
    <x v="6"/>
    <s v="CONCADOR"/>
    <m/>
    <s v="20.22"/>
    <n v="125"/>
    <s v="NL2018"/>
    <m/>
    <n v="400"/>
    <n v="50000"/>
    <x v="7"/>
    <n v="530000000"/>
    <x v="2"/>
    <d v="2019-09-01T00:00:00"/>
    <d v="2019-09-29T00:00:00"/>
    <d v="2019-09-29T00:00:00"/>
    <s v="TẾT"/>
    <m/>
    <m/>
    <m/>
    <m/>
    <n v="0"/>
    <m/>
    <m/>
    <m/>
    <m/>
    <m/>
    <m/>
    <n v="0"/>
    <n v="50000"/>
    <n v="530000000"/>
  </r>
  <r>
    <s v="158B/2019"/>
    <d v="2019-01-05T00:00:00"/>
    <s v="THANH THÚY"/>
    <s v="TH01"/>
    <x v="32"/>
    <x v="16"/>
    <s v="ROBINA"/>
    <m/>
    <s v="20.22"/>
    <n v="125"/>
    <s v="NL2018"/>
    <m/>
    <n v="400"/>
    <n v="50000"/>
    <x v="16"/>
    <n v="535000000"/>
    <x v="2"/>
    <d v="2019-09-01T00:00:00"/>
    <d v="2019-09-29T00:00:00"/>
    <d v="2019-09-29T00:00:00"/>
    <s v="TẾT"/>
    <m/>
    <m/>
    <m/>
    <m/>
    <n v="0"/>
    <m/>
    <m/>
    <m/>
    <m/>
    <m/>
    <m/>
    <n v="0"/>
    <n v="50000"/>
    <n v="535000000"/>
  </r>
  <r>
    <s v="21B/2019"/>
    <d v="2019-01-05T00:00:00"/>
    <s v="THANH THÚY"/>
    <s v="TH01"/>
    <x v="32"/>
    <x v="80"/>
    <s v="PROFUNDO"/>
    <m/>
    <s v="14.16"/>
    <n v="300"/>
    <s v="NL2018"/>
    <m/>
    <n v="0"/>
    <n v="0"/>
    <x v="82"/>
    <n v="0"/>
    <x v="1"/>
    <s v="29-Feb-19"/>
    <d v="2019-04-03T00:00:00"/>
    <d v="2019-04-03T00:00:00"/>
    <s v="15/2AL"/>
    <s v="CONT 12/2019"/>
    <m/>
    <m/>
    <m/>
    <n v="0"/>
    <m/>
    <m/>
    <m/>
    <m/>
    <m/>
    <m/>
    <n v="0"/>
    <n v="0"/>
    <n v="0"/>
  </r>
  <r>
    <s v="21B/2019"/>
    <d v="2019-01-05T00:00:00"/>
    <s v="THANH THÚY"/>
    <s v="TH01"/>
    <x v="32"/>
    <x v="80"/>
    <s v="PROFUNDO"/>
    <m/>
    <s v="14.16"/>
    <n v="300"/>
    <s v="NL2018"/>
    <m/>
    <n v="0"/>
    <n v="0"/>
    <x v="23"/>
    <n v="0"/>
    <x v="1"/>
    <s v="29-Feb-19"/>
    <d v="2019-04-03T00:00:00"/>
    <d v="2019-04-03T00:00:00"/>
    <s v="30/2AL"/>
    <s v="CONT 15/2019"/>
    <m/>
    <m/>
    <m/>
    <n v="0"/>
    <m/>
    <m/>
    <m/>
    <m/>
    <m/>
    <m/>
    <n v="0"/>
    <n v="0"/>
    <n v="0"/>
  </r>
  <r>
    <s v="21B/2019"/>
    <d v="2019-01-05T00:00:00"/>
    <s v="THANH THÚY"/>
    <s v="TH01"/>
    <x v="32"/>
    <x v="5"/>
    <s v="PROFUNDO"/>
    <m/>
    <s v="16.18"/>
    <n v="200"/>
    <s v="NL2018"/>
    <m/>
    <n v="0"/>
    <n v="0"/>
    <x v="45"/>
    <n v="0"/>
    <x v="1"/>
    <s v="29-Feb-19"/>
    <d v="2019-04-03T00:00:00"/>
    <d v="2019-04-03T00:00:00"/>
    <s v="30/2AL"/>
    <s v="CONT 17/2019"/>
    <m/>
    <m/>
    <m/>
    <n v="0"/>
    <m/>
    <m/>
    <m/>
    <m/>
    <m/>
    <m/>
    <n v="0"/>
    <n v="0"/>
    <n v="0"/>
  </r>
  <r>
    <s v="133B/2019"/>
    <d v="2019-03-19T00:00:00"/>
    <s v="THANH THÚY"/>
    <s v="TH01"/>
    <x v="32"/>
    <x v="81"/>
    <s v="BEAU SOLEIL"/>
    <m/>
    <s v="12.14"/>
    <n v="400"/>
    <s v="NL2018"/>
    <m/>
    <n v="50"/>
    <n v="20000"/>
    <x v="17"/>
    <n v="60000000"/>
    <x v="4"/>
    <d v="2019-05-10T00:00:00"/>
    <d v="2019-06-12T00:00:00"/>
    <d v="2019-06-12T00:00:00"/>
    <s v="10/5AL"/>
    <m/>
    <m/>
    <m/>
    <m/>
    <n v="0"/>
    <m/>
    <m/>
    <m/>
    <m/>
    <m/>
    <m/>
    <n v="0"/>
    <n v="20000"/>
    <n v="60000000"/>
  </r>
  <r>
    <s v="133B/2019"/>
    <d v="2019-03-19T00:00:00"/>
    <s v="THANH THÚY"/>
    <s v="TH01"/>
    <x v="32"/>
    <x v="82"/>
    <s v="BEAU SOLEIL"/>
    <m/>
    <s v="14.16"/>
    <n v="300"/>
    <s v="NL2018"/>
    <m/>
    <n v="100"/>
    <n v="30000"/>
    <x v="13"/>
    <n v="135000000"/>
    <x v="4"/>
    <d v="2019-05-10T00:00:00"/>
    <d v="2019-06-12T00:00:00"/>
    <d v="2019-06-12T00:00:00"/>
    <s v="10/5AL"/>
    <m/>
    <m/>
    <m/>
    <m/>
    <n v="0"/>
    <m/>
    <m/>
    <m/>
    <m/>
    <m/>
    <m/>
    <n v="0"/>
    <n v="30000"/>
    <n v="135000000"/>
  </r>
  <r>
    <s v="173B/2019"/>
    <d v="2019-04-20T00:00:00"/>
    <s v="THANH THÚY"/>
    <s v="TH01"/>
    <x v="32"/>
    <x v="83"/>
    <s v="ANGELA"/>
    <s v="RL"/>
    <s v="12.14"/>
    <n v="400"/>
    <s v="NL2018"/>
    <m/>
    <n v="0"/>
    <n v="0"/>
    <x v="61"/>
    <n v="0"/>
    <x v="1"/>
    <d v="2019-04-17T00:00:00"/>
    <d v="2019-05-21T00:00:00"/>
    <d v="2019-05-21T00:00:00"/>
    <s v="17/4AL"/>
    <m/>
    <m/>
    <m/>
    <m/>
    <m/>
    <m/>
    <m/>
    <m/>
    <m/>
    <m/>
    <m/>
    <n v="0"/>
    <n v="0"/>
    <n v="0"/>
  </r>
  <r>
    <s v="173B/2019"/>
    <d v="2019-04-20T00:00:00"/>
    <s v="THANH THÚY"/>
    <s v="TH01"/>
    <x v="32"/>
    <x v="0"/>
    <s v="ELDIVO"/>
    <m/>
    <s v="14.16"/>
    <n v="300"/>
    <s v="NL2018"/>
    <m/>
    <n v="16"/>
    <n v="4800"/>
    <x v="61"/>
    <n v="40800000"/>
    <x v="4"/>
    <d v="2019-04-29T00:00:00"/>
    <d v="2019-06-02T00:00:00"/>
    <d v="2019-06-02T00:00:00"/>
    <s v="29/4AL"/>
    <m/>
    <m/>
    <m/>
    <m/>
    <m/>
    <m/>
    <m/>
    <m/>
    <m/>
    <m/>
    <m/>
    <n v="0"/>
    <n v="4800"/>
    <n v="40800000"/>
  </r>
  <r>
    <s v="187A/2019"/>
    <d v="2019-04-09T00:00:00"/>
    <s v="KIỀU THY"/>
    <s v="TH10"/>
    <x v="33"/>
    <x v="10"/>
    <s v="ARVANDRUD"/>
    <m/>
    <s v="16.18"/>
    <n v="200"/>
    <s v="NL2018"/>
    <m/>
    <n v="25"/>
    <n v="5000"/>
    <x v="24"/>
    <n v="28500000"/>
    <x v="0"/>
    <d v="2019-03-15T00:00:00"/>
    <d v="2019-04-19T00:00:00"/>
    <d v="2019-04-19T00:00:00"/>
    <s v="15/3AL"/>
    <m/>
    <m/>
    <m/>
    <d v="2019-04-26T00:00:00"/>
    <n v="5000"/>
    <m/>
    <m/>
    <m/>
    <m/>
    <m/>
    <m/>
    <n v="5000"/>
    <n v="0"/>
    <n v="0"/>
  </r>
  <r>
    <s v="187A/2019"/>
    <d v="2019-04-09T00:00:00"/>
    <s v="KIỀU THY"/>
    <s v="TH10"/>
    <x v="33"/>
    <x v="80"/>
    <s v="PROFUNDO"/>
    <m/>
    <s v="14.16"/>
    <n v="300"/>
    <s v="NL2018"/>
    <m/>
    <n v="8"/>
    <n v="2400"/>
    <x v="18"/>
    <n v="12000000"/>
    <x v="0"/>
    <d v="2019-03-15T00:00:00"/>
    <d v="2019-04-19T00:00:00"/>
    <d v="2019-04-19T00:00:00"/>
    <s v="15/3AL"/>
    <m/>
    <m/>
    <m/>
    <d v="2019-04-26T00:00:00"/>
    <n v="2400"/>
    <m/>
    <m/>
    <m/>
    <m/>
    <m/>
    <m/>
    <n v="2400"/>
    <n v="0"/>
    <n v="0"/>
  </r>
  <r>
    <s v="60A/2019"/>
    <d v="2019-02-18T00:00:00"/>
    <s v="KIỀU THY"/>
    <s v="TH10"/>
    <x v="33"/>
    <x v="15"/>
    <s v="CONCADOR "/>
    <m/>
    <s v="16.18"/>
    <n v="200"/>
    <s v="NL2018"/>
    <m/>
    <n v="35"/>
    <n v="7000"/>
    <x v="18"/>
    <n v="35000000"/>
    <x v="0"/>
    <d v="2019-03-15T00:00:00"/>
    <d v="2019-04-19T00:00:00"/>
    <d v="2019-04-19T00:00:00"/>
    <s v="10/4AL XẢ"/>
    <s v="CONT 22/2019"/>
    <d v="2019-04-14T00:00:00"/>
    <s v="R"/>
    <d v="2019-05-16T00:00:00"/>
    <n v="7000"/>
    <m/>
    <m/>
    <m/>
    <m/>
    <m/>
    <m/>
    <n v="7000"/>
    <n v="0"/>
    <n v="0"/>
  </r>
  <r>
    <s v="60A/2019"/>
    <d v="2019-02-18T00:00:00"/>
    <s v="KIỀU THY"/>
    <s v="TH10"/>
    <x v="33"/>
    <x v="22"/>
    <s v="ROBINA"/>
    <m/>
    <s v="16.18"/>
    <n v="200"/>
    <s v="NL2018"/>
    <m/>
    <n v="40"/>
    <n v="8000"/>
    <x v="23"/>
    <n v="38400000"/>
    <x v="0"/>
    <d v="2019-03-15T00:00:00"/>
    <d v="2019-04-19T00:00:00"/>
    <d v="2019-04-19T00:00:00"/>
    <s v="10/4AL XẢ"/>
    <s v="CONT 26/2019"/>
    <d v="2019-04-14T00:00:00"/>
    <s v="R"/>
    <d v="2019-05-16T00:00:00"/>
    <n v="8000"/>
    <m/>
    <m/>
    <m/>
    <m/>
    <m/>
    <m/>
    <n v="8000"/>
    <n v="0"/>
    <n v="0"/>
  </r>
  <r>
    <s v="60A/2019"/>
    <d v="2019-04-26T00:00:00"/>
    <s v="KIỀU THY"/>
    <s v="TH10"/>
    <x v="33"/>
    <x v="50"/>
    <s v="PROFUNDO"/>
    <m/>
    <s v="14.16"/>
    <n v="275"/>
    <s v="NL2018"/>
    <m/>
    <n v="9"/>
    <n v="2475"/>
    <x v="18"/>
    <n v="12375000"/>
    <x v="0"/>
    <d v="2019-03-30T00:00:00"/>
    <d v="2019-05-04T00:00:00"/>
    <d v="2019-05-04T00:00:00"/>
    <s v="10/4AL XẢ"/>
    <m/>
    <m/>
    <m/>
    <d v="2019-05-16T00:00:00"/>
    <n v="2475"/>
    <m/>
    <m/>
    <m/>
    <m/>
    <m/>
    <m/>
    <n v="2475"/>
    <n v="0"/>
    <n v="0"/>
  </r>
  <r>
    <s v="60A/2019"/>
    <d v="2019-04-26T00:00:00"/>
    <s v="KIỀU THY"/>
    <s v="TH10"/>
    <x v="33"/>
    <x v="80"/>
    <s v="PROFUNDO"/>
    <m/>
    <s v="14.16"/>
    <n v="300"/>
    <s v="NL2018"/>
    <m/>
    <n v="7"/>
    <n v="2100"/>
    <x v="18"/>
    <n v="10500000"/>
    <x v="0"/>
    <d v="2019-03-30T00:00:00"/>
    <d v="2019-05-04T00:00:00"/>
    <d v="2019-05-04T00:00:00"/>
    <s v="10/4AL XẢ"/>
    <m/>
    <m/>
    <m/>
    <d v="2019-05-16T00:00:00"/>
    <n v="2100"/>
    <m/>
    <m/>
    <m/>
    <m/>
    <m/>
    <m/>
    <n v="2100"/>
    <n v="0"/>
    <n v="0"/>
  </r>
  <r>
    <s v="60A/2019"/>
    <d v="2019-04-26T00:00:00"/>
    <s v="KIỀU THY"/>
    <s v="TH10"/>
    <x v="33"/>
    <x v="84"/>
    <s v="PROFUNDO"/>
    <m/>
    <s v="15.16"/>
    <n v="300"/>
    <s v="NL2018"/>
    <m/>
    <n v="9"/>
    <n v="2700"/>
    <x v="18"/>
    <n v="13500000"/>
    <x v="0"/>
    <d v="2019-03-30T00:00:00"/>
    <d v="2019-05-04T00:00:00"/>
    <d v="2019-05-04T00:00:00"/>
    <s v="10/4AL XẢ"/>
    <m/>
    <m/>
    <m/>
    <d v="2019-05-16T00:00:00"/>
    <n v="2700"/>
    <m/>
    <m/>
    <m/>
    <m/>
    <m/>
    <m/>
    <n v="2700"/>
    <n v="0"/>
    <n v="0"/>
  </r>
  <r>
    <s v="60A/2019"/>
    <d v="2019-05-10T00:00:00"/>
    <s v="KIỀU THY"/>
    <s v="TH10"/>
    <x v="33"/>
    <x v="28"/>
    <s v="YELLOWEEN"/>
    <m/>
    <s v="14.16"/>
    <n v="300"/>
    <s v="NL2018"/>
    <m/>
    <n v="3"/>
    <n v="900"/>
    <x v="6"/>
    <n v="3420000"/>
    <x v="0"/>
    <d v="2019-03-15T00:00:00"/>
    <d v="2019-04-19T00:00:00"/>
    <d v="2019-04-19T00:00:00"/>
    <s v="10/4AL XẢ"/>
    <m/>
    <m/>
    <m/>
    <d v="2019-05-16T00:00:00"/>
    <n v="900"/>
    <m/>
    <m/>
    <m/>
    <m/>
    <m/>
    <m/>
    <n v="900"/>
    <n v="0"/>
    <n v="0"/>
  </r>
  <r>
    <s v="60A/2019"/>
    <d v="2019-02-18T00:00:00"/>
    <s v="KIỀU THY"/>
    <s v="TH10"/>
    <x v="33"/>
    <x v="15"/>
    <s v="CONCADOR "/>
    <m/>
    <s v="16.18"/>
    <n v="200"/>
    <s v="NL2018"/>
    <m/>
    <n v="25"/>
    <n v="5000"/>
    <x v="18"/>
    <n v="25000000"/>
    <x v="4"/>
    <d v="2019-04-17T00:00:00"/>
    <d v="2019-05-21T00:00:00"/>
    <d v="2019-05-21T00:00:00"/>
    <s v="T5"/>
    <m/>
    <m/>
    <s v="R"/>
    <m/>
    <n v="0"/>
    <m/>
    <m/>
    <m/>
    <m/>
    <m/>
    <m/>
    <n v="0"/>
    <n v="5000"/>
    <n v="25000000"/>
  </r>
  <r>
    <s v="60A/2019"/>
    <d v="2019-02-18T00:00:00"/>
    <s v="KIỀU THY"/>
    <s v="TH10"/>
    <x v="33"/>
    <x v="22"/>
    <s v="ROBINA"/>
    <m/>
    <s v="16.18"/>
    <n v="200"/>
    <s v="NL2018"/>
    <m/>
    <n v="25"/>
    <n v="5000"/>
    <x v="23"/>
    <n v="24000000"/>
    <x v="3"/>
    <d v="2019-05-18T00:00:00"/>
    <d v="2019-06-20T00:00:00"/>
    <d v="2019-06-20T00:00:00"/>
    <s v="T5"/>
    <m/>
    <m/>
    <s v="R"/>
    <m/>
    <n v="0"/>
    <m/>
    <m/>
    <m/>
    <m/>
    <m/>
    <m/>
    <n v="0"/>
    <n v="5000"/>
    <n v="24000000"/>
  </r>
  <r>
    <s v="60A/2019"/>
    <d v="2019-02-18T00:00:00"/>
    <s v="KIỀU THY"/>
    <s v="TH10"/>
    <x v="33"/>
    <x v="15"/>
    <s v="CONCADOR "/>
    <m/>
    <s v="16.18"/>
    <n v="200"/>
    <s v="NL2018"/>
    <m/>
    <n v="50"/>
    <n v="10000"/>
    <x v="83"/>
    <n v="51700000"/>
    <x v="4"/>
    <d v="2019-04-17T00:00:00"/>
    <d v="2019-05-21T00:00:00"/>
    <d v="2019-05-21T00:00:00"/>
    <s v="11/4AL"/>
    <m/>
    <m/>
    <s v="R"/>
    <d v="2019-06-03T00:00:00"/>
    <n v="6000"/>
    <m/>
    <m/>
    <m/>
    <m/>
    <m/>
    <m/>
    <n v="6000"/>
    <n v="4000"/>
    <n v="20680000"/>
  </r>
  <r>
    <s v="60A/2019"/>
    <d v="2019-02-18T00:00:00"/>
    <s v="KIỀU THY"/>
    <s v="TH10"/>
    <x v="33"/>
    <x v="22"/>
    <s v="ROBINA"/>
    <m/>
    <s v="16.18"/>
    <n v="200"/>
    <s v="NL2018"/>
    <m/>
    <n v="50"/>
    <n v="10000"/>
    <x v="84"/>
    <n v="49700000"/>
    <x v="4"/>
    <d v="2019-04-17T00:00:00"/>
    <d v="2019-05-21T00:00:00"/>
    <d v="2019-05-21T00:00:00"/>
    <s v="11/4AL"/>
    <m/>
    <m/>
    <s v="R"/>
    <d v="2019-06-03T00:00:00"/>
    <n v="6000"/>
    <m/>
    <m/>
    <m/>
    <m/>
    <m/>
    <m/>
    <n v="6000"/>
    <n v="4000"/>
    <n v="19880000"/>
  </r>
  <r>
    <s v="22A/2019"/>
    <d v="2019-05-22T00:00:00"/>
    <s v="KIỀU THY"/>
    <s v="TH10"/>
    <x v="33"/>
    <x v="22"/>
    <s v="ROBINA"/>
    <m/>
    <s v="16.18"/>
    <n v="200"/>
    <s v="NL2018"/>
    <m/>
    <n v="30"/>
    <n v="6000"/>
    <x v="11"/>
    <n v="32400000"/>
    <x v="0"/>
    <d v="2019-04-17T00:00:00"/>
    <d v="2019-05-21T00:00:00"/>
    <d v="2019-05-21T00:00:00"/>
    <s v="11/4AL"/>
    <m/>
    <m/>
    <s v="R"/>
    <m/>
    <m/>
    <d v="2019-06-03T00:00:00"/>
    <n v="6000"/>
    <m/>
    <m/>
    <m/>
    <m/>
    <n v="6000"/>
    <n v="0"/>
    <n v="0"/>
  </r>
  <r>
    <s v="60A/2019"/>
    <d v="2019-02-18T00:00:00"/>
    <s v="KIỀU THY"/>
    <s v="TH10"/>
    <x v="33"/>
    <x v="15"/>
    <s v="CONCADOR "/>
    <m/>
    <s v="16.18"/>
    <n v="200"/>
    <s v="NL2018"/>
    <m/>
    <n v="35"/>
    <n v="7000"/>
    <x v="0"/>
    <n v="32900000"/>
    <x v="0"/>
    <s v="30-Feb-19"/>
    <d v="2019-04-04T00:00:00"/>
    <d v="2019-04-04T00:00:00"/>
    <s v="30/2AL. 7.000 củ/ 2 tuần"/>
    <s v="CONT 17/2019"/>
    <d v="2019-03-31T00:00:00"/>
    <s v="R"/>
    <d v="2019-04-12T00:00:00"/>
    <n v="7000"/>
    <m/>
    <m/>
    <m/>
    <m/>
    <m/>
    <m/>
    <n v="7000"/>
    <n v="0"/>
    <n v="0"/>
  </r>
  <r>
    <s v="60A/2019"/>
    <d v="2019-02-18T00:00:00"/>
    <s v="KIỀU THY"/>
    <s v="TH10"/>
    <x v="33"/>
    <x v="22"/>
    <s v="ROBINA"/>
    <m/>
    <s v="16.18"/>
    <n v="200"/>
    <s v="NL2018"/>
    <m/>
    <n v="40"/>
    <n v="8000"/>
    <x v="23"/>
    <n v="38400000"/>
    <x v="0"/>
    <s v="30-Feb-19"/>
    <d v="2019-04-04T00:00:00"/>
    <d v="2019-04-04T00:00:00"/>
    <s v="30/2AL"/>
    <s v="CONT 15/2019"/>
    <d v="2019-03-31T00:00:00"/>
    <s v="R"/>
    <d v="2019-04-12T00:00:00"/>
    <n v="8000"/>
    <m/>
    <m/>
    <m/>
    <m/>
    <m/>
    <m/>
    <n v="8000"/>
    <n v="0"/>
    <n v="0"/>
  </r>
  <r>
    <s v="61A/2019"/>
    <d v="2019-02-18T00:00:00"/>
    <s v="KIỀU THY"/>
    <s v="TH10"/>
    <x v="33"/>
    <x v="25"/>
    <s v="CONCADOR"/>
    <m/>
    <s v="18.20"/>
    <n v="150"/>
    <s v="NL2018"/>
    <m/>
    <n v="34"/>
    <n v="5100"/>
    <x v="35"/>
    <n v="36720000"/>
    <x v="2"/>
    <d v="2019-09-01T00:00:00"/>
    <d v="2019-09-29T00:00:00"/>
    <d v="2019-09-29T00:00:00"/>
    <s v="TẾT"/>
    <m/>
    <m/>
    <s v="R"/>
    <m/>
    <n v="0"/>
    <m/>
    <m/>
    <m/>
    <m/>
    <m/>
    <m/>
    <n v="0"/>
    <n v="5100"/>
    <n v="36720000"/>
  </r>
  <r>
    <s v="61A/2019"/>
    <d v="2019-02-18T00:00:00"/>
    <s v="KIỀU THY"/>
    <s v="TH10"/>
    <x v="33"/>
    <x v="6"/>
    <s v="CONCADOR"/>
    <m/>
    <s v="20.22"/>
    <n v="125"/>
    <s v="NL2018"/>
    <m/>
    <n v="64"/>
    <n v="8000"/>
    <x v="59"/>
    <n v="84000000"/>
    <x v="2"/>
    <d v="2019-09-01T00:00:00"/>
    <d v="2019-09-29T00:00:00"/>
    <d v="2019-09-29T00:00:00"/>
    <s v="TẾT"/>
    <m/>
    <m/>
    <s v="R"/>
    <m/>
    <n v="0"/>
    <m/>
    <m/>
    <m/>
    <m/>
    <m/>
    <m/>
    <n v="0"/>
    <n v="8000"/>
    <n v="84000000"/>
  </r>
  <r>
    <s v="61A/2019"/>
    <d v="2019-02-18T00:00:00"/>
    <s v="KIỀU THY"/>
    <s v="TH10"/>
    <x v="33"/>
    <x v="46"/>
    <s v="CONCADOR"/>
    <m/>
    <s v="22.24"/>
    <n v="100"/>
    <s v="NL2018"/>
    <m/>
    <n v="50"/>
    <n v="5000"/>
    <x v="29"/>
    <n v="62500000"/>
    <x v="2"/>
    <d v="2019-09-01T00:00:00"/>
    <d v="2019-09-29T00:00:00"/>
    <d v="2019-09-29T00:00:00"/>
    <s v="TẾT"/>
    <m/>
    <m/>
    <s v="R"/>
    <m/>
    <n v="0"/>
    <m/>
    <m/>
    <m/>
    <m/>
    <m/>
    <m/>
    <n v="0"/>
    <n v="5000"/>
    <n v="62500000"/>
  </r>
  <r>
    <s v="61A/2019"/>
    <d v="2019-02-18T00:00:00"/>
    <s v="KIỀU THY"/>
    <s v="TH10"/>
    <x v="33"/>
    <x v="37"/>
    <s v="PROFUNDO"/>
    <m/>
    <s v="20.22"/>
    <n v="125"/>
    <s v="NL2018"/>
    <m/>
    <n v="24"/>
    <n v="3000"/>
    <x v="40"/>
    <n v="39000000"/>
    <x v="2"/>
    <d v="2019-09-01T00:00:00"/>
    <d v="2019-09-29T00:00:00"/>
    <d v="2019-09-29T00:00:00"/>
    <s v="TẾT"/>
    <m/>
    <m/>
    <s v="R"/>
    <m/>
    <n v="0"/>
    <m/>
    <m/>
    <m/>
    <m/>
    <m/>
    <m/>
    <n v="0"/>
    <n v="3000"/>
    <n v="39000000"/>
  </r>
  <r>
    <s v="61A/2019"/>
    <d v="2019-02-18T00:00:00"/>
    <s v="KIỀU THY"/>
    <s v="TH10"/>
    <x v="33"/>
    <x v="47"/>
    <s v="ROBINA"/>
    <m/>
    <s v="18.20"/>
    <n v="150"/>
    <s v="NL2018"/>
    <m/>
    <n v="34"/>
    <n v="5100"/>
    <x v="35"/>
    <n v="36720000"/>
    <x v="2"/>
    <d v="2019-09-01T00:00:00"/>
    <d v="2019-09-29T00:00:00"/>
    <d v="2019-09-29T00:00:00"/>
    <s v="TẾT"/>
    <m/>
    <m/>
    <s v="R"/>
    <m/>
    <n v="0"/>
    <m/>
    <m/>
    <m/>
    <m/>
    <m/>
    <m/>
    <n v="0"/>
    <n v="5100"/>
    <n v="36720000"/>
  </r>
  <r>
    <s v="61A/2019"/>
    <d v="2019-02-18T00:00:00"/>
    <s v="KIỀU THY"/>
    <s v="TH10"/>
    <x v="33"/>
    <x v="26"/>
    <s v="ROBINA"/>
    <m/>
    <s v="22.24"/>
    <n v="100"/>
    <s v="NL2018"/>
    <m/>
    <n v="50"/>
    <n v="5000"/>
    <x v="29"/>
    <n v="62500000"/>
    <x v="2"/>
    <d v="2019-09-01T00:00:00"/>
    <d v="2019-09-29T00:00:00"/>
    <d v="2019-09-29T00:00:00"/>
    <s v="TẾT"/>
    <m/>
    <m/>
    <s v="R"/>
    <m/>
    <n v="0"/>
    <m/>
    <m/>
    <m/>
    <m/>
    <m/>
    <m/>
    <n v="0"/>
    <n v="5000"/>
    <n v="62500000"/>
  </r>
  <r>
    <s v="149A/2019"/>
    <d v="2019-03-26T00:00:00"/>
    <s v="KIỀU THY"/>
    <s v="DT02"/>
    <x v="34"/>
    <x v="25"/>
    <s v="CONCADOR"/>
    <m/>
    <s v="18.20"/>
    <s v="150"/>
    <s v="NL2018"/>
    <m/>
    <n v="14"/>
    <n v="2100"/>
    <x v="35"/>
    <n v="15120000"/>
    <x v="2"/>
    <d v="2019-09-01T00:00:00"/>
    <d v="2019-09-29T00:00:00"/>
    <d v="2019-09-29T00:00:00"/>
    <s v="TẾT"/>
    <m/>
    <m/>
    <m/>
    <m/>
    <m/>
    <m/>
    <m/>
    <m/>
    <m/>
    <m/>
    <m/>
    <n v="0"/>
    <n v="2100"/>
    <n v="15120000"/>
  </r>
  <r>
    <s v="149A/2019"/>
    <d v="2019-03-26T00:00:00"/>
    <s v="KIỀU THY"/>
    <s v="DT02"/>
    <x v="34"/>
    <x v="6"/>
    <s v="CONCADOR"/>
    <m/>
    <s v="20.22"/>
    <s v="125"/>
    <s v="NL2018"/>
    <m/>
    <n v="72"/>
    <n v="9000"/>
    <x v="59"/>
    <n v="94500000"/>
    <x v="2"/>
    <d v="2019-09-01T00:00:00"/>
    <d v="2019-09-29T00:00:00"/>
    <d v="2019-09-29T00:00:00"/>
    <s v="TẾT"/>
    <m/>
    <m/>
    <m/>
    <m/>
    <m/>
    <m/>
    <m/>
    <m/>
    <m/>
    <m/>
    <m/>
    <n v="0"/>
    <n v="9000"/>
    <n v="94500000"/>
  </r>
  <r>
    <s v="149A/2019"/>
    <d v="2019-03-26T00:00:00"/>
    <s v="KIỀU THY"/>
    <s v="DT02"/>
    <x v="34"/>
    <x v="26"/>
    <s v="ROBINA"/>
    <m/>
    <s v="22.24"/>
    <s v="100"/>
    <s v="NL2018"/>
    <m/>
    <n v="60"/>
    <n v="6000"/>
    <x v="29"/>
    <n v="75000000"/>
    <x v="2"/>
    <d v="2019-09-01T00:00:00"/>
    <d v="2019-09-29T00:00:00"/>
    <d v="2019-09-29T00:00:00"/>
    <s v="TẾT"/>
    <m/>
    <m/>
    <m/>
    <m/>
    <m/>
    <m/>
    <m/>
    <m/>
    <m/>
    <m/>
    <m/>
    <n v="0"/>
    <n v="6000"/>
    <n v="75000000"/>
  </r>
  <r>
    <s v="102A/2019"/>
    <d v="2019-03-11T00:00:00"/>
    <s v="KIỀU THY"/>
    <s v="NH04"/>
    <x v="35"/>
    <x v="4"/>
    <s v="TEBALDI"/>
    <m/>
    <s v="14.16"/>
    <n v="300"/>
    <s v="NL2018"/>
    <m/>
    <n v="0"/>
    <n v="0"/>
    <x v="1"/>
    <n v="0"/>
    <x v="1"/>
    <d v="2019-04-17T00:00:00"/>
    <d v="2019-05-21T00:00:00"/>
    <d v="2019-05-21T00:00:00"/>
    <s v="15/4AL, trồng rằm T7"/>
    <m/>
    <m/>
    <m/>
    <m/>
    <n v="0"/>
    <m/>
    <m/>
    <m/>
    <m/>
    <m/>
    <m/>
    <n v="0"/>
    <n v="0"/>
    <n v="0"/>
  </r>
  <r>
    <s v="102A/2019"/>
    <d v="2019-03-11T00:00:00"/>
    <s v="KIỀU THY"/>
    <s v="NH04"/>
    <x v="35"/>
    <x v="28"/>
    <s v="YELLOWEEN"/>
    <m/>
    <s v="14.16"/>
    <n v="300"/>
    <s v="NL2018"/>
    <m/>
    <n v="0"/>
    <n v="0"/>
    <x v="6"/>
    <n v="0"/>
    <x v="1"/>
    <d v="2019-04-17T00:00:00"/>
    <d v="2019-05-21T00:00:00"/>
    <d v="2019-05-21T00:00:00"/>
    <s v="15/4AL, trồng rằm T7"/>
    <m/>
    <m/>
    <m/>
    <m/>
    <n v="0"/>
    <m/>
    <m/>
    <m/>
    <m/>
    <m/>
    <m/>
    <n v="0"/>
    <n v="0"/>
    <n v="0"/>
  </r>
  <r>
    <s v="103A/2019"/>
    <d v="2019-03-11T00:00:00"/>
    <s v="KIỀU THY"/>
    <s v="NH04"/>
    <x v="35"/>
    <x v="6"/>
    <s v="CONCADOR"/>
    <m/>
    <s v="20.22"/>
    <n v="125"/>
    <s v="NL2018"/>
    <m/>
    <n v="40"/>
    <n v="5000"/>
    <x v="59"/>
    <n v="52500000"/>
    <x v="2"/>
    <d v="2019-09-01T00:00:00"/>
    <d v="2019-09-29T00:00:00"/>
    <d v="2019-09-29T00:00:00"/>
    <s v="TẾT"/>
    <m/>
    <m/>
    <m/>
    <m/>
    <n v="0"/>
    <m/>
    <m/>
    <m/>
    <m/>
    <m/>
    <m/>
    <n v="0"/>
    <n v="5000"/>
    <n v="52500000"/>
  </r>
  <r>
    <s v="103A/2019"/>
    <d v="2019-03-11T00:00:00"/>
    <s v="KIỀU THY"/>
    <s v="NH04"/>
    <x v="35"/>
    <x v="85"/>
    <s v="DALIAN"/>
    <m/>
    <s v="20.22"/>
    <n v="125"/>
    <s v="NL2018"/>
    <m/>
    <n v="80"/>
    <n v="10000"/>
    <x v="85"/>
    <n v="142000000"/>
    <x v="2"/>
    <d v="2019-09-01T00:00:00"/>
    <d v="2019-09-29T00:00:00"/>
    <d v="2019-09-29T00:00:00"/>
    <s v="TẾT"/>
    <m/>
    <m/>
    <m/>
    <m/>
    <n v="0"/>
    <m/>
    <m/>
    <m/>
    <m/>
    <m/>
    <m/>
    <n v="0"/>
    <n v="10000"/>
    <n v="142000000"/>
  </r>
  <r>
    <s v="103A/2019"/>
    <d v="2019-03-11T00:00:00"/>
    <s v="KIỀU THY"/>
    <s v="NH04"/>
    <x v="35"/>
    <x v="27"/>
    <s v="MANISSA"/>
    <m/>
    <s v="24+"/>
    <n v="75"/>
    <s v="NL2018"/>
    <m/>
    <n v="200"/>
    <n v="15000"/>
    <x v="30"/>
    <n v="240000000"/>
    <x v="2"/>
    <d v="2019-09-01T00:00:00"/>
    <d v="2019-09-29T00:00:00"/>
    <d v="2019-09-29T00:00:00"/>
    <s v="TẾT"/>
    <m/>
    <m/>
    <m/>
    <m/>
    <n v="0"/>
    <m/>
    <m/>
    <m/>
    <m/>
    <m/>
    <m/>
    <n v="0"/>
    <n v="15000"/>
    <n v="240000000"/>
  </r>
  <r>
    <s v="59A/2019"/>
    <d v="2019-02-18T00:00:00"/>
    <s v="KIỀU THY"/>
    <s v="NH04"/>
    <x v="35"/>
    <x v="18"/>
    <s v="STENDHAL"/>
    <m/>
    <s v="16.18"/>
    <n v="200"/>
    <s v="NL2017"/>
    <m/>
    <n v="5"/>
    <n v="1000"/>
    <x v="18"/>
    <n v="5000000"/>
    <x v="0"/>
    <d v="2019-02-15T00:00:00"/>
    <d v="2019-03-20T00:00:00"/>
    <d v="2019-03-20T00:00:00"/>
    <s v="15/2AL"/>
    <s v="CONT 87/2018"/>
    <m/>
    <s v="R"/>
    <d v="2019-03-19T00:00:00"/>
    <n v="1000"/>
    <m/>
    <m/>
    <m/>
    <m/>
    <m/>
    <m/>
    <n v="1000"/>
    <n v="0"/>
    <n v="0"/>
  </r>
  <r>
    <s v="59A/2019"/>
    <d v="2019-02-18T00:00:00"/>
    <s v="KIỀU THY"/>
    <s v="NH04"/>
    <x v="35"/>
    <x v="86"/>
    <s v="STENDHAL"/>
    <m/>
    <s v="18.20"/>
    <n v="150"/>
    <s v="NL2017"/>
    <m/>
    <n v="4"/>
    <n v="600"/>
    <x v="44"/>
    <n v="3300000"/>
    <x v="0"/>
    <d v="2019-02-15T00:00:00"/>
    <d v="2019-03-20T00:00:00"/>
    <d v="2019-03-20T00:00:00"/>
    <s v="15/2AL"/>
    <s v="CONT 87/2018"/>
    <m/>
    <s v="R"/>
    <d v="2019-03-19T00:00:00"/>
    <n v="600"/>
    <m/>
    <m/>
    <m/>
    <m/>
    <m/>
    <m/>
    <n v="600"/>
    <n v="0"/>
    <n v="0"/>
  </r>
  <r>
    <s v="59A/2019"/>
    <d v="2019-02-18T00:00:00"/>
    <s v="KIỀU THY"/>
    <s v="NH04"/>
    <x v="35"/>
    <x v="38"/>
    <s v="YELLOWEEN"/>
    <m/>
    <s v="16.18"/>
    <n v="200"/>
    <s v="NL2018"/>
    <m/>
    <n v="25"/>
    <n v="5000"/>
    <x v="18"/>
    <n v="25000000"/>
    <x v="0"/>
    <d v="2019-01-15T00:00:00"/>
    <d v="2019-02-19T00:00:00"/>
    <d v="2019-02-19T00:00:00"/>
    <s v="15/1AL"/>
    <m/>
    <m/>
    <s v="R"/>
    <d v="2019-03-19T00:00:00"/>
    <n v="5000"/>
    <m/>
    <m/>
    <m/>
    <m/>
    <m/>
    <m/>
    <n v="5000"/>
    <n v="0"/>
    <n v="0"/>
  </r>
  <r>
    <s v="126A/2019"/>
    <d v="2019-02-13T00:00:00"/>
    <s v="KIỀU THY"/>
    <s v="DM01"/>
    <x v="36"/>
    <x v="6"/>
    <s v="CONCADOR"/>
    <m/>
    <s v="20.22"/>
    <n v="125"/>
    <s v="NL2018"/>
    <m/>
    <n v="120"/>
    <n v="15000"/>
    <x v="59"/>
    <n v="157500000"/>
    <x v="2"/>
    <d v="2019-09-01T00:00:00"/>
    <d v="2019-09-29T00:00:00"/>
    <d v="2019-09-29T00:00:00"/>
    <s v="TẾT"/>
    <m/>
    <m/>
    <m/>
    <m/>
    <n v="0"/>
    <m/>
    <m/>
    <m/>
    <m/>
    <m/>
    <m/>
    <n v="0"/>
    <n v="15000"/>
    <n v="157500000"/>
  </r>
  <r>
    <s v="126A/2019"/>
    <d v="2019-02-13T00:00:00"/>
    <s v="KIỀU THY"/>
    <s v="DM01"/>
    <x v="36"/>
    <x v="16"/>
    <s v="ROBINA"/>
    <m/>
    <s v="20.22"/>
    <n v="125"/>
    <s v="NL2018"/>
    <m/>
    <n v="120"/>
    <n v="15000"/>
    <x v="59"/>
    <n v="157500000"/>
    <x v="2"/>
    <d v="2019-09-01T00:00:00"/>
    <d v="2019-09-29T00:00:00"/>
    <d v="2019-09-29T00:00:00"/>
    <s v="TẾT"/>
    <m/>
    <m/>
    <m/>
    <m/>
    <n v="0"/>
    <m/>
    <m/>
    <m/>
    <m/>
    <m/>
    <m/>
    <n v="0"/>
    <n v="15000"/>
    <n v="157500000"/>
  </r>
  <r>
    <s v="48A/2019"/>
    <d v="2019-02-13T00:00:00"/>
    <s v="KIỀU THY"/>
    <s v="DM01"/>
    <x v="36"/>
    <x v="73"/>
    <s v="YELLOWEEN"/>
    <m/>
    <s v="14.16"/>
    <n v="300"/>
    <s v="NL2017"/>
    <m/>
    <n v="84"/>
    <n v="25200"/>
    <x v="17"/>
    <n v="75600000"/>
    <x v="0"/>
    <d v="2019-02-07T00:00:00"/>
    <d v="2019-03-12T00:00:00"/>
    <d v="2019-03-12T00:00:00"/>
    <s v="7/2AL"/>
    <s v="CONT 87/2018"/>
    <m/>
    <s v="R"/>
    <d v="2019-02-13T00:00:00"/>
    <n v="15900"/>
    <d v="2019-03-14T00:00:00"/>
    <n v="9000"/>
    <d v="2019-03-18T00:00:00"/>
    <n v="300"/>
    <m/>
    <m/>
    <n v="25200"/>
    <n v="0"/>
    <n v="0"/>
  </r>
  <r>
    <s v="48A/2019"/>
    <d v="2019-02-13T00:00:00"/>
    <s v="KIỀU THY"/>
    <s v="DM01"/>
    <x v="36"/>
    <x v="28"/>
    <s v="YELLOWEEN"/>
    <m/>
    <s v="14.16"/>
    <n v="300"/>
    <s v="NL2018"/>
    <m/>
    <n v="45"/>
    <n v="13500"/>
    <x v="6"/>
    <n v="51300000"/>
    <x v="0"/>
    <d v="2019-03-15T00:00:00"/>
    <d v="2019-04-19T00:00:00"/>
    <d v="2019-04-19T00:00:00"/>
    <s v="15/3AL"/>
    <s v="CONT 12/2019"/>
    <d v="2019-03-17T00:00:00"/>
    <s v="R"/>
    <d v="2019-05-19T00:00:00"/>
    <n v="3900"/>
    <d v="2019-06-03T00:00:00"/>
    <n v="9600"/>
    <m/>
    <m/>
    <m/>
    <m/>
    <n v="13500"/>
    <n v="0"/>
    <n v="0"/>
  </r>
  <r>
    <s v="48A/2019"/>
    <d v="2019-05-24T00:00:00"/>
    <s v="KIỀU THY"/>
    <s v="DM01"/>
    <x v="36"/>
    <x v="62"/>
    <s v="BACARDI"/>
    <m/>
    <s v="15.16"/>
    <n v="300"/>
    <s v="NL2018"/>
    <m/>
    <n v="30"/>
    <n v="9000"/>
    <x v="13"/>
    <n v="40500000"/>
    <x v="0"/>
    <d v="2019-03-15T00:00:00"/>
    <d v="2019-04-19T00:00:00"/>
    <d v="2019-04-19T00:00:00"/>
    <m/>
    <m/>
    <m/>
    <m/>
    <d v="2019-06-17T00:00:00"/>
    <n v="9000"/>
    <m/>
    <m/>
    <m/>
    <m/>
    <m/>
    <m/>
    <n v="9000"/>
    <n v="0"/>
    <n v="0"/>
  </r>
  <r>
    <s v="48A/2019"/>
    <d v="2019-06-15T00:00:00"/>
    <s v="KIỀU THY"/>
    <s v="DM01"/>
    <x v="36"/>
    <x v="28"/>
    <s v="YELLOWEEN"/>
    <m/>
    <s v="14.16"/>
    <n v="300"/>
    <s v="NL2018"/>
    <m/>
    <n v="38"/>
    <n v="11400"/>
    <x v="57"/>
    <n v="45600000"/>
    <x v="3"/>
    <d v="2019-06-15T00:00:00"/>
    <d v="2019-07-17T00:00:00"/>
    <d v="2019-07-17T00:00:00"/>
    <m/>
    <m/>
    <m/>
    <m/>
    <m/>
    <m/>
    <m/>
    <m/>
    <m/>
    <m/>
    <m/>
    <m/>
    <n v="0"/>
    <n v="11400"/>
    <n v="45600000"/>
  </r>
  <r>
    <s v="48A/2019"/>
    <d v="2019-04-24T00:00:00"/>
    <s v="KIỀU THY"/>
    <s v="DM01"/>
    <x v="36"/>
    <x v="15"/>
    <s v="CONCADOR"/>
    <m/>
    <s v="16.18"/>
    <n v="200"/>
    <s v="NL2018"/>
    <m/>
    <n v="1"/>
    <n v="200"/>
    <x v="42"/>
    <n v="1260000"/>
    <x v="0"/>
    <d v="2019-03-15T00:00:00"/>
    <d v="2019-04-19T00:00:00"/>
    <d v="2019-04-19T00:00:00"/>
    <s v="15/3AL"/>
    <m/>
    <m/>
    <m/>
    <d v="2019-04-24T00:00:00"/>
    <n v="200"/>
    <m/>
    <m/>
    <m/>
    <m/>
    <m/>
    <m/>
    <n v="200"/>
    <n v="0"/>
    <n v="0"/>
  </r>
  <r>
    <s v="48A/2019"/>
    <d v="2019-02-13T00:00:00"/>
    <s v="KIỀU THY"/>
    <s v="DM01"/>
    <x v="36"/>
    <x v="28"/>
    <s v="YELLOWEEN"/>
    <m/>
    <s v="14.16"/>
    <n v="300"/>
    <s v="NL2018"/>
    <m/>
    <n v="33"/>
    <n v="9900"/>
    <x v="6"/>
    <n v="37620000"/>
    <x v="0"/>
    <s v="30-Feb-19"/>
    <d v="2019-04-04T00:00:00"/>
    <d v="2019-04-04T00:00:00"/>
    <s v="30/2AL"/>
    <s v="CONT 14/2019"/>
    <d v="2019-03-31T00:00:00"/>
    <s v="R"/>
    <d v="2019-04-15T00:00:00"/>
    <n v="9900"/>
    <m/>
    <m/>
    <m/>
    <m/>
    <m/>
    <m/>
    <n v="9900"/>
    <n v="0"/>
    <n v="0"/>
  </r>
  <r>
    <s v="48A/2019"/>
    <d v="2019-02-13T00:00:00"/>
    <s v="KIỀU THY"/>
    <s v="DM01"/>
    <x v="36"/>
    <x v="47"/>
    <s v="ROBINA"/>
    <m/>
    <s v="18.20"/>
    <n v="150"/>
    <s v="NL2018"/>
    <m/>
    <n v="67"/>
    <n v="10050"/>
    <x v="43"/>
    <n v="65325000"/>
    <x v="0"/>
    <d v="2019-03-15T00:00:00"/>
    <d v="2019-04-19T00:00:00"/>
    <d v="2019-04-19T00:00:00"/>
    <s v="15/3AL"/>
    <m/>
    <m/>
    <m/>
    <d v="2019-04-23T00:00:00"/>
    <n v="10050"/>
    <m/>
    <m/>
    <m/>
    <m/>
    <m/>
    <m/>
    <n v="10050"/>
    <n v="0"/>
    <n v="0"/>
  </r>
  <r>
    <s v="48A/2019"/>
    <d v="2019-02-13T00:00:00"/>
    <s v="KIỀU THY"/>
    <s v="DM01"/>
    <x v="36"/>
    <x v="47"/>
    <s v="ROBINA"/>
    <m/>
    <s v="18.20"/>
    <n v="150"/>
    <s v="NL2018"/>
    <m/>
    <n v="67"/>
    <n v="10050"/>
    <x v="43"/>
    <n v="65325000"/>
    <x v="0"/>
    <d v="2019-04-17T00:00:00"/>
    <d v="2019-05-21T00:00:00"/>
    <d v="2019-05-21T00:00:00"/>
    <m/>
    <m/>
    <m/>
    <m/>
    <d v="2019-05-19T00:00:00"/>
    <n v="10050"/>
    <m/>
    <m/>
    <m/>
    <m/>
    <m/>
    <m/>
    <n v="10050"/>
    <n v="0"/>
    <n v="0"/>
  </r>
  <r>
    <s v="108A/2019"/>
    <d v="2019-03-12T00:00:00"/>
    <s v="KIỀU THY"/>
    <s v="VT11"/>
    <x v="37"/>
    <x v="46"/>
    <s v="CONCADOR"/>
    <m/>
    <s v="22.24"/>
    <n v="100"/>
    <s v="NL2018"/>
    <m/>
    <n v="100"/>
    <n v="10000"/>
    <x v="29"/>
    <n v="125000000"/>
    <x v="2"/>
    <d v="2019-09-01T00:00:00"/>
    <d v="2019-09-29T00:00:00"/>
    <d v="2019-09-29T00:00:00"/>
    <s v="TẾT"/>
    <m/>
    <m/>
    <m/>
    <m/>
    <n v="0"/>
    <m/>
    <m/>
    <m/>
    <m/>
    <m/>
    <m/>
    <n v="0"/>
    <n v="10000"/>
    <n v="125000000"/>
  </r>
  <r>
    <s v="108A/2019"/>
    <d v="2019-03-12T00:00:00"/>
    <s v="KIỀU THY"/>
    <s v="VT11"/>
    <x v="37"/>
    <x v="15"/>
    <s v="CONCADOR "/>
    <m/>
    <s v="16.18"/>
    <n v="200"/>
    <s v="NL2018"/>
    <m/>
    <n v="77"/>
    <n v="15400"/>
    <x v="21"/>
    <n v="70840000"/>
    <x v="0"/>
    <d v="2019-01-15T00:00:00"/>
    <d v="2019-02-19T00:00:00"/>
    <d v="2019-02-19T00:00:00"/>
    <s v="15/1AL"/>
    <m/>
    <m/>
    <s v="R"/>
    <d v="2019-03-04T00:00:00"/>
    <n v="9000"/>
    <d v="2019-03-07T00:00:00"/>
    <n v="6400"/>
    <m/>
    <m/>
    <m/>
    <m/>
    <n v="15400"/>
    <n v="0"/>
    <n v="0"/>
  </r>
  <r>
    <s v="108A/2019"/>
    <d v="2019-03-12T00:00:00"/>
    <s v="KIỀU THY"/>
    <s v="VT11"/>
    <x v="37"/>
    <x v="87"/>
    <s v="PROFUNDO"/>
    <m/>
    <s v="22.24"/>
    <n v="100"/>
    <s v="NL2018"/>
    <m/>
    <n v="60"/>
    <n v="6000"/>
    <x v="85"/>
    <n v="85200000"/>
    <x v="2"/>
    <d v="2019-09-01T00:00:00"/>
    <d v="2019-09-29T00:00:00"/>
    <d v="2019-09-29T00:00:00"/>
    <s v="TẾT"/>
    <m/>
    <m/>
    <m/>
    <m/>
    <n v="0"/>
    <m/>
    <m/>
    <m/>
    <m/>
    <m/>
    <m/>
    <n v="0"/>
    <n v="6000"/>
    <n v="85200000"/>
  </r>
  <r>
    <s v="108A/2019"/>
    <d v="2019-03-12T00:00:00"/>
    <s v="KIỀU THY"/>
    <s v="VT11"/>
    <x v="37"/>
    <x v="26"/>
    <s v="ROBINA"/>
    <m/>
    <s v="22.24"/>
    <n v="100"/>
    <s v="NL2018"/>
    <m/>
    <n v="60"/>
    <n v="6000"/>
    <x v="29"/>
    <n v="75000000"/>
    <x v="2"/>
    <d v="2019-09-01T00:00:00"/>
    <d v="2019-09-29T00:00:00"/>
    <d v="2019-09-29T00:00:00"/>
    <s v="TẾT"/>
    <m/>
    <m/>
    <m/>
    <m/>
    <n v="0"/>
    <m/>
    <m/>
    <m/>
    <m/>
    <m/>
    <m/>
    <n v="0"/>
    <n v="6000"/>
    <n v="75000000"/>
  </r>
  <r>
    <s v="161A/2018"/>
    <d v="2019-04-01T00:00:00"/>
    <s v="KIỀU THY"/>
    <s v="VM03"/>
    <x v="38"/>
    <x v="31"/>
    <s v="TARRANGO"/>
    <m/>
    <s v="14.16"/>
    <s v="300"/>
    <s v="NL2018"/>
    <m/>
    <n v="7"/>
    <n v="2100"/>
    <x v="23"/>
    <n v="10080000"/>
    <x v="0"/>
    <d v="2019-04-17T00:00:00"/>
    <d v="2019-05-21T00:00:00"/>
    <d v="2019-05-21T00:00:00"/>
    <s v="10/4AL"/>
    <m/>
    <m/>
    <m/>
    <d v="2019-05-19T00:00:00"/>
    <n v="2100"/>
    <m/>
    <m/>
    <m/>
    <m/>
    <m/>
    <m/>
    <n v="2100"/>
    <n v="0"/>
    <n v="0"/>
  </r>
  <r>
    <s v="161A/2018"/>
    <d v="2019-04-01T00:00:00"/>
    <s v="KIỀU THY"/>
    <s v="VM03"/>
    <x v="38"/>
    <x v="28"/>
    <s v="YELLOWEEN"/>
    <m/>
    <s v="14.16"/>
    <s v="300"/>
    <s v="NL2018"/>
    <m/>
    <n v="30"/>
    <n v="9000"/>
    <x v="57"/>
    <n v="36000000"/>
    <x v="0"/>
    <d v="2019-04-17T00:00:00"/>
    <d v="2019-05-21T00:00:00"/>
    <d v="2019-05-21T00:00:00"/>
    <s v="10/4AL"/>
    <m/>
    <m/>
    <m/>
    <d v="2019-05-25T00:00:00"/>
    <n v="9000"/>
    <m/>
    <m/>
    <m/>
    <m/>
    <m/>
    <m/>
    <n v="9000"/>
    <n v="0"/>
    <n v="0"/>
  </r>
  <r>
    <s v="152B/2019"/>
    <d v="2019-04-03T00:00:00"/>
    <s v="THANH THÚY"/>
    <s v="VL01"/>
    <x v="39"/>
    <x v="11"/>
    <s v="YELLOWEEN"/>
    <m/>
    <s v="12.14"/>
    <n v="400"/>
    <s v="NL2018"/>
    <m/>
    <n v="26"/>
    <n v="10400"/>
    <x v="47"/>
    <n v="28080000"/>
    <x v="0"/>
    <d v="2019-04-15T00:00:00"/>
    <d v="2019-05-19T00:00:00"/>
    <d v="2019-05-19T00:00:00"/>
    <s v="15/4AL"/>
    <m/>
    <m/>
    <m/>
    <d v="2019-05-29T00:00:00"/>
    <n v="6000"/>
    <d v="2019-06-11T00:00:00"/>
    <n v="4400"/>
    <m/>
    <m/>
    <m/>
    <m/>
    <n v="10400"/>
    <n v="0"/>
    <n v="0"/>
  </r>
  <r>
    <s v="39B/2019"/>
    <d v="2019-02-11T00:00:00"/>
    <s v="THANH THÚY"/>
    <s v="VL01"/>
    <x v="39"/>
    <x v="88"/>
    <s v="CIARA"/>
    <s v="RL"/>
    <s v="12.14"/>
    <n v="350"/>
    <s v="NL2018"/>
    <m/>
    <n v="15"/>
    <n v="5250"/>
    <x v="27"/>
    <n v="42000000"/>
    <x v="0"/>
    <d v="2019-01-15T00:00:00"/>
    <d v="2019-02-19T00:00:00"/>
    <d v="2019-02-19T00:00:00"/>
    <s v="15/1AL"/>
    <m/>
    <m/>
    <m/>
    <d v="2019-03-04T00:00:00"/>
    <n v="5250"/>
    <m/>
    <m/>
    <m/>
    <m/>
    <m/>
    <m/>
    <n v="5250"/>
    <n v="0"/>
    <n v="0"/>
  </r>
  <r>
    <s v="39B/2019"/>
    <d v="2019-02-11T00:00:00"/>
    <s v="THANH THÚY"/>
    <s v="VL01"/>
    <x v="39"/>
    <x v="11"/>
    <s v="YELLOWEEN"/>
    <m/>
    <s v="12.14"/>
    <n v="400"/>
    <s v="NL2018"/>
    <m/>
    <n v="36"/>
    <n v="14400"/>
    <x v="12"/>
    <n v="37440000"/>
    <x v="0"/>
    <d v="2019-01-15T00:00:00"/>
    <d v="2019-02-19T00:00:00"/>
    <d v="2019-02-19T00:00:00"/>
    <s v="15/1AL"/>
    <m/>
    <m/>
    <m/>
    <d v="2019-03-04T00:00:00"/>
    <n v="14400"/>
    <m/>
    <m/>
    <m/>
    <m/>
    <m/>
    <m/>
    <n v="14400"/>
    <n v="0"/>
    <n v="0"/>
  </r>
  <r>
    <s v="39B/2019"/>
    <d v="2019-02-11T00:00:00"/>
    <s v="THANH THÚY"/>
    <s v="VL01"/>
    <x v="39"/>
    <x v="51"/>
    <s v="THALITA"/>
    <s v="RL"/>
    <s v="12.14"/>
    <n v="400"/>
    <s v="NL2018"/>
    <m/>
    <n v="1"/>
    <n v="400"/>
    <x v="27"/>
    <n v="3200000"/>
    <x v="0"/>
    <d v="2019-02-10T00:00:00"/>
    <d v="2019-03-15T00:00:00"/>
    <d v="2019-03-15T00:00:00"/>
    <s v="23/1AL"/>
    <m/>
    <m/>
    <m/>
    <d v="2019-03-15T00:00:00"/>
    <n v="400"/>
    <m/>
    <m/>
    <m/>
    <m/>
    <m/>
    <m/>
    <n v="400"/>
    <n v="0"/>
    <n v="0"/>
  </r>
  <r>
    <s v="39B/2019"/>
    <d v="2019-02-11T00:00:00"/>
    <s v="THANH THÚY"/>
    <s v="VL01"/>
    <x v="39"/>
    <x v="79"/>
    <s v="YELLOWEEN"/>
    <m/>
    <s v="16.18"/>
    <n v="200"/>
    <s v="NL2017"/>
    <m/>
    <n v="10"/>
    <n v="2000"/>
    <x v="6"/>
    <n v="7600000"/>
    <x v="0"/>
    <d v="2019-01-15T00:00:00"/>
    <d v="2019-02-19T00:00:00"/>
    <d v="2019-02-19T00:00:00"/>
    <s v="15/1AL"/>
    <m/>
    <m/>
    <m/>
    <d v="2019-03-04T00:00:00"/>
    <n v="2000"/>
    <m/>
    <m/>
    <m/>
    <m/>
    <m/>
    <m/>
    <n v="2000"/>
    <n v="0"/>
    <n v="0"/>
  </r>
  <r>
    <s v="39B/2019"/>
    <d v="2019-02-11T00:00:00"/>
    <s v="THANH THÚY"/>
    <s v="VL01"/>
    <x v="39"/>
    <x v="79"/>
    <s v="YELLOWEEN"/>
    <m/>
    <s v="16.18"/>
    <n v="200"/>
    <s v="NL2017"/>
    <m/>
    <n v="15"/>
    <n v="3000"/>
    <x v="6"/>
    <n v="11400000"/>
    <x v="0"/>
    <d v="2019-01-15T00:00:00"/>
    <d v="2019-02-19T00:00:00"/>
    <d v="2019-02-19T00:00:00"/>
    <s v="15/1AL"/>
    <m/>
    <m/>
    <m/>
    <d v="2019-03-06T00:00:00"/>
    <n v="3000"/>
    <m/>
    <m/>
    <m/>
    <m/>
    <m/>
    <m/>
    <n v="3000"/>
    <n v="0"/>
    <n v="0"/>
  </r>
  <r>
    <s v="39B/2019"/>
    <d v="2019-02-11T00:00:00"/>
    <s v="THANH THÚY"/>
    <s v="VL01"/>
    <x v="39"/>
    <x v="31"/>
    <s v="TARRANGO"/>
    <m/>
    <s v="14.16"/>
    <n v="300"/>
    <s v="NL2018"/>
    <m/>
    <n v="17"/>
    <n v="5100"/>
    <x v="21"/>
    <n v="23460000"/>
    <x v="0"/>
    <d v="2019-02-15T00:00:00"/>
    <d v="2019-03-20T00:00:00"/>
    <d v="2019-03-20T00:00:00"/>
    <s v="15/2AL"/>
    <s v="CONT 10/2019"/>
    <m/>
    <m/>
    <d v="2019-03-20T00:00:00"/>
    <n v="5100"/>
    <m/>
    <m/>
    <m/>
    <m/>
    <m/>
    <m/>
    <n v="5100"/>
    <n v="0"/>
    <n v="0"/>
  </r>
  <r>
    <s v="39B/2019"/>
    <d v="2019-02-11T00:00:00"/>
    <s v="THANH THÚY"/>
    <s v="VL01"/>
    <x v="39"/>
    <x v="32"/>
    <s v="BACARDI"/>
    <m/>
    <s v="16.18"/>
    <n v="200"/>
    <s v="NL2018"/>
    <m/>
    <n v="20"/>
    <n v="4000"/>
    <x v="42"/>
    <n v="25200000"/>
    <x v="0"/>
    <d v="2019-02-15T00:00:00"/>
    <d v="2019-03-20T00:00:00"/>
    <d v="2019-03-20T00:00:00"/>
    <s v="15/2AL"/>
    <s v="CONT 11/2019"/>
    <m/>
    <m/>
    <d v="2019-03-20T00:00:00"/>
    <n v="4000"/>
    <m/>
    <m/>
    <m/>
    <m/>
    <m/>
    <m/>
    <n v="4000"/>
    <n v="0"/>
    <n v="0"/>
  </r>
  <r>
    <s v="39B/2019"/>
    <d v="2019-02-11T00:00:00"/>
    <s v="THANH THÚY"/>
    <s v="VL01"/>
    <x v="39"/>
    <x v="11"/>
    <s v="YELLOWEEN"/>
    <m/>
    <s v="12.14"/>
    <n v="400"/>
    <s v="NL2018"/>
    <m/>
    <n v="13"/>
    <n v="5200"/>
    <x v="12"/>
    <n v="13520000"/>
    <x v="0"/>
    <d v="2019-02-15T00:00:00"/>
    <d v="2019-03-20T00:00:00"/>
    <d v="2019-03-20T00:00:00"/>
    <s v="15/2AL"/>
    <s v="CONT 12/2019"/>
    <m/>
    <m/>
    <d v="2019-03-20T00:00:00"/>
    <n v="5200"/>
    <m/>
    <m/>
    <m/>
    <m/>
    <m/>
    <m/>
    <n v="5200"/>
    <n v="0"/>
    <n v="0"/>
  </r>
  <r>
    <s v="39B/2019"/>
    <d v="2019-02-11T00:00:00"/>
    <s v="THANH THÚY"/>
    <s v="VL01"/>
    <x v="39"/>
    <x v="10"/>
    <s v="ARVANDRUD"/>
    <m/>
    <s v="16.18"/>
    <n v="200"/>
    <s v="NL2018"/>
    <m/>
    <n v="50"/>
    <n v="10000"/>
    <x v="55"/>
    <n v="53000000"/>
    <x v="0"/>
    <s v="29-Feb-19"/>
    <d v="2019-04-03T00:00:00"/>
    <d v="2019-04-03T00:00:00"/>
    <s v="28/2AL"/>
    <s v="CONT 17/2019"/>
    <m/>
    <m/>
    <d v="2019-04-03T00:00:00"/>
    <n v="10000"/>
    <m/>
    <m/>
    <m/>
    <m/>
    <m/>
    <m/>
    <n v="10000"/>
    <n v="0"/>
    <n v="0"/>
  </r>
  <r>
    <s v="39B/2019"/>
    <d v="2019-02-11T00:00:00"/>
    <s v="THANH THÚY"/>
    <s v="VL01"/>
    <x v="39"/>
    <x v="78"/>
    <s v="NATALIA"/>
    <s v="RL"/>
    <s v="12.14"/>
    <n v="400"/>
    <s v="NL2018"/>
    <m/>
    <n v="8"/>
    <n v="3200"/>
    <x v="27"/>
    <n v="25600000"/>
    <x v="0"/>
    <s v="29-Feb-19"/>
    <d v="2019-04-03T00:00:00"/>
    <d v="2019-04-03T00:00:00"/>
    <s v="28/2AL"/>
    <s v="CONT 17/2019"/>
    <m/>
    <m/>
    <d v="2019-04-03T00:00:00"/>
    <n v="3200"/>
    <m/>
    <m/>
    <m/>
    <m/>
    <m/>
    <m/>
    <n v="3200"/>
    <n v="0"/>
    <n v="0"/>
  </r>
  <r>
    <s v="39B/2019"/>
    <d v="2019-02-11T00:00:00"/>
    <s v="THANH THÚY"/>
    <s v="VL01"/>
    <x v="39"/>
    <x v="31"/>
    <s v="TARRANGO"/>
    <m/>
    <s v="14.16"/>
    <n v="300"/>
    <s v="NL2018"/>
    <m/>
    <n v="34"/>
    <n v="10200"/>
    <x v="21"/>
    <n v="46920000"/>
    <x v="0"/>
    <s v="29-Feb-19"/>
    <d v="2019-04-03T00:00:00"/>
    <d v="2019-04-03T00:00:00"/>
    <s v="28/2AL"/>
    <s v="CONT 17/2019"/>
    <m/>
    <m/>
    <d v="2019-04-03T00:00:00"/>
    <n v="10200"/>
    <m/>
    <m/>
    <m/>
    <m/>
    <m/>
    <m/>
    <n v="10200"/>
    <n v="0"/>
    <n v="0"/>
  </r>
  <r>
    <s v="39B/2019"/>
    <d v="2019-02-11T00:00:00"/>
    <s v="THANH THÚY"/>
    <s v="VL01"/>
    <x v="39"/>
    <x v="51"/>
    <s v="THALITA"/>
    <s v="RL"/>
    <s v="12.14"/>
    <n v="400"/>
    <s v="NL2018"/>
    <m/>
    <n v="5"/>
    <n v="2000"/>
    <x v="27"/>
    <n v="16000000"/>
    <x v="0"/>
    <s v="29-Feb-19"/>
    <d v="2019-04-03T00:00:00"/>
    <d v="2019-04-03T00:00:00"/>
    <s v="28/2AL"/>
    <s v="CONT 17/2019"/>
    <m/>
    <m/>
    <d v="2019-04-03T00:00:00"/>
    <n v="2000"/>
    <m/>
    <m/>
    <m/>
    <m/>
    <m/>
    <m/>
    <n v="2000"/>
    <n v="0"/>
    <n v="0"/>
  </r>
  <r>
    <s v="39B/2019"/>
    <d v="2019-02-11T00:00:00"/>
    <s v="THANH THÚY"/>
    <s v="VL01"/>
    <x v="39"/>
    <x v="11"/>
    <s v="YELLOWEEN"/>
    <m/>
    <s v="12.14"/>
    <n v="400"/>
    <s v="NL2018"/>
    <m/>
    <n v="13"/>
    <n v="5200"/>
    <x v="12"/>
    <n v="13520000"/>
    <x v="0"/>
    <s v="29-Feb-19"/>
    <d v="2019-04-03T00:00:00"/>
    <d v="2019-04-03T00:00:00"/>
    <s v="28/2AL"/>
    <s v="CONT 18/2019"/>
    <m/>
    <m/>
    <d v="2019-04-03T00:00:00"/>
    <n v="5200"/>
    <m/>
    <m/>
    <m/>
    <m/>
    <m/>
    <m/>
    <n v="5200"/>
    <n v="0"/>
    <n v="0"/>
  </r>
  <r>
    <s v="39B/2019"/>
    <d v="2019-02-11T00:00:00"/>
    <s v="THANH THÚY"/>
    <s v="VL01"/>
    <x v="39"/>
    <x v="67"/>
    <s v="INDIANA"/>
    <m/>
    <s v="14.16"/>
    <n v="300"/>
    <s v="NL2018"/>
    <m/>
    <n v="17"/>
    <n v="5100"/>
    <x v="0"/>
    <n v="23970000"/>
    <x v="0"/>
    <s v="29-Feb-19"/>
    <d v="2019-04-03T00:00:00"/>
    <d v="2019-04-03T00:00:00"/>
    <s v="28/2AL"/>
    <s v="CONT 14/2019"/>
    <m/>
    <m/>
    <d v="2019-04-03T00:00:00"/>
    <n v="5100"/>
    <m/>
    <m/>
    <m/>
    <m/>
    <m/>
    <m/>
    <n v="5100"/>
    <n v="0"/>
    <n v="0"/>
  </r>
  <r>
    <s v="152B/2019"/>
    <d v="2019-04-03T00:00:00"/>
    <s v="THANH THÚY"/>
    <s v="VL01"/>
    <x v="39"/>
    <x v="10"/>
    <s v="ARVANDRUD"/>
    <m/>
    <s v="16.18"/>
    <n v="200"/>
    <s v="NL2018"/>
    <m/>
    <n v="65"/>
    <n v="13000"/>
    <x v="55"/>
    <n v="68900000"/>
    <x v="0"/>
    <d v="2019-03-15T00:00:00"/>
    <d v="2019-04-19T00:00:00"/>
    <d v="2019-04-19T00:00:00"/>
    <s v="15/3AL"/>
    <s v="CONT 22/2019"/>
    <m/>
    <m/>
    <d v="2019-04-18T00:00:00"/>
    <n v="13000"/>
    <m/>
    <m/>
    <m/>
    <m/>
    <m/>
    <m/>
    <n v="13000"/>
    <n v="0"/>
    <n v="0"/>
  </r>
  <r>
    <s v="152B/2019"/>
    <d v="2019-04-03T00:00:00"/>
    <s v="THANH THÚY"/>
    <s v="VL01"/>
    <x v="39"/>
    <x v="31"/>
    <s v="TARRANGO"/>
    <m/>
    <s v="14.16"/>
    <n v="300"/>
    <s v="NL2018"/>
    <m/>
    <n v="51"/>
    <n v="15300"/>
    <x v="21"/>
    <n v="70380000"/>
    <x v="0"/>
    <d v="2019-03-15T00:00:00"/>
    <d v="2019-04-19T00:00:00"/>
    <d v="2019-04-19T00:00:00"/>
    <s v="15/3AL"/>
    <s v="CONT 22/2019"/>
    <m/>
    <m/>
    <d v="2019-04-18T00:00:00"/>
    <n v="8400"/>
    <d v="2019-04-26T00:00:00"/>
    <n v="2700"/>
    <d v="2019-04-26T00:00:00"/>
    <n v="4200"/>
    <m/>
    <m/>
    <n v="15300"/>
    <n v="0"/>
    <n v="0"/>
  </r>
  <r>
    <s v="152B/2019"/>
    <d v="2019-04-03T00:00:00"/>
    <s v="THANH THÚY"/>
    <s v="VL01"/>
    <x v="39"/>
    <x v="11"/>
    <s v="YELLOWEEN"/>
    <m/>
    <s v="12.14"/>
    <n v="400"/>
    <s v="NL2018"/>
    <m/>
    <n v="41"/>
    <n v="16400"/>
    <x v="12"/>
    <n v="42640000"/>
    <x v="0"/>
    <d v="2019-03-15T00:00:00"/>
    <d v="2019-04-19T00:00:00"/>
    <d v="2019-04-19T00:00:00"/>
    <s v="15/3AL"/>
    <s v="CONT 24/2019"/>
    <m/>
    <m/>
    <d v="2019-04-18T00:00:00"/>
    <n v="8000"/>
    <d v="2019-04-26T00:00:00"/>
    <n v="2400"/>
    <d v="2019-05-08T00:00:00"/>
    <n v="6000"/>
    <m/>
    <m/>
    <n v="16400"/>
    <n v="0"/>
    <n v="0"/>
  </r>
  <r>
    <s v="152B/2019"/>
    <d v="2019-04-03T00:00:00"/>
    <s v="THANH THÚY"/>
    <s v="VL01"/>
    <x v="39"/>
    <x v="51"/>
    <s v="THALITA"/>
    <s v="RL"/>
    <s v="12.14"/>
    <n v="400"/>
    <s v="NL2018"/>
    <m/>
    <n v="4"/>
    <n v="1600"/>
    <x v="86"/>
    <n v="12900800"/>
    <x v="0"/>
    <m/>
    <s v=""/>
    <s v=""/>
    <m/>
    <s v="CONT 24/2019"/>
    <m/>
    <m/>
    <d v="2019-05-08T00:00:00"/>
    <n v="1600"/>
    <m/>
    <m/>
    <m/>
    <m/>
    <m/>
    <m/>
    <n v="1600"/>
    <n v="0"/>
    <n v="0"/>
  </r>
  <r>
    <s v="152B/2019"/>
    <d v="2019-04-03T00:00:00"/>
    <s v="THANH THÚY"/>
    <s v="VL01"/>
    <x v="39"/>
    <x v="30"/>
    <s v="MALDANO"/>
    <m/>
    <s v="16.18"/>
    <n v="200"/>
    <s v="NL2018"/>
    <m/>
    <n v="50"/>
    <n v="10000"/>
    <x v="18"/>
    <n v="50000000"/>
    <x v="0"/>
    <m/>
    <s v=""/>
    <s v=""/>
    <m/>
    <s v="CONT 24/2019"/>
    <m/>
    <m/>
    <d v="2019-05-08T00:00:00"/>
    <n v="10000"/>
    <m/>
    <m/>
    <m/>
    <m/>
    <m/>
    <m/>
    <n v="10000"/>
    <n v="0"/>
    <n v="0"/>
  </r>
  <r>
    <s v="152B/2019"/>
    <d v="2019-04-03T00:00:00"/>
    <s v="THANH THÚY"/>
    <s v="VL01"/>
    <x v="39"/>
    <x v="10"/>
    <s v="ARVANDRUD"/>
    <m/>
    <s v="16.18"/>
    <n v="200"/>
    <s v="NL2018"/>
    <m/>
    <n v="50"/>
    <n v="10000"/>
    <x v="11"/>
    <n v="54000000"/>
    <x v="4"/>
    <d v="2019-04-15T00:00:00"/>
    <d v="2019-05-19T00:00:00"/>
    <d v="2019-05-19T00:00:00"/>
    <s v="15/4AL"/>
    <m/>
    <m/>
    <m/>
    <m/>
    <m/>
    <m/>
    <m/>
    <m/>
    <m/>
    <m/>
    <m/>
    <n v="0"/>
    <n v="10000"/>
    <n v="54000000"/>
  </r>
  <r>
    <s v="152B/2019"/>
    <d v="2019-06-06T00:00:00"/>
    <s v="THANH THÚY"/>
    <s v="VL01"/>
    <x v="39"/>
    <x v="89"/>
    <s v="TATSJANA"/>
    <s v="RL"/>
    <s v="12.14"/>
    <n v="350"/>
    <s v="NL2018"/>
    <m/>
    <n v="3"/>
    <n v="1050"/>
    <x v="87"/>
    <n v="8492400"/>
    <x v="0"/>
    <d v="2019-05-05T00:00:00"/>
    <d v="2019-06-07T00:00:00"/>
    <d v="2019-06-07T00:00:00"/>
    <m/>
    <m/>
    <m/>
    <m/>
    <d v="2019-06-13T00:00:00"/>
    <n v="1050"/>
    <m/>
    <m/>
    <m/>
    <m/>
    <m/>
    <m/>
    <n v="1050"/>
    <n v="0"/>
    <n v="0"/>
  </r>
  <r>
    <s v="152B/2019"/>
    <d v="2019-04-03T00:00:00"/>
    <s v="THANH THÚY"/>
    <s v="VL01"/>
    <x v="39"/>
    <x v="90"/>
    <s v="CARBONERO"/>
    <m/>
    <s v="16.18"/>
    <n v="200"/>
    <s v="NL2018"/>
    <m/>
    <n v="100"/>
    <n v="20000"/>
    <x v="42"/>
    <n v="126000000"/>
    <x v="0"/>
    <d v="2019-04-15T00:00:00"/>
    <d v="2019-05-19T00:00:00"/>
    <d v="2019-05-19T00:00:00"/>
    <s v="15/4AL"/>
    <m/>
    <m/>
    <m/>
    <d v="2019-05-29T00:00:00"/>
    <n v="12000"/>
    <d v="2019-06-11T00:00:00"/>
    <n v="8000"/>
    <m/>
    <m/>
    <m/>
    <m/>
    <n v="20000"/>
    <n v="0"/>
    <n v="0"/>
  </r>
  <r>
    <s v="152B/2019"/>
    <d v="2019-05-27T00:00:00"/>
    <s v="THANH THÚY"/>
    <s v="VL01"/>
    <x v="39"/>
    <x v="91"/>
    <s v="FERRERO"/>
    <m/>
    <s v="13.14"/>
    <n v="400"/>
    <s v="NL2018"/>
    <m/>
    <n v="8"/>
    <n v="3200"/>
    <x v="13"/>
    <n v="14400000"/>
    <x v="4"/>
    <d v="2019-05-05T00:00:00"/>
    <d v="2019-06-07T00:00:00"/>
    <d v="2019-06-07T00:00:00"/>
    <m/>
    <m/>
    <m/>
    <m/>
    <m/>
    <m/>
    <m/>
    <m/>
    <m/>
    <m/>
    <m/>
    <m/>
    <n v="0"/>
    <n v="3200"/>
    <n v="14400000"/>
  </r>
  <r>
    <s v="152B/2019"/>
    <d v="2019-06-04T00:00:00"/>
    <s v="THANH THÚY"/>
    <s v="VL01"/>
    <x v="39"/>
    <x v="54"/>
    <s v="MALDANO"/>
    <m/>
    <s v="14.16"/>
    <n v="300"/>
    <s v="NL2018"/>
    <m/>
    <n v="33"/>
    <n v="9900"/>
    <x v="57"/>
    <n v="39600000"/>
    <x v="4"/>
    <d v="2019-05-05T00:00:00"/>
    <d v="2019-06-07T00:00:00"/>
    <d v="2019-06-07T00:00:00"/>
    <m/>
    <m/>
    <m/>
    <m/>
    <d v="2019-06-13T00:00:00"/>
    <n v="4200"/>
    <m/>
    <m/>
    <m/>
    <m/>
    <m/>
    <m/>
    <n v="4200"/>
    <n v="5700"/>
    <n v="22800000"/>
  </r>
  <r>
    <s v="152B/2019"/>
    <d v="2019-06-06T00:00:00"/>
    <s v="THANH THÚY"/>
    <s v="VL01"/>
    <x v="39"/>
    <x v="51"/>
    <s v="THALITA"/>
    <s v="RL"/>
    <s v="12.14"/>
    <n v="400"/>
    <s v="NL2018"/>
    <m/>
    <n v="3"/>
    <n v="1200"/>
    <x v="87"/>
    <n v="9705600"/>
    <x v="0"/>
    <d v="2019-05-05T00:00:00"/>
    <d v="2019-06-07T00:00:00"/>
    <d v="2019-06-07T00:00:00"/>
    <m/>
    <m/>
    <m/>
    <m/>
    <d v="2019-06-11T00:00:00"/>
    <n v="1200"/>
    <m/>
    <m/>
    <m/>
    <m/>
    <m/>
    <m/>
    <n v="1200"/>
    <n v="0"/>
    <n v="0"/>
  </r>
  <r>
    <s v="152B/2019"/>
    <d v="2019-06-07T00:00:00"/>
    <s v="THANH THÚY"/>
    <s v="VL01"/>
    <x v="39"/>
    <x v="83"/>
    <s v="ANGELA"/>
    <s v="RL"/>
    <s v="12.14"/>
    <n v="400"/>
    <s v="NL2018"/>
    <m/>
    <n v="6"/>
    <n v="2400"/>
    <x v="87"/>
    <n v="19411200"/>
    <x v="4"/>
    <d v="2019-04-17T00:00:00"/>
    <d v="2019-05-21T00:00:00"/>
    <d v="2019-05-21T00:00:00"/>
    <m/>
    <m/>
    <m/>
    <m/>
    <d v="2019-06-11T00:00:00"/>
    <n v="1200"/>
    <m/>
    <m/>
    <m/>
    <m/>
    <m/>
    <m/>
    <n v="1200"/>
    <n v="1200"/>
    <n v="9705600"/>
  </r>
  <r>
    <s v="152B/2019"/>
    <d v="2019-04-03T00:00:00"/>
    <s v="THANH THÚY"/>
    <s v="VL01"/>
    <x v="39"/>
    <x v="31"/>
    <s v="TARRANGO"/>
    <m/>
    <s v="14.16"/>
    <n v="300"/>
    <s v="NL2018"/>
    <m/>
    <n v="34"/>
    <n v="10200"/>
    <x v="0"/>
    <n v="47940000"/>
    <x v="0"/>
    <d v="2019-04-15T00:00:00"/>
    <d v="2019-05-19T00:00:00"/>
    <d v="2019-05-19T00:00:00"/>
    <s v="15/4AL"/>
    <m/>
    <m/>
    <m/>
    <d v="2019-05-19T00:00:00"/>
    <n v="10200"/>
    <m/>
    <m/>
    <m/>
    <m/>
    <m/>
    <m/>
    <n v="10200"/>
    <n v="0"/>
    <n v="0"/>
  </r>
  <r>
    <s v="152B/2019"/>
    <d v="2019-04-03T00:00:00"/>
    <s v="THANH THÚY"/>
    <s v="VL01"/>
    <x v="39"/>
    <x v="83"/>
    <s v="ANGELA"/>
    <s v="RL"/>
    <s v="12.14"/>
    <n v="400"/>
    <s v="NL2018"/>
    <m/>
    <n v="3"/>
    <n v="1200"/>
    <x v="86"/>
    <n v="9675600"/>
    <x v="0"/>
    <d v="2019-04-15T00:00:00"/>
    <d v="2019-05-19T00:00:00"/>
    <d v="2019-05-19T00:00:00"/>
    <s v="15/4AL"/>
    <m/>
    <m/>
    <m/>
    <d v="2019-05-19T00:00:00"/>
    <n v="1200"/>
    <m/>
    <m/>
    <m/>
    <m/>
    <m/>
    <m/>
    <n v="1200"/>
    <n v="0"/>
    <n v="0"/>
  </r>
  <r>
    <s v="152B/2019"/>
    <d v="2019-04-03T00:00:00"/>
    <s v="THANH THÚY"/>
    <s v="VL01"/>
    <x v="39"/>
    <x v="78"/>
    <s v="NATALIA"/>
    <s v="RL"/>
    <s v="12.14"/>
    <n v="400"/>
    <s v="NL2018"/>
    <m/>
    <n v="8"/>
    <n v="3200"/>
    <x v="86"/>
    <n v="25801600"/>
    <x v="0"/>
    <d v="2019-04-15T00:00:00"/>
    <d v="2019-05-19T00:00:00"/>
    <d v="2019-05-19T00:00:00"/>
    <s v="15/4AL"/>
    <m/>
    <m/>
    <m/>
    <d v="2019-05-19T00:00:00"/>
    <n v="3200"/>
    <m/>
    <m/>
    <m/>
    <m/>
    <m/>
    <m/>
    <n v="3200"/>
    <n v="0"/>
    <n v="0"/>
  </r>
  <r>
    <s v="152B/2019"/>
    <d v="2019-04-03T00:00:00"/>
    <s v="THANH THÚY"/>
    <s v="VL01"/>
    <x v="39"/>
    <x v="60"/>
    <s v="PATRICIA"/>
    <s v="RL"/>
    <s v="12.14"/>
    <n v="400"/>
    <s v="NL2018"/>
    <m/>
    <n v="5"/>
    <n v="2000"/>
    <x v="86"/>
    <n v="16126000"/>
    <x v="0"/>
    <d v="2019-04-15T00:00:00"/>
    <d v="2019-05-19T00:00:00"/>
    <d v="2019-05-19T00:00:00"/>
    <s v="15/4AL"/>
    <m/>
    <m/>
    <m/>
    <d v="2019-05-19T00:00:00"/>
    <n v="2000"/>
    <m/>
    <m/>
    <m/>
    <m/>
    <m/>
    <m/>
    <n v="2000"/>
    <n v="0"/>
    <n v="0"/>
  </r>
  <r>
    <s v="152B/2019"/>
    <d v="2019-04-03T00:00:00"/>
    <s v="THANH THÚY"/>
    <s v="VL01"/>
    <x v="39"/>
    <x v="92"/>
    <s v="CLARISSA"/>
    <s v="RL"/>
    <s v="12.14"/>
    <n v="400"/>
    <s v="NL2018"/>
    <m/>
    <n v="4"/>
    <n v="1600"/>
    <x v="87"/>
    <n v="12940800"/>
    <x v="4"/>
    <d v="2019-05-02T00:00:00"/>
    <d v="2019-06-04T00:00:00"/>
    <d v="2019-06-04T00:00:00"/>
    <s v="02/5AL"/>
    <m/>
    <m/>
    <m/>
    <d v="2019-06-11T00:00:00"/>
    <n v="800"/>
    <m/>
    <m/>
    <m/>
    <m/>
    <m/>
    <m/>
    <n v="800"/>
    <n v="800"/>
    <n v="6470400"/>
  </r>
  <r>
    <s v="152B/2019"/>
    <d v="2019-04-03T00:00:00"/>
    <s v="THANH THÚY"/>
    <s v="VL01"/>
    <x v="39"/>
    <x v="93"/>
    <s v="DORIA"/>
    <s v="RL"/>
    <s v="12.14"/>
    <n v="400"/>
    <s v="NL2018"/>
    <m/>
    <n v="3"/>
    <n v="1200"/>
    <x v="87"/>
    <n v="9705600"/>
    <x v="4"/>
    <d v="2019-05-02T00:00:00"/>
    <d v="2019-06-04T00:00:00"/>
    <d v="2019-06-04T00:00:00"/>
    <s v="02/5AL"/>
    <m/>
    <m/>
    <m/>
    <m/>
    <m/>
    <m/>
    <m/>
    <m/>
    <m/>
    <m/>
    <m/>
    <n v="0"/>
    <n v="1200"/>
    <n v="9705600"/>
  </r>
  <r>
    <s v="152B/2019"/>
    <d v="2019-04-03T00:00:00"/>
    <s v="THANH THÚY"/>
    <s v="VL01"/>
    <x v="39"/>
    <x v="78"/>
    <s v="NATALIA"/>
    <s v="RL"/>
    <s v="12.14"/>
    <n v="400"/>
    <s v="NL2018"/>
    <m/>
    <n v="3"/>
    <n v="1200"/>
    <x v="87"/>
    <n v="9705600"/>
    <x v="0"/>
    <d v="2019-05-02T00:00:00"/>
    <d v="2019-06-04T00:00:00"/>
    <d v="2019-06-04T00:00:00"/>
    <s v="02/5AL"/>
    <m/>
    <m/>
    <m/>
    <d v="2019-06-11T00:00:00"/>
    <n v="1200"/>
    <m/>
    <m/>
    <m/>
    <m/>
    <m/>
    <m/>
    <n v="1200"/>
    <n v="0"/>
    <n v="0"/>
  </r>
  <r>
    <s v="152B/2019"/>
    <d v="2019-04-03T00:00:00"/>
    <s v="THANH THÚY"/>
    <s v="VL01"/>
    <x v="39"/>
    <x v="76"/>
    <s v="SEDONA"/>
    <m/>
    <s v="18.20"/>
    <n v="150"/>
    <s v="NL2018"/>
    <m/>
    <n v="4"/>
    <n v="600"/>
    <x v="35"/>
    <n v="4320000"/>
    <x v="4"/>
    <d v="2019-05-02T00:00:00"/>
    <d v="2019-06-04T00:00:00"/>
    <d v="2019-06-04T00:00:00"/>
    <s v="02/5AL"/>
    <m/>
    <m/>
    <m/>
    <m/>
    <m/>
    <m/>
    <m/>
    <m/>
    <m/>
    <m/>
    <m/>
    <n v="0"/>
    <n v="600"/>
    <n v="4320000"/>
  </r>
  <r>
    <s v="152B/2019"/>
    <d v="2019-04-03T00:00:00"/>
    <s v="THANH THÚY"/>
    <s v="VL01"/>
    <x v="39"/>
    <x v="94"/>
    <s v="PETER SCHENKER"/>
    <m/>
    <s v="14.16"/>
    <n v="300"/>
    <s v="NL2018"/>
    <m/>
    <n v="6"/>
    <n v="1800"/>
    <x v="3"/>
    <n v="7380000"/>
    <x v="4"/>
    <d v="2019-05-02T00:00:00"/>
    <d v="2019-06-04T00:00:00"/>
    <d v="2019-06-04T00:00:00"/>
    <s v="02/5AL"/>
    <m/>
    <m/>
    <m/>
    <m/>
    <m/>
    <m/>
    <m/>
    <m/>
    <m/>
    <m/>
    <m/>
    <n v="0"/>
    <n v="1800"/>
    <n v="7380000"/>
  </r>
  <r>
    <s v="152B/2019"/>
    <d v="2019-06-18T00:00:00"/>
    <s v="THANH THÚY"/>
    <s v="VL01"/>
    <x v="39"/>
    <x v="10"/>
    <s v="ARVANDRUD"/>
    <m/>
    <s v="16.18"/>
    <n v="200"/>
    <s v="NL2018"/>
    <m/>
    <n v="20"/>
    <n v="4000"/>
    <x v="11"/>
    <n v="21600000"/>
    <x v="4"/>
    <d v="2019-05-02T00:00:00"/>
    <d v="2019-06-04T00:00:00"/>
    <d v="2019-06-04T00:00:00"/>
    <m/>
    <m/>
    <m/>
    <m/>
    <m/>
    <m/>
    <m/>
    <m/>
    <m/>
    <m/>
    <m/>
    <m/>
    <n v="0"/>
    <n v="4000"/>
    <n v="21600000"/>
  </r>
  <r>
    <s v="152B/2019"/>
    <d v="2019-04-03T00:00:00"/>
    <s v="THANH THÚY"/>
    <s v="VL01"/>
    <x v="39"/>
    <x v="31"/>
    <s v="TARRANGO"/>
    <m/>
    <s v="14.16"/>
    <n v="300"/>
    <s v="NL2018"/>
    <m/>
    <n v="0"/>
    <n v="0"/>
    <x v="23"/>
    <n v="0"/>
    <x v="1"/>
    <d v="2019-05-02T00:00:00"/>
    <d v="2019-06-04T00:00:00"/>
    <d v="2019-06-04T00:00:00"/>
    <s v="02/5AL"/>
    <m/>
    <m/>
    <m/>
    <m/>
    <n v="0"/>
    <m/>
    <m/>
    <m/>
    <m/>
    <m/>
    <m/>
    <n v="0"/>
    <n v="0"/>
    <n v="0"/>
  </r>
  <r>
    <s v="152B/2019"/>
    <d v="2019-04-03T00:00:00"/>
    <s v="THANH THÚY"/>
    <s v="VL01"/>
    <x v="39"/>
    <x v="31"/>
    <s v="TARRANGO"/>
    <m/>
    <s v="14.16"/>
    <n v="300"/>
    <s v="NL2018"/>
    <m/>
    <n v="33"/>
    <n v="9900"/>
    <x v="23"/>
    <n v="47520000"/>
    <x v="3"/>
    <d v="2019-05-18T00:00:00"/>
    <d v="2019-06-20T00:00:00"/>
    <d v="2019-06-20T00:00:00"/>
    <m/>
    <m/>
    <m/>
    <m/>
    <m/>
    <m/>
    <m/>
    <m/>
    <m/>
    <m/>
    <m/>
    <m/>
    <n v="0"/>
    <n v="9900"/>
    <n v="47520000"/>
  </r>
  <r>
    <s v="152B/2019"/>
    <d v="2019-06-14T00:00:00"/>
    <s v="THANH THÚY"/>
    <s v="VL01"/>
    <x v="39"/>
    <x v="78"/>
    <s v="NATALIA"/>
    <s v="RL"/>
    <s v="12.14"/>
    <n v="400"/>
    <s v="NL2018"/>
    <m/>
    <n v="7"/>
    <n v="2800"/>
    <x v="87"/>
    <n v="22646400"/>
    <x v="3"/>
    <d v="2019-05-18T00:00:00"/>
    <d v="2019-06-20T00:00:00"/>
    <d v="2019-06-20T00:00:00"/>
    <m/>
    <m/>
    <m/>
    <m/>
    <m/>
    <m/>
    <m/>
    <m/>
    <m/>
    <m/>
    <m/>
    <m/>
    <n v="0"/>
    <n v="2800"/>
    <n v="22646400"/>
  </r>
  <r>
    <s v="152B/2019"/>
    <d v="2019-04-03T00:00:00"/>
    <s v="THANH THÚY"/>
    <s v="VL01"/>
    <x v="39"/>
    <x v="10"/>
    <s v="ARVANDRUD"/>
    <m/>
    <s v="16.18"/>
    <n v="200"/>
    <s v="NL2018"/>
    <m/>
    <n v="0"/>
    <n v="0"/>
    <x v="55"/>
    <n v="0"/>
    <x v="1"/>
    <d v="2019-04-29T00:00:00"/>
    <d v="2019-06-02T00:00:00"/>
    <d v="2019-06-02T00:00:00"/>
    <s v="29/4AL.chưa tính phí lạnh"/>
    <m/>
    <m/>
    <m/>
    <m/>
    <n v="0"/>
    <m/>
    <m/>
    <m/>
    <m/>
    <m/>
    <m/>
    <n v="0"/>
    <n v="0"/>
    <n v="0"/>
  </r>
  <r>
    <s v="152B/2019"/>
    <d v="2019-04-03T00:00:00"/>
    <s v="THANH THÚY"/>
    <s v="VL01"/>
    <x v="39"/>
    <x v="11"/>
    <s v="YELLOWEEN"/>
    <m/>
    <s v="12.14"/>
    <n v="400"/>
    <s v="NL2018"/>
    <m/>
    <n v="19"/>
    <n v="7600"/>
    <x v="47"/>
    <n v="20520000"/>
    <x v="4"/>
    <d v="2019-04-17T00:00:00"/>
    <d v="2019-05-21T00:00:00"/>
    <d v="2019-05-21T00:00:00"/>
    <s v="Cho hàng về sớm do chuyến 29/4 ko có"/>
    <m/>
    <m/>
    <m/>
    <d v="2019-06-11T00:00:00"/>
    <n v="5600"/>
    <m/>
    <m/>
    <m/>
    <m/>
    <m/>
    <m/>
    <n v="5600"/>
    <n v="2000"/>
    <n v="5400000"/>
  </r>
  <r>
    <s v="152B/2019"/>
    <d v="2019-04-03T00:00:00"/>
    <s v="THANH THÚY"/>
    <s v="VL01"/>
    <x v="39"/>
    <x v="31"/>
    <s v="TARRANGO"/>
    <m/>
    <s v="14.16"/>
    <n v="300"/>
    <s v="NL2018"/>
    <m/>
    <n v="100"/>
    <n v="30000"/>
    <x v="18"/>
    <n v="150000000"/>
    <x v="2"/>
    <m/>
    <s v=""/>
    <s v=""/>
    <s v="chưa tính phí lạnh"/>
    <m/>
    <m/>
    <m/>
    <m/>
    <n v="0"/>
    <m/>
    <m/>
    <m/>
    <m/>
    <m/>
    <m/>
    <n v="0"/>
    <n v="30000"/>
    <n v="150000000"/>
  </r>
  <r>
    <s v="152B/2019"/>
    <d v="2019-04-03T00:00:00"/>
    <s v="THANH THÚY"/>
    <s v="VL01"/>
    <x v="39"/>
    <x v="31"/>
    <s v="TARRANGO"/>
    <m/>
    <s v="14.16"/>
    <n v="300"/>
    <s v="NL2018"/>
    <m/>
    <n v="34"/>
    <n v="10200"/>
    <x v="18"/>
    <n v="51000000"/>
    <x v="3"/>
    <d v="2019-06-15T00:00:00"/>
    <m/>
    <m/>
    <m/>
    <m/>
    <m/>
    <m/>
    <m/>
    <m/>
    <m/>
    <m/>
    <m/>
    <m/>
    <m/>
    <m/>
    <n v="0"/>
    <n v="10200"/>
    <n v="51000000"/>
  </r>
  <r>
    <s v="152B/2019"/>
    <d v="2019-04-03T00:00:00"/>
    <s v="THANH THÚY"/>
    <s v="VL01"/>
    <x v="39"/>
    <x v="10"/>
    <s v="ARVANDRUD"/>
    <m/>
    <s v="16.18"/>
    <n v="200"/>
    <s v="NL2018"/>
    <m/>
    <n v="0"/>
    <n v="0"/>
    <x v="55"/>
    <n v="0"/>
    <x v="1"/>
    <m/>
    <s v=""/>
    <s v=""/>
    <s v="chưa tính phí lạnh"/>
    <m/>
    <m/>
    <m/>
    <m/>
    <n v="0"/>
    <m/>
    <m/>
    <m/>
    <m/>
    <m/>
    <m/>
    <n v="0"/>
    <n v="0"/>
    <n v="0"/>
  </r>
  <r>
    <s v="152B/2019"/>
    <d v="2019-04-03T00:00:00"/>
    <s v="THANH THÚY"/>
    <s v="VL01"/>
    <x v="39"/>
    <x v="11"/>
    <s v="YELLOWEEN"/>
    <m/>
    <s v="12.14"/>
    <n v="400"/>
    <s v="NL2018"/>
    <m/>
    <n v="0"/>
    <n v="0"/>
    <x v="47"/>
    <n v="0"/>
    <x v="1"/>
    <m/>
    <s v=""/>
    <s v=""/>
    <s v="chưa tính phí lạnh"/>
    <m/>
    <m/>
    <m/>
    <m/>
    <n v="0"/>
    <m/>
    <m/>
    <m/>
    <m/>
    <m/>
    <m/>
    <n v="0"/>
    <n v="0"/>
    <n v="0"/>
  </r>
  <r>
    <s v="152B/2019"/>
    <d v="2019-06-14T00:00:00"/>
    <s v="THANH THÚY"/>
    <s v="VL01"/>
    <x v="39"/>
    <x v="78"/>
    <s v="NATALIA"/>
    <s v="RL"/>
    <s v="12.14"/>
    <n v="400"/>
    <s v="NL2018"/>
    <m/>
    <n v="10"/>
    <n v="4000"/>
    <x v="88"/>
    <n v="32800000"/>
    <x v="3"/>
    <d v="2019-06-15T00:00:00"/>
    <d v="2019-07-17T00:00:00"/>
    <d v="2019-07-17T00:00:00"/>
    <m/>
    <m/>
    <m/>
    <m/>
    <m/>
    <m/>
    <m/>
    <m/>
    <m/>
    <m/>
    <m/>
    <m/>
    <n v="0"/>
    <n v="4000"/>
    <n v="32800000"/>
  </r>
  <r>
    <s v="152B/2019"/>
    <d v="2019-06-14T00:00:00"/>
    <s v="THANH THÚY"/>
    <s v="VL01"/>
    <x v="39"/>
    <x v="60"/>
    <s v="PATRICIA"/>
    <s v="RL"/>
    <s v="12.14"/>
    <n v="400"/>
    <s v="NL2018"/>
    <m/>
    <n v="10"/>
    <n v="4000"/>
    <x v="88"/>
    <n v="32800000"/>
    <x v="3"/>
    <d v="2019-06-15T00:00:00"/>
    <d v="2019-07-17T00:00:00"/>
    <d v="2019-07-17T00:00:00"/>
    <m/>
    <m/>
    <m/>
    <m/>
    <m/>
    <m/>
    <m/>
    <m/>
    <m/>
    <m/>
    <m/>
    <m/>
    <n v="0"/>
    <n v="4000"/>
    <n v="32800000"/>
  </r>
  <r>
    <s v="152B/2019"/>
    <d v="2019-06-14T00:00:00"/>
    <s v="THANH THÚY"/>
    <s v="VL01"/>
    <x v="39"/>
    <x v="51"/>
    <s v="THALITA"/>
    <s v="RL"/>
    <s v="12.14"/>
    <n v="400"/>
    <s v="NL2018"/>
    <m/>
    <n v="10"/>
    <n v="4000"/>
    <x v="88"/>
    <n v="32800000"/>
    <x v="3"/>
    <d v="2019-06-15T00:00:00"/>
    <d v="2019-07-17T00:00:00"/>
    <d v="2019-07-17T00:00:00"/>
    <m/>
    <m/>
    <m/>
    <m/>
    <m/>
    <m/>
    <m/>
    <m/>
    <m/>
    <m/>
    <m/>
    <m/>
    <n v="0"/>
    <n v="4000"/>
    <n v="32800000"/>
  </r>
  <r>
    <s v="152B/2019"/>
    <d v="2019-06-14T00:00:00"/>
    <s v="THANH THÚY"/>
    <s v="VL01"/>
    <x v="39"/>
    <x v="11"/>
    <s v="YELLOWEEN"/>
    <m/>
    <s v="12.14"/>
    <n v="400"/>
    <s v="NL2018"/>
    <m/>
    <n v="35"/>
    <n v="14000"/>
    <x v="4"/>
    <n v="39200000"/>
    <x v="2"/>
    <m/>
    <s v=""/>
    <s v=""/>
    <m/>
    <m/>
    <m/>
    <m/>
    <m/>
    <m/>
    <m/>
    <m/>
    <m/>
    <m/>
    <m/>
    <m/>
    <n v="0"/>
    <n v="14000"/>
    <n v="39200000"/>
  </r>
  <r>
    <s v="174B/2019"/>
    <d v="2019-04-20T00:00:00"/>
    <s v="THANH THÚY"/>
    <s v="VL01"/>
    <x v="39"/>
    <x v="95"/>
    <s v="ARVANDRUD"/>
    <m/>
    <s v="18.20"/>
    <n v="150"/>
    <s v="CL2019"/>
    <m/>
    <n v="0"/>
    <n v="0"/>
    <x v="59"/>
    <n v="0"/>
    <x v="1"/>
    <m/>
    <s v=""/>
    <s v=""/>
    <s v="TẾT"/>
    <m/>
    <m/>
    <m/>
    <m/>
    <m/>
    <m/>
    <m/>
    <m/>
    <m/>
    <m/>
    <m/>
    <n v="0"/>
    <n v="0"/>
    <n v="0"/>
  </r>
  <r>
    <s v="174B/2019"/>
    <d v="2019-04-20T00:00:00"/>
    <s v="THANH THÚY"/>
    <s v="VL01"/>
    <x v="39"/>
    <x v="96"/>
    <s v="TARRANGO"/>
    <m/>
    <s v="16.18"/>
    <n v="200"/>
    <s v="CL2019"/>
    <m/>
    <n v="100"/>
    <n v="20000"/>
    <x v="89"/>
    <n v="184000000"/>
    <x v="2"/>
    <d v="2019-09-01T00:00:00"/>
    <d v="2019-09-29T00:00:00"/>
    <d v="2019-09-29T00:00:00"/>
    <s v="TẾT"/>
    <m/>
    <m/>
    <m/>
    <m/>
    <m/>
    <m/>
    <m/>
    <m/>
    <m/>
    <m/>
    <m/>
    <n v="0"/>
    <n v="20000"/>
    <n v="184000000"/>
  </r>
  <r>
    <s v="174B/2019"/>
    <d v="2019-04-20T00:00:00"/>
    <s v="THANH THÚY"/>
    <s v="VL01"/>
    <x v="39"/>
    <x v="77"/>
    <s v="SEDONA"/>
    <m/>
    <s v="20.22"/>
    <n v="125"/>
    <s v="NL2018"/>
    <m/>
    <n v="80"/>
    <n v="10000"/>
    <x v="22"/>
    <n v="109000000"/>
    <x v="2"/>
    <d v="2019-09-01T00:00:00"/>
    <d v="2019-09-29T00:00:00"/>
    <d v="2019-09-29T00:00:00"/>
    <s v="TẾT"/>
    <m/>
    <m/>
    <m/>
    <m/>
    <m/>
    <m/>
    <m/>
    <m/>
    <m/>
    <m/>
    <m/>
    <n v="0"/>
    <n v="10000"/>
    <n v="109000000"/>
  </r>
  <r>
    <s v="86B/2019"/>
    <d v="2019-03-04T00:00:00"/>
    <s v="THANH THÚY"/>
    <s v="MH02"/>
    <x v="40"/>
    <x v="29"/>
    <s v="MANISSA"/>
    <m/>
    <s v="16.18"/>
    <n v="200"/>
    <s v="NL2018"/>
    <m/>
    <n v="70"/>
    <n v="14000"/>
    <x v="45"/>
    <n v="93800000"/>
    <x v="0"/>
    <s v="29-Feb-19"/>
    <d v="2019-04-03T00:00:00"/>
    <d v="2019-04-03T00:00:00"/>
    <s v="30/2AL"/>
    <s v="CONT 16/2019"/>
    <m/>
    <m/>
    <d v="2019-04-02T00:00:00"/>
    <n v="14000"/>
    <m/>
    <m/>
    <m/>
    <m/>
    <m/>
    <m/>
    <n v="14000"/>
    <n v="0"/>
    <n v="0"/>
  </r>
  <r>
    <s v="86B/2019"/>
    <d v="2019-03-04T00:00:00"/>
    <s v="THANH THÚY"/>
    <s v="MH02"/>
    <x v="40"/>
    <x v="39"/>
    <s v="MANISSA"/>
    <s v="PR"/>
    <s v="16.18"/>
    <n v="200"/>
    <s v="NL2018"/>
    <m/>
    <n v="5"/>
    <n v="1000"/>
    <x v="45"/>
    <n v="6700000"/>
    <x v="0"/>
    <s v="29-Feb-19"/>
    <d v="2019-04-03T00:00:00"/>
    <d v="2019-04-03T00:00:00"/>
    <s v="30/2AL"/>
    <m/>
    <m/>
    <m/>
    <d v="2019-04-02T00:00:00"/>
    <n v="1000"/>
    <m/>
    <m/>
    <m/>
    <m/>
    <m/>
    <m/>
    <n v="1000"/>
    <n v="0"/>
    <n v="0"/>
  </r>
  <r>
    <s v="86B/2019"/>
    <d v="2019-03-04T00:00:00"/>
    <s v="THANH THÚY"/>
    <s v="MH02"/>
    <x v="40"/>
    <x v="29"/>
    <s v="MANISSA"/>
    <m/>
    <s v="16.18"/>
    <n v="200"/>
    <s v="NL2018"/>
    <s v="dlw"/>
    <n v="50"/>
    <n v="10000"/>
    <x v="90"/>
    <n v="67850000"/>
    <x v="0"/>
    <d v="2019-04-17T00:00:00"/>
    <d v="2019-05-21T00:00:00"/>
    <d v="2019-05-21T00:00:00"/>
    <s v="17/4AL"/>
    <m/>
    <m/>
    <m/>
    <d v="2019-05-20T00:00:00"/>
    <n v="10000"/>
    <m/>
    <m/>
    <m/>
    <m/>
    <m/>
    <m/>
    <n v="10000"/>
    <n v="0"/>
    <n v="0"/>
  </r>
  <r>
    <s v="86B/2019"/>
    <d v="2019-03-04T00:00:00"/>
    <s v="THANH THÚY"/>
    <s v="MH02"/>
    <x v="40"/>
    <x v="29"/>
    <s v="MANISSA"/>
    <m/>
    <s v="16.18"/>
    <n v="200"/>
    <s v="NL2018"/>
    <m/>
    <n v="125"/>
    <n v="25000"/>
    <x v="45"/>
    <n v="167500000"/>
    <x v="0"/>
    <d v="2019-03-15T00:00:00"/>
    <d v="2019-04-19T00:00:00"/>
    <d v="2019-04-19T00:00:00"/>
    <s v="15/3AL"/>
    <s v="CONT 27/2019"/>
    <m/>
    <m/>
    <d v="2019-04-23T00:00:00"/>
    <n v="25000"/>
    <m/>
    <m/>
    <m/>
    <m/>
    <m/>
    <m/>
    <n v="25000"/>
    <n v="0"/>
    <n v="0"/>
  </r>
  <r>
    <s v="86B/2019"/>
    <d v="2019-03-04T00:00:00"/>
    <s v="THANH THÚY"/>
    <s v="MH02"/>
    <x v="40"/>
    <x v="29"/>
    <s v="MANISSA DLW"/>
    <m/>
    <s v="16.18"/>
    <n v="200"/>
    <s v="NL2018"/>
    <m/>
    <n v="150"/>
    <n v="30000"/>
    <x v="91"/>
    <n v="204900000"/>
    <x v="0"/>
    <d v="2019-04-29T00:00:00"/>
    <d v="2019-06-02T00:00:00"/>
    <d v="2019-06-02T00:00:00"/>
    <s v="29/4AL"/>
    <m/>
    <m/>
    <m/>
    <d v="2019-06-10T00:00:00"/>
    <n v="30000"/>
    <m/>
    <m/>
    <m/>
    <m/>
    <m/>
    <m/>
    <n v="30000"/>
    <n v="0"/>
    <n v="0"/>
  </r>
  <r>
    <s v="86B/2019"/>
    <d v="2019-03-04T00:00:00"/>
    <s v="THANH THÚY"/>
    <s v="MH02"/>
    <x v="40"/>
    <x v="29"/>
    <s v="MANISSA"/>
    <m/>
    <s v="16.18"/>
    <n v="200"/>
    <s v="NL2018"/>
    <m/>
    <n v="100"/>
    <n v="20000"/>
    <x v="92"/>
    <n v="138300000"/>
    <x v="3"/>
    <d v="2019-06-15T00:00:00"/>
    <d v="2019-07-17T00:00:00"/>
    <d v="2019-07-17T00:00:00"/>
    <s v="29/5AL"/>
    <m/>
    <m/>
    <m/>
    <m/>
    <n v="0"/>
    <m/>
    <m/>
    <m/>
    <m/>
    <m/>
    <m/>
    <n v="0"/>
    <n v="20000"/>
    <n v="138300000"/>
  </r>
  <r>
    <s v="86B/2019"/>
    <d v="2019-06-11T00:00:00"/>
    <s v="THANH THÚY"/>
    <s v="MH02"/>
    <x v="40"/>
    <x v="29"/>
    <s v="MANISSA"/>
    <m/>
    <s v="16.18"/>
    <n v="200"/>
    <s v="NL2018"/>
    <m/>
    <n v="200"/>
    <n v="40000"/>
    <x v="93"/>
    <n v="0"/>
    <x v="2"/>
    <m/>
    <m/>
    <m/>
    <m/>
    <m/>
    <m/>
    <m/>
    <m/>
    <m/>
    <m/>
    <m/>
    <m/>
    <m/>
    <m/>
    <m/>
    <n v="0"/>
    <n v="40000"/>
    <n v="0"/>
  </r>
  <r>
    <s v="86B/2019"/>
    <d v="2019-03-04T00:00:00"/>
    <s v="THANH THÚY"/>
    <s v="MH02"/>
    <x v="40"/>
    <x v="28"/>
    <s v="YELLOWEEN"/>
    <m/>
    <s v="14.16"/>
    <n v="300"/>
    <s v="NL2018"/>
    <m/>
    <n v="0"/>
    <n v="0"/>
    <x v="25"/>
    <n v="0"/>
    <x v="1"/>
    <m/>
    <s v=""/>
    <s v=""/>
    <s v="chưa có KH trồng, chưa phí kho lạnh"/>
    <m/>
    <m/>
    <m/>
    <m/>
    <n v="0"/>
    <m/>
    <m/>
    <m/>
    <m/>
    <m/>
    <m/>
    <n v="0"/>
    <n v="0"/>
    <n v="0"/>
  </r>
  <r>
    <s v="149B/2019"/>
    <d v="2019-03-04T00:00:00"/>
    <s v="THANH THÚY"/>
    <s v="MH02"/>
    <x v="40"/>
    <x v="9"/>
    <s v="MANISSA"/>
    <m/>
    <s v="22.24"/>
    <n v="100"/>
    <s v="NL2018"/>
    <m/>
    <n v="243"/>
    <n v="24300"/>
    <x v="10"/>
    <n v="374220000"/>
    <x v="2"/>
    <d v="2019-09-01T00:00:00"/>
    <d v="2019-09-29T00:00:00"/>
    <d v="2019-09-29T00:00:00"/>
    <s v="TẾT"/>
    <m/>
    <m/>
    <m/>
    <m/>
    <m/>
    <m/>
    <m/>
    <m/>
    <m/>
    <m/>
    <m/>
    <n v="0"/>
    <n v="24300"/>
    <n v="374220000"/>
  </r>
  <r>
    <s v="149B/2019"/>
    <d v="2019-03-04T00:00:00"/>
    <s v="THANH THÚY"/>
    <s v="MH02"/>
    <x v="40"/>
    <x v="27"/>
    <s v="MANISSA"/>
    <m/>
    <s v="24+"/>
    <n v="75"/>
    <s v="NL2018"/>
    <m/>
    <n v="208.46666666666667"/>
    <n v="15635"/>
    <x v="50"/>
    <n v="253287000"/>
    <x v="2"/>
    <d v="2019-09-01T00:00:00"/>
    <d v="2019-09-29T00:00:00"/>
    <d v="2019-09-29T00:00:00"/>
    <s v="TẾT"/>
    <m/>
    <m/>
    <m/>
    <m/>
    <m/>
    <m/>
    <m/>
    <m/>
    <m/>
    <m/>
    <m/>
    <n v="0"/>
    <n v="15635"/>
    <n v="253287000"/>
  </r>
  <r>
    <s v="149B/2019"/>
    <d v="2019-03-04T00:00:00"/>
    <s v="THANH THÚY"/>
    <s v="MH02"/>
    <x v="40"/>
    <x v="44"/>
    <s v="ROBINA"/>
    <m/>
    <s v="24.26"/>
    <n v="80"/>
    <s v="NL2018"/>
    <m/>
    <n v="188"/>
    <n v="15040"/>
    <x v="10"/>
    <n v="231616000"/>
    <x v="2"/>
    <d v="2019-09-01T00:00:00"/>
    <d v="2019-09-29T00:00:00"/>
    <d v="2019-09-29T00:00:00"/>
    <s v="TẾT"/>
    <m/>
    <m/>
    <m/>
    <m/>
    <m/>
    <m/>
    <m/>
    <m/>
    <m/>
    <m/>
    <m/>
    <n v="0"/>
    <n v="15040"/>
    <n v="231616000"/>
  </r>
  <r>
    <s v="149B/2019"/>
    <d v="2019-03-04T00:00:00"/>
    <s v="THANH THÚY"/>
    <s v="MH02"/>
    <x v="40"/>
    <x v="14"/>
    <s v="TARRANGO"/>
    <m/>
    <s v="20.22"/>
    <n v="125"/>
    <s v="NL2018"/>
    <m/>
    <n v="120"/>
    <n v="15000"/>
    <x v="36"/>
    <n v="165000000"/>
    <x v="2"/>
    <d v="2019-09-01T00:00:00"/>
    <d v="2019-09-29T00:00:00"/>
    <d v="2019-09-29T00:00:00"/>
    <s v="TẾT"/>
    <m/>
    <m/>
    <m/>
    <m/>
    <m/>
    <m/>
    <m/>
    <m/>
    <m/>
    <m/>
    <m/>
    <n v="0"/>
    <n v="15000"/>
    <n v="165000000"/>
  </r>
  <r>
    <s v="184B/2019"/>
    <d v="2019-05-21T00:00:00"/>
    <s v="THANH THÚY"/>
    <s v="TH11"/>
    <x v="41"/>
    <x v="64"/>
    <s v="TARRANGO"/>
    <m/>
    <s v="18.20"/>
    <n v="150"/>
    <s v="NL2018"/>
    <m/>
    <n v="20"/>
    <n v="3000"/>
    <x v="94"/>
    <n v="26700000"/>
    <x v="3"/>
    <d v="2019-06-15T00:00:00"/>
    <d v="2019-07-17T00:00:00"/>
    <d v="2019-07-17T00:00:00"/>
    <m/>
    <m/>
    <m/>
    <m/>
    <m/>
    <m/>
    <m/>
    <m/>
    <m/>
    <m/>
    <m/>
    <m/>
    <n v="0"/>
    <n v="3000"/>
    <n v="26700000"/>
  </r>
  <r>
    <s v="184B/2019"/>
    <d v="2019-05-21T00:00:00"/>
    <s v="THANH THÚY"/>
    <s v="TH11"/>
    <x v="41"/>
    <x v="64"/>
    <s v="TARRANGO"/>
    <m/>
    <s v="18.20"/>
    <n v="150"/>
    <s v="NL2018"/>
    <m/>
    <n v="20"/>
    <n v="3000"/>
    <x v="95"/>
    <n v="27300000"/>
    <x v="2"/>
    <d v="2019-07-01T00:00:00"/>
    <d v="2019-08-01T00:00:00"/>
    <d v="2019-08-01T00:00:00"/>
    <m/>
    <m/>
    <m/>
    <m/>
    <m/>
    <m/>
    <m/>
    <m/>
    <m/>
    <m/>
    <m/>
    <m/>
    <n v="0"/>
    <n v="3000"/>
    <n v="27300000"/>
  </r>
  <r>
    <s v="184B/2019"/>
    <d v="2019-05-21T00:00:00"/>
    <s v="THANH THÚY"/>
    <s v="TH11"/>
    <x v="41"/>
    <x v="64"/>
    <s v="TARRANGO"/>
    <m/>
    <s v="18.20"/>
    <n v="150"/>
    <s v="NL2018"/>
    <m/>
    <n v="20"/>
    <n v="3000"/>
    <x v="95"/>
    <n v="27300000"/>
    <x v="2"/>
    <d v="2019-07-20T00:00:00"/>
    <d v="2019-08-20T00:00:00"/>
    <d v="2019-08-20T00:00:00"/>
    <m/>
    <m/>
    <m/>
    <m/>
    <m/>
    <m/>
    <m/>
    <m/>
    <m/>
    <m/>
    <m/>
    <m/>
    <n v="0"/>
    <n v="3000"/>
    <n v="27300000"/>
  </r>
  <r>
    <s v="184B/2019"/>
    <d v="2019-05-21T00:00:00"/>
    <s v="THANH THÚY"/>
    <s v="TH11"/>
    <x v="41"/>
    <x v="64"/>
    <s v="TARRANGO"/>
    <m/>
    <s v="18.20"/>
    <n v="150"/>
    <s v="NL2018"/>
    <m/>
    <n v="20"/>
    <n v="3000"/>
    <x v="89"/>
    <n v="27600000"/>
    <x v="2"/>
    <d v="2019-08-01T00:00:00"/>
    <d v="2019-08-30T00:00:00"/>
    <d v="2019-08-30T00:00:00"/>
    <m/>
    <m/>
    <m/>
    <m/>
    <m/>
    <m/>
    <m/>
    <m/>
    <m/>
    <m/>
    <m/>
    <m/>
    <n v="0"/>
    <n v="3000"/>
    <n v="27600000"/>
  </r>
  <r>
    <s v="65B/2019"/>
    <d v="2019-02-21T00:00:00"/>
    <s v="THANH THÚY"/>
    <s v="TH11"/>
    <x v="41"/>
    <x v="15"/>
    <s v="CONCADOR"/>
    <m/>
    <s v="16.18"/>
    <n v="200"/>
    <s v="NL2018"/>
    <m/>
    <n v="15"/>
    <n v="3000"/>
    <x v="96"/>
    <n v="15270000"/>
    <x v="0"/>
    <d v="2019-04-17T00:00:00"/>
    <d v="2019-05-21T00:00:00"/>
    <d v="2019-05-21T00:00:00"/>
    <s v="15/3AL"/>
    <s v="CONT 21/2019"/>
    <m/>
    <m/>
    <d v="2019-06-03T00:00:00"/>
    <n v="3000"/>
    <m/>
    <m/>
    <m/>
    <m/>
    <m/>
    <m/>
    <n v="3000"/>
    <n v="0"/>
    <n v="0"/>
  </r>
  <r>
    <s v="65B/2019"/>
    <d v="2019-02-21T00:00:00"/>
    <s v="THANH THÚY"/>
    <s v="TH11"/>
    <x v="41"/>
    <x v="34"/>
    <s v="TARRANGO"/>
    <m/>
    <s v="16.18"/>
    <n v="200"/>
    <s v="NL2018"/>
    <m/>
    <n v="20"/>
    <n v="4000"/>
    <x v="97"/>
    <n v="22360000"/>
    <x v="0"/>
    <d v="2019-03-15T00:00:00"/>
    <d v="2019-04-19T00:00:00"/>
    <d v="2019-04-19T00:00:00"/>
    <s v="15/3AL"/>
    <s v="CONT 26/2019"/>
    <m/>
    <m/>
    <d v="2019-06-03T00:00:00"/>
    <n v="3000"/>
    <d v="2019-06-11T00:00:00"/>
    <n v="1000"/>
    <m/>
    <m/>
    <m/>
    <m/>
    <n v="4000"/>
    <n v="0"/>
    <n v="0"/>
  </r>
  <r>
    <s v="65B/2019"/>
    <d v="2019-02-21T00:00:00"/>
    <s v="THANH THÚY"/>
    <s v="TH11"/>
    <x v="41"/>
    <x v="4"/>
    <s v="TEBALDI"/>
    <m/>
    <s v="14.16"/>
    <n v="300"/>
    <s v="NL2018"/>
    <m/>
    <n v="0"/>
    <n v="0"/>
    <x v="98"/>
    <n v="0"/>
    <x v="1"/>
    <d v="2019-04-17T00:00:00"/>
    <d v="2019-05-21T00:00:00"/>
    <d v="2019-05-21T00:00:00"/>
    <s v="15/3AL"/>
    <s v="CONT 24/2019"/>
    <m/>
    <m/>
    <m/>
    <n v="0"/>
    <m/>
    <m/>
    <m/>
    <m/>
    <m/>
    <m/>
    <n v="0"/>
    <n v="0"/>
    <n v="0"/>
  </r>
  <r>
    <s v="184B/2019"/>
    <d v="2019-05-21T00:00:00"/>
    <s v="THANH THÚY"/>
    <s v="TH11"/>
    <x v="41"/>
    <x v="33"/>
    <s v="PARAGUAY"/>
    <m/>
    <s v="16.18"/>
    <n v="175"/>
    <s v="NL2018"/>
    <m/>
    <n v="23"/>
    <n v="4025"/>
    <x v="9"/>
    <n v="24955000"/>
    <x v="4"/>
    <d v="2019-05-05T00:00:00"/>
    <d v="2019-06-07T00:00:00"/>
    <d v="2019-06-07T00:00:00"/>
    <m/>
    <m/>
    <m/>
    <m/>
    <m/>
    <m/>
    <m/>
    <m/>
    <m/>
    <m/>
    <m/>
    <m/>
    <n v="0"/>
    <n v="4025"/>
    <n v="24955000"/>
  </r>
  <r>
    <s v="184B/2019"/>
    <d v="2019-05-21T00:00:00"/>
    <s v="THANH THÚY"/>
    <s v="TH11"/>
    <x v="41"/>
    <x v="56"/>
    <s v="OUTBACK"/>
    <m/>
    <s v="14.16"/>
    <n v="300"/>
    <s v="NL2018"/>
    <m/>
    <n v="10"/>
    <n v="3000"/>
    <x v="11"/>
    <n v="16200000"/>
    <x v="4"/>
    <d v="2019-05-05T00:00:00"/>
    <d v="2019-06-07T00:00:00"/>
    <d v="2019-06-07T00:00:00"/>
    <m/>
    <m/>
    <m/>
    <m/>
    <m/>
    <m/>
    <m/>
    <m/>
    <m/>
    <m/>
    <m/>
    <m/>
    <n v="0"/>
    <n v="3000"/>
    <n v="16200000"/>
  </r>
  <r>
    <s v="184B/2019"/>
    <d v="2019-05-21T00:00:00"/>
    <s v="THANH THÚY"/>
    <s v="TH11"/>
    <x v="41"/>
    <x v="65"/>
    <s v="ROBINA"/>
    <m/>
    <s v="14.16"/>
    <n v="300"/>
    <s v="NL2018"/>
    <m/>
    <n v="10"/>
    <n v="3000"/>
    <x v="6"/>
    <n v="11400000"/>
    <x v="4"/>
    <d v="2019-05-05T00:00:00"/>
    <d v="2019-06-07T00:00:00"/>
    <d v="2019-06-07T00:00:00"/>
    <m/>
    <m/>
    <m/>
    <m/>
    <m/>
    <m/>
    <m/>
    <m/>
    <m/>
    <m/>
    <m/>
    <m/>
    <n v="0"/>
    <n v="3000"/>
    <n v="11400000"/>
  </r>
  <r>
    <s v="65B/2019"/>
    <d v="2019-06-10T00:00:00"/>
    <s v="THANH THÚY"/>
    <s v="TH11"/>
    <x v="41"/>
    <x v="4"/>
    <s v="TEBALDI"/>
    <m/>
    <s v="14.16"/>
    <n v="300"/>
    <s v="NL2018"/>
    <m/>
    <n v="7"/>
    <n v="2100"/>
    <x v="99"/>
    <n v="9030000"/>
    <x v="0"/>
    <d v="2019-05-05T00:00:00"/>
    <d v="2019-06-07T00:00:00"/>
    <d v="2019-06-07T00:00:00"/>
    <m/>
    <m/>
    <m/>
    <m/>
    <d v="2019-06-11T00:00:00"/>
    <n v="2100"/>
    <m/>
    <m/>
    <m/>
    <m/>
    <m/>
    <m/>
    <n v="2100"/>
    <n v="0"/>
    <n v="0"/>
  </r>
  <r>
    <s v="184B/2019"/>
    <d v="2019-05-21T00:00:00"/>
    <s v="THANH THÚY"/>
    <s v="TH11"/>
    <x v="41"/>
    <x v="47"/>
    <s v="ROBINA"/>
    <m/>
    <s v="18.20"/>
    <n v="150"/>
    <s v="NL2018"/>
    <m/>
    <n v="34"/>
    <n v="5100"/>
    <x v="27"/>
    <n v="40800000"/>
    <x v="3"/>
    <d v="2019-05-18T00:00:00"/>
    <d v="2019-06-20T00:00:00"/>
    <d v="2019-06-20T00:00:00"/>
    <m/>
    <m/>
    <m/>
    <m/>
    <m/>
    <m/>
    <m/>
    <m/>
    <m/>
    <m/>
    <m/>
    <m/>
    <n v="0"/>
    <n v="5100"/>
    <n v="40800000"/>
  </r>
  <r>
    <s v="184B/2019"/>
    <d v="2019-05-21T00:00:00"/>
    <s v="THANH THÚY"/>
    <s v="TH11"/>
    <x v="41"/>
    <x v="28"/>
    <s v="YELLOWEEN"/>
    <m/>
    <s v="14.16"/>
    <n v="300"/>
    <s v="NL2018"/>
    <m/>
    <n v="10"/>
    <n v="3000"/>
    <x v="56"/>
    <n v="11700000"/>
    <x v="3"/>
    <d v="2019-05-18T00:00:00"/>
    <d v="2019-06-20T00:00:00"/>
    <d v="2019-06-20T00:00:00"/>
    <m/>
    <m/>
    <m/>
    <m/>
    <m/>
    <m/>
    <m/>
    <m/>
    <m/>
    <m/>
    <m/>
    <m/>
    <n v="0"/>
    <n v="3000"/>
    <n v="11700000"/>
  </r>
  <r>
    <s v="65B/2019"/>
    <d v="2019-06-01T00:00:00"/>
    <s v="THANH THÚY"/>
    <s v="TH11"/>
    <x v="41"/>
    <x v="13"/>
    <s v="AMATERAS"/>
    <m/>
    <s v="14.16"/>
    <n v="275"/>
    <s v="NL2018"/>
    <m/>
    <n v="0"/>
    <n v="0"/>
    <x v="13"/>
    <n v="0"/>
    <x v="1"/>
    <d v="2019-05-18T00:00:00"/>
    <d v="2019-06-20T00:00:00"/>
    <d v="2019-06-20T00:00:00"/>
    <m/>
    <m/>
    <m/>
    <m/>
    <m/>
    <m/>
    <m/>
    <m/>
    <m/>
    <m/>
    <m/>
    <m/>
    <n v="0"/>
    <n v="0"/>
    <n v="0"/>
  </r>
  <r>
    <s v="184B/2019"/>
    <d v="2019-05-21T00:00:00"/>
    <s v="THANH THÚY"/>
    <s v="TH11"/>
    <x v="41"/>
    <x v="25"/>
    <s v="CONCADOR"/>
    <m/>
    <s v="18.20"/>
    <n v="150"/>
    <s v="NL2018"/>
    <m/>
    <n v="20"/>
    <n v="3000"/>
    <x v="74"/>
    <n v="22500000"/>
    <x v="3"/>
    <d v="2019-06-15T00:00:00"/>
    <d v="2019-07-17T00:00:00"/>
    <d v="2019-07-17T00:00:00"/>
    <m/>
    <m/>
    <m/>
    <m/>
    <m/>
    <m/>
    <m/>
    <m/>
    <m/>
    <m/>
    <m/>
    <m/>
    <n v="0"/>
    <n v="3000"/>
    <n v="22500000"/>
  </r>
  <r>
    <s v="184B/2019"/>
    <d v="2019-05-21T00:00:00"/>
    <s v="THANH THÚY"/>
    <s v="TH11"/>
    <x v="41"/>
    <x v="47"/>
    <s v="ROBINA"/>
    <m/>
    <s v="18.20"/>
    <n v="150"/>
    <s v="NL2018"/>
    <m/>
    <n v="20"/>
    <n v="3000"/>
    <x v="27"/>
    <n v="24000000"/>
    <x v="3"/>
    <d v="2019-06-15T00:00:00"/>
    <d v="2019-07-17T00:00:00"/>
    <d v="2019-07-17T00:00:00"/>
    <m/>
    <m/>
    <m/>
    <m/>
    <m/>
    <m/>
    <m/>
    <m/>
    <m/>
    <m/>
    <m/>
    <m/>
    <n v="0"/>
    <n v="3000"/>
    <n v="24000000"/>
  </r>
  <r>
    <s v="184B/2019"/>
    <d v="2019-05-21T00:00:00"/>
    <s v="THANH THÚY"/>
    <s v="TH11"/>
    <x v="41"/>
    <x v="8"/>
    <s v="TEBALDI"/>
    <m/>
    <s v="16.18"/>
    <n v="200"/>
    <s v="NL2018"/>
    <m/>
    <n v="10"/>
    <n v="2000"/>
    <x v="100"/>
    <n v="11800000"/>
    <x v="3"/>
    <d v="2019-06-15T00:00:00"/>
    <d v="2019-07-17T00:00:00"/>
    <d v="2019-07-17T00:00:00"/>
    <m/>
    <m/>
    <m/>
    <m/>
    <m/>
    <m/>
    <m/>
    <m/>
    <m/>
    <m/>
    <m/>
    <m/>
    <n v="0"/>
    <n v="2000"/>
    <n v="11800000"/>
  </r>
  <r>
    <s v="184B/2019"/>
    <d v="2019-05-21T00:00:00"/>
    <s v="THANH THÚY"/>
    <s v="TH11"/>
    <x v="41"/>
    <x v="28"/>
    <s v="YELLOWEEN"/>
    <m/>
    <s v="14.16"/>
    <n v="300"/>
    <s v="NL2018"/>
    <m/>
    <n v="7"/>
    <n v="2100"/>
    <x v="56"/>
    <n v="8190000"/>
    <x v="3"/>
    <d v="2019-06-15T00:00:00"/>
    <d v="2019-07-17T00:00:00"/>
    <d v="2019-07-17T00:00:00"/>
    <m/>
    <m/>
    <m/>
    <m/>
    <m/>
    <m/>
    <m/>
    <m/>
    <m/>
    <m/>
    <m/>
    <m/>
    <n v="0"/>
    <n v="2100"/>
    <n v="8190000"/>
  </r>
  <r>
    <s v="184B/2019"/>
    <d v="2019-05-21T00:00:00"/>
    <s v="THANH THÚY"/>
    <s v="TH11"/>
    <x v="41"/>
    <x v="25"/>
    <s v="CONCADOR"/>
    <m/>
    <s v="18.20"/>
    <n v="150"/>
    <s v="NL2018"/>
    <m/>
    <n v="20"/>
    <n v="3000"/>
    <x v="5"/>
    <n v="23100000"/>
    <x v="2"/>
    <d v="2019-07-01T00:00:00"/>
    <d v="2019-08-01T00:00:00"/>
    <d v="2019-08-01T00:00:00"/>
    <m/>
    <m/>
    <m/>
    <m/>
    <m/>
    <m/>
    <m/>
    <m/>
    <m/>
    <m/>
    <m/>
    <m/>
    <n v="0"/>
    <n v="3000"/>
    <n v="23100000"/>
  </r>
  <r>
    <s v="184B/2019"/>
    <d v="2019-05-21T00:00:00"/>
    <s v="THANH THÚY"/>
    <s v="TH11"/>
    <x v="41"/>
    <x v="47"/>
    <s v="ROBINA"/>
    <m/>
    <s v="18.20"/>
    <n v="150"/>
    <s v="NL2018"/>
    <m/>
    <n v="20"/>
    <n v="3000"/>
    <x v="88"/>
    <n v="24600000"/>
    <x v="2"/>
    <d v="2019-07-01T00:00:00"/>
    <d v="2019-08-01T00:00:00"/>
    <d v="2019-08-01T00:00:00"/>
    <m/>
    <m/>
    <m/>
    <m/>
    <m/>
    <m/>
    <m/>
    <m/>
    <m/>
    <m/>
    <m/>
    <m/>
    <n v="0"/>
    <n v="3000"/>
    <n v="24600000"/>
  </r>
  <r>
    <s v="184B/2019"/>
    <d v="2019-05-21T00:00:00"/>
    <s v="THANH THÚY"/>
    <s v="TH11"/>
    <x v="41"/>
    <x v="8"/>
    <s v="TEBALDI"/>
    <m/>
    <s v="16.18"/>
    <n v="200"/>
    <s v="NL2018"/>
    <m/>
    <n v="10"/>
    <n v="2000"/>
    <x v="20"/>
    <n v="12200000"/>
    <x v="2"/>
    <d v="2019-07-01T00:00:00"/>
    <d v="2019-08-01T00:00:00"/>
    <d v="2019-08-01T00:00:00"/>
    <m/>
    <m/>
    <m/>
    <m/>
    <m/>
    <m/>
    <m/>
    <m/>
    <m/>
    <m/>
    <m/>
    <m/>
    <n v="0"/>
    <n v="2000"/>
    <n v="12200000"/>
  </r>
  <r>
    <s v="184B/2019"/>
    <d v="2019-05-21T00:00:00"/>
    <s v="THANH THÚY"/>
    <s v="TH11"/>
    <x v="41"/>
    <x v="28"/>
    <s v="YELLOWEEN"/>
    <m/>
    <s v="14.16"/>
    <n v="300"/>
    <s v="NL2018"/>
    <m/>
    <n v="7"/>
    <n v="2100"/>
    <x v="57"/>
    <n v="8400000"/>
    <x v="2"/>
    <d v="2019-07-01T00:00:00"/>
    <d v="2019-08-01T00:00:00"/>
    <d v="2019-08-01T00:00:00"/>
    <m/>
    <m/>
    <m/>
    <m/>
    <m/>
    <m/>
    <m/>
    <m/>
    <m/>
    <m/>
    <m/>
    <m/>
    <n v="0"/>
    <n v="2100"/>
    <n v="8400000"/>
  </r>
  <r>
    <s v="184B/2019"/>
    <d v="2019-05-21T00:00:00"/>
    <s v="THANH THÚY"/>
    <s v="TH11"/>
    <x v="41"/>
    <x v="47"/>
    <s v="ROBINA"/>
    <m/>
    <s v="18.20"/>
    <n v="150"/>
    <s v="NL2018"/>
    <m/>
    <n v="20"/>
    <n v="3000"/>
    <x v="88"/>
    <n v="24600000"/>
    <x v="2"/>
    <d v="2019-07-20T00:00:00"/>
    <d v="2019-08-20T00:00:00"/>
    <d v="2019-08-20T00:00:00"/>
    <m/>
    <m/>
    <m/>
    <m/>
    <m/>
    <m/>
    <m/>
    <m/>
    <m/>
    <m/>
    <m/>
    <m/>
    <n v="0"/>
    <n v="3000"/>
    <n v="24600000"/>
  </r>
  <r>
    <s v="184B/2019"/>
    <d v="2019-05-21T00:00:00"/>
    <s v="THANH THÚY"/>
    <s v="TH11"/>
    <x v="41"/>
    <x v="8"/>
    <s v="TEBALDI"/>
    <m/>
    <s v="16.18"/>
    <n v="200"/>
    <s v="NL2018"/>
    <m/>
    <n v="10"/>
    <n v="2000"/>
    <x v="20"/>
    <n v="12200000"/>
    <x v="2"/>
    <d v="2019-07-20T00:00:00"/>
    <d v="2019-08-20T00:00:00"/>
    <d v="2019-08-20T00:00:00"/>
    <m/>
    <m/>
    <m/>
    <m/>
    <m/>
    <m/>
    <m/>
    <m/>
    <m/>
    <m/>
    <m/>
    <m/>
    <n v="0"/>
    <n v="2000"/>
    <n v="12200000"/>
  </r>
  <r>
    <s v="184B/2019"/>
    <d v="2019-05-21T00:00:00"/>
    <s v="THANH THÚY"/>
    <s v="TH11"/>
    <x v="41"/>
    <x v="28"/>
    <s v="YELLOWEEN"/>
    <m/>
    <s v="14.16"/>
    <n v="300"/>
    <s v="NL2018"/>
    <m/>
    <n v="7"/>
    <n v="2100"/>
    <x v="57"/>
    <n v="8400000"/>
    <x v="2"/>
    <d v="2019-07-20T00:00:00"/>
    <d v="2019-08-20T00:00:00"/>
    <d v="2019-08-20T00:00:00"/>
    <m/>
    <m/>
    <m/>
    <m/>
    <m/>
    <m/>
    <m/>
    <m/>
    <m/>
    <m/>
    <m/>
    <m/>
    <n v="0"/>
    <n v="2100"/>
    <n v="8400000"/>
  </r>
  <r>
    <s v="184B/2019"/>
    <d v="2019-05-21T00:00:00"/>
    <s v="THANH THÚY"/>
    <s v="TH11"/>
    <x v="41"/>
    <x v="25"/>
    <s v="CONCADOR"/>
    <m/>
    <s v="18.20"/>
    <n v="150"/>
    <s v="NL2018"/>
    <m/>
    <n v="20"/>
    <n v="3000"/>
    <x v="101"/>
    <n v="23400000"/>
    <x v="2"/>
    <d v="2019-08-01T00:00:00"/>
    <d v="2019-08-30T00:00:00"/>
    <d v="2019-08-30T00:00:00"/>
    <m/>
    <m/>
    <m/>
    <m/>
    <m/>
    <m/>
    <m/>
    <m/>
    <m/>
    <m/>
    <m/>
    <m/>
    <n v="0"/>
    <n v="3000"/>
    <n v="23400000"/>
  </r>
  <r>
    <s v="184B/2019"/>
    <d v="2019-05-21T00:00:00"/>
    <s v="THANH THÚY"/>
    <s v="TH11"/>
    <x v="41"/>
    <x v="47"/>
    <s v="ROBINA"/>
    <m/>
    <s v="18.20"/>
    <n v="150"/>
    <s v="NL2018"/>
    <m/>
    <n v="20"/>
    <n v="3000"/>
    <x v="102"/>
    <n v="24900000"/>
    <x v="2"/>
    <d v="2019-08-01T00:00:00"/>
    <d v="2019-08-30T00:00:00"/>
    <d v="2019-08-30T00:00:00"/>
    <m/>
    <m/>
    <m/>
    <m/>
    <m/>
    <m/>
    <m/>
    <m/>
    <m/>
    <m/>
    <m/>
    <m/>
    <n v="0"/>
    <n v="3000"/>
    <n v="24900000"/>
  </r>
  <r>
    <s v="184B/2019"/>
    <d v="2019-05-21T00:00:00"/>
    <s v="THANH THÚY"/>
    <s v="TH11"/>
    <x v="41"/>
    <x v="8"/>
    <s v="TEBALDI"/>
    <m/>
    <s v="16.18"/>
    <n v="200"/>
    <s v="NL2018"/>
    <m/>
    <n v="10"/>
    <n v="2000"/>
    <x v="9"/>
    <n v="12400000"/>
    <x v="2"/>
    <d v="2019-08-01T00:00:00"/>
    <d v="2019-08-30T00:00:00"/>
    <d v="2019-08-30T00:00:00"/>
    <m/>
    <m/>
    <m/>
    <m/>
    <m/>
    <m/>
    <m/>
    <m/>
    <m/>
    <m/>
    <m/>
    <m/>
    <n v="0"/>
    <n v="2000"/>
    <n v="12400000"/>
  </r>
  <r>
    <s v="184B/2019"/>
    <d v="2019-05-21T00:00:00"/>
    <s v="THANH THÚY"/>
    <s v="TH11"/>
    <x v="41"/>
    <x v="28"/>
    <s v="YELLOWEEN"/>
    <m/>
    <s v="14.16"/>
    <n v="300"/>
    <s v="NL2018"/>
    <m/>
    <n v="7"/>
    <n v="2100"/>
    <x v="3"/>
    <n v="8610000"/>
    <x v="2"/>
    <d v="2019-08-01T00:00:00"/>
    <d v="2019-08-30T00:00:00"/>
    <d v="2019-08-30T00:00:00"/>
    <m/>
    <m/>
    <m/>
    <m/>
    <m/>
    <m/>
    <m/>
    <m/>
    <m/>
    <m/>
    <m/>
    <m/>
    <n v="0"/>
    <n v="2100"/>
    <n v="8610000"/>
  </r>
  <r>
    <s v="180B/2019"/>
    <d v="2019-05-10T00:00:00"/>
    <s v="THANH THÚY"/>
    <s v="TH11"/>
    <x v="41"/>
    <x v="14"/>
    <s v="TARRANGO"/>
    <m/>
    <s v="20.22"/>
    <n v="125"/>
    <s v="NL2018"/>
    <m/>
    <n v="80"/>
    <n v="10000"/>
    <x v="36"/>
    <n v="110000000"/>
    <x v="2"/>
    <d v="2019-09-01T00:00:00"/>
    <d v="2019-09-29T00:00:00"/>
    <d v="2019-09-29T00:00:00"/>
    <m/>
    <m/>
    <m/>
    <m/>
    <m/>
    <m/>
    <m/>
    <m/>
    <m/>
    <m/>
    <m/>
    <m/>
    <n v="0"/>
    <n v="10000"/>
    <n v="110000000"/>
  </r>
  <r>
    <s v="180B/2019"/>
    <d v="2019-05-10T00:00:00"/>
    <s v="THANH THÚY"/>
    <s v="TH11"/>
    <x v="41"/>
    <x v="16"/>
    <s v="ROBINA"/>
    <m/>
    <s v="20.22"/>
    <n v="125"/>
    <s v="NL2018"/>
    <m/>
    <n v="64"/>
    <n v="8000"/>
    <x v="16"/>
    <n v="85600000"/>
    <x v="2"/>
    <d v="2019-09-01T00:00:00"/>
    <d v="2019-09-29T00:00:00"/>
    <d v="2019-09-29T00:00:00"/>
    <m/>
    <m/>
    <m/>
    <m/>
    <m/>
    <m/>
    <m/>
    <m/>
    <m/>
    <m/>
    <m/>
    <m/>
    <n v="0"/>
    <n v="8000"/>
    <n v="85600000"/>
  </r>
  <r>
    <s v="180B/2019"/>
    <d v="2019-05-10T00:00:00"/>
    <s v="THANH THÚY"/>
    <s v="TH11"/>
    <x v="41"/>
    <x v="36"/>
    <s v="MANISSA"/>
    <m/>
    <s v="20.22"/>
    <n v="125"/>
    <s v="NL2018"/>
    <m/>
    <n v="64"/>
    <n v="8000"/>
    <x v="66"/>
    <n v="108800000"/>
    <x v="2"/>
    <d v="2019-09-01T00:00:00"/>
    <d v="2019-09-29T00:00:00"/>
    <d v="2019-09-29T00:00:00"/>
    <m/>
    <m/>
    <m/>
    <m/>
    <m/>
    <m/>
    <m/>
    <m/>
    <m/>
    <m/>
    <m/>
    <m/>
    <n v="0"/>
    <n v="8000"/>
    <n v="108800000"/>
  </r>
  <r>
    <s v="101A/2019"/>
    <d v="2019-03-11T00:00:00"/>
    <s v="KIỀU THY"/>
    <s v="NV01"/>
    <x v="42"/>
    <x v="90"/>
    <s v="CARBONERO"/>
    <m/>
    <n v="16.18"/>
    <s v="200"/>
    <s v="NL2018"/>
    <m/>
    <n v="50"/>
    <n v="10000"/>
    <x v="46"/>
    <n v="60000000"/>
    <x v="0"/>
    <d v="2019-04-17T00:00:00"/>
    <d v="2019-05-21T00:00:00"/>
    <d v="2019-05-21T00:00:00"/>
    <s v="30/3AL"/>
    <m/>
    <m/>
    <m/>
    <d v="2019-05-27T00:00:00"/>
    <n v="10000"/>
    <m/>
    <m/>
    <m/>
    <m/>
    <m/>
    <m/>
    <n v="10000"/>
    <n v="0"/>
    <n v="0"/>
  </r>
  <r>
    <s v="101A/2019"/>
    <d v="2019-03-11T00:00:00"/>
    <s v="KIỀU THY"/>
    <s v="NV01"/>
    <x v="42"/>
    <x v="97"/>
    <s v="LAKE CAREY"/>
    <m/>
    <n v="16.18"/>
    <s v="200"/>
    <s v="NL2018"/>
    <m/>
    <n v="100"/>
    <n v="20000"/>
    <x v="48"/>
    <n v="112000000"/>
    <x v="0"/>
    <d v="2019-04-17T00:00:00"/>
    <d v="2019-05-21T00:00:00"/>
    <d v="2019-05-21T00:00:00"/>
    <s v="15/4AL"/>
    <m/>
    <m/>
    <m/>
    <d v="2019-05-27T00:00:00"/>
    <n v="5000"/>
    <d v="2019-06-04T00:00:00"/>
    <s v="3000"/>
    <d v="2019-06-10T00:00:00"/>
    <s v="12000"/>
    <m/>
    <m/>
    <n v="20000"/>
    <n v="0"/>
    <n v="0"/>
  </r>
  <r>
    <s v="101A/2019"/>
    <d v="2019-05-13T00:00:00"/>
    <s v="KIỀU THY"/>
    <s v="NV01"/>
    <x v="42"/>
    <x v="80"/>
    <s v="PROFUNDO"/>
    <m/>
    <s v="14.16"/>
    <s v="300"/>
    <s v="NL2018"/>
    <m/>
    <n v="50"/>
    <n v="15000"/>
    <x v="18"/>
    <n v="75000000"/>
    <x v="4"/>
    <d v="2019-05-05T00:00:00"/>
    <d v="2019-06-07T00:00:00"/>
    <d v="2019-06-07T00:00:00"/>
    <m/>
    <m/>
    <m/>
    <m/>
    <d v="2019-06-17T00:00:00"/>
    <n v="6000"/>
    <m/>
    <m/>
    <m/>
    <m/>
    <m/>
    <m/>
    <n v="6000"/>
    <n v="9000"/>
    <n v="45000000"/>
  </r>
  <r>
    <s v="101A/2019"/>
    <d v="2019-03-11T00:00:00"/>
    <s v="KIỀU THY"/>
    <s v="NV01"/>
    <x v="42"/>
    <x v="22"/>
    <s v="ROBINA"/>
    <m/>
    <n v="16.18"/>
    <s v="200"/>
    <s v="NL2018"/>
    <m/>
    <n v="25"/>
    <n v="5000"/>
    <x v="77"/>
    <n v="24500000"/>
    <x v="0"/>
    <d v="2019-03-15T00:00:00"/>
    <d v="2019-04-19T00:00:00"/>
    <d v="2019-04-19T00:00:00"/>
    <s v="15/3AL"/>
    <s v="CONT 25/2019"/>
    <d v="2019-04-14T00:00:00"/>
    <m/>
    <d v="2019-04-17T00:00:00"/>
    <n v="5000"/>
    <m/>
    <m/>
    <m/>
    <m/>
    <m/>
    <m/>
    <n v="5000"/>
    <n v="0"/>
    <n v="0"/>
  </r>
  <r>
    <s v="101A/2019"/>
    <d v="2019-04-18T00:00:00"/>
    <s v="KIỀU THY"/>
    <s v="NV01"/>
    <x v="42"/>
    <x v="61"/>
    <s v="BACARDI"/>
    <m/>
    <s v="15.16"/>
    <s v="250"/>
    <s v="NL2018"/>
    <m/>
    <n v="48"/>
    <n v="12000"/>
    <x v="13"/>
    <n v="54000000"/>
    <x v="0"/>
    <d v="2019-03-15T00:00:00"/>
    <d v="2019-04-19T00:00:00"/>
    <d v="2019-04-19T00:00:00"/>
    <s v="15/3AL"/>
    <m/>
    <m/>
    <m/>
    <d v="2019-04-24T00:00:00"/>
    <n v="12000"/>
    <m/>
    <m/>
    <m/>
    <m/>
    <m/>
    <m/>
    <n v="12000"/>
    <n v="0"/>
    <n v="0"/>
  </r>
  <r>
    <s v="201A/2019"/>
    <d v="2019-04-19T00:00:00"/>
    <s v="KIỀU THY"/>
    <s v="NV01"/>
    <x v="42"/>
    <x v="98"/>
    <s v="CONCADOR NEWZELAND"/>
    <m/>
    <s v="18.20"/>
    <s v="150"/>
    <s v="NZ2019"/>
    <m/>
    <n v="54"/>
    <n v="8100"/>
    <x v="103"/>
    <n v="77760000"/>
    <x v="2"/>
    <d v="2019-09-01T00:00:00"/>
    <d v="2019-09-29T00:00:00"/>
    <d v="2019-09-29T00:00:00"/>
    <s v="TẾT"/>
    <m/>
    <m/>
    <m/>
    <m/>
    <m/>
    <m/>
    <m/>
    <m/>
    <m/>
    <m/>
    <m/>
    <n v="0"/>
    <n v="8100"/>
    <n v="77760000"/>
  </r>
  <r>
    <s v="201A/2019"/>
    <d v="2019-04-19T00:00:00"/>
    <s v="KIỀU THY"/>
    <s v="NV01"/>
    <x v="42"/>
    <x v="99"/>
    <s v="PROFUNDO CHILE"/>
    <m/>
    <s v="18.20"/>
    <s v="150"/>
    <s v="CL2019"/>
    <m/>
    <n v="34"/>
    <n v="5100"/>
    <x v="104"/>
    <n v="58650000"/>
    <x v="2"/>
    <d v="2019-09-01T00:00:00"/>
    <d v="2019-09-29T00:00:00"/>
    <d v="2019-09-29T00:00:00"/>
    <s v="TẾT"/>
    <m/>
    <m/>
    <m/>
    <m/>
    <m/>
    <m/>
    <m/>
    <m/>
    <m/>
    <m/>
    <m/>
    <n v="0"/>
    <n v="5100"/>
    <n v="58650000"/>
  </r>
  <r>
    <s v="201A/2019"/>
    <d v="2019-06-14T00:00:00"/>
    <s v="KIỀU THY"/>
    <s v="NV01"/>
    <x v="42"/>
    <x v="10"/>
    <s v="ARVANDRUD"/>
    <m/>
    <n v="16.18"/>
    <s v="200"/>
    <s v="NL2018"/>
    <m/>
    <n v="20"/>
    <n v="4000"/>
    <x v="11"/>
    <n v="21600000"/>
    <x v="4"/>
    <d v="2019-05-20T00:00:00"/>
    <d v="2019-06-22T00:00:00"/>
    <d v="2019-06-22T00:00:00"/>
    <m/>
    <m/>
    <m/>
    <m/>
    <m/>
    <m/>
    <m/>
    <m/>
    <m/>
    <m/>
    <m/>
    <m/>
    <n v="0"/>
    <n v="4000"/>
    <n v="21600000"/>
  </r>
  <r>
    <s v="184A/2019"/>
    <d v="2019-04-09T00:00:00"/>
    <s v="KIỀU THY"/>
    <s v="NT10"/>
    <x v="43"/>
    <x v="28"/>
    <s v="YELLOWEEN"/>
    <m/>
    <s v="14.16"/>
    <s v="300"/>
    <s v="NL2018"/>
    <m/>
    <n v="17"/>
    <n v="5100"/>
    <x v="57"/>
    <n v="20400000"/>
    <x v="1"/>
    <d v="2019-05-05T00:00:00"/>
    <d v="2019-06-07T00:00:00"/>
    <d v="2019-06-07T00:00:00"/>
    <s v="10/4AL"/>
    <m/>
    <m/>
    <m/>
    <m/>
    <m/>
    <m/>
    <m/>
    <m/>
    <m/>
    <m/>
    <m/>
    <n v="0"/>
    <n v="5100"/>
    <n v="20400000"/>
  </r>
  <r>
    <s v="184A/2019"/>
    <d v="2019-05-31T00:00:00"/>
    <s v="KIỀU THY"/>
    <s v="NT10"/>
    <x v="43"/>
    <x v="28"/>
    <s v="YELLOWEEN"/>
    <m/>
    <s v="14.16"/>
    <s v="300"/>
    <s v="NL2018"/>
    <m/>
    <n v="17"/>
    <n v="5100"/>
    <x v="56"/>
    <n v="19890000"/>
    <x v="0"/>
    <d v="2019-04-17T00:00:00"/>
    <d v="2019-05-21T00:00:00"/>
    <d v="2019-05-21T00:00:00"/>
    <m/>
    <m/>
    <m/>
    <m/>
    <d v="2019-06-08T00:00:00"/>
    <n v="5100"/>
    <m/>
    <m/>
    <m/>
    <m/>
    <m/>
    <m/>
    <n v="5100"/>
    <n v="0"/>
    <n v="0"/>
  </r>
  <r>
    <s v="184A/2019"/>
    <d v="2019-06-06T00:00:00"/>
    <s v="KIỀU THY"/>
    <s v="NT10"/>
    <x v="43"/>
    <x v="72"/>
    <s v="YELLOWEEN"/>
    <s v="DN"/>
    <s v="16.18"/>
    <s v="200"/>
    <s v="NL2018"/>
    <m/>
    <n v="0"/>
    <n v="0"/>
    <x v="46"/>
    <n v="0"/>
    <x v="1"/>
    <d v="2019-04-17T00:00:00"/>
    <d v="2019-05-21T00:00:00"/>
    <d v="2019-05-21T00:00:00"/>
    <m/>
    <m/>
    <m/>
    <m/>
    <m/>
    <m/>
    <m/>
    <m/>
    <m/>
    <m/>
    <m/>
    <m/>
    <n v="0"/>
    <n v="0"/>
    <n v="0"/>
  </r>
  <r>
    <s v="184A/2019"/>
    <d v="2019-05-10T00:00:00"/>
    <s v="KIỀU THY"/>
    <s v="NT10"/>
    <x v="43"/>
    <x v="29"/>
    <s v="MANISSA"/>
    <m/>
    <s v="16.18"/>
    <s v="200"/>
    <s v="NL2018"/>
    <m/>
    <n v="18"/>
    <n v="3600"/>
    <x v="33"/>
    <n v="25200000"/>
    <x v="4"/>
    <d v="2019-05-05T00:00:00"/>
    <d v="2019-06-07T00:00:00"/>
    <d v="2019-06-07T00:00:00"/>
    <s v="10/4AL"/>
    <m/>
    <m/>
    <m/>
    <m/>
    <m/>
    <m/>
    <m/>
    <m/>
    <m/>
    <m/>
    <m/>
    <n v="0"/>
    <n v="3600"/>
    <n v="25200000"/>
  </r>
  <r>
    <s v="184A/2019"/>
    <d v="2019-05-10T00:00:00"/>
    <s v="KIỀU THY"/>
    <s v="NT10"/>
    <x v="43"/>
    <x v="29"/>
    <s v="MANISSA"/>
    <m/>
    <s v="16.18"/>
    <s v="200"/>
    <s v="NL2018"/>
    <m/>
    <n v="25"/>
    <n v="5000"/>
    <x v="33"/>
    <n v="35000000"/>
    <x v="3"/>
    <d v="2019-05-18T00:00:00"/>
    <d v="2019-06-20T00:00:00"/>
    <d v="2019-06-20T00:00:00"/>
    <s v="10/4AL"/>
    <m/>
    <m/>
    <m/>
    <m/>
    <m/>
    <m/>
    <m/>
    <m/>
    <m/>
    <m/>
    <m/>
    <n v="0"/>
    <n v="5000"/>
    <n v="35000000"/>
  </r>
  <r>
    <s v="184A/2019"/>
    <d v="2019-05-31T00:00:00"/>
    <s v="KIỀU THY"/>
    <s v="NT10"/>
    <x v="43"/>
    <x v="38"/>
    <s v="YELLOWEEN"/>
    <m/>
    <s v="16.18"/>
    <s v="200"/>
    <s v="NL2018"/>
    <m/>
    <n v="24"/>
    <n v="4800"/>
    <x v="55"/>
    <n v="25440000"/>
    <x v="3"/>
    <d v="2019-06-10T00:00:00"/>
    <d v="2019-07-12T00:00:00"/>
    <d v="2019-07-12T00:00:00"/>
    <s v="10/6AL"/>
    <m/>
    <m/>
    <m/>
    <m/>
    <m/>
    <m/>
    <m/>
    <m/>
    <m/>
    <m/>
    <m/>
    <n v="0"/>
    <n v="4800"/>
    <n v="25440000"/>
  </r>
  <r>
    <s v="99A/2019"/>
    <d v="2019-03-04T00:00:00"/>
    <s v="KIỀU THY"/>
    <s v="NT10"/>
    <x v="43"/>
    <x v="28"/>
    <s v="YELLOWEEN"/>
    <m/>
    <s v="14.16"/>
    <s v="300"/>
    <s v="NL2018"/>
    <m/>
    <n v="16"/>
    <n v="4800"/>
    <x v="6"/>
    <n v="18240000"/>
    <x v="0"/>
    <d v="2019-02-15T00:00:00"/>
    <d v="2019-03-20T00:00:00"/>
    <d v="2019-03-20T00:00:00"/>
    <s v="15/2AL"/>
    <s v="CONT 18/2019"/>
    <d v="2019-03-31T00:00:00"/>
    <m/>
    <d v="2019-04-01T00:00:00"/>
    <n v="4800"/>
    <m/>
    <m/>
    <m/>
    <m/>
    <m/>
    <m/>
    <n v="4800"/>
    <n v="0"/>
    <n v="0"/>
  </r>
  <r>
    <s v="139A/2019"/>
    <d v="2019-03-23T00:00:00"/>
    <s v="KIỀU THY"/>
    <s v="ND02"/>
    <x v="44"/>
    <x v="73"/>
    <s v="YELLOWEEN"/>
    <m/>
    <s v="14.16"/>
    <s v="300"/>
    <s v="NL2017"/>
    <m/>
    <n v="50"/>
    <n v="15000"/>
    <x v="93"/>
    <n v="0"/>
    <x v="1"/>
    <m/>
    <s v=""/>
    <s v=""/>
    <m/>
    <m/>
    <m/>
    <m/>
    <m/>
    <m/>
    <m/>
    <m/>
    <m/>
    <m/>
    <m/>
    <m/>
    <n v="0"/>
    <n v="15000"/>
    <n v="0"/>
  </r>
  <r>
    <s v="139A/2019"/>
    <d v="2019-03-23T00:00:00"/>
    <s v="KIỀU THY"/>
    <s v="ND02"/>
    <x v="44"/>
    <x v="79"/>
    <s v="YELLOWEEN"/>
    <m/>
    <s v="16.18"/>
    <s v="200"/>
    <s v="NL2017"/>
    <m/>
    <n v="0"/>
    <n v="0"/>
    <x v="68"/>
    <n v="0"/>
    <x v="1"/>
    <m/>
    <s v=""/>
    <s v=""/>
    <m/>
    <m/>
    <m/>
    <m/>
    <m/>
    <m/>
    <m/>
    <m/>
    <m/>
    <m/>
    <m/>
    <m/>
    <n v="0"/>
    <n v="0"/>
    <n v="0"/>
  </r>
  <r>
    <s v="139A/2019"/>
    <d v="2019-03-23T00:00:00"/>
    <s v="KIỀU THY"/>
    <s v="ND02"/>
    <x v="44"/>
    <x v="18"/>
    <s v="STENDHAL"/>
    <m/>
    <s v="16.18"/>
    <s v="200"/>
    <s v="NL2017"/>
    <m/>
    <n v="6"/>
    <n v="1200"/>
    <x v="93"/>
    <n v="0"/>
    <x v="0"/>
    <m/>
    <s v=""/>
    <s v=""/>
    <m/>
    <m/>
    <m/>
    <m/>
    <d v="2019-04-22T00:00:00"/>
    <n v="1200"/>
    <m/>
    <m/>
    <m/>
    <m/>
    <m/>
    <m/>
    <n v="1200"/>
    <n v="0"/>
    <n v="0"/>
  </r>
  <r>
    <s v="139A/2019"/>
    <d v="2019-03-23T00:00:00"/>
    <s v="KIỀU THY"/>
    <s v="ND02"/>
    <x v="44"/>
    <x v="86"/>
    <s v="STENDHAL"/>
    <m/>
    <s v="18.20"/>
    <s v="150"/>
    <s v="NL2017"/>
    <m/>
    <n v="41"/>
    <n v="6150"/>
    <x v="93"/>
    <n v="0"/>
    <x v="0"/>
    <m/>
    <s v=""/>
    <s v=""/>
    <m/>
    <m/>
    <m/>
    <m/>
    <d v="2019-04-22T00:00:00"/>
    <n v="6150"/>
    <m/>
    <m/>
    <m/>
    <m/>
    <m/>
    <m/>
    <n v="6150"/>
    <n v="0"/>
    <n v="0"/>
  </r>
  <r>
    <s v="226A/2019"/>
    <d v="2019-05-29T00:00:00"/>
    <s v="KIỀU THY"/>
    <s v="MT05"/>
    <x v="45"/>
    <x v="11"/>
    <s v="YELLOWEEN"/>
    <m/>
    <s v="12.14"/>
    <s v="400"/>
    <s v="NL2018"/>
    <m/>
    <n v="25"/>
    <n v="10000"/>
    <x v="4"/>
    <n v="28000000"/>
    <x v="0"/>
    <d v="2019-04-17T00:00:00"/>
    <d v="2019-05-21T00:00:00"/>
    <d v="2019-05-21T00:00:00"/>
    <m/>
    <m/>
    <m/>
    <m/>
    <d v="2019-05-31T00:00:00"/>
    <n v="10000"/>
    <m/>
    <m/>
    <m/>
    <m/>
    <m/>
    <m/>
    <n v="10000"/>
    <n v="0"/>
    <n v="0"/>
  </r>
  <r>
    <s v="226A/2019"/>
    <d v="2019-05-31T00:00:00"/>
    <s v="KIỀU THY"/>
    <s v="MT05"/>
    <x v="45"/>
    <x v="11"/>
    <s v="YELLOWEEN"/>
    <m/>
    <s v="12.14"/>
    <s v="400"/>
    <s v="NL2018"/>
    <m/>
    <n v="0"/>
    <n v="0"/>
    <x v="4"/>
    <n v="0"/>
    <x v="1"/>
    <d v="2019-04-17T00:00:00"/>
    <d v="2019-05-21T00:00:00"/>
    <d v="2019-05-21T00:00:00"/>
    <m/>
    <m/>
    <m/>
    <m/>
    <m/>
    <m/>
    <m/>
    <m/>
    <m/>
    <m/>
    <m/>
    <m/>
    <n v="0"/>
    <n v="0"/>
    <n v="0"/>
  </r>
  <r>
    <s v="226A/2019"/>
    <d v="2019-05-31T00:00:00"/>
    <s v="KIỀU THY"/>
    <s v="MT05"/>
    <x v="45"/>
    <x v="54"/>
    <s v="MALDANO"/>
    <m/>
    <s v="14.16"/>
    <s v="300"/>
    <s v="NL2018"/>
    <m/>
    <n v="17"/>
    <n v="5100"/>
    <x v="57"/>
    <n v="20400000"/>
    <x v="0"/>
    <d v="2019-05-05T00:00:00"/>
    <d v="2019-06-07T00:00:00"/>
    <d v="2019-06-07T00:00:00"/>
    <m/>
    <m/>
    <m/>
    <m/>
    <d v="2019-06-13T00:00:00"/>
    <n v="5100"/>
    <m/>
    <m/>
    <m/>
    <m/>
    <m/>
    <m/>
    <n v="5100"/>
    <n v="0"/>
    <n v="0"/>
  </r>
  <r>
    <s v="224A/2019"/>
    <d v="2019-05-27T00:00:00"/>
    <s v="KIỀU THY"/>
    <s v="MP05"/>
    <x v="46"/>
    <x v="11"/>
    <s v="YELLOWEEN"/>
    <m/>
    <s v="12.14"/>
    <s v="400"/>
    <s v="NL2018"/>
    <m/>
    <n v="9"/>
    <n v="3600"/>
    <x v="47"/>
    <n v="9720000"/>
    <x v="0"/>
    <d v="2019-03-15T00:00:00"/>
    <d v="2019-04-19T00:00:00"/>
    <d v="2019-04-19T00:00:00"/>
    <m/>
    <m/>
    <m/>
    <m/>
    <d v="2019-05-27T00:00:00"/>
    <n v="3600"/>
    <m/>
    <m/>
    <m/>
    <m/>
    <m/>
    <m/>
    <n v="3600"/>
    <n v="0"/>
    <n v="0"/>
  </r>
  <r>
    <s v="108B/2019"/>
    <d v="2019-03-12T00:00:00"/>
    <s v="THANH THÚY"/>
    <s v="CT04"/>
    <x v="47"/>
    <x v="25"/>
    <s v="CONCADOR"/>
    <m/>
    <s v="18.20"/>
    <s v="150"/>
    <s v="NL2018"/>
    <m/>
    <n v="40"/>
    <n v="6000"/>
    <x v="35"/>
    <n v="43200000"/>
    <x v="2"/>
    <m/>
    <s v=""/>
    <s v=""/>
    <s v="TẾT"/>
    <m/>
    <m/>
    <m/>
    <m/>
    <n v="0"/>
    <m/>
    <m/>
    <m/>
    <m/>
    <m/>
    <m/>
    <n v="0"/>
    <n v="6000"/>
    <n v="43200000"/>
  </r>
  <r>
    <s v="108B/2019"/>
    <d v="2019-03-12T00:00:00"/>
    <s v="THANH THÚY"/>
    <s v="CT04"/>
    <x v="47"/>
    <x v="100"/>
    <s v="ZIVA"/>
    <s v="RL_POT"/>
    <s v="12.14"/>
    <n v="400"/>
    <s v="NL2018"/>
    <m/>
    <n v="3"/>
    <n v="1200"/>
    <x v="105"/>
    <n v="9906000"/>
    <x v="2"/>
    <m/>
    <s v=""/>
    <s v=""/>
    <s v="TẾT"/>
    <m/>
    <m/>
    <m/>
    <m/>
    <n v="0"/>
    <m/>
    <m/>
    <m/>
    <m/>
    <m/>
    <m/>
    <n v="0"/>
    <n v="1200"/>
    <n v="9906000"/>
  </r>
  <r>
    <s v="108B/2019"/>
    <d v="2019-03-12T00:00:00"/>
    <s v="THANH THÚY"/>
    <s v="CT04"/>
    <x v="47"/>
    <x v="101"/>
    <s v="ZIVA"/>
    <s v="RL_POT"/>
    <s v="14.16"/>
    <n v="300"/>
    <s v="NL2018"/>
    <m/>
    <n v="2"/>
    <n v="600"/>
    <x v="106"/>
    <n v="7140000"/>
    <x v="2"/>
    <m/>
    <s v=""/>
    <s v=""/>
    <s v="TẾT"/>
    <m/>
    <m/>
    <m/>
    <m/>
    <n v="0"/>
    <m/>
    <m/>
    <m/>
    <m/>
    <m/>
    <m/>
    <n v="0"/>
    <n v="600"/>
    <n v="7140000"/>
  </r>
  <r>
    <s v="243/2019"/>
    <d v="2019-06-14T00:00:00"/>
    <s v="KIỀU THY"/>
    <s v="VT21"/>
    <x v="48"/>
    <x v="6"/>
    <s v="CONCADOR"/>
    <m/>
    <s v="20.22"/>
    <s v="125"/>
    <s v="NL2018"/>
    <m/>
    <n v="12"/>
    <n v="1500"/>
    <x v="7"/>
    <n v="15900000"/>
    <x v="2"/>
    <d v="2019-09-01T00:00:00"/>
    <d v="2019-09-29T00:00:00"/>
    <d v="2019-09-29T00:00:00"/>
    <m/>
    <m/>
    <m/>
    <m/>
    <m/>
    <m/>
    <m/>
    <m/>
    <m/>
    <m/>
    <m/>
    <m/>
    <n v="0"/>
    <n v="1500"/>
    <n v="15900000"/>
  </r>
  <r>
    <s v="243/2019"/>
    <d v="2019-06-14T00:00:00"/>
    <s v="KIỀU THY"/>
    <s v="VT21"/>
    <x v="48"/>
    <x v="16"/>
    <s v="ROBINA"/>
    <m/>
    <s v="20.22"/>
    <s v="125"/>
    <s v="NL2018"/>
    <m/>
    <n v="28"/>
    <n v="3500"/>
    <x v="16"/>
    <n v="37450000"/>
    <x v="2"/>
    <d v="2019-09-01T00:00:00"/>
    <d v="2019-09-29T00:00:00"/>
    <d v="2019-09-29T00:00:00"/>
    <m/>
    <m/>
    <m/>
    <m/>
    <m/>
    <m/>
    <m/>
    <m/>
    <m/>
    <m/>
    <m/>
    <m/>
    <n v="0"/>
    <n v="3500"/>
    <n v="37450000"/>
  </r>
  <r>
    <s v="94A/2019"/>
    <d v="2019-03-07T00:00:00"/>
    <s v="KIỀU THY"/>
    <s v="VT13"/>
    <x v="49"/>
    <x v="34"/>
    <s v="TARRANGO"/>
    <m/>
    <s v="16.18"/>
    <n v="200"/>
    <s v="NL2018"/>
    <m/>
    <n v="0"/>
    <n v="0"/>
    <x v="44"/>
    <n v="0"/>
    <x v="1"/>
    <d v="2019-04-17T00:00:00"/>
    <d v="2019-05-21T00:00:00"/>
    <d v="2019-05-21T00:00:00"/>
    <s v="17/4AL"/>
    <m/>
    <m/>
    <m/>
    <m/>
    <n v="0"/>
    <m/>
    <m/>
    <m/>
    <m/>
    <m/>
    <m/>
    <n v="0"/>
    <n v="0"/>
    <n v="0"/>
  </r>
  <r>
    <s v="214A/2019"/>
    <d v="2019-05-02T00:00:00"/>
    <s v="KIỀU THY"/>
    <s v="VT13"/>
    <x v="49"/>
    <x v="22"/>
    <s v="ROBINA"/>
    <m/>
    <s v="16.18"/>
    <n v="200"/>
    <s v="NL2018"/>
    <m/>
    <n v="39"/>
    <n v="7800"/>
    <x v="55"/>
    <n v="41340000"/>
    <x v="0"/>
    <d v="2019-03-15T00:00:00"/>
    <d v="2019-04-19T00:00:00"/>
    <d v="2019-04-19T00:00:00"/>
    <s v="15/3AL"/>
    <m/>
    <m/>
    <m/>
    <d v="2019-05-20T00:00:00"/>
    <n v="7800"/>
    <m/>
    <m/>
    <m/>
    <m/>
    <m/>
    <m/>
    <n v="7800"/>
    <n v="0"/>
    <n v="0"/>
  </r>
  <r>
    <s v="94A/2019"/>
    <d v="2019-03-07T00:00:00"/>
    <s v="KIỀU THY"/>
    <s v="VT13"/>
    <x v="49"/>
    <x v="102"/>
    <s v="COMPETITION"/>
    <m/>
    <s v="16.18"/>
    <n v="200"/>
    <s v="NL2018"/>
    <m/>
    <n v="50"/>
    <n v="10000"/>
    <x v="32"/>
    <n v="68000000"/>
    <x v="0"/>
    <d v="2019-03-15T00:00:00"/>
    <d v="2019-04-19T00:00:00"/>
    <d v="2019-04-19T00:00:00"/>
    <s v="15/3AL"/>
    <m/>
    <m/>
    <m/>
    <d v="2019-04-23T00:00:00"/>
    <n v="5000"/>
    <d v="2019-05-20T00:00:00"/>
    <s v="5000"/>
    <m/>
    <m/>
    <m/>
    <m/>
    <n v="10000"/>
    <n v="0"/>
    <n v="0"/>
  </r>
  <r>
    <s v="94A/2019"/>
    <d v="2019-03-07T00:00:00"/>
    <s v="KIỀU THY"/>
    <s v="VT13"/>
    <x v="49"/>
    <x v="34"/>
    <s v="TARRANGO"/>
    <m/>
    <s v="16.18"/>
    <n v="200"/>
    <s v="NL2018"/>
    <m/>
    <n v="50"/>
    <n v="10000"/>
    <x v="44"/>
    <n v="55000000"/>
    <x v="0"/>
    <d v="2019-03-15T00:00:00"/>
    <d v="2019-04-19T00:00:00"/>
    <d v="2019-04-19T00:00:00"/>
    <s v="15/3AL"/>
    <s v="CONT 26/2019"/>
    <d v="2019-04-14T00:00:00"/>
    <m/>
    <d v="2019-04-23T00:00:00"/>
    <n v="9000"/>
    <d v="2019-05-13T00:00:00"/>
    <s v="1000"/>
    <m/>
    <m/>
    <m/>
    <m/>
    <n v="10000"/>
    <n v="0"/>
    <n v="0"/>
  </r>
  <r>
    <s v="94A/2019"/>
    <d v="2019-03-07T00:00:00"/>
    <s v="KIỀU THY"/>
    <s v="VT13"/>
    <x v="49"/>
    <x v="34"/>
    <s v="TARRANGO"/>
    <m/>
    <s v="16.18"/>
    <n v="200"/>
    <s v="NL2018"/>
    <m/>
    <n v="40"/>
    <n v="8000"/>
    <x v="44"/>
    <n v="44000000"/>
    <x v="0"/>
    <d v="2019-03-15T00:00:00"/>
    <d v="2019-04-19T00:00:00"/>
    <d v="2019-04-19T00:00:00"/>
    <s v="15/3AL"/>
    <s v="CONT 26/2019"/>
    <d v="2019-04-14T00:00:00"/>
    <m/>
    <d v="2019-05-13T00:00:00"/>
    <n v="8000"/>
    <m/>
    <m/>
    <m/>
    <m/>
    <m/>
    <m/>
    <n v="8000"/>
    <n v="0"/>
    <n v="0"/>
  </r>
  <r>
    <s v="94A/2019"/>
    <d v="2019-05-27T00:00:00"/>
    <s v="KIỀU THY"/>
    <s v="VT13"/>
    <x v="49"/>
    <x v="15"/>
    <s v="CONCADOR"/>
    <m/>
    <s v="16.18"/>
    <n v="200"/>
    <s v="NL2018"/>
    <m/>
    <n v="32"/>
    <n v="6400"/>
    <x v="54"/>
    <n v="40960000"/>
    <x v="0"/>
    <d v="2019-04-17T00:00:00"/>
    <d v="2019-05-21T00:00:00"/>
    <d v="2019-05-21T00:00:00"/>
    <m/>
    <m/>
    <m/>
    <m/>
    <d v="2019-06-10T00:00:00"/>
    <n v="6400"/>
    <m/>
    <m/>
    <m/>
    <m/>
    <m/>
    <m/>
    <n v="6400"/>
    <n v="0"/>
    <n v="0"/>
  </r>
  <r>
    <s v="94A/2019"/>
    <d v="2019-03-07T00:00:00"/>
    <s v="KIỀU THY"/>
    <s v="VT13"/>
    <x v="49"/>
    <x v="102"/>
    <s v="COMPETITION"/>
    <m/>
    <s v="16.18"/>
    <n v="200"/>
    <s v="NL2018"/>
    <m/>
    <n v="50"/>
    <n v="10000"/>
    <x v="107"/>
    <n v="68850000"/>
    <x v="0"/>
    <d v="2019-05-05T00:00:00"/>
    <d v="2019-06-07T00:00:00"/>
    <d v="2019-06-07T00:00:00"/>
    <s v="19/4AL"/>
    <s v="CONT 20/2019"/>
    <d v="2019-04-14T00:00:00"/>
    <m/>
    <d v="2019-06-10T00:00:00"/>
    <n v="10000"/>
    <m/>
    <m/>
    <m/>
    <m/>
    <m/>
    <m/>
    <n v="10000"/>
    <n v="0"/>
    <n v="0"/>
  </r>
  <r>
    <s v="94A/2019"/>
    <d v="2019-03-07T00:00:00"/>
    <s v="KIỀU THY"/>
    <s v="VT13"/>
    <x v="49"/>
    <x v="102"/>
    <s v="COMPETITION"/>
    <m/>
    <s v="16.18"/>
    <n v="200"/>
    <s v="NL2018"/>
    <m/>
    <n v="50"/>
    <n v="10000"/>
    <x v="107"/>
    <n v="68850000"/>
    <x v="0"/>
    <d v="2019-05-05T00:00:00"/>
    <d v="2019-06-07T00:00:00"/>
    <d v="2019-06-07T00:00:00"/>
    <s v="17/4AL"/>
    <m/>
    <m/>
    <m/>
    <d v="2019-06-17T00:00:00"/>
    <n v="10000"/>
    <m/>
    <m/>
    <m/>
    <m/>
    <m/>
    <m/>
    <n v="10000"/>
    <n v="0"/>
    <n v="0"/>
  </r>
  <r>
    <s v="94A/2019"/>
    <d v="2019-05-02T00:00:00"/>
    <s v="KIỀU THY"/>
    <s v="VT13"/>
    <x v="49"/>
    <x v="22"/>
    <s v="ROBINA"/>
    <m/>
    <s v="16.18"/>
    <n v="200"/>
    <s v="NL2018"/>
    <m/>
    <n v="50"/>
    <n v="10000"/>
    <x v="44"/>
    <n v="55000000"/>
    <x v="3"/>
    <d v="2019-05-18T00:00:00"/>
    <d v="2019-06-20T00:00:00"/>
    <d v="2019-06-20T00:00:00"/>
    <m/>
    <m/>
    <m/>
    <m/>
    <m/>
    <m/>
    <m/>
    <m/>
    <m/>
    <m/>
    <m/>
    <m/>
    <n v="0"/>
    <n v="10000"/>
    <n v="55000000"/>
  </r>
  <r>
    <s v="94A/2019"/>
    <d v="2019-05-02T00:00:00"/>
    <s v="KIỀU THY"/>
    <s v="VT13"/>
    <x v="49"/>
    <x v="25"/>
    <s v="CONCADOR"/>
    <m/>
    <s v="18.20"/>
    <n v="150"/>
    <s v="NL2018"/>
    <m/>
    <n v="67"/>
    <n v="10050"/>
    <x v="108"/>
    <n v="76380000"/>
    <x v="3"/>
    <d v="2019-06-15T00:00:00"/>
    <d v="2019-07-17T00:00:00"/>
    <d v="2019-07-17T00:00:00"/>
    <m/>
    <m/>
    <m/>
    <m/>
    <m/>
    <m/>
    <m/>
    <m/>
    <m/>
    <m/>
    <m/>
    <m/>
    <n v="0"/>
    <n v="10050"/>
    <n v="76380000"/>
  </r>
  <r>
    <s v="94A/2019"/>
    <d v="2019-06-12T00:00:00"/>
    <s v="KIỀU THY"/>
    <s v="VT13"/>
    <x v="49"/>
    <x v="28"/>
    <s v="YELLOWEEN"/>
    <m/>
    <s v="14.16"/>
    <n v="300"/>
    <s v="NL2018"/>
    <m/>
    <n v="34"/>
    <n v="10200"/>
    <x v="57"/>
    <n v="40800000"/>
    <x v="3"/>
    <d v="2019-06-15T00:00:00"/>
    <d v="2019-07-17T00:00:00"/>
    <d v="2019-07-17T00:00:00"/>
    <m/>
    <m/>
    <m/>
    <m/>
    <m/>
    <m/>
    <m/>
    <m/>
    <m/>
    <m/>
    <m/>
    <m/>
    <n v="0"/>
    <n v="10200"/>
    <n v="40800000"/>
  </r>
  <r>
    <s v="214A/2019"/>
    <d v="2019-05-02T00:00:00"/>
    <s v="KIỀU THY"/>
    <s v="VT13"/>
    <x v="49"/>
    <x v="25"/>
    <s v="CONCADOR"/>
    <m/>
    <s v="18.20"/>
    <n v="150"/>
    <s v="NL2018"/>
    <m/>
    <n v="0"/>
    <n v="0"/>
    <x v="5"/>
    <n v="0"/>
    <x v="1"/>
    <d v="2019-07-01T00:00:00"/>
    <d v="2019-08-01T00:00:00"/>
    <d v="2019-08-01T00:00:00"/>
    <m/>
    <m/>
    <m/>
    <m/>
    <m/>
    <m/>
    <m/>
    <m/>
    <m/>
    <m/>
    <m/>
    <m/>
    <n v="0"/>
    <n v="0"/>
    <n v="0"/>
  </r>
  <r>
    <s v="94A/2019"/>
    <d v="2019-06-08T00:00:00"/>
    <s v="KIỀU THY"/>
    <s v="VT13"/>
    <x v="49"/>
    <x v="22"/>
    <s v="ROBINA"/>
    <m/>
    <s v="16.18"/>
    <n v="200"/>
    <s v="NL2018"/>
    <m/>
    <n v="50"/>
    <n v="10000"/>
    <x v="24"/>
    <n v="57000000"/>
    <x v="2"/>
    <d v="2019-07-01T00:00:00"/>
    <d v="2019-08-01T00:00:00"/>
    <d v="2019-08-01T00:00:00"/>
    <m/>
    <m/>
    <m/>
    <m/>
    <m/>
    <m/>
    <m/>
    <m/>
    <m/>
    <m/>
    <m/>
    <m/>
    <n v="0"/>
    <n v="10000"/>
    <n v="57000000"/>
  </r>
  <r>
    <s v="94A/2019"/>
    <d v="2019-06-12T00:00:00"/>
    <s v="KIỀU THY"/>
    <s v="VT13"/>
    <x v="49"/>
    <x v="28"/>
    <s v="YELLOWEEN"/>
    <m/>
    <s v="14.16"/>
    <n v="300"/>
    <s v="NL2018"/>
    <m/>
    <n v="34"/>
    <n v="10200"/>
    <x v="3"/>
    <n v="41820000"/>
    <x v="2"/>
    <d v="2019-08-01T00:00:00"/>
    <d v="2019-08-30T00:00:00"/>
    <d v="2019-08-30T00:00:00"/>
    <m/>
    <m/>
    <m/>
    <m/>
    <m/>
    <m/>
    <m/>
    <m/>
    <m/>
    <m/>
    <m/>
    <m/>
    <n v="0"/>
    <n v="10200"/>
    <n v="41820000"/>
  </r>
  <r>
    <s v="94A/2019"/>
    <d v="2019-06-08T00:00:00"/>
    <s v="KIỀU THY"/>
    <s v="VT13"/>
    <x v="49"/>
    <x v="22"/>
    <s v="ROBINA"/>
    <m/>
    <s v="16.18"/>
    <n v="200"/>
    <s v="NL2018"/>
    <m/>
    <n v="50"/>
    <n v="10000"/>
    <x v="26"/>
    <n v="58000000"/>
    <x v="2"/>
    <d v="2019-08-01T00:00:00"/>
    <d v="2019-08-30T00:00:00"/>
    <d v="2019-08-30T00:00:00"/>
    <m/>
    <m/>
    <m/>
    <m/>
    <m/>
    <m/>
    <m/>
    <m/>
    <m/>
    <m/>
    <m/>
    <m/>
    <n v="0"/>
    <n v="10000"/>
    <n v="58000000"/>
  </r>
  <r>
    <s v="246/2019"/>
    <d v="2019-06-17T00:00:00"/>
    <s v="KIỀU THY"/>
    <s v="VT13"/>
    <x v="49"/>
    <x v="6"/>
    <s v="CONCADOR"/>
    <m/>
    <s v="20.22"/>
    <s v="125"/>
    <s v="NL2018"/>
    <m/>
    <n v="80"/>
    <n v="10000"/>
    <x v="7"/>
    <n v="106000000"/>
    <x v="2"/>
    <d v="2019-09-01T00:00:00"/>
    <d v="2019-09-29T00:00:00"/>
    <d v="2019-09-29T00:00:00"/>
    <m/>
    <m/>
    <m/>
    <m/>
    <m/>
    <m/>
    <m/>
    <m/>
    <m/>
    <m/>
    <m/>
    <m/>
    <n v="0"/>
    <n v="10000"/>
    <n v="106000000"/>
  </r>
  <r>
    <s v="214A/2019"/>
    <d v="2019-05-02T00:00:00"/>
    <s v="KIỀU THY"/>
    <s v="VT13"/>
    <x v="49"/>
    <x v="25"/>
    <s v="CONCADOR"/>
    <m/>
    <s v="18.20"/>
    <n v="150"/>
    <s v="NL2018"/>
    <m/>
    <n v="0"/>
    <m/>
    <x v="109"/>
    <m/>
    <x v="1"/>
    <m/>
    <s v=""/>
    <s v=""/>
    <m/>
    <m/>
    <m/>
    <m/>
    <m/>
    <m/>
    <m/>
    <m/>
    <m/>
    <m/>
    <m/>
    <m/>
    <n v="0"/>
    <n v="0"/>
    <e v="#VALUE!"/>
  </r>
  <r>
    <s v="214A/2019"/>
    <d v="2019-05-02T00:00:00"/>
    <s v="KIỀU THY"/>
    <s v="VT13"/>
    <x v="49"/>
    <x v="22"/>
    <s v="ROBINA"/>
    <m/>
    <s v="16.18"/>
    <n v="200"/>
    <s v="NL2018"/>
    <m/>
    <n v="0"/>
    <n v="0"/>
    <x v="93"/>
    <m/>
    <x v="1"/>
    <m/>
    <s v=""/>
    <s v=""/>
    <m/>
    <m/>
    <m/>
    <m/>
    <m/>
    <m/>
    <m/>
    <m/>
    <m/>
    <m/>
    <m/>
    <m/>
    <n v="0"/>
    <n v="0"/>
    <n v="0"/>
  </r>
  <r>
    <s v="246/2019"/>
    <d v="2019-06-14T00:00:00"/>
    <s v="KIỀU THY"/>
    <s v="VN08"/>
    <x v="50"/>
    <x v="10"/>
    <s v="ARVANDRUD"/>
    <m/>
    <s v="16.18"/>
    <s v="200"/>
    <s v="NL2018"/>
    <m/>
    <n v="75"/>
    <n v="15000"/>
    <x v="44"/>
    <n v="82500000"/>
    <x v="0"/>
    <d v="2019-05-15T00:00:00"/>
    <d v="2019-06-17T00:00:00"/>
    <d v="2019-06-17T00:00:00"/>
    <m/>
    <m/>
    <m/>
    <m/>
    <d v="2019-06-17T00:00:00"/>
    <n v="15000"/>
    <m/>
    <m/>
    <m/>
    <m/>
    <m/>
    <m/>
    <n v="15000"/>
    <n v="0"/>
    <n v="0"/>
  </r>
  <r>
    <s v="37B/2019"/>
    <d v="2019-02-11T00:00:00"/>
    <s v="THANH THÚY"/>
    <s v="VD02"/>
    <x v="51"/>
    <x v="73"/>
    <s v="YELLOWEEN"/>
    <m/>
    <s v="14.16"/>
    <n v="300"/>
    <s v="NL2017"/>
    <m/>
    <n v="26"/>
    <n v="7800"/>
    <x v="93"/>
    <n v="0"/>
    <x v="0"/>
    <m/>
    <s v=""/>
    <s v=""/>
    <m/>
    <m/>
    <m/>
    <m/>
    <d v="2019-04-02T00:00:00"/>
    <n v="7800"/>
    <m/>
    <m/>
    <m/>
    <m/>
    <m/>
    <m/>
    <n v="7800"/>
    <n v="0"/>
    <n v="0"/>
  </r>
  <r>
    <s v="37B/2019"/>
    <d v="2019-02-11T00:00:00"/>
    <s v="THANH THÚY"/>
    <s v="VD02"/>
    <x v="51"/>
    <x v="103"/>
    <s v="LARGO"/>
    <m/>
    <s v="16.18"/>
    <n v="200"/>
    <s v="NL2018"/>
    <m/>
    <n v="147"/>
    <n v="29400"/>
    <x v="44"/>
    <n v="161700000"/>
    <x v="0"/>
    <d v="2019-03-15T00:00:00"/>
    <d v="2019-04-19T00:00:00"/>
    <d v="2019-04-19T00:00:00"/>
    <s v="15/3AL"/>
    <s v="CONT 27/2019"/>
    <m/>
    <m/>
    <d v="2019-05-03T00:00:00"/>
    <n v="29400"/>
    <m/>
    <m/>
    <m/>
    <m/>
    <m/>
    <m/>
    <n v="29400"/>
    <n v="0"/>
    <n v="0"/>
  </r>
  <r>
    <s v="37B/2019"/>
    <d v="2019-02-11T00:00:00"/>
    <s v="THANH THÚY"/>
    <s v="VD02"/>
    <x v="51"/>
    <x v="68"/>
    <s v="TEBALDI"/>
    <m/>
    <s v="12.14"/>
    <n v="400"/>
    <s v="NL2018"/>
    <m/>
    <n v="25"/>
    <n v="10000"/>
    <x v="4"/>
    <n v="28000000"/>
    <x v="0"/>
    <s v="29-Feb-19"/>
    <d v="2019-04-03T00:00:00"/>
    <d v="2019-04-03T00:00:00"/>
    <s v="30/2AL"/>
    <s v="CONT 15/2019"/>
    <m/>
    <m/>
    <d v="2019-04-02T00:00:00"/>
    <n v="10000"/>
    <m/>
    <m/>
    <m/>
    <m/>
    <m/>
    <m/>
    <n v="10000"/>
    <n v="0"/>
    <n v="0"/>
  </r>
  <r>
    <s v="37B/2019"/>
    <d v="2019-02-11T00:00:00"/>
    <s v="THANH THÚY"/>
    <s v="VD02"/>
    <x v="51"/>
    <x v="11"/>
    <s v="YELLOWEEN"/>
    <m/>
    <s v="12.14"/>
    <n v="400"/>
    <s v="NL2018"/>
    <m/>
    <n v="65"/>
    <n v="26000"/>
    <x v="12"/>
    <n v="67600000"/>
    <x v="0"/>
    <d v="2019-01-15T00:00:00"/>
    <d v="2019-02-19T00:00:00"/>
    <d v="2019-02-19T00:00:00"/>
    <s v="15/1AL"/>
    <m/>
    <m/>
    <m/>
    <d v="2019-02-26T00:00:00"/>
    <n v="26000"/>
    <m/>
    <m/>
    <m/>
    <m/>
    <m/>
    <m/>
    <n v="26000"/>
    <n v="0"/>
    <n v="0"/>
  </r>
  <r>
    <s v="37B/2019"/>
    <d v="2019-02-11T00:00:00"/>
    <s v="THANH THÚY"/>
    <s v="VD02"/>
    <x v="51"/>
    <x v="11"/>
    <s v="YELLOWEEN"/>
    <m/>
    <s v="12.14"/>
    <n v="400"/>
    <s v="NL2018"/>
    <m/>
    <n v="50"/>
    <n v="20000"/>
    <x v="12"/>
    <n v="52000000"/>
    <x v="0"/>
    <d v="2019-03-15T00:00:00"/>
    <d v="2019-04-19T00:00:00"/>
    <d v="2019-04-19T00:00:00"/>
    <s v="15/3AL"/>
    <s v="CONT 26/2019"/>
    <m/>
    <m/>
    <d v="2019-04-25T00:00:00"/>
    <n v="20000"/>
    <m/>
    <m/>
    <m/>
    <m/>
    <m/>
    <m/>
    <n v="20000"/>
    <n v="0"/>
    <n v="0"/>
  </r>
  <r>
    <s v="37B/2019"/>
    <d v="2019-02-11T00:00:00"/>
    <s v="THANH THÚY"/>
    <s v="VD02"/>
    <x v="51"/>
    <x v="28"/>
    <s v="YELLOWEEN"/>
    <m/>
    <s v="14.16"/>
    <n v="300"/>
    <s v="NL2018"/>
    <m/>
    <n v="67"/>
    <n v="20100"/>
    <x v="25"/>
    <n v="72360000"/>
    <x v="0"/>
    <d v="2019-03-15T00:00:00"/>
    <d v="2019-04-19T00:00:00"/>
    <d v="2019-04-19T00:00:00"/>
    <s v="15/3AL"/>
    <s v="CONT 27/2019"/>
    <m/>
    <m/>
    <d v="2019-04-25T00:00:00"/>
    <n v="20100"/>
    <m/>
    <m/>
    <m/>
    <m/>
    <m/>
    <m/>
    <n v="20100"/>
    <n v="0"/>
    <n v="0"/>
  </r>
  <r>
    <s v="37B/2019"/>
    <d v="2019-05-31T00:00:00"/>
    <s v="THANH THÚY"/>
    <s v="VD02"/>
    <x v="51"/>
    <x v="28"/>
    <s v="YELLOWEEN"/>
    <m/>
    <s v="14.16"/>
    <n v="300"/>
    <s v="NL2018"/>
    <m/>
    <n v="100"/>
    <n v="30000"/>
    <x v="56"/>
    <n v="117000000"/>
    <x v="3"/>
    <d v="2019-05-30T00:00:00"/>
    <d v="2019-07-02T00:00:00"/>
    <d v="2019-07-02T00:00:00"/>
    <m/>
    <m/>
    <m/>
    <m/>
    <m/>
    <m/>
    <m/>
    <m/>
    <m/>
    <m/>
    <m/>
    <m/>
    <n v="0"/>
    <n v="30000"/>
    <n v="117000000"/>
  </r>
  <r>
    <s v="175B/2019"/>
    <d v="2019-04-23T00:00:00"/>
    <s v="THANH THÚY"/>
    <s v="VD02"/>
    <x v="51"/>
    <x v="104"/>
    <s v="LARGO"/>
    <m/>
    <s v="22.24"/>
    <n v="100"/>
    <s v="NL2018"/>
    <m/>
    <n v="200"/>
    <n v="20000"/>
    <x v="110"/>
    <n v="228000000"/>
    <x v="2"/>
    <d v="2019-09-01T00:00:00"/>
    <d v="2019-09-29T00:00:00"/>
    <d v="2019-09-29T00:00:00"/>
    <s v="TẾT"/>
    <m/>
    <m/>
    <m/>
    <m/>
    <n v="0"/>
    <m/>
    <m/>
    <m/>
    <m/>
    <m/>
    <m/>
    <n v="0"/>
    <n v="20000"/>
    <n v="228000000"/>
  </r>
  <r>
    <s v="67A/2019"/>
    <d v="2019-02-22T00:00:00"/>
    <s v="KIỀU THY"/>
    <s v="VC01"/>
    <x v="52"/>
    <x v="28"/>
    <s v="YELLOWEEN"/>
    <m/>
    <s v="14.16"/>
    <n v="300"/>
    <s v="NL2018"/>
    <m/>
    <n v="17"/>
    <n v="5100"/>
    <x v="6"/>
    <n v="19380000"/>
    <x v="0"/>
    <d v="2019-03-15T00:00:00"/>
    <d v="2019-04-19T00:00:00"/>
    <d v="2019-04-19T00:00:00"/>
    <s v="15/3AL"/>
    <m/>
    <m/>
    <m/>
    <d v="2019-04-05T00:00:00"/>
    <n v="5100"/>
    <m/>
    <m/>
    <m/>
    <m/>
    <m/>
    <m/>
    <n v="5100"/>
    <n v="0"/>
    <n v="0"/>
  </r>
  <r>
    <s v="67A/2019"/>
    <d v="2019-02-22T00:00:00"/>
    <s v="KIỀU THY"/>
    <s v="VC01"/>
    <x v="52"/>
    <x v="11"/>
    <s v="YELLOWEEN"/>
    <m/>
    <s v="12.14"/>
    <n v="400"/>
    <s v="NL2018"/>
    <m/>
    <n v="37"/>
    <n v="14800"/>
    <x v="47"/>
    <n v="39960000"/>
    <x v="4"/>
    <d v="2019-04-17T00:00:00"/>
    <d v="2019-05-21T00:00:00"/>
    <d v="2019-05-21T00:00:00"/>
    <s v="10/4AL"/>
    <m/>
    <m/>
    <m/>
    <d v="2019-06-04T00:00:00"/>
    <n v="10000"/>
    <m/>
    <m/>
    <m/>
    <m/>
    <m/>
    <m/>
    <n v="10000"/>
    <n v="4800"/>
    <n v="12960000"/>
  </r>
  <r>
    <s v="67A/2019"/>
    <d v="2019-06-17T00:00:00"/>
    <s v="KIỀU THY"/>
    <s v="VC01"/>
    <x v="52"/>
    <x v="28"/>
    <s v="YELLOWEEN"/>
    <m/>
    <s v="14.16"/>
    <n v="300"/>
    <s v="NL2018"/>
    <m/>
    <n v="17"/>
    <n v="5100"/>
    <x v="56"/>
    <n v="19890000"/>
    <x v="3"/>
    <d v="2019-05-30T00:00:00"/>
    <d v="2019-07-02T00:00:00"/>
    <d v="2019-07-02T00:00:00"/>
    <s v="Hà Nội chuyển vô"/>
    <m/>
    <m/>
    <m/>
    <m/>
    <m/>
    <m/>
    <m/>
    <m/>
    <m/>
    <m/>
    <m/>
    <n v="0"/>
    <n v="5100"/>
    <n v="19890000"/>
  </r>
  <r>
    <s v="67A/2019"/>
    <d v="2019-05-17T00:00:00"/>
    <s v="KIỀU THY"/>
    <s v="VC01"/>
    <x v="52"/>
    <x v="54"/>
    <s v="MALDANO"/>
    <m/>
    <s v="14.16"/>
    <n v="300"/>
    <s v="NL2018"/>
    <m/>
    <n v="0"/>
    <n v="0"/>
    <x v="57"/>
    <n v="0"/>
    <x v="1"/>
    <d v="2019-05-05T00:00:00"/>
    <d v="2019-06-07T00:00:00"/>
    <d v="2019-06-07T00:00:00"/>
    <m/>
    <m/>
    <m/>
    <m/>
    <m/>
    <m/>
    <m/>
    <m/>
    <m/>
    <m/>
    <m/>
    <m/>
    <n v="0"/>
    <n v="0"/>
    <n v="0"/>
  </r>
  <r>
    <s v="67A/2019"/>
    <d v="2019-02-22T00:00:00"/>
    <s v="KIỀU THY"/>
    <s v="VC01"/>
    <x v="52"/>
    <x v="22"/>
    <s v="ROBINA"/>
    <m/>
    <s v="16.18"/>
    <n v="200"/>
    <s v="NL2018"/>
    <m/>
    <n v="50"/>
    <n v="10000"/>
    <x v="23"/>
    <n v="48000000"/>
    <x v="0"/>
    <s v="30-Feb-19"/>
    <d v="2019-04-04T00:00:00"/>
    <d v="2019-04-04T00:00:00"/>
    <s v="30/2AL"/>
    <s v="CONT 18/2019"/>
    <d v="2019-03-31T00:00:00"/>
    <s v="R"/>
    <d v="2019-04-05T00:00:00"/>
    <n v="10000"/>
    <m/>
    <m/>
    <m/>
    <m/>
    <m/>
    <m/>
    <n v="10000"/>
    <n v="0"/>
    <n v="0"/>
  </r>
  <r>
    <s v="67A/2019"/>
    <d v="2019-02-22T00:00:00"/>
    <s v="KIỀU THY"/>
    <s v="VC01"/>
    <x v="52"/>
    <x v="24"/>
    <s v="SERANO"/>
    <m/>
    <s v="14.16"/>
    <n v="300"/>
    <s v="NL2018"/>
    <m/>
    <n v="31"/>
    <n v="9300"/>
    <x v="68"/>
    <n v="32550000"/>
    <x v="0"/>
    <s v="30-Feb-19"/>
    <d v="2019-04-04T00:00:00"/>
    <d v="2019-04-04T00:00:00"/>
    <s v="30/2AL"/>
    <s v="CONT 17/2019"/>
    <d v="2019-03-31T00:00:00"/>
    <s v="R"/>
    <d v="2019-04-05T00:00:00"/>
    <n v="9300"/>
    <m/>
    <m/>
    <m/>
    <m/>
    <m/>
    <m/>
    <n v="9300"/>
    <n v="0"/>
    <n v="0"/>
  </r>
  <r>
    <s v="67A/2019"/>
    <d v="2019-02-22T00:00:00"/>
    <s v="KIỀU THY"/>
    <s v="VC01"/>
    <x v="52"/>
    <x v="11"/>
    <s v="YELLOWEEN"/>
    <m/>
    <s v="12.14"/>
    <n v="400"/>
    <s v="NL2018"/>
    <m/>
    <n v="25"/>
    <n v="10000"/>
    <x v="12"/>
    <n v="26000000"/>
    <x v="0"/>
    <s v="30-Feb-19"/>
    <d v="2019-04-04T00:00:00"/>
    <d v="2019-04-04T00:00:00"/>
    <s v="30/2AL"/>
    <s v="CONT 18/2019"/>
    <d v="2019-03-31T00:00:00"/>
    <s v="R"/>
    <d v="2019-04-05T00:00:00"/>
    <n v="5200"/>
    <d v="2019-04-24T00:00:00"/>
    <n v="4800"/>
    <m/>
    <m/>
    <m/>
    <m/>
    <n v="10000"/>
    <n v="0"/>
    <n v="0"/>
  </r>
  <r>
    <s v="67A/2019"/>
    <d v="2019-02-22T00:00:00"/>
    <s v="KIỀU THY"/>
    <s v="VC01"/>
    <x v="52"/>
    <x v="28"/>
    <s v="YELLOWEEN"/>
    <m/>
    <s v="14.16"/>
    <n v="300"/>
    <s v="NL2018"/>
    <m/>
    <n v="10"/>
    <n v="3000"/>
    <x v="6"/>
    <n v="11400000"/>
    <x v="0"/>
    <s v="30-Feb-19"/>
    <d v="2019-04-04T00:00:00"/>
    <d v="2019-04-04T00:00:00"/>
    <s v="30/2AL"/>
    <s v="CONT 14/2019"/>
    <d v="2019-03-31T00:00:00"/>
    <m/>
    <d v="2019-04-24T00:00:00"/>
    <n v="3000"/>
    <m/>
    <m/>
    <m/>
    <m/>
    <m/>
    <m/>
    <n v="3000"/>
    <n v="0"/>
    <n v="0"/>
  </r>
  <r>
    <s v="67A/2019"/>
    <d v="2019-02-22T00:00:00"/>
    <s v="KIỀU THY"/>
    <s v="VC01"/>
    <x v="52"/>
    <x v="28"/>
    <s v="YELLOWEEN"/>
    <m/>
    <s v="14.16"/>
    <n v="300"/>
    <s v="NL2018"/>
    <m/>
    <n v="8"/>
    <n v="2400"/>
    <x v="6"/>
    <n v="9120000"/>
    <x v="0"/>
    <s v="30-Feb-19"/>
    <d v="2019-04-04T00:00:00"/>
    <d v="2019-04-04T00:00:00"/>
    <s v="30/2AL"/>
    <s v="CONT 18/2019"/>
    <d v="2019-03-31T00:00:00"/>
    <s v="R"/>
    <d v="2019-04-24T00:00:00"/>
    <n v="2400"/>
    <m/>
    <m/>
    <m/>
    <m/>
    <m/>
    <m/>
    <n v="2400"/>
    <n v="0"/>
    <n v="0"/>
  </r>
  <r>
    <s v="67A/2019"/>
    <d v="2019-05-06T00:00:00"/>
    <s v="KIỀU THY"/>
    <s v="VC01"/>
    <x v="52"/>
    <x v="50"/>
    <s v="PROFUNDO"/>
    <m/>
    <n v="14.16"/>
    <n v="275"/>
    <s v="NL2018"/>
    <m/>
    <n v="37"/>
    <n v="10175"/>
    <x v="18"/>
    <n v="50875000"/>
    <x v="0"/>
    <d v="2019-03-30T00:00:00"/>
    <d v="2019-05-04T00:00:00"/>
    <d v="2019-05-04T00:00:00"/>
    <s v="30/3AL"/>
    <m/>
    <m/>
    <m/>
    <d v="2019-05-14T00:00:00"/>
    <n v="10175"/>
    <m/>
    <m/>
    <m/>
    <m/>
    <m/>
    <m/>
    <n v="10175"/>
    <n v="0"/>
    <n v="0"/>
  </r>
  <r>
    <s v="67A/2019"/>
    <d v="2019-05-06T00:00:00"/>
    <s v="KIỀU THY"/>
    <s v="VC01"/>
    <x v="52"/>
    <x v="65"/>
    <s v="ROBINA"/>
    <m/>
    <s v="14.16"/>
    <n v="300"/>
    <s v="NL2018"/>
    <m/>
    <n v="33"/>
    <n v="9900"/>
    <x v="25"/>
    <n v="35640000"/>
    <x v="4"/>
    <d v="2019-05-05T00:00:00"/>
    <d v="2019-06-07T00:00:00"/>
    <d v="2019-06-07T00:00:00"/>
    <s v="25/4AL"/>
    <m/>
    <m/>
    <m/>
    <m/>
    <m/>
    <m/>
    <m/>
    <m/>
    <m/>
    <m/>
    <m/>
    <n v="0"/>
    <n v="9900"/>
    <n v="35640000"/>
  </r>
  <r>
    <s v="239/2019"/>
    <d v="2019-06-03T00:00:00"/>
    <s v="KIỀU THY"/>
    <s v="VC01"/>
    <x v="52"/>
    <x v="47"/>
    <s v="ROBINA"/>
    <m/>
    <s v="18.20"/>
    <n v="150"/>
    <s v="NL2018"/>
    <m/>
    <n v="34"/>
    <n v="5100"/>
    <x v="61"/>
    <n v="43350000"/>
    <x v="2"/>
    <d v="2019-09-01T00:00:00"/>
    <d v="2019-09-29T00:00:00"/>
    <d v="2019-09-29T00:00:00"/>
    <m/>
    <m/>
    <m/>
    <m/>
    <m/>
    <m/>
    <m/>
    <m/>
    <m/>
    <m/>
    <m/>
    <m/>
    <n v="0"/>
    <n v="5100"/>
    <n v="43350000"/>
  </r>
  <r>
    <s v="239/2019"/>
    <d v="2019-06-03T00:00:00"/>
    <s v="KIỀU THY"/>
    <s v="VC01"/>
    <x v="52"/>
    <x v="25"/>
    <s v="CONCADOR"/>
    <m/>
    <s v="18.20"/>
    <n v="150"/>
    <s v="NL2018"/>
    <m/>
    <n v="34"/>
    <n v="5100"/>
    <x v="27"/>
    <n v="40800000"/>
    <x v="2"/>
    <d v="2019-09-01T00:00:00"/>
    <d v="2019-09-29T00:00:00"/>
    <d v="2019-09-29T00:00:00"/>
    <m/>
    <m/>
    <m/>
    <m/>
    <m/>
    <m/>
    <m/>
    <m/>
    <m/>
    <m/>
    <m/>
    <m/>
    <n v="0"/>
    <n v="5100"/>
    <n v="40800000"/>
  </r>
  <r>
    <s v="34B/2019"/>
    <d v="2019-02-04T00:00:00"/>
    <s v="THANH THÚY"/>
    <s v="TV05"/>
    <x v="53"/>
    <x v="31"/>
    <s v="TARRANGO"/>
    <m/>
    <s v="14.16"/>
    <n v="300"/>
    <s v="NL2018"/>
    <m/>
    <n v="34"/>
    <n v="10200"/>
    <x v="111"/>
    <n v="44727000"/>
    <x v="0"/>
    <d v="2019-01-15T00:00:00"/>
    <d v="2019-02-19T00:00:00"/>
    <d v="2019-02-19T00:00:00"/>
    <s v="15/1AL"/>
    <m/>
    <m/>
    <m/>
    <d v="2019-02-20T00:00:00"/>
    <n v="10200"/>
    <m/>
    <m/>
    <m/>
    <m/>
    <m/>
    <m/>
    <n v="10200"/>
    <n v="0"/>
    <n v="0"/>
  </r>
  <r>
    <s v="34B/2019"/>
    <d v="2019-02-04T00:00:00"/>
    <s v="THANH THÚY"/>
    <s v="TV05"/>
    <x v="53"/>
    <x v="22"/>
    <s v="ROBINA"/>
    <m/>
    <s v="16.18"/>
    <n v="200"/>
    <s v="NL2018"/>
    <m/>
    <n v="50"/>
    <n v="10000"/>
    <x v="23"/>
    <n v="48000000"/>
    <x v="0"/>
    <d v="2019-01-15T00:00:00"/>
    <d v="2019-02-19T00:00:00"/>
    <d v="2019-02-19T00:00:00"/>
    <s v="15/1AL"/>
    <m/>
    <m/>
    <m/>
    <d v="2019-02-21T00:00:00"/>
    <n v="10000"/>
    <m/>
    <m/>
    <m/>
    <m/>
    <m/>
    <m/>
    <n v="10000"/>
    <n v="0"/>
    <n v="0"/>
  </r>
  <r>
    <s v="34B/2019"/>
    <d v="2019-02-04T00:00:00"/>
    <s v="THANH THÚY"/>
    <s v="TV05"/>
    <x v="53"/>
    <x v="22"/>
    <s v="ROBINA"/>
    <m/>
    <s v="16.18"/>
    <n v="200"/>
    <s v="NL2018"/>
    <m/>
    <n v="100"/>
    <n v="20000"/>
    <x v="23"/>
    <n v="96000000"/>
    <x v="0"/>
    <d v="2019-02-15T00:00:00"/>
    <d v="2019-03-20T00:00:00"/>
    <d v="2019-03-20T00:00:00"/>
    <s v="15/2AL"/>
    <s v="CONT 11/2019"/>
    <m/>
    <m/>
    <d v="2019-03-19T00:00:00"/>
    <n v="20000"/>
    <m/>
    <m/>
    <m/>
    <m/>
    <m/>
    <m/>
    <n v="20000"/>
    <n v="0"/>
    <n v="0"/>
  </r>
  <r>
    <s v="134B/2019"/>
    <d v="2019-03-19T00:00:00"/>
    <s v="THANH THÚY"/>
    <s v="TV05"/>
    <x v="53"/>
    <x v="24"/>
    <s v="SERANO"/>
    <m/>
    <s v="14.16"/>
    <n v="300"/>
    <s v="NL2018"/>
    <m/>
    <n v="10"/>
    <n v="3000"/>
    <x v="25"/>
    <n v="10800000"/>
    <x v="0"/>
    <d v="2019-02-15T00:00:00"/>
    <d v="2019-03-20T00:00:00"/>
    <d v="2019-03-20T00:00:00"/>
    <s v="15/2AL"/>
    <s v="CONT 11/2019"/>
    <m/>
    <m/>
    <d v="2019-03-19T00:00:00"/>
    <n v="3000"/>
    <m/>
    <m/>
    <m/>
    <m/>
    <m/>
    <m/>
    <n v="3000"/>
    <n v="0"/>
    <n v="0"/>
  </r>
  <r>
    <s v="34B/2019"/>
    <d v="2019-02-04T00:00:00"/>
    <s v="THANH THÚY"/>
    <s v="TV05"/>
    <x v="53"/>
    <x v="10"/>
    <s v="ARVANDRUD"/>
    <m/>
    <s v="16.18"/>
    <n v="200"/>
    <s v="NL2018"/>
    <m/>
    <n v="50"/>
    <n v="10000"/>
    <x v="18"/>
    <n v="50000000"/>
    <x v="0"/>
    <d v="2019-03-15T00:00:00"/>
    <d v="2019-04-19T00:00:00"/>
    <d v="2019-04-19T00:00:00"/>
    <s v="15/3AL"/>
    <s v="CONT 22/2019"/>
    <m/>
    <m/>
    <d v="2019-05-03T00:00:00"/>
    <n v="10000"/>
    <m/>
    <m/>
    <m/>
    <m/>
    <m/>
    <m/>
    <n v="10000"/>
    <n v="0"/>
    <n v="0"/>
  </r>
  <r>
    <s v="135B/2019"/>
    <d v="2019-03-19T00:00:00"/>
    <s v="THANH THÚY"/>
    <s v="TV05"/>
    <x v="53"/>
    <x v="22"/>
    <s v="ROBINA"/>
    <m/>
    <s v="16.18"/>
    <n v="200"/>
    <s v="NL2018"/>
    <m/>
    <n v="50"/>
    <n v="10000"/>
    <x v="78"/>
    <n v="51000000"/>
    <x v="0"/>
    <d v="2019-03-30T00:00:00"/>
    <d v="2019-05-04T00:00:00"/>
    <d v="2019-05-04T00:00:00"/>
    <s v="30/3AL"/>
    <m/>
    <m/>
    <m/>
    <d v="2019-06-04T00:00:00"/>
    <n v="10000"/>
    <m/>
    <m/>
    <m/>
    <m/>
    <m/>
    <m/>
    <n v="10000"/>
    <n v="0"/>
    <n v="0"/>
  </r>
  <r>
    <s v="135B/2019"/>
    <d v="2019-03-19T00:00:00"/>
    <s v="THANH THÚY"/>
    <s v="TV05"/>
    <x v="53"/>
    <x v="10"/>
    <s v="ARVANDRUD"/>
    <m/>
    <s v="16.18"/>
    <n v="200"/>
    <s v="NL2018"/>
    <m/>
    <n v="0"/>
    <n v="0"/>
    <x v="44"/>
    <n v="0"/>
    <x v="1"/>
    <d v="2019-03-30T00:00:00"/>
    <d v="2019-05-04T00:00:00"/>
    <d v="2019-05-04T00:00:00"/>
    <s v="30/3AL"/>
    <m/>
    <m/>
    <m/>
    <m/>
    <m/>
    <m/>
    <m/>
    <m/>
    <m/>
    <m/>
    <m/>
    <n v="0"/>
    <n v="0"/>
    <n v="0"/>
  </r>
  <r>
    <s v="230A/2019"/>
    <d v="2019-06-10T00:00:00"/>
    <s v="KIỀU THY"/>
    <s v="NT11"/>
    <x v="54"/>
    <x v="8"/>
    <s v="TEBALDI"/>
    <m/>
    <s v="16.18"/>
    <s v="200"/>
    <s v="NL2018"/>
    <m/>
    <n v="6"/>
    <n v="1200"/>
    <x v="9"/>
    <n v="7440000"/>
    <x v="2"/>
    <d v="2019-09-01T00:00:00"/>
    <d v="2019-09-29T00:00:00"/>
    <d v="2019-09-29T00:00:00"/>
    <s v="TẾT"/>
    <m/>
    <m/>
    <m/>
    <m/>
    <m/>
    <m/>
    <m/>
    <m/>
    <m/>
    <m/>
    <m/>
    <n v="0"/>
    <n v="1200"/>
    <n v="7440000"/>
  </r>
  <r>
    <s v="230A/2019"/>
    <d v="2019-06-10T00:00:00"/>
    <s v="KIỀU THY"/>
    <s v="NT11"/>
    <x v="54"/>
    <x v="98"/>
    <s v="CONCADOR NEWZELAND"/>
    <m/>
    <s v="18.20"/>
    <s v="150"/>
    <s v="NZ2019"/>
    <m/>
    <n v="4"/>
    <n v="600"/>
    <x v="103"/>
    <n v="5760000"/>
    <x v="2"/>
    <d v="2019-09-01T00:00:00"/>
    <d v="2019-09-29T00:00:00"/>
    <d v="2019-09-29T00:00:00"/>
    <s v="TẾT"/>
    <m/>
    <m/>
    <m/>
    <m/>
    <m/>
    <m/>
    <m/>
    <m/>
    <m/>
    <m/>
    <m/>
    <n v="0"/>
    <n v="600"/>
    <n v="5760000"/>
  </r>
  <r>
    <s v="230A/2019"/>
    <d v="2019-06-18T00:00:00"/>
    <s v="KIỀU THY"/>
    <s v="NT11"/>
    <x v="54"/>
    <x v="98"/>
    <s v="CONCADOR NEWZELAND"/>
    <m/>
    <s v="18.20"/>
    <s v="150"/>
    <s v="NZ2019"/>
    <m/>
    <n v="4"/>
    <n v="600"/>
    <x v="103"/>
    <n v="5760000"/>
    <x v="2"/>
    <d v="2019-09-01T00:00:00"/>
    <d v="2019-09-29T00:00:00"/>
    <d v="2019-09-29T00:00:00"/>
    <s v="TẾT"/>
    <m/>
    <m/>
    <m/>
    <m/>
    <m/>
    <m/>
    <m/>
    <m/>
    <m/>
    <m/>
    <m/>
    <n v="0"/>
    <n v="600"/>
    <n v="5760000"/>
  </r>
  <r>
    <s v="230A/2019"/>
    <d v="2019-06-18T00:00:00"/>
    <s v="KIỀU THY"/>
    <s v="NT11"/>
    <x v="54"/>
    <x v="8"/>
    <s v="TEBALDI"/>
    <m/>
    <s v="16.18"/>
    <s v="200"/>
    <s v="NL2018"/>
    <m/>
    <n v="2"/>
    <n v="400"/>
    <x v="9"/>
    <n v="2480000"/>
    <x v="2"/>
    <d v="2019-09-01T00:00:00"/>
    <d v="2019-09-29T00:00:00"/>
    <d v="2019-09-29T00:00:00"/>
    <s v="TẾT"/>
    <m/>
    <m/>
    <m/>
    <m/>
    <m/>
    <m/>
    <m/>
    <m/>
    <m/>
    <m/>
    <m/>
    <n v="0"/>
    <n v="400"/>
    <n v="2480000"/>
  </r>
  <r>
    <s v="22B/2019"/>
    <d v="2019-01-05T00:00:00"/>
    <s v="THANH THÚY"/>
    <s v="TU01"/>
    <x v="55"/>
    <x v="62"/>
    <s v="BACARDI"/>
    <m/>
    <s v="15.16"/>
    <n v="300"/>
    <s v="NL2018"/>
    <m/>
    <n v="17"/>
    <n v="5100"/>
    <x v="13"/>
    <n v="22950000"/>
    <x v="0"/>
    <d v="2019-01-15T00:00:00"/>
    <d v="2019-02-19T00:00:00"/>
    <d v="2019-02-19T00:00:00"/>
    <s v="15/1AL"/>
    <m/>
    <m/>
    <m/>
    <d v="2019-03-05T00:00:00"/>
    <n v="5100"/>
    <m/>
    <m/>
    <m/>
    <m/>
    <m/>
    <m/>
    <n v="5100"/>
    <n v="0"/>
    <n v="0"/>
  </r>
  <r>
    <s v="22B/2019"/>
    <d v="2019-01-05T00:00:00"/>
    <s v="THANH THÚY"/>
    <s v="TU01"/>
    <x v="55"/>
    <x v="32"/>
    <s v="BACARDI"/>
    <m/>
    <s v="16.18"/>
    <n v="200"/>
    <s v="NL2018"/>
    <m/>
    <n v="25"/>
    <n v="5000"/>
    <x v="42"/>
    <n v="31500000"/>
    <x v="0"/>
    <d v="2019-01-15T00:00:00"/>
    <d v="2019-02-19T00:00:00"/>
    <d v="2019-02-19T00:00:00"/>
    <s v="15/1AL"/>
    <m/>
    <m/>
    <m/>
    <d v="2019-03-05T00:00:00"/>
    <n v="5000"/>
    <m/>
    <m/>
    <m/>
    <m/>
    <m/>
    <m/>
    <n v="5000"/>
    <n v="0"/>
    <n v="0"/>
  </r>
  <r>
    <s v="22B/2019"/>
    <d v="2019-01-05T00:00:00"/>
    <s v="THANH THÚY"/>
    <s v="TU01"/>
    <x v="55"/>
    <x v="15"/>
    <s v="CONCADOR "/>
    <m/>
    <s v="16.18"/>
    <n v="200"/>
    <s v="NL2018"/>
    <m/>
    <n v="50"/>
    <n v="10000"/>
    <x v="0"/>
    <n v="47000000"/>
    <x v="0"/>
    <d v="2019-01-15T00:00:00"/>
    <d v="2019-02-19T00:00:00"/>
    <d v="2019-02-19T00:00:00"/>
    <s v="15/1AL"/>
    <m/>
    <m/>
    <m/>
    <d v="2019-02-19T00:00:00"/>
    <n v="10000"/>
    <m/>
    <m/>
    <m/>
    <m/>
    <m/>
    <m/>
    <n v="10000"/>
    <n v="0"/>
    <n v="0"/>
  </r>
  <r>
    <s v="22B/2019"/>
    <d v="2019-01-05T00:00:00"/>
    <s v="THANH THÚY"/>
    <s v="TU01"/>
    <x v="55"/>
    <x v="47"/>
    <s v="ROBINA"/>
    <m/>
    <s v="18.20"/>
    <n v="150"/>
    <s v="NL2018"/>
    <m/>
    <n v="34"/>
    <n v="5100"/>
    <x v="42"/>
    <n v="32130000"/>
    <x v="0"/>
    <d v="2019-01-15T00:00:00"/>
    <d v="2019-02-19T00:00:00"/>
    <d v="2019-02-19T00:00:00"/>
    <s v="15/1AL"/>
    <m/>
    <m/>
    <m/>
    <d v="2019-03-05T00:00:00"/>
    <n v="5100"/>
    <m/>
    <m/>
    <m/>
    <m/>
    <m/>
    <m/>
    <n v="5100"/>
    <n v="0"/>
    <n v="0"/>
  </r>
  <r>
    <s v="22B/2019"/>
    <d v="2019-01-05T00:00:00"/>
    <s v="THANH THÚY"/>
    <s v="TU01"/>
    <x v="55"/>
    <x v="47"/>
    <s v="ROBINA"/>
    <m/>
    <s v="18.20"/>
    <n v="150"/>
    <s v="NL2018"/>
    <m/>
    <n v="40"/>
    <n v="6000"/>
    <x v="42"/>
    <n v="37800000"/>
    <x v="0"/>
    <d v="2019-02-15T00:00:00"/>
    <d v="2019-03-20T00:00:00"/>
    <d v="2019-03-20T00:00:00"/>
    <s v="14/2AL"/>
    <s v="CONT 10/2019"/>
    <m/>
    <m/>
    <d v="2019-03-25T00:00:00"/>
    <n v="6000"/>
    <m/>
    <m/>
    <m/>
    <m/>
    <m/>
    <m/>
    <n v="6000"/>
    <n v="0"/>
    <n v="0"/>
  </r>
  <r>
    <s v="22B/2019"/>
    <d v="2019-01-05T00:00:00"/>
    <s v="THANH THÚY"/>
    <s v="TU01"/>
    <x v="55"/>
    <x v="72"/>
    <s v="YELLOWEEN"/>
    <s v="DN"/>
    <s v="16.18"/>
    <n v="200"/>
    <s v="NL2018"/>
    <m/>
    <n v="20"/>
    <n v="4000"/>
    <x v="44"/>
    <n v="22000000"/>
    <x v="0"/>
    <d v="2019-02-15T00:00:00"/>
    <d v="2019-03-20T00:00:00"/>
    <d v="2019-03-20T00:00:00"/>
    <s v="14/2AL"/>
    <s v="CONT 10/2019"/>
    <m/>
    <m/>
    <d v="2019-03-25T00:00:00"/>
    <n v="4000"/>
    <m/>
    <m/>
    <m/>
    <m/>
    <m/>
    <m/>
    <n v="4000"/>
    <n v="0"/>
    <n v="0"/>
  </r>
  <r>
    <s v="22B/2019"/>
    <d v="2019-01-05T00:00:00"/>
    <s v="THANH THÚY"/>
    <s v="TU01"/>
    <x v="55"/>
    <x v="15"/>
    <s v="CONCADOR"/>
    <m/>
    <s v="16.18"/>
    <n v="200"/>
    <s v="NL2018"/>
    <m/>
    <n v="50"/>
    <n v="10000"/>
    <x v="18"/>
    <n v="50000000"/>
    <x v="0"/>
    <d v="2019-03-15T00:00:00"/>
    <d v="2019-04-19T00:00:00"/>
    <d v="2019-04-19T00:00:00"/>
    <s v="15/3AL"/>
    <s v="CONT 22/2019"/>
    <m/>
    <m/>
    <d v="2019-05-21T00:00:00"/>
    <n v="10000"/>
    <m/>
    <m/>
    <m/>
    <m/>
    <m/>
    <m/>
    <n v="10000"/>
    <n v="0"/>
    <n v="0"/>
  </r>
  <r>
    <s v="22B/2019"/>
    <d v="2019-01-05T00:00:00"/>
    <s v="THANH THÚY"/>
    <s v="TU01"/>
    <x v="55"/>
    <x v="10"/>
    <s v="ARVANDRUD"/>
    <m/>
    <s v="16.18"/>
    <n v="200"/>
    <s v="NL2018"/>
    <m/>
    <n v="150"/>
    <n v="30000"/>
    <x v="44"/>
    <n v="165000000"/>
    <x v="4"/>
    <d v="2019-03-15T00:00:00"/>
    <d v="2019-04-19T00:00:00"/>
    <d v="2019-04-19T00:00:00"/>
    <s v="15/3AL"/>
    <s v="CONT 21/2019"/>
    <m/>
    <m/>
    <d v="2019-04-26T00:00:00"/>
    <n v="7000"/>
    <d v="2019-05-21T00:00:00"/>
    <n v="6000"/>
    <d v="2019-06-05T00:00:00"/>
    <n v="5000"/>
    <d v="2019-06-18T00:00:00"/>
    <n v="6000"/>
    <n v="24000"/>
    <n v="6000"/>
    <n v="33000000"/>
  </r>
  <r>
    <s v="22B/2019"/>
    <d v="2019-01-05T00:00:00"/>
    <s v="THANH THÚY"/>
    <s v="TU01"/>
    <x v="55"/>
    <x v="57"/>
    <s v="DALIAN"/>
    <m/>
    <s v="14.16"/>
    <n v="300"/>
    <s v="NL2018"/>
    <m/>
    <n v="34"/>
    <n v="10200"/>
    <x v="112"/>
    <n v="54570000"/>
    <x v="4"/>
    <d v="2019-04-15T00:00:00"/>
    <d v="2019-05-19T00:00:00"/>
    <d v="2019-05-19T00:00:00"/>
    <s v="15/4AL"/>
    <m/>
    <m/>
    <m/>
    <d v="2019-06-18T00:00:00"/>
    <n v="6000"/>
    <m/>
    <m/>
    <m/>
    <m/>
    <m/>
    <m/>
    <n v="6000"/>
    <n v="4200"/>
    <n v="22470000"/>
  </r>
  <r>
    <s v="22B/2019"/>
    <d v="2019-01-05T00:00:00"/>
    <s v="THANH THÚY"/>
    <s v="TU01"/>
    <x v="55"/>
    <x v="10"/>
    <s v="ARVANDRUD"/>
    <m/>
    <s v="16.18"/>
    <n v="200"/>
    <s v="NL2018"/>
    <m/>
    <n v="0"/>
    <n v="0"/>
    <x v="48"/>
    <n v="0"/>
    <x v="1"/>
    <d v="2019-04-15T00:00:00"/>
    <d v="2019-05-19T00:00:00"/>
    <d v="2019-05-19T00:00:00"/>
    <s v="15/4AL"/>
    <m/>
    <m/>
    <m/>
    <m/>
    <n v="0"/>
    <m/>
    <m/>
    <m/>
    <m/>
    <m/>
    <m/>
    <n v="0"/>
    <n v="0"/>
    <n v="0"/>
  </r>
  <r>
    <s v="22B/2019"/>
    <d v="2019-06-07T00:00:00"/>
    <s v="THANH THÚY"/>
    <s v="TU01"/>
    <x v="55"/>
    <x v="72"/>
    <s v="YELLOWEEN"/>
    <s v="DN"/>
    <s v="16.18"/>
    <n v="200"/>
    <s v="NL2018"/>
    <m/>
    <n v="0"/>
    <n v="0"/>
    <x v="44"/>
    <n v="0"/>
    <x v="1"/>
    <d v="2019-04-15T00:00:00"/>
    <d v="2019-05-19T00:00:00"/>
    <d v="2019-05-19T00:00:00"/>
    <s v="15/4AL"/>
    <m/>
    <m/>
    <m/>
    <m/>
    <m/>
    <m/>
    <m/>
    <m/>
    <m/>
    <m/>
    <m/>
    <n v="0"/>
    <n v="0"/>
    <n v="0"/>
  </r>
  <r>
    <s v="22B/2019"/>
    <d v="2019-06-07T00:00:00"/>
    <s v="THANH THÚY"/>
    <s v="TU01"/>
    <x v="55"/>
    <x v="22"/>
    <s v="ROBINA"/>
    <m/>
    <s v="16.18"/>
    <n v="200"/>
    <s v="NL2018"/>
    <m/>
    <n v="60"/>
    <n v="12000"/>
    <x v="44"/>
    <n v="66000000"/>
    <x v="4"/>
    <d v="2019-05-05T00:00:00"/>
    <d v="2019-06-07T00:00:00"/>
    <d v="2019-06-07T00:00:00"/>
    <m/>
    <m/>
    <m/>
    <m/>
    <m/>
    <m/>
    <m/>
    <m/>
    <m/>
    <m/>
    <m/>
    <m/>
    <n v="0"/>
    <n v="12000"/>
    <n v="66000000"/>
  </r>
  <r>
    <s v="22B/2019"/>
    <d v="2019-06-17T00:00:00"/>
    <s v="THANH THÚY"/>
    <s v="TU01"/>
    <x v="55"/>
    <x v="57"/>
    <s v="DALIAN"/>
    <m/>
    <s v="14.16"/>
    <s v="300"/>
    <s v="NL2018"/>
    <m/>
    <n v="34"/>
    <n v="10200"/>
    <x v="44"/>
    <n v="56100000"/>
    <x v="3"/>
    <d v="2019-06-15T00:00:00"/>
    <d v="2019-07-17T00:00:00"/>
    <d v="2019-07-17T00:00:00"/>
    <m/>
    <m/>
    <m/>
    <m/>
    <m/>
    <m/>
    <m/>
    <m/>
    <m/>
    <m/>
    <m/>
    <m/>
    <n v="0"/>
    <n v="10200"/>
    <n v="56100000"/>
  </r>
  <r>
    <s v="22B/2019"/>
    <d v="2019-06-17T00:00:00"/>
    <s v="THANH THÚY"/>
    <s v="TU01"/>
    <x v="55"/>
    <x v="57"/>
    <s v="DALIAN"/>
    <m/>
    <s v="14.16"/>
    <s v="300"/>
    <s v="NL2018"/>
    <m/>
    <n v="34"/>
    <n v="10200"/>
    <x v="44"/>
    <n v="56100000"/>
    <x v="2"/>
    <d v="2019-06-25T00:00:00"/>
    <d v="2019-07-27T00:00:00"/>
    <d v="2019-07-27T00:00:00"/>
    <m/>
    <m/>
    <m/>
    <m/>
    <m/>
    <m/>
    <m/>
    <m/>
    <m/>
    <m/>
    <m/>
    <m/>
    <n v="0"/>
    <n v="10200"/>
    <n v="56100000"/>
  </r>
  <r>
    <s v="22B/2019"/>
    <d v="2019-01-05T00:00:00"/>
    <s v="THANH THÚY"/>
    <s v="TU01"/>
    <x v="55"/>
    <x v="22"/>
    <s v="ROBINA"/>
    <m/>
    <s v="16.18"/>
    <n v="200"/>
    <s v="NL2018"/>
    <m/>
    <n v="45"/>
    <n v="9000"/>
    <x v="78"/>
    <n v="45900000"/>
    <x v="0"/>
    <d v="2019-04-15T00:00:00"/>
    <d v="2019-05-19T00:00:00"/>
    <d v="2019-05-19T00:00:00"/>
    <s v="15/4AL"/>
    <m/>
    <m/>
    <m/>
    <d v="2019-06-04T00:00:00"/>
    <n v="9000"/>
    <m/>
    <m/>
    <m/>
    <m/>
    <m/>
    <m/>
    <n v="9000"/>
    <n v="0"/>
    <n v="0"/>
  </r>
  <r>
    <s v="22B/2019"/>
    <d v="2019-01-05T00:00:00"/>
    <s v="THANH THÚY"/>
    <s v="TU01"/>
    <x v="55"/>
    <x v="15"/>
    <s v="CONCADOR"/>
    <m/>
    <s v="16.18"/>
    <n v="200"/>
    <s v="NL2018"/>
    <m/>
    <n v="25"/>
    <n v="5000"/>
    <x v="18"/>
    <n v="25000000"/>
    <x v="0"/>
    <d v="2019-04-17T00:00:00"/>
    <d v="2019-05-21T00:00:00"/>
    <d v="2019-05-21T00:00:00"/>
    <m/>
    <m/>
    <m/>
    <m/>
    <d v="2019-06-04T00:00:00"/>
    <n v="5000"/>
    <m/>
    <m/>
    <m/>
    <m/>
    <m/>
    <m/>
    <n v="5000"/>
    <n v="0"/>
    <n v="0"/>
  </r>
  <r>
    <s v="22B/2019"/>
    <d v="2019-01-05T00:00:00"/>
    <s v="THANH THÚY"/>
    <s v="TU01"/>
    <x v="55"/>
    <x v="57"/>
    <s v="DALIAN"/>
    <m/>
    <s v="14.16"/>
    <n v="300"/>
    <s v="NL2018"/>
    <m/>
    <n v="17"/>
    <n v="5100"/>
    <x v="55"/>
    <n v="27030000"/>
    <x v="0"/>
    <s v="29-Feb-19"/>
    <d v="2019-04-03T00:00:00"/>
    <d v="2019-04-03T00:00:00"/>
    <s v="28/2AL"/>
    <s v="CONT 17/2019"/>
    <m/>
    <m/>
    <d v="2019-04-18T00:00:00"/>
    <n v="5100"/>
    <m/>
    <m/>
    <m/>
    <m/>
    <m/>
    <m/>
    <n v="5100"/>
    <n v="0"/>
    <n v="0"/>
  </r>
  <r>
    <s v="22B/2019"/>
    <d v="2019-01-05T00:00:00"/>
    <s v="THANH THÚY"/>
    <s v="TU01"/>
    <x v="55"/>
    <x v="49"/>
    <s v="MARENGO"/>
    <m/>
    <s v="16.18"/>
    <n v="200"/>
    <s v="NL2018"/>
    <m/>
    <n v="50"/>
    <n v="10000"/>
    <x v="46"/>
    <n v="60000000"/>
    <x v="0"/>
    <s v="29-Feb-19"/>
    <d v="2019-04-03T00:00:00"/>
    <d v="2019-04-03T00:00:00"/>
    <s v="28/2AL"/>
    <s v="CONT 17/2019"/>
    <m/>
    <m/>
    <d v="2019-04-18T00:00:00"/>
    <n v="7000"/>
    <d v="2019-04-26T00:00:00"/>
    <n v="3000"/>
    <m/>
    <m/>
    <m/>
    <m/>
    <n v="10000"/>
    <n v="0"/>
    <n v="0"/>
  </r>
  <r>
    <s v="160B/2019"/>
    <d v="2019-01-05T00:00:00"/>
    <s v="THANH THÚY"/>
    <s v="TU01"/>
    <x v="55"/>
    <x v="105"/>
    <s v="LODI"/>
    <m/>
    <s v="18.20"/>
    <n v="150"/>
    <s v="NL2018"/>
    <m/>
    <n v="34"/>
    <n v="5100"/>
    <x v="89"/>
    <n v="46920000"/>
    <x v="2"/>
    <d v="2019-09-01T00:00:00"/>
    <d v="2019-09-29T00:00:00"/>
    <d v="2019-09-29T00:00:00"/>
    <s v="TẾT"/>
    <m/>
    <m/>
    <m/>
    <m/>
    <n v="0"/>
    <m/>
    <m/>
    <m/>
    <m/>
    <m/>
    <m/>
    <n v="0"/>
    <n v="5100"/>
    <n v="46920000"/>
  </r>
  <r>
    <s v="160B/2019"/>
    <d v="2019-01-05T00:00:00"/>
    <s v="THANH THÚY"/>
    <s v="TU01"/>
    <x v="55"/>
    <x v="6"/>
    <s v="CONCADOR"/>
    <m/>
    <s v="20.22"/>
    <n v="125"/>
    <s v="NL2018"/>
    <m/>
    <n v="160"/>
    <n v="20000"/>
    <x v="59"/>
    <n v="210000000"/>
    <x v="2"/>
    <d v="2019-09-01T00:00:00"/>
    <d v="2019-09-29T00:00:00"/>
    <d v="2019-09-29T00:00:00"/>
    <s v="TẾT"/>
    <m/>
    <m/>
    <m/>
    <m/>
    <n v="0"/>
    <m/>
    <m/>
    <m/>
    <m/>
    <m/>
    <m/>
    <n v="0"/>
    <n v="20000"/>
    <n v="210000000"/>
  </r>
  <r>
    <s v="160B/2019"/>
    <d v="2019-01-05T00:00:00"/>
    <s v="THANH THÚY"/>
    <s v="TU01"/>
    <x v="55"/>
    <x v="106"/>
    <s v="ARVANDRUD"/>
    <m/>
    <s v="18.20"/>
    <n v="150"/>
    <s v="NL2018"/>
    <m/>
    <n v="68"/>
    <n v="10200"/>
    <x v="61"/>
    <n v="86700000"/>
    <x v="2"/>
    <d v="2019-09-01T00:00:00"/>
    <d v="2019-09-29T00:00:00"/>
    <d v="2019-09-29T00:00:00"/>
    <s v="TẾT"/>
    <m/>
    <m/>
    <m/>
    <m/>
    <n v="0"/>
    <m/>
    <m/>
    <m/>
    <m/>
    <m/>
    <m/>
    <n v="0"/>
    <n v="10200"/>
    <n v="86700000"/>
  </r>
  <r>
    <s v="160B/2019"/>
    <d v="2019-01-05T00:00:00"/>
    <s v="THANH THÚY"/>
    <s v="TU01"/>
    <x v="55"/>
    <x v="16"/>
    <s v="ROBINA"/>
    <m/>
    <s v="20.22"/>
    <n v="125"/>
    <s v="NL2018"/>
    <m/>
    <n v="160"/>
    <n v="20000"/>
    <x v="16"/>
    <n v="214000000"/>
    <x v="2"/>
    <d v="2019-09-01T00:00:00"/>
    <d v="2019-09-29T00:00:00"/>
    <d v="2019-09-29T00:00:00"/>
    <s v="TẾT"/>
    <m/>
    <m/>
    <m/>
    <m/>
    <m/>
    <m/>
    <m/>
    <m/>
    <m/>
    <m/>
    <m/>
    <n v="0"/>
    <n v="20000"/>
    <n v="214000000"/>
  </r>
  <r>
    <s v="49A/2019"/>
    <d v="2019-02-13T00:00:00"/>
    <s v="KIỀU THY"/>
    <s v="TT15"/>
    <x v="56"/>
    <x v="38"/>
    <s v="YELLOWEEN"/>
    <m/>
    <s v="16.18"/>
    <n v="200"/>
    <s v="NL2018"/>
    <m/>
    <n v="11"/>
    <n v="2200"/>
    <x v="18"/>
    <n v="11000000"/>
    <x v="0"/>
    <d v="2019-01-15T00:00:00"/>
    <d v="2019-02-19T00:00:00"/>
    <d v="2019-02-19T00:00:00"/>
    <s v="15/1AL"/>
    <m/>
    <m/>
    <m/>
    <d v="2019-03-01T00:00:00"/>
    <n v="2200"/>
    <m/>
    <m/>
    <m/>
    <m/>
    <m/>
    <m/>
    <n v="2200"/>
    <n v="0"/>
    <n v="0"/>
  </r>
  <r>
    <s v="213A/2019"/>
    <d v="2019-05-02T00:00:00"/>
    <s v="KIỀU THY"/>
    <s v="TH16"/>
    <x v="57"/>
    <x v="57"/>
    <s v="DALIAN"/>
    <m/>
    <s v="14.16"/>
    <s v="300"/>
    <s v="NL2018"/>
    <m/>
    <n v="3"/>
    <n v="900"/>
    <x v="44"/>
    <n v="4950000"/>
    <x v="0"/>
    <d v="2019-03-30T00:00:00"/>
    <d v="2019-05-04T00:00:00"/>
    <d v="2019-05-04T00:00:00"/>
    <m/>
    <m/>
    <m/>
    <m/>
    <d v="2019-05-08T00:00:00"/>
    <n v="900"/>
    <m/>
    <m/>
    <m/>
    <m/>
    <m/>
    <m/>
    <n v="900"/>
    <n v="0"/>
    <n v="0"/>
  </r>
  <r>
    <s v="181A/2019"/>
    <d v="2019-05-29T00:00:00"/>
    <s v="KIỀU THY"/>
    <s v="TT19"/>
    <x v="58"/>
    <x v="12"/>
    <s v="AMATERAS"/>
    <m/>
    <s v="14.16"/>
    <s v="300"/>
    <s v="NL2018"/>
    <m/>
    <n v="7"/>
    <n v="2100"/>
    <x v="13"/>
    <n v="9450000"/>
    <x v="0"/>
    <d v="2019-05-05T00:00:00"/>
    <d v="2019-06-07T00:00:00"/>
    <d v="2019-06-07T00:00:00"/>
    <m/>
    <m/>
    <m/>
    <m/>
    <d v="2019-06-08T00:00:00"/>
    <n v="2100"/>
    <m/>
    <m/>
    <m/>
    <m/>
    <m/>
    <m/>
    <n v="2100"/>
    <n v="0"/>
    <n v="0"/>
  </r>
  <r>
    <s v="181A/2019"/>
    <d v="2019-06-07T00:00:00"/>
    <s v="KIỀU THY"/>
    <s v="TT19"/>
    <x v="58"/>
    <x v="3"/>
    <s v="PAVIA"/>
    <m/>
    <s v="12.14"/>
    <s v="400"/>
    <s v="NL2018"/>
    <m/>
    <n v="5"/>
    <n v="2000"/>
    <x v="14"/>
    <n v="5800000"/>
    <x v="0"/>
    <d v="2019-05-05T00:00:00"/>
    <d v="2019-06-07T00:00:00"/>
    <d v="2019-06-07T00:00:00"/>
    <m/>
    <m/>
    <m/>
    <m/>
    <d v="2019-06-08T00:00:00"/>
    <n v="2000"/>
    <m/>
    <m/>
    <m/>
    <m/>
    <m/>
    <m/>
    <n v="2000"/>
    <n v="0"/>
    <n v="0"/>
  </r>
  <r>
    <s v="181A/2019"/>
    <d v="2019-04-19T00:00:00"/>
    <s v="KIỀU THY"/>
    <s v="TT19"/>
    <x v="58"/>
    <x v="80"/>
    <s v="PROFUNDO"/>
    <m/>
    <s v="14.16"/>
    <s v="300"/>
    <s v="NL2018"/>
    <m/>
    <n v="0"/>
    <n v="0"/>
    <x v="82"/>
    <n v="0"/>
    <x v="1"/>
    <d v="2019-05-05T00:00:00"/>
    <d v="2019-06-07T00:00:00"/>
    <d v="2019-06-07T00:00:00"/>
    <s v="5/5AL"/>
    <m/>
    <m/>
    <m/>
    <m/>
    <m/>
    <m/>
    <m/>
    <m/>
    <m/>
    <m/>
    <m/>
    <n v="0"/>
    <n v="0"/>
    <n v="0"/>
  </r>
  <r>
    <s v="181A/2019"/>
    <d v="2019-04-08T00:00:00"/>
    <s v="KIỀU THY"/>
    <s v="TT19"/>
    <x v="58"/>
    <x v="2"/>
    <s v="NASHVILLE"/>
    <m/>
    <s v="14.16"/>
    <s v="300"/>
    <s v="NL2018"/>
    <m/>
    <n v="27"/>
    <n v="8100"/>
    <x v="57"/>
    <n v="32400000"/>
    <x v="0"/>
    <d v="2019-04-17T00:00:00"/>
    <d v="2019-05-21T00:00:00"/>
    <d v="2019-05-21T00:00:00"/>
    <s v="10/4AL"/>
    <m/>
    <m/>
    <m/>
    <d v="2019-05-27T00:00:00"/>
    <n v="8100"/>
    <m/>
    <m/>
    <m/>
    <m/>
    <m/>
    <m/>
    <n v="8100"/>
    <n v="0"/>
    <n v="0"/>
  </r>
  <r>
    <s v="181A/2019"/>
    <d v="2019-05-08T00:00:00"/>
    <s v="KIỀU THY"/>
    <s v="TT19"/>
    <x v="58"/>
    <x v="3"/>
    <s v="PAVIA"/>
    <m/>
    <s v="12.14"/>
    <s v="400"/>
    <s v="NL2018"/>
    <m/>
    <n v="13"/>
    <n v="5200"/>
    <x v="14"/>
    <n v="15080000"/>
    <x v="0"/>
    <d v="2019-04-17T00:00:00"/>
    <d v="2019-05-21T00:00:00"/>
    <d v="2019-05-21T00:00:00"/>
    <s v="10/4AL"/>
    <m/>
    <m/>
    <m/>
    <d v="2019-05-19T00:00:00"/>
    <n v="5200"/>
    <m/>
    <m/>
    <m/>
    <m/>
    <m/>
    <m/>
    <n v="5200"/>
    <n v="0"/>
    <n v="0"/>
  </r>
  <r>
    <s v="181A/2019"/>
    <d v="2019-05-13T00:00:00"/>
    <s v="KIỀU THY"/>
    <s v="TT19"/>
    <x v="58"/>
    <x v="50"/>
    <s v="PROFUNDO"/>
    <m/>
    <s v="14.16"/>
    <s v="275"/>
    <s v="NL2018"/>
    <m/>
    <n v="58"/>
    <n v="15950"/>
    <x v="18"/>
    <n v="79750000"/>
    <x v="0"/>
    <d v="2019-04-17T00:00:00"/>
    <d v="2019-05-21T00:00:00"/>
    <d v="2019-05-21T00:00:00"/>
    <m/>
    <m/>
    <m/>
    <m/>
    <d v="2019-05-19T00:00:00"/>
    <n v="12925"/>
    <d v="2019-05-27T00:00:00"/>
    <s v="3025"/>
    <m/>
    <m/>
    <m/>
    <m/>
    <n v="15950"/>
    <n v="0"/>
    <n v="0"/>
  </r>
  <r>
    <s v="181A/2019"/>
    <d v="2019-05-13T00:00:00"/>
    <s v="KIỀU THY"/>
    <s v="TT19"/>
    <x v="58"/>
    <x v="5"/>
    <s v="PROFUNDO"/>
    <m/>
    <s v="16.18"/>
    <s v="200"/>
    <s v="NL2018"/>
    <m/>
    <n v="5"/>
    <n v="1000"/>
    <x v="101"/>
    <n v="7800000"/>
    <x v="0"/>
    <d v="2019-04-17T00:00:00"/>
    <d v="2019-05-21T00:00:00"/>
    <d v="2019-05-21T00:00:00"/>
    <m/>
    <m/>
    <m/>
    <m/>
    <d v="2019-05-27T00:00:00"/>
    <n v="1000"/>
    <m/>
    <m/>
    <m/>
    <m/>
    <m/>
    <m/>
    <n v="1000"/>
    <n v="0"/>
    <n v="0"/>
  </r>
  <r>
    <s v="181A/2019"/>
    <d v="2019-05-24T00:00:00"/>
    <s v="KIỀU THY"/>
    <s v="TT19"/>
    <x v="58"/>
    <x v="3"/>
    <s v="PAVIA"/>
    <m/>
    <s v="12.14"/>
    <s v="400"/>
    <s v="NL2018"/>
    <m/>
    <n v="9"/>
    <n v="3600"/>
    <x v="14"/>
    <n v="10440000"/>
    <x v="0"/>
    <d v="2019-04-17T00:00:00"/>
    <d v="2019-05-21T00:00:00"/>
    <d v="2019-05-21T00:00:00"/>
    <m/>
    <m/>
    <m/>
    <m/>
    <d v="2019-05-27T00:00:00"/>
    <n v="3600"/>
    <m/>
    <m/>
    <m/>
    <m/>
    <m/>
    <m/>
    <n v="3600"/>
    <n v="0"/>
    <n v="0"/>
  </r>
  <r>
    <s v="200A/2019"/>
    <d v="2019-04-19T00:00:00"/>
    <s v="KIỀU THY"/>
    <s v="TT19"/>
    <x v="58"/>
    <x v="107"/>
    <s v="PROFUNDO CHILE"/>
    <m/>
    <s v="20.22"/>
    <s v="125"/>
    <s v="CL2019"/>
    <m/>
    <n v="24"/>
    <n v="3000"/>
    <x v="37"/>
    <n v="40500000"/>
    <x v="2"/>
    <d v="2019-09-01T00:00:00"/>
    <d v="2019-09-29T00:00:00"/>
    <d v="2019-09-29T00:00:00"/>
    <m/>
    <m/>
    <m/>
    <m/>
    <m/>
    <m/>
    <m/>
    <m/>
    <m/>
    <m/>
    <m/>
    <m/>
    <n v="0"/>
    <n v="3000"/>
    <n v="40500000"/>
  </r>
  <r>
    <s v="230/2019"/>
    <d v="2019-05-30T00:00:00"/>
    <s v="KIỀU THY"/>
    <s v="TC01"/>
    <x v="59"/>
    <x v="16"/>
    <s v="ROBINA"/>
    <m/>
    <s v="20.22"/>
    <s v="125"/>
    <s v="NL2018"/>
    <m/>
    <n v="0"/>
    <n v="0"/>
    <x v="16"/>
    <n v="0"/>
    <x v="1"/>
    <d v="2019-09-01T00:00:00"/>
    <s v=""/>
    <s v=""/>
    <m/>
    <m/>
    <m/>
    <m/>
    <m/>
    <m/>
    <m/>
    <m/>
    <m/>
    <m/>
    <m/>
    <m/>
    <n v="0"/>
    <n v="0"/>
    <n v="0"/>
  </r>
  <r>
    <s v="230/2019"/>
    <d v="2019-05-30T00:00:00"/>
    <s v="KIỀU THY"/>
    <s v="TC01"/>
    <x v="59"/>
    <x v="26"/>
    <s v="ROBINA"/>
    <m/>
    <s v="22.24"/>
    <s v="100"/>
    <s v="NL2018"/>
    <m/>
    <n v="0"/>
    <n v="0"/>
    <x v="29"/>
    <n v="0"/>
    <x v="1"/>
    <d v="2019-09-01T00:00:00"/>
    <s v=""/>
    <s v=""/>
    <m/>
    <m/>
    <m/>
    <m/>
    <m/>
    <m/>
    <m/>
    <m/>
    <m/>
    <m/>
    <m/>
    <m/>
    <n v="0"/>
    <n v="0"/>
    <n v="0"/>
  </r>
  <r>
    <s v="230/2019"/>
    <d v="2019-05-30T00:00:00"/>
    <s v="KIỀU THY"/>
    <s v="TC01"/>
    <x v="59"/>
    <x v="108"/>
    <s v="ROBINA Newzeland"/>
    <m/>
    <s v="20.22"/>
    <s v="125"/>
    <s v="NZ2019"/>
    <m/>
    <n v="40"/>
    <n v="5000"/>
    <x v="29"/>
    <n v="62500000"/>
    <x v="2"/>
    <d v="2019-09-01T00:00:00"/>
    <s v=""/>
    <s v=""/>
    <m/>
    <m/>
    <m/>
    <m/>
    <m/>
    <m/>
    <m/>
    <m/>
    <m/>
    <m/>
    <m/>
    <m/>
    <n v="0"/>
    <n v="5000"/>
    <n v="62500000"/>
  </r>
  <r>
    <s v="230/2019"/>
    <d v="2019-05-30T00:00:00"/>
    <s v="KIỀU THY"/>
    <s v="TC01"/>
    <x v="59"/>
    <x v="109"/>
    <s v="ROBINA Newzeland"/>
    <m/>
    <s v="22.24"/>
    <s v="100"/>
    <s v="NZ2019"/>
    <m/>
    <n v="50"/>
    <n v="5000"/>
    <x v="40"/>
    <n v="65000000"/>
    <x v="2"/>
    <d v="2019-09-01T00:00:00"/>
    <s v=""/>
    <s v=""/>
    <m/>
    <m/>
    <m/>
    <m/>
    <m/>
    <m/>
    <m/>
    <m/>
    <m/>
    <m/>
    <m/>
    <m/>
    <n v="0"/>
    <n v="5000"/>
    <n v="65000000"/>
  </r>
  <r>
    <s v="230/2019"/>
    <d v="2019-05-30T00:00:00"/>
    <s v="KIỀU THY"/>
    <s v="TC01"/>
    <x v="59"/>
    <x v="6"/>
    <s v="CONCADOR"/>
    <m/>
    <s v="20.22"/>
    <s v="125"/>
    <s v="NL2018"/>
    <m/>
    <n v="0"/>
    <n v="0"/>
    <x v="7"/>
    <n v="0"/>
    <x v="1"/>
    <d v="2019-09-01T00:00:00"/>
    <s v=""/>
    <s v=""/>
    <m/>
    <m/>
    <m/>
    <m/>
    <m/>
    <m/>
    <m/>
    <m/>
    <m/>
    <m/>
    <m/>
    <m/>
    <n v="0"/>
    <n v="0"/>
    <n v="0"/>
  </r>
  <r>
    <s v="230/2019"/>
    <d v="2019-05-30T00:00:00"/>
    <s v="KIỀU THY"/>
    <s v="TC01"/>
    <x v="59"/>
    <x v="46"/>
    <s v="CONCADOR"/>
    <m/>
    <s v="22.24"/>
    <s v="100"/>
    <s v="NL2018"/>
    <m/>
    <n v="0"/>
    <n v="0"/>
    <x v="29"/>
    <n v="0"/>
    <x v="1"/>
    <d v="2019-09-01T00:00:00"/>
    <s v=""/>
    <s v=""/>
    <m/>
    <m/>
    <m/>
    <m/>
    <m/>
    <m/>
    <m/>
    <m/>
    <m/>
    <m/>
    <m/>
    <m/>
    <n v="0"/>
    <n v="0"/>
    <n v="0"/>
  </r>
  <r>
    <s v="230/2019"/>
    <d v="2019-05-30T00:00:00"/>
    <s v="KIỀU THY"/>
    <s v="TC01"/>
    <x v="59"/>
    <x v="110"/>
    <s v="CONCADOR"/>
    <m/>
    <s v="20.22"/>
    <s v="125"/>
    <s v="NZ2019"/>
    <m/>
    <n v="216"/>
    <n v="27000"/>
    <x v="53"/>
    <n v="324000000"/>
    <x v="2"/>
    <d v="2019-09-01T00:00:00"/>
    <s v=""/>
    <s v=""/>
    <m/>
    <m/>
    <m/>
    <m/>
    <m/>
    <m/>
    <m/>
    <m/>
    <m/>
    <m/>
    <m/>
    <m/>
    <n v="0"/>
    <n v="27000"/>
    <n v="324000000"/>
  </r>
  <r>
    <s v="121A/2019"/>
    <d v="2019-03-15T00:00:00"/>
    <s v="KIỀU THY"/>
    <s v="TH03"/>
    <x v="60"/>
    <x v="80"/>
    <s v="PROFUNDO"/>
    <m/>
    <s v="14.16"/>
    <s v="300"/>
    <s v="NL2018"/>
    <m/>
    <n v="6"/>
    <n v="1800"/>
    <x v="23"/>
    <n v="8640000"/>
    <x v="0"/>
    <d v="2019-02-15T00:00:00"/>
    <d v="2019-03-20T00:00:00"/>
    <d v="2019-03-20T00:00:00"/>
    <m/>
    <m/>
    <m/>
    <m/>
    <d v="2019-04-22T00:00:00"/>
    <n v="1800"/>
    <m/>
    <m/>
    <m/>
    <m/>
    <m/>
    <m/>
    <n v="1800"/>
    <n v="0"/>
    <n v="0"/>
  </r>
  <r>
    <s v="121A/2019"/>
    <d v="2019-03-15T00:00:00"/>
    <s v="KIỀU THY"/>
    <s v="TH03"/>
    <x v="60"/>
    <x v="11"/>
    <s v="YELLOWEEN"/>
    <m/>
    <s v="12.14"/>
    <s v="400"/>
    <s v="NL2018"/>
    <m/>
    <n v="12"/>
    <n v="4800"/>
    <x v="12"/>
    <n v="12480000"/>
    <x v="0"/>
    <d v="2019-02-28T00:00:00"/>
    <d v="2019-04-02T00:00:00"/>
    <d v="2019-04-02T00:00:00"/>
    <m/>
    <m/>
    <m/>
    <m/>
    <d v="2019-04-22T00:00:00"/>
    <n v="4800"/>
    <m/>
    <m/>
    <m/>
    <m/>
    <m/>
    <m/>
    <n v="4800"/>
    <n v="0"/>
    <n v="0"/>
  </r>
  <r>
    <s v="121A/2019"/>
    <d v="2019-03-15T00:00:00"/>
    <s v="KIỀU THY"/>
    <s v="TH03"/>
    <x v="60"/>
    <x v="47"/>
    <s v="ROBINA"/>
    <m/>
    <s v="18.20"/>
    <s v="150"/>
    <s v="NL2018"/>
    <m/>
    <n v="14"/>
    <n v="2100"/>
    <x v="42"/>
    <n v="13230000"/>
    <x v="0"/>
    <d v="2019-03-15T00:00:00"/>
    <d v="2019-04-19T00:00:00"/>
    <d v="2019-04-19T00:00:00"/>
    <m/>
    <m/>
    <m/>
    <m/>
    <d v="2019-05-11T00:00:00"/>
    <n v="2100"/>
    <m/>
    <m/>
    <m/>
    <m/>
    <m/>
    <m/>
    <n v="2100"/>
    <n v="0"/>
    <n v="0"/>
  </r>
  <r>
    <s v="121A/2019"/>
    <d v="2019-03-15T00:00:00"/>
    <s v="KIỀU THY"/>
    <s v="TH03"/>
    <x v="60"/>
    <x v="34"/>
    <s v="TARRANGO"/>
    <m/>
    <s v="16.18"/>
    <s v="200"/>
    <s v="NL2018"/>
    <m/>
    <n v="7"/>
    <n v="1400"/>
    <x v="44"/>
    <n v="7700000"/>
    <x v="0"/>
    <d v="2019-03-15T00:00:00"/>
    <d v="2019-04-19T00:00:00"/>
    <d v="2019-04-19T00:00:00"/>
    <m/>
    <m/>
    <m/>
    <m/>
    <d v="2019-05-11T00:00:00"/>
    <n v="1400"/>
    <m/>
    <m/>
    <m/>
    <m/>
    <m/>
    <m/>
    <n v="1400"/>
    <n v="0"/>
    <n v="0"/>
  </r>
  <r>
    <s v="121A/2019"/>
    <d v="2019-03-15T00:00:00"/>
    <s v="KIỀU THY"/>
    <s v="TH03"/>
    <x v="60"/>
    <x v="11"/>
    <s v="YELLOWEEN"/>
    <m/>
    <s v="12.14"/>
    <s v="400"/>
    <s v="NL2018"/>
    <m/>
    <n v="9"/>
    <n v="3600"/>
    <x v="47"/>
    <n v="9720000"/>
    <x v="0"/>
    <d v="2019-03-15T00:00:00"/>
    <d v="2019-04-19T00:00:00"/>
    <d v="2019-04-19T00:00:00"/>
    <m/>
    <m/>
    <m/>
    <m/>
    <d v="2019-05-11T00:00:00"/>
    <n v="3600"/>
    <m/>
    <m/>
    <m/>
    <m/>
    <m/>
    <m/>
    <n v="3600"/>
    <n v="0"/>
    <n v="0"/>
  </r>
  <r>
    <s v="121A/2019"/>
    <d v="2019-03-15T00:00:00"/>
    <s v="KIỀU THY"/>
    <s v="TH03"/>
    <x v="60"/>
    <x v="22"/>
    <s v="ROBINA"/>
    <m/>
    <s v="16.18"/>
    <s v="200"/>
    <s v="NL2018"/>
    <m/>
    <n v="15"/>
    <n v="3000"/>
    <x v="18"/>
    <n v="15000000"/>
    <x v="0"/>
    <d v="2019-04-17T00:00:00"/>
    <d v="2019-05-21T00:00:00"/>
    <d v="2019-05-21T00:00:00"/>
    <m/>
    <m/>
    <m/>
    <m/>
    <d v="2019-05-31T00:00:00"/>
    <n v="3000"/>
    <m/>
    <m/>
    <m/>
    <m/>
    <m/>
    <m/>
    <n v="3000"/>
    <n v="0"/>
    <n v="0"/>
  </r>
  <r>
    <s v="121A/2019"/>
    <d v="2019-03-15T00:00:00"/>
    <s v="KIỀU THY"/>
    <s v="TH03"/>
    <x v="60"/>
    <x v="28"/>
    <s v="YELLOWEEN"/>
    <m/>
    <s v="14.16"/>
    <s v="300"/>
    <s v="NL2018"/>
    <m/>
    <n v="14"/>
    <n v="4200"/>
    <x v="6"/>
    <n v="15960000"/>
    <x v="0"/>
    <d v="2019-04-17T00:00:00"/>
    <d v="2019-05-21T00:00:00"/>
    <d v="2019-05-21T00:00:00"/>
    <m/>
    <m/>
    <m/>
    <m/>
    <d v="2019-05-31T00:00:00"/>
    <n v="4200"/>
    <m/>
    <m/>
    <m/>
    <m/>
    <m/>
    <m/>
    <n v="4200"/>
    <n v="0"/>
    <n v="0"/>
  </r>
  <r>
    <s v="124A/2019"/>
    <d v="2019-03-15T00:00:00"/>
    <s v="KIỀU THY"/>
    <s v="TH03"/>
    <x v="60"/>
    <x v="6"/>
    <s v="CONCADOR"/>
    <m/>
    <s v="20.22"/>
    <s v="125"/>
    <s v="NL2018"/>
    <m/>
    <n v="120"/>
    <n v="15000"/>
    <x v="59"/>
    <n v="157500000"/>
    <x v="2"/>
    <d v="2019-09-01T00:00:00"/>
    <d v="2019-09-29T00:00:00"/>
    <d v="2019-09-29T00:00:00"/>
    <s v="TẾT"/>
    <m/>
    <m/>
    <m/>
    <m/>
    <n v="0"/>
    <m/>
    <m/>
    <m/>
    <m/>
    <m/>
    <m/>
    <n v="0"/>
    <n v="15000"/>
    <n v="157500000"/>
  </r>
  <r>
    <s v="124A/2019"/>
    <d v="2019-03-15T00:00:00"/>
    <s v="KIỀU THY"/>
    <s v="TH03"/>
    <x v="60"/>
    <x v="26"/>
    <s v="ROBINA"/>
    <m/>
    <s v="22.24"/>
    <s v="100"/>
    <s v="NL2018"/>
    <m/>
    <n v="150"/>
    <n v="15000"/>
    <x v="29"/>
    <n v="187500000"/>
    <x v="2"/>
    <d v="2019-09-01T00:00:00"/>
    <d v="2019-09-29T00:00:00"/>
    <d v="2019-09-29T00:00:00"/>
    <s v="TẾT"/>
    <m/>
    <m/>
    <m/>
    <m/>
    <n v="0"/>
    <m/>
    <m/>
    <m/>
    <m/>
    <m/>
    <m/>
    <n v="0"/>
    <n v="15000"/>
    <n v="187500000"/>
  </r>
  <r>
    <s v="121A/2019"/>
    <d v="2019-06-15T00:00:00"/>
    <s v="KIỀU THY"/>
    <s v="TH03"/>
    <x v="60"/>
    <x v="56"/>
    <s v="OUTBACK"/>
    <m/>
    <s v="14.16"/>
    <s v="300"/>
    <s v="NL2018"/>
    <m/>
    <n v="7"/>
    <n v="2100"/>
    <x v="11"/>
    <n v="11340000"/>
    <x v="4"/>
    <d v="2019-05-15T00:00:00"/>
    <d v="2019-06-17T00:00:00"/>
    <d v="2019-06-17T00:00:00"/>
    <m/>
    <m/>
    <m/>
    <m/>
    <m/>
    <m/>
    <m/>
    <m/>
    <m/>
    <m/>
    <m/>
    <m/>
    <n v="0"/>
    <n v="2100"/>
    <n v="11340000"/>
  </r>
  <r>
    <s v="121A/2019"/>
    <d v="2019-06-15T00:00:00"/>
    <s v="KIỀU THY"/>
    <s v="TH03"/>
    <x v="60"/>
    <x v="57"/>
    <s v="DALIAN"/>
    <m/>
    <s v="14.16"/>
    <s v="300"/>
    <s v="NL2018"/>
    <m/>
    <n v="12"/>
    <n v="3600"/>
    <x v="48"/>
    <n v="20160000"/>
    <x v="4"/>
    <d v="2019-07-05T00:00:00"/>
    <d v="2019-08-05T00:00:00"/>
    <d v="2019-08-05T00:00:00"/>
    <m/>
    <m/>
    <m/>
    <m/>
    <m/>
    <m/>
    <m/>
    <m/>
    <m/>
    <m/>
    <m/>
    <m/>
    <n v="0"/>
    <n v="3600"/>
    <n v="20160000"/>
  </r>
  <r>
    <s v="121A/2019"/>
    <d v="2019-06-15T00:00:00"/>
    <s v="KIỀU THY"/>
    <s v="TH03"/>
    <x v="60"/>
    <x v="22"/>
    <s v="ROBINA"/>
    <m/>
    <s v="16.18"/>
    <s v="200"/>
    <s v="NL2018"/>
    <m/>
    <n v="15"/>
    <n v="3000"/>
    <x v="44"/>
    <n v="16500000"/>
    <x v="4"/>
    <d v="2019-05-15T00:00:00"/>
    <d v="2019-06-17T00:00:00"/>
    <d v="2019-06-17T00:00:00"/>
    <m/>
    <m/>
    <m/>
    <m/>
    <m/>
    <m/>
    <m/>
    <m/>
    <m/>
    <m/>
    <m/>
    <m/>
    <n v="0"/>
    <n v="3000"/>
    <n v="16500000"/>
  </r>
  <r>
    <s v="121A/2019"/>
    <d v="2019-06-15T00:00:00"/>
    <s v="KIỀU THY"/>
    <s v="TH03"/>
    <x v="60"/>
    <x v="22"/>
    <s v="ROBINA"/>
    <m/>
    <s v="16.18"/>
    <s v="200"/>
    <s v="NL2018"/>
    <m/>
    <n v="20"/>
    <n v="4000"/>
    <x v="44"/>
    <n v="22000000"/>
    <x v="3"/>
    <d v="2019-05-18T00:00:00"/>
    <d v="2019-06-20T00:00:00"/>
    <d v="2019-06-20T00:00:00"/>
    <m/>
    <m/>
    <m/>
    <m/>
    <m/>
    <m/>
    <m/>
    <m/>
    <m/>
    <m/>
    <m/>
    <m/>
    <n v="0"/>
    <n v="4000"/>
    <n v="22000000"/>
  </r>
  <r>
    <s v="121A/2019"/>
    <d v="2019-06-15T00:00:00"/>
    <s v="KIỀU THY"/>
    <s v="TH03"/>
    <x v="60"/>
    <x v="15"/>
    <s v="CONCADOR"/>
    <m/>
    <s v="16.18"/>
    <s v="200"/>
    <s v="NL2018"/>
    <m/>
    <n v="10"/>
    <n v="2000"/>
    <x v="43"/>
    <n v="13000000"/>
    <x v="4"/>
    <d v="2019-05-25T00:00:00"/>
    <d v="2019-06-27T00:00:00"/>
    <d v="2019-06-27T00:00:00"/>
    <m/>
    <m/>
    <m/>
    <m/>
    <m/>
    <m/>
    <m/>
    <m/>
    <m/>
    <m/>
    <m/>
    <m/>
    <n v="0"/>
    <n v="2000"/>
    <n v="13000000"/>
  </r>
  <r>
    <s v="110B/2019"/>
    <d v="2019-03-12T00:00:00"/>
    <s v="THANH THÚY"/>
    <s v="TO02"/>
    <x v="61"/>
    <x v="2"/>
    <s v="NASHVILLE"/>
    <m/>
    <s v="14.16"/>
    <n v="300"/>
    <s v="NL2018"/>
    <m/>
    <n v="38"/>
    <n v="11400"/>
    <x v="6"/>
    <n v="43320000"/>
    <x v="0"/>
    <d v="2019-04-17T00:00:00"/>
    <d v="2019-05-21T00:00:00"/>
    <d v="2019-05-21T00:00:00"/>
    <s v="30/3AL"/>
    <m/>
    <m/>
    <m/>
    <d v="2019-05-20T00:00:00"/>
    <n v="5100"/>
    <d v="2019-06-04T00:00:00"/>
    <n v="6300"/>
    <m/>
    <m/>
    <m/>
    <m/>
    <n v="11400"/>
    <n v="0"/>
    <n v="0"/>
  </r>
  <r>
    <s v="23B/2019"/>
    <d v="2019-01-05T00:00:00"/>
    <s v="THANH THÚY"/>
    <s v="TO02"/>
    <x v="61"/>
    <x v="15"/>
    <s v="CONCADOR "/>
    <m/>
    <s v="16.18"/>
    <n v="200"/>
    <s v="NL2018"/>
    <m/>
    <n v="25"/>
    <n v="5000"/>
    <x v="21"/>
    <n v="23000000"/>
    <x v="0"/>
    <d v="2019-01-15T00:00:00"/>
    <d v="2019-02-19T00:00:00"/>
    <d v="2019-02-19T00:00:00"/>
    <s v="15/1AL"/>
    <m/>
    <m/>
    <m/>
    <d v="2019-02-19T00:00:00"/>
    <n v="5000"/>
    <m/>
    <m/>
    <m/>
    <m/>
    <m/>
    <m/>
    <n v="5000"/>
    <n v="0"/>
    <n v="0"/>
  </r>
  <r>
    <s v="23B/2019"/>
    <d v="2019-01-05T00:00:00"/>
    <s v="THANH THÚY"/>
    <s v="TO02"/>
    <x v="61"/>
    <x v="17"/>
    <s v="NELLO "/>
    <m/>
    <s v="12.14"/>
    <n v="400"/>
    <s v="NL2018"/>
    <m/>
    <n v="43"/>
    <n v="17200"/>
    <x v="17"/>
    <n v="51600000"/>
    <x v="0"/>
    <d v="2019-01-15T00:00:00"/>
    <d v="2019-02-19T00:00:00"/>
    <d v="2019-02-19T00:00:00"/>
    <s v="15/1AL"/>
    <m/>
    <m/>
    <m/>
    <d v="2019-02-19T00:00:00"/>
    <n v="17200"/>
    <m/>
    <m/>
    <m/>
    <m/>
    <m/>
    <m/>
    <n v="17200"/>
    <n v="0"/>
    <n v="0"/>
  </r>
  <r>
    <s v="23B/2019"/>
    <d v="2019-01-05T00:00:00"/>
    <s v="THANH THÚY"/>
    <s v="TO02"/>
    <x v="61"/>
    <x v="3"/>
    <s v="PAVIA"/>
    <m/>
    <s v="12.14"/>
    <n v="400"/>
    <s v="NL2018"/>
    <m/>
    <n v="43"/>
    <n v="17200"/>
    <x v="4"/>
    <n v="48160000"/>
    <x v="0"/>
    <d v="2019-01-15T00:00:00"/>
    <d v="2019-02-19T00:00:00"/>
    <d v="2019-02-19T00:00:00"/>
    <s v="15/1AL"/>
    <m/>
    <m/>
    <m/>
    <d v="2019-02-19T00:00:00"/>
    <n v="17200"/>
    <m/>
    <m/>
    <m/>
    <m/>
    <m/>
    <m/>
    <n v="17200"/>
    <n v="0"/>
    <n v="0"/>
  </r>
  <r>
    <s v="23B/2019"/>
    <d v="2019-01-05T00:00:00"/>
    <s v="THANH THÚY"/>
    <s v="TO02"/>
    <x v="61"/>
    <x v="34"/>
    <s v="TARRANGO"/>
    <m/>
    <s v="16.18"/>
    <n v="200"/>
    <s v="NL2018"/>
    <m/>
    <n v="100"/>
    <n v="20000"/>
    <x v="43"/>
    <n v="130000000"/>
    <x v="0"/>
    <d v="2019-01-15T00:00:00"/>
    <d v="2019-02-19T00:00:00"/>
    <d v="2019-02-19T00:00:00"/>
    <s v="15/1AL"/>
    <m/>
    <m/>
    <m/>
    <d v="2019-02-19T00:00:00"/>
    <n v="20000"/>
    <m/>
    <m/>
    <m/>
    <m/>
    <m/>
    <m/>
    <n v="20000"/>
    <n v="0"/>
    <n v="0"/>
  </r>
  <r>
    <s v="23B/2019"/>
    <d v="2019-01-05T00:00:00"/>
    <s v="THANH THÚY"/>
    <s v="TO02"/>
    <x v="61"/>
    <x v="11"/>
    <s v="YELLOWEEN"/>
    <m/>
    <s v="12.14"/>
    <n v="400"/>
    <s v="NL2018"/>
    <m/>
    <n v="25"/>
    <n v="10000"/>
    <x v="12"/>
    <n v="26000000"/>
    <x v="0"/>
    <d v="2019-01-15T00:00:00"/>
    <d v="2019-02-19T00:00:00"/>
    <d v="2019-02-19T00:00:00"/>
    <s v="15/1AL"/>
    <m/>
    <m/>
    <m/>
    <d v="2019-02-19T00:00:00"/>
    <n v="10000"/>
    <m/>
    <m/>
    <m/>
    <m/>
    <m/>
    <m/>
    <n v="10000"/>
    <n v="0"/>
    <n v="0"/>
  </r>
  <r>
    <s v="23B/2019"/>
    <d v="2019-01-05T00:00:00"/>
    <s v="THANH THÚY"/>
    <s v="TO02"/>
    <x v="61"/>
    <x v="38"/>
    <s v="YELLOWEEN"/>
    <m/>
    <s v="16.18"/>
    <n v="200"/>
    <s v="NL2018"/>
    <m/>
    <n v="25"/>
    <n v="5000"/>
    <x v="18"/>
    <n v="25000000"/>
    <x v="0"/>
    <d v="2019-01-15T00:00:00"/>
    <d v="2019-02-19T00:00:00"/>
    <d v="2019-02-19T00:00:00"/>
    <s v="15/1AL"/>
    <m/>
    <m/>
    <m/>
    <d v="2019-02-20T00:00:00"/>
    <n v="5000"/>
    <m/>
    <m/>
    <m/>
    <m/>
    <m/>
    <m/>
    <n v="5000"/>
    <n v="0"/>
    <n v="0"/>
  </r>
  <r>
    <s v="23B/2019"/>
    <d v="2019-01-05T00:00:00"/>
    <s v="THANH THÚY"/>
    <s v="TO02"/>
    <x v="61"/>
    <x v="52"/>
    <s v="MALDANO"/>
    <m/>
    <s v="15.16"/>
    <n v="300"/>
    <s v="NL2018"/>
    <m/>
    <n v="16"/>
    <n v="4800"/>
    <x v="56"/>
    <n v="18720000"/>
    <x v="0"/>
    <d v="2019-02-15T00:00:00"/>
    <d v="2019-03-20T00:00:00"/>
    <d v="2019-03-20T00:00:00"/>
    <s v="15/2AL"/>
    <s v="CONT 10/2019"/>
    <m/>
    <m/>
    <d v="2019-03-19T00:00:00"/>
    <n v="4800"/>
    <m/>
    <m/>
    <m/>
    <m/>
    <m/>
    <m/>
    <n v="4800"/>
    <n v="0"/>
    <n v="0"/>
  </r>
  <r>
    <s v="23B/2019"/>
    <d v="2019-01-05T00:00:00"/>
    <s v="THANH THÚY"/>
    <s v="TO02"/>
    <x v="61"/>
    <x v="19"/>
    <s v="PAVIA"/>
    <m/>
    <s v="12.14"/>
    <n v="400"/>
    <s v="NL2017"/>
    <m/>
    <n v="75"/>
    <n v="30000"/>
    <x v="19"/>
    <n v="60000000"/>
    <x v="0"/>
    <d v="2019-02-15T00:00:00"/>
    <d v="2019-03-20T00:00:00"/>
    <d v="2019-03-20T00:00:00"/>
    <s v="15/2AL"/>
    <s v="CONT 9/2019"/>
    <m/>
    <m/>
    <d v="2019-03-19T00:00:00"/>
    <n v="30000"/>
    <m/>
    <m/>
    <m/>
    <m/>
    <m/>
    <m/>
    <n v="30000"/>
    <n v="0"/>
    <n v="0"/>
  </r>
  <r>
    <s v="23B/2019"/>
    <d v="2019-01-05T00:00:00"/>
    <s v="THANH THÚY"/>
    <s v="TO02"/>
    <x v="61"/>
    <x v="3"/>
    <s v="PAVIA"/>
    <m/>
    <s v="12.14"/>
    <n v="400"/>
    <s v="NL2018"/>
    <m/>
    <n v="13"/>
    <n v="5200"/>
    <x v="4"/>
    <n v="14560000"/>
    <x v="0"/>
    <d v="2019-02-15T00:00:00"/>
    <d v="2019-03-20T00:00:00"/>
    <d v="2019-03-20T00:00:00"/>
    <s v="15/2AL"/>
    <s v="CONT 9/2019"/>
    <m/>
    <m/>
    <d v="2019-03-19T00:00:00"/>
    <n v="5200"/>
    <m/>
    <m/>
    <m/>
    <m/>
    <m/>
    <m/>
    <n v="5200"/>
    <n v="0"/>
    <n v="0"/>
  </r>
  <r>
    <s v="23B/2019"/>
    <d v="2019-01-05T00:00:00"/>
    <s v="THANH THÚY"/>
    <s v="TO02"/>
    <x v="61"/>
    <x v="47"/>
    <s v="ROBINA"/>
    <m/>
    <s v="18.20"/>
    <n v="150"/>
    <s v="NL2018"/>
    <m/>
    <n v="34"/>
    <n v="5100"/>
    <x v="42"/>
    <n v="32130000"/>
    <x v="0"/>
    <d v="2019-02-15T00:00:00"/>
    <d v="2019-03-20T00:00:00"/>
    <d v="2019-03-20T00:00:00"/>
    <s v="15/2AL"/>
    <s v="CONT 11/2019"/>
    <m/>
    <m/>
    <d v="2019-03-19T00:00:00"/>
    <n v="5100"/>
    <m/>
    <m/>
    <m/>
    <m/>
    <m/>
    <m/>
    <n v="5100"/>
    <n v="0"/>
    <n v="0"/>
  </r>
  <r>
    <s v="23B/2019"/>
    <d v="2019-01-05T00:00:00"/>
    <s v="THANH THÚY"/>
    <s v="TO02"/>
    <x v="61"/>
    <x v="28"/>
    <s v="YELLOWEEN"/>
    <m/>
    <s v="14.16"/>
    <n v="300"/>
    <s v="NL2018"/>
    <m/>
    <n v="14"/>
    <n v="4200"/>
    <x v="6"/>
    <n v="15960000"/>
    <x v="0"/>
    <d v="2019-02-15T00:00:00"/>
    <d v="2019-03-20T00:00:00"/>
    <d v="2019-03-20T00:00:00"/>
    <s v="15/2AL"/>
    <s v="CONT 10/2019"/>
    <m/>
    <m/>
    <d v="2019-03-19T00:00:00"/>
    <n v="4200"/>
    <m/>
    <m/>
    <m/>
    <m/>
    <m/>
    <m/>
    <n v="4200"/>
    <n v="0"/>
    <n v="0"/>
  </r>
  <r>
    <s v="23B/2019"/>
    <d v="2019-01-05T00:00:00"/>
    <s v="THANH THÚY"/>
    <s v="TO02"/>
    <x v="61"/>
    <x v="10"/>
    <s v="ARVANDRUD"/>
    <m/>
    <s v="16.18"/>
    <n v="200"/>
    <s v="NL2018"/>
    <m/>
    <n v="125"/>
    <n v="25000"/>
    <x v="44"/>
    <n v="137500000"/>
    <x v="0"/>
    <d v="2019-03-15T00:00:00"/>
    <d v="2019-04-19T00:00:00"/>
    <d v="2019-04-19T00:00:00"/>
    <s v="15/3AL"/>
    <s v="CONT 21/2019"/>
    <m/>
    <m/>
    <d v="2019-04-23T00:00:00"/>
    <n v="10000"/>
    <d v="2019-05-06T00:00:00"/>
    <n v="5000"/>
    <d v="2019-05-24T00:00:00"/>
    <n v="10000"/>
    <m/>
    <m/>
    <n v="25000"/>
    <n v="0"/>
    <n v="0"/>
  </r>
  <r>
    <s v="23B/2019"/>
    <d v="2019-01-05T00:00:00"/>
    <s v="THANH THÚY"/>
    <s v="TO02"/>
    <x v="61"/>
    <x v="3"/>
    <s v="PAVIA"/>
    <m/>
    <s v="12.14"/>
    <n v="400"/>
    <s v="NL2018"/>
    <m/>
    <n v="25"/>
    <n v="10000"/>
    <x v="4"/>
    <n v="28000000"/>
    <x v="0"/>
    <d v="2019-03-15T00:00:00"/>
    <d v="2019-04-19T00:00:00"/>
    <d v="2019-04-19T00:00:00"/>
    <s v="15/3AL"/>
    <s v="CONT 20/2019"/>
    <m/>
    <m/>
    <d v="2019-05-06T00:00:00"/>
    <n v="5200"/>
    <d v="2019-05-20T00:00:00"/>
    <n v="4800"/>
    <m/>
    <m/>
    <m/>
    <m/>
    <n v="10000"/>
    <n v="0"/>
    <n v="0"/>
  </r>
  <r>
    <s v="23B/2019"/>
    <d v="2019-01-05T00:00:00"/>
    <s v="THANH THÚY"/>
    <s v="TO02"/>
    <x v="61"/>
    <x v="4"/>
    <s v="TEBALDI"/>
    <m/>
    <s v="14.16"/>
    <n v="300"/>
    <s v="NL2018"/>
    <m/>
    <n v="50"/>
    <n v="15000"/>
    <x v="3"/>
    <n v="61500000"/>
    <x v="0"/>
    <d v="2019-03-15T00:00:00"/>
    <d v="2019-04-19T00:00:00"/>
    <d v="2019-04-19T00:00:00"/>
    <s v="15/3AL"/>
    <s v="CONT 24/2019"/>
    <m/>
    <m/>
    <d v="2019-04-22T00:00:00"/>
    <n v="15000"/>
    <m/>
    <m/>
    <m/>
    <m/>
    <m/>
    <m/>
    <n v="15000"/>
    <n v="0"/>
    <n v="0"/>
  </r>
  <r>
    <s v="23B/2019"/>
    <d v="2019-01-05T00:00:00"/>
    <s v="THANH THÚY"/>
    <s v="TO02"/>
    <x v="61"/>
    <x v="49"/>
    <s v="MARENGO"/>
    <m/>
    <s v="16.18"/>
    <n v="200"/>
    <s v="NL2018"/>
    <m/>
    <n v="35"/>
    <n v="7000"/>
    <x v="46"/>
    <n v="42000000"/>
    <x v="0"/>
    <s v="29-Feb-19"/>
    <d v="2019-04-03T00:00:00"/>
    <d v="2019-04-03T00:00:00"/>
    <s v="28/2AL"/>
    <s v="CONT 17/2019"/>
    <m/>
    <m/>
    <d v="2019-04-09T00:00:00"/>
    <n v="7000"/>
    <m/>
    <m/>
    <m/>
    <m/>
    <m/>
    <m/>
    <n v="7000"/>
    <n v="0"/>
    <n v="0"/>
  </r>
  <r>
    <s v="23B/2019"/>
    <d v="2019-01-05T00:00:00"/>
    <s v="THANH THÚY"/>
    <s v="TO02"/>
    <x v="61"/>
    <x v="3"/>
    <s v="PAVIA"/>
    <m/>
    <s v="12.14"/>
    <n v="400"/>
    <s v="NL2018"/>
    <m/>
    <n v="25"/>
    <n v="10000"/>
    <x v="4"/>
    <n v="28000000"/>
    <x v="0"/>
    <s v="29-Feb-19"/>
    <d v="2019-04-03T00:00:00"/>
    <d v="2019-04-03T00:00:00"/>
    <s v="28/2AL"/>
    <s v="CONT 14/2019"/>
    <m/>
    <m/>
    <d v="2019-04-05T00:00:00"/>
    <n v="3200"/>
    <d v="2019-04-09T00:00:00"/>
    <n v="6800"/>
    <m/>
    <m/>
    <m/>
    <m/>
    <n v="10000"/>
    <n v="0"/>
    <n v="0"/>
  </r>
  <r>
    <s v="23B/2019"/>
    <d v="2019-01-05T00:00:00"/>
    <s v="THANH THÚY"/>
    <s v="TO02"/>
    <x v="61"/>
    <x v="68"/>
    <s v="TEBALDI"/>
    <m/>
    <s v="12.14"/>
    <n v="400"/>
    <s v="NL2018"/>
    <m/>
    <n v="15"/>
    <n v="6000"/>
    <x v="4"/>
    <n v="16800000"/>
    <x v="0"/>
    <s v="29-Feb-19"/>
    <d v="2019-04-03T00:00:00"/>
    <d v="2019-04-03T00:00:00"/>
    <s v="28/2AL"/>
    <s v="CONT 15/2019"/>
    <m/>
    <m/>
    <d v="2019-04-05T00:00:00"/>
    <n v="6000"/>
    <m/>
    <m/>
    <m/>
    <m/>
    <m/>
    <m/>
    <n v="6000"/>
    <n v="0"/>
    <n v="0"/>
  </r>
  <r>
    <s v="110B/2019"/>
    <d v="2019-03-12T00:00:00"/>
    <s v="THANH THÚY"/>
    <s v="TO02"/>
    <x v="61"/>
    <x v="10"/>
    <s v="ARVANDRUD"/>
    <m/>
    <s v="16.18"/>
    <n v="200"/>
    <s v="NL2018"/>
    <m/>
    <n v="0"/>
    <n v="0"/>
    <x v="113"/>
    <n v="0"/>
    <x v="1"/>
    <d v="2019-04-17T00:00:00"/>
    <d v="2019-05-21T00:00:00"/>
    <d v="2019-05-21T00:00:00"/>
    <s v="30/3AL"/>
    <m/>
    <m/>
    <m/>
    <m/>
    <n v="0"/>
    <m/>
    <m/>
    <m/>
    <m/>
    <m/>
    <m/>
    <n v="0"/>
    <n v="0"/>
    <n v="0"/>
  </r>
  <r>
    <s v="110B/2019"/>
    <d v="2019-03-12T00:00:00"/>
    <s v="THANH THÚY"/>
    <s v="TO02"/>
    <x v="61"/>
    <x v="57"/>
    <s v="DALIAN"/>
    <m/>
    <s v="14.16"/>
    <n v="300"/>
    <s v="NL2018"/>
    <m/>
    <n v="17"/>
    <n v="5100"/>
    <x v="11"/>
    <n v="27540000"/>
    <x v="0"/>
    <d v="2019-04-17T00:00:00"/>
    <d v="2019-05-21T00:00:00"/>
    <d v="2019-05-21T00:00:00"/>
    <s v="30/3AL"/>
    <m/>
    <m/>
    <m/>
    <d v="2019-06-04T00:00:00"/>
    <n v="5100"/>
    <m/>
    <m/>
    <m/>
    <m/>
    <m/>
    <m/>
    <n v="5100"/>
    <n v="0"/>
    <n v="0"/>
  </r>
  <r>
    <s v="110B/2019"/>
    <d v="2019-03-12T00:00:00"/>
    <s v="THANH THÚY"/>
    <s v="TO02"/>
    <x v="61"/>
    <x v="3"/>
    <s v="PAVIA"/>
    <m/>
    <s v="12.14"/>
    <n v="400"/>
    <s v="NL2018"/>
    <m/>
    <n v="23"/>
    <n v="9200"/>
    <x v="14"/>
    <n v="26680000"/>
    <x v="0"/>
    <d v="2019-04-17T00:00:00"/>
    <d v="2019-05-21T00:00:00"/>
    <d v="2019-05-21T00:00:00"/>
    <s v="30/3AL"/>
    <m/>
    <m/>
    <m/>
    <d v="2019-06-04T00:00:00"/>
    <n v="5200"/>
    <d v="2019-06-18T00:00:00"/>
    <n v="4000"/>
    <m/>
    <m/>
    <m/>
    <m/>
    <n v="9200"/>
    <n v="0"/>
    <n v="0"/>
  </r>
  <r>
    <s v="110B/2019"/>
    <d v="2019-06-12T00:00:00"/>
    <s v="THANH THÚY"/>
    <s v="TO02"/>
    <x v="61"/>
    <x v="57"/>
    <s v="DALIAN"/>
    <m/>
    <s v="14.16"/>
    <n v="300"/>
    <s v="NL2018"/>
    <m/>
    <n v="17"/>
    <n v="5100"/>
    <x v="114"/>
    <n v="27795000"/>
    <x v="4"/>
    <d v="2019-05-05T00:00:00"/>
    <d v="2019-06-07T00:00:00"/>
    <d v="2019-06-07T00:00:00"/>
    <m/>
    <m/>
    <m/>
    <m/>
    <m/>
    <m/>
    <m/>
    <m/>
    <m/>
    <m/>
    <m/>
    <m/>
    <n v="0"/>
    <n v="5100"/>
    <n v="27795000"/>
  </r>
  <r>
    <s v="110B/2019"/>
    <d v="2019-06-12T00:00:00"/>
    <s v="THANH THÚY"/>
    <s v="TO02"/>
    <x v="61"/>
    <x v="10"/>
    <s v="ARVANDRUD"/>
    <m/>
    <s v="16.18"/>
    <n v="200"/>
    <s v="NL2018"/>
    <m/>
    <n v="25"/>
    <n v="5000"/>
    <x v="82"/>
    <n v="26000000"/>
    <x v="4"/>
    <d v="2019-04-17T00:00:00"/>
    <d v="2019-05-21T00:00:00"/>
    <d v="2019-05-21T00:00:00"/>
    <m/>
    <m/>
    <m/>
    <m/>
    <m/>
    <m/>
    <m/>
    <m/>
    <m/>
    <m/>
    <m/>
    <m/>
    <n v="0"/>
    <n v="5000"/>
    <n v="26000000"/>
  </r>
  <r>
    <s v="110B/2019"/>
    <d v="2019-06-12T00:00:00"/>
    <s v="THANH THÚY"/>
    <s v="TO02"/>
    <x v="61"/>
    <x v="3"/>
    <s v="PAVIA"/>
    <m/>
    <s v="12.14"/>
    <n v="400"/>
    <s v="NL2018"/>
    <m/>
    <n v="13"/>
    <n v="5200"/>
    <x v="17"/>
    <n v="15600000"/>
    <x v="3"/>
    <d v="2019-06-15T00:00:00"/>
    <d v="2019-07-17T00:00:00"/>
    <d v="2019-07-17T00:00:00"/>
    <s v="15/6 LẤY"/>
    <m/>
    <m/>
    <m/>
    <m/>
    <m/>
    <m/>
    <m/>
    <m/>
    <m/>
    <m/>
    <m/>
    <n v="0"/>
    <n v="5200"/>
    <n v="15600000"/>
  </r>
  <r>
    <s v="110B/2019"/>
    <d v="2019-06-12T00:00:00"/>
    <s v="THANH THÚY"/>
    <s v="TO02"/>
    <x v="61"/>
    <x v="28"/>
    <s v="YELLOWEEN"/>
    <m/>
    <s v="14.16"/>
    <n v="300"/>
    <s v="NL2018"/>
    <m/>
    <n v="17"/>
    <n v="5100"/>
    <x v="57"/>
    <n v="20400000"/>
    <x v="3"/>
    <d v="2019-06-15T00:00:00"/>
    <d v="2019-07-17T00:00:00"/>
    <d v="2019-07-17T00:00:00"/>
    <s v="15/6 LẤY"/>
    <m/>
    <m/>
    <m/>
    <m/>
    <m/>
    <m/>
    <m/>
    <m/>
    <m/>
    <m/>
    <m/>
    <n v="0"/>
    <n v="5100"/>
    <n v="20400000"/>
  </r>
  <r>
    <s v="110B/2019"/>
    <d v="2019-06-12T00:00:00"/>
    <s v="THANH THÚY"/>
    <s v="TO02"/>
    <x v="61"/>
    <x v="57"/>
    <s v="DALIAN"/>
    <m/>
    <s v="14.16"/>
    <n v="300"/>
    <s v="NL2018"/>
    <m/>
    <n v="17"/>
    <n v="5100"/>
    <x v="44"/>
    <n v="28050000"/>
    <x v="3"/>
    <d v="2019-06-15T00:00:00"/>
    <d v="2019-07-17T00:00:00"/>
    <d v="2019-07-17T00:00:00"/>
    <s v="15/6 LẤY"/>
    <m/>
    <m/>
    <m/>
    <m/>
    <m/>
    <m/>
    <m/>
    <m/>
    <m/>
    <m/>
    <m/>
    <n v="0"/>
    <n v="5100"/>
    <n v="28050000"/>
  </r>
  <r>
    <s v="110B/2019"/>
    <d v="2019-06-12T00:00:00"/>
    <s v="THANH THÚY"/>
    <s v="TO02"/>
    <x v="61"/>
    <x v="41"/>
    <s v="PAVIA"/>
    <m/>
    <s v="14.16"/>
    <n v="300"/>
    <s v="NL2018"/>
    <m/>
    <n v="3"/>
    <n v="900"/>
    <x v="2"/>
    <n v="3960000"/>
    <x v="0"/>
    <d v="2019-04-17T00:00:00"/>
    <d v="2019-05-21T00:00:00"/>
    <d v="2019-05-21T00:00:00"/>
    <m/>
    <m/>
    <m/>
    <m/>
    <d v="2019-06-18T00:00:00"/>
    <n v="900"/>
    <m/>
    <m/>
    <m/>
    <m/>
    <m/>
    <m/>
    <n v="900"/>
    <n v="0"/>
    <n v="0"/>
  </r>
  <r>
    <s v="110B/2019"/>
    <d v="2019-06-12T00:00:00"/>
    <s v="THANH THÚY"/>
    <s v="TO02"/>
    <x v="61"/>
    <x v="10"/>
    <s v="ARVANDRUD"/>
    <m/>
    <s v="16.18"/>
    <n v="200"/>
    <s v="NL2018"/>
    <m/>
    <n v="25"/>
    <n v="5000"/>
    <x v="82"/>
    <n v="26000000"/>
    <x v="4"/>
    <d v="2019-04-17T00:00:00"/>
    <d v="2019-05-21T00:00:00"/>
    <d v="2019-05-21T00:00:00"/>
    <s v="15/6 LẤY"/>
    <m/>
    <m/>
    <m/>
    <m/>
    <m/>
    <m/>
    <m/>
    <m/>
    <m/>
    <m/>
    <m/>
    <n v="0"/>
    <n v="5000"/>
    <n v="26000000"/>
  </r>
  <r>
    <s v="110B/2019"/>
    <d v="2019-06-12T00:00:00"/>
    <s v="THANH THÚY"/>
    <s v="TO02"/>
    <x v="61"/>
    <x v="10"/>
    <s v="ARVANDRUD"/>
    <m/>
    <s v="16.18"/>
    <n v="200"/>
    <s v="NL2018"/>
    <m/>
    <n v="9"/>
    <n v="1800"/>
    <x v="44"/>
    <n v="9900000"/>
    <x v="0"/>
    <d v="2019-05-05T00:00:00"/>
    <d v="2019-06-07T00:00:00"/>
    <d v="2019-06-07T00:00:00"/>
    <s v="30/3AL"/>
    <m/>
    <m/>
    <m/>
    <d v="2019-06-12T00:00:00"/>
    <n v="1800"/>
    <m/>
    <m/>
    <m/>
    <m/>
    <m/>
    <m/>
    <n v="1800"/>
    <n v="0"/>
    <n v="0"/>
  </r>
  <r>
    <s v="110B/2019"/>
    <d v="2019-06-17T00:00:00"/>
    <s v="THANH THÚY"/>
    <s v="TO02"/>
    <x v="61"/>
    <x v="57"/>
    <s v="DALIAN"/>
    <m/>
    <s v="14.16"/>
    <n v="300"/>
    <s v="NL2018"/>
    <m/>
    <n v="67"/>
    <n v="20100"/>
    <x v="44"/>
    <n v="110550000"/>
    <x v="2"/>
    <d v="2019-06-25T00:00:00"/>
    <d v="2019-07-27T00:00:00"/>
    <d v="2019-07-27T00:00:00"/>
    <m/>
    <m/>
    <m/>
    <m/>
    <m/>
    <m/>
    <m/>
    <m/>
    <m/>
    <m/>
    <m/>
    <m/>
    <n v="0"/>
    <n v="20100"/>
    <n v="110550000"/>
  </r>
  <r>
    <s v="110B/2019"/>
    <d v="2019-03-12T00:00:00"/>
    <s v="THANH THÚY"/>
    <s v="TO02"/>
    <x v="61"/>
    <x v="24"/>
    <s v="SERANO"/>
    <m/>
    <s v="14.16"/>
    <n v="300"/>
    <s v="NL2018"/>
    <m/>
    <n v="17"/>
    <n v="5100"/>
    <x v="25"/>
    <n v="18360000"/>
    <x v="0"/>
    <d v="2019-04-17T00:00:00"/>
    <d v="2019-05-21T00:00:00"/>
    <d v="2019-05-21T00:00:00"/>
    <s v="17/4AL"/>
    <m/>
    <m/>
    <m/>
    <d v="2019-05-24T00:00:00"/>
    <n v="5100"/>
    <m/>
    <m/>
    <m/>
    <m/>
    <m/>
    <m/>
    <n v="5100"/>
    <n v="0"/>
    <n v="0"/>
  </r>
  <r>
    <s v="110B/2019"/>
    <d v="2019-03-12T00:00:00"/>
    <s v="THANH THÚY"/>
    <s v="TO02"/>
    <x v="61"/>
    <x v="4"/>
    <s v="TEBALDI"/>
    <m/>
    <s v="14.16"/>
    <n v="300"/>
    <s v="NL2018"/>
    <m/>
    <n v="34"/>
    <n v="10200"/>
    <x v="1"/>
    <n v="42840000"/>
    <x v="0"/>
    <d v="2019-04-17T00:00:00"/>
    <d v="2019-05-21T00:00:00"/>
    <d v="2019-05-21T00:00:00"/>
    <s v="30/3AL"/>
    <m/>
    <m/>
    <m/>
    <d v="2019-05-24T00:00:00"/>
    <n v="5100"/>
    <d v="2019-06-04T00:00:00"/>
    <n v="5100"/>
    <m/>
    <m/>
    <m/>
    <m/>
    <n v="10200"/>
    <n v="0"/>
    <n v="0"/>
  </r>
  <r>
    <s v="110B/2019"/>
    <d v="2019-03-12T00:00:00"/>
    <s v="THANH THÚY"/>
    <s v="TO02"/>
    <x v="61"/>
    <x v="24"/>
    <s v="SERANO"/>
    <m/>
    <s v="14.16"/>
    <n v="300"/>
    <s v="NL2018"/>
    <m/>
    <n v="0"/>
    <n v="0"/>
    <x v="25"/>
    <n v="0"/>
    <x v="1"/>
    <d v="2019-05-02T00:00:00"/>
    <d v="2019-06-04T00:00:00"/>
    <d v="2019-06-04T00:00:00"/>
    <s v="02/5AL"/>
    <m/>
    <m/>
    <m/>
    <m/>
    <n v="0"/>
    <m/>
    <m/>
    <m/>
    <m/>
    <m/>
    <m/>
    <n v="0"/>
    <n v="0"/>
    <n v="0"/>
  </r>
  <r>
    <s v="110B/2019"/>
    <d v="2019-03-12T00:00:00"/>
    <s v="THANH THÚY"/>
    <s v="TO02"/>
    <x v="61"/>
    <x v="3"/>
    <s v="PAVIA"/>
    <m/>
    <s v="12.14"/>
    <n v="400"/>
    <s v="NL2018"/>
    <m/>
    <n v="0"/>
    <n v="0"/>
    <x v="14"/>
    <n v="0"/>
    <x v="1"/>
    <d v="2019-04-29T00:00:00"/>
    <d v="2019-06-02T00:00:00"/>
    <d v="2019-06-02T00:00:00"/>
    <s v="29/4AL"/>
    <m/>
    <m/>
    <m/>
    <m/>
    <n v="0"/>
    <m/>
    <m/>
    <m/>
    <m/>
    <m/>
    <m/>
    <n v="0"/>
    <n v="0"/>
    <n v="0"/>
  </r>
  <r>
    <s v="110B/2019"/>
    <d v="2019-03-12T00:00:00"/>
    <s v="THANH THÚY"/>
    <s v="TO02"/>
    <x v="61"/>
    <x v="12"/>
    <s v="AMATERAS"/>
    <m/>
    <s v="14.16"/>
    <n v="300"/>
    <s v="NL2018"/>
    <m/>
    <n v="0"/>
    <n v="0"/>
    <x v="2"/>
    <n v="0"/>
    <x v="1"/>
    <d v="2019-04-29T00:00:00"/>
    <d v="2019-06-02T00:00:00"/>
    <d v="2019-06-02T00:00:00"/>
    <s v="29/4AL"/>
    <m/>
    <m/>
    <m/>
    <m/>
    <n v="0"/>
    <m/>
    <m/>
    <m/>
    <m/>
    <m/>
    <m/>
    <n v="0"/>
    <n v="0"/>
    <n v="0"/>
  </r>
  <r>
    <s v="110B/2019"/>
    <d v="2019-03-12T00:00:00"/>
    <s v="THANH THÚY"/>
    <s v="TO02"/>
    <x v="61"/>
    <x v="10"/>
    <s v="ARVANDRUD"/>
    <m/>
    <s v="16.18"/>
    <n v="200"/>
    <s v="NL2018"/>
    <m/>
    <n v="0"/>
    <n v="0"/>
    <x v="48"/>
    <n v="0"/>
    <x v="1"/>
    <d v="2019-04-29T00:00:00"/>
    <d v="2019-06-02T00:00:00"/>
    <d v="2019-06-02T00:00:00"/>
    <s v="29/4AL"/>
    <m/>
    <m/>
    <m/>
    <m/>
    <n v="0"/>
    <m/>
    <m/>
    <m/>
    <m/>
    <m/>
    <m/>
    <n v="0"/>
    <n v="0"/>
    <n v="0"/>
  </r>
  <r>
    <s v="110B/2019"/>
    <d v="2019-03-12T00:00:00"/>
    <s v="THANH THÚY"/>
    <s v="TO02"/>
    <x v="61"/>
    <x v="24"/>
    <s v="SERANO"/>
    <m/>
    <s v="14.16"/>
    <n v="300"/>
    <s v="NL2018"/>
    <m/>
    <n v="0"/>
    <n v="0"/>
    <x v="68"/>
    <n v="0"/>
    <x v="1"/>
    <m/>
    <s v=""/>
    <s v=""/>
    <s v="T4 onwards"/>
    <m/>
    <m/>
    <m/>
    <m/>
    <n v="0"/>
    <m/>
    <m/>
    <m/>
    <m/>
    <m/>
    <m/>
    <n v="0"/>
    <n v="0"/>
    <n v="0"/>
  </r>
  <r>
    <s v="110B/2019"/>
    <d v="2019-05-18T00:00:00"/>
    <s v="THANH THÚY"/>
    <s v="TO02"/>
    <x v="61"/>
    <x v="31"/>
    <s v="TARRANGO"/>
    <m/>
    <s v="14.16"/>
    <n v="300"/>
    <s v="NL2018"/>
    <m/>
    <n v="17"/>
    <n v="5100"/>
    <x v="23"/>
    <n v="24480000"/>
    <x v="0"/>
    <d v="2019-04-17T00:00:00"/>
    <d v="2019-05-21T00:00:00"/>
    <d v="2019-05-21T00:00:00"/>
    <m/>
    <m/>
    <m/>
    <m/>
    <d v="2019-05-18T00:00:00"/>
    <n v="5100"/>
    <m/>
    <m/>
    <m/>
    <m/>
    <m/>
    <m/>
    <n v="5100"/>
    <n v="0"/>
    <n v="0"/>
  </r>
  <r>
    <s v="111B/2019"/>
    <d v="2019-03-12T00:00:00"/>
    <s v="THANH THÚY"/>
    <s v="TO02"/>
    <x v="61"/>
    <x v="25"/>
    <s v="CONCADOR"/>
    <m/>
    <s v="18.20"/>
    <n v="150"/>
    <s v="NL2018"/>
    <m/>
    <n v="34"/>
    <n v="5100"/>
    <x v="27"/>
    <n v="40800000"/>
    <x v="2"/>
    <d v="2019-09-01T00:00:00"/>
    <d v="2019-09-29T00:00:00"/>
    <d v="2019-09-29T00:00:00"/>
    <s v="TẾT"/>
    <m/>
    <m/>
    <m/>
    <m/>
    <n v="0"/>
    <m/>
    <m/>
    <m/>
    <m/>
    <m/>
    <m/>
    <n v="0"/>
    <n v="5100"/>
    <n v="40800000"/>
  </r>
  <r>
    <s v="111B/2019"/>
    <d v="2019-03-12T00:00:00"/>
    <s v="THANH THÚY"/>
    <s v="TO02"/>
    <x v="61"/>
    <x v="6"/>
    <s v="CONCADOR"/>
    <m/>
    <s v="20.22"/>
    <n v="125"/>
    <s v="NL2018"/>
    <m/>
    <n v="40"/>
    <n v="5000"/>
    <x v="59"/>
    <n v="52500000"/>
    <x v="2"/>
    <d v="2019-09-01T00:00:00"/>
    <d v="2019-09-29T00:00:00"/>
    <d v="2019-09-29T00:00:00"/>
    <s v="TẾT"/>
    <m/>
    <m/>
    <m/>
    <m/>
    <n v="0"/>
    <m/>
    <m/>
    <m/>
    <m/>
    <m/>
    <m/>
    <n v="0"/>
    <n v="5000"/>
    <n v="52500000"/>
  </r>
  <r>
    <s v="111B/2019"/>
    <d v="2019-03-12T00:00:00"/>
    <s v="THANH THÚY"/>
    <s v="TO02"/>
    <x v="61"/>
    <x v="111"/>
    <s v="SERANO"/>
    <m/>
    <s v="20.22"/>
    <n v="125"/>
    <s v="NL2018"/>
    <m/>
    <n v="40"/>
    <n v="5000"/>
    <x v="115"/>
    <n v="46500000"/>
    <x v="2"/>
    <d v="2019-09-01T00:00:00"/>
    <d v="2019-09-29T00:00:00"/>
    <d v="2019-09-29T00:00:00"/>
    <s v="TẾT"/>
    <m/>
    <m/>
    <m/>
    <m/>
    <n v="0"/>
    <m/>
    <m/>
    <m/>
    <m/>
    <m/>
    <m/>
    <n v="0"/>
    <n v="5000"/>
    <n v="46500000"/>
  </r>
  <r>
    <s v="111B/2019"/>
    <d v="2019-03-12T00:00:00"/>
    <s v="THANH THÚY"/>
    <s v="TO02"/>
    <x v="61"/>
    <x v="85"/>
    <s v="DALIAN"/>
    <m/>
    <s v="20.22"/>
    <n v="125"/>
    <s v="NL2018"/>
    <m/>
    <n v="80"/>
    <n v="10000"/>
    <x v="85"/>
    <n v="142000000"/>
    <x v="2"/>
    <d v="2019-09-01T00:00:00"/>
    <d v="2019-09-29T00:00:00"/>
    <d v="2019-09-29T00:00:00"/>
    <s v="TẾT"/>
    <m/>
    <m/>
    <m/>
    <m/>
    <n v="0"/>
    <m/>
    <m/>
    <m/>
    <m/>
    <m/>
    <m/>
    <n v="0"/>
    <n v="10000"/>
    <n v="142000000"/>
  </r>
  <r>
    <s v="111B/2019"/>
    <d v="2019-03-12T00:00:00"/>
    <s v="THANH THÚY"/>
    <s v="TO02"/>
    <x v="61"/>
    <x v="105"/>
    <s v="LODI"/>
    <m/>
    <s v="18.20"/>
    <n v="150"/>
    <s v="NL2018"/>
    <m/>
    <n v="0"/>
    <n v="0"/>
    <x v="89"/>
    <n v="0"/>
    <x v="1"/>
    <d v="2019-09-01T00:00:00"/>
    <d v="2019-09-29T00:00:00"/>
    <d v="2019-09-29T00:00:00"/>
    <s v="TẾT"/>
    <m/>
    <m/>
    <m/>
    <m/>
    <n v="0"/>
    <m/>
    <m/>
    <m/>
    <m/>
    <m/>
    <m/>
    <n v="0"/>
    <n v="0"/>
    <n v="0"/>
  </r>
  <r>
    <s v="111B/2019"/>
    <d v="2019-03-12T00:00:00"/>
    <s v="THANH THÚY"/>
    <s v="TO02"/>
    <x v="61"/>
    <x v="106"/>
    <s v="ARVANDRUD"/>
    <m/>
    <s v="18.20"/>
    <n v="150"/>
    <s v="NL2018"/>
    <m/>
    <n v="67"/>
    <n v="10050"/>
    <x v="61"/>
    <n v="85425000"/>
    <x v="2"/>
    <d v="2019-09-01T00:00:00"/>
    <d v="2019-09-29T00:00:00"/>
    <d v="2019-09-29T00:00:00"/>
    <s v="TẾT"/>
    <m/>
    <m/>
    <m/>
    <m/>
    <n v="0"/>
    <m/>
    <m/>
    <m/>
    <m/>
    <m/>
    <m/>
    <n v="0"/>
    <n v="10050"/>
    <n v="85425000"/>
  </r>
  <r>
    <s v="111B/2019"/>
    <d v="2019-03-12T00:00:00"/>
    <s v="THANH THÚY"/>
    <s v="TO02"/>
    <x v="61"/>
    <x v="112"/>
    <s v="MARENGO"/>
    <m/>
    <s v="18.20"/>
    <n v="150"/>
    <s v="NL2018"/>
    <m/>
    <n v="34"/>
    <n v="5100"/>
    <x v="60"/>
    <n v="48450000"/>
    <x v="2"/>
    <d v="2019-09-01T00:00:00"/>
    <d v="2019-09-29T00:00:00"/>
    <d v="2019-09-29T00:00:00"/>
    <s v="TẾT"/>
    <m/>
    <m/>
    <m/>
    <m/>
    <n v="0"/>
    <m/>
    <m/>
    <m/>
    <m/>
    <m/>
    <m/>
    <n v="0"/>
    <n v="5100"/>
    <n v="48450000"/>
  </r>
  <r>
    <s v="111B/2019"/>
    <d v="2019-03-12T00:00:00"/>
    <s v="THANH THÚY"/>
    <s v="TO02"/>
    <x v="61"/>
    <x v="113"/>
    <s v="YELLOW DIAMOND"/>
    <s v="DI"/>
    <s v="18.20"/>
    <n v="150"/>
    <s v="NL2018"/>
    <m/>
    <n v="234"/>
    <n v="35100"/>
    <x v="9"/>
    <n v="217620000"/>
    <x v="2"/>
    <d v="2019-09-01T00:00:00"/>
    <d v="2019-09-29T00:00:00"/>
    <d v="2019-09-29T00:00:00"/>
    <s v="TẾT"/>
    <m/>
    <m/>
    <m/>
    <m/>
    <n v="0"/>
    <m/>
    <m/>
    <m/>
    <m/>
    <m/>
    <m/>
    <n v="0"/>
    <n v="35100"/>
    <n v="217620000"/>
  </r>
  <r>
    <s v="163B/2019"/>
    <d v="2019-03-30T00:00:00"/>
    <s v="THANH THÚY"/>
    <s v="TO01"/>
    <x v="61"/>
    <x v="114"/>
    <s v="MAYTIME"/>
    <m/>
    <s v="18.20"/>
    <s v="150"/>
    <s v="NL2018"/>
    <m/>
    <n v="10"/>
    <n v="1500"/>
    <x v="43"/>
    <n v="9750000"/>
    <x v="2"/>
    <m/>
    <s v=""/>
    <s v=""/>
    <m/>
    <m/>
    <m/>
    <m/>
    <m/>
    <n v="0"/>
    <m/>
    <m/>
    <m/>
    <m/>
    <m/>
    <m/>
    <n v="0"/>
    <n v="1500"/>
    <n v="9750000"/>
  </r>
  <r>
    <s v="163B/2019"/>
    <d v="2019-03-30T00:00:00"/>
    <s v="THANH THÚY"/>
    <s v="TO01"/>
    <x v="61"/>
    <x v="25"/>
    <s v="CONCADOR"/>
    <m/>
    <s v="18.20"/>
    <s v="150"/>
    <s v="NL2018"/>
    <m/>
    <n v="30"/>
    <n v="4500"/>
    <x v="27"/>
    <n v="36000000"/>
    <x v="2"/>
    <m/>
    <s v=""/>
    <s v=""/>
    <m/>
    <m/>
    <m/>
    <m/>
    <m/>
    <n v="0"/>
    <m/>
    <m/>
    <m/>
    <m/>
    <m/>
    <m/>
    <n v="0"/>
    <n v="4500"/>
    <n v="36000000"/>
  </r>
  <r>
    <s v="163B/2019"/>
    <d v="2019-03-30T00:00:00"/>
    <s v="THANH THÚY"/>
    <s v="TO01"/>
    <x v="61"/>
    <x v="21"/>
    <s v="SERANO"/>
    <m/>
    <s v="18.20"/>
    <s v="150"/>
    <s v="NL2018"/>
    <m/>
    <n v="15"/>
    <n v="2250"/>
    <x v="101"/>
    <n v="17550000"/>
    <x v="2"/>
    <m/>
    <s v=""/>
    <s v=""/>
    <m/>
    <m/>
    <m/>
    <m/>
    <m/>
    <n v="0"/>
    <m/>
    <m/>
    <m/>
    <m/>
    <m/>
    <m/>
    <n v="0"/>
    <n v="2250"/>
    <n v="17550000"/>
  </r>
  <r>
    <s v="163B/2019"/>
    <d v="2019-03-30T00:00:00"/>
    <s v="THANH THÚY"/>
    <s v="TO01"/>
    <x v="61"/>
    <x v="38"/>
    <s v="YELLOWEEN"/>
    <m/>
    <s v="16.18"/>
    <s v="200"/>
    <s v="NL2018"/>
    <m/>
    <n v="15"/>
    <n v="3000"/>
    <x v="54"/>
    <n v="19200000"/>
    <x v="2"/>
    <m/>
    <s v=""/>
    <s v=""/>
    <m/>
    <m/>
    <m/>
    <m/>
    <m/>
    <n v="0"/>
    <m/>
    <m/>
    <m/>
    <m/>
    <m/>
    <m/>
    <n v="0"/>
    <n v="3000"/>
    <n v="19200000"/>
  </r>
  <r>
    <s v="163B/2019"/>
    <d v="2019-03-30T00:00:00"/>
    <s v="THANH THÚY"/>
    <s v="TO01"/>
    <x v="61"/>
    <x v="97"/>
    <s v="LAKE CAREY"/>
    <m/>
    <s v="16.18"/>
    <s v="200"/>
    <s v="NL2018"/>
    <m/>
    <n v="15"/>
    <n v="3000"/>
    <x v="32"/>
    <n v="20400000"/>
    <x v="2"/>
    <m/>
    <s v=""/>
    <s v=""/>
    <m/>
    <m/>
    <m/>
    <m/>
    <m/>
    <n v="0"/>
    <m/>
    <m/>
    <m/>
    <m/>
    <m/>
    <m/>
    <n v="0"/>
    <n v="3000"/>
    <n v="20400000"/>
  </r>
  <r>
    <s v="163B/2019"/>
    <d v="2019-03-30T00:00:00"/>
    <s v="THANH THÚY"/>
    <s v="TO01"/>
    <x v="61"/>
    <x v="115"/>
    <s v="PARAGUAY"/>
    <m/>
    <s v="18.20"/>
    <s v="150"/>
    <s v="NL2018"/>
    <m/>
    <n v="10"/>
    <n v="1500"/>
    <x v="61"/>
    <n v="12750000"/>
    <x v="2"/>
    <m/>
    <s v=""/>
    <s v=""/>
    <m/>
    <m/>
    <m/>
    <m/>
    <m/>
    <n v="0"/>
    <m/>
    <m/>
    <m/>
    <m/>
    <m/>
    <m/>
    <n v="0"/>
    <n v="1500"/>
    <n v="12750000"/>
  </r>
  <r>
    <s v="163B/2019"/>
    <d v="2019-03-30T00:00:00"/>
    <s v="THANH THÚY"/>
    <s v="TO01"/>
    <x v="61"/>
    <x v="116"/>
    <s v="SENSI"/>
    <m/>
    <s v="18.20"/>
    <s v="150"/>
    <s v="NL2018"/>
    <m/>
    <n v="20"/>
    <n v="3000"/>
    <x v="108"/>
    <n v="22800000"/>
    <x v="2"/>
    <m/>
    <s v=""/>
    <s v=""/>
    <m/>
    <m/>
    <m/>
    <m/>
    <m/>
    <n v="0"/>
    <m/>
    <m/>
    <m/>
    <m/>
    <m/>
    <m/>
    <n v="0"/>
    <n v="3000"/>
    <n v="22800000"/>
  </r>
  <r>
    <s v="163B/2019"/>
    <d v="2019-03-30T00:00:00"/>
    <s v="THANH THÚY"/>
    <s v="TO01"/>
    <x v="61"/>
    <x v="105"/>
    <s v="LODI"/>
    <m/>
    <s v="18.20"/>
    <s v="150"/>
    <s v="NL2018"/>
    <m/>
    <n v="30"/>
    <n v="4500"/>
    <x v="89"/>
    <n v="41400000"/>
    <x v="2"/>
    <m/>
    <s v=""/>
    <s v=""/>
    <m/>
    <m/>
    <m/>
    <m/>
    <m/>
    <n v="0"/>
    <m/>
    <m/>
    <m/>
    <m/>
    <m/>
    <m/>
    <n v="0"/>
    <n v="4500"/>
    <n v="41400000"/>
  </r>
  <r>
    <s v="163B/2019"/>
    <d v="2019-03-30T00:00:00"/>
    <s v="THANH THÚY"/>
    <s v="TO01"/>
    <x v="61"/>
    <x v="117"/>
    <s v="MALDANO"/>
    <m/>
    <s v="18.20"/>
    <s v="150"/>
    <s v="NL2018"/>
    <m/>
    <n v="35"/>
    <n v="5250"/>
    <x v="116"/>
    <n v="44100000"/>
    <x v="2"/>
    <m/>
    <s v=""/>
    <s v=""/>
    <m/>
    <m/>
    <m/>
    <m/>
    <m/>
    <n v="0"/>
    <m/>
    <m/>
    <m/>
    <m/>
    <m/>
    <m/>
    <n v="0"/>
    <n v="5250"/>
    <n v="44100000"/>
  </r>
  <r>
    <s v="163B/2019"/>
    <d v="2019-03-30T00:00:00"/>
    <s v="THANH THÚY"/>
    <s v="TO01"/>
    <x v="61"/>
    <x v="118"/>
    <s v="EREMO"/>
    <m/>
    <s v="16.18"/>
    <s v="200"/>
    <s v="NL2018"/>
    <m/>
    <n v="10"/>
    <n v="2000"/>
    <x v="20"/>
    <n v="12200000"/>
    <x v="2"/>
    <m/>
    <s v=""/>
    <s v=""/>
    <m/>
    <m/>
    <m/>
    <m/>
    <m/>
    <n v="0"/>
    <m/>
    <m/>
    <m/>
    <m/>
    <m/>
    <m/>
    <n v="0"/>
    <n v="2000"/>
    <n v="12200000"/>
  </r>
  <r>
    <s v="163B/2019"/>
    <d v="2019-03-30T00:00:00"/>
    <s v="THANH THÚY"/>
    <s v="TO01"/>
    <x v="61"/>
    <x v="42"/>
    <s v="PAVIA"/>
    <m/>
    <s v="16.18"/>
    <s v="200"/>
    <s v="NL2018"/>
    <m/>
    <n v="10"/>
    <n v="2000"/>
    <x v="20"/>
    <n v="12200000"/>
    <x v="2"/>
    <m/>
    <s v=""/>
    <s v=""/>
    <m/>
    <m/>
    <m/>
    <m/>
    <m/>
    <n v="0"/>
    <m/>
    <m/>
    <m/>
    <m/>
    <m/>
    <m/>
    <n v="0"/>
    <n v="2000"/>
    <n v="12200000"/>
  </r>
  <r>
    <s v="163B/2019"/>
    <d v="2019-03-30T00:00:00"/>
    <s v="THANH THÚY"/>
    <s v="TO01"/>
    <x v="61"/>
    <x v="119"/>
    <s v="DYNAMIX"/>
    <m/>
    <s v="16.18"/>
    <s v="200"/>
    <s v="NL2018"/>
    <m/>
    <n v="10"/>
    <n v="2000"/>
    <x v="93"/>
    <n v="0"/>
    <x v="2"/>
    <m/>
    <s v=""/>
    <s v=""/>
    <m/>
    <m/>
    <m/>
    <m/>
    <m/>
    <n v="0"/>
    <m/>
    <m/>
    <m/>
    <m/>
    <m/>
    <m/>
    <n v="0"/>
    <n v="2000"/>
    <n v="0"/>
  </r>
  <r>
    <s v="163B/2019"/>
    <d v="2019-03-30T00:00:00"/>
    <s v="THANH THÚY"/>
    <s v="TO01"/>
    <x v="61"/>
    <x v="120"/>
    <s v="BUZZER"/>
    <s v="POT"/>
    <s v="10.12"/>
    <s v="500"/>
    <s v="NL2018"/>
    <m/>
    <n v="10"/>
    <n v="5000"/>
    <x v="68"/>
    <n v="17500000"/>
    <x v="2"/>
    <m/>
    <s v=""/>
    <s v=""/>
    <m/>
    <m/>
    <m/>
    <m/>
    <m/>
    <n v="0"/>
    <m/>
    <m/>
    <m/>
    <m/>
    <m/>
    <m/>
    <n v="0"/>
    <n v="5000"/>
    <n v="17500000"/>
  </r>
  <r>
    <s v="163B/2019"/>
    <d v="2019-03-30T00:00:00"/>
    <s v="THANH THÚY"/>
    <s v="TO01"/>
    <x v="61"/>
    <x v="121"/>
    <s v="CLASSIC JOY"/>
    <s v="POT"/>
    <s v="10.12"/>
    <s v="500"/>
    <s v="NL2018"/>
    <m/>
    <n v="48"/>
    <n v="24000"/>
    <x v="68"/>
    <n v="84000000"/>
    <x v="2"/>
    <m/>
    <s v=""/>
    <s v=""/>
    <m/>
    <m/>
    <m/>
    <m/>
    <m/>
    <n v="0"/>
    <m/>
    <m/>
    <m/>
    <m/>
    <m/>
    <m/>
    <n v="0"/>
    <n v="24000"/>
    <n v="84000000"/>
  </r>
  <r>
    <s v="163B/2019"/>
    <d v="2019-03-30T00:00:00"/>
    <s v="THANH THÚY"/>
    <s v="TO01"/>
    <x v="61"/>
    <x v="122"/>
    <s v="CLASSIC JOY"/>
    <s v="POT"/>
    <s v="12.14"/>
    <s v="400"/>
    <s v="NL2018"/>
    <m/>
    <n v="10"/>
    <n v="4000"/>
    <x v="82"/>
    <n v="20800000"/>
    <x v="2"/>
    <m/>
    <s v=""/>
    <s v=""/>
    <m/>
    <m/>
    <m/>
    <m/>
    <m/>
    <n v="0"/>
    <m/>
    <m/>
    <m/>
    <m/>
    <m/>
    <m/>
    <n v="0"/>
    <n v="4000"/>
    <n v="20800000"/>
  </r>
  <r>
    <s v="163B/2019"/>
    <d v="2019-03-30T00:00:00"/>
    <s v="THANH THÚY"/>
    <s v="TO01"/>
    <x v="61"/>
    <x v="123"/>
    <s v="GOLDEN JOY"/>
    <s v="POT"/>
    <s v="10.12"/>
    <s v="500"/>
    <s v="NL2018"/>
    <m/>
    <n v="54"/>
    <n v="27000"/>
    <x v="68"/>
    <n v="94500000"/>
    <x v="2"/>
    <m/>
    <s v=""/>
    <s v=""/>
    <m/>
    <m/>
    <m/>
    <m/>
    <m/>
    <n v="0"/>
    <m/>
    <m/>
    <m/>
    <m/>
    <m/>
    <m/>
    <n v="0"/>
    <n v="27000"/>
    <n v="94500000"/>
  </r>
  <r>
    <s v="163B/2019"/>
    <d v="2019-03-30T00:00:00"/>
    <s v="THANH THÚY"/>
    <s v="TO01"/>
    <x v="61"/>
    <x v="124"/>
    <s v="GOLDEN JOY"/>
    <s v="POT"/>
    <s v="12.14"/>
    <s v="400"/>
    <s v="NL2018"/>
    <m/>
    <n v="10"/>
    <n v="4000"/>
    <x v="82"/>
    <n v="20800000"/>
    <x v="2"/>
    <m/>
    <s v=""/>
    <s v=""/>
    <m/>
    <m/>
    <m/>
    <m/>
    <m/>
    <n v="0"/>
    <m/>
    <m/>
    <m/>
    <m/>
    <m/>
    <m/>
    <n v="0"/>
    <n v="4000"/>
    <n v="20800000"/>
  </r>
  <r>
    <s v="163B/2019"/>
    <d v="2019-03-30T00:00:00"/>
    <s v="THANH THÚY"/>
    <s v="TO01"/>
    <x v="61"/>
    <x v="125"/>
    <s v="ISLAND JOY"/>
    <s v="POT"/>
    <s v="11.12"/>
    <s v="400"/>
    <s v="NL2018"/>
    <m/>
    <n v="21"/>
    <n v="8400"/>
    <x v="25"/>
    <n v="30240000"/>
    <x v="2"/>
    <m/>
    <s v=""/>
    <s v=""/>
    <m/>
    <m/>
    <m/>
    <m/>
    <m/>
    <n v="0"/>
    <m/>
    <m/>
    <m/>
    <m/>
    <m/>
    <m/>
    <n v="0"/>
    <n v="8400"/>
    <n v="30240000"/>
  </r>
  <r>
    <s v="163B/2019"/>
    <d v="2019-03-30T00:00:00"/>
    <s v="THANH THÚY"/>
    <s v="TO01"/>
    <x v="61"/>
    <x v="126"/>
    <s v="MAJESTIC JOY"/>
    <s v="POT"/>
    <s v="10.12"/>
    <s v="500"/>
    <s v="NL2018"/>
    <m/>
    <n v="48"/>
    <n v="24000"/>
    <x v="68"/>
    <n v="84000000"/>
    <x v="2"/>
    <m/>
    <s v=""/>
    <s v=""/>
    <m/>
    <m/>
    <m/>
    <m/>
    <m/>
    <n v="0"/>
    <m/>
    <m/>
    <m/>
    <m/>
    <m/>
    <m/>
    <n v="0"/>
    <n v="24000"/>
    <n v="84000000"/>
  </r>
  <r>
    <s v="163B/2019"/>
    <d v="2019-03-30T00:00:00"/>
    <s v="THANH THÚY"/>
    <s v="TO01"/>
    <x v="61"/>
    <x v="127"/>
    <s v="SUGAR LOVE"/>
    <s v="POT"/>
    <s v="10.12"/>
    <s v="500"/>
    <s v="NL2018"/>
    <m/>
    <n v="16.8"/>
    <n v="8400"/>
    <x v="68"/>
    <n v="29400000"/>
    <x v="2"/>
    <m/>
    <s v=""/>
    <s v=""/>
    <m/>
    <m/>
    <m/>
    <m/>
    <m/>
    <n v="0"/>
    <m/>
    <m/>
    <m/>
    <m/>
    <m/>
    <m/>
    <n v="0"/>
    <n v="8400"/>
    <n v="29400000"/>
  </r>
  <r>
    <s v="163B/2019"/>
    <d v="2019-03-30T00:00:00"/>
    <s v="THANH THÚY"/>
    <s v="TO01"/>
    <x v="61"/>
    <x v="128"/>
    <s v="CONFETTI JOY"/>
    <s v="POT"/>
    <s v="12.14"/>
    <s v="400"/>
    <s v="NL2018"/>
    <m/>
    <n v="10"/>
    <n v="4000"/>
    <x v="82"/>
    <n v="20800000"/>
    <x v="2"/>
    <m/>
    <s v=""/>
    <s v=""/>
    <m/>
    <m/>
    <m/>
    <m/>
    <m/>
    <n v="0"/>
    <m/>
    <m/>
    <m/>
    <m/>
    <m/>
    <m/>
    <n v="0"/>
    <n v="4000"/>
    <n v="20800000"/>
  </r>
  <r>
    <s v="163B/2019"/>
    <d v="2019-03-30T00:00:00"/>
    <s v="THANH THÚY"/>
    <s v="TO01"/>
    <x v="61"/>
    <x v="129"/>
    <s v="SOROCABA"/>
    <s v="POT"/>
    <s v="10.12"/>
    <s v="500"/>
    <s v="NL2018"/>
    <m/>
    <n v="12"/>
    <n v="6000"/>
    <x v="68"/>
    <n v="21000000"/>
    <x v="2"/>
    <m/>
    <s v=""/>
    <s v=""/>
    <m/>
    <m/>
    <m/>
    <m/>
    <m/>
    <n v="0"/>
    <m/>
    <m/>
    <m/>
    <m/>
    <m/>
    <m/>
    <n v="0"/>
    <n v="6000"/>
    <n v="21000000"/>
  </r>
  <r>
    <s v="163B/2019"/>
    <d v="2019-03-30T00:00:00"/>
    <s v="THANH THÚY"/>
    <s v="TO01"/>
    <x v="61"/>
    <x v="130"/>
    <s v="TRENDY SAVANAH"/>
    <s v="POT"/>
    <s v="10.12"/>
    <s v="500"/>
    <s v="NL2018"/>
    <m/>
    <n v="9"/>
    <n v="4500"/>
    <x v="68"/>
    <n v="15750000"/>
    <x v="2"/>
    <m/>
    <s v=""/>
    <s v=""/>
    <m/>
    <m/>
    <m/>
    <m/>
    <m/>
    <n v="0"/>
    <m/>
    <m/>
    <m/>
    <m/>
    <m/>
    <m/>
    <n v="0"/>
    <n v="4500"/>
    <n v="15750000"/>
  </r>
  <r>
    <s v="163B/2019"/>
    <d v="2019-03-30T00:00:00"/>
    <s v="THANH THÚY"/>
    <s v="TO01"/>
    <x v="61"/>
    <x v="129"/>
    <s v="SOROCABA"/>
    <s v="POT"/>
    <s v="10.12"/>
    <s v="500"/>
    <s v="NL2018"/>
    <m/>
    <n v="12"/>
    <n v="6000"/>
    <x v="68"/>
    <n v="21000000"/>
    <x v="2"/>
    <m/>
    <s v=""/>
    <s v=""/>
    <m/>
    <m/>
    <m/>
    <m/>
    <m/>
    <n v="0"/>
    <m/>
    <m/>
    <m/>
    <m/>
    <m/>
    <m/>
    <n v="0"/>
    <n v="6000"/>
    <n v="21000000"/>
  </r>
  <r>
    <s v="163B/2019"/>
    <d v="2019-03-30T00:00:00"/>
    <s v="THANH THÚY"/>
    <s v="TO01"/>
    <x v="61"/>
    <x v="131"/>
    <s v="SOROCABA"/>
    <s v="POT"/>
    <s v="12.14"/>
    <s v="400"/>
    <s v="NL2018"/>
    <m/>
    <n v="10"/>
    <n v="4000"/>
    <x v="82"/>
    <n v="20800000"/>
    <x v="2"/>
    <m/>
    <s v=""/>
    <s v=""/>
    <m/>
    <m/>
    <m/>
    <m/>
    <m/>
    <n v="0"/>
    <m/>
    <m/>
    <m/>
    <m/>
    <m/>
    <m/>
    <n v="0"/>
    <n v="4000"/>
    <n v="20800000"/>
  </r>
  <r>
    <s v="163B/2019"/>
    <d v="2019-03-30T00:00:00"/>
    <s v="THANH THÚY"/>
    <s v="TO01"/>
    <x v="61"/>
    <x v="132"/>
    <s v="TANGERINE JOY ®"/>
    <s v="POT"/>
    <s v="11.12"/>
    <s v="500"/>
    <s v="NL2018"/>
    <m/>
    <n v="10"/>
    <n v="5000"/>
    <x v="25"/>
    <n v="18000000"/>
    <x v="2"/>
    <m/>
    <s v=""/>
    <s v=""/>
    <m/>
    <m/>
    <m/>
    <m/>
    <m/>
    <n v="0"/>
    <m/>
    <m/>
    <m/>
    <m/>
    <m/>
    <m/>
    <n v="0"/>
    <n v="5000"/>
    <n v="18000000"/>
  </r>
  <r>
    <s v="163B/2019"/>
    <d v="2019-03-30T00:00:00"/>
    <s v="THANH THÚY"/>
    <s v="TO01"/>
    <x v="61"/>
    <x v="130"/>
    <s v="TRENDY SAVANNAH ®"/>
    <s v="POT"/>
    <s v="10.12"/>
    <s v="500"/>
    <s v="NL2018"/>
    <m/>
    <n v="9"/>
    <n v="4500"/>
    <x v="68"/>
    <n v="15750000"/>
    <x v="2"/>
    <m/>
    <s v=""/>
    <s v=""/>
    <m/>
    <m/>
    <m/>
    <m/>
    <m/>
    <n v="0"/>
    <m/>
    <m/>
    <m/>
    <m/>
    <m/>
    <m/>
    <n v="0"/>
    <n v="4500"/>
    <n v="15750000"/>
  </r>
  <r>
    <s v="111B/2019"/>
    <d v="2019-03-12T00:00:00"/>
    <s v="THANH THÚY"/>
    <s v="TO02"/>
    <x v="61"/>
    <x v="64"/>
    <s v="TARRANGO"/>
    <m/>
    <s v="18.20"/>
    <n v="150"/>
    <s v="NL2018"/>
    <m/>
    <n v="34"/>
    <n v="5100"/>
    <x v="67"/>
    <n v="47940000"/>
    <x v="2"/>
    <d v="2019-09-01T00:00:00"/>
    <d v="2019-09-29T00:00:00"/>
    <d v="2019-09-29T00:00:00"/>
    <s v="TẾT"/>
    <m/>
    <m/>
    <m/>
    <m/>
    <n v="0"/>
    <m/>
    <m/>
    <m/>
    <m/>
    <m/>
    <m/>
    <n v="0"/>
    <n v="5100"/>
    <n v="47940000"/>
  </r>
  <r>
    <s v="228A/2019"/>
    <d v="2019-05-29T00:00:00"/>
    <s v="KIỀU THY"/>
    <s v="NH02"/>
    <x v="62"/>
    <x v="133"/>
    <s v="MANISSA"/>
    <m/>
    <s v="14.16"/>
    <s v="300"/>
    <s v="NL2018"/>
    <m/>
    <n v="8"/>
    <n v="2400"/>
    <x v="6"/>
    <n v="9120000"/>
    <x v="0"/>
    <d v="2019-05-05T00:00:00"/>
    <d v="2019-06-07T00:00:00"/>
    <d v="2019-06-07T00:00:00"/>
    <m/>
    <m/>
    <m/>
    <m/>
    <d v="2019-06-15T00:00:00"/>
    <n v="2400"/>
    <m/>
    <m/>
    <m/>
    <m/>
    <m/>
    <m/>
    <n v="2400"/>
    <n v="0"/>
    <n v="0"/>
  </r>
  <r>
    <s v="228A/2019"/>
    <d v="2019-05-29T00:00:00"/>
    <s v="KIỀU THY"/>
    <s v="NH02"/>
    <x v="62"/>
    <x v="57"/>
    <s v="DALIAN"/>
    <m/>
    <s v="14.16"/>
    <s v="300"/>
    <s v="NL2018"/>
    <m/>
    <n v="2"/>
    <n v="600"/>
    <x v="44"/>
    <n v="3300000"/>
    <x v="0"/>
    <d v="2019-05-05T00:00:00"/>
    <d v="2019-06-07T00:00:00"/>
    <d v="2019-06-07T00:00:00"/>
    <m/>
    <m/>
    <m/>
    <m/>
    <d v="2019-06-15T00:00:00"/>
    <n v="600"/>
    <m/>
    <m/>
    <m/>
    <m/>
    <m/>
    <m/>
    <n v="600"/>
    <n v="0"/>
    <n v="0"/>
  </r>
  <r>
    <s v="228A/2019"/>
    <d v="2019-05-29T00:00:00"/>
    <s v="KIỀU THY"/>
    <s v="NH02"/>
    <x v="62"/>
    <x v="65"/>
    <s v="ROBINA"/>
    <m/>
    <s v="14.16"/>
    <s v="300"/>
    <s v="NL2018"/>
    <m/>
    <n v="3"/>
    <n v="900"/>
    <x v="6"/>
    <n v="3420000"/>
    <x v="0"/>
    <d v="2019-05-05T00:00:00"/>
    <d v="2019-06-07T00:00:00"/>
    <d v="2019-06-07T00:00:00"/>
    <m/>
    <m/>
    <m/>
    <m/>
    <d v="2019-06-15T00:00:00"/>
    <s v="900"/>
    <m/>
    <m/>
    <m/>
    <m/>
    <m/>
    <m/>
    <n v="900"/>
    <n v="0"/>
    <n v="0"/>
  </r>
  <r>
    <s v="159B/2019"/>
    <d v="2019-03-15T00:00:00"/>
    <s v="THANH THÚY"/>
    <s v="TM01"/>
    <x v="63"/>
    <x v="6"/>
    <s v="CONCADOR"/>
    <m/>
    <s v="20.22"/>
    <s v="125"/>
    <s v="NL2018"/>
    <m/>
    <n v="16"/>
    <n v="2000"/>
    <x v="59"/>
    <n v="21000000"/>
    <x v="2"/>
    <d v="2019-09-01T00:00:00"/>
    <d v="2019-09-29T00:00:00"/>
    <d v="2019-09-29T00:00:00"/>
    <s v="TẾT"/>
    <m/>
    <m/>
    <m/>
    <m/>
    <n v="0"/>
    <m/>
    <m/>
    <m/>
    <m/>
    <m/>
    <m/>
    <n v="0"/>
    <n v="2000"/>
    <n v="21000000"/>
  </r>
  <r>
    <s v="159B/2019"/>
    <d v="2019-03-15T00:00:00"/>
    <s v="THANH THÚY"/>
    <s v="TM01"/>
    <x v="63"/>
    <x v="16"/>
    <s v="ROBINA"/>
    <m/>
    <s v="20.22"/>
    <s v="125"/>
    <s v="NL2018"/>
    <m/>
    <n v="24"/>
    <n v="3000"/>
    <x v="59"/>
    <n v="31500000"/>
    <x v="2"/>
    <d v="2019-09-01T00:00:00"/>
    <d v="2019-09-29T00:00:00"/>
    <d v="2019-09-29T00:00:00"/>
    <s v="TẾT"/>
    <m/>
    <m/>
    <m/>
    <m/>
    <n v="0"/>
    <m/>
    <m/>
    <m/>
    <m/>
    <m/>
    <m/>
    <n v="0"/>
    <n v="3000"/>
    <n v="31500000"/>
  </r>
  <r>
    <s v="159B/2019"/>
    <d v="2019-03-15T00:00:00"/>
    <s v="THANH THÚY"/>
    <s v="TM01"/>
    <x v="63"/>
    <x v="14"/>
    <s v="TARRANGO"/>
    <m/>
    <s v="20.22"/>
    <s v="125"/>
    <s v="NL2018"/>
    <m/>
    <n v="40"/>
    <n v="5000"/>
    <x v="8"/>
    <n v="54000000"/>
    <x v="2"/>
    <d v="2019-09-01T00:00:00"/>
    <d v="2019-09-29T00:00:00"/>
    <d v="2019-09-29T00:00:00"/>
    <s v="TẾT"/>
    <m/>
    <m/>
    <m/>
    <m/>
    <n v="0"/>
    <m/>
    <m/>
    <m/>
    <m/>
    <m/>
    <m/>
    <n v="0"/>
    <n v="5000"/>
    <n v="54000000"/>
  </r>
  <r>
    <s v="127B/2019"/>
    <d v="2019-03-15T00:00:00"/>
    <s v="THANH THÚY"/>
    <s v="TM01"/>
    <x v="63"/>
    <x v="11"/>
    <s v="YELLOWEEN"/>
    <m/>
    <s v="12.14"/>
    <s v="400"/>
    <s v="NL2018"/>
    <m/>
    <n v="8"/>
    <n v="3200"/>
    <x v="12"/>
    <n v="8320000"/>
    <x v="0"/>
    <d v="2019-02-15T00:00:00"/>
    <d v="2019-03-20T00:00:00"/>
    <d v="2019-03-20T00:00:00"/>
    <s v="15/2AL"/>
    <s v="CONT 12/2019"/>
    <m/>
    <m/>
    <m/>
    <n v="3200"/>
    <m/>
    <m/>
    <m/>
    <m/>
    <m/>
    <m/>
    <n v="3200"/>
    <n v="0"/>
    <n v="0"/>
  </r>
  <r>
    <s v="120A/2019"/>
    <d v="2019-03-18T00:00:00"/>
    <s v="KIỀU THY"/>
    <s v="TL03"/>
    <x v="64"/>
    <x v="24"/>
    <s v="SERANO"/>
    <m/>
    <s v="14.16"/>
    <s v="300"/>
    <s v="NL2018"/>
    <m/>
    <n v="10"/>
    <n v="3000"/>
    <x v="68"/>
    <n v="10500000"/>
    <x v="0"/>
    <d v="2019-02-28T00:00:00"/>
    <d v="2019-04-02T00:00:00"/>
    <d v="2019-04-02T00:00:00"/>
    <s v="30/2AL"/>
    <s v="CONT 17/2019"/>
    <d v="2019-03-31T00:00:00"/>
    <m/>
    <d v="2019-05-02T00:00:00"/>
    <n v="3000"/>
    <m/>
    <m/>
    <m/>
    <m/>
    <m/>
    <m/>
    <n v="3000"/>
    <n v="0"/>
    <n v="0"/>
  </r>
  <r>
    <s v="120A/2019"/>
    <d v="2019-03-18T00:00:00"/>
    <s v="KIỀU THY"/>
    <s v="TL03"/>
    <x v="64"/>
    <x v="80"/>
    <s v="PROFUNDO"/>
    <m/>
    <s v="14.16"/>
    <s v="300"/>
    <s v="NL2018"/>
    <m/>
    <n v="7"/>
    <n v="2100"/>
    <x v="18"/>
    <n v="10500000"/>
    <x v="0"/>
    <d v="2019-03-15T00:00:00"/>
    <d v="2019-04-19T00:00:00"/>
    <d v="2019-04-19T00:00:00"/>
    <s v="15/3AL"/>
    <s v="CONT 23/2019"/>
    <d v="2019-04-19T00:00:00"/>
    <m/>
    <d v="2019-05-02T00:00:00"/>
    <n v="2100"/>
    <m/>
    <m/>
    <m/>
    <m/>
    <m/>
    <m/>
    <n v="2100"/>
    <n v="0"/>
    <n v="0"/>
  </r>
  <r>
    <s v="120A/2019"/>
    <d v="2019-03-18T00:00:00"/>
    <s v="KIỀU THY"/>
    <s v="TL03"/>
    <x v="64"/>
    <x v="50"/>
    <s v="PROFUNDO"/>
    <m/>
    <s v="14.16"/>
    <s v="275"/>
    <s v="NL2018"/>
    <m/>
    <n v="7"/>
    <n v="1925"/>
    <x v="18"/>
    <n v="9625000"/>
    <x v="4"/>
    <d v="2019-04-17T00:00:00"/>
    <d v="2019-05-21T00:00:00"/>
    <d v="2019-05-21T00:00:00"/>
    <m/>
    <m/>
    <m/>
    <m/>
    <d v="2019-06-14T00:00:00"/>
    <n v="1925"/>
    <m/>
    <m/>
    <m/>
    <m/>
    <m/>
    <m/>
    <n v="1925"/>
    <n v="0"/>
    <n v="0"/>
  </r>
  <r>
    <s v="120A/2019"/>
    <d v="2019-03-18T00:00:00"/>
    <s v="KIỀU THY"/>
    <s v="TL03"/>
    <x v="64"/>
    <x v="50"/>
    <s v="PROFUNDO"/>
    <m/>
    <s v="14.16"/>
    <s v="275"/>
    <s v="NL2018"/>
    <m/>
    <n v="7"/>
    <n v="1925"/>
    <x v="18"/>
    <n v="9625000"/>
    <x v="4"/>
    <d v="2019-04-17T00:00:00"/>
    <d v="2019-05-21T00:00:00"/>
    <d v="2019-05-21T00:00:00"/>
    <s v="30/3AL"/>
    <m/>
    <m/>
    <m/>
    <d v="2019-06-14T00:00:00"/>
    <n v="1100"/>
    <m/>
    <m/>
    <m/>
    <m/>
    <m/>
    <m/>
    <n v="1100"/>
    <n v="825"/>
    <n v="4125000"/>
  </r>
  <r>
    <s v="120A/2019"/>
    <d v="2019-03-18T00:00:00"/>
    <s v="KIỀU THY"/>
    <s v="TL03"/>
    <x v="64"/>
    <x v="50"/>
    <s v="PROFUNDO"/>
    <m/>
    <s v="14.16"/>
    <s v="275"/>
    <s v="NL2018"/>
    <m/>
    <n v="8"/>
    <n v="2200"/>
    <x v="18"/>
    <n v="11000000"/>
    <x v="3"/>
    <d v="2019-05-18T00:00:00"/>
    <d v="2019-06-20T00:00:00"/>
    <d v="2019-06-20T00:00:00"/>
    <m/>
    <m/>
    <m/>
    <m/>
    <m/>
    <m/>
    <m/>
    <m/>
    <m/>
    <m/>
    <m/>
    <m/>
    <n v="0"/>
    <n v="2200"/>
    <n v="11000000"/>
  </r>
  <r>
    <s v="120A/2019"/>
    <d v="2019-03-18T00:00:00"/>
    <s v="KIỀU THY"/>
    <s v="TL03"/>
    <x v="64"/>
    <x v="24"/>
    <s v="SERANO"/>
    <m/>
    <s v="14.16"/>
    <s v="300"/>
    <s v="NL2018"/>
    <m/>
    <n v="10"/>
    <n v="3000"/>
    <x v="68"/>
    <n v="10500000"/>
    <x v="4"/>
    <d v="2019-04-17T00:00:00"/>
    <d v="2019-05-21T00:00:00"/>
    <d v="2019-05-21T00:00:00"/>
    <s v="30/3AL"/>
    <m/>
    <m/>
    <m/>
    <m/>
    <m/>
    <m/>
    <m/>
    <m/>
    <m/>
    <m/>
    <m/>
    <n v="0"/>
    <n v="3000"/>
    <n v="10500000"/>
  </r>
  <r>
    <s v="120A/2019"/>
    <d v="2019-03-18T00:00:00"/>
    <s v="KIỀU THY"/>
    <s v="TL03"/>
    <x v="64"/>
    <x v="24"/>
    <s v="SERANO"/>
    <m/>
    <s v="14.16"/>
    <s v="300"/>
    <s v="NL2018"/>
    <m/>
    <n v="10"/>
    <n v="3000"/>
    <x v="117"/>
    <n v="11100000"/>
    <x v="4"/>
    <d v="2019-05-12T00:00:00"/>
    <d v="2019-06-14T00:00:00"/>
    <d v="2019-06-14T00:00:00"/>
    <s v="5/5AL"/>
    <m/>
    <m/>
    <m/>
    <m/>
    <m/>
    <m/>
    <m/>
    <m/>
    <m/>
    <m/>
    <m/>
    <n v="0"/>
    <n v="3000"/>
    <n v="11100000"/>
  </r>
  <r>
    <s v="241/2019"/>
    <d v="2019-06-13T00:00:00"/>
    <s v="KIỀU THY"/>
    <s v="TL03"/>
    <x v="64"/>
    <x v="31"/>
    <s v="TARRANGO"/>
    <m/>
    <s v="14.16"/>
    <s v="300"/>
    <s v="NL2018"/>
    <m/>
    <n v="10"/>
    <n v="3000"/>
    <x v="18"/>
    <n v="15000000"/>
    <x v="3"/>
    <d v="2019-06-15T00:00:00"/>
    <d v="2019-07-17T00:00:00"/>
    <d v="2019-07-17T00:00:00"/>
    <m/>
    <m/>
    <m/>
    <m/>
    <m/>
    <m/>
    <m/>
    <m/>
    <m/>
    <m/>
    <m/>
    <m/>
    <n v="0"/>
    <n v="3000"/>
    <n v="15000000"/>
  </r>
  <r>
    <s v="241/2019"/>
    <d v="2019-06-13T00:00:00"/>
    <s v="KIỀU THY"/>
    <s v="TL03"/>
    <x v="64"/>
    <x v="28"/>
    <s v="YELLOWEEN"/>
    <m/>
    <s v="14.16"/>
    <s v="300"/>
    <s v="NL2018"/>
    <m/>
    <n v="20"/>
    <n v="6000"/>
    <x v="57"/>
    <n v="24000000"/>
    <x v="3"/>
    <d v="2019-06-15T00:00:00"/>
    <d v="2019-07-17T00:00:00"/>
    <d v="2019-07-17T00:00:00"/>
    <m/>
    <m/>
    <m/>
    <m/>
    <m/>
    <m/>
    <m/>
    <m/>
    <m/>
    <m/>
    <m/>
    <m/>
    <n v="0"/>
    <n v="6000"/>
    <n v="24000000"/>
  </r>
  <r>
    <s v="241/2019"/>
    <d v="2019-06-13T00:00:00"/>
    <s v="KIỀU THY"/>
    <s v="TL03"/>
    <x v="64"/>
    <x v="22"/>
    <s v="ROBINA"/>
    <m/>
    <s v="16.18"/>
    <s v="200"/>
    <s v="NL2018"/>
    <m/>
    <n v="15"/>
    <n v="3000"/>
    <x v="48"/>
    <n v="16800000"/>
    <x v="3"/>
    <d v="2019-06-15T00:00:00"/>
    <d v="2019-07-17T00:00:00"/>
    <d v="2019-07-17T00:00:00"/>
    <m/>
    <m/>
    <m/>
    <m/>
    <m/>
    <m/>
    <m/>
    <m/>
    <m/>
    <m/>
    <m/>
    <m/>
    <n v="0"/>
    <n v="3000"/>
    <n v="16800000"/>
  </r>
  <r>
    <s v="188A/2019"/>
    <d v="2019-03-18T00:00:00"/>
    <s v="KIỀU THY"/>
    <s v="TL03"/>
    <x v="64"/>
    <x v="6"/>
    <s v="CONCADOR"/>
    <m/>
    <s v="20.22"/>
    <s v="125"/>
    <s v="NL2018"/>
    <m/>
    <n v="40"/>
    <n v="5000"/>
    <x v="59"/>
    <n v="52500000"/>
    <x v="2"/>
    <d v="2019-09-01T00:00:00"/>
    <d v="2019-09-29T00:00:00"/>
    <d v="2019-09-29T00:00:00"/>
    <s v="TẾT"/>
    <m/>
    <m/>
    <m/>
    <m/>
    <m/>
    <m/>
    <m/>
    <m/>
    <m/>
    <m/>
    <m/>
    <n v="0"/>
    <n v="5000"/>
    <n v="52500000"/>
  </r>
  <r>
    <s v="188A/2019"/>
    <d v="2019-03-18T00:00:00"/>
    <s v="KIỀU THY"/>
    <s v="TL03"/>
    <x v="64"/>
    <x v="16"/>
    <s v="ROBINA"/>
    <m/>
    <s v="20.22"/>
    <s v="125"/>
    <s v="NL2018"/>
    <m/>
    <n v="40"/>
    <n v="5000"/>
    <x v="59"/>
    <n v="52500000"/>
    <x v="2"/>
    <d v="2019-09-01T00:00:00"/>
    <d v="2019-09-29T00:00:00"/>
    <d v="2019-09-29T00:00:00"/>
    <s v="TẾT"/>
    <m/>
    <m/>
    <m/>
    <m/>
    <m/>
    <m/>
    <m/>
    <m/>
    <m/>
    <m/>
    <m/>
    <n v="0"/>
    <n v="5000"/>
    <n v="52500000"/>
  </r>
  <r>
    <s v="106B/2019"/>
    <d v="2019-03-11T00:00:00"/>
    <s v="THANH THÚY"/>
    <s v="KA01"/>
    <x v="65"/>
    <x v="28"/>
    <s v="YELLOWEEN"/>
    <m/>
    <n v="14.16"/>
    <n v="300"/>
    <s v="NL2018"/>
    <m/>
    <n v="0"/>
    <n v="0"/>
    <x v="6"/>
    <n v="0"/>
    <x v="1"/>
    <d v="2019-03-15T00:00:00"/>
    <d v="2019-04-19T00:00:00"/>
    <d v="2019-04-19T00:00:00"/>
    <s v="15/3AL"/>
    <s v="CONT 20/2019"/>
    <m/>
    <m/>
    <m/>
    <n v="0"/>
    <m/>
    <m/>
    <m/>
    <m/>
    <m/>
    <m/>
    <n v="0"/>
    <n v="0"/>
    <n v="0"/>
  </r>
  <r>
    <s v="106B/2019"/>
    <d v="2019-03-11T00:00:00"/>
    <s v="THANH THÚY"/>
    <s v="KA01"/>
    <x v="65"/>
    <x v="133"/>
    <s v="MANISSA"/>
    <m/>
    <n v="14.16"/>
    <n v="300"/>
    <s v="NL2018"/>
    <m/>
    <n v="0"/>
    <n v="0"/>
    <x v="25"/>
    <n v="0"/>
    <x v="1"/>
    <d v="2019-03-15T00:00:00"/>
    <d v="2019-04-19T00:00:00"/>
    <d v="2019-04-19T00:00:00"/>
    <s v="15/3AL"/>
    <s v="CONT 20/2019"/>
    <m/>
    <m/>
    <m/>
    <n v="0"/>
    <m/>
    <m/>
    <m/>
    <m/>
    <m/>
    <m/>
    <n v="0"/>
    <n v="0"/>
    <n v="0"/>
  </r>
  <r>
    <s v="106B/2019"/>
    <d v="2019-03-11T00:00:00"/>
    <s v="THANH THÚY"/>
    <s v="KA01"/>
    <x v="65"/>
    <x v="40"/>
    <s v="PARAGUAY"/>
    <m/>
    <n v="14.16"/>
    <n v="300"/>
    <s v="NL2018"/>
    <m/>
    <n v="0"/>
    <n v="0"/>
    <x v="23"/>
    <n v="0"/>
    <x v="1"/>
    <d v="2019-03-15T00:00:00"/>
    <d v="2019-04-19T00:00:00"/>
    <d v="2019-04-19T00:00:00"/>
    <s v="15/3AL"/>
    <s v="CONT 20/2019"/>
    <m/>
    <m/>
    <m/>
    <n v="0"/>
    <m/>
    <m/>
    <m/>
    <m/>
    <m/>
    <m/>
    <n v="0"/>
    <n v="0"/>
    <n v="0"/>
  </r>
  <r>
    <s v="219A/2019"/>
    <d v="2019-05-19T00:00:00"/>
    <s v="KIỀU THY"/>
    <s v="TH17"/>
    <x v="66"/>
    <x v="5"/>
    <s v="PROFUNDO"/>
    <m/>
    <s v="16.18"/>
    <s v="200"/>
    <s v="NL2018"/>
    <m/>
    <n v="15"/>
    <n v="3000"/>
    <x v="101"/>
    <n v="23400000"/>
    <x v="0"/>
    <d v="2019-04-17T00:00:00"/>
    <d v="2019-05-21T00:00:00"/>
    <d v="2019-05-21T00:00:00"/>
    <m/>
    <m/>
    <m/>
    <m/>
    <d v="2019-06-13T00:00:00"/>
    <n v="3000"/>
    <m/>
    <m/>
    <m/>
    <m/>
    <m/>
    <m/>
    <n v="3000"/>
    <n v="0"/>
    <n v="0"/>
  </r>
  <r>
    <s v="219A/2019"/>
    <d v="2019-05-19T00:00:00"/>
    <s v="KIỀU THY"/>
    <s v="TH17"/>
    <x v="66"/>
    <x v="5"/>
    <s v="PROFUNDO"/>
    <m/>
    <s v="16.18"/>
    <s v="200"/>
    <s v="NL2018"/>
    <m/>
    <n v="20"/>
    <n v="4000"/>
    <x v="101"/>
    <n v="31200000"/>
    <x v="0"/>
    <d v="2019-04-17T00:00:00"/>
    <d v="2019-05-21T00:00:00"/>
    <d v="2019-05-21T00:00:00"/>
    <m/>
    <m/>
    <m/>
    <m/>
    <d v="2019-06-13T00:00:00"/>
    <n v="4000"/>
    <m/>
    <m/>
    <m/>
    <m/>
    <m/>
    <m/>
    <n v="4000"/>
    <n v="0"/>
    <n v="0"/>
  </r>
  <r>
    <s v="219A/2019"/>
    <d v="2019-05-19T00:00:00"/>
    <s v="KIỀU THY"/>
    <s v="TH17"/>
    <x v="66"/>
    <x v="80"/>
    <s v="PROFUNDO"/>
    <m/>
    <s v="14.16"/>
    <s v="300"/>
    <s v="NL2018"/>
    <m/>
    <n v="11"/>
    <n v="3300"/>
    <x v="78"/>
    <n v="16830000"/>
    <x v="0"/>
    <d v="2019-05-05T00:00:00"/>
    <d v="2019-06-07T00:00:00"/>
    <d v="2019-06-07T00:00:00"/>
    <m/>
    <m/>
    <m/>
    <m/>
    <d v="2019-06-13T00:00:00"/>
    <n v="3300"/>
    <m/>
    <m/>
    <m/>
    <m/>
    <m/>
    <m/>
    <n v="3300"/>
    <n v="0"/>
    <n v="0"/>
  </r>
  <r>
    <s v="219A/2019"/>
    <d v="2019-05-19T00:00:00"/>
    <s v="KIỀU THY"/>
    <s v="TH17"/>
    <x v="66"/>
    <x v="30"/>
    <s v="MALDANO"/>
    <m/>
    <s v="16.18"/>
    <s v="200"/>
    <s v="NL2018"/>
    <m/>
    <n v="20"/>
    <n v="4000"/>
    <x v="11"/>
    <n v="21600000"/>
    <x v="4"/>
    <d v="2019-05-12T00:00:00"/>
    <d v="2019-06-14T00:00:00"/>
    <d v="2019-06-14T00:00:00"/>
    <m/>
    <m/>
    <m/>
    <m/>
    <m/>
    <m/>
    <m/>
    <m/>
    <m/>
    <m/>
    <m/>
    <m/>
    <n v="0"/>
    <n v="4000"/>
    <n v="21600000"/>
  </r>
  <r>
    <s v="219A/2019"/>
    <d v="2019-05-19T00:00:00"/>
    <s v="KIỀU THY"/>
    <s v="TH17"/>
    <x v="66"/>
    <x v="41"/>
    <s v="PAVIA"/>
    <m/>
    <s v="14.16"/>
    <s v="300"/>
    <s v="NL2018"/>
    <m/>
    <n v="0"/>
    <n v="0"/>
    <x v="2"/>
    <n v="0"/>
    <x v="1"/>
    <d v="2019-05-05T00:00:00"/>
    <d v="2019-06-07T00:00:00"/>
    <d v="2019-06-07T00:00:00"/>
    <m/>
    <m/>
    <m/>
    <m/>
    <m/>
    <m/>
    <m/>
    <m/>
    <m/>
    <m/>
    <m/>
    <m/>
    <n v="0"/>
    <n v="0"/>
    <n v="0"/>
  </r>
  <r>
    <s v="219A/2019"/>
    <d v="2019-05-19T00:00:00"/>
    <s v="KIỀU THY"/>
    <s v="TH17"/>
    <x v="66"/>
    <x v="4"/>
    <s v="TEBALDI"/>
    <m/>
    <s v="14.16"/>
    <s v="300"/>
    <s v="NL2018"/>
    <m/>
    <n v="0"/>
    <n v="0"/>
    <x v="99"/>
    <n v="0"/>
    <x v="1"/>
    <d v="2019-05-05T00:00:00"/>
    <d v="2019-06-07T00:00:00"/>
    <d v="2019-06-07T00:00:00"/>
    <m/>
    <m/>
    <m/>
    <m/>
    <m/>
    <m/>
    <m/>
    <m/>
    <m/>
    <m/>
    <m/>
    <m/>
    <n v="0"/>
    <n v="0"/>
    <n v="0"/>
  </r>
  <r>
    <s v="219A/2019"/>
    <d v="2019-06-05T00:00:00"/>
    <s v="KIỀU THY"/>
    <s v="TH17"/>
    <x v="66"/>
    <x v="4"/>
    <s v="TEBALDI"/>
    <m/>
    <s v="14.16"/>
    <s v="300"/>
    <s v="NL2018"/>
    <m/>
    <n v="0"/>
    <n v="0"/>
    <x v="99"/>
    <n v="0"/>
    <x v="1"/>
    <d v="2019-05-05T00:00:00"/>
    <d v="2019-06-07T00:00:00"/>
    <d v="2019-06-07T00:00:00"/>
    <m/>
    <m/>
    <m/>
    <m/>
    <m/>
    <m/>
    <m/>
    <m/>
    <m/>
    <m/>
    <m/>
    <m/>
    <n v="0"/>
    <n v="0"/>
    <n v="0"/>
  </r>
  <r>
    <s v="219A/2019"/>
    <d v="2019-05-19T00:00:00"/>
    <s v="KIỀU THY"/>
    <s v="TH17"/>
    <x v="66"/>
    <x v="30"/>
    <s v="MALDANO"/>
    <m/>
    <s v="16.18"/>
    <s v="200"/>
    <s v="NL2018"/>
    <m/>
    <n v="30"/>
    <n v="6000"/>
    <x v="11"/>
    <n v="32400000"/>
    <x v="4"/>
    <d v="2019-05-12T00:00:00"/>
    <d v="2019-06-14T00:00:00"/>
    <d v="2019-06-14T00:00:00"/>
    <m/>
    <m/>
    <m/>
    <m/>
    <m/>
    <m/>
    <m/>
    <m/>
    <m/>
    <m/>
    <m/>
    <m/>
    <n v="0"/>
    <n v="6000"/>
    <n v="32400000"/>
  </r>
  <r>
    <s v="219A/2019"/>
    <d v="2019-05-19T00:00:00"/>
    <s v="KIỀU THY"/>
    <s v="TH17"/>
    <x v="66"/>
    <x v="29"/>
    <s v="MANISSA"/>
    <m/>
    <s v="16.18"/>
    <s v="200"/>
    <s v="NL2018"/>
    <m/>
    <n v="10"/>
    <n v="2000"/>
    <x v="33"/>
    <n v="14000000"/>
    <x v="0"/>
    <d v="2019-05-09T00:00:00"/>
    <d v="2019-06-11T00:00:00"/>
    <d v="2019-06-11T00:00:00"/>
    <m/>
    <m/>
    <m/>
    <m/>
    <d v="2019-06-13T00:00:00"/>
    <n v="2000"/>
    <m/>
    <m/>
    <m/>
    <m/>
    <m/>
    <m/>
    <n v="2000"/>
    <n v="0"/>
    <n v="0"/>
  </r>
  <r>
    <s v="219A/2019"/>
    <d v="2019-06-10T00:00:00"/>
    <s v="KIỀU THY"/>
    <s v="TH17"/>
    <x v="66"/>
    <x v="54"/>
    <s v="MALDANO"/>
    <m/>
    <s v="14.16"/>
    <s v="300"/>
    <s v="NL2018"/>
    <m/>
    <n v="9"/>
    <n v="2700"/>
    <x v="57"/>
    <n v="10800000"/>
    <x v="0"/>
    <d v="2019-05-09T00:00:00"/>
    <d v="2019-06-11T00:00:00"/>
    <d v="2019-06-11T00:00:00"/>
    <m/>
    <m/>
    <m/>
    <m/>
    <d v="2019-06-13T00:00:00"/>
    <n v="2700"/>
    <m/>
    <m/>
    <m/>
    <m/>
    <m/>
    <m/>
    <n v="2700"/>
    <n v="0"/>
    <n v="0"/>
  </r>
  <r>
    <s v="219A/2019"/>
    <d v="2019-06-10T00:00:00"/>
    <s v="KIỀU THY"/>
    <s v="TH17"/>
    <x v="66"/>
    <x v="57"/>
    <s v="DALIAN"/>
    <m/>
    <s v="14.16"/>
    <s v="300"/>
    <s v="NL2018"/>
    <m/>
    <n v="0"/>
    <n v="0"/>
    <x v="44"/>
    <n v="0"/>
    <x v="1"/>
    <d v="2019-05-09T00:00:00"/>
    <d v="2019-06-11T00:00:00"/>
    <d v="2019-06-11T00:00:00"/>
    <m/>
    <m/>
    <m/>
    <m/>
    <m/>
    <m/>
    <m/>
    <m/>
    <m/>
    <m/>
    <m/>
    <m/>
    <n v="0"/>
    <n v="0"/>
    <n v="0"/>
  </r>
  <r>
    <s v="219A/2019"/>
    <d v="2019-05-19T00:00:00"/>
    <s v="KIỀU THY"/>
    <s v="TH17"/>
    <x v="66"/>
    <x v="41"/>
    <s v="PAVIA"/>
    <m/>
    <s v="14.16"/>
    <s v="300"/>
    <s v="NL2018"/>
    <m/>
    <n v="0"/>
    <n v="0"/>
    <x v="2"/>
    <n v="0"/>
    <x v="0"/>
    <d v="2019-05-09T00:00:00"/>
    <d v="2019-06-11T00:00:00"/>
    <d v="2019-06-11T00:00:00"/>
    <m/>
    <m/>
    <m/>
    <m/>
    <m/>
    <m/>
    <m/>
    <m/>
    <m/>
    <m/>
    <m/>
    <m/>
    <n v="0"/>
    <n v="0"/>
    <n v="0"/>
  </r>
  <r>
    <s v="219A/2019"/>
    <d v="2019-06-14T00:00:00"/>
    <s v="KIỀU THY"/>
    <s v="TH17"/>
    <x v="66"/>
    <x v="80"/>
    <s v="PROFUNDO"/>
    <m/>
    <s v="14.16"/>
    <s v="300"/>
    <s v="NL2018"/>
    <m/>
    <n v="20"/>
    <n v="6000"/>
    <x v="82"/>
    <n v="31200000"/>
    <x v="3"/>
    <d v="2019-06-15T00:00:00"/>
    <d v="2019-07-17T00:00:00"/>
    <d v="2019-07-17T00:00:00"/>
    <m/>
    <m/>
    <m/>
    <m/>
    <m/>
    <m/>
    <m/>
    <m/>
    <m/>
    <m/>
    <m/>
    <m/>
    <n v="0"/>
    <n v="6000"/>
    <n v="31200000"/>
  </r>
  <r>
    <s v="219A/2019"/>
    <d v="2019-06-14T00:00:00"/>
    <s v="KIỀU THY"/>
    <s v="TH17"/>
    <x v="66"/>
    <x v="48"/>
    <s v="SERANO"/>
    <m/>
    <s v="16.18"/>
    <s v="200"/>
    <s v="NL2018"/>
    <m/>
    <n v="20"/>
    <n v="4000"/>
    <x v="55"/>
    <n v="21200000"/>
    <x v="3"/>
    <d v="2019-06-15T00:00:00"/>
    <d v="2019-07-17T00:00:00"/>
    <d v="2019-07-17T00:00:00"/>
    <m/>
    <m/>
    <m/>
    <m/>
    <m/>
    <m/>
    <m/>
    <m/>
    <m/>
    <m/>
    <m/>
    <m/>
    <n v="0"/>
    <n v="4000"/>
    <n v="21200000"/>
  </r>
  <r>
    <s v="219A/2019"/>
    <d v="2019-06-14T00:00:00"/>
    <s v="KIỀU THY"/>
    <s v="TH17"/>
    <x v="66"/>
    <x v="5"/>
    <s v="PROFUNDO"/>
    <m/>
    <s v="16.18"/>
    <s v="200"/>
    <s v="NL2018"/>
    <m/>
    <n v="100"/>
    <n v="20000"/>
    <x v="101"/>
    <n v="156000000"/>
    <x v="3"/>
    <d v="2019-06-15T00:00:00"/>
    <d v="2019-07-17T00:00:00"/>
    <d v="2019-07-17T00:00:00"/>
    <m/>
    <m/>
    <m/>
    <m/>
    <m/>
    <m/>
    <m/>
    <m/>
    <m/>
    <m/>
    <m/>
    <m/>
    <n v="0"/>
    <n v="20000"/>
    <n v="156000000"/>
  </r>
  <r>
    <s v="219A/2019"/>
    <d v="2019-05-20T00:00:00"/>
    <s v="KIỀU THY"/>
    <s v="TH17"/>
    <x v="66"/>
    <x v="57"/>
    <s v="DALIAN"/>
    <m/>
    <s v="14.16"/>
    <s v="300"/>
    <s v="NL2018"/>
    <m/>
    <n v="0"/>
    <n v="0"/>
    <x v="44"/>
    <n v="0"/>
    <x v="1"/>
    <d v="2019-06-15T00:00:00"/>
    <d v="2019-07-17T00:00:00"/>
    <d v="2019-07-17T00:00:00"/>
    <m/>
    <m/>
    <m/>
    <m/>
    <m/>
    <m/>
    <m/>
    <m/>
    <m/>
    <m/>
    <m/>
    <m/>
    <n v="0"/>
    <n v="0"/>
    <n v="0"/>
  </r>
  <r>
    <s v="219A/2019"/>
    <d v="2019-06-14T00:00:00"/>
    <s v="KIỀU THY"/>
    <s v="TH17"/>
    <x v="66"/>
    <x v="5"/>
    <s v="PROFUNDO"/>
    <m/>
    <s v="16.18"/>
    <s v="200"/>
    <s v="NL2018"/>
    <m/>
    <n v="25"/>
    <n v="5000"/>
    <x v="101"/>
    <n v="39000000"/>
    <x v="3"/>
    <d v="2019-06-01T00:00:00"/>
    <d v="2019-07-03T00:00:00"/>
    <d v="2019-07-03T00:00:00"/>
    <s v="Hà Nội chuyển vô"/>
    <m/>
    <m/>
    <m/>
    <m/>
    <m/>
    <m/>
    <m/>
    <m/>
    <m/>
    <m/>
    <m/>
    <n v="0"/>
    <n v="5000"/>
    <n v="39000000"/>
  </r>
  <r>
    <s v="219A/2019"/>
    <d v="2019-05-19T00:00:00"/>
    <s v="KIỀU THY"/>
    <s v="TH17"/>
    <x v="66"/>
    <x v="28"/>
    <s v="YELLOWEEN"/>
    <m/>
    <s v="14.16"/>
    <s v="300"/>
    <s v="NL2018"/>
    <m/>
    <n v="0"/>
    <n v="0"/>
    <x v="56"/>
    <n v="0"/>
    <x v="1"/>
    <d v="2019-05-30T00:00:00"/>
    <d v="2019-07-02T00:00:00"/>
    <d v="2019-07-02T00:00:00"/>
    <m/>
    <m/>
    <m/>
    <m/>
    <m/>
    <m/>
    <m/>
    <m/>
    <m/>
    <m/>
    <m/>
    <m/>
    <n v="0"/>
    <n v="0"/>
    <n v="0"/>
  </r>
  <r>
    <s v="219A/2019"/>
    <d v="2019-06-14T00:00:00"/>
    <s v="KIỀU THY"/>
    <s v="TH17"/>
    <x v="66"/>
    <x v="48"/>
    <s v="SERANO"/>
    <m/>
    <s v="16.18"/>
    <s v="200"/>
    <s v="NL2018"/>
    <m/>
    <n v="20"/>
    <n v="4000"/>
    <x v="55"/>
    <n v="21200000"/>
    <x v="2"/>
    <d v="2019-06-25T00:00:00"/>
    <d v="2019-07-27T00:00:00"/>
    <d v="2019-07-27T00:00:00"/>
    <m/>
    <m/>
    <m/>
    <m/>
    <m/>
    <m/>
    <m/>
    <m/>
    <m/>
    <m/>
    <m/>
    <m/>
    <n v="0"/>
    <n v="4000"/>
    <n v="21200000"/>
  </r>
  <r>
    <s v="219A/2019"/>
    <d v="2019-06-14T00:00:00"/>
    <s v="KIỀU THY"/>
    <s v="TH17"/>
    <x v="66"/>
    <x v="5"/>
    <s v="PROFUNDO"/>
    <m/>
    <s v="16.18"/>
    <s v="200"/>
    <s v="NL2018"/>
    <m/>
    <n v="55"/>
    <n v="11000"/>
    <x v="101"/>
    <n v="85800000"/>
    <x v="2"/>
    <d v="2019-06-25T00:00:00"/>
    <d v="2019-07-27T00:00:00"/>
    <d v="2019-07-27T00:00:00"/>
    <m/>
    <m/>
    <m/>
    <m/>
    <m/>
    <m/>
    <m/>
    <m/>
    <m/>
    <m/>
    <m/>
    <m/>
    <n v="0"/>
    <n v="11000"/>
    <n v="85800000"/>
  </r>
  <r>
    <s v="219A/2019"/>
    <d v="2019-06-14T00:00:00"/>
    <s v="KIỀU THY"/>
    <s v="TH17"/>
    <x v="66"/>
    <x v="80"/>
    <s v="PROFUNDO"/>
    <m/>
    <s v="14.16"/>
    <s v="300"/>
    <s v="NL2018"/>
    <m/>
    <n v="34"/>
    <n v="10200"/>
    <x v="82"/>
    <n v="53040000"/>
    <x v="2"/>
    <d v="2019-06-25T00:00:00"/>
    <d v="2019-07-27T00:00:00"/>
    <d v="2019-07-27T00:00:00"/>
    <m/>
    <m/>
    <m/>
    <m/>
    <m/>
    <m/>
    <m/>
    <m/>
    <m/>
    <m/>
    <m/>
    <m/>
    <n v="0"/>
    <n v="10200"/>
    <n v="53040000"/>
  </r>
  <r>
    <s v="219A/2019"/>
    <d v="2019-06-14T00:00:00"/>
    <s v="KIỀU THY"/>
    <s v="TH17"/>
    <x v="66"/>
    <x v="30"/>
    <s v="MALDANO"/>
    <m/>
    <s v="16.18"/>
    <s v="200"/>
    <s v="NL2018"/>
    <m/>
    <n v="25"/>
    <n v="5000"/>
    <x v="44"/>
    <n v="27500000"/>
    <x v="2"/>
    <d v="2019-06-25T00:00:00"/>
    <d v="2019-07-27T00:00:00"/>
    <d v="2019-07-27T00:00:00"/>
    <m/>
    <m/>
    <m/>
    <m/>
    <m/>
    <m/>
    <m/>
    <m/>
    <m/>
    <m/>
    <m/>
    <m/>
    <n v="0"/>
    <n v="5000"/>
    <n v="27500000"/>
  </r>
  <r>
    <s v="219A/2019"/>
    <d v="2019-05-20T00:00:00"/>
    <s v="KIỀU THY"/>
    <s v="TH17"/>
    <x v="66"/>
    <x v="57"/>
    <s v="DALIAN"/>
    <m/>
    <s v="14.16"/>
    <s v="300"/>
    <s v="NL2018"/>
    <m/>
    <n v="0"/>
    <n v="0"/>
    <x v="48"/>
    <n v="0"/>
    <x v="1"/>
    <d v="2019-06-25T00:00:00"/>
    <d v="2019-07-27T00:00:00"/>
    <d v="2019-07-27T00:00:00"/>
    <m/>
    <m/>
    <m/>
    <m/>
    <m/>
    <m/>
    <m/>
    <m/>
    <m/>
    <m/>
    <m/>
    <m/>
    <n v="0"/>
    <n v="0"/>
    <n v="0"/>
  </r>
  <r>
    <s v="219A/2019"/>
    <d v="2019-05-25T00:00:00"/>
    <s v="KIỀU THY"/>
    <s v="TH17"/>
    <x v="66"/>
    <x v="22"/>
    <s v="ROBINA"/>
    <m/>
    <s v="16.18"/>
    <s v="200"/>
    <s v="NL2018"/>
    <m/>
    <n v="25"/>
    <n v="5000"/>
    <x v="26"/>
    <n v="29000000"/>
    <x v="2"/>
    <d v="2019-07-25T00:00:00"/>
    <d v="2019-08-25T00:00:00"/>
    <d v="2019-08-25T00:00:00"/>
    <m/>
    <m/>
    <m/>
    <m/>
    <m/>
    <m/>
    <m/>
    <m/>
    <m/>
    <m/>
    <m/>
    <m/>
    <n v="0"/>
    <n v="5000"/>
    <n v="29000000"/>
  </r>
  <r>
    <s v="219A/2019"/>
    <d v="2019-05-25T00:00:00"/>
    <s v="KIỀU THY"/>
    <s v="TH17"/>
    <x v="66"/>
    <x v="5"/>
    <s v="PROFUNDO"/>
    <m/>
    <s v="16.18"/>
    <s v="200"/>
    <s v="NL2018"/>
    <m/>
    <n v="100"/>
    <n v="20000"/>
    <x v="118"/>
    <n v="162000000"/>
    <x v="2"/>
    <d v="2019-07-25T00:00:00"/>
    <d v="2019-08-25T00:00:00"/>
    <d v="2019-08-25T00:00:00"/>
    <m/>
    <m/>
    <m/>
    <m/>
    <m/>
    <m/>
    <m/>
    <m/>
    <m/>
    <m/>
    <m/>
    <m/>
    <n v="0"/>
    <n v="20000"/>
    <n v="162000000"/>
  </r>
  <r>
    <s v="219A/2019"/>
    <d v="2019-05-25T00:00:00"/>
    <s v="KIỀU THY"/>
    <s v="TH17"/>
    <x v="66"/>
    <x v="57"/>
    <s v="DALIAN"/>
    <m/>
    <s v="14.16"/>
    <s v="300"/>
    <s v="NL2018"/>
    <m/>
    <n v="23"/>
    <n v="6900"/>
    <x v="24"/>
    <n v="39330000"/>
    <x v="2"/>
    <d v="2019-07-25T00:00:00"/>
    <d v="2019-08-25T00:00:00"/>
    <d v="2019-08-25T00:00:00"/>
    <m/>
    <m/>
    <m/>
    <m/>
    <m/>
    <m/>
    <m/>
    <m/>
    <m/>
    <m/>
    <m/>
    <m/>
    <n v="0"/>
    <n v="6900"/>
    <n v="39330000"/>
  </r>
  <r>
    <s v="222A/2019"/>
    <d v="2019-05-25T00:00:00"/>
    <s v="KIỀU THY"/>
    <s v="TH17"/>
    <x v="66"/>
    <x v="6"/>
    <s v="CONCADOR"/>
    <m/>
    <s v="20.22"/>
    <s v="125"/>
    <s v="NL2018"/>
    <m/>
    <n v="40"/>
    <n v="5000"/>
    <x v="7"/>
    <n v="53000000"/>
    <x v="2"/>
    <d v="2019-09-01T00:00:00"/>
    <d v="2019-09-29T00:00:00"/>
    <d v="2019-09-29T00:00:00"/>
    <m/>
    <m/>
    <m/>
    <m/>
    <m/>
    <m/>
    <m/>
    <m/>
    <m/>
    <m/>
    <m/>
    <m/>
    <n v="0"/>
    <n v="5000"/>
    <n v="53000000"/>
  </r>
  <r>
    <s v="222A/2019"/>
    <d v="2019-05-25T00:00:00"/>
    <s v="KIỀU THY"/>
    <s v="TH17"/>
    <x v="66"/>
    <x v="7"/>
    <s v="PROFUNDO"/>
    <m/>
    <s v="18.20"/>
    <s v="150"/>
    <s v="NL2018"/>
    <m/>
    <n v="153"/>
    <n v="22950"/>
    <x v="22"/>
    <n v="250155000"/>
    <x v="2"/>
    <d v="2019-09-01T00:00:00"/>
    <d v="2019-09-29T00:00:00"/>
    <d v="2019-09-29T00:00:00"/>
    <m/>
    <m/>
    <m/>
    <m/>
    <m/>
    <m/>
    <m/>
    <m/>
    <m/>
    <m/>
    <m/>
    <m/>
    <n v="0"/>
    <n v="22950"/>
    <n v="250155000"/>
  </r>
  <r>
    <s v="222A/2019"/>
    <d v="2019-06-10T00:00:00"/>
    <s v="KIỀU THY"/>
    <s v="TH17"/>
    <x v="66"/>
    <x v="36"/>
    <s v="MANISSA"/>
    <m/>
    <s v="20.22"/>
    <s v="125"/>
    <s v="NL2018"/>
    <m/>
    <n v="24"/>
    <n v="3000"/>
    <x v="66"/>
    <n v="40800000"/>
    <x v="2"/>
    <d v="2019-09-01T00:00:00"/>
    <d v="2019-09-29T00:00:00"/>
    <d v="2019-09-29T00:00:00"/>
    <m/>
    <m/>
    <m/>
    <m/>
    <m/>
    <m/>
    <m/>
    <m/>
    <m/>
    <m/>
    <m/>
    <m/>
    <n v="0"/>
    <n v="3000"/>
    <n v="40800000"/>
  </r>
  <r>
    <s v="222A/2019"/>
    <d v="2019-06-10T00:00:00"/>
    <s v="KIỀU THY"/>
    <s v="TH17"/>
    <x v="66"/>
    <x v="6"/>
    <s v="CONCADOR"/>
    <m/>
    <s v="20.22"/>
    <s v="125"/>
    <s v="NL2018"/>
    <m/>
    <n v="16"/>
    <n v="2000"/>
    <x v="7"/>
    <n v="21200000"/>
    <x v="2"/>
    <d v="2019-09-01T00:00:00"/>
    <d v="2019-09-29T00:00:00"/>
    <d v="2019-09-29T00:00:00"/>
    <m/>
    <m/>
    <m/>
    <m/>
    <m/>
    <m/>
    <m/>
    <m/>
    <m/>
    <m/>
    <m/>
    <m/>
    <n v="0"/>
    <n v="2000"/>
    <n v="21200000"/>
  </r>
  <r>
    <s v="222A/2019"/>
    <d v="2019-06-10T00:00:00"/>
    <s v="KIỀU THY"/>
    <s v="TH17"/>
    <x v="66"/>
    <x v="36"/>
    <s v="MANISSA"/>
    <m/>
    <s v="20.22"/>
    <s v="125"/>
    <s v="NL2018"/>
    <m/>
    <n v="24"/>
    <n v="3000"/>
    <x v="66"/>
    <n v="40800000"/>
    <x v="2"/>
    <d v="2019-09-01T00:00:00"/>
    <d v="2019-09-29T00:00:00"/>
    <d v="2019-09-29T00:00:00"/>
    <m/>
    <m/>
    <m/>
    <m/>
    <m/>
    <m/>
    <m/>
    <m/>
    <m/>
    <m/>
    <m/>
    <m/>
    <n v="0"/>
    <n v="3000"/>
    <n v="40800000"/>
  </r>
  <r>
    <s v="222A/2019"/>
    <d v="2019-06-10T00:00:00"/>
    <s v="KIỀU THY"/>
    <s v="TH17"/>
    <x v="66"/>
    <x v="7"/>
    <s v="PROFUNDO"/>
    <m/>
    <s v="18.20"/>
    <s v="150"/>
    <s v="NL2018"/>
    <m/>
    <n v="100"/>
    <n v="15000"/>
    <x v="22"/>
    <n v="163500000"/>
    <x v="2"/>
    <d v="2019-09-01T00:00:00"/>
    <d v="2019-09-29T00:00:00"/>
    <d v="2019-09-29T00:00:00"/>
    <m/>
    <m/>
    <m/>
    <m/>
    <m/>
    <m/>
    <m/>
    <m/>
    <m/>
    <m/>
    <m/>
    <m/>
    <n v="0"/>
    <n v="15000"/>
    <n v="163500000"/>
  </r>
  <r>
    <s v="63A/2019"/>
    <d v="2019-02-21T00:00:00"/>
    <s v="KIỀU THY"/>
    <s v="TH07"/>
    <x v="67"/>
    <x v="17"/>
    <s v="NELLO "/>
    <m/>
    <s v="12.14"/>
    <n v="400"/>
    <s v="NL2018"/>
    <m/>
    <n v="13"/>
    <n v="5200"/>
    <x v="17"/>
    <n v="15600000"/>
    <x v="0"/>
    <d v="2019-01-15T00:00:00"/>
    <d v="2019-02-19T00:00:00"/>
    <d v="2019-02-19T00:00:00"/>
    <s v="15/1AL"/>
    <m/>
    <m/>
    <s v="R"/>
    <d v="2019-03-12T00:00:00"/>
    <n v="5200"/>
    <m/>
    <m/>
    <m/>
    <m/>
    <m/>
    <m/>
    <n v="5200"/>
    <n v="0"/>
    <n v="0"/>
  </r>
  <r>
    <s v="63A/2019"/>
    <d v="2019-02-21T00:00:00"/>
    <s v="KIỀU THY"/>
    <s v="TH07"/>
    <x v="67"/>
    <x v="3"/>
    <s v="PAVIA"/>
    <m/>
    <s v="12.14"/>
    <n v="400"/>
    <s v="NL2018"/>
    <m/>
    <n v="13"/>
    <n v="5200"/>
    <x v="4"/>
    <n v="14560000"/>
    <x v="0"/>
    <d v="2019-01-15T00:00:00"/>
    <d v="2019-02-19T00:00:00"/>
    <d v="2019-02-19T00:00:00"/>
    <s v="15/1AL"/>
    <m/>
    <m/>
    <s v="R"/>
    <d v="2019-03-12T00:00:00"/>
    <n v="5200"/>
    <m/>
    <m/>
    <m/>
    <m/>
    <m/>
    <m/>
    <n v="5200"/>
    <n v="0"/>
    <n v="0"/>
  </r>
  <r>
    <s v="95A/2019"/>
    <d v="2019-03-08T00:00:00"/>
    <s v="KIỀU THY"/>
    <s v="CT01"/>
    <x v="68"/>
    <x v="10"/>
    <s v="ARVANDRUD"/>
    <m/>
    <s v="16.18"/>
    <n v="200"/>
    <s v="NL2018"/>
    <m/>
    <n v="0"/>
    <n v="0"/>
    <x v="44"/>
    <n v="0"/>
    <x v="1"/>
    <d v="2019-03-15T00:00:00"/>
    <d v="2019-04-19T00:00:00"/>
    <d v="2019-04-19T00:00:00"/>
    <s v="15/3AL"/>
    <s v="CONT 21/2019"/>
    <d v="2019-04-14T00:00:00"/>
    <s v="R"/>
    <m/>
    <n v="0"/>
    <m/>
    <m/>
    <m/>
    <m/>
    <m/>
    <m/>
    <n v="0"/>
    <n v="0"/>
    <n v="0"/>
  </r>
  <r>
    <s v="95A/2019"/>
    <d v="2019-03-08T00:00:00"/>
    <s v="KIỀU THY"/>
    <s v="CT01"/>
    <x v="68"/>
    <x v="80"/>
    <s v="PROFUNDO"/>
    <m/>
    <s v="14.16"/>
    <n v="300"/>
    <s v="NL2018"/>
    <m/>
    <n v="0"/>
    <n v="0"/>
    <x v="18"/>
    <n v="0"/>
    <x v="1"/>
    <d v="2019-03-15T00:00:00"/>
    <d v="2019-04-19T00:00:00"/>
    <d v="2019-04-19T00:00:00"/>
    <s v="15/3AL"/>
    <s v="CONT 23/2019"/>
    <d v="2019-04-14T00:00:00"/>
    <s v="R"/>
    <m/>
    <n v="0"/>
    <m/>
    <m/>
    <m/>
    <m/>
    <m/>
    <m/>
    <n v="0"/>
    <n v="0"/>
    <n v="0"/>
  </r>
  <r>
    <s v="95A/2019"/>
    <d v="2019-03-08T00:00:00"/>
    <s v="KIỀU THY"/>
    <s v="CT01"/>
    <x v="68"/>
    <x v="28"/>
    <s v="YELLOWEEN"/>
    <m/>
    <s v="14.16"/>
    <n v="300"/>
    <s v="NL2018"/>
    <m/>
    <n v="0"/>
    <n v="0"/>
    <x v="6"/>
    <n v="0"/>
    <x v="1"/>
    <d v="2019-03-15T00:00:00"/>
    <d v="2019-04-19T00:00:00"/>
    <d v="2019-04-19T00:00:00"/>
    <s v="15/3AL"/>
    <s v="CONT 27/2019"/>
    <d v="2019-04-14T00:00:00"/>
    <s v="R"/>
    <m/>
    <n v="0"/>
    <m/>
    <m/>
    <m/>
    <m/>
    <m/>
    <m/>
    <n v="0"/>
    <n v="0"/>
    <n v="0"/>
  </r>
  <r>
    <s v="95A/2019"/>
    <d v="2019-03-08T00:00:00"/>
    <s v="KIỀU THY"/>
    <s v="CT01"/>
    <x v="68"/>
    <x v="10"/>
    <s v="ARVANDRUD"/>
    <m/>
    <s v="16.18"/>
    <n v="200"/>
    <s v="NL2018"/>
    <m/>
    <n v="0"/>
    <n v="0"/>
    <x v="44"/>
    <n v="0"/>
    <x v="1"/>
    <d v="2019-04-17T00:00:00"/>
    <d v="2019-05-21T00:00:00"/>
    <d v="2019-05-21T00:00:00"/>
    <s v="30/3AL"/>
    <m/>
    <m/>
    <s v="R"/>
    <m/>
    <n v="0"/>
    <m/>
    <m/>
    <m/>
    <m/>
    <m/>
    <m/>
    <n v="0"/>
    <n v="0"/>
    <n v="0"/>
  </r>
  <r>
    <s v="95A/2019"/>
    <d v="2019-03-08T00:00:00"/>
    <s v="KIỀU THY"/>
    <s v="CT01"/>
    <x v="68"/>
    <x v="10"/>
    <s v="ARVANDRUD"/>
    <m/>
    <s v="16.18"/>
    <n v="200"/>
    <s v="NL2018"/>
    <m/>
    <n v="0"/>
    <n v="0"/>
    <x v="44"/>
    <n v="0"/>
    <x v="1"/>
    <d v="2019-04-17T00:00:00"/>
    <d v="2019-05-21T00:00:00"/>
    <d v="2019-05-21T00:00:00"/>
    <s v="15/4AL"/>
    <m/>
    <m/>
    <s v="R"/>
    <m/>
    <n v="0"/>
    <m/>
    <m/>
    <m/>
    <m/>
    <m/>
    <m/>
    <n v="0"/>
    <n v="0"/>
    <n v="0"/>
  </r>
  <r>
    <s v="95A/2019"/>
    <d v="2019-03-08T00:00:00"/>
    <s v="KIỀU THY"/>
    <s v="CT01"/>
    <x v="68"/>
    <x v="10"/>
    <s v="ARVANDRUD"/>
    <m/>
    <s v="16.18"/>
    <n v="200"/>
    <s v="NL2018"/>
    <m/>
    <n v="0"/>
    <n v="0"/>
    <x v="44"/>
    <n v="0"/>
    <x v="1"/>
    <d v="2019-04-17T00:00:00"/>
    <d v="2019-05-21T00:00:00"/>
    <d v="2019-05-21T00:00:00"/>
    <s v="29/4AL"/>
    <m/>
    <m/>
    <s v="R"/>
    <m/>
    <n v="0"/>
    <m/>
    <m/>
    <m/>
    <m/>
    <m/>
    <m/>
    <n v="0"/>
    <n v="0"/>
    <n v="0"/>
  </r>
  <r>
    <s v="95A/2019"/>
    <d v="2019-03-08T00:00:00"/>
    <s v="KIỀU THY"/>
    <s v="CT01"/>
    <x v="68"/>
    <x v="50"/>
    <s v="PROFUNDO"/>
    <m/>
    <s v="14.16"/>
    <n v="275"/>
    <s v="NL2018"/>
    <m/>
    <n v="0"/>
    <n v="0"/>
    <x v="18"/>
    <n v="0"/>
    <x v="1"/>
    <d v="2019-04-17T00:00:00"/>
    <d v="2019-05-21T00:00:00"/>
    <d v="2019-05-21T00:00:00"/>
    <s v="30/3AL"/>
    <m/>
    <m/>
    <s v="R"/>
    <m/>
    <n v="0"/>
    <m/>
    <m/>
    <m/>
    <m/>
    <m/>
    <m/>
    <n v="0"/>
    <n v="0"/>
    <n v="0"/>
  </r>
  <r>
    <s v="95A/2019"/>
    <d v="2019-03-08T00:00:00"/>
    <s v="KIỀU THY"/>
    <s v="CT01"/>
    <x v="68"/>
    <x v="80"/>
    <s v="PROFUNDO"/>
    <m/>
    <s v="14.16"/>
    <n v="300"/>
    <s v="NL2018"/>
    <m/>
    <n v="0"/>
    <n v="0"/>
    <x v="78"/>
    <n v="0"/>
    <x v="1"/>
    <d v="2019-04-17T00:00:00"/>
    <d v="2019-05-21T00:00:00"/>
    <d v="2019-05-21T00:00:00"/>
    <s v="15/4AL"/>
    <m/>
    <m/>
    <s v="R"/>
    <m/>
    <n v="0"/>
    <m/>
    <m/>
    <m/>
    <m/>
    <m/>
    <m/>
    <n v="0"/>
    <n v="0"/>
    <n v="0"/>
  </r>
  <r>
    <s v="95A/2019"/>
    <d v="2019-03-08T00:00:00"/>
    <s v="KIỀU THY"/>
    <s v="CT01"/>
    <x v="68"/>
    <x v="80"/>
    <s v="PROFUNDO"/>
    <m/>
    <s v="14.16"/>
    <n v="300"/>
    <s v="NL2018"/>
    <m/>
    <n v="0"/>
    <n v="0"/>
    <x v="78"/>
    <n v="0"/>
    <x v="1"/>
    <d v="2019-04-17T00:00:00"/>
    <d v="2019-05-21T00:00:00"/>
    <d v="2019-05-21T00:00:00"/>
    <s v="30/4AL"/>
    <m/>
    <m/>
    <s v="R"/>
    <m/>
    <n v="0"/>
    <m/>
    <m/>
    <m/>
    <m/>
    <m/>
    <m/>
    <n v="0"/>
    <n v="0"/>
    <n v="0"/>
  </r>
  <r>
    <s v="95A/2019"/>
    <d v="2019-03-08T00:00:00"/>
    <s v="KIỀU THY"/>
    <s v="CT01"/>
    <x v="68"/>
    <x v="28"/>
    <s v="YELLOWEEN"/>
    <m/>
    <s v="14.16"/>
    <n v="300"/>
    <s v="NL2018"/>
    <m/>
    <n v="0"/>
    <n v="0"/>
    <x v="6"/>
    <n v="0"/>
    <x v="1"/>
    <d v="2019-04-17T00:00:00"/>
    <d v="2019-05-21T00:00:00"/>
    <d v="2019-05-21T00:00:00"/>
    <s v="30/3AL"/>
    <m/>
    <m/>
    <s v="R"/>
    <m/>
    <n v="0"/>
    <m/>
    <m/>
    <m/>
    <m/>
    <m/>
    <m/>
    <n v="0"/>
    <n v="0"/>
    <n v="0"/>
  </r>
  <r>
    <s v="95A/2019"/>
    <d v="2019-03-08T00:00:00"/>
    <s v="KIỀU THY"/>
    <s v="CT01"/>
    <x v="68"/>
    <x v="28"/>
    <s v="YELLOWEEN"/>
    <m/>
    <s v="14.16"/>
    <n v="300"/>
    <s v="NL2018"/>
    <m/>
    <n v="0"/>
    <n v="0"/>
    <x v="56"/>
    <n v="0"/>
    <x v="1"/>
    <d v="2019-04-17T00:00:00"/>
    <d v="2019-05-21T00:00:00"/>
    <d v="2019-05-21T00:00:00"/>
    <s v="15/4AL"/>
    <m/>
    <m/>
    <s v="R"/>
    <m/>
    <n v="0"/>
    <m/>
    <m/>
    <m/>
    <m/>
    <m/>
    <m/>
    <n v="0"/>
    <n v="0"/>
    <n v="0"/>
  </r>
  <r>
    <s v="95A/2019"/>
    <d v="2019-03-08T00:00:00"/>
    <s v="KIỀU THY"/>
    <s v="CT01"/>
    <x v="68"/>
    <x v="28"/>
    <s v="YELLOWEEN"/>
    <m/>
    <s v="14.16"/>
    <n v="300"/>
    <s v="NL2018"/>
    <m/>
    <n v="0"/>
    <n v="0"/>
    <x v="56"/>
    <n v="0"/>
    <x v="1"/>
    <d v="2019-04-17T00:00:00"/>
    <d v="2019-05-21T00:00:00"/>
    <d v="2019-05-21T00:00:00"/>
    <s v="30/4AL"/>
    <m/>
    <m/>
    <s v="R"/>
    <m/>
    <n v="0"/>
    <m/>
    <m/>
    <m/>
    <m/>
    <m/>
    <m/>
    <n v="0"/>
    <n v="0"/>
    <n v="0"/>
  </r>
  <r>
    <s v="98A/2019"/>
    <d v="2019-03-08T00:00:00"/>
    <s v="KIỀU THY"/>
    <s v="TB08"/>
    <x v="69"/>
    <x v="3"/>
    <s v="PAVIA"/>
    <m/>
    <s v="12.14"/>
    <n v="400"/>
    <s v="NL2018"/>
    <m/>
    <n v="1"/>
    <n v="400"/>
    <x v="69"/>
    <n v="1320000"/>
    <x v="0"/>
    <d v="2019-03-15T00:00:00"/>
    <d v="2019-04-19T00:00:00"/>
    <d v="2019-04-19T00:00:00"/>
    <s v="15/3AL"/>
    <s v="CONT 20/2019"/>
    <d v="2019-04-14T00:00:00"/>
    <m/>
    <d v="2019-04-23T00:00:00"/>
    <n v="400"/>
    <m/>
    <m/>
    <m/>
    <m/>
    <m/>
    <m/>
    <n v="400"/>
    <n v="0"/>
    <n v="0"/>
  </r>
  <r>
    <s v="98A/2019"/>
    <d v="2019-03-08T00:00:00"/>
    <s v="KIỀU THY"/>
    <s v="TB08"/>
    <x v="69"/>
    <x v="4"/>
    <s v="TEBALDI"/>
    <m/>
    <s v="14.16"/>
    <n v="300"/>
    <s v="NL2018"/>
    <m/>
    <n v="1"/>
    <n v="300"/>
    <x v="13"/>
    <n v="1350000"/>
    <x v="0"/>
    <d v="2019-03-15T00:00:00"/>
    <d v="2019-04-19T00:00:00"/>
    <d v="2019-04-19T00:00:00"/>
    <s v="15/3AL"/>
    <s v="CONT 24/2019"/>
    <d v="2019-04-14T00:00:00"/>
    <m/>
    <d v="2019-04-23T00:00:00"/>
    <n v="300"/>
    <m/>
    <m/>
    <m/>
    <m/>
    <m/>
    <m/>
    <n v="300"/>
    <n v="0"/>
    <n v="0"/>
  </r>
  <r>
    <s v="12B/2019"/>
    <d v="2019-01-05T00:00:00"/>
    <s v="THANH THÚY"/>
    <s v="TT04"/>
    <x v="70"/>
    <x v="11"/>
    <s v="YELLOWEEN"/>
    <m/>
    <s v="12.14"/>
    <n v="400"/>
    <s v="NL2018"/>
    <m/>
    <n v="125"/>
    <n v="50000"/>
    <x v="12"/>
    <n v="130000000"/>
    <x v="0"/>
    <d v="2019-01-15T00:00:00"/>
    <d v="2019-02-19T00:00:00"/>
    <d v="2019-02-19T00:00:00"/>
    <s v="15/1AL"/>
    <m/>
    <m/>
    <m/>
    <d v="2019-02-19T00:00:00"/>
    <n v="50000"/>
    <m/>
    <m/>
    <m/>
    <m/>
    <m/>
    <m/>
    <n v="50000"/>
    <n v="0"/>
    <n v="0"/>
  </r>
  <r>
    <s v="12B/2019"/>
    <d v="2019-01-05T00:00:00"/>
    <s v="THANH THÚY"/>
    <s v="TT04"/>
    <x v="70"/>
    <x v="134"/>
    <s v="CIARA"/>
    <s v="RL"/>
    <s v="12.14"/>
    <n v="400"/>
    <s v="NL2018"/>
    <m/>
    <n v="2"/>
    <n v="800"/>
    <x v="27"/>
    <n v="6400000"/>
    <x v="0"/>
    <d v="2019-01-23T00:00:00"/>
    <d v="2019-02-27T00:00:00"/>
    <d v="2019-02-27T00:00:00"/>
    <s v="23/1AL"/>
    <m/>
    <m/>
    <m/>
    <d v="2019-02-27T00:00:00"/>
    <n v="800"/>
    <m/>
    <m/>
    <m/>
    <m/>
    <m/>
    <m/>
    <n v="800"/>
    <n v="0"/>
    <n v="0"/>
  </r>
  <r>
    <s v="12B/2019"/>
    <d v="2019-01-05T00:00:00"/>
    <s v="THANH THÚY"/>
    <s v="TT04"/>
    <x v="70"/>
    <x v="135"/>
    <s v="BACARDI"/>
    <m/>
    <s v="15.16"/>
    <n v="275"/>
    <s v="NL2018"/>
    <m/>
    <n v="46"/>
    <n v="12650"/>
    <x v="65"/>
    <n v="55280500"/>
    <x v="0"/>
    <d v="2019-02-15T00:00:00"/>
    <d v="2019-03-20T00:00:00"/>
    <d v="2019-03-20T00:00:00"/>
    <s v="15/02AL"/>
    <s v="CONT 11/2019"/>
    <m/>
    <m/>
    <d v="2019-03-19T00:00:00"/>
    <n v="12650"/>
    <m/>
    <m/>
    <m/>
    <m/>
    <m/>
    <m/>
    <n v="12650"/>
    <n v="0"/>
    <n v="0"/>
  </r>
  <r>
    <s v="12B/2019"/>
    <d v="2019-01-05T00:00:00"/>
    <s v="THANH THÚY"/>
    <s v="TT04"/>
    <x v="70"/>
    <x v="62"/>
    <s v="BACARDI"/>
    <m/>
    <s v="15.16"/>
    <n v="300"/>
    <s v="NL2018"/>
    <m/>
    <n v="12"/>
    <n v="3600"/>
    <x v="65"/>
    <n v="15732000"/>
    <x v="0"/>
    <d v="2019-02-15T00:00:00"/>
    <d v="2019-03-20T00:00:00"/>
    <d v="2019-03-20T00:00:00"/>
    <s v="15/02AL"/>
    <s v="CONT 11/2019"/>
    <m/>
    <m/>
    <d v="2019-03-19T00:00:00"/>
    <n v="3600"/>
    <m/>
    <m/>
    <m/>
    <m/>
    <m/>
    <m/>
    <n v="3600"/>
    <n v="0"/>
    <n v="0"/>
  </r>
  <r>
    <s v="126B/2019"/>
    <d v="2019-03-15T00:00:00"/>
    <s v="THANH THÚY"/>
    <s v="TT04"/>
    <x v="70"/>
    <x v="11"/>
    <s v="YELLOWEEN"/>
    <m/>
    <s v="12.14"/>
    <n v="400"/>
    <s v="NL2018"/>
    <m/>
    <n v="0"/>
    <n v="0"/>
    <x v="47"/>
    <n v="0"/>
    <x v="1"/>
    <d v="2019-04-15T00:00:00"/>
    <d v="2019-05-19T00:00:00"/>
    <d v="2019-05-19T00:00:00"/>
    <s v="15/4AL"/>
    <m/>
    <m/>
    <m/>
    <m/>
    <n v="0"/>
    <m/>
    <m/>
    <m/>
    <m/>
    <m/>
    <m/>
    <n v="0"/>
    <n v="0"/>
    <n v="0"/>
  </r>
  <r>
    <s v="126B/2019"/>
    <d v="2019-03-15T00:00:00"/>
    <s v="THANH THÚY"/>
    <s v="TT04"/>
    <x v="70"/>
    <x v="28"/>
    <s v="YELLOWEEN"/>
    <m/>
    <s v="14.16"/>
    <n v="300"/>
    <s v="NL2018"/>
    <m/>
    <n v="0"/>
    <n v="0"/>
    <x v="6"/>
    <n v="0"/>
    <x v="1"/>
    <d v="2019-04-15T00:00:00"/>
    <d v="2019-05-19T00:00:00"/>
    <d v="2019-05-19T00:00:00"/>
    <s v="15/4AL"/>
    <m/>
    <m/>
    <m/>
    <m/>
    <n v="0"/>
    <m/>
    <m/>
    <m/>
    <m/>
    <m/>
    <m/>
    <n v="0"/>
    <n v="0"/>
    <n v="0"/>
  </r>
  <r>
    <s v="126B/2019"/>
    <d v="2019-03-15T00:00:00"/>
    <s v="THANH THÚY"/>
    <s v="TT04"/>
    <x v="70"/>
    <x v="22"/>
    <s v="ROBINA"/>
    <m/>
    <s v="16.18"/>
    <n v="200"/>
    <s v="NL2018"/>
    <m/>
    <n v="100"/>
    <n v="20000"/>
    <x v="78"/>
    <n v="102000000"/>
    <x v="0"/>
    <d v="2019-04-15T00:00:00"/>
    <d v="2019-05-19T00:00:00"/>
    <d v="2019-05-19T00:00:00"/>
    <s v="15/4AL"/>
    <m/>
    <m/>
    <m/>
    <d v="2019-05-18T00:00:00"/>
    <n v="20000"/>
    <m/>
    <m/>
    <m/>
    <m/>
    <m/>
    <m/>
    <n v="20000"/>
    <n v="0"/>
    <n v="0"/>
  </r>
  <r>
    <s v="126B/2019"/>
    <d v="2019-03-15T00:00:00"/>
    <s v="THANH THÚY"/>
    <s v="TT04"/>
    <x v="70"/>
    <x v="30"/>
    <s v="MALDANO"/>
    <m/>
    <s v="16.18"/>
    <n v="200"/>
    <s v="NL2018"/>
    <m/>
    <n v="0"/>
    <n v="0"/>
    <x v="18"/>
    <n v="0"/>
    <x v="1"/>
    <d v="2019-05-01T00:00:00"/>
    <d v="2019-06-03T00:00:00"/>
    <d v="2019-06-03T00:00:00"/>
    <s v="T5AL TRỞ ĐI"/>
    <m/>
    <m/>
    <m/>
    <m/>
    <n v="0"/>
    <m/>
    <m/>
    <m/>
    <m/>
    <m/>
    <m/>
    <n v="0"/>
    <n v="0"/>
    <n v="0"/>
  </r>
  <r>
    <s v="126B/2019"/>
    <d v="2019-05-13T00:00:00"/>
    <s v="THANH THÚY"/>
    <s v="TT04"/>
    <x v="70"/>
    <x v="103"/>
    <s v="LARGO"/>
    <m/>
    <s v="16.18"/>
    <n v="200"/>
    <s v="NL2018"/>
    <m/>
    <n v="50"/>
    <n v="10000"/>
    <x v="26"/>
    <n v="58000000"/>
    <x v="0"/>
    <d v="2019-05-05T00:00:00"/>
    <d v="2019-06-07T00:00:00"/>
    <d v="2019-06-07T00:00:00"/>
    <m/>
    <m/>
    <m/>
    <m/>
    <d v="2019-06-08T00:00:00"/>
    <n v="10000"/>
    <m/>
    <m/>
    <m/>
    <m/>
    <m/>
    <m/>
    <n v="10000"/>
    <n v="0"/>
    <n v="0"/>
  </r>
  <r>
    <s v="12B/2019"/>
    <d v="2019-01-05T00:00:00"/>
    <s v="THANH THÚY"/>
    <s v="TT04"/>
    <x v="70"/>
    <x v="61"/>
    <s v="BACARDI"/>
    <m/>
    <s v="15.16"/>
    <n v="250"/>
    <s v="NL2018"/>
    <m/>
    <n v="0"/>
    <n v="0"/>
    <x v="65"/>
    <n v="0"/>
    <x v="1"/>
    <d v="2019-03-15T00:00:00"/>
    <d v="2019-04-19T00:00:00"/>
    <d v="2019-04-19T00:00:00"/>
    <m/>
    <s v="CONT 22/2019"/>
    <m/>
    <m/>
    <m/>
    <n v="0"/>
    <m/>
    <m/>
    <m/>
    <m/>
    <m/>
    <m/>
    <n v="0"/>
    <n v="0"/>
    <n v="0"/>
  </r>
  <r>
    <s v="12B/2019"/>
    <d v="2019-01-05T00:00:00"/>
    <s v="THANH THÚY"/>
    <s v="TT04"/>
    <x v="70"/>
    <x v="30"/>
    <s v="MALDANO"/>
    <m/>
    <s v="16.18"/>
    <n v="200"/>
    <s v="NL2018"/>
    <m/>
    <n v="50"/>
    <n v="10000"/>
    <x v="18"/>
    <n v="50000000"/>
    <x v="0"/>
    <d v="2019-03-15T00:00:00"/>
    <d v="2019-04-19T00:00:00"/>
    <d v="2019-04-19T00:00:00"/>
    <s v="15/3AL"/>
    <s v="CONT 27/2019"/>
    <m/>
    <m/>
    <d v="2019-04-23T00:00:00"/>
    <n v="10000"/>
    <m/>
    <m/>
    <m/>
    <m/>
    <m/>
    <m/>
    <n v="10000"/>
    <n v="0"/>
    <n v="0"/>
  </r>
  <r>
    <s v="126B/2019"/>
    <d v="2019-05-13T00:00:00"/>
    <s v="THANH THÚY"/>
    <s v="TT04"/>
    <x v="70"/>
    <x v="22"/>
    <s v="ROBINA"/>
    <m/>
    <s v="16.18"/>
    <n v="200"/>
    <s v="NL2018"/>
    <m/>
    <n v="100"/>
    <n v="20000"/>
    <x v="44"/>
    <n v="110000000"/>
    <x v="3"/>
    <d v="2019-06-15T00:00:00"/>
    <d v="2019-07-17T00:00:00"/>
    <d v="2019-07-17T00:00:00"/>
    <m/>
    <m/>
    <m/>
    <m/>
    <m/>
    <m/>
    <m/>
    <m/>
    <m/>
    <m/>
    <m/>
    <m/>
    <n v="0"/>
    <n v="20000"/>
    <n v="110000000"/>
  </r>
  <r>
    <s v="126B/2019"/>
    <d v="2019-06-18T00:00:00"/>
    <s v="THANH THÚY"/>
    <s v="TT04"/>
    <x v="70"/>
    <x v="11"/>
    <s v="YELLOWEEN"/>
    <m/>
    <s v="12.14"/>
    <n v="400"/>
    <s v="NL2018"/>
    <m/>
    <n v="15"/>
    <n v="6000"/>
    <x v="14"/>
    <n v="17400000"/>
    <x v="3"/>
    <d v="2019-06-15T00:00:00"/>
    <d v="2019-07-17T00:00:00"/>
    <d v="2019-07-17T00:00:00"/>
    <m/>
    <m/>
    <m/>
    <m/>
    <m/>
    <m/>
    <m/>
    <m/>
    <m/>
    <m/>
    <m/>
    <m/>
    <n v="0"/>
    <n v="6000"/>
    <n v="17400000"/>
  </r>
  <r>
    <s v="126B/2019"/>
    <d v="2019-03-15T00:00:00"/>
    <s v="THANH THÚY"/>
    <s v="TT04"/>
    <x v="70"/>
    <x v="28"/>
    <s v="YELLOWEEN"/>
    <m/>
    <s v="14.16"/>
    <n v="300"/>
    <s v="NL2018"/>
    <m/>
    <n v="167"/>
    <n v="50100"/>
    <x v="6"/>
    <n v="190380000"/>
    <x v="2"/>
    <d v="2019-08-01T00:00:00"/>
    <d v="2019-08-30T00:00:00"/>
    <d v="2019-08-30T00:00:00"/>
    <s v="T5AL TRỞ ĐI"/>
    <m/>
    <m/>
    <m/>
    <m/>
    <n v="0"/>
    <m/>
    <m/>
    <m/>
    <m/>
    <m/>
    <m/>
    <n v="0"/>
    <n v="50100"/>
    <n v="190380000"/>
  </r>
  <r>
    <s v="12B/2019"/>
    <d v="2019-01-05T00:00:00"/>
    <s v="THANH THÚY"/>
    <s v="TT04"/>
    <x v="70"/>
    <x v="11"/>
    <s v="YELLOWEEN"/>
    <m/>
    <s v="12.14"/>
    <n v="400"/>
    <s v="NL2018"/>
    <m/>
    <n v="125"/>
    <n v="50000"/>
    <x v="12"/>
    <n v="130000000"/>
    <x v="0"/>
    <s v="29-Feb-19"/>
    <d v="2019-04-03T00:00:00"/>
    <d v="2019-04-03T00:00:00"/>
    <s v="28/2AL"/>
    <s v="CONT 18/2019"/>
    <m/>
    <m/>
    <d v="2019-04-03T00:00:00"/>
    <n v="50000"/>
    <m/>
    <m/>
    <m/>
    <m/>
    <m/>
    <m/>
    <n v="50000"/>
    <n v="0"/>
    <n v="0"/>
  </r>
  <r>
    <s v="178B/2019"/>
    <d v="2019-04-29T00:00:00"/>
    <s v="THANH THÚY"/>
    <s v="TT04"/>
    <x v="70"/>
    <x v="25"/>
    <s v="CONCADOR"/>
    <m/>
    <s v="18.20"/>
    <n v="150"/>
    <s v="NL2018"/>
    <m/>
    <n v="67"/>
    <n v="10050"/>
    <x v="27"/>
    <n v="80400000"/>
    <x v="2"/>
    <d v="2019-09-01T00:00:00"/>
    <d v="2019-09-29T00:00:00"/>
    <d v="2019-09-29T00:00:00"/>
    <s v="TẾT"/>
    <m/>
    <m/>
    <m/>
    <m/>
    <m/>
    <m/>
    <m/>
    <m/>
    <m/>
    <m/>
    <m/>
    <n v="0"/>
    <n v="10050"/>
    <n v="80400000"/>
  </r>
  <r>
    <s v="178B/2019"/>
    <d v="2019-04-29T00:00:00"/>
    <s v="THANH THÚY"/>
    <s v="TT04"/>
    <x v="70"/>
    <x v="136"/>
    <s v="PALAZZO"/>
    <m/>
    <s v="16.18"/>
    <n v="200"/>
    <s v="NL2018"/>
    <m/>
    <n v="50"/>
    <n v="10000"/>
    <x v="32"/>
    <n v="68000000"/>
    <x v="2"/>
    <d v="2019-09-01T00:00:00"/>
    <d v="2019-09-29T00:00:00"/>
    <d v="2019-09-29T00:00:00"/>
    <s v="TẾT"/>
    <m/>
    <m/>
    <m/>
    <m/>
    <m/>
    <m/>
    <m/>
    <m/>
    <m/>
    <m/>
    <m/>
    <n v="0"/>
    <n v="10000"/>
    <n v="68000000"/>
  </r>
  <r>
    <s v="126B/2019"/>
    <d v="2019-03-15T00:00:00"/>
    <s v="THANH THÚY"/>
    <s v="TT04"/>
    <x v="70"/>
    <x v="22"/>
    <s v="ROBINA"/>
    <m/>
    <s v="16.18"/>
    <n v="200"/>
    <s v="NL2018"/>
    <m/>
    <n v="200"/>
    <n v="40000"/>
    <x v="18"/>
    <n v="200000000"/>
    <x v="2"/>
    <m/>
    <s v=""/>
    <s v=""/>
    <s v="T3AL TRỞ ĐI"/>
    <m/>
    <m/>
    <m/>
    <m/>
    <n v="0"/>
    <m/>
    <m/>
    <m/>
    <m/>
    <m/>
    <m/>
    <n v="0"/>
    <n v="40000"/>
    <n v="200000000"/>
  </r>
  <r>
    <s v="46B/2019"/>
    <d v="2019-02-13T00:00:00"/>
    <s v="THANH THÚY"/>
    <s v="TB05"/>
    <x v="71"/>
    <x v="62"/>
    <s v="BACARDI"/>
    <m/>
    <s v="15.16"/>
    <n v="300"/>
    <s v="NL2018"/>
    <m/>
    <n v="17"/>
    <n v="5100"/>
    <x v="65"/>
    <n v="22287000"/>
    <x v="0"/>
    <d v="2019-02-15T00:00:00"/>
    <d v="2019-03-20T00:00:00"/>
    <d v="2019-03-20T00:00:00"/>
    <s v="15/2AL"/>
    <s v="CONT 11/2019"/>
    <m/>
    <m/>
    <d v="2019-03-21T00:00:00"/>
    <n v="5100"/>
    <m/>
    <m/>
    <m/>
    <m/>
    <m/>
    <m/>
    <n v="5100"/>
    <n v="0"/>
    <n v="0"/>
  </r>
  <r>
    <s v="46B/2019"/>
    <d v="2019-02-13T00:00:00"/>
    <s v="THANH THÚY"/>
    <s v="TB05"/>
    <x v="71"/>
    <x v="73"/>
    <s v="YELLOWEEN"/>
    <m/>
    <s v="14.16"/>
    <n v="300"/>
    <s v="NL2017"/>
    <m/>
    <n v="17"/>
    <n v="5100"/>
    <x v="17"/>
    <n v="15300000"/>
    <x v="0"/>
    <d v="2019-02-08T00:00:00"/>
    <d v="2019-03-13T00:00:00"/>
    <d v="2019-03-13T00:00:00"/>
    <s v="7/2AL"/>
    <m/>
    <m/>
    <m/>
    <d v="2019-03-21T00:00:00"/>
    <n v="5100"/>
    <m/>
    <m/>
    <m/>
    <m/>
    <m/>
    <m/>
    <n v="5100"/>
    <n v="0"/>
    <n v="0"/>
  </r>
  <r>
    <s v="46B/2019"/>
    <d v="2019-02-13T00:00:00"/>
    <s v="THANH THÚY"/>
    <s v="TB05"/>
    <x v="71"/>
    <x v="28"/>
    <s v="YELLOWEEN"/>
    <m/>
    <s v="14.16"/>
    <n v="300"/>
    <s v="NL2018"/>
    <m/>
    <n v="14"/>
    <n v="4200"/>
    <x v="6"/>
    <n v="15960000"/>
    <x v="0"/>
    <d v="2019-04-17T00:00:00"/>
    <d v="2019-05-21T00:00:00"/>
    <d v="2019-05-21T00:00:00"/>
    <s v="17/4AL"/>
    <m/>
    <m/>
    <m/>
    <d v="2019-06-01T00:00:00"/>
    <n v="4200"/>
    <m/>
    <m/>
    <m/>
    <m/>
    <m/>
    <m/>
    <n v="4200"/>
    <n v="0"/>
    <n v="0"/>
  </r>
  <r>
    <s v="46B/2019"/>
    <d v="2019-02-13T00:00:00"/>
    <s v="THANH THÚY"/>
    <s v="TB05"/>
    <x v="71"/>
    <x v="22"/>
    <s v="ROBINA"/>
    <m/>
    <s v="16.18"/>
    <n v="200"/>
    <s v="NL2018"/>
    <m/>
    <n v="25"/>
    <n v="5000"/>
    <x v="11"/>
    <n v="27000000"/>
    <x v="0"/>
    <d v="2019-04-17T00:00:00"/>
    <d v="2019-05-21T00:00:00"/>
    <d v="2019-05-21T00:00:00"/>
    <s v="17/4AL"/>
    <m/>
    <m/>
    <m/>
    <d v="2019-06-01T00:00:00"/>
    <n v="5000"/>
    <m/>
    <m/>
    <m/>
    <m/>
    <m/>
    <m/>
    <n v="5000"/>
    <n v="0"/>
    <n v="0"/>
  </r>
  <r>
    <s v="46B/2019"/>
    <d v="2019-06-04T00:00:00"/>
    <s v="THANH THÚY"/>
    <s v="TB05"/>
    <x v="71"/>
    <x v="28"/>
    <s v="YELLOWEEN"/>
    <m/>
    <s v="14.16"/>
    <n v="300"/>
    <s v="NL2018"/>
    <m/>
    <n v="2"/>
    <n v="600"/>
    <x v="56"/>
    <n v="2340000"/>
    <x v="0"/>
    <d v="2019-04-17T00:00:00"/>
    <d v="2019-05-21T00:00:00"/>
    <d v="2019-05-21T00:00:00"/>
    <m/>
    <m/>
    <m/>
    <m/>
    <d v="2019-06-04T00:00:00"/>
    <n v="600"/>
    <m/>
    <m/>
    <m/>
    <m/>
    <m/>
    <m/>
    <n v="600"/>
    <n v="0"/>
    <n v="0"/>
  </r>
  <r>
    <s v="78B/2019"/>
    <d v="2019-02-25T00:00:00"/>
    <s v="THANH THÚY"/>
    <s v="NT08"/>
    <x v="72"/>
    <x v="11"/>
    <s v="YELLOWEEN"/>
    <m/>
    <s v="12.14"/>
    <n v="400"/>
    <s v="NL2018"/>
    <m/>
    <n v="63"/>
    <n v="25200"/>
    <x v="12"/>
    <n v="65520000"/>
    <x v="0"/>
    <d v="2019-03-15T00:00:00"/>
    <d v="2019-04-19T00:00:00"/>
    <d v="2019-04-19T00:00:00"/>
    <s v="15/3AL"/>
    <s v="CONT 24/2019"/>
    <m/>
    <m/>
    <d v="2019-04-25T00:00:00"/>
    <n v="15600"/>
    <d v="2019-05-27T00:00:00"/>
    <n v="4800"/>
    <d v="2019-06-04T00:00:00"/>
    <n v="4800"/>
    <m/>
    <m/>
    <n v="25200"/>
    <n v="0"/>
    <n v="0"/>
  </r>
  <r>
    <s v="78B/2019"/>
    <d v="2019-02-25T00:00:00"/>
    <s v="THANH THÚY"/>
    <s v="NT08"/>
    <x v="72"/>
    <x v="15"/>
    <s v="CONCADOR"/>
    <m/>
    <s v="16.18"/>
    <n v="200"/>
    <s v="NL2018"/>
    <m/>
    <n v="200"/>
    <n v="40000"/>
    <x v="18"/>
    <n v="200000000"/>
    <x v="0"/>
    <d v="2019-03-15T00:00:00"/>
    <d v="2019-04-19T00:00:00"/>
    <d v="2019-04-19T00:00:00"/>
    <s v="15/3AL"/>
    <s v="CONT 21/2019"/>
    <m/>
    <m/>
    <d v="2019-04-20T00:00:00"/>
    <n v="15000"/>
    <d v="2019-05-17T00:00:00"/>
    <n v="25000"/>
    <m/>
    <m/>
    <m/>
    <m/>
    <n v="40000"/>
    <n v="0"/>
    <n v="0"/>
  </r>
  <r>
    <s v="78B/2019"/>
    <d v="2019-02-25T00:00:00"/>
    <s v="THANH THÚY"/>
    <s v="NT08"/>
    <x v="72"/>
    <x v="15"/>
    <s v="CONCADOR"/>
    <m/>
    <s v="16.18"/>
    <n v="200"/>
    <s v="NL2018"/>
    <m/>
    <n v="50"/>
    <n v="10000"/>
    <x v="18"/>
    <n v="50000000"/>
    <x v="0"/>
    <d v="2019-04-17T00:00:00"/>
    <d v="2019-05-21T00:00:00"/>
    <d v="2019-05-21T00:00:00"/>
    <m/>
    <m/>
    <m/>
    <m/>
    <d v="2019-05-27T00:00:00"/>
    <n v="5000"/>
    <d v="2019-06-04T00:00:00"/>
    <n v="5000"/>
    <m/>
    <m/>
    <m/>
    <m/>
    <n v="10000"/>
    <n v="0"/>
    <n v="0"/>
  </r>
  <r>
    <s v="78B/2019"/>
    <d v="2019-02-25T00:00:00"/>
    <s v="THANH THÚY"/>
    <s v="NT08"/>
    <x v="72"/>
    <x v="22"/>
    <s v="ROBINA"/>
    <m/>
    <s v="16.18"/>
    <n v="200"/>
    <s v="NL2018"/>
    <m/>
    <n v="75"/>
    <n v="15000"/>
    <x v="23"/>
    <n v="72000000"/>
    <x v="0"/>
    <d v="2019-03-15T00:00:00"/>
    <d v="2019-04-19T00:00:00"/>
    <d v="2019-04-19T00:00:00"/>
    <s v="15/3AL"/>
    <s v="CONT 26/2019"/>
    <m/>
    <m/>
    <d v="2019-04-25T00:00:00"/>
    <n v="15000"/>
    <m/>
    <m/>
    <m/>
    <m/>
    <m/>
    <m/>
    <n v="15000"/>
    <n v="0"/>
    <n v="0"/>
  </r>
  <r>
    <s v="78B/2019"/>
    <d v="2019-02-25T00:00:00"/>
    <s v="THANH THÚY"/>
    <s v="NT08"/>
    <x v="72"/>
    <x v="22"/>
    <s v="ROBINA"/>
    <m/>
    <s v="16.18"/>
    <n v="200"/>
    <s v="NL2018"/>
    <m/>
    <n v="75"/>
    <n v="15000"/>
    <x v="23"/>
    <n v="72000000"/>
    <x v="0"/>
    <d v="2019-04-17T00:00:00"/>
    <d v="2019-05-21T00:00:00"/>
    <d v="2019-05-21T00:00:00"/>
    <m/>
    <m/>
    <m/>
    <m/>
    <d v="2019-05-27T00:00:00"/>
    <n v="5000"/>
    <d v="2019-06-04T00:00:00"/>
    <n v="10000"/>
    <m/>
    <m/>
    <m/>
    <m/>
    <n v="15000"/>
    <n v="0"/>
    <n v="0"/>
  </r>
  <r>
    <s v="78B/2019"/>
    <d v="2019-02-25T00:00:00"/>
    <s v="THANH THÚY"/>
    <s v="NT08"/>
    <x v="72"/>
    <x v="34"/>
    <s v="TARRANGO"/>
    <m/>
    <s v="16.18"/>
    <n v="200"/>
    <s v="NL2018"/>
    <m/>
    <n v="250"/>
    <n v="50000"/>
    <x v="44"/>
    <n v="275000000"/>
    <x v="0"/>
    <d v="2019-03-15T00:00:00"/>
    <d v="2019-04-19T00:00:00"/>
    <d v="2019-04-19T00:00:00"/>
    <s v="15/3AL"/>
    <s v="CONT 26/2019"/>
    <m/>
    <m/>
    <d v="2019-04-25T00:00:00"/>
    <n v="20000"/>
    <d v="2019-05-27T00:00:00"/>
    <n v="20000"/>
    <d v="2019-06-04T00:00:00"/>
    <n v="10000"/>
    <m/>
    <m/>
    <n v="50000"/>
    <n v="0"/>
    <n v="0"/>
  </r>
  <r>
    <s v="78B/2019"/>
    <d v="2019-02-25T00:00:00"/>
    <s v="THANH THÚY"/>
    <s v="NT08"/>
    <x v="72"/>
    <x v="28"/>
    <s v="YELLOWEEN"/>
    <m/>
    <s v="14.16"/>
    <n v="300"/>
    <s v="NL2018"/>
    <m/>
    <n v="84"/>
    <n v="25200"/>
    <x v="25"/>
    <n v="90720000"/>
    <x v="0"/>
    <d v="2019-03-15T00:00:00"/>
    <d v="2019-04-19T00:00:00"/>
    <d v="2019-04-19T00:00:00"/>
    <s v="15/3AL"/>
    <s v="CONT 20/2019"/>
    <m/>
    <m/>
    <d v="2019-04-25T00:00:00"/>
    <n v="15300"/>
    <d v="2019-05-27T00:00:00"/>
    <n v="5100"/>
    <d v="2019-06-04T00:00:00"/>
    <n v="4800"/>
    <m/>
    <m/>
    <n v="25200"/>
    <n v="0"/>
    <n v="0"/>
  </r>
  <r>
    <s v="78B/2019"/>
    <d v="2019-04-25T00:00:00"/>
    <s v="THANH THÚY"/>
    <s v="NT08"/>
    <x v="72"/>
    <x v="22"/>
    <s v="ROBINA"/>
    <m/>
    <s v="16.18"/>
    <n v="200"/>
    <s v="NL2018"/>
    <m/>
    <n v="50"/>
    <n v="10000"/>
    <x v="44"/>
    <n v="55000000"/>
    <x v="4"/>
    <d v="2019-05-02T00:00:00"/>
    <d v="2019-06-04T00:00:00"/>
    <d v="2019-06-04T00:00:00"/>
    <s v="02/5AL"/>
    <m/>
    <m/>
    <m/>
    <d v="2019-06-17T00:00:00"/>
    <n v="5000"/>
    <m/>
    <m/>
    <m/>
    <m/>
    <m/>
    <m/>
    <n v="5000"/>
    <n v="5000"/>
    <n v="27500000"/>
  </r>
  <r>
    <s v="78B/2019"/>
    <d v="2019-04-25T00:00:00"/>
    <s v="THANH THÚY"/>
    <s v="NT08"/>
    <x v="72"/>
    <x v="28"/>
    <s v="YELLOWEEN"/>
    <m/>
    <s v="14.16"/>
    <n v="300"/>
    <s v="NL2018"/>
    <m/>
    <n v="83"/>
    <n v="24900"/>
    <x v="6"/>
    <n v="94620000"/>
    <x v="4"/>
    <d v="2019-05-02T00:00:00"/>
    <d v="2019-06-04T00:00:00"/>
    <d v="2019-06-04T00:00:00"/>
    <s v="02/5AL"/>
    <m/>
    <m/>
    <m/>
    <d v="2019-06-17T00:00:00"/>
    <n v="15000"/>
    <m/>
    <m/>
    <m/>
    <m/>
    <m/>
    <m/>
    <n v="15000"/>
    <n v="9900"/>
    <n v="37620000"/>
  </r>
  <r>
    <s v="78B/2019"/>
    <d v="2019-04-25T00:00:00"/>
    <s v="THANH THÚY"/>
    <s v="NT08"/>
    <x v="72"/>
    <x v="28"/>
    <s v="YELLOWEEN"/>
    <m/>
    <s v="14.16"/>
    <n v="300"/>
    <s v="NL2018"/>
    <m/>
    <n v="17"/>
    <n v="5100"/>
    <x v="6"/>
    <n v="19380000"/>
    <x v="3"/>
    <d v="2019-05-18T00:00:00"/>
    <d v="2019-06-20T00:00:00"/>
    <d v="2019-06-20T00:00:00"/>
    <m/>
    <m/>
    <m/>
    <m/>
    <m/>
    <m/>
    <m/>
    <m/>
    <m/>
    <m/>
    <m/>
    <m/>
    <n v="0"/>
    <n v="5100"/>
    <n v="19380000"/>
  </r>
  <r>
    <s v="78B/2019"/>
    <d v="2019-04-25T00:00:00"/>
    <s v="THANH THÚY"/>
    <s v="NT08"/>
    <x v="72"/>
    <x v="10"/>
    <s v="ARVANDRUD"/>
    <m/>
    <s v="16.18"/>
    <n v="200"/>
    <s v="NL2018"/>
    <m/>
    <n v="100"/>
    <n v="20000"/>
    <x v="24"/>
    <n v="114000000"/>
    <x v="4"/>
    <d v="2019-04-17T00:00:00"/>
    <d v="2019-05-21T00:00:00"/>
    <d v="2019-05-21T00:00:00"/>
    <s v="02/5AL"/>
    <m/>
    <m/>
    <m/>
    <d v="2019-06-17T00:00:00"/>
    <n v="10000"/>
    <m/>
    <m/>
    <m/>
    <m/>
    <m/>
    <m/>
    <n v="10000"/>
    <n v="10000"/>
    <n v="57000000"/>
  </r>
  <r>
    <s v="78B/2019"/>
    <d v="2019-04-25T00:00:00"/>
    <s v="THANH THÚY"/>
    <s v="NT08"/>
    <x v="72"/>
    <x v="10"/>
    <s v="ARVANDRUD"/>
    <m/>
    <s v="16.18"/>
    <n v="200"/>
    <s v="NL2018"/>
    <m/>
    <n v="50"/>
    <n v="10000"/>
    <x v="24"/>
    <n v="57000000"/>
    <x v="4"/>
    <d v="2019-05-02T00:00:00"/>
    <d v="2019-06-04T00:00:00"/>
    <d v="2019-06-04T00:00:00"/>
    <s v="02/5AL"/>
    <m/>
    <m/>
    <m/>
    <m/>
    <m/>
    <m/>
    <m/>
    <m/>
    <m/>
    <m/>
    <m/>
    <n v="0"/>
    <n v="10000"/>
    <n v="57000000"/>
  </r>
  <r>
    <s v="78B/2019"/>
    <d v="2019-04-25T00:00:00"/>
    <s v="THANH THÚY"/>
    <s v="NT08"/>
    <x v="72"/>
    <x v="30"/>
    <s v="MALDANO"/>
    <m/>
    <s v="16.18"/>
    <n v="200"/>
    <s v="NL2018"/>
    <m/>
    <n v="100"/>
    <n v="20000"/>
    <x v="11"/>
    <n v="108000000"/>
    <x v="4"/>
    <d v="2019-05-12T00:00:00"/>
    <d v="2019-06-14T00:00:00"/>
    <d v="2019-06-14T00:00:00"/>
    <s v="02/5AL"/>
    <m/>
    <m/>
    <m/>
    <d v="2019-06-17T00:00:00"/>
    <n v="5000"/>
    <m/>
    <m/>
    <m/>
    <m/>
    <m/>
    <m/>
    <n v="5000"/>
    <n v="15000"/>
    <n v="81000000"/>
  </r>
  <r>
    <s v="78B/2019"/>
    <d v="2019-04-25T00:00:00"/>
    <s v="THANH THÚY"/>
    <s v="NT08"/>
    <x v="72"/>
    <x v="30"/>
    <s v="MALDANO"/>
    <m/>
    <s v="16.18"/>
    <n v="200"/>
    <s v="NL2018"/>
    <m/>
    <n v="50"/>
    <n v="10000"/>
    <x v="11"/>
    <n v="54000000"/>
    <x v="3"/>
    <d v="2019-06-15T00:00:00"/>
    <d v="2019-07-17T00:00:00"/>
    <d v="2019-07-17T00:00:00"/>
    <s v="02/5AL"/>
    <m/>
    <m/>
    <m/>
    <m/>
    <m/>
    <m/>
    <m/>
    <m/>
    <m/>
    <m/>
    <m/>
    <n v="0"/>
    <n v="10000"/>
    <n v="54000000"/>
  </r>
  <r>
    <s v="78B/2019"/>
    <d v="2019-06-11T00:00:00"/>
    <s v="THANH THÚY"/>
    <s v="NT08"/>
    <x v="72"/>
    <x v="28"/>
    <s v="YELLOWEEN"/>
    <m/>
    <s v="14.16"/>
    <n v="300"/>
    <s v="NL2018"/>
    <m/>
    <n v="84"/>
    <n v="25200"/>
    <x v="119"/>
    <n v="98784000"/>
    <x v="2"/>
    <d v="2019-06-29T00:00:00"/>
    <d v="2019-07-31T00:00:00"/>
    <d v="2019-07-31T00:00:00"/>
    <m/>
    <m/>
    <m/>
    <m/>
    <m/>
    <m/>
    <m/>
    <m/>
    <m/>
    <m/>
    <m/>
    <m/>
    <n v="0"/>
    <n v="25200"/>
    <n v="98784000"/>
  </r>
  <r>
    <s v="78B/2019"/>
    <d v="2019-06-11T00:00:00"/>
    <s v="THANH THÚY"/>
    <s v="NT08"/>
    <x v="72"/>
    <x v="28"/>
    <s v="YELLOWEEN"/>
    <m/>
    <s v="14.16"/>
    <n v="300"/>
    <s v="NL2018"/>
    <m/>
    <n v="84"/>
    <n v="25200"/>
    <x v="120"/>
    <n v="101808000"/>
    <x v="2"/>
    <d v="2019-08-15T00:00:00"/>
    <d v="2019-09-13T00:00:00"/>
    <d v="2019-09-13T00:00:00"/>
    <m/>
    <m/>
    <m/>
    <m/>
    <m/>
    <m/>
    <m/>
    <m/>
    <m/>
    <m/>
    <m/>
    <m/>
    <n v="0"/>
    <n v="25200"/>
    <n v="101808000"/>
  </r>
  <r>
    <s v="78B/2019"/>
    <d v="2019-06-11T00:00:00"/>
    <s v="THANH THÚY"/>
    <s v="NT08"/>
    <x v="72"/>
    <x v="25"/>
    <s v="CONCADOR"/>
    <m/>
    <s v="18.20"/>
    <n v="150"/>
    <s v="NL2018"/>
    <m/>
    <n v="167"/>
    <n v="25050"/>
    <x v="80"/>
    <n v="182865000"/>
    <x v="2"/>
    <d v="2019-06-29T00:00:00"/>
    <d v="2019-07-31T00:00:00"/>
    <d v="2019-07-31T00:00:00"/>
    <m/>
    <m/>
    <m/>
    <m/>
    <m/>
    <m/>
    <m/>
    <m/>
    <m/>
    <m/>
    <m/>
    <m/>
    <n v="0"/>
    <n v="25050"/>
    <n v="182865000"/>
  </r>
  <r>
    <s v="78B/2019"/>
    <d v="2019-04-19T00:00:00"/>
    <s v="THANH THÚY"/>
    <s v="NT08"/>
    <x v="72"/>
    <x v="137"/>
    <s v="COMPETITION CHILE"/>
    <m/>
    <s v="20.22"/>
    <n v="125"/>
    <s v="CL2019"/>
    <m/>
    <n v="320"/>
    <n v="40000"/>
    <x v="29"/>
    <n v="500000000"/>
    <x v="2"/>
    <d v="2019-09-01T00:00:00"/>
    <d v="2019-09-29T00:00:00"/>
    <d v="2019-09-29T00:00:00"/>
    <s v="TẾT"/>
    <m/>
    <m/>
    <m/>
    <m/>
    <m/>
    <m/>
    <m/>
    <m/>
    <m/>
    <m/>
    <m/>
    <n v="0"/>
    <n v="40000"/>
    <n v="500000000"/>
  </r>
  <r>
    <s v="78B/2019"/>
    <d v="2019-04-19T00:00:00"/>
    <s v="THANH THÚY"/>
    <s v="NT08"/>
    <x v="72"/>
    <x v="6"/>
    <s v="CONCADOR "/>
    <m/>
    <s v="20.22"/>
    <n v="125"/>
    <s v="NL2018"/>
    <m/>
    <n v="480"/>
    <n v="60000"/>
    <x v="7"/>
    <n v="636000000"/>
    <x v="2"/>
    <d v="2019-09-01T00:00:00"/>
    <d v="2019-09-29T00:00:00"/>
    <d v="2019-09-29T00:00:00"/>
    <s v="TẾT"/>
    <m/>
    <m/>
    <m/>
    <m/>
    <m/>
    <m/>
    <m/>
    <m/>
    <m/>
    <m/>
    <m/>
    <n v="0"/>
    <n v="60000"/>
    <n v="636000000"/>
  </r>
  <r>
    <s v="78B/2019"/>
    <d v="2019-04-19T00:00:00"/>
    <s v="THANH THÚY"/>
    <s v="NT08"/>
    <x v="72"/>
    <x v="138"/>
    <s v="BACARDI"/>
    <m/>
    <s v="22.24"/>
    <n v="85"/>
    <s v="NL2018"/>
    <m/>
    <n v="85"/>
    <n v="7225"/>
    <x v="121"/>
    <n v="83810000"/>
    <x v="2"/>
    <d v="2019-09-01T00:00:00"/>
    <d v="2019-09-29T00:00:00"/>
    <d v="2019-09-29T00:00:00"/>
    <m/>
    <m/>
    <m/>
    <m/>
    <m/>
    <m/>
    <m/>
    <m/>
    <m/>
    <m/>
    <m/>
    <m/>
    <n v="0"/>
    <n v="7225"/>
    <n v="83810000"/>
  </r>
  <r>
    <s v="78B/2019"/>
    <d v="2019-04-19T00:00:00"/>
    <s v="THANH THÚY"/>
    <s v="NT08"/>
    <x v="72"/>
    <x v="139"/>
    <s v="BACARDI"/>
    <m/>
    <s v="22.24"/>
    <n v="100"/>
    <s v="NL2018"/>
    <m/>
    <n v="80"/>
    <n v="8000"/>
    <x v="121"/>
    <n v="92800000"/>
    <x v="2"/>
    <d v="2019-09-01T00:00:00"/>
    <d v="2019-09-29T00:00:00"/>
    <d v="2019-09-29T00:00:00"/>
    <s v="TẾT"/>
    <m/>
    <m/>
    <m/>
    <m/>
    <m/>
    <m/>
    <m/>
    <m/>
    <m/>
    <m/>
    <m/>
    <n v="0"/>
    <n v="8000"/>
    <n v="92800000"/>
  </r>
  <r>
    <s v="55B/2019"/>
    <d v="2019-02-16T00:00:00"/>
    <s v="THANH THÚY"/>
    <s v="QT03"/>
    <x v="73"/>
    <x v="46"/>
    <s v="CONCAD'OR"/>
    <m/>
    <s v="22.24"/>
    <n v="100"/>
    <s v="NL2018"/>
    <m/>
    <n v="0"/>
    <n v="0"/>
    <x v="29"/>
    <n v="0"/>
    <x v="1"/>
    <d v="2019-09-01T00:00:00"/>
    <d v="2019-09-29T00:00:00"/>
    <d v="2019-09-29T00:00:00"/>
    <s v="TẾT"/>
    <m/>
    <m/>
    <m/>
    <m/>
    <n v="0"/>
    <m/>
    <m/>
    <m/>
    <m/>
    <m/>
    <m/>
    <n v="0"/>
    <n v="0"/>
    <n v="0"/>
  </r>
  <r>
    <s v="55B/2019"/>
    <d v="2019-02-16T00:00:00"/>
    <s v="THANH THÚY"/>
    <s v="QT03"/>
    <x v="73"/>
    <x v="63"/>
    <s v="MANISSA"/>
    <m/>
    <s v="24.26"/>
    <n v="80"/>
    <s v="NL2018"/>
    <m/>
    <n v="0"/>
    <n v="0"/>
    <x v="30"/>
    <n v="0"/>
    <x v="1"/>
    <d v="2019-09-01T00:00:00"/>
    <d v="2019-09-29T00:00:00"/>
    <d v="2019-09-29T00:00:00"/>
    <s v="TẾT"/>
    <m/>
    <m/>
    <m/>
    <m/>
    <n v="0"/>
    <m/>
    <m/>
    <m/>
    <m/>
    <m/>
    <m/>
    <n v="0"/>
    <n v="0"/>
    <n v="0"/>
  </r>
  <r>
    <s v="55B/2019"/>
    <d v="2019-02-16T00:00:00"/>
    <s v="THANH THÚY"/>
    <s v="QT03"/>
    <x v="73"/>
    <x v="26"/>
    <s v="ROBINA"/>
    <m/>
    <s v="22.24"/>
    <n v="100"/>
    <s v="NL2018"/>
    <m/>
    <n v="0"/>
    <n v="0"/>
    <x v="29"/>
    <n v="0"/>
    <x v="1"/>
    <d v="2019-09-01T00:00:00"/>
    <d v="2019-09-29T00:00:00"/>
    <d v="2019-09-29T00:00:00"/>
    <s v="TẾT"/>
    <m/>
    <m/>
    <m/>
    <m/>
    <n v="0"/>
    <m/>
    <m/>
    <m/>
    <m/>
    <m/>
    <m/>
    <n v="0"/>
    <n v="0"/>
    <n v="0"/>
  </r>
  <r>
    <s v="35A/2019"/>
    <d v="2019-02-09T00:00:00"/>
    <s v="THANH THÚY"/>
    <s v="QT01"/>
    <x v="74"/>
    <x v="15"/>
    <s v="CONCADOR "/>
    <m/>
    <s v="16.18"/>
    <n v="200"/>
    <s v="NL2018"/>
    <m/>
    <n v="0"/>
    <n v="0"/>
    <x v="0"/>
    <n v="0"/>
    <x v="1"/>
    <d v="2019-03-15T00:00:00"/>
    <d v="2019-04-19T00:00:00"/>
    <d v="2019-04-19T00:00:00"/>
    <s v="15/3AL"/>
    <m/>
    <m/>
    <m/>
    <m/>
    <m/>
    <m/>
    <m/>
    <m/>
    <m/>
    <m/>
    <m/>
    <n v="0"/>
    <n v="0"/>
    <n v="0"/>
  </r>
  <r>
    <s v="35A/2019"/>
    <d v="2019-02-09T00:00:00"/>
    <s v="THANH THÚY"/>
    <s v="QT01"/>
    <x v="74"/>
    <x v="3"/>
    <s v="PAVIA"/>
    <m/>
    <s v="12.14"/>
    <n v="400"/>
    <s v="NL2018"/>
    <m/>
    <n v="13"/>
    <n v="5200"/>
    <x v="4"/>
    <n v="14560000"/>
    <x v="0"/>
    <d v="2019-01-15T00:00:00"/>
    <d v="2019-02-19T00:00:00"/>
    <d v="2019-02-19T00:00:00"/>
    <s v="15/1AL"/>
    <m/>
    <m/>
    <m/>
    <d v="2019-02-20T00:00:00"/>
    <n v="5200"/>
    <m/>
    <m/>
    <m/>
    <m/>
    <m/>
    <m/>
    <n v="5200"/>
    <n v="0"/>
    <n v="0"/>
  </r>
  <r>
    <s v="35A/2019"/>
    <d v="2019-02-09T00:00:00"/>
    <s v="THANH THÚY"/>
    <s v="QT01"/>
    <x v="74"/>
    <x v="11"/>
    <s v="YELLOWEEN"/>
    <m/>
    <s v="12.14"/>
    <n v="400"/>
    <s v="NL2018"/>
    <m/>
    <n v="13"/>
    <n v="5200"/>
    <x v="12"/>
    <n v="13520000"/>
    <x v="0"/>
    <d v="2019-01-15T00:00:00"/>
    <d v="2019-02-19T00:00:00"/>
    <d v="2019-02-19T00:00:00"/>
    <s v="15/1AL"/>
    <m/>
    <m/>
    <m/>
    <d v="2019-02-20T00:00:00"/>
    <n v="5200"/>
    <m/>
    <m/>
    <m/>
    <m/>
    <m/>
    <m/>
    <n v="5200"/>
    <n v="0"/>
    <n v="0"/>
  </r>
  <r>
    <s v="35A/2019"/>
    <d v="2019-02-09T00:00:00"/>
    <s v="THANH THÚY"/>
    <s v="QT01"/>
    <x v="74"/>
    <x v="12"/>
    <s v="AMATERAS"/>
    <m/>
    <s v="14.16"/>
    <n v="300"/>
    <s v="NL2018"/>
    <m/>
    <n v="17"/>
    <n v="5100"/>
    <x v="1"/>
    <n v="21420000"/>
    <x v="0"/>
    <d v="2019-02-15T00:00:00"/>
    <d v="2019-03-20T00:00:00"/>
    <d v="2019-03-20T00:00:00"/>
    <s v="15/2AL"/>
    <s v="CONT 9/2019"/>
    <m/>
    <m/>
    <d v="2019-03-19T00:00:00"/>
    <n v="5100"/>
    <m/>
    <m/>
    <m/>
    <m/>
    <m/>
    <m/>
    <n v="5100"/>
    <n v="0"/>
    <n v="0"/>
  </r>
  <r>
    <s v="35A/2019"/>
    <d v="2019-02-09T00:00:00"/>
    <s v="THANH THÚY"/>
    <s v="QT01"/>
    <x v="74"/>
    <x v="32"/>
    <s v="BACARDI"/>
    <m/>
    <s v="16.18"/>
    <n v="200"/>
    <s v="NL2018"/>
    <m/>
    <n v="50"/>
    <n v="10000"/>
    <x v="42"/>
    <n v="63000000"/>
    <x v="0"/>
    <d v="2019-02-15T00:00:00"/>
    <d v="2019-03-20T00:00:00"/>
    <d v="2019-03-20T00:00:00"/>
    <s v="15/2AL"/>
    <s v="CONT 11/2019"/>
    <m/>
    <m/>
    <d v="2019-03-19T00:00:00"/>
    <n v="10000"/>
    <m/>
    <m/>
    <m/>
    <m/>
    <m/>
    <m/>
    <n v="10000"/>
    <n v="0"/>
    <n v="0"/>
  </r>
  <r>
    <s v="35A/2019"/>
    <d v="2019-02-09T00:00:00"/>
    <s v="THANH THÚY"/>
    <s v="QT01"/>
    <x v="74"/>
    <x v="3"/>
    <s v="PAVIA"/>
    <m/>
    <s v="12.14"/>
    <n v="400"/>
    <s v="NL2018"/>
    <m/>
    <n v="50"/>
    <n v="20000"/>
    <x v="4"/>
    <n v="56000000"/>
    <x v="0"/>
    <d v="2019-02-15T00:00:00"/>
    <d v="2019-03-20T00:00:00"/>
    <d v="2019-03-20T00:00:00"/>
    <s v="15/2AL"/>
    <s v="CONT 9/2019"/>
    <m/>
    <m/>
    <d v="2019-03-19T00:00:00"/>
    <n v="20000"/>
    <m/>
    <m/>
    <m/>
    <m/>
    <m/>
    <m/>
    <n v="20000"/>
    <n v="0"/>
    <n v="0"/>
  </r>
  <r>
    <s v="35A/2019"/>
    <d v="2019-02-09T00:00:00"/>
    <s v="THANH THÚY"/>
    <s v="QT01"/>
    <x v="74"/>
    <x v="47"/>
    <s v="ROBINA"/>
    <m/>
    <s v="18.20"/>
    <n v="150"/>
    <s v="NL2018"/>
    <m/>
    <n v="67"/>
    <n v="10050"/>
    <x v="42"/>
    <n v="63315000"/>
    <x v="0"/>
    <d v="2019-02-15T00:00:00"/>
    <d v="2019-03-20T00:00:00"/>
    <d v="2019-03-20T00:00:00"/>
    <s v="15/2AL"/>
    <s v="CONT 11/2019"/>
    <m/>
    <m/>
    <d v="2019-03-19T00:00:00"/>
    <n v="10050"/>
    <m/>
    <m/>
    <m/>
    <m/>
    <m/>
    <m/>
    <n v="10050"/>
    <n v="0"/>
    <n v="0"/>
  </r>
  <r>
    <s v="35A/2019"/>
    <d v="2019-02-09T00:00:00"/>
    <s v="THANH THÚY"/>
    <s v="QT01"/>
    <x v="74"/>
    <x v="31"/>
    <s v="TARRANGO"/>
    <m/>
    <s v="14.16"/>
    <n v="300"/>
    <s v="NL2018"/>
    <m/>
    <n v="17"/>
    <n v="5100"/>
    <x v="13"/>
    <n v="22950000"/>
    <x v="0"/>
    <d v="2019-02-15T00:00:00"/>
    <d v="2019-03-20T00:00:00"/>
    <d v="2019-03-20T00:00:00"/>
    <s v="15/2AL"/>
    <s v="CONT 10/2019"/>
    <m/>
    <m/>
    <d v="2019-03-19T00:00:00"/>
    <n v="5100"/>
    <m/>
    <m/>
    <m/>
    <m/>
    <m/>
    <m/>
    <n v="5100"/>
    <n v="0"/>
    <n v="0"/>
  </r>
  <r>
    <s v="35A/2019"/>
    <d v="2019-02-09T00:00:00"/>
    <s v="THANH THÚY"/>
    <s v="QT01"/>
    <x v="74"/>
    <x v="34"/>
    <s v="TARRANGO"/>
    <m/>
    <s v="16.18"/>
    <n v="200"/>
    <s v="NL2018"/>
    <m/>
    <n v="50"/>
    <n v="10000"/>
    <x v="44"/>
    <n v="55000000"/>
    <x v="0"/>
    <d v="2019-02-15T00:00:00"/>
    <d v="2019-03-20T00:00:00"/>
    <d v="2019-03-20T00:00:00"/>
    <s v="15/2AL"/>
    <s v="CONT 12/2019"/>
    <m/>
    <m/>
    <d v="2019-03-19T00:00:00"/>
    <n v="10000"/>
    <m/>
    <m/>
    <m/>
    <m/>
    <m/>
    <m/>
    <n v="10000"/>
    <n v="0"/>
    <n v="0"/>
  </r>
  <r>
    <s v="35A/2019"/>
    <d v="2019-02-09T00:00:00"/>
    <s v="THANH THÚY"/>
    <s v="QT01"/>
    <x v="74"/>
    <x v="11"/>
    <s v="YELLOWEEN"/>
    <m/>
    <s v="12.14"/>
    <n v="400"/>
    <s v="NL2018"/>
    <m/>
    <n v="25"/>
    <n v="10000"/>
    <x v="12"/>
    <n v="26000000"/>
    <x v="0"/>
    <d v="2019-02-15T00:00:00"/>
    <d v="2019-03-20T00:00:00"/>
    <d v="2019-03-20T00:00:00"/>
    <s v="15/2AL"/>
    <s v="CONT 12/2019"/>
    <m/>
    <m/>
    <d v="2019-03-19T00:00:00"/>
    <n v="10000"/>
    <m/>
    <m/>
    <m/>
    <m/>
    <m/>
    <m/>
    <n v="10000"/>
    <n v="0"/>
    <n v="0"/>
  </r>
  <r>
    <s v="35A/2019"/>
    <d v="2019-02-09T00:00:00"/>
    <s v="THANH THÚY"/>
    <s v="QT01"/>
    <x v="74"/>
    <x v="66"/>
    <s v="ALUSTA"/>
    <m/>
    <s v="14.16"/>
    <n v="300"/>
    <s v="NL2018"/>
    <m/>
    <n v="17"/>
    <n v="5100"/>
    <x v="57"/>
    <n v="20400000"/>
    <x v="0"/>
    <s v="30-Feb-19"/>
    <d v="2019-04-04T00:00:00"/>
    <d v="2019-04-04T00:00:00"/>
    <s v="30/2AL"/>
    <s v="CONT 15/2019"/>
    <m/>
    <m/>
    <d v="2019-04-02T00:00:00"/>
    <n v="5100"/>
    <m/>
    <m/>
    <m/>
    <m/>
    <m/>
    <m/>
    <n v="5100"/>
    <n v="0"/>
    <n v="0"/>
  </r>
  <r>
    <s v="35A/2019"/>
    <d v="2019-02-09T00:00:00"/>
    <s v="THANH THÚY"/>
    <s v="QT01"/>
    <x v="74"/>
    <x v="32"/>
    <s v="BACARDI"/>
    <m/>
    <s v="16.18"/>
    <n v="200"/>
    <s v="NL2018"/>
    <m/>
    <n v="50"/>
    <n v="10000"/>
    <x v="42"/>
    <n v="63000000"/>
    <x v="0"/>
    <s v="30-Feb-19"/>
    <d v="2019-04-04T00:00:00"/>
    <d v="2019-04-04T00:00:00"/>
    <s v="30/2AL"/>
    <s v="CONT 18/2019"/>
    <m/>
    <m/>
    <d v="2019-04-03T00:00:00"/>
    <n v="10000"/>
    <m/>
    <m/>
    <m/>
    <m/>
    <m/>
    <m/>
    <n v="10000"/>
    <n v="0"/>
    <n v="0"/>
  </r>
  <r>
    <s v="35A/2019"/>
    <d v="2019-02-09T00:00:00"/>
    <s v="THANH THÚY"/>
    <s v="QT01"/>
    <x v="74"/>
    <x v="15"/>
    <s v="CONCADOR "/>
    <m/>
    <s v="16.18"/>
    <n v="200"/>
    <s v="NL2018"/>
    <m/>
    <n v="75"/>
    <n v="15000"/>
    <x v="0"/>
    <n v="70500000"/>
    <x v="0"/>
    <s v="30-Feb-19"/>
    <d v="2019-04-04T00:00:00"/>
    <d v="2019-04-04T00:00:00"/>
    <s v="30/2AL"/>
    <s v="CONT 16/2019"/>
    <m/>
    <m/>
    <d v="2019-04-02T00:00:00"/>
    <n v="15000"/>
    <m/>
    <m/>
    <m/>
    <m/>
    <m/>
    <m/>
    <n v="15000"/>
    <n v="0"/>
    <n v="0"/>
  </r>
  <r>
    <s v="35A/2019"/>
    <d v="2019-02-09T00:00:00"/>
    <s v="THANH THÚY"/>
    <s v="QT01"/>
    <x v="74"/>
    <x v="47"/>
    <s v="ROBINA"/>
    <m/>
    <s v="18.20"/>
    <n v="150"/>
    <s v="NL2018"/>
    <m/>
    <n v="67"/>
    <n v="10050"/>
    <x v="42"/>
    <n v="63315000"/>
    <x v="0"/>
    <s v="30-Feb-19"/>
    <d v="2019-04-04T00:00:00"/>
    <d v="2019-04-04T00:00:00"/>
    <s v="30/2AL"/>
    <s v="CONT 18/2019"/>
    <m/>
    <m/>
    <d v="2019-04-02T00:00:00"/>
    <n v="10050"/>
    <m/>
    <m/>
    <m/>
    <m/>
    <m/>
    <m/>
    <n v="10050"/>
    <n v="0"/>
    <n v="0"/>
  </r>
  <r>
    <s v="35A/2019"/>
    <d v="2019-02-09T00:00:00"/>
    <s v="THANH THÚY"/>
    <s v="QT01"/>
    <x v="74"/>
    <x v="34"/>
    <s v="TARRANGO"/>
    <m/>
    <s v="16.18"/>
    <n v="200"/>
    <s v="NL2018"/>
    <m/>
    <n v="50"/>
    <n v="10000"/>
    <x v="44"/>
    <n v="55000000"/>
    <x v="0"/>
    <s v="30-Feb-19"/>
    <d v="2019-04-04T00:00:00"/>
    <d v="2019-04-04T00:00:00"/>
    <s v="30/2AL"/>
    <s v="CONT 14/2019"/>
    <m/>
    <m/>
    <d v="2019-04-02T00:00:00"/>
    <n v="10000"/>
    <m/>
    <m/>
    <m/>
    <m/>
    <m/>
    <m/>
    <n v="10000"/>
    <n v="0"/>
    <n v="0"/>
  </r>
  <r>
    <s v="35A/2019"/>
    <d v="2019-02-09T00:00:00"/>
    <s v="THANH THÚY"/>
    <s v="QT01"/>
    <x v="74"/>
    <x v="31"/>
    <s v="TARRANGO"/>
    <m/>
    <s v="14.16"/>
    <n v="300"/>
    <s v="NL2018"/>
    <m/>
    <n v="18"/>
    <n v="5400"/>
    <x v="21"/>
    <n v="24840000"/>
    <x v="0"/>
    <s v="30-Feb-19"/>
    <d v="2019-04-04T00:00:00"/>
    <d v="2019-04-04T00:00:00"/>
    <s v="30/2AL"/>
    <s v="CONT 14/2019"/>
    <m/>
    <m/>
    <d v="2019-04-02T00:00:00"/>
    <n v="5400"/>
    <m/>
    <m/>
    <m/>
    <m/>
    <m/>
    <m/>
    <n v="5400"/>
    <n v="0"/>
    <n v="0"/>
  </r>
  <r>
    <s v="35A/2019"/>
    <d v="2019-02-09T00:00:00"/>
    <s v="THANH THÚY"/>
    <s v="QT01"/>
    <x v="74"/>
    <x v="28"/>
    <s v="YELLOWEEN"/>
    <m/>
    <s v="14.16"/>
    <n v="300"/>
    <s v="NL2018"/>
    <m/>
    <n v="34"/>
    <n v="10200"/>
    <x v="6"/>
    <n v="38760000"/>
    <x v="0"/>
    <s v="30-Feb-19"/>
    <d v="2019-04-04T00:00:00"/>
    <d v="2019-04-04T00:00:00"/>
    <s v="30/2AL"/>
    <s v="CONT 14/2019"/>
    <m/>
    <m/>
    <d v="2019-04-03T00:00:00"/>
    <n v="10200"/>
    <m/>
    <m/>
    <m/>
    <m/>
    <m/>
    <m/>
    <n v="10200"/>
    <n v="0"/>
    <n v="0"/>
  </r>
  <r>
    <s v="35A/2019"/>
    <d v="2019-02-09T00:00:00"/>
    <s v="THANH THÚY"/>
    <s v="QT01"/>
    <x v="74"/>
    <x v="140"/>
    <s v="LODI"/>
    <m/>
    <s v="16.18"/>
    <n v="200"/>
    <s v="NL2018"/>
    <m/>
    <n v="50"/>
    <n v="10000"/>
    <x v="34"/>
    <n v="71000000"/>
    <x v="0"/>
    <d v="2019-04-15T00:00:00"/>
    <d v="2019-05-19T00:00:00"/>
    <d v="2019-05-19T00:00:00"/>
    <s v="15/4AL"/>
    <m/>
    <m/>
    <m/>
    <d v="2019-05-20T00:00:00"/>
    <n v="10000"/>
    <m/>
    <m/>
    <m/>
    <m/>
    <m/>
    <m/>
    <n v="10000"/>
    <n v="0"/>
    <n v="0"/>
  </r>
  <r>
    <s v="35A/2019"/>
    <d v="2019-02-09T00:00:00"/>
    <s v="THANH THÚY"/>
    <s v="QT01"/>
    <x v="74"/>
    <x v="47"/>
    <s v="ROBINA"/>
    <m/>
    <s v="18.20"/>
    <n v="150"/>
    <s v="NL2018"/>
    <m/>
    <n v="67"/>
    <n v="10050"/>
    <x v="122"/>
    <n v="65304900"/>
    <x v="0"/>
    <d v="2019-04-15T00:00:00"/>
    <d v="2019-05-19T00:00:00"/>
    <d v="2019-05-19T00:00:00"/>
    <s v="15/4AL"/>
    <m/>
    <m/>
    <m/>
    <d v="2019-05-20T00:00:00"/>
    <n v="10050"/>
    <m/>
    <m/>
    <m/>
    <m/>
    <m/>
    <m/>
    <n v="10050"/>
    <n v="0"/>
    <n v="0"/>
  </r>
  <r>
    <s v="35A/2019"/>
    <d v="2019-02-09T00:00:00"/>
    <s v="THANH THÚY"/>
    <s v="QT01"/>
    <x v="74"/>
    <x v="11"/>
    <s v="YELLOWEEN"/>
    <m/>
    <s v="12.14"/>
    <n v="400"/>
    <s v="NL2018"/>
    <m/>
    <n v="0"/>
    <n v="0"/>
    <x v="47"/>
    <n v="0"/>
    <x v="1"/>
    <d v="2019-04-15T00:00:00"/>
    <d v="2019-05-19T00:00:00"/>
    <d v="2019-05-19T00:00:00"/>
    <s v="15/4AL"/>
    <m/>
    <m/>
    <m/>
    <m/>
    <n v="0"/>
    <m/>
    <m/>
    <m/>
    <m/>
    <m/>
    <m/>
    <n v="0"/>
    <n v="0"/>
    <n v="0"/>
  </r>
  <r>
    <s v="35A/2019"/>
    <d v="2019-02-09T00:00:00"/>
    <s v="THANH THÚY"/>
    <s v="QT01"/>
    <x v="74"/>
    <x v="28"/>
    <s v="YELLOWEEN"/>
    <m/>
    <s v="14.16"/>
    <n v="300"/>
    <s v="NL2018"/>
    <m/>
    <n v="34"/>
    <n v="10200"/>
    <x v="6"/>
    <n v="38760000"/>
    <x v="0"/>
    <d v="2019-04-15T00:00:00"/>
    <d v="2019-05-19T00:00:00"/>
    <d v="2019-05-19T00:00:00"/>
    <s v="15/4AL"/>
    <m/>
    <m/>
    <m/>
    <d v="2019-05-20T00:00:00"/>
    <n v="10200"/>
    <m/>
    <m/>
    <m/>
    <m/>
    <m/>
    <m/>
    <n v="10200"/>
    <n v="0"/>
    <n v="0"/>
  </r>
  <r>
    <s v="35A/2019"/>
    <d v="2019-02-09T00:00:00"/>
    <s v="THANH THÚY"/>
    <s v="QT01"/>
    <x v="74"/>
    <x v="3"/>
    <s v="PAVIA"/>
    <m/>
    <s v="12.14"/>
    <n v="400"/>
    <s v="NL2018"/>
    <m/>
    <n v="38"/>
    <n v="15200"/>
    <x v="14"/>
    <n v="44080000"/>
    <x v="0"/>
    <d v="2019-04-15T00:00:00"/>
    <d v="2019-05-19T00:00:00"/>
    <d v="2019-05-19T00:00:00"/>
    <s v="15/4AL"/>
    <m/>
    <m/>
    <m/>
    <d v="2019-05-20T00:00:00"/>
    <n v="15200"/>
    <m/>
    <m/>
    <m/>
    <m/>
    <m/>
    <m/>
    <n v="15200"/>
    <n v="0"/>
    <n v="0"/>
  </r>
  <r>
    <s v="35A/2019"/>
    <d v="2019-02-09T00:00:00"/>
    <s v="THANH THÚY"/>
    <s v="QT01"/>
    <x v="74"/>
    <x v="141"/>
    <s v="MANISSA"/>
    <m/>
    <s v="18.20"/>
    <n v="150"/>
    <s v="NL2018"/>
    <m/>
    <n v="134"/>
    <n v="20100"/>
    <x v="89"/>
    <n v="184920000"/>
    <x v="3"/>
    <d v="2019-06-15T00:00:00"/>
    <d v="2019-07-17T00:00:00"/>
    <d v="2019-07-17T00:00:00"/>
    <s v="15/4AL"/>
    <m/>
    <m/>
    <m/>
    <m/>
    <m/>
    <m/>
    <m/>
    <m/>
    <m/>
    <m/>
    <m/>
    <n v="0"/>
    <n v="20100"/>
    <n v="184920000"/>
  </r>
  <r>
    <s v="35A/2019"/>
    <d v="2019-02-09T00:00:00"/>
    <s v="THANH THÚY"/>
    <s v="QT01"/>
    <x v="74"/>
    <x v="31"/>
    <s v="TARRANGO VWS"/>
    <m/>
    <s v="14.16"/>
    <n v="300"/>
    <s v="NL2018"/>
    <s v="VWS"/>
    <n v="34"/>
    <n v="10200"/>
    <x v="21"/>
    <n v="46920000"/>
    <x v="0"/>
    <d v="2019-04-15T00:00:00"/>
    <d v="2019-05-19T00:00:00"/>
    <d v="2019-05-19T00:00:00"/>
    <s v="15/4AL"/>
    <m/>
    <m/>
    <m/>
    <d v="2019-05-20T00:00:00"/>
    <n v="10200"/>
    <m/>
    <m/>
    <m/>
    <m/>
    <m/>
    <m/>
    <n v="10200"/>
    <n v="0"/>
    <n v="0"/>
  </r>
  <r>
    <s v="35A/2019"/>
    <d v="2019-02-09T00:00:00"/>
    <s v="THANH THÚY"/>
    <s v="QT01"/>
    <x v="74"/>
    <x v="32"/>
    <s v="BACARDI"/>
    <m/>
    <s v="16.18"/>
    <n v="200"/>
    <s v="NL2018"/>
    <m/>
    <n v="50"/>
    <n v="10000"/>
    <x v="123"/>
    <n v="64130000"/>
    <x v="0"/>
    <d v="2019-03-15T00:00:00"/>
    <d v="2019-04-19T00:00:00"/>
    <d v="2019-04-19T00:00:00"/>
    <s v="15/3AL"/>
    <s v="CONT 20/2019"/>
    <m/>
    <m/>
    <d v="2019-04-24T00:00:00"/>
    <n v="10000"/>
    <m/>
    <m/>
    <m/>
    <m/>
    <m/>
    <m/>
    <n v="10000"/>
    <n v="0"/>
    <n v="0"/>
  </r>
  <r>
    <s v="35A/2019"/>
    <d v="2019-02-09T00:00:00"/>
    <s v="THANH THÚY"/>
    <s v="QT01"/>
    <x v="74"/>
    <x v="103"/>
    <s v="LARGO"/>
    <m/>
    <s v="16.18"/>
    <n v="200"/>
    <s v="NL2018"/>
    <m/>
    <n v="50"/>
    <n v="10000"/>
    <x v="124"/>
    <n v="55850000"/>
    <x v="0"/>
    <d v="2019-03-15T00:00:00"/>
    <d v="2019-04-19T00:00:00"/>
    <d v="2019-04-19T00:00:00"/>
    <s v="15/3AL"/>
    <s v="CONT 27/2019"/>
    <m/>
    <m/>
    <d v="2019-05-02T00:00:00"/>
    <n v="10000"/>
    <m/>
    <m/>
    <m/>
    <m/>
    <m/>
    <m/>
    <n v="10000"/>
    <n v="0"/>
    <n v="0"/>
  </r>
  <r>
    <s v="35A/2019"/>
    <d v="2019-02-09T00:00:00"/>
    <s v="THANH THÚY"/>
    <s v="QT01"/>
    <x v="74"/>
    <x v="140"/>
    <s v="LODI"/>
    <m/>
    <s v="16.18"/>
    <n v="200"/>
    <s v="NL2018"/>
    <m/>
    <n v="50"/>
    <n v="10000"/>
    <x v="33"/>
    <n v="70000000"/>
    <x v="0"/>
    <d v="2019-03-15T00:00:00"/>
    <d v="2019-04-19T00:00:00"/>
    <d v="2019-04-19T00:00:00"/>
    <s v="15/3AL"/>
    <s v="CONT 23/2019"/>
    <m/>
    <m/>
    <d v="2019-04-24T00:00:00"/>
    <n v="10000"/>
    <m/>
    <m/>
    <m/>
    <m/>
    <m/>
    <m/>
    <n v="10000"/>
    <n v="0"/>
    <n v="0"/>
  </r>
  <r>
    <s v="35A/2019"/>
    <d v="2019-02-09T00:00:00"/>
    <s v="THANH THÚY"/>
    <s v="QT01"/>
    <x v="74"/>
    <x v="31"/>
    <s v="TARRANGO"/>
    <m/>
    <s v="14.16"/>
    <n v="300"/>
    <s v="NL2018"/>
    <m/>
    <n v="20"/>
    <n v="6000"/>
    <x v="21"/>
    <n v="27600000"/>
    <x v="0"/>
    <d v="2019-03-15T00:00:00"/>
    <d v="2019-04-19T00:00:00"/>
    <d v="2019-04-19T00:00:00"/>
    <s v="15/3AL"/>
    <s v="CONT 23/2019"/>
    <m/>
    <m/>
    <d v="2019-04-24T00:00:00"/>
    <n v="6000"/>
    <m/>
    <m/>
    <m/>
    <m/>
    <m/>
    <m/>
    <n v="6000"/>
    <n v="0"/>
    <n v="0"/>
  </r>
  <r>
    <s v="35A/2019"/>
    <d v="2019-02-09T00:00:00"/>
    <s v="THANH THÚY"/>
    <s v="QT01"/>
    <x v="74"/>
    <x v="11"/>
    <s v="YELLOWEEN"/>
    <m/>
    <s v="12.14"/>
    <n v="400"/>
    <s v="NL2018"/>
    <m/>
    <n v="13"/>
    <n v="5200"/>
    <x v="125"/>
    <n v="13728000"/>
    <x v="0"/>
    <d v="2019-03-15T00:00:00"/>
    <d v="2019-04-19T00:00:00"/>
    <d v="2019-04-19T00:00:00"/>
    <s v="15/3AL"/>
    <s v="CONT 24/2019"/>
    <m/>
    <m/>
    <d v="2019-05-02T00:00:00"/>
    <n v="5200"/>
    <m/>
    <m/>
    <m/>
    <m/>
    <m/>
    <m/>
    <n v="5200"/>
    <n v="0"/>
    <n v="0"/>
  </r>
  <r>
    <s v="35A/2019"/>
    <d v="2019-02-09T00:00:00"/>
    <s v="THANH THÚY"/>
    <s v="QT01"/>
    <x v="74"/>
    <x v="28"/>
    <s v="YELLOWEEN"/>
    <m/>
    <s v="14.16"/>
    <n v="300"/>
    <s v="NL2018"/>
    <m/>
    <n v="17"/>
    <n v="5100"/>
    <x v="6"/>
    <n v="19380000"/>
    <x v="0"/>
    <d v="2019-03-15T00:00:00"/>
    <d v="2019-04-19T00:00:00"/>
    <d v="2019-04-19T00:00:00"/>
    <s v="15/3AL"/>
    <s v="CONT 24/2019"/>
    <m/>
    <m/>
    <d v="2019-05-02T00:00:00"/>
    <n v="5100"/>
    <m/>
    <m/>
    <m/>
    <m/>
    <m/>
    <m/>
    <n v="5100"/>
    <n v="0"/>
    <n v="0"/>
  </r>
  <r>
    <s v="35A/2019"/>
    <d v="2019-02-09T00:00:00"/>
    <s v="THANH THÚY"/>
    <s v="QT01"/>
    <x v="74"/>
    <x v="31"/>
    <s v="TARRANGO "/>
    <m/>
    <s v="14.16"/>
    <n v="300"/>
    <s v="NL2018"/>
    <s v="ZABO"/>
    <n v="34"/>
    <n v="10200"/>
    <x v="0"/>
    <n v="47940000"/>
    <x v="4"/>
    <d v="2019-04-29T00:00:00"/>
    <d v="2019-06-02T00:00:00"/>
    <d v="2019-06-02T00:00:00"/>
    <s v="29/4AL"/>
    <m/>
    <m/>
    <m/>
    <m/>
    <m/>
    <m/>
    <m/>
    <m/>
    <m/>
    <m/>
    <m/>
    <n v="0"/>
    <n v="10200"/>
    <n v="47940000"/>
  </r>
  <r>
    <s v="35A/2019"/>
    <d v="2019-02-09T00:00:00"/>
    <s v="THANH THÚY"/>
    <s v="QT01"/>
    <x v="74"/>
    <x v="103"/>
    <s v="LARGO"/>
    <m/>
    <s v="16.18"/>
    <n v="200"/>
    <s v="NL2018"/>
    <m/>
    <n v="50"/>
    <n v="10000"/>
    <x v="126"/>
    <n v="56480000"/>
    <x v="0"/>
    <d v="2019-04-29T00:00:00"/>
    <d v="2019-06-02T00:00:00"/>
    <d v="2019-06-02T00:00:00"/>
    <s v="29/4AL"/>
    <m/>
    <m/>
    <m/>
    <d v="2019-06-10T00:00:00"/>
    <n v="10000"/>
    <m/>
    <m/>
    <m/>
    <m/>
    <m/>
    <m/>
    <n v="10000"/>
    <n v="0"/>
    <n v="0"/>
  </r>
  <r>
    <s v="35A/2019"/>
    <d v="2019-02-09T00:00:00"/>
    <s v="THANH THÚY"/>
    <s v="QT01"/>
    <x v="74"/>
    <x v="141"/>
    <s v="MANISSA"/>
    <m/>
    <s v="18.20"/>
    <n v="150"/>
    <s v="NL2018"/>
    <m/>
    <n v="67"/>
    <n v="10050"/>
    <x v="95"/>
    <n v="91455000"/>
    <x v="0"/>
    <d v="2019-04-29T00:00:00"/>
    <d v="2019-06-02T00:00:00"/>
    <d v="2019-06-02T00:00:00"/>
    <s v="29/4AL"/>
    <m/>
    <m/>
    <m/>
    <d v="2019-06-10T00:00:00"/>
    <n v="10050"/>
    <m/>
    <m/>
    <m/>
    <m/>
    <m/>
    <m/>
    <n v="10050"/>
    <n v="0"/>
    <n v="0"/>
  </r>
  <r>
    <s v="35A/2019"/>
    <d v="2019-06-04T00:00:00"/>
    <s v="THANH THÚY"/>
    <s v="QT01"/>
    <x v="74"/>
    <x v="28"/>
    <s v="YELLOWEEN"/>
    <m/>
    <s v="14.16"/>
    <n v="300"/>
    <s v="NL2018"/>
    <m/>
    <n v="22"/>
    <n v="6600"/>
    <x v="56"/>
    <n v="25740000"/>
    <x v="4"/>
    <d v="2019-04-17T00:00:00"/>
    <d v="2019-05-21T00:00:00"/>
    <d v="2019-05-21T00:00:00"/>
    <m/>
    <m/>
    <m/>
    <m/>
    <m/>
    <m/>
    <m/>
    <m/>
    <m/>
    <m/>
    <m/>
    <m/>
    <n v="0"/>
    <n v="6600"/>
    <n v="25740000"/>
  </r>
  <r>
    <s v="35A/2019"/>
    <d v="2019-06-04T00:00:00"/>
    <s v="THANH THÚY"/>
    <s v="QT01"/>
    <x v="74"/>
    <x v="28"/>
    <s v="YELLOWEEN"/>
    <m/>
    <s v="14.16"/>
    <n v="300"/>
    <s v="NL2018"/>
    <m/>
    <n v="12"/>
    <n v="3600"/>
    <x v="56"/>
    <n v="14040000"/>
    <x v="4"/>
    <d v="2019-04-29T00:00:00"/>
    <d v="2019-06-02T00:00:00"/>
    <d v="2019-06-02T00:00:00"/>
    <m/>
    <m/>
    <m/>
    <m/>
    <m/>
    <m/>
    <m/>
    <m/>
    <m/>
    <m/>
    <m/>
    <m/>
    <n v="0"/>
    <n v="3600"/>
    <n v="14040000"/>
  </r>
  <r>
    <s v="35A/2019"/>
    <d v="2019-02-09T00:00:00"/>
    <s v="THANH THÚY"/>
    <s v="QT01"/>
    <x v="74"/>
    <x v="141"/>
    <s v="MANISSA"/>
    <m/>
    <s v="18.20"/>
    <n v="150"/>
    <s v="NL2018"/>
    <m/>
    <n v="267"/>
    <n v="40050"/>
    <x v="127"/>
    <n v="360450000"/>
    <x v="2"/>
    <d v="2019-07-08T00:00:00"/>
    <d v="2019-08-08T00:00:00"/>
    <d v="2019-08-08T00:00:00"/>
    <s v="chưa tính phí lạnh"/>
    <m/>
    <m/>
    <m/>
    <m/>
    <m/>
    <m/>
    <m/>
    <m/>
    <m/>
    <m/>
    <m/>
    <n v="0"/>
    <n v="40050"/>
    <n v="360450000"/>
  </r>
  <r>
    <s v="35A/2019"/>
    <d v="2019-02-09T00:00:00"/>
    <s v="THANH THÚY"/>
    <s v="QT01"/>
    <x v="74"/>
    <x v="47"/>
    <s v="ROBINA"/>
    <m/>
    <s v="18.20"/>
    <n v="150"/>
    <s v="NL2018"/>
    <m/>
    <n v="0"/>
    <n v="0"/>
    <x v="128"/>
    <n v="0"/>
    <x v="1"/>
    <d v="2019-05-02T00:00:00"/>
    <d v="2019-06-04T00:00:00"/>
    <d v="2019-06-04T00:00:00"/>
    <s v="02/5AL"/>
    <m/>
    <m/>
    <m/>
    <m/>
    <n v="0"/>
    <m/>
    <m/>
    <m/>
    <m/>
    <m/>
    <m/>
    <n v="0"/>
    <n v="0"/>
    <n v="0"/>
  </r>
  <r>
    <s v="35A/2019"/>
    <d v="2019-02-09T00:00:00"/>
    <s v="THANH THÚY"/>
    <s v="QT01"/>
    <x v="74"/>
    <x v="47"/>
    <s v="ROBINA"/>
    <m/>
    <s v="18.20"/>
    <n v="150"/>
    <s v="NL2018"/>
    <m/>
    <n v="67"/>
    <n v="10050"/>
    <x v="129"/>
    <n v="67716900"/>
    <x v="3"/>
    <d v="2019-06-15T00:00:00"/>
    <d v="2019-07-17T00:00:00"/>
    <d v="2019-07-17T00:00:00"/>
    <s v="02/6AL"/>
    <m/>
    <m/>
    <m/>
    <m/>
    <n v="0"/>
    <m/>
    <m/>
    <m/>
    <m/>
    <m/>
    <m/>
    <n v="0"/>
    <n v="10050"/>
    <n v="67716900"/>
  </r>
  <r>
    <s v="35A/2019"/>
    <d v="2019-02-09T00:00:00"/>
    <s v="THANH THÚY"/>
    <s v="QT01"/>
    <x v="74"/>
    <x v="47"/>
    <s v="ROBINA"/>
    <m/>
    <s v="18.20"/>
    <n v="150"/>
    <s v="NL2018"/>
    <m/>
    <n v="134"/>
    <n v="20100"/>
    <x v="130"/>
    <n v="137845800"/>
    <x v="2"/>
    <d v="2019-07-02T00:00:00"/>
    <d v="2019-08-02T00:00:00"/>
    <d v="2019-08-02T00:00:00"/>
    <s v="02/7AL"/>
    <m/>
    <m/>
    <m/>
    <m/>
    <n v="0"/>
    <m/>
    <m/>
    <m/>
    <m/>
    <m/>
    <m/>
    <n v="0"/>
    <n v="20100"/>
    <n v="137845800"/>
  </r>
  <r>
    <s v="35A/2019"/>
    <d v="2019-02-09T00:00:00"/>
    <s v="THANH THÚY"/>
    <s v="QT01"/>
    <x v="74"/>
    <x v="31"/>
    <s v="TARRANGO VWS"/>
    <m/>
    <s v="14.16"/>
    <n v="300"/>
    <s v="NL2018"/>
    <s v="VWS"/>
    <n v="34"/>
    <n v="10200"/>
    <x v="21"/>
    <n v="46920000"/>
    <x v="3"/>
    <d v="2019-06-15T00:00:00"/>
    <d v="2019-07-17T00:00:00"/>
    <d v="2019-07-17T00:00:00"/>
    <m/>
    <m/>
    <m/>
    <m/>
    <m/>
    <m/>
    <m/>
    <m/>
    <m/>
    <m/>
    <m/>
    <m/>
    <n v="0"/>
    <n v="10200"/>
    <n v="46920000"/>
  </r>
  <r>
    <s v="35A/2019"/>
    <d v="2019-06-14T00:00:00"/>
    <s v="THANH THÚY"/>
    <s v="QT01"/>
    <x v="74"/>
    <x v="11"/>
    <s v="YELLOWEEN"/>
    <m/>
    <s v="12.14"/>
    <n v="400"/>
    <s v="NL2018"/>
    <m/>
    <n v="50"/>
    <n v="20000"/>
    <x v="14"/>
    <n v="58000000"/>
    <x v="3"/>
    <d v="2019-06-15T00:00:00"/>
    <d v="2019-07-17T00:00:00"/>
    <d v="2019-07-17T00:00:00"/>
    <m/>
    <m/>
    <m/>
    <m/>
    <m/>
    <m/>
    <m/>
    <m/>
    <m/>
    <m/>
    <m/>
    <m/>
    <n v="0"/>
    <n v="20000"/>
    <n v="58000000"/>
  </r>
  <r>
    <s v="35A/2019"/>
    <d v="2019-02-09T00:00:00"/>
    <s v="THANH THÚY"/>
    <s v="QT01"/>
    <x v="74"/>
    <x v="31"/>
    <s v="TARRANGO VWS"/>
    <m/>
    <s v="14.16"/>
    <n v="300"/>
    <s v="NL2018"/>
    <s v="VWS"/>
    <n v="100"/>
    <n v="30000"/>
    <x v="21"/>
    <n v="138000000"/>
    <x v="2"/>
    <m/>
    <s v=""/>
    <s v=""/>
    <m/>
    <m/>
    <m/>
    <m/>
    <m/>
    <m/>
    <m/>
    <m/>
    <m/>
    <m/>
    <m/>
    <m/>
    <n v="0"/>
    <n v="30000"/>
    <n v="138000000"/>
  </r>
  <r>
    <s v="141A/2019"/>
    <d v="2019-02-09T00:00:00"/>
    <s v="THANH THÚY"/>
    <s v="QT01"/>
    <x v="74"/>
    <x v="35"/>
    <s v="BACARDI"/>
    <m/>
    <s v="20.22"/>
    <n v="125"/>
    <s v="NL2018"/>
    <m/>
    <n v="80"/>
    <n v="10000"/>
    <x v="8"/>
    <n v="108000000"/>
    <x v="2"/>
    <d v="2019-09-01T00:00:00"/>
    <d v="2019-09-29T00:00:00"/>
    <d v="2019-09-29T00:00:00"/>
    <s v="TẾT"/>
    <m/>
    <m/>
    <m/>
    <m/>
    <n v="0"/>
    <m/>
    <m/>
    <m/>
    <m/>
    <m/>
    <m/>
    <n v="0"/>
    <n v="10000"/>
    <n v="108000000"/>
  </r>
  <r>
    <s v="141A/2019"/>
    <d v="2019-02-09T00:00:00"/>
    <s v="THANH THÚY"/>
    <s v="QT01"/>
    <x v="74"/>
    <x v="6"/>
    <s v="CONCADOR"/>
    <m/>
    <s v="20.22"/>
    <n v="125"/>
    <s v="NL2018"/>
    <m/>
    <n v="80"/>
    <n v="10000"/>
    <x v="59"/>
    <n v="105000000"/>
    <x v="2"/>
    <d v="2019-09-01T00:00:00"/>
    <d v="2019-09-29T00:00:00"/>
    <d v="2019-09-29T00:00:00"/>
    <s v="TẾT"/>
    <m/>
    <m/>
    <m/>
    <m/>
    <n v="0"/>
    <m/>
    <m/>
    <m/>
    <m/>
    <m/>
    <m/>
    <n v="0"/>
    <n v="10000"/>
    <n v="105000000"/>
  </r>
  <r>
    <s v="141A/2019"/>
    <d v="2019-02-09T00:00:00"/>
    <s v="THANH THÚY"/>
    <s v="QT01"/>
    <x v="74"/>
    <x v="142"/>
    <s v="LARGO"/>
    <m/>
    <s v="20.22"/>
    <n v="125"/>
    <s v="NL2018"/>
    <m/>
    <n v="62"/>
    <n v="7750"/>
    <x v="7"/>
    <n v="82150000"/>
    <x v="2"/>
    <d v="2019-09-01T00:00:00"/>
    <d v="2019-09-29T00:00:00"/>
    <d v="2019-09-29T00:00:00"/>
    <s v="TẾT"/>
    <m/>
    <m/>
    <m/>
    <m/>
    <n v="0"/>
    <m/>
    <m/>
    <m/>
    <m/>
    <m/>
    <m/>
    <n v="0"/>
    <n v="7750"/>
    <n v="82150000"/>
  </r>
  <r>
    <s v="141A/2019"/>
    <d v="2019-02-09T00:00:00"/>
    <s v="THANH THÚY"/>
    <s v="QT01"/>
    <x v="74"/>
    <x v="104"/>
    <s v="LARGO"/>
    <m/>
    <s v="22.24"/>
    <n v="100"/>
    <s v="NL2018"/>
    <m/>
    <n v="23"/>
    <n v="2300"/>
    <x v="106"/>
    <n v="27370000"/>
    <x v="2"/>
    <d v="2019-09-01T00:00:00"/>
    <d v="2019-09-29T00:00:00"/>
    <d v="2019-09-29T00:00:00"/>
    <s v="TẾT"/>
    <m/>
    <m/>
    <m/>
    <m/>
    <n v="0"/>
    <m/>
    <m/>
    <m/>
    <m/>
    <m/>
    <m/>
    <n v="0"/>
    <n v="2300"/>
    <n v="27370000"/>
  </r>
  <r>
    <s v="141A/2019"/>
    <d v="2019-02-09T00:00:00"/>
    <s v="THANH THÚY"/>
    <s v="QT01"/>
    <x v="74"/>
    <x v="105"/>
    <s v="LODI"/>
    <m/>
    <s v="18.20"/>
    <n v="150"/>
    <s v="NL2018"/>
    <m/>
    <n v="67"/>
    <n v="10050"/>
    <x v="89"/>
    <n v="92460000"/>
    <x v="2"/>
    <d v="2019-09-01T00:00:00"/>
    <d v="2019-09-29T00:00:00"/>
    <d v="2019-09-29T00:00:00"/>
    <s v="TẾT"/>
    <m/>
    <m/>
    <m/>
    <m/>
    <n v="0"/>
    <m/>
    <m/>
    <m/>
    <m/>
    <m/>
    <m/>
    <n v="0"/>
    <n v="10050"/>
    <n v="92460000"/>
  </r>
  <r>
    <s v="141A/2019"/>
    <d v="2019-02-09T00:00:00"/>
    <s v="THANH THÚY"/>
    <s v="QT01"/>
    <x v="74"/>
    <x v="141"/>
    <s v="MANISSA"/>
    <m/>
    <s v="18.20"/>
    <n v="150"/>
    <s v="NL2018"/>
    <m/>
    <n v="67"/>
    <n v="10050"/>
    <x v="131"/>
    <n v="97485000"/>
    <x v="2"/>
    <d v="2019-09-01T00:00:00"/>
    <d v="2019-09-29T00:00:00"/>
    <d v="2019-09-29T00:00:00"/>
    <s v="TẾT"/>
    <m/>
    <m/>
    <m/>
    <m/>
    <n v="0"/>
    <m/>
    <m/>
    <m/>
    <m/>
    <m/>
    <m/>
    <n v="0"/>
    <n v="10050"/>
    <n v="97485000"/>
  </r>
  <r>
    <s v="141A/2019"/>
    <d v="2019-02-09T00:00:00"/>
    <s v="THANH THÚY"/>
    <s v="QT01"/>
    <x v="74"/>
    <x v="9"/>
    <s v="MANISSA"/>
    <m/>
    <s v="22.24"/>
    <n v="100"/>
    <s v="NL2018"/>
    <m/>
    <n v="100"/>
    <n v="10000"/>
    <x v="38"/>
    <n v="152000000"/>
    <x v="2"/>
    <d v="2019-09-01T00:00:00"/>
    <d v="2019-09-29T00:00:00"/>
    <d v="2019-09-29T00:00:00"/>
    <s v="TẾT"/>
    <m/>
    <m/>
    <m/>
    <m/>
    <n v="0"/>
    <m/>
    <m/>
    <m/>
    <m/>
    <m/>
    <m/>
    <n v="0"/>
    <n v="10000"/>
    <n v="152000000"/>
  </r>
  <r>
    <s v="141A/2019"/>
    <d v="2019-02-09T00:00:00"/>
    <s v="THANH THÚY"/>
    <s v="QT01"/>
    <x v="74"/>
    <x v="143"/>
    <s v="NELLO "/>
    <m/>
    <s v="18.20"/>
    <n v="150"/>
    <s v="NL2018"/>
    <m/>
    <n v="67"/>
    <n v="10050"/>
    <x v="34"/>
    <n v="71355000"/>
    <x v="2"/>
    <d v="2019-09-01T00:00:00"/>
    <d v="2019-09-29T00:00:00"/>
    <d v="2019-09-29T00:00:00"/>
    <s v="TẾT"/>
    <m/>
    <m/>
    <m/>
    <m/>
    <n v="0"/>
    <m/>
    <m/>
    <m/>
    <m/>
    <m/>
    <m/>
    <n v="0"/>
    <n v="10050"/>
    <n v="71355000"/>
  </r>
  <r>
    <s v="141A/2019"/>
    <d v="2019-02-09T00:00:00"/>
    <s v="THANH THÚY"/>
    <s v="QT01"/>
    <x v="74"/>
    <x v="47"/>
    <s v="ROBINA"/>
    <m/>
    <s v="18.20"/>
    <n v="150"/>
    <s v="NL2018"/>
    <m/>
    <n v="34"/>
    <n v="5100"/>
    <x v="35"/>
    <n v="36720000"/>
    <x v="2"/>
    <d v="2019-09-01T00:00:00"/>
    <d v="2019-09-29T00:00:00"/>
    <d v="2019-09-29T00:00:00"/>
    <s v="TẾT"/>
    <m/>
    <m/>
    <m/>
    <m/>
    <n v="0"/>
    <m/>
    <m/>
    <m/>
    <m/>
    <m/>
    <m/>
    <n v="0"/>
    <n v="5100"/>
    <n v="36720000"/>
  </r>
  <r>
    <s v="141A/2019"/>
    <d v="2019-02-09T00:00:00"/>
    <s v="THANH THÚY"/>
    <s v="QT01"/>
    <x v="74"/>
    <x v="16"/>
    <s v="ROBINA"/>
    <m/>
    <s v="20.22"/>
    <n v="125"/>
    <s v="NL2018"/>
    <m/>
    <n v="40"/>
    <n v="5000"/>
    <x v="59"/>
    <n v="52500000"/>
    <x v="2"/>
    <d v="2019-09-01T00:00:00"/>
    <d v="2019-09-29T00:00:00"/>
    <d v="2019-09-29T00:00:00"/>
    <s v="TẾT"/>
    <m/>
    <m/>
    <m/>
    <m/>
    <n v="0"/>
    <m/>
    <m/>
    <m/>
    <m/>
    <m/>
    <m/>
    <n v="0"/>
    <n v="5000"/>
    <n v="52500000"/>
  </r>
  <r>
    <s v="141A/2019"/>
    <d v="2019-02-09T00:00:00"/>
    <s v="THANH THÚY"/>
    <s v="QT01"/>
    <x v="74"/>
    <x v="14"/>
    <s v="TARRANGO"/>
    <m/>
    <s v="20.22"/>
    <n v="125"/>
    <s v="NL2018"/>
    <m/>
    <n v="80"/>
    <n v="10000"/>
    <x v="39"/>
    <n v="101000000"/>
    <x v="2"/>
    <d v="2019-09-01T00:00:00"/>
    <d v="2019-09-29T00:00:00"/>
    <d v="2019-09-29T00:00:00"/>
    <s v="TẾT"/>
    <m/>
    <m/>
    <m/>
    <m/>
    <n v="0"/>
    <m/>
    <m/>
    <m/>
    <m/>
    <m/>
    <m/>
    <n v="0"/>
    <n v="10000"/>
    <n v="101000000"/>
  </r>
  <r>
    <s v="141A/2019"/>
    <d v="2019-02-09T00:00:00"/>
    <s v="THANH THÚY"/>
    <s v="QT01"/>
    <x v="74"/>
    <x v="38"/>
    <s v="YELLOWEEN"/>
    <m/>
    <s v="16.18"/>
    <n v="200"/>
    <s v="NL2018"/>
    <m/>
    <n v="50"/>
    <n v="10000"/>
    <x v="46"/>
    <n v="60000000"/>
    <x v="2"/>
    <d v="2019-09-01T00:00:00"/>
    <d v="2019-09-29T00:00:00"/>
    <d v="2019-09-29T00:00:00"/>
    <s v="TẾT"/>
    <m/>
    <m/>
    <m/>
    <m/>
    <n v="0"/>
    <m/>
    <m/>
    <m/>
    <m/>
    <m/>
    <m/>
    <n v="0"/>
    <n v="10000"/>
    <n v="60000000"/>
  </r>
  <r>
    <s v="141A/2019"/>
    <d v="2019-06-14T00:00:00"/>
    <s v="THANH THÚY"/>
    <s v="QT01"/>
    <x v="74"/>
    <x v="70"/>
    <s v="INDIANA"/>
    <m/>
    <s v="18.20"/>
    <n v="150"/>
    <s v="NL2018"/>
    <m/>
    <n v="67"/>
    <n v="10050"/>
    <x v="71"/>
    <n v="100500000"/>
    <x v="2"/>
    <d v="2019-09-01T00:00:00"/>
    <d v="2019-09-29T00:00:00"/>
    <d v="2019-09-29T00:00:00"/>
    <s v="TẾT"/>
    <m/>
    <m/>
    <m/>
    <m/>
    <m/>
    <m/>
    <m/>
    <m/>
    <m/>
    <m/>
    <m/>
    <n v="0"/>
    <n v="10050"/>
    <n v="100500000"/>
  </r>
  <r>
    <s v="141A/2019"/>
    <d v="2019-06-14T00:00:00"/>
    <s v="THANH THÚY"/>
    <s v="QT01"/>
    <x v="74"/>
    <x v="144"/>
    <s v="INDIANA"/>
    <m/>
    <s v="16.18"/>
    <n v="200"/>
    <s v="NL2018"/>
    <m/>
    <n v="50"/>
    <n v="10000"/>
    <x v="45"/>
    <n v="67000000"/>
    <x v="2"/>
    <d v="2019-06-25T00:00:00"/>
    <d v="2019-07-27T00:00:00"/>
    <d v="2019-07-27T00:00:00"/>
    <m/>
    <m/>
    <m/>
    <m/>
    <m/>
    <m/>
    <m/>
    <m/>
    <m/>
    <m/>
    <m/>
    <m/>
    <n v="0"/>
    <n v="10000"/>
    <n v="67000000"/>
  </r>
  <r>
    <s v="141A/2019"/>
    <d v="2019-06-14T00:00:00"/>
    <s v="THANH THÚY"/>
    <s v="QT01"/>
    <x v="74"/>
    <x v="144"/>
    <s v="INDIANA"/>
    <m/>
    <s v="16.18"/>
    <n v="200"/>
    <s v="NL2018"/>
    <m/>
    <n v="50"/>
    <n v="10000"/>
    <x v="32"/>
    <n v="68000000"/>
    <x v="2"/>
    <d v="2019-07-15T00:00:00"/>
    <d v="2019-08-15T00:00:00"/>
    <d v="2019-08-15T00:00:00"/>
    <m/>
    <m/>
    <m/>
    <m/>
    <m/>
    <m/>
    <m/>
    <m/>
    <m/>
    <m/>
    <m/>
    <m/>
    <n v="0"/>
    <n v="10000"/>
    <n v="68000000"/>
  </r>
  <r>
    <s v="141A/2019"/>
    <d v="2019-06-14T00:00:00"/>
    <s v="THANH THÚY"/>
    <s v="QT01"/>
    <x v="74"/>
    <x v="144"/>
    <s v="INDIANA"/>
    <m/>
    <s v="16.18"/>
    <n v="200"/>
    <s v="NL2018"/>
    <m/>
    <n v="50"/>
    <n v="10000"/>
    <x v="31"/>
    <n v="69000000"/>
    <x v="2"/>
    <d v="2019-08-15T00:00:00"/>
    <d v="2019-09-13T00:00:00"/>
    <d v="2019-09-13T00:00:00"/>
    <m/>
    <m/>
    <m/>
    <m/>
    <m/>
    <m/>
    <m/>
    <m/>
    <m/>
    <m/>
    <m/>
    <m/>
    <n v="0"/>
    <n v="10000"/>
    <n v="69000000"/>
  </r>
  <r>
    <s v="35A/2019"/>
    <d v="2019-02-09T00:00:00"/>
    <s v="THANH THÚY"/>
    <s v="QT01"/>
    <x v="74"/>
    <x v="28"/>
    <s v="YELLOWEEN"/>
    <m/>
    <s v="14.16"/>
    <n v="300"/>
    <s v="NL2018"/>
    <m/>
    <n v="267"/>
    <n v="80100"/>
    <x v="6"/>
    <n v="304380000"/>
    <x v="2"/>
    <m/>
    <s v=""/>
    <s v=""/>
    <m/>
    <m/>
    <m/>
    <m/>
    <m/>
    <n v="0"/>
    <m/>
    <m/>
    <m/>
    <m/>
    <m/>
    <m/>
    <n v="0"/>
    <n v="80100"/>
    <n v="304380000"/>
  </r>
  <r>
    <s v="35A/2019"/>
    <d v="2019-02-09T00:00:00"/>
    <s v="THANH THÚY"/>
    <s v="QT01"/>
    <x v="74"/>
    <x v="140"/>
    <s v="LODI"/>
    <m/>
    <s v="16.18"/>
    <n v="200"/>
    <s v="NL2018"/>
    <m/>
    <n v="50"/>
    <n v="10000"/>
    <x v="33"/>
    <n v="70000000"/>
    <x v="3"/>
    <d v="2019-06-15T00:00:00"/>
    <d v="2019-07-17T00:00:00"/>
    <d v="2019-07-17T00:00:00"/>
    <m/>
    <m/>
    <m/>
    <m/>
    <m/>
    <n v="0"/>
    <m/>
    <m/>
    <m/>
    <m/>
    <m/>
    <m/>
    <n v="0"/>
    <n v="10000"/>
    <n v="70000000"/>
  </r>
  <r>
    <s v="35A/2019"/>
    <d v="2019-02-09T00:00:00"/>
    <s v="THANH THÚY"/>
    <s v="QT01"/>
    <x v="74"/>
    <x v="140"/>
    <s v="LODI"/>
    <m/>
    <s v="16.18"/>
    <n v="200"/>
    <s v="NL2018"/>
    <m/>
    <n v="100"/>
    <n v="20000"/>
    <x v="33"/>
    <n v="140000000"/>
    <x v="2"/>
    <m/>
    <s v=""/>
    <s v=""/>
    <m/>
    <m/>
    <m/>
    <m/>
    <m/>
    <m/>
    <m/>
    <m/>
    <m/>
    <m/>
    <m/>
    <m/>
    <n v="0"/>
    <n v="20000"/>
    <n v="140000000"/>
  </r>
  <r>
    <s v="141A/2019"/>
    <d v="2019-02-09T00:00:00"/>
    <s v="THANH THÚY"/>
    <s v="QT01"/>
    <x v="74"/>
    <x v="64"/>
    <s v="TARRANGO"/>
    <m/>
    <s v="18.20"/>
    <n v="150"/>
    <s v="NL2018"/>
    <m/>
    <n v="67"/>
    <n v="10050"/>
    <x v="95"/>
    <n v="91455000"/>
    <x v="2"/>
    <d v="2019-09-01T00:00:00"/>
    <d v="2019-09-29T00:00:00"/>
    <d v="2019-09-29T00:00:00"/>
    <s v="TẾT"/>
    <m/>
    <m/>
    <m/>
    <m/>
    <n v="0"/>
    <m/>
    <m/>
    <m/>
    <m/>
    <m/>
    <m/>
    <n v="0"/>
    <n v="10050"/>
    <n v="91455000"/>
  </r>
  <r>
    <s v="75A/2019"/>
    <d v="2019-02-25T00:00:00"/>
    <s v="KIỀU THY"/>
    <s v="PA01"/>
    <x v="75"/>
    <x v="61"/>
    <s v="BACARDI"/>
    <m/>
    <s v="15.16"/>
    <n v="250"/>
    <s v="NL2018"/>
    <m/>
    <n v="0"/>
    <n v="0"/>
    <x v="132"/>
    <n v="0"/>
    <x v="1"/>
    <d v="2019-03-15T00:00:00"/>
    <d v="2019-04-19T00:00:00"/>
    <d v="2019-04-19T00:00:00"/>
    <m/>
    <s v="CONT 22/2019"/>
    <d v="2019-04-14T00:00:00"/>
    <m/>
    <m/>
    <n v="0"/>
    <m/>
    <m/>
    <m/>
    <m/>
    <m/>
    <m/>
    <n v="0"/>
    <n v="0"/>
    <n v="0"/>
  </r>
  <r>
    <s v="75A/2019"/>
    <d v="2019-02-25T00:00:00"/>
    <s v="KIỀU THY"/>
    <s v="PA01"/>
    <x v="75"/>
    <x v="11"/>
    <s v="YELLOWEEN"/>
    <m/>
    <s v="12.14"/>
    <n v="400"/>
    <s v="NL2018"/>
    <m/>
    <n v="0"/>
    <n v="0"/>
    <x v="12"/>
    <n v="0"/>
    <x v="1"/>
    <s v="29-Feb-19"/>
    <d v="2019-04-03T00:00:00"/>
    <d v="2019-04-03T00:00:00"/>
    <s v="6.000 củ / 5 ngày"/>
    <s v="CONT 18/2019"/>
    <d v="2019-03-31T00:00:00"/>
    <m/>
    <m/>
    <n v="0"/>
    <m/>
    <m/>
    <m/>
    <m/>
    <m/>
    <m/>
    <n v="0"/>
    <n v="0"/>
    <n v="0"/>
  </r>
  <r>
    <s v="75A/2019"/>
    <d v="2019-02-25T00:00:00"/>
    <s v="KIỀU THY"/>
    <s v="PA01"/>
    <x v="75"/>
    <x v="11"/>
    <s v="YELLOWEEN"/>
    <m/>
    <s v="12.14"/>
    <n v="400"/>
    <s v="NL2018"/>
    <m/>
    <n v="0"/>
    <n v="0"/>
    <x v="12"/>
    <n v="0"/>
    <x v="1"/>
    <s v="29-Feb-19"/>
    <d v="2019-04-03T00:00:00"/>
    <d v="2019-04-03T00:00:00"/>
    <s v="6.000 củ / 5 ngày"/>
    <s v="CONT 18/2019"/>
    <d v="2019-03-31T00:00:00"/>
    <m/>
    <m/>
    <n v="0"/>
    <m/>
    <m/>
    <m/>
    <m/>
    <m/>
    <m/>
    <n v="0"/>
    <n v="0"/>
    <n v="0"/>
  </r>
  <r>
    <s v="75A/2019"/>
    <d v="2019-02-25T00:00:00"/>
    <s v="KIỀU THY"/>
    <s v="PA01"/>
    <x v="75"/>
    <x v="11"/>
    <s v="YELLOWEEN"/>
    <m/>
    <s v="12.14"/>
    <n v="400"/>
    <s v="NL2018"/>
    <m/>
    <n v="0"/>
    <n v="0"/>
    <x v="12"/>
    <n v="0"/>
    <x v="1"/>
    <d v="2019-03-15T00:00:00"/>
    <d v="2019-04-19T00:00:00"/>
    <d v="2019-04-19T00:00:00"/>
    <s v="6.000 củ / 5 ngày"/>
    <s v="CONT 26/2019"/>
    <d v="2019-04-14T00:00:00"/>
    <m/>
    <m/>
    <n v="0"/>
    <m/>
    <m/>
    <m/>
    <m/>
    <m/>
    <m/>
    <n v="0"/>
    <n v="0"/>
    <n v="0"/>
  </r>
  <r>
    <s v="31A/2019"/>
    <d v="2019-02-13T00:00:00"/>
    <s v="KIỀU THY"/>
    <s v="NP01"/>
    <x v="76"/>
    <x v="22"/>
    <s v="ROBINA"/>
    <m/>
    <s v="16.18"/>
    <n v="200"/>
    <s v="NL2018"/>
    <m/>
    <n v="50"/>
    <n v="10000"/>
    <x v="11"/>
    <n v="54000000"/>
    <x v="0"/>
    <d v="2019-03-15T00:00:00"/>
    <d v="2019-04-19T00:00:00"/>
    <d v="2019-04-19T00:00:00"/>
    <s v="15/3AL"/>
    <s v="CONT 26/2019"/>
    <d v="2019-04-14T00:00:00"/>
    <m/>
    <d v="2019-05-20T00:00:00"/>
    <n v="1000"/>
    <d v="2019-06-05T00:00:00"/>
    <n v="9000"/>
    <m/>
    <m/>
    <m/>
    <m/>
    <n v="10000"/>
    <n v="0"/>
    <n v="0"/>
  </r>
  <r>
    <s v="31A/2019"/>
    <d v="2019-05-02T00:00:00"/>
    <s v="KIỀU THY"/>
    <s v="NP01"/>
    <x v="76"/>
    <x v="57"/>
    <s v="DALIAN"/>
    <m/>
    <s v="14.16"/>
    <n v="300"/>
    <s v="NL2018"/>
    <m/>
    <n v="28"/>
    <n v="8400"/>
    <x v="11"/>
    <n v="45360000"/>
    <x v="0"/>
    <d v="2019-03-30T00:00:00"/>
    <d v="2019-05-04T00:00:00"/>
    <d v="2019-05-04T00:00:00"/>
    <m/>
    <m/>
    <m/>
    <m/>
    <d v="2019-05-18T00:00:00"/>
    <n v="3000"/>
    <d v="2019-06-05T00:00:00"/>
    <n v="5400"/>
    <m/>
    <m/>
    <m/>
    <m/>
    <n v="8400"/>
    <n v="0"/>
    <n v="0"/>
  </r>
  <r>
    <s v="31A/2019"/>
    <d v="2019-06-03T00:00:00"/>
    <s v="KIỀU THY"/>
    <s v="NP01"/>
    <x v="76"/>
    <x v="57"/>
    <s v="DALIAN"/>
    <m/>
    <s v="14.16"/>
    <n v="300"/>
    <s v="NL2018"/>
    <m/>
    <n v="21"/>
    <n v="6300"/>
    <x v="11"/>
    <n v="34020000"/>
    <x v="0"/>
    <d v="2019-04-17T00:00:00"/>
    <d v="2019-05-21T00:00:00"/>
    <d v="2019-05-21T00:00:00"/>
    <m/>
    <m/>
    <m/>
    <m/>
    <d v="2019-06-05T00:00:00"/>
    <n v="5100"/>
    <d v="2019-06-08T00:00:00"/>
    <n v="1200"/>
    <m/>
    <m/>
    <m/>
    <m/>
    <n v="6300"/>
    <n v="0"/>
    <n v="0"/>
  </r>
  <r>
    <s v="31A/2019"/>
    <d v="2019-05-07T00:00:00"/>
    <s v="KIỀU THY"/>
    <s v="NP01"/>
    <x v="76"/>
    <x v="22"/>
    <s v="ROBINA"/>
    <m/>
    <s v="16.18"/>
    <n v="200"/>
    <s v="NL2018"/>
    <m/>
    <n v="141"/>
    <n v="28200"/>
    <x v="11"/>
    <n v="152280000"/>
    <x v="0"/>
    <d v="2019-04-17T00:00:00"/>
    <d v="2019-05-21T00:00:00"/>
    <d v="2019-05-21T00:00:00"/>
    <m/>
    <m/>
    <m/>
    <m/>
    <d v="2019-05-18T00:00:00"/>
    <n v="20000"/>
    <d v="2019-06-05T00:00:00"/>
    <n v="8200"/>
    <m/>
    <m/>
    <m/>
    <m/>
    <n v="28200"/>
    <n v="0"/>
    <n v="0"/>
  </r>
  <r>
    <s v="31A/2019"/>
    <d v="2019-05-15T00:00:00"/>
    <s v="KIỀU THY"/>
    <s v="NP01"/>
    <x v="76"/>
    <x v="50"/>
    <s v="PROFUNDO"/>
    <m/>
    <s v="14.16"/>
    <n v="275"/>
    <s v="NL2018"/>
    <m/>
    <n v="20"/>
    <n v="5500"/>
    <x v="18"/>
    <n v="27500000"/>
    <x v="4"/>
    <d v="2019-04-17T00:00:00"/>
    <d v="2019-05-21T00:00:00"/>
    <d v="2019-05-21T00:00:00"/>
    <m/>
    <m/>
    <m/>
    <m/>
    <d v="2019-06-11T00:00:00"/>
    <n v="2475"/>
    <d v="2019-06-12T00:00:00"/>
    <n v="550"/>
    <d v="2019-06-13T00:00:00"/>
    <n v="275"/>
    <m/>
    <m/>
    <n v="3300"/>
    <n v="2200"/>
    <n v="11000000"/>
  </r>
  <r>
    <s v="31A/2019"/>
    <d v="2019-05-25T00:00:00"/>
    <s v="KIỀU THY"/>
    <s v="NP01"/>
    <x v="76"/>
    <x v="24"/>
    <s v="SERANO"/>
    <m/>
    <s v="14.16"/>
    <n v="300"/>
    <s v="NL2018"/>
    <m/>
    <n v="29"/>
    <n v="8700"/>
    <x v="25"/>
    <n v="31320000"/>
    <x v="0"/>
    <d v="2019-04-17T00:00:00"/>
    <d v="2019-05-21T00:00:00"/>
    <d v="2019-05-21T00:00:00"/>
    <m/>
    <m/>
    <m/>
    <m/>
    <d v="2019-06-11T00:00:00"/>
    <n v="8700"/>
    <m/>
    <m/>
    <m/>
    <m/>
    <m/>
    <m/>
    <n v="8700"/>
    <n v="0"/>
    <n v="0"/>
  </r>
  <r>
    <s v="31A/2019"/>
    <d v="2019-06-01T00:00:00"/>
    <s v="KIỀU THY"/>
    <s v="NP01"/>
    <x v="76"/>
    <x v="24"/>
    <s v="SERANO"/>
    <m/>
    <s v="14.16"/>
    <n v="300"/>
    <s v="NL2018"/>
    <m/>
    <n v="27"/>
    <n v="8100"/>
    <x v="117"/>
    <n v="29970000"/>
    <x v="4"/>
    <d v="2019-05-12T00:00:00"/>
    <d v="2019-06-14T00:00:00"/>
    <d v="2019-06-14T00:00:00"/>
    <s v="12/5 AL"/>
    <m/>
    <m/>
    <m/>
    <d v="2019-06-11T00:00:00"/>
    <n v="3000"/>
    <m/>
    <m/>
    <m/>
    <m/>
    <m/>
    <m/>
    <n v="3000"/>
    <n v="5100"/>
    <n v="18870000"/>
  </r>
  <r>
    <s v="31A/2019"/>
    <d v="2019-05-07T00:00:00"/>
    <s v="KIỀU THY"/>
    <s v="NP01"/>
    <x v="76"/>
    <x v="22"/>
    <s v="ROBINA"/>
    <m/>
    <s v="16.18"/>
    <n v="200"/>
    <s v="NL2018"/>
    <m/>
    <n v="0"/>
    <n v="0"/>
    <x v="44"/>
    <n v="0"/>
    <x v="1"/>
    <d v="2019-04-29T00:00:00"/>
    <d v="2019-06-02T00:00:00"/>
    <d v="2019-06-02T00:00:00"/>
    <m/>
    <m/>
    <m/>
    <m/>
    <m/>
    <m/>
    <m/>
    <m/>
    <m/>
    <m/>
    <m/>
    <m/>
    <n v="0"/>
    <n v="0"/>
    <n v="0"/>
  </r>
  <r>
    <s v="31A/2019"/>
    <d v="2019-05-08T00:00:00"/>
    <s v="KIỀU THY"/>
    <s v="NP01"/>
    <x v="76"/>
    <x v="48"/>
    <s v="SERANO"/>
    <m/>
    <s v="16.18"/>
    <n v="200"/>
    <s v="NL2018"/>
    <m/>
    <n v="55"/>
    <n v="11000"/>
    <x v="82"/>
    <n v="57200000"/>
    <x v="4"/>
    <d v="2019-04-29T00:00:00"/>
    <d v="2019-06-02T00:00:00"/>
    <d v="2019-06-02T00:00:00"/>
    <m/>
    <m/>
    <m/>
    <m/>
    <m/>
    <m/>
    <m/>
    <m/>
    <m/>
    <m/>
    <m/>
    <m/>
    <n v="0"/>
    <n v="11000"/>
    <n v="57200000"/>
  </r>
  <r>
    <s v="31A/2019"/>
    <d v="2019-02-13T00:00:00"/>
    <s v="KIỀU THY"/>
    <s v="NP01"/>
    <x v="76"/>
    <x v="57"/>
    <s v="DALIAN"/>
    <m/>
    <s v="14.16"/>
    <n v="300"/>
    <s v="NL2018"/>
    <m/>
    <n v="101.66666666666667"/>
    <n v="30500"/>
    <x v="44"/>
    <n v="167750000"/>
    <x v="0"/>
    <d v="2019-02-15T00:00:00"/>
    <d v="2019-03-20T00:00:00"/>
    <d v="2019-03-20T00:00:00"/>
    <s v="15/2AL"/>
    <s v="CONT 11/2019"/>
    <d v="2019-03-17T00:00:00"/>
    <m/>
    <d v="2019-03-23T00:00:00"/>
    <n v="12000"/>
    <d v="2019-04-05T00:00:00"/>
    <n v="8100"/>
    <d v="2019-04-18T00:00:00"/>
    <n v="10400"/>
    <m/>
    <m/>
    <n v="30500"/>
    <n v="0"/>
    <n v="0"/>
  </r>
  <r>
    <s v="31A/2019"/>
    <d v="2019-02-13T00:00:00"/>
    <s v="KIỀU THY"/>
    <s v="NP01"/>
    <x v="76"/>
    <x v="145"/>
    <s v="DALIAN"/>
    <m/>
    <s v="16.18"/>
    <n v="200"/>
    <s v="NL2018"/>
    <m/>
    <n v="25"/>
    <n v="5000"/>
    <x v="45"/>
    <n v="33500000"/>
    <x v="0"/>
    <d v="2019-02-15T00:00:00"/>
    <d v="2019-03-20T00:00:00"/>
    <d v="2019-03-20T00:00:00"/>
    <s v="15/2AL"/>
    <s v="CONT 11/2019"/>
    <d v="2019-03-17T00:00:00"/>
    <m/>
    <d v="2019-04-05T00:00:00"/>
    <n v="5000"/>
    <m/>
    <m/>
    <m/>
    <m/>
    <m/>
    <m/>
    <n v="5000"/>
    <n v="0"/>
    <n v="0"/>
  </r>
  <r>
    <s v="31A/2019"/>
    <d v="2019-02-13T00:00:00"/>
    <s v="KIỀU THY"/>
    <s v="NP01"/>
    <x v="76"/>
    <x v="5"/>
    <s v="PROFUNDO"/>
    <m/>
    <s v="16.18"/>
    <n v="200"/>
    <s v="NL2018"/>
    <m/>
    <n v="56"/>
    <n v="11200"/>
    <x v="45"/>
    <n v="75040000"/>
    <x v="0"/>
    <d v="2019-02-15T00:00:00"/>
    <d v="2019-03-20T00:00:00"/>
    <d v="2019-03-20T00:00:00"/>
    <s v="15/2AL"/>
    <s v="CONT 12/2019"/>
    <d v="2019-03-17T00:00:00"/>
    <m/>
    <d v="2019-03-23T00:00:00"/>
    <n v="11200"/>
    <m/>
    <m/>
    <m/>
    <m/>
    <m/>
    <m/>
    <n v="11200"/>
    <n v="0"/>
    <n v="0"/>
  </r>
  <r>
    <s v="31A/2019"/>
    <d v="2019-02-13T00:00:00"/>
    <s v="KIỀU THY"/>
    <s v="NP01"/>
    <x v="76"/>
    <x v="22"/>
    <s v="ROBINA"/>
    <m/>
    <s v="16.18"/>
    <n v="200"/>
    <s v="NL2018"/>
    <m/>
    <n v="35"/>
    <n v="7000"/>
    <x v="23"/>
    <n v="33600000"/>
    <x v="0"/>
    <d v="2019-02-15T00:00:00"/>
    <d v="2019-03-20T00:00:00"/>
    <d v="2019-03-20T00:00:00"/>
    <s v="15/2AL"/>
    <s v="CONT 11/2019"/>
    <d v="2019-03-17T00:00:00"/>
    <m/>
    <d v="2019-03-23T00:00:00"/>
    <n v="7000"/>
    <m/>
    <m/>
    <m/>
    <m/>
    <m/>
    <m/>
    <n v="7000"/>
    <n v="0"/>
    <n v="0"/>
  </r>
  <r>
    <s v="31A/2019"/>
    <d v="2019-02-13T00:00:00"/>
    <s v="KIỀU THY"/>
    <s v="NP01"/>
    <x v="76"/>
    <x v="31"/>
    <s v="TARRANGO"/>
    <m/>
    <s v="14.16"/>
    <n v="300"/>
    <s v="NL2018"/>
    <m/>
    <n v="33"/>
    <n v="9900"/>
    <x v="21"/>
    <n v="45540000"/>
    <x v="0"/>
    <d v="2019-02-15T00:00:00"/>
    <d v="2019-03-20T00:00:00"/>
    <d v="2019-03-20T00:00:00"/>
    <s v="15/2AL"/>
    <s v="CONT 10/2019"/>
    <d v="2019-03-17T00:00:00"/>
    <m/>
    <d v="2019-03-24T00:00:00"/>
    <n v="9900"/>
    <m/>
    <m/>
    <m/>
    <m/>
    <m/>
    <m/>
    <n v="9900"/>
    <n v="0"/>
    <n v="0"/>
  </r>
  <r>
    <s v="31A/2019"/>
    <d v="2019-02-13T00:00:00"/>
    <s v="KIỀU THY"/>
    <s v="NP01"/>
    <x v="76"/>
    <x v="34"/>
    <s v="TARRANGO"/>
    <m/>
    <s v="16.18"/>
    <n v="200"/>
    <s v="NL2018"/>
    <m/>
    <n v="50"/>
    <n v="10000"/>
    <x v="44"/>
    <n v="55000000"/>
    <x v="0"/>
    <d v="2019-02-15T00:00:00"/>
    <d v="2019-03-20T00:00:00"/>
    <d v="2019-03-20T00:00:00"/>
    <s v="15/2AL"/>
    <s v="CONT 12/2019"/>
    <d v="2019-03-17T00:00:00"/>
    <m/>
    <d v="2019-03-24T00:00:00"/>
    <n v="10000"/>
    <m/>
    <m/>
    <m/>
    <m/>
    <m/>
    <m/>
    <n v="10000"/>
    <n v="0"/>
    <n v="0"/>
  </r>
  <r>
    <s v="31A/2019"/>
    <d v="2019-02-13T00:00:00"/>
    <s v="KIỀU THY"/>
    <s v="NP01"/>
    <x v="76"/>
    <x v="28"/>
    <s v="YELLOWEEN"/>
    <m/>
    <s v="14.16"/>
    <n v="300"/>
    <s v="NL2018"/>
    <m/>
    <n v="65"/>
    <n v="19500"/>
    <x v="6"/>
    <n v="74100000"/>
    <x v="0"/>
    <d v="2019-02-15T00:00:00"/>
    <d v="2019-03-20T00:00:00"/>
    <d v="2019-03-20T00:00:00"/>
    <s v="15/2AL"/>
    <s v="CONT 12/2019"/>
    <d v="2019-03-17T00:00:00"/>
    <m/>
    <d v="2019-03-23T00:00:00"/>
    <n v="10200"/>
    <d v="2019-04-18T00:00:00"/>
    <n v="9300"/>
    <m/>
    <m/>
    <m/>
    <m/>
    <n v="19500"/>
    <n v="0"/>
    <n v="0"/>
  </r>
  <r>
    <s v="31A/2019"/>
    <d v="2019-02-13T00:00:00"/>
    <s v="KIỀU THY"/>
    <s v="NP01"/>
    <x v="76"/>
    <x v="15"/>
    <s v="CONCADOR"/>
    <m/>
    <s v="16.18"/>
    <n v="200"/>
    <s v="NL2018"/>
    <m/>
    <n v="50"/>
    <n v="10000"/>
    <x v="18"/>
    <n v="50000000"/>
    <x v="0"/>
    <d v="2019-03-15T00:00:00"/>
    <d v="2019-04-19T00:00:00"/>
    <d v="2019-04-19T00:00:00"/>
    <s v="15/3AL"/>
    <s v="CONT 21/2019"/>
    <d v="2019-04-14T00:00:00"/>
    <m/>
    <d v="2019-05-03T00:00:00"/>
    <n v="10000"/>
    <m/>
    <m/>
    <m/>
    <m/>
    <m/>
    <m/>
    <n v="10000"/>
    <n v="0"/>
    <n v="0"/>
  </r>
  <r>
    <s v="31A/2019"/>
    <d v="2019-05-08T00:00:00"/>
    <s v="KIỀU THY"/>
    <s v="NP01"/>
    <x v="76"/>
    <x v="22"/>
    <s v="ROBINA"/>
    <m/>
    <s v="16.18"/>
    <n v="200"/>
    <s v="NL2018"/>
    <m/>
    <n v="75"/>
    <n v="15000"/>
    <x v="44"/>
    <n v="82500000"/>
    <x v="3"/>
    <d v="2019-05-18T00:00:00"/>
    <d v="2019-06-20T00:00:00"/>
    <d v="2019-06-20T00:00:00"/>
    <m/>
    <m/>
    <m/>
    <m/>
    <m/>
    <m/>
    <m/>
    <m/>
    <m/>
    <m/>
    <m/>
    <m/>
    <n v="0"/>
    <n v="15000"/>
    <n v="82500000"/>
  </r>
  <r>
    <s v="31A/2019"/>
    <d v="2019-02-13T00:00:00"/>
    <s v="KIỀU THY"/>
    <s v="NP01"/>
    <x v="76"/>
    <x v="28"/>
    <s v="YELLOWEEN"/>
    <m/>
    <s v="14.16"/>
    <n v="300"/>
    <s v="NL2018"/>
    <m/>
    <n v="0"/>
    <n v="0"/>
    <x v="6"/>
    <n v="0"/>
    <x v="1"/>
    <d v="2019-03-15T00:00:00"/>
    <d v="2019-04-19T00:00:00"/>
    <d v="2019-04-19T00:00:00"/>
    <s v="15/3AL"/>
    <s v="CONT 27/2019"/>
    <d v="2019-04-14T00:00:00"/>
    <m/>
    <m/>
    <n v="0"/>
    <m/>
    <m/>
    <m/>
    <m/>
    <m/>
    <m/>
    <n v="0"/>
    <n v="0"/>
    <n v="0"/>
  </r>
  <r>
    <s v="31A/2019"/>
    <d v="2019-02-13T00:00:00"/>
    <s v="KIỀU THY"/>
    <s v="NP01"/>
    <x v="76"/>
    <x v="57"/>
    <s v="DALIAN"/>
    <m/>
    <s v="14.16"/>
    <n v="300"/>
    <s v="NL2018"/>
    <m/>
    <n v="36"/>
    <n v="10800"/>
    <x v="11"/>
    <n v="58320000"/>
    <x v="0"/>
    <d v="2019-03-15T00:00:00"/>
    <d v="2019-04-19T00:00:00"/>
    <d v="2019-04-19T00:00:00"/>
    <s v="15/3AL"/>
    <m/>
    <m/>
    <m/>
    <d v="2019-05-06T00:00:00"/>
    <n v="10800"/>
    <m/>
    <m/>
    <m/>
    <m/>
    <m/>
    <m/>
    <n v="10800"/>
    <n v="0"/>
    <n v="0"/>
  </r>
  <r>
    <s v="31A/2019"/>
    <d v="2019-05-15T00:00:00"/>
    <s v="KIỀU THY"/>
    <s v="NP01"/>
    <x v="76"/>
    <x v="24"/>
    <s v="SERANO"/>
    <m/>
    <s v="14.16"/>
    <n v="300"/>
    <s v="NL2018"/>
    <m/>
    <n v="34"/>
    <n v="10200"/>
    <x v="117"/>
    <n v="37740000"/>
    <x v="3"/>
    <d v="2019-06-15T00:00:00"/>
    <d v="2019-07-17T00:00:00"/>
    <d v="2019-07-17T00:00:00"/>
    <m/>
    <m/>
    <m/>
    <m/>
    <m/>
    <m/>
    <m/>
    <m/>
    <m/>
    <m/>
    <m/>
    <m/>
    <n v="0"/>
    <n v="10200"/>
    <n v="37740000"/>
  </r>
  <r>
    <s v="31A/2019"/>
    <d v="2019-06-14T00:00:00"/>
    <s v="KIỀU THY"/>
    <s v="NP01"/>
    <x v="76"/>
    <x v="22"/>
    <s v="ROBINA"/>
    <m/>
    <s v="16.18"/>
    <n v="200"/>
    <s v="NL2018"/>
    <m/>
    <n v="50"/>
    <n v="10000"/>
    <x v="48"/>
    <n v="56000000"/>
    <x v="3"/>
    <d v="2019-06-15T00:00:00"/>
    <d v="2019-07-17T00:00:00"/>
    <d v="2019-07-17T00:00:00"/>
    <m/>
    <m/>
    <m/>
    <m/>
    <m/>
    <m/>
    <m/>
    <m/>
    <m/>
    <m/>
    <m/>
    <m/>
    <n v="0"/>
    <n v="10000"/>
    <n v="56000000"/>
  </r>
  <r>
    <s v="31A/2019"/>
    <d v="2019-06-14T00:00:00"/>
    <s v="KIỀU THY"/>
    <s v="NP01"/>
    <x v="76"/>
    <x v="54"/>
    <s v="MALDANO"/>
    <m/>
    <s v="14.16"/>
    <n v="300"/>
    <s v="NL2018"/>
    <m/>
    <n v="32"/>
    <n v="9600"/>
    <x v="13"/>
    <n v="43200000"/>
    <x v="3"/>
    <d v="2019-06-15T00:00:00"/>
    <d v="2019-07-17T00:00:00"/>
    <d v="2019-07-17T00:00:00"/>
    <m/>
    <m/>
    <m/>
    <m/>
    <m/>
    <m/>
    <m/>
    <m/>
    <m/>
    <m/>
    <m/>
    <m/>
    <n v="0"/>
    <n v="9600"/>
    <n v="43200000"/>
  </r>
  <r>
    <s v="31A/2019"/>
    <d v="2019-06-14T00:00:00"/>
    <s v="KIỀU THY"/>
    <s v="NP01"/>
    <x v="76"/>
    <x v="57"/>
    <s v="DALIAN"/>
    <m/>
    <s v="14.16"/>
    <n v="300"/>
    <s v="NL2018"/>
    <m/>
    <n v="32"/>
    <n v="9600"/>
    <x v="48"/>
    <n v="53760000"/>
    <x v="3"/>
    <d v="2019-06-15T00:00:00"/>
    <d v="2019-07-17T00:00:00"/>
    <d v="2019-07-17T00:00:00"/>
    <m/>
    <m/>
    <m/>
    <m/>
    <m/>
    <m/>
    <m/>
    <m/>
    <m/>
    <m/>
    <m/>
    <m/>
    <n v="0"/>
    <n v="9600"/>
    <n v="53760000"/>
  </r>
  <r>
    <s v="31A/2019"/>
    <d v="2019-06-18T00:00:00"/>
    <s v="KIỀU THY"/>
    <s v="NP01"/>
    <x v="76"/>
    <x v="5"/>
    <s v="PROFUNDO"/>
    <m/>
    <s v="16.18"/>
    <n v="200"/>
    <s v="NL2018"/>
    <m/>
    <n v="100"/>
    <n v="20000"/>
    <x v="5"/>
    <n v="154000000"/>
    <x v="3"/>
    <d v="2019-05-30T00:00:00"/>
    <d v="2019-07-02T00:00:00"/>
    <d v="2019-07-02T00:00:00"/>
    <s v="Hà Nội chuyển vô"/>
    <m/>
    <m/>
    <m/>
    <m/>
    <m/>
    <m/>
    <m/>
    <m/>
    <m/>
    <m/>
    <m/>
    <n v="0"/>
    <n v="20000"/>
    <n v="154000000"/>
  </r>
  <r>
    <s v="31A/2019"/>
    <d v="2019-06-13T00:00:00"/>
    <s v="KIỀU THY"/>
    <s v="NP01"/>
    <x v="76"/>
    <x v="57"/>
    <s v="DALIAN"/>
    <m/>
    <s v="14.16"/>
    <n v="300"/>
    <s v="NL2018"/>
    <m/>
    <n v="50"/>
    <n v="15000"/>
    <x v="44"/>
    <n v="82500000"/>
    <x v="0"/>
    <d v="2019-05-30T00:00:00"/>
    <d v="2019-07-02T00:00:00"/>
    <d v="2019-07-02T00:00:00"/>
    <m/>
    <m/>
    <m/>
    <m/>
    <d v="2019-04-17T00:00:00"/>
    <n v="15000"/>
    <m/>
    <m/>
    <m/>
    <m/>
    <m/>
    <m/>
    <n v="15000"/>
    <n v="0"/>
    <n v="0"/>
  </r>
  <r>
    <s v="31A/2019"/>
    <d v="2019-05-07T00:00:00"/>
    <s v="KIỀU THY"/>
    <s v="NP01"/>
    <x v="76"/>
    <x v="57"/>
    <s v="DALIAN"/>
    <m/>
    <s v="14.16"/>
    <n v="300"/>
    <s v="NL2018"/>
    <m/>
    <n v="34"/>
    <n v="10200"/>
    <x v="11"/>
    <n v="55080000"/>
    <x v="0"/>
    <d v="2019-04-17T00:00:00"/>
    <d v="2019-05-21T00:00:00"/>
    <d v="2019-05-21T00:00:00"/>
    <m/>
    <m/>
    <m/>
    <m/>
    <d v="2019-05-18T00:00:00"/>
    <n v="10200"/>
    <m/>
    <m/>
    <m/>
    <m/>
    <m/>
    <m/>
    <n v="10200"/>
    <n v="0"/>
    <n v="0"/>
  </r>
  <r>
    <s v="31A/2019"/>
    <d v="2019-05-29T00:00:00"/>
    <s v="KIỀU THY"/>
    <s v="NP01"/>
    <x v="76"/>
    <x v="24"/>
    <s v="SERANO"/>
    <m/>
    <s v="14.16"/>
    <n v="300"/>
    <s v="NL2018"/>
    <m/>
    <n v="32"/>
    <n v="9600"/>
    <x v="117"/>
    <n v="35520000"/>
    <x v="2"/>
    <d v="2019-06-25T00:00:00"/>
    <d v="2019-07-27T00:00:00"/>
    <d v="2019-07-27T00:00:00"/>
    <m/>
    <m/>
    <m/>
    <m/>
    <m/>
    <m/>
    <m/>
    <m/>
    <m/>
    <m/>
    <m/>
    <m/>
    <n v="0"/>
    <n v="9600"/>
    <n v="35520000"/>
  </r>
  <r>
    <s v="31A/2019"/>
    <d v="2019-05-07T00:00:00"/>
    <s v="KIỀU THY"/>
    <s v="NP01"/>
    <x v="76"/>
    <x v="30"/>
    <s v="MALDANO"/>
    <m/>
    <s v="16.18"/>
    <n v="200"/>
    <s v="NL2018"/>
    <m/>
    <n v="55"/>
    <n v="11000"/>
    <x v="55"/>
    <n v="58300000"/>
    <x v="0"/>
    <d v="2019-04-17T00:00:00"/>
    <d v="2019-05-21T00:00:00"/>
    <d v="2019-05-21T00:00:00"/>
    <m/>
    <m/>
    <m/>
    <m/>
    <d v="2019-05-18T00:00:00"/>
    <n v="11000"/>
    <m/>
    <m/>
    <m/>
    <m/>
    <m/>
    <m/>
    <n v="11000"/>
    <n v="0"/>
    <n v="0"/>
  </r>
  <r>
    <s v="138A/2019"/>
    <d v="2019-02-13T00:00:00"/>
    <s v="KIỀU THY"/>
    <s v="NP01"/>
    <x v="76"/>
    <x v="25"/>
    <s v="CONCADOR"/>
    <m/>
    <s v="18.20"/>
    <n v="150"/>
    <s v="NL2018"/>
    <m/>
    <n v="267"/>
    <n v="40050"/>
    <x v="35"/>
    <n v="288360000"/>
    <x v="2"/>
    <d v="2019-09-01T00:00:00"/>
    <d v="2019-09-29T00:00:00"/>
    <d v="2019-09-29T00:00:00"/>
    <s v="TẾT"/>
    <m/>
    <m/>
    <m/>
    <m/>
    <n v="0"/>
    <m/>
    <m/>
    <m/>
    <m/>
    <m/>
    <m/>
    <n v="0"/>
    <n v="40050"/>
    <n v="288360000"/>
  </r>
  <r>
    <s v="138A/2019"/>
    <d v="2019-02-13T00:00:00"/>
    <s v="KIỀU THY"/>
    <s v="NP01"/>
    <x v="76"/>
    <x v="6"/>
    <s v="CONCADOR"/>
    <m/>
    <s v="20.22"/>
    <n v="125"/>
    <s v="NL2018"/>
    <m/>
    <n v="200"/>
    <n v="25000"/>
    <x v="7"/>
    <n v="265000000"/>
    <x v="2"/>
    <d v="2019-09-01T00:00:00"/>
    <d v="2019-09-29T00:00:00"/>
    <d v="2019-09-29T00:00:00"/>
    <s v="TẾT"/>
    <m/>
    <m/>
    <m/>
    <m/>
    <m/>
    <m/>
    <m/>
    <m/>
    <m/>
    <m/>
    <m/>
    <n v="0"/>
    <n v="25000"/>
    <n v="265000000"/>
  </r>
  <r>
    <s v="31A/2019"/>
    <d v="2019-05-19T00:00:00"/>
    <s v="KIỀU THY"/>
    <s v="NP01"/>
    <x v="76"/>
    <x v="103"/>
    <s v="LARGO"/>
    <m/>
    <s v="16.18"/>
    <n v="200"/>
    <s v="NL2018"/>
    <m/>
    <n v="10"/>
    <n v="2000"/>
    <x v="48"/>
    <n v="11200000"/>
    <x v="0"/>
    <d v="2019-04-17T00:00:00"/>
    <d v="2019-05-21T00:00:00"/>
    <d v="2019-05-21T00:00:00"/>
    <m/>
    <m/>
    <m/>
    <m/>
    <d v="2019-05-18T00:00:00"/>
    <n v="2000"/>
    <m/>
    <m/>
    <m/>
    <m/>
    <m/>
    <m/>
    <n v="2000"/>
    <n v="0"/>
    <n v="0"/>
  </r>
  <r>
    <s v="138A/2019"/>
    <d v="2019-02-13T00:00:00"/>
    <s v="KIỀU THY"/>
    <s v="NP01"/>
    <x v="76"/>
    <x v="46"/>
    <s v="CONCADOR"/>
    <m/>
    <s v="22.24"/>
    <n v="100"/>
    <s v="NL2018"/>
    <m/>
    <n v="100"/>
    <n v="10000"/>
    <x v="29"/>
    <n v="125000000"/>
    <x v="2"/>
    <d v="2019-09-01T00:00:00"/>
    <d v="2019-09-29T00:00:00"/>
    <d v="2019-09-29T00:00:00"/>
    <s v="TẾT"/>
    <m/>
    <m/>
    <m/>
    <m/>
    <n v="0"/>
    <m/>
    <m/>
    <m/>
    <m/>
    <m/>
    <m/>
    <n v="0"/>
    <n v="10000"/>
    <n v="125000000"/>
  </r>
  <r>
    <s v="31A/2019"/>
    <d v="2019-05-07T00:00:00"/>
    <s v="KIỀU THY"/>
    <s v="NP01"/>
    <x v="76"/>
    <x v="31"/>
    <s v="TARRANGO"/>
    <m/>
    <s v="14.16"/>
    <n v="300"/>
    <s v="NL2018"/>
    <m/>
    <n v="0"/>
    <n v="0"/>
    <x v="77"/>
    <n v="0"/>
    <x v="1"/>
    <d v="2019-04-29T00:00:00"/>
    <d v="2019-06-02T00:00:00"/>
    <d v="2019-06-02T00:00:00"/>
    <m/>
    <m/>
    <m/>
    <m/>
    <m/>
    <m/>
    <m/>
    <m/>
    <m/>
    <m/>
    <m/>
    <m/>
    <n v="0"/>
    <n v="0"/>
    <n v="0"/>
  </r>
  <r>
    <s v="138A/2019"/>
    <d v="2019-02-13T00:00:00"/>
    <s v="KIỀU THY"/>
    <s v="NP01"/>
    <x v="76"/>
    <x v="85"/>
    <s v="DALIAN"/>
    <m/>
    <s v="20.22"/>
    <n v="125"/>
    <s v="NL2018"/>
    <m/>
    <n v="120"/>
    <n v="15000"/>
    <x v="85"/>
    <n v="213000000"/>
    <x v="2"/>
    <d v="2019-09-01T00:00:00"/>
    <d v="2019-09-29T00:00:00"/>
    <d v="2019-09-29T00:00:00"/>
    <s v="TẾT"/>
    <m/>
    <m/>
    <m/>
    <m/>
    <n v="0"/>
    <m/>
    <m/>
    <m/>
    <m/>
    <m/>
    <m/>
    <n v="0"/>
    <n v="15000"/>
    <n v="213000000"/>
  </r>
  <r>
    <s v="138A/2019"/>
    <d v="2019-02-13T00:00:00"/>
    <s v="KIỀU THY"/>
    <s v="NP01"/>
    <x v="76"/>
    <x v="26"/>
    <s v="ROBINA"/>
    <m/>
    <s v="22.24"/>
    <n v="100"/>
    <s v="NL2018"/>
    <m/>
    <n v="100"/>
    <n v="10000"/>
    <x v="29"/>
    <n v="125000000"/>
    <x v="2"/>
    <d v="2019-09-01T00:00:00"/>
    <d v="2019-09-29T00:00:00"/>
    <d v="2019-09-29T00:00:00"/>
    <s v="TẾT"/>
    <m/>
    <m/>
    <m/>
    <m/>
    <n v="0"/>
    <m/>
    <m/>
    <m/>
    <m/>
    <m/>
    <m/>
    <n v="0"/>
    <n v="10000"/>
    <n v="125000000"/>
  </r>
  <r>
    <s v="138A/2019"/>
    <d v="2019-02-13T00:00:00"/>
    <s v="KIỀU THY"/>
    <s v="NP01"/>
    <x v="76"/>
    <x v="146"/>
    <s v="TARRANGO CHILE"/>
    <m/>
    <s v="18.20"/>
    <n v="150"/>
    <s v="CL2019"/>
    <m/>
    <n v="100"/>
    <n v="15000"/>
    <x v="36"/>
    <n v="165000000"/>
    <x v="2"/>
    <d v="2019-09-01T00:00:00"/>
    <d v="2019-09-29T00:00:00"/>
    <d v="2019-09-29T00:00:00"/>
    <s v="TẾT"/>
    <m/>
    <m/>
    <m/>
    <m/>
    <n v="0"/>
    <m/>
    <m/>
    <m/>
    <m/>
    <m/>
    <m/>
    <n v="0"/>
    <n v="15000"/>
    <n v="165000000"/>
  </r>
  <r>
    <s v="138A/2019"/>
    <d v="2019-02-13T00:00:00"/>
    <s v="KIỀU THY"/>
    <s v="NP01"/>
    <x v="76"/>
    <x v="147"/>
    <s v="BACARDI CHILE"/>
    <m/>
    <s v="20.22"/>
    <n v="125"/>
    <s v="CL2019"/>
    <m/>
    <n v="80"/>
    <n v="10000"/>
    <x v="40"/>
    <n v="130000000"/>
    <x v="2"/>
    <d v="2019-09-01T00:00:00"/>
    <d v="2019-09-29T00:00:00"/>
    <d v="2019-09-29T00:00:00"/>
    <s v="TẾT"/>
    <m/>
    <m/>
    <m/>
    <m/>
    <n v="0"/>
    <m/>
    <m/>
    <m/>
    <m/>
    <m/>
    <m/>
    <n v="0"/>
    <n v="10000"/>
    <n v="130000000"/>
  </r>
  <r>
    <s v="31A/2019"/>
    <d v="2019-05-07T00:00:00"/>
    <s v="KIỀU THY"/>
    <s v="NP01"/>
    <x v="76"/>
    <x v="48"/>
    <s v="SERANO"/>
    <m/>
    <s v="16.18"/>
    <n v="200"/>
    <s v="NL2018"/>
    <m/>
    <n v="0"/>
    <n v="0"/>
    <x v="82"/>
    <n v="0"/>
    <x v="1"/>
    <m/>
    <s v=""/>
    <s v=""/>
    <m/>
    <m/>
    <m/>
    <m/>
    <m/>
    <m/>
    <m/>
    <m/>
    <m/>
    <m/>
    <m/>
    <m/>
    <n v="0"/>
    <n v="0"/>
    <n v="0"/>
  </r>
  <r>
    <s v="31A/2019"/>
    <d v="2019-02-13T00:00:00"/>
    <s v="KIỀU THY"/>
    <s v="NP01"/>
    <x v="76"/>
    <x v="148"/>
    <s v="AMAROSSI"/>
    <m/>
    <s v="16.18"/>
    <n v="200"/>
    <s v="NL2018"/>
    <m/>
    <n v="180"/>
    <n v="36000"/>
    <x v="18"/>
    <n v="180000000"/>
    <x v="0"/>
    <s v="30-Feb-19"/>
    <d v="2019-04-04T00:00:00"/>
    <d v="2019-04-04T00:00:00"/>
    <s v="30/2AL"/>
    <s v="CONT 14/2019"/>
    <d v="2019-03-31T00:00:00"/>
    <m/>
    <d v="2019-04-05T00:00:00"/>
    <n v="13000"/>
    <d v="2019-04-18T00:00:00"/>
    <n v="8000"/>
    <d v="2019-05-06T00:00:00"/>
    <n v="15000"/>
    <m/>
    <m/>
    <n v="36000"/>
    <n v="0"/>
    <n v="0"/>
  </r>
  <r>
    <s v="31A/2019"/>
    <d v="2019-02-13T00:00:00"/>
    <s v="KIỀU THY"/>
    <s v="NP01"/>
    <x v="76"/>
    <x v="103"/>
    <s v="LARGO"/>
    <m/>
    <s v="16.18"/>
    <n v="200"/>
    <s v="NL2018"/>
    <m/>
    <n v="50"/>
    <n v="10000"/>
    <x v="44"/>
    <n v="55000000"/>
    <x v="2"/>
    <m/>
    <s v=""/>
    <s v=""/>
    <m/>
    <m/>
    <m/>
    <m/>
    <m/>
    <n v="0"/>
    <m/>
    <m/>
    <m/>
    <m/>
    <m/>
    <m/>
    <n v="0"/>
    <n v="10000"/>
    <n v="55000000"/>
  </r>
  <r>
    <s v="31A/2019"/>
    <d v="2019-06-13T00:00:00"/>
    <s v="KIỀU THY"/>
    <s v="NP01"/>
    <x v="76"/>
    <x v="29"/>
    <s v="MANISSA"/>
    <m/>
    <s v="16.18"/>
    <n v="200"/>
    <s v="NL2018"/>
    <m/>
    <n v="75"/>
    <n v="15000"/>
    <x v="33"/>
    <n v="105000000"/>
    <x v="3"/>
    <d v="2019-05-18T00:00:00"/>
    <d v="2019-06-20T00:00:00"/>
    <d v="2019-06-20T00:00:00"/>
    <m/>
    <m/>
    <m/>
    <m/>
    <m/>
    <m/>
    <m/>
    <m/>
    <m/>
    <m/>
    <m/>
    <m/>
    <n v="0"/>
    <n v="15000"/>
    <n v="105000000"/>
  </r>
  <r>
    <s v="31A/2019"/>
    <d v="2019-06-13T00:00:00"/>
    <s v="KIỀU THY"/>
    <s v="NP01"/>
    <x v="76"/>
    <x v="149"/>
    <s v="PARAGUAY"/>
    <m/>
    <s v="14.16"/>
    <n v="275"/>
    <s v="NL2018"/>
    <m/>
    <n v="30"/>
    <n v="8250"/>
    <x v="0"/>
    <n v="38775000"/>
    <x v="4"/>
    <d v="2019-05-30T00:00:00"/>
    <d v="2019-07-02T00:00:00"/>
    <d v="2019-07-02T00:00:00"/>
    <m/>
    <m/>
    <m/>
    <m/>
    <m/>
    <m/>
    <m/>
    <m/>
    <m/>
    <m/>
    <m/>
    <m/>
    <n v="0"/>
    <n v="8250"/>
    <n v="38775000"/>
  </r>
  <r>
    <s v="31A/2019"/>
    <d v="2019-06-13T00:00:00"/>
    <s v="KIỀU THY"/>
    <s v="NP01"/>
    <x v="76"/>
    <x v="33"/>
    <s v="PARAGUAY"/>
    <m/>
    <s v="16.18"/>
    <n v="175"/>
    <s v="NL2018"/>
    <m/>
    <n v="7.1428571428571432"/>
    <n v="1250"/>
    <x v="9"/>
    <n v="7750000"/>
    <x v="4"/>
    <d v="2019-05-30T00:00:00"/>
    <d v="2019-07-02T00:00:00"/>
    <d v="2019-07-02T00:00:00"/>
    <m/>
    <m/>
    <m/>
    <m/>
    <m/>
    <m/>
    <m/>
    <m/>
    <m/>
    <m/>
    <m/>
    <m/>
    <n v="0"/>
    <n v="1250"/>
    <n v="7750000"/>
  </r>
  <r>
    <s v="31A/2019"/>
    <d v="2019-06-13T00:00:00"/>
    <s v="KIỀU THY"/>
    <s v="NP01"/>
    <x v="76"/>
    <x v="22"/>
    <s v="ROBINA"/>
    <m/>
    <s v="16.18"/>
    <n v="200"/>
    <s v="NL2018"/>
    <m/>
    <n v="49"/>
    <n v="9800"/>
    <x v="44"/>
    <n v="53900000"/>
    <x v="0"/>
    <d v="2019-05-30T00:00:00"/>
    <d v="2019-07-02T00:00:00"/>
    <d v="2019-07-02T00:00:00"/>
    <m/>
    <m/>
    <m/>
    <m/>
    <d v="2019-06-17T00:00:00"/>
    <n v="9800"/>
    <m/>
    <m/>
    <m/>
    <m/>
    <m/>
    <m/>
    <n v="9800"/>
    <n v="0"/>
    <n v="0"/>
  </r>
  <r>
    <s v="31A/2019"/>
    <d v="2019-06-13T00:00:00"/>
    <s v="KIỀU THY"/>
    <s v="NP01"/>
    <x v="76"/>
    <x v="57"/>
    <s v="DALIAN"/>
    <m/>
    <s v="14.16"/>
    <n v="300"/>
    <s v="NL2018"/>
    <m/>
    <n v="34"/>
    <n v="10200"/>
    <x v="44"/>
    <n v="56100000"/>
    <x v="4"/>
    <d v="2019-05-30T00:00:00"/>
    <d v="2019-07-02T00:00:00"/>
    <d v="2019-07-02T00:00:00"/>
    <m/>
    <m/>
    <m/>
    <m/>
    <m/>
    <m/>
    <m/>
    <m/>
    <m/>
    <m/>
    <m/>
    <m/>
    <n v="0"/>
    <n v="10200"/>
    <n v="56100000"/>
  </r>
  <r>
    <s v="31A/2019"/>
    <d v="2019-02-13T00:00:00"/>
    <s v="KIỀU THY"/>
    <s v="NP01"/>
    <x v="76"/>
    <x v="34"/>
    <s v="TARRANGO"/>
    <m/>
    <s v="16.18"/>
    <n v="200"/>
    <s v="NL2018"/>
    <m/>
    <n v="0"/>
    <n v="0"/>
    <x v="44"/>
    <n v="0"/>
    <x v="1"/>
    <m/>
    <s v=""/>
    <s v=""/>
    <m/>
    <m/>
    <m/>
    <m/>
    <m/>
    <n v="0"/>
    <m/>
    <m/>
    <m/>
    <m/>
    <m/>
    <m/>
    <n v="0"/>
    <n v="0"/>
    <n v="0"/>
  </r>
  <r>
    <s v="176A/2019"/>
    <d v="2019-02-27T00:00:00"/>
    <s v="KIỀU THY"/>
    <s v="HT03"/>
    <x v="77"/>
    <x v="57"/>
    <s v="DALIAN"/>
    <m/>
    <s v="14.16"/>
    <n v="300"/>
    <s v="NL2018"/>
    <m/>
    <n v="34"/>
    <n v="10200"/>
    <x v="11"/>
    <n v="55080000"/>
    <x v="0"/>
    <d v="2019-04-17T00:00:00"/>
    <d v="2019-05-21T00:00:00"/>
    <d v="2019-05-21T00:00:00"/>
    <s v="10/4AL"/>
    <m/>
    <m/>
    <m/>
    <d v="2019-05-24T00:00:00"/>
    <n v="10200"/>
    <m/>
    <m/>
    <m/>
    <m/>
    <m/>
    <m/>
    <n v="10200"/>
    <n v="0"/>
    <n v="0"/>
  </r>
  <r>
    <s v="176A/2019"/>
    <d v="2019-02-27T00:00:00"/>
    <s v="KIỀU THY"/>
    <s v="HT03"/>
    <x v="77"/>
    <x v="48"/>
    <s v="SERANO"/>
    <m/>
    <s v="16.18"/>
    <n v="200"/>
    <s v="NL2018"/>
    <m/>
    <n v="50"/>
    <n v="10000"/>
    <x v="133"/>
    <n v="52700000"/>
    <x v="4"/>
    <d v="2019-04-17T00:00:00"/>
    <d v="2019-05-21T00:00:00"/>
    <d v="2019-05-21T00:00:00"/>
    <s v="10/4AL"/>
    <m/>
    <m/>
    <m/>
    <d v="2019-05-22T00:00:00"/>
    <n v="8000"/>
    <m/>
    <m/>
    <m/>
    <m/>
    <m/>
    <m/>
    <n v="8000"/>
    <n v="2000"/>
    <n v="10540000"/>
  </r>
  <r>
    <s v="176A/2019"/>
    <d v="2019-05-13T00:00:00"/>
    <s v="KIỀU THY"/>
    <s v="HT03"/>
    <x v="77"/>
    <x v="103"/>
    <s v="LARGO"/>
    <m/>
    <s v="16.18"/>
    <n v="200"/>
    <s v="NL2018"/>
    <m/>
    <n v="30"/>
    <n v="6000"/>
    <x v="26"/>
    <n v="34800000"/>
    <x v="4"/>
    <d v="2019-05-05T00:00:00"/>
    <d v="2019-06-07T00:00:00"/>
    <d v="2019-06-07T00:00:00"/>
    <m/>
    <m/>
    <m/>
    <m/>
    <m/>
    <m/>
    <m/>
    <m/>
    <m/>
    <m/>
    <m/>
    <m/>
    <n v="0"/>
    <n v="6000"/>
    <n v="34800000"/>
  </r>
  <r>
    <s v="176A/2019"/>
    <d v="2019-05-13T00:00:00"/>
    <s v="KIỀU THY"/>
    <s v="HT03"/>
    <x v="77"/>
    <x v="30"/>
    <s v="MALDANO"/>
    <m/>
    <s v="16.18"/>
    <n v="200"/>
    <s v="NL2018"/>
    <m/>
    <n v="10"/>
    <n v="2000"/>
    <x v="11"/>
    <n v="10800000"/>
    <x v="4"/>
    <d v="2019-04-17T00:00:00"/>
    <d v="2019-05-21T00:00:00"/>
    <d v="2019-05-21T00:00:00"/>
    <m/>
    <m/>
    <m/>
    <m/>
    <m/>
    <m/>
    <m/>
    <m/>
    <m/>
    <m/>
    <m/>
    <m/>
    <n v="0"/>
    <n v="2000"/>
    <n v="10800000"/>
  </r>
  <r>
    <s v="176A/2019"/>
    <d v="2019-06-05T00:00:00"/>
    <s v="KIỀU THY"/>
    <s v="HT03"/>
    <x v="77"/>
    <x v="72"/>
    <s v="YELLOWEEN"/>
    <s v="DN"/>
    <s v="16.18"/>
    <n v="200"/>
    <s v="NL2018"/>
    <m/>
    <n v="1"/>
    <n v="200"/>
    <x v="46"/>
    <n v="1200000"/>
    <x v="0"/>
    <d v="2019-04-17T00:00:00"/>
    <d v="2019-05-21T00:00:00"/>
    <d v="2019-05-21T00:00:00"/>
    <m/>
    <m/>
    <m/>
    <m/>
    <d v="2019-06-05T00:00:00"/>
    <n v="200"/>
    <m/>
    <m/>
    <m/>
    <m/>
    <m/>
    <m/>
    <n v="200"/>
    <n v="0"/>
    <n v="0"/>
  </r>
  <r>
    <s v="176A/2019"/>
    <d v="2019-02-27T00:00:00"/>
    <s v="KIỀU THY"/>
    <s v="HT03"/>
    <x v="77"/>
    <x v="31"/>
    <s v="TARRANGO"/>
    <m/>
    <s v="14.16"/>
    <n v="300"/>
    <s v="NL2018"/>
    <m/>
    <n v="20"/>
    <n v="6000"/>
    <x v="77"/>
    <n v="29400000"/>
    <x v="3"/>
    <d v="2019-05-18T00:00:00"/>
    <d v="2019-06-20T00:00:00"/>
    <d v="2019-06-20T00:00:00"/>
    <m/>
    <m/>
    <m/>
    <m/>
    <m/>
    <m/>
    <m/>
    <m/>
    <m/>
    <m/>
    <m/>
    <m/>
    <n v="0"/>
    <n v="6000"/>
    <n v="29400000"/>
  </r>
  <r>
    <s v="177A/2019"/>
    <d v="2019-04-09T00:00:00"/>
    <s v="KIỀU THY"/>
    <s v="HT03"/>
    <x v="77"/>
    <x v="27"/>
    <s v="MANISSA"/>
    <m/>
    <s v="24+"/>
    <n v="75"/>
    <s v="NL2018"/>
    <s v="dlw"/>
    <n v="160"/>
    <n v="12000"/>
    <x v="30"/>
    <n v="192000000"/>
    <x v="2"/>
    <d v="2019-09-01T00:00:00"/>
    <d v="2019-09-29T00:00:00"/>
    <d v="2019-09-29T00:00:00"/>
    <s v="TẾT"/>
    <m/>
    <m/>
    <m/>
    <m/>
    <m/>
    <m/>
    <m/>
    <m/>
    <m/>
    <m/>
    <m/>
    <n v="0"/>
    <n v="12000"/>
    <n v="192000000"/>
  </r>
  <r>
    <s v="177A/2019"/>
    <d v="2019-04-09T00:00:00"/>
    <s v="KIỀU THY"/>
    <s v="HT03"/>
    <x v="77"/>
    <x v="27"/>
    <s v="MANISSA"/>
    <m/>
    <s v="24+"/>
    <n v="75"/>
    <s v="NL2018"/>
    <s v="dlw"/>
    <n v="100"/>
    <n v="7500"/>
    <x v="50"/>
    <n v="121500000"/>
    <x v="2"/>
    <d v="2019-09-01T00:00:00"/>
    <d v="2019-09-29T00:00:00"/>
    <d v="2019-09-29T00:00:00"/>
    <s v="TẾT"/>
    <m/>
    <m/>
    <m/>
    <m/>
    <m/>
    <m/>
    <m/>
    <m/>
    <m/>
    <m/>
    <m/>
    <n v="0"/>
    <n v="7500"/>
    <n v="121500000"/>
  </r>
  <r>
    <s v="177A/2019"/>
    <d v="2019-04-09T00:00:00"/>
    <s v="KIỀU THY"/>
    <s v="HT03"/>
    <x v="77"/>
    <x v="107"/>
    <s v="PROFUNDO CHILE"/>
    <m/>
    <s v="20.22"/>
    <n v="125"/>
    <s v="CL2019"/>
    <m/>
    <n v="80"/>
    <n v="10000"/>
    <x v="37"/>
    <n v="135000000"/>
    <x v="2"/>
    <d v="2019-09-01T00:00:00"/>
    <d v="2019-09-29T00:00:00"/>
    <d v="2019-09-29T00:00:00"/>
    <s v="TẾT"/>
    <m/>
    <m/>
    <m/>
    <m/>
    <m/>
    <m/>
    <m/>
    <m/>
    <m/>
    <m/>
    <m/>
    <n v="0"/>
    <n v="10000"/>
    <n v="135000000"/>
  </r>
  <r>
    <s v="176A/2019"/>
    <d v="2019-06-14T00:00:00"/>
    <s v="KIỀU THY"/>
    <s v="HT03"/>
    <x v="77"/>
    <x v="3"/>
    <s v="PAVIA"/>
    <m/>
    <s v="12.14"/>
    <n v="400"/>
    <s v="NL2018"/>
    <m/>
    <n v="15"/>
    <n v="6000"/>
    <x v="17"/>
    <n v="18000000"/>
    <x v="2"/>
    <d v="2019-07-15T00:00:00"/>
    <d v="2019-08-15T00:00:00"/>
    <d v="2019-08-15T00:00:00"/>
    <m/>
    <m/>
    <m/>
    <m/>
    <m/>
    <m/>
    <m/>
    <m/>
    <m/>
    <m/>
    <m/>
    <m/>
    <n v="0"/>
    <n v="6000"/>
    <n v="18000000"/>
  </r>
  <r>
    <s v="176A/2019"/>
    <d v="2019-06-14T00:00:00"/>
    <s v="KIỀU THY"/>
    <s v="HT03"/>
    <x v="77"/>
    <x v="3"/>
    <s v="PAVIA"/>
    <m/>
    <s v="12.14"/>
    <n v="400"/>
    <s v="NL2018"/>
    <m/>
    <n v="15"/>
    <n v="6000"/>
    <x v="17"/>
    <n v="18000000"/>
    <x v="2"/>
    <d v="2019-07-15T00:00:00"/>
    <d v="2019-08-15T00:00:00"/>
    <d v="2019-08-15T00:00:00"/>
    <m/>
    <m/>
    <m/>
    <m/>
    <m/>
    <m/>
    <m/>
    <m/>
    <m/>
    <m/>
    <m/>
    <m/>
    <n v="0"/>
    <n v="6000"/>
    <n v="18000000"/>
  </r>
  <r>
    <s v="176A/2019"/>
    <d v="2019-06-14T00:00:00"/>
    <s v="KIỀU THY"/>
    <s v="HT03"/>
    <x v="77"/>
    <x v="3"/>
    <s v="PAVIA"/>
    <m/>
    <s v="12.14"/>
    <n v="400"/>
    <s v="NL2018"/>
    <m/>
    <n v="15"/>
    <n v="6000"/>
    <x v="17"/>
    <n v="18000000"/>
    <x v="2"/>
    <d v="2019-07-15T00:00:00"/>
    <d v="2019-08-15T00:00:00"/>
    <d v="2019-08-15T00:00:00"/>
    <m/>
    <m/>
    <m/>
    <m/>
    <m/>
    <m/>
    <m/>
    <m/>
    <m/>
    <m/>
    <m/>
    <m/>
    <n v="0"/>
    <n v="6000"/>
    <n v="18000000"/>
  </r>
  <r>
    <s v="176A/2019"/>
    <d v="2019-06-14T00:00:00"/>
    <s v="KIỀU THY"/>
    <s v="HT03"/>
    <x v="77"/>
    <x v="3"/>
    <s v="PAVIA"/>
    <m/>
    <s v="12.14"/>
    <n v="400"/>
    <s v="NL2018"/>
    <m/>
    <n v="15"/>
    <n v="6000"/>
    <x v="17"/>
    <n v="18000000"/>
    <x v="2"/>
    <d v="2019-07-15T00:00:00"/>
    <d v="2019-08-15T00:00:00"/>
    <d v="2019-08-15T00:00:00"/>
    <m/>
    <m/>
    <m/>
    <m/>
    <m/>
    <m/>
    <m/>
    <m/>
    <m/>
    <m/>
    <m/>
    <m/>
    <n v="0"/>
    <n v="6000"/>
    <n v="18000000"/>
  </r>
  <r>
    <s v="177A/2019"/>
    <d v="2019-04-09T00:00:00"/>
    <s v="KIỀU THY"/>
    <s v="HT03"/>
    <x v="77"/>
    <x v="9"/>
    <s v="MANISSA"/>
    <m/>
    <s v="22.24"/>
    <n v="100"/>
    <s v="NL2018"/>
    <m/>
    <n v="0"/>
    <n v="0"/>
    <x v="10"/>
    <n v="0"/>
    <x v="1"/>
    <d v="2019-09-01T00:00:00"/>
    <d v="2019-09-29T00:00:00"/>
    <d v="2019-09-29T00:00:00"/>
    <s v="TẾT"/>
    <m/>
    <m/>
    <m/>
    <m/>
    <m/>
    <m/>
    <m/>
    <m/>
    <m/>
    <m/>
    <m/>
    <n v="0"/>
    <n v="0"/>
    <n v="0"/>
  </r>
  <r>
    <s v="80A/2019"/>
    <d v="2019-02-27T00:00:00"/>
    <s v="KIỀU THY"/>
    <s v="HT03"/>
    <x v="77"/>
    <x v="32"/>
    <s v="BACARDI"/>
    <m/>
    <s v="16.18"/>
    <n v="200"/>
    <s v="NL2018"/>
    <m/>
    <n v="25"/>
    <n v="5000"/>
    <x v="42"/>
    <n v="31500000"/>
    <x v="0"/>
    <s v="30-Feb-19"/>
    <d v="2019-04-04T00:00:00"/>
    <d v="2019-04-04T00:00:00"/>
    <s v="30/2AL"/>
    <s v="CONT 14/2019"/>
    <d v="2019-03-31T00:00:00"/>
    <s v="R"/>
    <d v="2019-04-03T00:00:00"/>
    <n v="5000"/>
    <m/>
    <m/>
    <m/>
    <m/>
    <m/>
    <m/>
    <n v="5000"/>
    <n v="0"/>
    <n v="0"/>
  </r>
  <r>
    <s v="80A/2019"/>
    <d v="2019-02-27T00:00:00"/>
    <s v="KIỀU THY"/>
    <s v="HT03"/>
    <x v="77"/>
    <x v="62"/>
    <s v="BACARDI"/>
    <m/>
    <s v="15.16"/>
    <n v="300"/>
    <s v="NL2018"/>
    <m/>
    <n v="5"/>
    <n v="1500"/>
    <x v="2"/>
    <n v="6600000"/>
    <x v="0"/>
    <s v="30-Feb-19"/>
    <d v="2019-04-04T00:00:00"/>
    <d v="2019-04-04T00:00:00"/>
    <s v="30/2AL"/>
    <m/>
    <m/>
    <m/>
    <d v="2019-04-03T00:00:00"/>
    <n v="1500"/>
    <m/>
    <m/>
    <m/>
    <m/>
    <m/>
    <m/>
    <n v="1500"/>
    <n v="0"/>
    <n v="0"/>
  </r>
  <r>
    <s v="244/2019"/>
    <d v="2019-06-14T00:00:00"/>
    <s v="THANH THÚY"/>
    <s v="HT01"/>
    <x v="78"/>
    <x v="108"/>
    <s v="ROBINA Newzeland"/>
    <m/>
    <s v="20.22"/>
    <s v="125"/>
    <s v="NZ2019"/>
    <m/>
    <n v="48"/>
    <n v="6000"/>
    <x v="29"/>
    <n v="75000000"/>
    <x v="2"/>
    <d v="2019-09-01T00:00:00"/>
    <d v="2019-09-29T00:00:00"/>
    <d v="2019-09-29T00:00:00"/>
    <m/>
    <m/>
    <m/>
    <m/>
    <m/>
    <m/>
    <m/>
    <m/>
    <m/>
    <m/>
    <m/>
    <m/>
    <n v="0"/>
    <n v="6000"/>
    <n v="75000000"/>
  </r>
  <r>
    <s v="244/2019"/>
    <d v="2019-06-14T00:00:00"/>
    <s v="THANH THÚY"/>
    <s v="HT01"/>
    <x v="78"/>
    <x v="110"/>
    <s v="CONCADOR NEWZELAND"/>
    <m/>
    <s v="20.22"/>
    <s v="125"/>
    <s v="NZ2019"/>
    <m/>
    <n v="88"/>
    <n v="11000"/>
    <x v="53"/>
    <n v="132000000"/>
    <x v="2"/>
    <d v="2019-09-01T00:00:00"/>
    <d v="2019-09-29T00:00:00"/>
    <d v="2019-09-29T00:00:00"/>
    <m/>
    <m/>
    <m/>
    <m/>
    <m/>
    <m/>
    <m/>
    <m/>
    <m/>
    <m/>
    <m/>
    <m/>
    <n v="0"/>
    <n v="11000"/>
    <n v="132000000"/>
  </r>
  <r>
    <s v="244/2019"/>
    <d v="2019-06-14T00:00:00"/>
    <s v="THANH THÚY"/>
    <s v="HT01"/>
    <x v="78"/>
    <x v="150"/>
    <s v="TRESOR"/>
    <m/>
    <s v="16.18"/>
    <s v="200"/>
    <s v="NL2018"/>
    <m/>
    <n v="10"/>
    <n v="2000"/>
    <x v="33"/>
    <n v="14000000"/>
    <x v="2"/>
    <d v="2019-09-01T00:00:00"/>
    <d v="2019-09-29T00:00:00"/>
    <d v="2019-09-29T00:00:00"/>
    <m/>
    <m/>
    <m/>
    <m/>
    <m/>
    <m/>
    <m/>
    <m/>
    <m/>
    <m/>
    <m/>
    <m/>
    <n v="0"/>
    <n v="2000"/>
    <n v="14000000"/>
  </r>
  <r>
    <s v="38A/2019"/>
    <d v="2019-02-11T00:00:00"/>
    <s v="KIỀU THY"/>
    <s v="HC03"/>
    <x v="79"/>
    <x v="47"/>
    <s v="ROBINA"/>
    <m/>
    <s v="18.20"/>
    <n v="150"/>
    <s v="NL2018"/>
    <m/>
    <n v="133"/>
    <n v="19950"/>
    <x v="134"/>
    <n v="130233600"/>
    <x v="0"/>
    <d v="2019-04-17T00:00:00"/>
    <d v="2019-05-21T00:00:00"/>
    <d v="2019-05-21T00:00:00"/>
    <s v="30/3AL"/>
    <m/>
    <m/>
    <m/>
    <m/>
    <n v="19950"/>
    <m/>
    <m/>
    <m/>
    <m/>
    <m/>
    <m/>
    <n v="19950"/>
    <n v="0"/>
    <n v="0"/>
  </r>
  <r>
    <s v="38A/2019"/>
    <d v="2019-05-13T00:00:00"/>
    <s v="KIỀU THY"/>
    <s v="HC03"/>
    <x v="79"/>
    <x v="47"/>
    <s v="ROBINA"/>
    <m/>
    <s v="18.20"/>
    <n v="150"/>
    <s v="NL2018"/>
    <m/>
    <n v="66"/>
    <n v="9900"/>
    <x v="135"/>
    <n v="78210000"/>
    <x v="0"/>
    <d v="2019-04-17T00:00:00"/>
    <d v="2019-05-21T00:00:00"/>
    <d v="2019-05-21T00:00:00"/>
    <s v="30/3AL"/>
    <m/>
    <m/>
    <m/>
    <m/>
    <n v="9900"/>
    <m/>
    <m/>
    <m/>
    <m/>
    <m/>
    <m/>
    <n v="9900"/>
    <n v="0"/>
    <n v="0"/>
  </r>
  <r>
    <s v="38A/2019"/>
    <d v="2019-02-11T00:00:00"/>
    <s v="KIỀU THY"/>
    <s v="HC03"/>
    <x v="79"/>
    <x v="28"/>
    <s v="YELLOWEEN"/>
    <m/>
    <s v="14.16"/>
    <n v="300"/>
    <s v="NL2018"/>
    <m/>
    <n v="67"/>
    <n v="20100"/>
    <x v="136"/>
    <n v="78671400"/>
    <x v="0"/>
    <d v="2019-04-17T00:00:00"/>
    <d v="2019-05-21T00:00:00"/>
    <d v="2019-05-21T00:00:00"/>
    <s v="30/3AL"/>
    <m/>
    <m/>
    <m/>
    <m/>
    <n v="20100"/>
    <m/>
    <m/>
    <m/>
    <m/>
    <m/>
    <m/>
    <n v="20100"/>
    <n v="0"/>
    <n v="0"/>
  </r>
  <r>
    <s v="38A/2019"/>
    <d v="2019-02-11T00:00:00"/>
    <s v="KIỀU THY"/>
    <s v="HC03"/>
    <x v="79"/>
    <x v="38"/>
    <s v="YELLOWEEN"/>
    <m/>
    <s v="16.18"/>
    <n v="200"/>
    <s v="NL2018"/>
    <m/>
    <n v="150"/>
    <n v="30000"/>
    <x v="18"/>
    <n v="150000000"/>
    <x v="0"/>
    <d v="2019-01-15T00:00:00"/>
    <d v="2019-02-19T00:00:00"/>
    <d v="2019-02-19T00:00:00"/>
    <s v="15/1AL"/>
    <m/>
    <m/>
    <s v="R"/>
    <d v="2019-02-20T00:00:00"/>
    <n v="30000"/>
    <m/>
    <m/>
    <m/>
    <m/>
    <m/>
    <m/>
    <n v="30000"/>
    <n v="0"/>
    <n v="0"/>
  </r>
  <r>
    <s v="38A/2019"/>
    <d v="2019-02-11T00:00:00"/>
    <s v="KIỀU THY"/>
    <s v="HC03"/>
    <x v="79"/>
    <x v="151"/>
    <s v="ROBINA"/>
    <m/>
    <s v="20.22"/>
    <n v="125"/>
    <s v="NL2017"/>
    <m/>
    <n v="96"/>
    <n v="12000"/>
    <x v="46"/>
    <n v="72000000"/>
    <x v="0"/>
    <d v="2019-02-07T00:00:00"/>
    <d v="2019-03-12T00:00:00"/>
    <d v="2019-03-12T00:00:00"/>
    <s v="07/2AL"/>
    <s v="CONT 87/2018"/>
    <m/>
    <s v="R"/>
    <d v="2019-03-20T00:00:00"/>
    <n v="12000"/>
    <m/>
    <m/>
    <m/>
    <m/>
    <m/>
    <m/>
    <n v="12000"/>
    <n v="0"/>
    <n v="0"/>
  </r>
  <r>
    <s v="38A/2019"/>
    <d v="2019-02-11T00:00:00"/>
    <s v="KIỀU THY"/>
    <s v="HC03"/>
    <x v="79"/>
    <x v="152"/>
    <s v="MANISSA ÍT RỄ"/>
    <s v="PR"/>
    <s v="20.22"/>
    <n v="125"/>
    <s v="NL2018"/>
    <m/>
    <n v="153"/>
    <n v="19125"/>
    <x v="137"/>
    <n v="166387500"/>
    <x v="0"/>
    <d v="2019-02-28T00:00:00"/>
    <d v="2019-04-02T00:00:00"/>
    <d v="2019-04-02T00:00:00"/>
    <s v="28/2AL"/>
    <s v="CONT 16/2019"/>
    <d v="2019-03-31T00:00:00"/>
    <s v="R"/>
    <d v="2019-04-02T00:00:00"/>
    <n v="19125"/>
    <m/>
    <m/>
    <m/>
    <m/>
    <m/>
    <m/>
    <n v="19125"/>
    <n v="0"/>
    <n v="0"/>
  </r>
  <r>
    <s v="38A/2019"/>
    <d v="2019-02-11T00:00:00"/>
    <s v="KIỀU THY"/>
    <s v="HC03"/>
    <x v="79"/>
    <x v="47"/>
    <s v="ROBINA"/>
    <m/>
    <s v="18.20"/>
    <n v="150"/>
    <s v="NL2018"/>
    <m/>
    <n v="134"/>
    <n v="20100"/>
    <x v="27"/>
    <n v="160800000"/>
    <x v="3"/>
    <d v="2019-05-18T00:00:00"/>
    <d v="2019-06-20T00:00:00"/>
    <d v="2019-06-20T00:00:00"/>
    <s v="25/5AL"/>
    <m/>
    <m/>
    <m/>
    <m/>
    <m/>
    <m/>
    <m/>
    <m/>
    <m/>
    <m/>
    <m/>
    <n v="0"/>
    <n v="20100"/>
    <n v="160800000"/>
  </r>
  <r>
    <s v="38A/2019"/>
    <d v="2019-06-04T00:00:00"/>
    <s v="KIỀU THY"/>
    <s v="HC03"/>
    <x v="79"/>
    <x v="28"/>
    <s v="YELLOWEEN"/>
    <m/>
    <n v="14.16"/>
    <n v="300"/>
    <s v="NL2018"/>
    <m/>
    <n v="34"/>
    <n v="10200"/>
    <x v="56"/>
    <n v="39780000"/>
    <x v="0"/>
    <d v="2019-05-05T00:00:00"/>
    <d v="2019-06-07T00:00:00"/>
    <d v="2019-06-07T00:00:00"/>
    <m/>
    <m/>
    <m/>
    <m/>
    <d v="2019-06-08T00:00:00"/>
    <n v="10200"/>
    <m/>
    <m/>
    <m/>
    <m/>
    <m/>
    <m/>
    <n v="10200"/>
    <n v="0"/>
    <n v="0"/>
  </r>
  <r>
    <s v="204A/2019"/>
    <d v="2019-04-22T00:00:00"/>
    <s v="KIỀU THY"/>
    <s v="HC03"/>
    <x v="79"/>
    <x v="153"/>
    <s v="ROBINA Newzeland"/>
    <m/>
    <s v="18.20"/>
    <n v="150"/>
    <s v="NZ2019"/>
    <m/>
    <n v="134"/>
    <n v="20100"/>
    <x v="60"/>
    <n v="190950000"/>
    <x v="2"/>
    <d v="2019-08-01T00:00:00"/>
    <d v="2019-08-30T00:00:00"/>
    <d v="2019-08-30T00:00:00"/>
    <s v="1/8AL"/>
    <m/>
    <m/>
    <m/>
    <m/>
    <m/>
    <m/>
    <m/>
    <m/>
    <m/>
    <m/>
    <m/>
    <n v="0"/>
    <n v="20100"/>
    <n v="190950000"/>
  </r>
  <r>
    <s v="38A/2019"/>
    <d v="2019-02-11T00:00:00"/>
    <s v="KIỀU THY"/>
    <s v="HC03"/>
    <x v="79"/>
    <x v="47"/>
    <s v="ROBINA"/>
    <m/>
    <s v="18.20"/>
    <n v="150"/>
    <s v="NL2018"/>
    <m/>
    <n v="67"/>
    <n v="10050"/>
    <x v="134"/>
    <n v="65606400"/>
    <x v="0"/>
    <d v="2019-04-17T00:00:00"/>
    <d v="2019-05-21T00:00:00"/>
    <d v="2019-05-21T00:00:00"/>
    <s v="30/3AL"/>
    <m/>
    <m/>
    <m/>
    <d v="2019-05-06T00:00:00"/>
    <n v="10050"/>
    <m/>
    <m/>
    <m/>
    <m/>
    <m/>
    <m/>
    <n v="10050"/>
    <n v="0"/>
    <n v="0"/>
  </r>
  <r>
    <s v="38A/2019"/>
    <d v="2019-05-29T00:00:00"/>
    <s v="KIỀU THY"/>
    <s v="HC03"/>
    <x v="79"/>
    <x v="47"/>
    <s v="ROBINA"/>
    <m/>
    <s v="18.20"/>
    <n v="150"/>
    <s v="NL2018"/>
    <m/>
    <n v="0"/>
    <n v="0"/>
    <x v="135"/>
    <n v="0"/>
    <x v="1"/>
    <d v="2019-04-17T00:00:00"/>
    <d v="2019-05-21T00:00:00"/>
    <d v="2019-05-21T00:00:00"/>
    <s v="30/3AL"/>
    <m/>
    <m/>
    <m/>
    <m/>
    <m/>
    <m/>
    <m/>
    <m/>
    <m/>
    <m/>
    <m/>
    <n v="0"/>
    <n v="0"/>
    <n v="0"/>
  </r>
  <r>
    <s v="204A/2019"/>
    <d v="2019-04-22T00:00:00"/>
    <s v="KIỀU THY"/>
    <s v="HC03"/>
    <x v="79"/>
    <x v="16"/>
    <s v="ROBINA"/>
    <m/>
    <s v="20.22"/>
    <n v="125"/>
    <s v="NL2018"/>
    <m/>
    <n v="240"/>
    <n v="30000"/>
    <x v="16"/>
    <n v="321000000"/>
    <x v="2"/>
    <d v="2019-09-01T00:00:00"/>
    <d v="2019-09-29T00:00:00"/>
    <d v="2019-09-29T00:00:00"/>
    <s v="TẾT"/>
    <m/>
    <m/>
    <m/>
    <m/>
    <m/>
    <m/>
    <m/>
    <m/>
    <m/>
    <m/>
    <m/>
    <n v="0"/>
    <n v="30000"/>
    <n v="321000000"/>
  </r>
  <r>
    <s v="204A/2019"/>
    <d v="2019-04-22T00:00:00"/>
    <s v="KIỀU THY"/>
    <s v="HC03"/>
    <x v="79"/>
    <x v="25"/>
    <s v="CONCADOR"/>
    <m/>
    <s v="18.20"/>
    <n v="150"/>
    <s v="NL2018"/>
    <m/>
    <n v="67"/>
    <n v="10050"/>
    <x v="27"/>
    <n v="80400000"/>
    <x v="2"/>
    <d v="2019-09-01T00:00:00"/>
    <d v="2019-09-29T00:00:00"/>
    <d v="2019-09-29T00:00:00"/>
    <s v="TẾT"/>
    <m/>
    <m/>
    <m/>
    <m/>
    <m/>
    <m/>
    <m/>
    <m/>
    <m/>
    <m/>
    <m/>
    <n v="0"/>
    <n v="10050"/>
    <n v="80400000"/>
  </r>
  <r>
    <s v="132A/2019"/>
    <d v="2019-02-26T00:00:00"/>
    <s v="KIỀU THY"/>
    <s v="HC01"/>
    <x v="80"/>
    <x v="6"/>
    <s v="CONCAD'OR"/>
    <m/>
    <s v="20.22"/>
    <n v="125"/>
    <s v="NL2018"/>
    <m/>
    <n v="24"/>
    <n v="3000"/>
    <x v="59"/>
    <n v="31500000"/>
    <x v="2"/>
    <d v="2019-09-01T00:00:00"/>
    <d v="2019-09-29T00:00:00"/>
    <d v="2019-09-29T00:00:00"/>
    <s v="TẾT"/>
    <m/>
    <m/>
    <m/>
    <m/>
    <n v="0"/>
    <m/>
    <m/>
    <m/>
    <m/>
    <m/>
    <m/>
    <n v="0"/>
    <n v="3000"/>
    <n v="31500000"/>
  </r>
  <r>
    <s v="132A/2019"/>
    <d v="2019-02-26T00:00:00"/>
    <s v="KIỀU THY"/>
    <s v="HC01"/>
    <x v="80"/>
    <x v="141"/>
    <s v="MANISSA"/>
    <m/>
    <s v="18.20"/>
    <n v="150"/>
    <s v="NL2018"/>
    <s v="VZT"/>
    <n v="34"/>
    <n v="5100"/>
    <x v="16"/>
    <n v="54570000"/>
    <x v="2"/>
    <d v="2019-09-01T00:00:00"/>
    <d v="2019-09-29T00:00:00"/>
    <d v="2019-09-29T00:00:00"/>
    <s v="TẾT"/>
    <m/>
    <m/>
    <m/>
    <m/>
    <n v="0"/>
    <m/>
    <m/>
    <m/>
    <m/>
    <m/>
    <m/>
    <n v="0"/>
    <n v="5100"/>
    <n v="54570000"/>
  </r>
  <r>
    <s v="132A/2019"/>
    <d v="2019-02-26T00:00:00"/>
    <s v="KIỀU THY"/>
    <s v="HC01"/>
    <x v="80"/>
    <x v="36"/>
    <s v="MANISSA"/>
    <m/>
    <s v="20.22"/>
    <n v="125"/>
    <s v="NL2018"/>
    <s v="dlw"/>
    <n v="80"/>
    <n v="10000"/>
    <x v="37"/>
    <n v="135000000"/>
    <x v="2"/>
    <d v="2019-09-01T00:00:00"/>
    <d v="2019-09-29T00:00:00"/>
    <d v="2019-09-29T00:00:00"/>
    <s v="TẾT/DL"/>
    <m/>
    <m/>
    <m/>
    <m/>
    <n v="0"/>
    <m/>
    <m/>
    <m/>
    <m/>
    <m/>
    <m/>
    <n v="0"/>
    <n v="10000"/>
    <n v="135000000"/>
  </r>
  <r>
    <s v="132A/2019"/>
    <d v="2019-02-26T00:00:00"/>
    <s v="KIỀU THY"/>
    <s v="HC01"/>
    <x v="80"/>
    <x v="143"/>
    <s v="NELLO "/>
    <m/>
    <s v="18.20"/>
    <n v="150"/>
    <s v="NL2018"/>
    <s v="dlw"/>
    <n v="34"/>
    <n v="5100"/>
    <x v="35"/>
    <n v="36720000"/>
    <x v="2"/>
    <d v="2019-09-01T00:00:00"/>
    <d v="2019-09-29T00:00:00"/>
    <d v="2019-09-29T00:00:00"/>
    <s v="TẾT/DL"/>
    <m/>
    <m/>
    <m/>
    <m/>
    <n v="0"/>
    <m/>
    <m/>
    <m/>
    <m/>
    <m/>
    <m/>
    <n v="0"/>
    <n v="5100"/>
    <n v="36720000"/>
  </r>
  <r>
    <s v="132A/2019"/>
    <d v="2019-02-26T00:00:00"/>
    <s v="KIỀU THY"/>
    <s v="HC01"/>
    <x v="80"/>
    <x v="42"/>
    <s v="PAVIA"/>
    <m/>
    <s v="16.18"/>
    <n v="200"/>
    <s v="NL2018"/>
    <m/>
    <n v="15"/>
    <n v="3000"/>
    <x v="20"/>
    <n v="18300000"/>
    <x v="2"/>
    <d v="2019-09-01T00:00:00"/>
    <d v="2019-09-29T00:00:00"/>
    <d v="2019-09-29T00:00:00"/>
    <s v="TẾT"/>
    <m/>
    <m/>
    <m/>
    <m/>
    <n v="0"/>
    <m/>
    <m/>
    <m/>
    <m/>
    <m/>
    <m/>
    <n v="0"/>
    <n v="3000"/>
    <n v="18300000"/>
  </r>
  <r>
    <s v="132A/2019"/>
    <d v="2019-02-26T00:00:00"/>
    <s v="KIỀU THY"/>
    <s v="HC01"/>
    <x v="80"/>
    <x v="37"/>
    <s v="PROFUNDO"/>
    <m/>
    <s v="20.22"/>
    <n v="125"/>
    <s v="NL2018"/>
    <s v="ON"/>
    <n v="80"/>
    <n v="10000"/>
    <x v="40"/>
    <n v="130000000"/>
    <x v="2"/>
    <d v="2019-09-01T00:00:00"/>
    <d v="2019-09-29T00:00:00"/>
    <d v="2019-09-29T00:00:00"/>
    <s v="TẾT/ON"/>
    <m/>
    <m/>
    <m/>
    <m/>
    <n v="0"/>
    <m/>
    <m/>
    <m/>
    <m/>
    <m/>
    <m/>
    <n v="0"/>
    <n v="10000"/>
    <n v="130000000"/>
  </r>
  <r>
    <s v="132A/2019"/>
    <d v="2019-02-26T00:00:00"/>
    <s v="KIỀU THY"/>
    <s v="HC01"/>
    <x v="80"/>
    <x v="14"/>
    <s v="TARRANGO"/>
    <m/>
    <s v="20.22"/>
    <n v="125"/>
    <s v="NL2018"/>
    <s v="V.W.S"/>
    <n v="80"/>
    <n v="10000"/>
    <x v="71"/>
    <n v="100000000"/>
    <x v="2"/>
    <d v="2019-09-01T00:00:00"/>
    <d v="2019-09-29T00:00:00"/>
    <d v="2019-09-29T00:00:00"/>
    <s v="TẾT/V.W.S"/>
    <m/>
    <m/>
    <m/>
    <m/>
    <n v="0"/>
    <m/>
    <m/>
    <m/>
    <m/>
    <m/>
    <m/>
    <n v="0"/>
    <n v="10000"/>
    <n v="100000000"/>
  </r>
  <r>
    <s v="132A/2019"/>
    <d v="2019-02-26T00:00:00"/>
    <s v="KIỀU THY"/>
    <s v="HC01"/>
    <x v="80"/>
    <x v="154"/>
    <s v="YELLOWEEN"/>
    <m/>
    <s v="18.20"/>
    <n v="150"/>
    <s v="NL2018"/>
    <m/>
    <n v="20"/>
    <n v="3000"/>
    <x v="116"/>
    <n v="25200000"/>
    <x v="2"/>
    <d v="2019-09-01T00:00:00"/>
    <d v="2019-09-29T00:00:00"/>
    <d v="2019-09-29T00:00:00"/>
    <s v="TẾT"/>
    <m/>
    <m/>
    <m/>
    <m/>
    <n v="0"/>
    <m/>
    <m/>
    <m/>
    <m/>
    <m/>
    <m/>
    <n v="0"/>
    <n v="3000"/>
    <n v="25200000"/>
  </r>
  <r>
    <s v="194A/2019"/>
    <d v="2019-04-13T00:00:00"/>
    <s v="KIỀU THY"/>
    <s v="HC01"/>
    <x v="80"/>
    <x v="2"/>
    <s v="NASHVILLE"/>
    <m/>
    <s v="14.16"/>
    <n v="300"/>
    <s v="NL2018"/>
    <m/>
    <n v="10"/>
    <n v="3000"/>
    <x v="56"/>
    <n v="11700000"/>
    <x v="0"/>
    <d v="2019-04-17T00:00:00"/>
    <d v="2019-05-21T00:00:00"/>
    <d v="2019-05-21T00:00:00"/>
    <s v="17/4AL"/>
    <m/>
    <m/>
    <m/>
    <d v="2019-05-20T00:00:00"/>
    <n v="3000"/>
    <m/>
    <m/>
    <m/>
    <m/>
    <m/>
    <m/>
    <n v="3000"/>
    <n v="0"/>
    <n v="0"/>
  </r>
  <r>
    <s v="194A/2019"/>
    <d v="2019-04-13T00:00:00"/>
    <s v="KIỀU THY"/>
    <s v="HC01"/>
    <x v="80"/>
    <x v="80"/>
    <s v="PROFUNDO"/>
    <m/>
    <s v="14.16"/>
    <n v="300"/>
    <s v="NL2018"/>
    <m/>
    <n v="10"/>
    <n v="3000"/>
    <x v="18"/>
    <n v="15000000"/>
    <x v="0"/>
    <d v="2019-04-17T00:00:00"/>
    <d v="2019-05-21T00:00:00"/>
    <d v="2019-05-21T00:00:00"/>
    <s v="17/4AL"/>
    <m/>
    <m/>
    <m/>
    <d v="2019-05-20T00:00:00"/>
    <n v="3000"/>
    <m/>
    <m/>
    <m/>
    <m/>
    <m/>
    <m/>
    <n v="3000"/>
    <n v="0"/>
    <n v="0"/>
  </r>
  <r>
    <s v="194A/2019"/>
    <d v="2019-04-13T00:00:00"/>
    <s v="KIỀU THY"/>
    <s v="HC01"/>
    <x v="80"/>
    <x v="57"/>
    <s v="DALIAN"/>
    <m/>
    <s v="14.16"/>
    <n v="300"/>
    <s v="NL2018"/>
    <m/>
    <n v="7"/>
    <n v="2100"/>
    <x v="44"/>
    <n v="11550000"/>
    <x v="0"/>
    <d v="2019-04-17T00:00:00"/>
    <d v="2019-05-21T00:00:00"/>
    <d v="2019-05-21T00:00:00"/>
    <s v="17/4AL"/>
    <m/>
    <m/>
    <m/>
    <d v="2019-05-20T00:00:00"/>
    <n v="2100"/>
    <m/>
    <m/>
    <m/>
    <m/>
    <m/>
    <m/>
    <n v="2100"/>
    <n v="0"/>
    <n v="0"/>
  </r>
  <r>
    <s v="79A/2019"/>
    <d v="2019-02-26T00:00:00"/>
    <s v="KIỀU THY"/>
    <s v="HC01"/>
    <x v="80"/>
    <x v="155"/>
    <s v="HYDE PARK"/>
    <m/>
    <s v="14.16"/>
    <n v="300"/>
    <s v="NL2018"/>
    <m/>
    <n v="7"/>
    <n v="2100"/>
    <x v="57"/>
    <n v="8400000"/>
    <x v="0"/>
    <d v="2019-02-15T00:00:00"/>
    <d v="2019-03-20T00:00:00"/>
    <d v="2019-03-20T00:00:00"/>
    <s v="15/2AL"/>
    <s v="CONT 10/2019"/>
    <d v="2019-03-17T00:00:00"/>
    <m/>
    <d v="2019-03-19T00:00:00"/>
    <n v="2100"/>
    <m/>
    <m/>
    <m/>
    <m/>
    <m/>
    <m/>
    <n v="2100"/>
    <n v="0"/>
    <n v="0"/>
  </r>
  <r>
    <s v="79A/2019"/>
    <d v="2019-02-26T00:00:00"/>
    <s v="KIỀU THY"/>
    <s v="HC01"/>
    <x v="80"/>
    <x v="41"/>
    <s v="PAVIA"/>
    <m/>
    <s v="14.16"/>
    <n v="300"/>
    <s v="NL2018"/>
    <m/>
    <n v="10"/>
    <n v="3000"/>
    <x v="1"/>
    <n v="12600000"/>
    <x v="0"/>
    <d v="2019-02-15T00:00:00"/>
    <d v="2019-03-20T00:00:00"/>
    <d v="2019-03-20T00:00:00"/>
    <s v="15/2AL"/>
    <s v="CONT 10/2019"/>
    <d v="2019-03-17T00:00:00"/>
    <m/>
    <d v="2019-03-19T00:00:00"/>
    <n v="3000"/>
    <m/>
    <m/>
    <m/>
    <m/>
    <m/>
    <m/>
    <n v="3000"/>
    <n v="0"/>
    <n v="0"/>
  </r>
  <r>
    <s v="79A/2019"/>
    <d v="2019-02-26T00:00:00"/>
    <s v="KIỀU THY"/>
    <s v="HC01"/>
    <x v="80"/>
    <x v="80"/>
    <s v="PROFUNDO"/>
    <m/>
    <s v="14.16"/>
    <n v="300"/>
    <s v="NL2018"/>
    <m/>
    <n v="10"/>
    <n v="3000"/>
    <x v="82"/>
    <n v="15600000"/>
    <x v="0"/>
    <d v="2019-02-15T00:00:00"/>
    <d v="2019-03-20T00:00:00"/>
    <d v="2019-03-20T00:00:00"/>
    <s v="15/2AL"/>
    <s v="CONT 12/2019"/>
    <d v="2019-03-17T00:00:00"/>
    <m/>
    <d v="2019-03-19T00:00:00"/>
    <n v="3000"/>
    <m/>
    <m/>
    <m/>
    <m/>
    <m/>
    <m/>
    <n v="3000"/>
    <n v="0"/>
    <n v="0"/>
  </r>
  <r>
    <s v="79A/2019"/>
    <d v="2019-02-26T00:00:00"/>
    <s v="KIỀU THY"/>
    <s v="HC01"/>
    <x v="80"/>
    <x v="15"/>
    <s v="CONCADOR"/>
    <m/>
    <s v="16.18"/>
    <n v="200"/>
    <s v="NL2018"/>
    <m/>
    <n v="15"/>
    <n v="3000"/>
    <x v="18"/>
    <n v="15000000"/>
    <x v="0"/>
    <d v="2019-03-15T00:00:00"/>
    <d v="2019-04-19T00:00:00"/>
    <d v="2019-04-19T00:00:00"/>
    <s v="15/3AL"/>
    <s v="CONT 22/2019"/>
    <d v="2019-04-14T00:00:00"/>
    <m/>
    <d v="2019-04-17T00:00:00"/>
    <n v="3000"/>
    <m/>
    <m/>
    <m/>
    <m/>
    <m/>
    <m/>
    <n v="3000"/>
    <n v="0"/>
    <n v="0"/>
  </r>
  <r>
    <s v="79A/2019"/>
    <d v="2019-02-26T00:00:00"/>
    <s v="KIỀU THY"/>
    <s v="HC01"/>
    <x v="80"/>
    <x v="17"/>
    <s v="NELLO "/>
    <m/>
    <s v="12.14"/>
    <n v="400"/>
    <s v="NL2018"/>
    <m/>
    <n v="18"/>
    <n v="7200"/>
    <x v="17"/>
    <n v="21600000"/>
    <x v="0"/>
    <d v="2019-03-15T00:00:00"/>
    <d v="2019-04-19T00:00:00"/>
    <d v="2019-04-19T00:00:00"/>
    <s v="15/3AL"/>
    <s v="CONT 20/2019"/>
    <d v="2019-04-14T00:00:00"/>
    <m/>
    <d v="2019-04-23T00:00:00"/>
    <n v="7200"/>
    <m/>
    <m/>
    <m/>
    <m/>
    <m/>
    <m/>
    <n v="7200"/>
    <n v="0"/>
    <n v="0"/>
  </r>
  <r>
    <s v="79A/2019"/>
    <d v="2019-02-26T00:00:00"/>
    <s v="KIỀU THY"/>
    <s v="HC01"/>
    <x v="80"/>
    <x v="5"/>
    <s v="PROFUNDO"/>
    <m/>
    <s v="16.18"/>
    <n v="200"/>
    <s v="NL2018"/>
    <m/>
    <n v="15"/>
    <n v="3000"/>
    <x v="45"/>
    <n v="20100000"/>
    <x v="0"/>
    <d v="2019-03-15T00:00:00"/>
    <d v="2019-04-19T00:00:00"/>
    <d v="2019-04-19T00:00:00"/>
    <s v="15/3AL"/>
    <s v="CONT 23/2019"/>
    <d v="2019-04-14T00:00:00"/>
    <m/>
    <d v="2019-04-17T00:00:00"/>
    <n v="3000"/>
    <m/>
    <m/>
    <m/>
    <m/>
    <m/>
    <m/>
    <n v="3000"/>
    <n v="0"/>
    <n v="0"/>
  </r>
  <r>
    <s v="79A/2019"/>
    <d v="2019-02-26T00:00:00"/>
    <s v="KIỀU THY"/>
    <s v="HC01"/>
    <x v="80"/>
    <x v="34"/>
    <s v="TARRANGO"/>
    <m/>
    <s v="16.18"/>
    <n v="200"/>
    <s v="NL2018"/>
    <m/>
    <n v="15"/>
    <n v="3000"/>
    <x v="44"/>
    <n v="16500000"/>
    <x v="0"/>
    <d v="2019-03-15T00:00:00"/>
    <d v="2019-04-19T00:00:00"/>
    <d v="2019-04-19T00:00:00"/>
    <s v="15/3AL"/>
    <s v="CONT 26/2019"/>
    <d v="2019-04-14T00:00:00"/>
    <m/>
    <d v="2019-04-17T00:00:00"/>
    <n v="3000"/>
    <m/>
    <m/>
    <m/>
    <m/>
    <m/>
    <m/>
    <n v="3000"/>
    <n v="0"/>
    <n v="0"/>
  </r>
  <r>
    <s v="79A/2019"/>
    <d v="2019-02-26T00:00:00"/>
    <s v="KIỀU THY"/>
    <s v="HC01"/>
    <x v="80"/>
    <x v="11"/>
    <s v="YELLOWEEN"/>
    <m/>
    <s v="12.14"/>
    <n v="400"/>
    <s v="NL2018"/>
    <m/>
    <n v="13"/>
    <n v="5200"/>
    <x v="12"/>
    <n v="13520000"/>
    <x v="0"/>
    <d v="2019-03-15T00:00:00"/>
    <d v="2019-04-19T00:00:00"/>
    <d v="2019-04-19T00:00:00"/>
    <s v="15/3AL"/>
    <s v="CONT 24/2019"/>
    <d v="2019-04-14T00:00:00"/>
    <m/>
    <d v="2019-04-17T00:00:00"/>
    <n v="5200"/>
    <m/>
    <m/>
    <m/>
    <m/>
    <m/>
    <m/>
    <n v="5200"/>
    <n v="0"/>
    <n v="0"/>
  </r>
  <r>
    <s v="79A/2019"/>
    <d v="2019-02-26T00:00:00"/>
    <s v="KIỀU THY"/>
    <s v="HC01"/>
    <x v="80"/>
    <x v="28"/>
    <s v="YELLOWEEN"/>
    <m/>
    <s v="14.16"/>
    <n v="300"/>
    <s v="NL2018"/>
    <m/>
    <n v="17"/>
    <n v="5100"/>
    <x v="6"/>
    <n v="19380000"/>
    <x v="0"/>
    <d v="2019-03-15T00:00:00"/>
    <d v="2019-04-19T00:00:00"/>
    <d v="2019-04-19T00:00:00"/>
    <s v="15/3AL"/>
    <s v="CONT 27/2019"/>
    <d v="2019-04-14T00:00:00"/>
    <m/>
    <d v="2019-04-23T00:00:00"/>
    <n v="5100"/>
    <m/>
    <m/>
    <m/>
    <m/>
    <m/>
    <m/>
    <n v="5100"/>
    <n v="0"/>
    <n v="0"/>
  </r>
  <r>
    <s v="79A/2019"/>
    <d v="2019-02-26T00:00:00"/>
    <s v="KIỀU THY"/>
    <s v="HC01"/>
    <x v="80"/>
    <x v="3"/>
    <s v="PAVIA"/>
    <m/>
    <s v="12.14"/>
    <n v="400"/>
    <s v="NL2018"/>
    <m/>
    <n v="25"/>
    <n v="10000"/>
    <x v="4"/>
    <n v="28000000"/>
    <x v="0"/>
    <s v="30-Feb-19"/>
    <d v="2019-04-04T00:00:00"/>
    <d v="2019-04-04T00:00:00"/>
    <s v="30/2AL"/>
    <s v="CONT 14/2019"/>
    <d v="2019-03-31T00:00:00"/>
    <m/>
    <d v="2019-04-03T00:00:00"/>
    <n v="10000"/>
    <m/>
    <m/>
    <m/>
    <m/>
    <m/>
    <m/>
    <n v="10000"/>
    <n v="0"/>
    <n v="0"/>
  </r>
  <r>
    <s v="79A/2019"/>
    <d v="2019-02-26T00:00:00"/>
    <s v="KIỀU THY"/>
    <s v="HC01"/>
    <x v="80"/>
    <x v="68"/>
    <s v="TEBALDI"/>
    <m/>
    <s v="12.14"/>
    <n v="400"/>
    <s v="NL2018"/>
    <m/>
    <n v="8"/>
    <n v="3200"/>
    <x v="4"/>
    <n v="8960000"/>
    <x v="0"/>
    <s v="30-Feb-19"/>
    <d v="2019-04-04T00:00:00"/>
    <d v="2019-04-04T00:00:00"/>
    <s v="30/2AL"/>
    <s v="CONT 15/2019"/>
    <d v="2019-03-31T00:00:00"/>
    <m/>
    <d v="2019-04-03T00:00:00"/>
    <n v="3200"/>
    <m/>
    <m/>
    <m/>
    <m/>
    <m/>
    <m/>
    <n v="3200"/>
    <n v="0"/>
    <n v="0"/>
  </r>
  <r>
    <s v="79A/2019"/>
    <d v="2019-06-04T00:00:00"/>
    <s v="KIỀU THY"/>
    <s v="HC01"/>
    <x v="80"/>
    <x v="91"/>
    <s v="FERRERO"/>
    <m/>
    <s v="13.14"/>
    <n v="400"/>
    <s v="NL2018"/>
    <m/>
    <n v="5"/>
    <n v="2000"/>
    <x v="13"/>
    <n v="9000000"/>
    <x v="0"/>
    <d v="2019-05-05T00:00:00"/>
    <d v="2019-06-07T00:00:00"/>
    <d v="2019-06-07T00:00:00"/>
    <m/>
    <m/>
    <m/>
    <m/>
    <d v="2019-06-17T00:00:00"/>
    <n v="2000"/>
    <m/>
    <m/>
    <m/>
    <m/>
    <m/>
    <m/>
    <n v="2000"/>
    <n v="0"/>
    <n v="0"/>
  </r>
  <r>
    <s v="79A/2019"/>
    <d v="2019-06-17T00:00:00"/>
    <s v="KIỀU THY"/>
    <s v="HC01"/>
    <x v="80"/>
    <x v="31"/>
    <s v="TARRANGO"/>
    <m/>
    <s v="14.16"/>
    <n v="300"/>
    <s v="NL2018"/>
    <m/>
    <n v="15"/>
    <n v="4500"/>
    <x v="18"/>
    <n v="22500000"/>
    <x v="3"/>
    <d v="2019-06-15T00:00:00"/>
    <d v="2019-07-17T00:00:00"/>
    <d v="2019-07-17T00:00:00"/>
    <m/>
    <m/>
    <m/>
    <m/>
    <m/>
    <m/>
    <m/>
    <m/>
    <m/>
    <m/>
    <m/>
    <m/>
    <n v="0"/>
    <n v="4500"/>
    <n v="22500000"/>
  </r>
  <r>
    <s v="79A/2019"/>
    <d v="2019-06-17T00:00:00"/>
    <s v="KIỀU THY"/>
    <s v="HC01"/>
    <x v="80"/>
    <x v="3"/>
    <s v="PAVIA"/>
    <m/>
    <s v="12.14"/>
    <n v="400"/>
    <s v="NL2018"/>
    <m/>
    <n v="12"/>
    <n v="4800"/>
    <x v="17"/>
    <n v="14400000"/>
    <x v="3"/>
    <d v="2019-06-15T00:00:00"/>
    <d v="2019-07-17T00:00:00"/>
    <d v="2019-07-17T00:00:00"/>
    <m/>
    <m/>
    <m/>
    <m/>
    <m/>
    <m/>
    <m/>
    <m/>
    <m/>
    <m/>
    <m/>
    <m/>
    <n v="0"/>
    <n v="4800"/>
    <n v="14400000"/>
  </r>
  <r>
    <s v="79A/2019"/>
    <d v="2019-06-17T00:00:00"/>
    <s v="KIỀU THY"/>
    <s v="HC01"/>
    <x v="80"/>
    <x v="11"/>
    <s v="YELLOWEEN"/>
    <m/>
    <s v="12.14"/>
    <n v="400"/>
    <s v="NL2018"/>
    <m/>
    <n v="10"/>
    <n v="4000"/>
    <x v="14"/>
    <n v="11600000"/>
    <x v="3"/>
    <d v="2019-06-15T00:00:00"/>
    <d v="2019-07-17T00:00:00"/>
    <d v="2019-07-17T00:00:00"/>
    <m/>
    <m/>
    <m/>
    <m/>
    <m/>
    <m/>
    <m/>
    <m/>
    <m/>
    <m/>
    <m/>
    <m/>
    <n v="0"/>
    <n v="4000"/>
    <n v="11600000"/>
  </r>
  <r>
    <s v="79A/2019"/>
    <d v="2019-06-17T00:00:00"/>
    <s v="KIỀU THY"/>
    <s v="HC01"/>
    <x v="80"/>
    <x v="5"/>
    <s v="PROFUNDO"/>
    <m/>
    <s v="16.18"/>
    <n v="200"/>
    <s v="NL2018"/>
    <m/>
    <n v="15"/>
    <n v="3000"/>
    <x v="5"/>
    <n v="23100000"/>
    <x v="3"/>
    <d v="2019-06-15T00:00:00"/>
    <d v="2019-07-17T00:00:00"/>
    <d v="2019-07-17T00:00:00"/>
    <m/>
    <m/>
    <m/>
    <m/>
    <m/>
    <m/>
    <m/>
    <m/>
    <m/>
    <m/>
    <m/>
    <m/>
    <n v="0"/>
    <n v="3000"/>
    <n v="23100000"/>
  </r>
  <r>
    <s v="83B/2019"/>
    <d v="2019-03-02T00:00:00"/>
    <s v="THANH THÚY"/>
    <s v="LC01"/>
    <x v="81"/>
    <x v="11"/>
    <s v="YELLOWEEN"/>
    <m/>
    <s v="12.14"/>
    <n v="400"/>
    <s v="NL2018"/>
    <m/>
    <n v="0"/>
    <n v="0"/>
    <x v="12"/>
    <n v="0"/>
    <x v="1"/>
    <d v="2019-02-08T00:00:00"/>
    <d v="2019-03-13T00:00:00"/>
    <d v="2019-03-13T00:00:00"/>
    <s v="giao anh Kin 08/02AL_5.200"/>
    <m/>
    <m/>
    <m/>
    <m/>
    <n v="0"/>
    <m/>
    <m/>
    <m/>
    <m/>
    <m/>
    <m/>
    <n v="0"/>
    <n v="0"/>
    <n v="0"/>
  </r>
  <r>
    <s v="83B/2019"/>
    <d v="2019-03-02T00:00:00"/>
    <s v="THANH THÚY"/>
    <s v="LC01"/>
    <x v="81"/>
    <x v="62"/>
    <s v="BACARDI"/>
    <m/>
    <s v="15.16"/>
    <n v="300"/>
    <s v="NL2018"/>
    <m/>
    <n v="17"/>
    <n v="5100"/>
    <x v="65"/>
    <n v="22287000"/>
    <x v="0"/>
    <d v="2019-02-08T00:00:00"/>
    <d v="2019-03-13T00:00:00"/>
    <d v="2019-03-13T00:00:00"/>
    <s v="giao anh Kin 08/02AL"/>
    <m/>
    <m/>
    <m/>
    <d v="2019-03-14T00:00:00"/>
    <n v="5100"/>
    <m/>
    <m/>
    <m/>
    <m/>
    <m/>
    <m/>
    <n v="5100"/>
    <n v="0"/>
    <n v="0"/>
  </r>
  <r>
    <s v="83B/2019"/>
    <d v="2019-03-02T00:00:00"/>
    <s v="THANH THÚY"/>
    <s v="LC01"/>
    <x v="81"/>
    <x v="32"/>
    <s v="BACARDI"/>
    <m/>
    <s v="16.18"/>
    <n v="200"/>
    <s v="NL2018"/>
    <m/>
    <n v="25"/>
    <n v="5000"/>
    <x v="42"/>
    <n v="31500000"/>
    <x v="0"/>
    <d v="2019-02-08T00:00:00"/>
    <d v="2019-03-13T00:00:00"/>
    <d v="2019-03-13T00:00:00"/>
    <s v="giao anh Kin 08/02AL"/>
    <m/>
    <m/>
    <m/>
    <d v="2019-03-14T00:00:00"/>
    <n v="5000"/>
    <m/>
    <m/>
    <m/>
    <m/>
    <m/>
    <m/>
    <n v="5000"/>
    <n v="0"/>
    <n v="0"/>
  </r>
  <r>
    <s v="83B/2019"/>
    <d v="2019-03-02T00:00:00"/>
    <s v="THANH THÚY"/>
    <s v="LC01"/>
    <x v="81"/>
    <x v="156"/>
    <s v="CONCADOR"/>
    <m/>
    <s v="14.16"/>
    <n v="250"/>
    <s v="NL2018"/>
    <m/>
    <n v="20"/>
    <n v="5000"/>
    <x v="117"/>
    <n v="18500000"/>
    <x v="0"/>
    <d v="2019-02-08T00:00:00"/>
    <d v="2019-03-13T00:00:00"/>
    <d v="2019-03-13T00:00:00"/>
    <s v="giao anh Kin 08/02AL"/>
    <m/>
    <m/>
    <m/>
    <d v="2019-03-14T00:00:00"/>
    <n v="5000"/>
    <m/>
    <m/>
    <m/>
    <m/>
    <m/>
    <m/>
    <n v="5000"/>
    <n v="0"/>
    <n v="0"/>
  </r>
  <r>
    <s v="83B/2019"/>
    <d v="2019-03-02T00:00:00"/>
    <s v="THANH THÚY"/>
    <s v="LC01"/>
    <x v="81"/>
    <x v="15"/>
    <s v="CONCADOR"/>
    <m/>
    <s v="16.18"/>
    <n v="200"/>
    <s v="NL2018"/>
    <m/>
    <n v="40"/>
    <n v="8000"/>
    <x v="0"/>
    <n v="37600000"/>
    <x v="0"/>
    <d v="2019-02-25T00:00:00"/>
    <d v="2019-03-30T00:00:00"/>
    <d v="2019-03-30T00:00:00"/>
    <s v="xả mát, giao anh Kin 20/02AL"/>
    <s v="CONT 10/2019"/>
    <m/>
    <m/>
    <d v="2019-03-25T00:00:00"/>
    <n v="8000"/>
    <m/>
    <m/>
    <m/>
    <m/>
    <m/>
    <m/>
    <n v="8000"/>
    <n v="0"/>
    <n v="0"/>
  </r>
  <r>
    <s v="83B/2019"/>
    <d v="2019-03-02T00:00:00"/>
    <s v="THANH THÚY"/>
    <s v="LC01"/>
    <x v="81"/>
    <x v="47"/>
    <s v="ROBINA"/>
    <m/>
    <s v="18.20"/>
    <n v="150"/>
    <s v="NL2018"/>
    <m/>
    <n v="67"/>
    <n v="10050"/>
    <x v="42"/>
    <n v="63315000"/>
    <x v="0"/>
    <d v="2019-02-25T00:00:00"/>
    <d v="2019-03-30T00:00:00"/>
    <d v="2019-03-30T00:00:00"/>
    <s v="xả mát, giao anh Kin 20/02AL"/>
    <s v="CONT 10/2019"/>
    <m/>
    <m/>
    <d v="2019-03-30T00:00:00"/>
    <n v="10050"/>
    <m/>
    <m/>
    <m/>
    <m/>
    <m/>
    <m/>
    <n v="10050"/>
    <n v="0"/>
    <n v="0"/>
  </r>
  <r>
    <s v="121B/2019"/>
    <d v="2019-03-14T00:00:00"/>
    <s v="THANH THÚY"/>
    <s v="LC01"/>
    <x v="81"/>
    <x v="31"/>
    <s v="TARRANGO"/>
    <m/>
    <s v="14.16"/>
    <n v="300"/>
    <s v="NL2018"/>
    <m/>
    <n v="35"/>
    <n v="10500"/>
    <x v="21"/>
    <n v="48300000"/>
    <x v="0"/>
    <d v="2019-03-15T00:00:00"/>
    <d v="2019-04-19T00:00:00"/>
    <d v="2019-04-19T00:00:00"/>
    <s v="15/3AL"/>
    <s v="CONT 24/2019"/>
    <m/>
    <m/>
    <d v="2019-04-19T00:00:00"/>
    <n v="10500"/>
    <m/>
    <m/>
    <m/>
    <m/>
    <m/>
    <m/>
    <n v="10500"/>
    <n v="0"/>
    <n v="0"/>
  </r>
  <r>
    <s v="121B/2019"/>
    <d v="2019-03-14T00:00:00"/>
    <s v="THANH THÚY"/>
    <s v="LC01"/>
    <x v="81"/>
    <x v="22"/>
    <s v="ROBINA"/>
    <m/>
    <s v="16.18"/>
    <n v="200"/>
    <s v="NL2018"/>
    <m/>
    <n v="30"/>
    <n v="6000"/>
    <x v="18"/>
    <n v="30000000"/>
    <x v="0"/>
    <s v="29-Feb-19"/>
    <d v="2019-04-03T00:00:00"/>
    <d v="2019-04-03T00:00:00"/>
    <s v="28/2AL"/>
    <m/>
    <m/>
    <m/>
    <d v="2019-04-03T00:00:00"/>
    <n v="6000"/>
    <m/>
    <m/>
    <m/>
    <m/>
    <m/>
    <m/>
    <n v="6000"/>
    <n v="0"/>
    <n v="0"/>
  </r>
  <r>
    <s v="121B/2019"/>
    <d v="2019-03-14T00:00:00"/>
    <s v="THANH THÚY"/>
    <s v="LC01"/>
    <x v="81"/>
    <x v="24"/>
    <s v="SERANO"/>
    <m/>
    <s v="14.16"/>
    <n v="300"/>
    <s v="NL2018"/>
    <m/>
    <n v="17"/>
    <n v="5100"/>
    <x v="25"/>
    <n v="18360000"/>
    <x v="0"/>
    <s v="29-Feb-19"/>
    <d v="2019-04-03T00:00:00"/>
    <d v="2019-04-03T00:00:00"/>
    <s v="28/2AL"/>
    <m/>
    <m/>
    <m/>
    <d v="2019-04-03T00:00:00"/>
    <n v="5100"/>
    <m/>
    <m/>
    <m/>
    <m/>
    <m/>
    <m/>
    <n v="5100"/>
    <n v="0"/>
    <n v="0"/>
  </r>
  <r>
    <s v="121B/2019"/>
    <d v="2019-03-14T00:00:00"/>
    <s v="THANH THÚY"/>
    <s v="LC01"/>
    <x v="81"/>
    <x v="47"/>
    <s v="ROBINA"/>
    <m/>
    <s v="18.20"/>
    <n v="150"/>
    <s v="NL2018"/>
    <m/>
    <n v="67"/>
    <n v="10050"/>
    <x v="122"/>
    <n v="65304900"/>
    <x v="0"/>
    <d v="2019-04-17T00:00:00"/>
    <d v="2019-05-21T00:00:00"/>
    <d v="2019-05-21T00:00:00"/>
    <s v="30/3AL"/>
    <m/>
    <m/>
    <m/>
    <d v="2019-05-24T00:00:00"/>
    <n v="10050"/>
    <m/>
    <m/>
    <m/>
    <m/>
    <m/>
    <m/>
    <n v="10050"/>
    <n v="0"/>
    <n v="0"/>
  </r>
  <r>
    <s v="121B/2019"/>
    <d v="2019-03-14T00:00:00"/>
    <s v="THANH THÚY"/>
    <s v="LC01"/>
    <x v="81"/>
    <x v="28"/>
    <s v="YELLOWEEN"/>
    <m/>
    <s v="14.16"/>
    <n v="300"/>
    <s v="NL2018"/>
    <m/>
    <n v="34"/>
    <n v="10200"/>
    <x v="6"/>
    <n v="38760000"/>
    <x v="0"/>
    <d v="2019-03-15T00:00:00"/>
    <d v="2019-04-19T00:00:00"/>
    <d v="2019-04-19T00:00:00"/>
    <s v="15/3AL"/>
    <s v="CONT 20/2019"/>
    <m/>
    <m/>
    <d v="2019-04-23T00:00:00"/>
    <n v="10200"/>
    <m/>
    <m/>
    <m/>
    <m/>
    <m/>
    <m/>
    <n v="10200"/>
    <n v="0"/>
    <n v="0"/>
  </r>
  <r>
    <s v="121B/2019"/>
    <d v="2019-03-14T00:00:00"/>
    <s v="THANH THÚY"/>
    <s v="LC01"/>
    <x v="81"/>
    <x v="28"/>
    <s v="YELLOWEEN"/>
    <m/>
    <s v="14.16"/>
    <n v="300"/>
    <s v="NL2018"/>
    <m/>
    <n v="32"/>
    <n v="9600"/>
    <x v="6"/>
    <n v="36480000"/>
    <x v="0"/>
    <d v="2019-04-17T00:00:00"/>
    <d v="2019-05-21T00:00:00"/>
    <d v="2019-05-21T00:00:00"/>
    <s v="17/4AL"/>
    <m/>
    <m/>
    <m/>
    <d v="2019-05-24T00:00:00"/>
    <n v="9600"/>
    <m/>
    <m/>
    <m/>
    <m/>
    <m/>
    <m/>
    <n v="9600"/>
    <n v="0"/>
    <n v="0"/>
  </r>
  <r>
    <s v="121B/2019"/>
    <d v="2019-03-14T00:00:00"/>
    <s v="THANH THÚY"/>
    <s v="LC01"/>
    <x v="81"/>
    <x v="30"/>
    <s v="MALDANO"/>
    <m/>
    <s v="16.18"/>
    <n v="200"/>
    <s v="NL2018"/>
    <m/>
    <n v="10"/>
    <n v="2000"/>
    <x v="55"/>
    <n v="10600000"/>
    <x v="0"/>
    <d v="2019-04-17T00:00:00"/>
    <d v="2019-05-21T00:00:00"/>
    <d v="2019-05-21T00:00:00"/>
    <s v="17/4AL"/>
    <m/>
    <m/>
    <m/>
    <d v="2019-05-24T00:00:00"/>
    <n v="2000"/>
    <m/>
    <m/>
    <m/>
    <m/>
    <m/>
    <m/>
    <n v="2000"/>
    <n v="0"/>
    <n v="0"/>
  </r>
  <r>
    <s v="181B/2019"/>
    <d v="2019-05-15T00:00:00"/>
    <s v="THANH THÚY"/>
    <s v="LC01"/>
    <x v="81"/>
    <x v="28"/>
    <s v="YELLOWEEN"/>
    <m/>
    <s v="14.16"/>
    <n v="300"/>
    <s v="NL2018"/>
    <m/>
    <n v="34"/>
    <n v="10200"/>
    <x v="6"/>
    <n v="38760000"/>
    <x v="0"/>
    <d v="2019-05-05T00:00:00"/>
    <d v="2019-06-07T00:00:00"/>
    <d v="2019-06-07T00:00:00"/>
    <s v="05/5AL"/>
    <m/>
    <m/>
    <m/>
    <d v="2019-06-10T00:00:00"/>
    <n v="10200"/>
    <m/>
    <m/>
    <m/>
    <m/>
    <m/>
    <m/>
    <n v="10200"/>
    <n v="0"/>
    <n v="0"/>
  </r>
  <r>
    <s v="181B/2019"/>
    <d v="2019-05-29T00:00:00"/>
    <s v="THANH THÚY"/>
    <s v="LC01"/>
    <x v="81"/>
    <x v="31"/>
    <s v="TARRANGO"/>
    <m/>
    <s v="14.16"/>
    <n v="300"/>
    <s v="NL2018"/>
    <m/>
    <n v="50"/>
    <n v="15000"/>
    <x v="23"/>
    <n v="72000000"/>
    <x v="0"/>
    <d v="2019-05-05T00:00:00"/>
    <d v="2019-06-07T00:00:00"/>
    <d v="2019-06-07T00:00:00"/>
    <s v="05/5AL"/>
    <m/>
    <m/>
    <m/>
    <d v="2019-06-10T00:00:00"/>
    <n v="5100"/>
    <d v="2019-06-18T00:00:00"/>
    <n v="9900"/>
    <m/>
    <m/>
    <m/>
    <m/>
    <n v="15000"/>
    <n v="0"/>
    <n v="0"/>
  </r>
  <r>
    <s v="181B/2019"/>
    <d v="2019-05-24T00:00:00"/>
    <s v="THANH THÚY"/>
    <s v="LC01"/>
    <x v="81"/>
    <x v="57"/>
    <s v="DALIAN"/>
    <m/>
    <s v="14.16"/>
    <n v="300"/>
    <s v="NL2018"/>
    <m/>
    <n v="0"/>
    <n v="0"/>
    <x v="44"/>
    <n v="0"/>
    <x v="1"/>
    <d v="2019-05-05T00:00:00"/>
    <d v="2019-06-07T00:00:00"/>
    <d v="2019-06-07T00:00:00"/>
    <m/>
    <s v="Giao cử 30/5"/>
    <m/>
    <m/>
    <m/>
    <m/>
    <m/>
    <m/>
    <m/>
    <m/>
    <m/>
    <m/>
    <n v="0"/>
    <n v="0"/>
    <n v="0"/>
  </r>
  <r>
    <s v="181B/2019"/>
    <d v="2019-05-29T00:00:00"/>
    <s v="THANH THÚY"/>
    <s v="LC01"/>
    <x v="81"/>
    <x v="28"/>
    <s v="YELLOWEEN"/>
    <m/>
    <s v="14.16"/>
    <n v="300"/>
    <s v="NL2018"/>
    <m/>
    <n v="10"/>
    <n v="3000"/>
    <x v="56"/>
    <n v="11700000"/>
    <x v="4"/>
    <d v="2019-05-05T00:00:00"/>
    <d v="2019-06-07T00:00:00"/>
    <d v="2019-06-07T00:00:00"/>
    <m/>
    <s v="Giao cử 30/5"/>
    <m/>
    <m/>
    <m/>
    <m/>
    <m/>
    <m/>
    <m/>
    <m/>
    <m/>
    <m/>
    <n v="0"/>
    <n v="3000"/>
    <n v="11700000"/>
  </r>
  <r>
    <s v="181B/2019"/>
    <d v="2019-05-29T00:00:00"/>
    <s v="THANH THÚY"/>
    <s v="LC01"/>
    <x v="81"/>
    <x v="28"/>
    <s v="YELLOWEEN"/>
    <m/>
    <s v="14.16"/>
    <n v="300"/>
    <s v="NL2018"/>
    <m/>
    <n v="23"/>
    <n v="6900"/>
    <x v="56"/>
    <n v="26910000"/>
    <x v="3"/>
    <d v="2019-05-18T00:00:00"/>
    <d v="2019-06-20T00:00:00"/>
    <d v="2019-06-20T00:00:00"/>
    <m/>
    <s v="Giao cử 30/5"/>
    <m/>
    <m/>
    <m/>
    <m/>
    <m/>
    <m/>
    <m/>
    <m/>
    <m/>
    <m/>
    <n v="0"/>
    <n v="6900"/>
    <n v="26910000"/>
  </r>
  <r>
    <s v="181B/2019"/>
    <d v="2019-05-15T00:00:00"/>
    <s v="THANH THÚY"/>
    <s v="LC01"/>
    <x v="81"/>
    <x v="28"/>
    <s v="YELLOWEEN"/>
    <m/>
    <s v="14.16"/>
    <n v="300"/>
    <s v="NL2018"/>
    <m/>
    <n v="34"/>
    <n v="10200"/>
    <x v="57"/>
    <n v="40800000"/>
    <x v="3"/>
    <d v="2019-06-15T00:00:00"/>
    <d v="2019-07-17T00:00:00"/>
    <d v="2019-07-17T00:00:00"/>
    <s v="05/5AL"/>
    <m/>
    <m/>
    <m/>
    <m/>
    <m/>
    <m/>
    <m/>
    <m/>
    <m/>
    <m/>
    <m/>
    <n v="0"/>
    <n v="10200"/>
    <n v="40800000"/>
  </r>
  <r>
    <s v="181B/2019"/>
    <d v="2019-05-15T00:00:00"/>
    <s v="THANH THÚY"/>
    <s v="LC01"/>
    <x v="81"/>
    <x v="67"/>
    <s v="INDIANA"/>
    <m/>
    <s v="14.16"/>
    <n v="300"/>
    <s v="NL2018"/>
    <m/>
    <n v="0"/>
    <n v="0"/>
    <x v="77"/>
    <n v="0"/>
    <x v="1"/>
    <d v="2019-06-15T00:00:00"/>
    <d v="2019-07-17T00:00:00"/>
    <d v="2019-07-17T00:00:00"/>
    <s v="05/5AL"/>
    <m/>
    <m/>
    <m/>
    <m/>
    <m/>
    <m/>
    <m/>
    <m/>
    <m/>
    <m/>
    <m/>
    <n v="0"/>
    <n v="0"/>
    <n v="0"/>
  </r>
  <r>
    <s v="181B/2019"/>
    <d v="2019-05-29T00:00:00"/>
    <s v="THANH THÚY"/>
    <s v="LC01"/>
    <x v="81"/>
    <x v="28"/>
    <s v="YELLOWEEN"/>
    <m/>
    <s v="14.16"/>
    <n v="300"/>
    <s v="NL2018"/>
    <m/>
    <n v="34"/>
    <n v="10200"/>
    <x v="57"/>
    <n v="40800000"/>
    <x v="2"/>
    <d v="2019-06-29T00:00:00"/>
    <d v="2019-07-31T00:00:00"/>
    <d v="2019-07-31T00:00:00"/>
    <m/>
    <m/>
    <m/>
    <m/>
    <m/>
    <m/>
    <m/>
    <m/>
    <m/>
    <m/>
    <m/>
    <m/>
    <n v="0"/>
    <n v="10200"/>
    <n v="40800000"/>
  </r>
  <r>
    <s v="181B/2019"/>
    <d v="2019-05-29T00:00:00"/>
    <s v="THANH THÚY"/>
    <s v="LC01"/>
    <x v="81"/>
    <x v="28"/>
    <s v="YELLOWEEN"/>
    <m/>
    <s v="14.16"/>
    <n v="300"/>
    <s v="NL2018"/>
    <m/>
    <n v="34"/>
    <n v="10200"/>
    <x v="57"/>
    <n v="40800000"/>
    <x v="2"/>
    <d v="2019-07-15T00:00:00"/>
    <d v="2019-08-15T00:00:00"/>
    <d v="2019-08-15T00:00:00"/>
    <m/>
    <m/>
    <m/>
    <m/>
    <m/>
    <m/>
    <m/>
    <m/>
    <m/>
    <m/>
    <m/>
    <m/>
    <n v="0"/>
    <n v="10200"/>
    <n v="40800000"/>
  </r>
  <r>
    <s v="121B/2019"/>
    <d v="2019-03-14T00:00:00"/>
    <s v="THANH THÚY"/>
    <s v="LC01"/>
    <x v="81"/>
    <x v="48"/>
    <s v="SERANO"/>
    <m/>
    <s v="16.18"/>
    <n v="200"/>
    <s v="NL2018"/>
    <m/>
    <n v="0"/>
    <n v="0"/>
    <x v="82"/>
    <n v="0"/>
    <x v="1"/>
    <d v="2019-04-29T00:00:00"/>
    <d v="2019-06-02T00:00:00"/>
    <d v="2019-06-02T00:00:00"/>
    <s v="29/4AL"/>
    <m/>
    <m/>
    <m/>
    <m/>
    <m/>
    <m/>
    <m/>
    <m/>
    <m/>
    <m/>
    <m/>
    <n v="0"/>
    <n v="0"/>
    <n v="0"/>
  </r>
  <r>
    <s v="121B/2019"/>
    <d v="2019-03-14T00:00:00"/>
    <s v="THANH THÚY"/>
    <s v="LC01"/>
    <x v="81"/>
    <x v="62"/>
    <s v="BACARDI"/>
    <m/>
    <s v="15.16"/>
    <n v="300"/>
    <s v="NL2018"/>
    <m/>
    <n v="0"/>
    <n v="0"/>
    <x v="13"/>
    <n v="0"/>
    <x v="1"/>
    <d v="2019-03-15T00:00:00"/>
    <d v="2019-04-19T00:00:00"/>
    <d v="2019-04-19T00:00:00"/>
    <s v="15/3AL"/>
    <m/>
    <m/>
    <m/>
    <m/>
    <m/>
    <m/>
    <m/>
    <m/>
    <m/>
    <m/>
    <m/>
    <n v="0"/>
    <n v="0"/>
    <n v="0"/>
  </r>
  <r>
    <s v="153B/2019"/>
    <d v="2019-04-03T00:00:00"/>
    <s v="THANH THÚY"/>
    <s v="LC01"/>
    <x v="81"/>
    <x v="6"/>
    <s v="CONCADOR"/>
    <m/>
    <s v="20.22"/>
    <n v="125"/>
    <s v="NL2018"/>
    <m/>
    <n v="80"/>
    <n v="10000"/>
    <x v="59"/>
    <n v="105000000"/>
    <x v="2"/>
    <d v="2019-09-01T00:00:00"/>
    <d v="2019-09-29T00:00:00"/>
    <d v="2019-09-29T00:00:00"/>
    <s v="TẾT"/>
    <m/>
    <m/>
    <m/>
    <m/>
    <n v="0"/>
    <m/>
    <m/>
    <m/>
    <m/>
    <m/>
    <m/>
    <n v="0"/>
    <n v="10000"/>
    <n v="105000000"/>
  </r>
  <r>
    <s v="153B/2019"/>
    <d v="2019-04-03T00:00:00"/>
    <s v="THANH THÚY"/>
    <s v="LC01"/>
    <x v="81"/>
    <x v="16"/>
    <s v="ROBINA"/>
    <m/>
    <s v="20.22"/>
    <n v="125"/>
    <s v="NL2018"/>
    <m/>
    <n v="80"/>
    <n v="10000"/>
    <x v="59"/>
    <n v="105000000"/>
    <x v="2"/>
    <d v="2019-09-01T00:00:00"/>
    <d v="2019-09-29T00:00:00"/>
    <d v="2019-09-29T00:00:00"/>
    <s v="TẾT"/>
    <m/>
    <m/>
    <m/>
    <m/>
    <n v="0"/>
    <m/>
    <m/>
    <m/>
    <m/>
    <m/>
    <m/>
    <n v="0"/>
    <n v="10000"/>
    <n v="105000000"/>
  </r>
  <r>
    <s v="148A/2019"/>
    <d v="2019-03-26T00:00:00"/>
    <s v="KIỀU THY"/>
    <s v="DT02"/>
    <x v="82"/>
    <x v="6"/>
    <s v="CONCADOR"/>
    <m/>
    <s v="20.22"/>
    <s v="125"/>
    <s v="NL2018"/>
    <m/>
    <n v="80"/>
    <n v="10000"/>
    <x v="59"/>
    <n v="105000000"/>
    <x v="2"/>
    <d v="2019-09-01T00:00:00"/>
    <d v="2019-09-29T00:00:00"/>
    <d v="2019-09-29T00:00:00"/>
    <s v="TẾT"/>
    <m/>
    <m/>
    <m/>
    <m/>
    <m/>
    <m/>
    <m/>
    <m/>
    <m/>
    <m/>
    <m/>
    <n v="0"/>
    <n v="10000"/>
    <n v="105000000"/>
  </r>
  <r>
    <s v="148A/2019"/>
    <d v="2019-03-26T00:00:00"/>
    <s v="KIỀU THY"/>
    <s v="DT02"/>
    <x v="82"/>
    <x v="26"/>
    <s v="ROBINA"/>
    <m/>
    <s v="22.24"/>
    <s v="100"/>
    <s v="NL2018"/>
    <m/>
    <n v="60"/>
    <n v="6000"/>
    <x v="29"/>
    <n v="75000000"/>
    <x v="2"/>
    <d v="2019-09-01T00:00:00"/>
    <d v="2019-09-29T00:00:00"/>
    <d v="2019-09-29T00:00:00"/>
    <s v="TẾT"/>
    <m/>
    <m/>
    <m/>
    <m/>
    <m/>
    <m/>
    <m/>
    <m/>
    <m/>
    <m/>
    <m/>
    <n v="0"/>
    <n v="6000"/>
    <n v="75000000"/>
  </r>
  <r>
    <s v="180A/2019"/>
    <d v="2019-04-08T00:00:00"/>
    <s v="KIỀU THY"/>
    <s v="CL03"/>
    <x v="83"/>
    <x v="28"/>
    <s v="YELLOWEEN"/>
    <m/>
    <s v="14.16"/>
    <s v="300"/>
    <s v="NL2018"/>
    <m/>
    <n v="1"/>
    <n v="300"/>
    <x v="23"/>
    <n v="1440000"/>
    <x v="0"/>
    <d v="2019-02-28T00:00:00"/>
    <d v="2019-04-02T00:00:00"/>
    <d v="2019-04-02T00:00:00"/>
    <s v="30/2AL"/>
    <m/>
    <m/>
    <m/>
    <d v="2019-04-23T00:00:00"/>
    <n v="300"/>
    <m/>
    <m/>
    <m/>
    <m/>
    <m/>
    <m/>
    <n v="300"/>
    <n v="0"/>
    <n v="0"/>
  </r>
  <r>
    <s v="180A/2019"/>
    <d v="2019-04-08T00:00:00"/>
    <s v="KIỀU THY"/>
    <s v="CL03"/>
    <x v="83"/>
    <x v="66"/>
    <s v="ALUSTA"/>
    <m/>
    <s v="14.16"/>
    <s v="300"/>
    <s v="NL2018"/>
    <m/>
    <n v="1"/>
    <n v="300"/>
    <x v="18"/>
    <n v="1500000"/>
    <x v="0"/>
    <d v="2019-02-28T00:00:00"/>
    <d v="2019-04-02T00:00:00"/>
    <d v="2019-04-02T00:00:00"/>
    <s v="30/2AL"/>
    <m/>
    <m/>
    <m/>
    <d v="2019-04-23T00:00:00"/>
    <n v="300"/>
    <m/>
    <m/>
    <m/>
    <m/>
    <m/>
    <m/>
    <n v="300"/>
    <n v="0"/>
    <n v="0"/>
  </r>
  <r>
    <s v="180A/2019"/>
    <d v="2019-04-08T00:00:00"/>
    <s v="KIỀU THY"/>
    <s v="CL03"/>
    <x v="83"/>
    <x v="31"/>
    <s v="TARRANGO"/>
    <m/>
    <s v="14.16"/>
    <s v="300"/>
    <s v="NL2018"/>
    <m/>
    <n v="1"/>
    <n v="300"/>
    <x v="48"/>
    <n v="1680000"/>
    <x v="0"/>
    <d v="2019-02-28T00:00:00"/>
    <d v="2019-04-02T00:00:00"/>
    <d v="2019-04-02T00:00:00"/>
    <s v="30/2AL"/>
    <m/>
    <m/>
    <m/>
    <d v="2019-04-23T00:00:00"/>
    <n v="300"/>
    <m/>
    <m/>
    <m/>
    <m/>
    <m/>
    <m/>
    <n v="300"/>
    <n v="0"/>
    <n v="0"/>
  </r>
  <r>
    <s v="180A/2019"/>
    <d v="2019-04-08T00:00:00"/>
    <s v="KIỀU THY"/>
    <s v="CL03"/>
    <x v="83"/>
    <x v="29"/>
    <s v="MANISSA"/>
    <m/>
    <s v="16.18"/>
    <s v="200"/>
    <s v="NL2018"/>
    <m/>
    <n v="1"/>
    <n v="200"/>
    <x v="27"/>
    <n v="1600000"/>
    <x v="0"/>
    <d v="2019-03-15T00:00:00"/>
    <d v="2019-04-19T00:00:00"/>
    <d v="2019-04-19T00:00:00"/>
    <s v="15/3AL"/>
    <m/>
    <m/>
    <m/>
    <d v="2019-04-23T00:00:00"/>
    <n v="200"/>
    <m/>
    <m/>
    <m/>
    <m/>
    <m/>
    <m/>
    <n v="200"/>
    <n v="0"/>
    <n v="0"/>
  </r>
  <r>
    <s v="180A/2019"/>
    <d v="2019-04-08T00:00:00"/>
    <s v="KIỀU THY"/>
    <s v="CL03"/>
    <x v="83"/>
    <x v="140"/>
    <s v="LODI"/>
    <m/>
    <s v="16.18"/>
    <s v="200"/>
    <s v="NL2018"/>
    <m/>
    <n v="1"/>
    <n v="200"/>
    <x v="88"/>
    <n v="1640000"/>
    <x v="0"/>
    <d v="2019-03-15T00:00:00"/>
    <d v="2019-04-19T00:00:00"/>
    <d v="2019-04-19T00:00:00"/>
    <s v="15/3AL"/>
    <m/>
    <m/>
    <m/>
    <d v="2019-04-23T00:00:00"/>
    <n v="200"/>
    <m/>
    <m/>
    <m/>
    <m/>
    <m/>
    <m/>
    <n v="200"/>
    <n v="0"/>
    <n v="0"/>
  </r>
  <r>
    <s v="180A/2019"/>
    <d v="2019-04-08T00:00:00"/>
    <s v="KIỀU THY"/>
    <s v="CL03"/>
    <x v="83"/>
    <x v="149"/>
    <s v="PARAGUAY"/>
    <m/>
    <s v="14.16"/>
    <s v="275"/>
    <s v="NL2018"/>
    <m/>
    <n v="1"/>
    <n v="275"/>
    <x v="48"/>
    <n v="1540000"/>
    <x v="0"/>
    <d v="2019-03-15T00:00:00"/>
    <d v="2019-04-19T00:00:00"/>
    <d v="2019-04-19T00:00:00"/>
    <s v="15/3AL"/>
    <m/>
    <m/>
    <m/>
    <d v="2019-04-23T00:00:00"/>
    <n v="275"/>
    <m/>
    <m/>
    <m/>
    <m/>
    <m/>
    <m/>
    <n v="275"/>
    <n v="0"/>
    <n v="0"/>
  </r>
  <r>
    <s v="180A/2019"/>
    <d v="2019-04-08T00:00:00"/>
    <s v="KIỀU THY"/>
    <s v="CL03"/>
    <x v="83"/>
    <x v="80"/>
    <s v="PROFUNDO"/>
    <m/>
    <s v="14.16"/>
    <s v="300"/>
    <s v="NL2018"/>
    <m/>
    <n v="1"/>
    <n v="300"/>
    <x v="46"/>
    <n v="1800000"/>
    <x v="0"/>
    <d v="2019-03-15T00:00:00"/>
    <d v="2019-04-19T00:00:00"/>
    <d v="2019-04-19T00:00:00"/>
    <s v="15/3AL"/>
    <m/>
    <m/>
    <m/>
    <d v="2019-04-23T00:00:00"/>
    <n v="300"/>
    <m/>
    <m/>
    <m/>
    <m/>
    <m/>
    <m/>
    <n v="300"/>
    <n v="0"/>
    <n v="0"/>
  </r>
  <r>
    <s v="19A/2019"/>
    <d v="2019-01-05T00:00:00"/>
    <s v="KIỀU THY"/>
    <s v="CH01"/>
    <x v="84"/>
    <x v="15"/>
    <s v="CONCADOR "/>
    <m/>
    <s v="16.18"/>
    <n v="200"/>
    <s v="NL2018"/>
    <m/>
    <n v="75"/>
    <n v="15000"/>
    <x v="18"/>
    <n v="75000000"/>
    <x v="4"/>
    <d v="2019-03-15T00:00:00"/>
    <d v="2019-04-19T00:00:00"/>
    <d v="2019-04-19T00:00:00"/>
    <s v="15/3AL"/>
    <m/>
    <m/>
    <m/>
    <d v="2019-05-24T00:00:00"/>
    <n v="5000"/>
    <m/>
    <m/>
    <m/>
    <m/>
    <m/>
    <m/>
    <n v="5000"/>
    <n v="10000"/>
    <n v="50000000"/>
  </r>
  <r>
    <s v="19A/2019"/>
    <d v="2019-02-03T00:00:00"/>
    <s v="KIỀU THY"/>
    <s v="CH01"/>
    <x v="84"/>
    <x v="47"/>
    <s v="ROBINA"/>
    <m/>
    <s v="18.20"/>
    <n v="150"/>
    <s v="NL2018"/>
    <s v="dlw"/>
    <n v="267"/>
    <n v="40050"/>
    <x v="134"/>
    <n v="261446400"/>
    <x v="4"/>
    <d v="2019-04-17T00:00:00"/>
    <d v="2019-05-21T00:00:00"/>
    <d v="2019-05-21T00:00:00"/>
    <s v="17/4AL"/>
    <m/>
    <m/>
    <m/>
    <m/>
    <n v="0"/>
    <m/>
    <m/>
    <m/>
    <m/>
    <m/>
    <m/>
    <n v="0"/>
    <n v="40050"/>
    <n v="261446400"/>
  </r>
  <r>
    <s v="19A/2019"/>
    <d v="2019-02-03T00:00:00"/>
    <s v="KIỀU THY"/>
    <s v="CH01"/>
    <x v="84"/>
    <x v="47"/>
    <s v="ROBINA"/>
    <m/>
    <s v="18.20"/>
    <n v="150"/>
    <s v="NL2018"/>
    <m/>
    <n v="200"/>
    <n v="30000"/>
    <x v="138"/>
    <n v="208650000"/>
    <x v="2"/>
    <d v="2019-08-01T00:00:00"/>
    <d v="2019-08-30T00:00:00"/>
    <d v="2019-08-30T00:00:00"/>
    <s v="T8/AL"/>
    <m/>
    <m/>
    <m/>
    <m/>
    <n v="0"/>
    <m/>
    <m/>
    <m/>
    <m/>
    <m/>
    <m/>
    <n v="0"/>
    <n v="30000"/>
    <n v="208650000"/>
  </r>
  <r>
    <s v="19A/2019"/>
    <d v="2019-01-05T00:00:00"/>
    <s v="KIỀU THY"/>
    <s v="CH01"/>
    <x v="84"/>
    <x v="32"/>
    <s v="BACARDI"/>
    <m/>
    <s v="16.18"/>
    <n v="200"/>
    <s v="NL2018"/>
    <m/>
    <n v="50"/>
    <n v="10000"/>
    <x v="42"/>
    <n v="63000000"/>
    <x v="0"/>
    <d v="2019-01-15T00:00:00"/>
    <d v="2019-02-19T00:00:00"/>
    <d v="2019-02-19T00:00:00"/>
    <s v="15/1AL"/>
    <m/>
    <m/>
    <s v="R"/>
    <d v="2019-02-25T00:00:00"/>
    <n v="6000"/>
    <d v="2019-03-02T00:00:00"/>
    <n v="4000"/>
    <m/>
    <m/>
    <m/>
    <m/>
    <n v="10000"/>
    <n v="0"/>
    <n v="0"/>
  </r>
  <r>
    <s v="19A/2019"/>
    <d v="2019-01-05T00:00:00"/>
    <s v="KIỀU THY"/>
    <s v="CH01"/>
    <x v="84"/>
    <x v="15"/>
    <s v="CONCADOR "/>
    <m/>
    <s v="16.18"/>
    <n v="200"/>
    <s v="NL2018"/>
    <m/>
    <n v="100"/>
    <n v="20000"/>
    <x v="21"/>
    <n v="92000000"/>
    <x v="0"/>
    <d v="2019-01-15T00:00:00"/>
    <d v="2019-02-19T00:00:00"/>
    <d v="2019-02-19T00:00:00"/>
    <s v="15/1AL"/>
    <m/>
    <m/>
    <s v="R"/>
    <d v="2019-02-25T00:00:00"/>
    <n v="6600"/>
    <d v="2019-03-02T00:00:00"/>
    <n v="13400"/>
    <m/>
    <m/>
    <m/>
    <m/>
    <n v="20000"/>
    <n v="0"/>
    <n v="0"/>
  </r>
  <r>
    <s v="19A/2019"/>
    <d v="2019-01-05T00:00:00"/>
    <s v="KIỀU THY"/>
    <s v="CH01"/>
    <x v="84"/>
    <x v="15"/>
    <s v="CONCADOR "/>
    <m/>
    <s v="16.18"/>
    <n v="200"/>
    <s v="NL2018"/>
    <m/>
    <n v="50"/>
    <n v="10000"/>
    <x v="21"/>
    <n v="46000000"/>
    <x v="0"/>
    <d v="2019-01-23T00:00:00"/>
    <d v="2019-02-27T00:00:00"/>
    <d v="2019-02-27T00:00:00"/>
    <s v="23/1AL"/>
    <m/>
    <m/>
    <m/>
    <d v="2019-03-14T00:00:00"/>
    <n v="6800"/>
    <d v="2019-03-19T00:00:00"/>
    <n v="3200"/>
    <m/>
    <m/>
    <m/>
    <m/>
    <n v="10000"/>
    <n v="0"/>
    <n v="0"/>
  </r>
  <r>
    <s v="19A/2019"/>
    <d v="2019-02-03T00:00:00"/>
    <s v="KIỀU THY"/>
    <s v="CH01"/>
    <x v="84"/>
    <x v="145"/>
    <s v="DALIAN"/>
    <m/>
    <s v="16.18"/>
    <n v="200"/>
    <s v="NL2018"/>
    <m/>
    <n v="25"/>
    <n v="5000"/>
    <x v="45"/>
    <n v="33500000"/>
    <x v="0"/>
    <d v="2019-02-15T00:00:00"/>
    <d v="2019-03-20T00:00:00"/>
    <d v="2019-03-20T00:00:00"/>
    <s v="15/2AL"/>
    <s v="CONT 11/2019"/>
    <d v="2019-03-17T00:00:00"/>
    <s v="R"/>
    <d v="2019-03-19T00:00:00"/>
    <n v="5000"/>
    <m/>
    <m/>
    <m/>
    <m/>
    <m/>
    <m/>
    <n v="5000"/>
    <n v="0"/>
    <n v="0"/>
  </r>
  <r>
    <s v="19A/2019"/>
    <d v="2019-02-03T00:00:00"/>
    <s v="KIỀU THY"/>
    <s v="CH01"/>
    <x v="84"/>
    <x v="5"/>
    <s v="PROFUNDO"/>
    <m/>
    <s v="16.18"/>
    <n v="200"/>
    <s v="NL2018"/>
    <m/>
    <n v="64"/>
    <n v="12800"/>
    <x v="45"/>
    <n v="85760000"/>
    <x v="0"/>
    <d v="2019-02-15T00:00:00"/>
    <d v="2019-03-20T00:00:00"/>
    <d v="2019-03-20T00:00:00"/>
    <s v="15/2AL"/>
    <s v="CONT 12/2019"/>
    <d v="2019-03-17T00:00:00"/>
    <m/>
    <d v="2019-03-19T00:00:00"/>
    <n v="7800"/>
    <d v="2019-04-09T00:00:00"/>
    <n v="5000"/>
    <m/>
    <m/>
    <m/>
    <m/>
    <n v="12800"/>
    <n v="0"/>
    <n v="0"/>
  </r>
  <r>
    <s v="19A/2019"/>
    <d v="2019-04-23T00:00:00"/>
    <s v="KIỀU THY"/>
    <s v="CH01"/>
    <x v="84"/>
    <x v="157"/>
    <s v="CARBONERO"/>
    <m/>
    <s v="18.20"/>
    <n v="150"/>
    <s v="NL2018"/>
    <m/>
    <n v="67"/>
    <n v="10050"/>
    <x v="102"/>
    <n v="83415000"/>
    <x v="2"/>
    <d v="2019-08-01T00:00:00"/>
    <d v="2019-08-30T00:00:00"/>
    <d v="2019-08-30T00:00:00"/>
    <m/>
    <m/>
    <m/>
    <m/>
    <m/>
    <m/>
    <m/>
    <m/>
    <m/>
    <m/>
    <m/>
    <m/>
    <n v="0"/>
    <n v="10050"/>
    <n v="83415000"/>
  </r>
  <r>
    <s v="172A/2019"/>
    <d v="2019-02-03T00:00:00"/>
    <s v="KIỀU THY"/>
    <s v="CH01"/>
    <x v="84"/>
    <x v="25"/>
    <s v="CONCADOR STEEN"/>
    <m/>
    <s v="18.20"/>
    <n v="150"/>
    <s v="NL2018"/>
    <s v="STEEN"/>
    <n v="134"/>
    <n v="20100"/>
    <x v="27"/>
    <n v="160800000"/>
    <x v="2"/>
    <d v="2019-09-01T00:00:00"/>
    <d v="2019-09-29T00:00:00"/>
    <d v="2019-09-29T00:00:00"/>
    <s v="TẾT"/>
    <m/>
    <m/>
    <m/>
    <m/>
    <n v="0"/>
    <m/>
    <m/>
    <m/>
    <m/>
    <m/>
    <m/>
    <n v="0"/>
    <n v="20100"/>
    <n v="160800000"/>
  </r>
  <r>
    <s v="19A/2019"/>
    <d v="2019-01-05T00:00:00"/>
    <s v="KIỀU THY"/>
    <s v="CH01"/>
    <x v="84"/>
    <x v="15"/>
    <s v="CONCADOR "/>
    <m/>
    <s v="16.18"/>
    <n v="200"/>
    <s v="NL2018"/>
    <m/>
    <n v="0"/>
    <n v="0"/>
    <x v="18"/>
    <n v="0"/>
    <x v="1"/>
    <d v="2019-03-15T00:00:00"/>
    <d v="2019-04-19T00:00:00"/>
    <d v="2019-04-19T00:00:00"/>
    <s v="15/3AL"/>
    <m/>
    <m/>
    <m/>
    <m/>
    <m/>
    <m/>
    <m/>
    <m/>
    <m/>
    <m/>
    <m/>
    <n v="0"/>
    <n v="0"/>
    <n v="0"/>
  </r>
  <r>
    <s v="172A/2019"/>
    <d v="2019-02-03T00:00:00"/>
    <s v="KIỀU THY"/>
    <s v="CH01"/>
    <x v="84"/>
    <x v="47"/>
    <s v="ROBINA DLW"/>
    <m/>
    <s v="18.20"/>
    <n v="150"/>
    <s v="NL2018"/>
    <s v="dlw"/>
    <n v="67"/>
    <n v="10050"/>
    <x v="35"/>
    <n v="72360000"/>
    <x v="2"/>
    <d v="2019-09-01T00:00:00"/>
    <d v="2019-09-29T00:00:00"/>
    <d v="2019-09-29T00:00:00"/>
    <s v="TẾT"/>
    <m/>
    <m/>
    <m/>
    <m/>
    <n v="0"/>
    <m/>
    <m/>
    <m/>
    <m/>
    <m/>
    <m/>
    <n v="0"/>
    <n v="10050"/>
    <n v="72360000"/>
  </r>
  <r>
    <s v="172A/2019"/>
    <d v="2019-02-03T00:00:00"/>
    <s v="KIỀU THY"/>
    <s v="CH01"/>
    <x v="84"/>
    <x v="16"/>
    <s v="ROBINA ZABO"/>
    <m/>
    <s v="20.22"/>
    <n v="125"/>
    <s v="NL2018"/>
    <s v="ZABO"/>
    <n v="80"/>
    <n v="10000"/>
    <x v="59"/>
    <n v="105000000"/>
    <x v="2"/>
    <d v="2019-09-01T00:00:00"/>
    <d v="2019-09-29T00:00:00"/>
    <d v="2019-09-29T00:00:00"/>
    <s v="TẾT"/>
    <m/>
    <m/>
    <m/>
    <m/>
    <n v="0"/>
    <m/>
    <m/>
    <m/>
    <m/>
    <m/>
    <m/>
    <n v="0"/>
    <n v="10000"/>
    <n v="105000000"/>
  </r>
  <r>
    <s v="19A/2019"/>
    <d v="2019-02-03T00:00:00"/>
    <s v="KIỀU THY"/>
    <s v="CH01"/>
    <x v="84"/>
    <x v="47"/>
    <s v="ROBINA"/>
    <m/>
    <s v="18.20"/>
    <n v="150"/>
    <s v="NL2018"/>
    <m/>
    <n v="33"/>
    <n v="4950"/>
    <x v="42"/>
    <n v="31185000"/>
    <x v="0"/>
    <s v="30-Feb-19"/>
    <d v="2019-04-04T00:00:00"/>
    <d v="2019-04-04T00:00:00"/>
    <s v="30/2AL"/>
    <s v="CONT 18/2019"/>
    <d v="2019-03-31T00:00:00"/>
    <m/>
    <d v="2019-05-03T00:00:00"/>
    <n v="300"/>
    <d v="2019-05-24T00:00:00"/>
    <n v="4650"/>
    <m/>
    <m/>
    <m/>
    <m/>
    <n v="4950"/>
    <n v="0"/>
    <n v="0"/>
  </r>
  <r>
    <s v="19A/2019"/>
    <d v="2019-01-05T00:00:00"/>
    <s v="KIỀU THY"/>
    <s v="CH01"/>
    <x v="84"/>
    <x v="15"/>
    <s v="CONCADOR "/>
    <m/>
    <s v="16.18"/>
    <n v="200"/>
    <s v="NL2018"/>
    <m/>
    <n v="0"/>
    <n v="0"/>
    <x v="93"/>
    <n v="0"/>
    <x v="1"/>
    <m/>
    <s v=""/>
    <s v=""/>
    <s v="5/5AL"/>
    <m/>
    <m/>
    <m/>
    <m/>
    <n v="0"/>
    <m/>
    <m/>
    <m/>
    <m/>
    <m/>
    <m/>
    <n v="0"/>
    <n v="0"/>
    <n v="0"/>
  </r>
  <r>
    <s v="7A/2019"/>
    <d v="2019-05-20T00:00:00"/>
    <s v="KIỀU THY"/>
    <s v="CD01"/>
    <x v="85"/>
    <x v="5"/>
    <s v="PROFUNDO"/>
    <m/>
    <s v="16.18"/>
    <n v="200"/>
    <s v="NL2018"/>
    <m/>
    <n v="24"/>
    <n v="4800"/>
    <x v="139"/>
    <n v="32976000"/>
    <x v="4"/>
    <d v="2019-04-17T00:00:00"/>
    <d v="2019-05-21T00:00:00"/>
    <d v="2019-05-21T00:00:00"/>
    <m/>
    <m/>
    <m/>
    <m/>
    <m/>
    <m/>
    <m/>
    <m/>
    <m/>
    <m/>
    <m/>
    <m/>
    <n v="0"/>
    <n v="4800"/>
    <n v="32976000"/>
  </r>
  <r>
    <s v="7A/2019"/>
    <d v="2018-12-27T00:00:00"/>
    <s v="KIỀU THY"/>
    <s v="CD01"/>
    <x v="85"/>
    <x v="90"/>
    <s v="CARBONERO"/>
    <m/>
    <s v="16.18"/>
    <n v="200"/>
    <s v="NL2018"/>
    <m/>
    <n v="25"/>
    <n v="5000"/>
    <x v="140"/>
    <n v="30855000"/>
    <x v="4"/>
    <d v="2019-04-17T00:00:00"/>
    <d v="2019-05-21T00:00:00"/>
    <d v="2019-05-21T00:00:00"/>
    <s v="30/3AL"/>
    <m/>
    <m/>
    <m/>
    <d v="2019-06-11T00:00:00"/>
    <n v="3000"/>
    <m/>
    <m/>
    <m/>
    <m/>
    <m/>
    <m/>
    <n v="3000"/>
    <n v="2000"/>
    <n v="12342000"/>
  </r>
  <r>
    <s v="7A/2019"/>
    <d v="2018-12-27T00:00:00"/>
    <s v="KIỀU THY"/>
    <s v="CD01"/>
    <x v="85"/>
    <x v="57"/>
    <s v="DALIAN"/>
    <m/>
    <s v="14.16"/>
    <n v="300"/>
    <s v="NL2018"/>
    <m/>
    <n v="10"/>
    <n v="3000"/>
    <x v="141"/>
    <n v="16242000"/>
    <x v="0"/>
    <d v="2019-04-17T00:00:00"/>
    <d v="2019-05-21T00:00:00"/>
    <d v="2019-05-21T00:00:00"/>
    <s v="30/3AL"/>
    <m/>
    <m/>
    <m/>
    <d v="2019-06-01T00:00:00"/>
    <n v="3000"/>
    <m/>
    <m/>
    <m/>
    <m/>
    <m/>
    <m/>
    <n v="3000"/>
    <n v="0"/>
    <n v="0"/>
  </r>
  <r>
    <s v="7A/2019"/>
    <d v="2019-02-03T00:00:00"/>
    <s v="KIỀU THY"/>
    <s v="CD01"/>
    <x v="85"/>
    <x v="158"/>
    <s v="LAKE CAREY"/>
    <m/>
    <s v="14.16"/>
    <n v="300"/>
    <s v="NL2018"/>
    <m/>
    <n v="17"/>
    <n v="5100"/>
    <x v="136"/>
    <n v="19961400"/>
    <x v="0"/>
    <d v="2019-04-17T00:00:00"/>
    <d v="2019-05-21T00:00:00"/>
    <d v="2019-05-21T00:00:00"/>
    <s v="30/3AL"/>
    <m/>
    <m/>
    <m/>
    <d v="2019-06-01T00:00:00"/>
    <n v="1200"/>
    <d v="2019-06-06T00:00:00"/>
    <n v="2100"/>
    <d v="2019-06-11T00:00:00"/>
    <n v="1800"/>
    <m/>
    <m/>
    <n v="5100"/>
    <n v="0"/>
    <n v="0"/>
  </r>
  <r>
    <s v="7A/2019"/>
    <d v="2019-02-03T00:00:00"/>
    <s v="KIỀU THY"/>
    <s v="CD01"/>
    <x v="85"/>
    <x v="159"/>
    <s v="REDDESIRE"/>
    <m/>
    <s v="16.18"/>
    <n v="200"/>
    <s v="NL2018"/>
    <m/>
    <n v="35"/>
    <n v="7000"/>
    <x v="142"/>
    <n v="48097000"/>
    <x v="4"/>
    <d v="2019-04-17T00:00:00"/>
    <d v="2019-05-21T00:00:00"/>
    <d v="2019-05-21T00:00:00"/>
    <s v="30/3AL"/>
    <m/>
    <m/>
    <m/>
    <d v="2019-05-24T00:00:00"/>
    <n v="5000"/>
    <m/>
    <m/>
    <m/>
    <m/>
    <m/>
    <m/>
    <n v="5000"/>
    <n v="2000"/>
    <n v="13742000"/>
  </r>
  <r>
    <s v="7A/2019"/>
    <d v="2019-02-03T00:00:00"/>
    <s v="KIỀU THY"/>
    <s v="CD01"/>
    <x v="85"/>
    <x v="5"/>
    <s v="PROFUNDO"/>
    <m/>
    <s v="16.18"/>
    <n v="200"/>
    <s v="NL2018"/>
    <m/>
    <n v="122"/>
    <n v="24400"/>
    <x v="45"/>
    <n v="163480000"/>
    <x v="0"/>
    <d v="2019-03-15T00:00:00"/>
    <d v="2019-04-19T00:00:00"/>
    <d v="2019-04-19T00:00:00"/>
    <s v="15/3AL"/>
    <s v="CONT 23/2019"/>
    <d v="2019-04-14T00:00:00"/>
    <m/>
    <d v="2019-05-03T00:00:00"/>
    <n v="6000"/>
    <d v="2019-05-22T00:00:00"/>
    <n v="4000"/>
    <d v="2019-05-29T00:00:00"/>
    <n v="14400"/>
    <m/>
    <m/>
    <n v="24400"/>
    <n v="0"/>
    <n v="0"/>
  </r>
  <r>
    <s v="7A/2019"/>
    <d v="2018-12-27T00:00:00"/>
    <s v="KIỀU THY"/>
    <s v="CD01"/>
    <x v="85"/>
    <x v="15"/>
    <s v="CONCADOR "/>
    <m/>
    <s v="16.18"/>
    <n v="200"/>
    <s v="NL2018"/>
    <m/>
    <n v="25"/>
    <n v="5000"/>
    <x v="46"/>
    <n v="30000000"/>
    <x v="0"/>
    <d v="2019-04-17T00:00:00"/>
    <d v="2019-05-21T00:00:00"/>
    <d v="2019-05-21T00:00:00"/>
    <s v="10/4AL"/>
    <m/>
    <m/>
    <m/>
    <d v="2019-06-03T00:00:00"/>
    <n v="5000"/>
    <m/>
    <m/>
    <m/>
    <m/>
    <m/>
    <m/>
    <n v="5000"/>
    <n v="0"/>
    <n v="0"/>
  </r>
  <r>
    <s v="7A/2019"/>
    <d v="2019-02-03T00:00:00"/>
    <s v="KIỀU THY"/>
    <s v="CD01"/>
    <x v="85"/>
    <x v="47"/>
    <s v="ROBINA"/>
    <m/>
    <s v="18.20"/>
    <n v="150"/>
    <s v="NL2018"/>
    <m/>
    <n v="54"/>
    <n v="8100"/>
    <x v="42"/>
    <n v="51030000"/>
    <x v="0"/>
    <d v="2019-03-15T00:00:00"/>
    <d v="2019-04-19T00:00:00"/>
    <d v="2019-04-19T00:00:00"/>
    <s v="15/3AL"/>
    <m/>
    <m/>
    <m/>
    <d v="2019-05-11T00:00:00"/>
    <n v="4050"/>
    <d v="2019-05-21T00:00:00"/>
    <n v="4050"/>
    <m/>
    <m/>
    <m/>
    <m/>
    <n v="8100"/>
    <n v="0"/>
    <n v="0"/>
  </r>
  <r>
    <s v="7A/2019"/>
    <d v="2019-04-17T00:00:00"/>
    <s v="KIỀU THY"/>
    <s v="CD01"/>
    <x v="85"/>
    <x v="47"/>
    <s v="ROBINA"/>
    <m/>
    <s v="18.20"/>
    <n v="150"/>
    <s v="NL2018"/>
    <m/>
    <n v="67"/>
    <n v="10050"/>
    <x v="134"/>
    <n v="65606400"/>
    <x v="4"/>
    <d v="2019-04-17T00:00:00"/>
    <d v="2019-05-21T00:00:00"/>
    <d v="2019-05-21T00:00:00"/>
    <s v="10/4AL"/>
    <m/>
    <m/>
    <m/>
    <m/>
    <m/>
    <m/>
    <m/>
    <m/>
    <m/>
    <m/>
    <m/>
    <n v="0"/>
    <n v="10050"/>
    <n v="65606400"/>
  </r>
  <r>
    <s v="7A/2019"/>
    <d v="2019-04-23T00:00:00"/>
    <s v="KIỀU THY"/>
    <s v="CD01"/>
    <x v="85"/>
    <x v="60"/>
    <s v="PATRICIA"/>
    <s v="RL"/>
    <s v="12.14"/>
    <n v="400"/>
    <s v="NL2018"/>
    <m/>
    <n v="1"/>
    <n v="400"/>
    <x v="79"/>
    <n v="3440000"/>
    <x v="0"/>
    <d v="2019-04-17T00:00:00"/>
    <d v="2019-05-21T00:00:00"/>
    <d v="2019-05-21T00:00:00"/>
    <m/>
    <m/>
    <m/>
    <m/>
    <m/>
    <m/>
    <m/>
    <m/>
    <m/>
    <m/>
    <m/>
    <m/>
    <n v="0"/>
    <n v="400"/>
    <n v="3440000"/>
  </r>
  <r>
    <s v="7A/2019"/>
    <d v="2019-05-31T00:00:00"/>
    <s v="KIỀU THY"/>
    <s v="CD01"/>
    <x v="85"/>
    <x v="51"/>
    <s v="THALITA"/>
    <s v="RL"/>
    <s v="12.14"/>
    <n v="400"/>
    <s v="NL2018"/>
    <m/>
    <n v="1"/>
    <n v="400"/>
    <x v="79"/>
    <n v="3440000"/>
    <x v="0"/>
    <d v="2019-02-15T00:00:00"/>
    <d v="2019-03-20T00:00:00"/>
    <d v="2019-03-20T00:00:00"/>
    <m/>
    <m/>
    <m/>
    <m/>
    <m/>
    <m/>
    <m/>
    <m/>
    <m/>
    <m/>
    <m/>
    <m/>
    <n v="0"/>
    <n v="400"/>
    <n v="3440000"/>
  </r>
  <r>
    <s v="7A/2019"/>
    <d v="2019-05-20T00:00:00"/>
    <s v="KIỀU THY"/>
    <s v="CD01"/>
    <x v="85"/>
    <x v="30"/>
    <s v="MALDANO"/>
    <m/>
    <s v="16.18"/>
    <n v="200"/>
    <s v="NL2018"/>
    <m/>
    <n v="1"/>
    <n v="200"/>
    <x v="55"/>
    <n v="1060000"/>
    <x v="0"/>
    <d v="2019-04-17T00:00:00"/>
    <d v="2019-05-21T00:00:00"/>
    <d v="2019-05-21T00:00:00"/>
    <m/>
    <m/>
    <m/>
    <m/>
    <d v="2019-05-21T00:00:00"/>
    <n v="200"/>
    <m/>
    <m/>
    <m/>
    <m/>
    <m/>
    <m/>
    <n v="200"/>
    <n v="0"/>
    <n v="0"/>
  </r>
  <r>
    <s v="7A/2019"/>
    <d v="2018-12-27T00:00:00"/>
    <s v="KIỀU THY"/>
    <s v="CD01"/>
    <x v="85"/>
    <x v="15"/>
    <s v="CONCADOR "/>
    <m/>
    <s v="16.18"/>
    <n v="200"/>
    <s v="NL2018"/>
    <m/>
    <n v="25"/>
    <n v="5000"/>
    <x v="21"/>
    <n v="23000000"/>
    <x v="0"/>
    <d v="2019-01-15T00:00:00"/>
    <d v="2019-02-19T00:00:00"/>
    <d v="2019-02-19T00:00:00"/>
    <s v="15/1AL"/>
    <m/>
    <m/>
    <m/>
    <d v="2019-03-04T00:00:00"/>
    <n v="5000"/>
    <m/>
    <m/>
    <m/>
    <m/>
    <m/>
    <m/>
    <n v="5000"/>
    <n v="0"/>
    <n v="0"/>
  </r>
  <r>
    <s v="7A/2019"/>
    <d v="2018-12-27T00:00:00"/>
    <s v="KIỀU THY"/>
    <s v="CD01"/>
    <x v="85"/>
    <x v="5"/>
    <s v="PROFUNDO"/>
    <m/>
    <s v="16.18"/>
    <n v="200"/>
    <s v="NL2018"/>
    <m/>
    <n v="70"/>
    <n v="14000"/>
    <x v="43"/>
    <n v="91000000"/>
    <x v="0"/>
    <d v="2019-01-15T00:00:00"/>
    <d v="2019-02-19T00:00:00"/>
    <d v="2019-02-19T00:00:00"/>
    <s v="15/1AL"/>
    <m/>
    <m/>
    <m/>
    <d v="2019-02-19T00:00:00"/>
    <n v="14000"/>
    <m/>
    <m/>
    <m/>
    <m/>
    <m/>
    <m/>
    <n v="14000"/>
    <n v="0"/>
    <n v="0"/>
  </r>
  <r>
    <s v="7A/2019"/>
    <d v="2018-12-27T00:00:00"/>
    <s v="KIỀU THY"/>
    <s v="CD01"/>
    <x v="85"/>
    <x v="5"/>
    <s v="PROFUNDO"/>
    <m/>
    <s v="16.18"/>
    <n v="200"/>
    <s v="NL2018"/>
    <m/>
    <n v="70"/>
    <n v="14000"/>
    <x v="43"/>
    <n v="91000000"/>
    <x v="0"/>
    <d v="2019-01-15T00:00:00"/>
    <d v="2019-02-19T00:00:00"/>
    <d v="2019-02-19T00:00:00"/>
    <s v="15/1AL"/>
    <m/>
    <m/>
    <m/>
    <d v="2019-03-11T00:00:00"/>
    <n v="14000"/>
    <m/>
    <m/>
    <m/>
    <m/>
    <m/>
    <m/>
    <n v="14000"/>
    <n v="0"/>
    <n v="0"/>
  </r>
  <r>
    <s v="7A/2019"/>
    <d v="2018-12-27T00:00:00"/>
    <s v="KIỀU THY"/>
    <s v="CD01"/>
    <x v="85"/>
    <x v="160"/>
    <s v="BORRELLO"/>
    <m/>
    <s v="18.20"/>
    <n v="150"/>
    <s v="NL2018"/>
    <m/>
    <n v="20"/>
    <n v="3000"/>
    <x v="9"/>
    <n v="18600000"/>
    <x v="0"/>
    <d v="2019-02-15T00:00:00"/>
    <d v="2019-03-20T00:00:00"/>
    <d v="2019-03-20T00:00:00"/>
    <s v="15/2AL"/>
    <s v="CONT 12/2019"/>
    <d v="2019-03-17T00:00:00"/>
    <m/>
    <d v="2019-03-28T00:00:00"/>
    <n v="3000"/>
    <m/>
    <m/>
    <m/>
    <m/>
    <m/>
    <m/>
    <n v="3000"/>
    <n v="0"/>
    <n v="0"/>
  </r>
  <r>
    <s v="7A/2019"/>
    <d v="2018-12-27T00:00:00"/>
    <s v="KIỀU THY"/>
    <s v="CD01"/>
    <x v="85"/>
    <x v="102"/>
    <s v="COMPETITION"/>
    <m/>
    <s v="16.18"/>
    <n v="200"/>
    <s v="NL2018"/>
    <m/>
    <n v="90"/>
    <n v="18000"/>
    <x v="45"/>
    <n v="120600000"/>
    <x v="0"/>
    <d v="2019-02-15T00:00:00"/>
    <d v="2019-03-20T00:00:00"/>
    <d v="2019-03-20T00:00:00"/>
    <s v="15/2AL"/>
    <s v="CONT 9/2019"/>
    <d v="2019-03-17T00:00:00"/>
    <m/>
    <d v="2019-03-21T00:00:00"/>
    <n v="3000"/>
    <d v="2019-03-28T00:00:00"/>
    <n v="3000"/>
    <d v="2019-04-08T00:00:00"/>
    <n v="12000"/>
    <m/>
    <m/>
    <n v="18000"/>
    <n v="0"/>
    <n v="0"/>
  </r>
  <r>
    <s v="7A/2019"/>
    <d v="2018-12-27T00:00:00"/>
    <s v="KIỀU THY"/>
    <s v="CD01"/>
    <x v="85"/>
    <x v="15"/>
    <s v="CONCADOR"/>
    <m/>
    <s v="16.18"/>
    <n v="200"/>
    <s v="NL2018"/>
    <m/>
    <n v="45"/>
    <n v="9000"/>
    <x v="21"/>
    <n v="41400000"/>
    <x v="0"/>
    <d v="2019-02-15T00:00:00"/>
    <d v="2019-03-20T00:00:00"/>
    <d v="2019-03-20T00:00:00"/>
    <s v="15/2AL"/>
    <s v="CONT 10/2019"/>
    <d v="2019-03-17T00:00:00"/>
    <m/>
    <d v="2019-03-04T00:00:00"/>
    <n v="5000"/>
    <d v="2019-03-19T00:00:00"/>
    <n v="4000"/>
    <m/>
    <m/>
    <m/>
    <m/>
    <n v="9000"/>
    <n v="0"/>
    <n v="0"/>
  </r>
  <r>
    <s v="7A/2019"/>
    <d v="2019-03-14T00:00:00"/>
    <s v="KIỀU THY"/>
    <s v="CD01"/>
    <x v="85"/>
    <x v="145"/>
    <s v="DALIAN"/>
    <m/>
    <s v="16.18"/>
    <n v="200"/>
    <s v="NL2018"/>
    <m/>
    <n v="50"/>
    <n v="10000"/>
    <x v="45"/>
    <n v="67000000"/>
    <x v="0"/>
    <d v="2019-02-15T00:00:00"/>
    <d v="2019-03-20T00:00:00"/>
    <d v="2019-03-20T00:00:00"/>
    <s v="15/2AL"/>
    <s v="CONT 11/2019"/>
    <d v="2019-03-17T00:00:00"/>
    <m/>
    <d v="2019-03-21T00:00:00"/>
    <n v="4000"/>
    <d v="2019-04-22T00:00:00"/>
    <n v="6000"/>
    <m/>
    <m/>
    <m/>
    <m/>
    <n v="10000"/>
    <n v="0"/>
    <n v="0"/>
  </r>
  <r>
    <s v="7A/2019"/>
    <d v="2018-12-27T00:00:00"/>
    <s v="KIỀU THY"/>
    <s v="CD01"/>
    <x v="85"/>
    <x v="5"/>
    <s v="PROFUNDO"/>
    <m/>
    <s v="16.18"/>
    <n v="200"/>
    <s v="NL2018"/>
    <m/>
    <n v="45"/>
    <n v="9000"/>
    <x v="45"/>
    <n v="60300000"/>
    <x v="0"/>
    <d v="2019-02-15T00:00:00"/>
    <d v="2019-03-20T00:00:00"/>
    <d v="2019-03-20T00:00:00"/>
    <s v="15/2AL"/>
    <s v="CONT 12/2019"/>
    <d v="2019-03-17T00:00:00"/>
    <m/>
    <d v="2019-03-26T00:00:00"/>
    <n v="3000"/>
    <d v="2019-04-25T00:00:00"/>
    <n v="6000"/>
    <m/>
    <m/>
    <m/>
    <m/>
    <n v="9000"/>
    <n v="0"/>
    <n v="0"/>
  </r>
  <r>
    <s v="7A/2019"/>
    <d v="2019-02-03T00:00:00"/>
    <s v="KIỀU THY"/>
    <s v="CD01"/>
    <x v="85"/>
    <x v="15"/>
    <s v="CONCADOR"/>
    <m/>
    <s v="16.18"/>
    <n v="200"/>
    <s v="NL2018"/>
    <m/>
    <n v="20"/>
    <n v="4000"/>
    <x v="18"/>
    <n v="20000000"/>
    <x v="0"/>
    <d v="2019-03-15T00:00:00"/>
    <d v="2019-04-19T00:00:00"/>
    <d v="2019-04-19T00:00:00"/>
    <s v="15/3AL"/>
    <m/>
    <m/>
    <m/>
    <d v="2019-05-03T00:00:00"/>
    <n v="4000"/>
    <m/>
    <m/>
    <m/>
    <m/>
    <m/>
    <m/>
    <n v="4000"/>
    <n v="0"/>
    <n v="0"/>
  </r>
  <r>
    <s v="7A/2019"/>
    <d v="2019-04-23T00:00:00"/>
    <s v="KIỀU THY"/>
    <s v="CD01"/>
    <x v="85"/>
    <x v="160"/>
    <s v="BORRELLO"/>
    <m/>
    <s v="18.20"/>
    <n v="150"/>
    <s v="NL2018"/>
    <m/>
    <n v="47"/>
    <n v="7050"/>
    <x v="143"/>
    <n v="45317400"/>
    <x v="4"/>
    <d v="2019-05-05T00:00:00"/>
    <d v="2019-06-07T00:00:00"/>
    <d v="2019-06-07T00:00:00"/>
    <s v="5/5AL"/>
    <m/>
    <m/>
    <m/>
    <m/>
    <n v="0"/>
    <m/>
    <m/>
    <m/>
    <m/>
    <m/>
    <m/>
    <n v="0"/>
    <n v="7050"/>
    <n v="45317400"/>
  </r>
  <r>
    <s v="7A/2019"/>
    <d v="2019-04-23T00:00:00"/>
    <s v="KIỀU THY"/>
    <s v="CD01"/>
    <x v="85"/>
    <x v="5"/>
    <s v="PROFUNDO"/>
    <m/>
    <s v="16.18"/>
    <n v="200"/>
    <s v="NL2018"/>
    <m/>
    <n v="50"/>
    <n v="10000"/>
    <x v="144"/>
    <n v="69990000"/>
    <x v="4"/>
    <d v="2019-05-05T00:00:00"/>
    <d v="2019-06-07T00:00:00"/>
    <d v="2019-06-07T00:00:00"/>
    <s v="5/5AL"/>
    <m/>
    <m/>
    <m/>
    <d v="2019-06-15T00:00:00"/>
    <n v="4800"/>
    <m/>
    <m/>
    <m/>
    <m/>
    <m/>
    <m/>
    <n v="4800"/>
    <n v="5200"/>
    <n v="36394800"/>
  </r>
  <r>
    <s v="7A/2019"/>
    <d v="2019-02-03T00:00:00"/>
    <s v="KIỀU THY"/>
    <s v="CD01"/>
    <x v="85"/>
    <x v="31"/>
    <s v="TARRANGO"/>
    <m/>
    <s v="14.16"/>
    <n v="300"/>
    <s v="NL2018"/>
    <m/>
    <n v="10"/>
    <n v="3000"/>
    <x v="21"/>
    <n v="13800000"/>
    <x v="1"/>
    <d v="2019-03-15T00:00:00"/>
    <d v="2019-04-19T00:00:00"/>
    <d v="2019-04-19T00:00:00"/>
    <s v="15/3AL"/>
    <m/>
    <m/>
    <m/>
    <m/>
    <n v="0"/>
    <m/>
    <m/>
    <m/>
    <m/>
    <m/>
    <m/>
    <n v="0"/>
    <n v="3000"/>
    <n v="13800000"/>
  </r>
  <r>
    <s v="7A/2019"/>
    <d v="2018-12-27T00:00:00"/>
    <s v="KIỀU THY"/>
    <s v="CD01"/>
    <x v="85"/>
    <x v="34"/>
    <s v="TARRANGO"/>
    <m/>
    <s v="16.18"/>
    <n v="200"/>
    <s v="NL2018"/>
    <m/>
    <n v="15"/>
    <n v="3000"/>
    <x v="44"/>
    <n v="16500000"/>
    <x v="1"/>
    <d v="2019-03-15T00:00:00"/>
    <d v="2019-04-19T00:00:00"/>
    <d v="2019-04-19T00:00:00"/>
    <s v="15/3AL"/>
    <m/>
    <m/>
    <m/>
    <m/>
    <m/>
    <m/>
    <m/>
    <m/>
    <m/>
    <m/>
    <m/>
    <n v="0"/>
    <n v="3000"/>
    <n v="16500000"/>
  </r>
  <r>
    <s v="7A/2019"/>
    <d v="2019-04-23T00:00:00"/>
    <s v="KIỀU THY"/>
    <s v="CD01"/>
    <x v="85"/>
    <x v="47"/>
    <s v="ROBINA"/>
    <m/>
    <s v="18.20"/>
    <n v="150"/>
    <s v="NL2018"/>
    <m/>
    <n v="67"/>
    <n v="10050"/>
    <x v="145"/>
    <n v="67324950"/>
    <x v="4"/>
    <d v="2019-05-05T00:00:00"/>
    <d v="2019-06-07T00:00:00"/>
    <d v="2019-06-07T00:00:00"/>
    <s v="5/5AL"/>
    <m/>
    <m/>
    <m/>
    <d v="2019-06-15T00:00:00"/>
    <n v="8100"/>
    <d v="2019-06-17T00:00:00"/>
    <n v="1050"/>
    <m/>
    <m/>
    <m/>
    <m/>
    <n v="9150"/>
    <n v="900"/>
    <n v="6029100"/>
  </r>
  <r>
    <s v="7A/2019"/>
    <d v="2018-12-27T00:00:00"/>
    <s v="KIỀU THY"/>
    <s v="CD01"/>
    <x v="85"/>
    <x v="15"/>
    <s v="CONCADOR "/>
    <m/>
    <s v="16.18"/>
    <n v="200"/>
    <s v="NL2018"/>
    <m/>
    <n v="25"/>
    <n v="5000"/>
    <x v="46"/>
    <n v="30000000"/>
    <x v="0"/>
    <d v="2019-03-15T00:00:00"/>
    <d v="2019-04-19T00:00:00"/>
    <d v="2019-04-19T00:00:00"/>
    <m/>
    <m/>
    <m/>
    <m/>
    <d v="2019-05-14T00:00:00"/>
    <n v="5000"/>
    <m/>
    <m/>
    <m/>
    <m/>
    <m/>
    <m/>
    <n v="5000"/>
    <n v="0"/>
    <n v="0"/>
  </r>
  <r>
    <s v="7A/2019"/>
    <d v="2019-04-23T00:00:00"/>
    <s v="KIỀU THY"/>
    <s v="CD01"/>
    <x v="85"/>
    <x v="15"/>
    <s v="CONCADOR"/>
    <m/>
    <s v="16.18"/>
    <n v="200"/>
    <s v="NL2018"/>
    <m/>
    <n v="50"/>
    <n v="10000"/>
    <x v="146"/>
    <n v="64990000"/>
    <x v="4"/>
    <d v="2019-05-05T00:00:00"/>
    <d v="2019-06-07T00:00:00"/>
    <d v="2019-06-07T00:00:00"/>
    <s v="5/5AL"/>
    <m/>
    <m/>
    <m/>
    <d v="2019-06-15T00:00:00"/>
    <n v="5000"/>
    <m/>
    <m/>
    <m/>
    <m/>
    <m/>
    <m/>
    <n v="5000"/>
    <n v="5000"/>
    <n v="32495000"/>
  </r>
  <r>
    <s v="7A/2019"/>
    <d v="2019-04-23T00:00:00"/>
    <s v="KIỀU THY"/>
    <s v="CD01"/>
    <x v="85"/>
    <x v="78"/>
    <s v="NATALIA"/>
    <s v="RL"/>
    <s v="12.14"/>
    <n v="400"/>
    <s v="NL2018"/>
    <m/>
    <n v="0"/>
    <n v="0"/>
    <x v="79"/>
    <n v="0"/>
    <x v="1"/>
    <d v="2019-04-17T00:00:00"/>
    <d v="2019-05-21T00:00:00"/>
    <d v="2019-05-21T00:00:00"/>
    <m/>
    <m/>
    <m/>
    <m/>
    <m/>
    <m/>
    <m/>
    <m/>
    <m/>
    <m/>
    <m/>
    <m/>
    <n v="0"/>
    <n v="0"/>
    <n v="0"/>
  </r>
  <r>
    <s v="7A/2019"/>
    <d v="2019-04-23T00:00:00"/>
    <s v="KIỀU THY"/>
    <s v="CD01"/>
    <x v="85"/>
    <x v="158"/>
    <s v="LAKE CAREY"/>
    <m/>
    <s v="14.16"/>
    <n v="300"/>
    <s v="NL2018"/>
    <m/>
    <n v="17"/>
    <n v="5100"/>
    <x v="147"/>
    <n v="20394900"/>
    <x v="4"/>
    <d v="2019-05-12T00:00:00"/>
    <d v="2019-06-14T00:00:00"/>
    <d v="2019-06-14T00:00:00"/>
    <s v="5/5AL"/>
    <m/>
    <m/>
    <m/>
    <m/>
    <m/>
    <m/>
    <m/>
    <m/>
    <m/>
    <m/>
    <m/>
    <n v="0"/>
    <n v="5100"/>
    <n v="20394900"/>
  </r>
  <r>
    <s v="7A/2019"/>
    <d v="2019-04-23T00:00:00"/>
    <s v="KIỀU THY"/>
    <s v="CD01"/>
    <x v="85"/>
    <x v="90"/>
    <s v="CARBONERO"/>
    <m/>
    <s v="16.18"/>
    <n v="200"/>
    <s v="NL2018"/>
    <m/>
    <n v="25"/>
    <n v="5000"/>
    <x v="148"/>
    <n v="31495000"/>
    <x v="4"/>
    <d v="2019-05-05T00:00:00"/>
    <d v="2019-06-07T00:00:00"/>
    <d v="2019-06-07T00:00:00"/>
    <s v="5/5AL"/>
    <m/>
    <m/>
    <m/>
    <m/>
    <m/>
    <m/>
    <m/>
    <m/>
    <m/>
    <m/>
    <m/>
    <n v="0"/>
    <n v="5000"/>
    <n v="31495000"/>
  </r>
  <r>
    <s v="7A/2019"/>
    <d v="2019-04-23T00:00:00"/>
    <s v="KIỀU THY"/>
    <s v="CD01"/>
    <x v="85"/>
    <x v="78"/>
    <s v="NATALIA"/>
    <s v="RL"/>
    <s v="12.14"/>
    <n v="400"/>
    <s v="NL2018"/>
    <m/>
    <n v="2"/>
    <n v="800"/>
    <x v="137"/>
    <n v="6960000"/>
    <x v="4"/>
    <d v="2019-05-05T00:00:00"/>
    <d v="2019-06-07T00:00:00"/>
    <d v="2019-06-07T00:00:00"/>
    <m/>
    <m/>
    <m/>
    <m/>
    <m/>
    <m/>
    <m/>
    <m/>
    <m/>
    <m/>
    <m/>
    <m/>
    <n v="0"/>
    <n v="800"/>
    <n v="6960000"/>
  </r>
  <r>
    <s v="7A/2019"/>
    <d v="2018-12-27T00:00:00"/>
    <s v="KIỀU THY"/>
    <s v="CD01"/>
    <x v="85"/>
    <x v="34"/>
    <s v="TARRANGO"/>
    <m/>
    <s v="16.18"/>
    <n v="200"/>
    <s v="NL2018"/>
    <m/>
    <n v="0"/>
    <n v="0"/>
    <x v="44"/>
    <n v="0"/>
    <x v="1"/>
    <d v="2019-04-25T00:00:00"/>
    <d v="2019-05-29T00:00:00"/>
    <d v="2019-05-29T00:00:00"/>
    <s v="T4 AL onwards, not including cooling cost"/>
    <m/>
    <m/>
    <m/>
    <m/>
    <n v="0"/>
    <m/>
    <m/>
    <m/>
    <m/>
    <m/>
    <m/>
    <n v="0"/>
    <n v="0"/>
    <n v="0"/>
  </r>
  <r>
    <s v="7A/2019"/>
    <d v="2019-04-23T00:00:00"/>
    <s v="KIỀU THY"/>
    <s v="CD01"/>
    <x v="85"/>
    <x v="89"/>
    <s v="TATSJANA"/>
    <s v="RL"/>
    <s v="12.14"/>
    <n v="350"/>
    <s v="NL2018"/>
    <m/>
    <n v="2"/>
    <n v="700"/>
    <x v="137"/>
    <n v="6090000"/>
    <x v="4"/>
    <d v="2019-05-05T00:00:00"/>
    <d v="2019-06-07T00:00:00"/>
    <d v="2019-06-07T00:00:00"/>
    <m/>
    <m/>
    <m/>
    <m/>
    <m/>
    <m/>
    <m/>
    <m/>
    <m/>
    <m/>
    <m/>
    <m/>
    <n v="0"/>
    <n v="700"/>
    <n v="6090000"/>
  </r>
  <r>
    <s v="7A/2019"/>
    <d v="2019-04-23T00:00:00"/>
    <s v="KIỀU THY"/>
    <s v="CD01"/>
    <x v="85"/>
    <x v="161"/>
    <s v="MONTEZUMA"/>
    <m/>
    <s v="16.18"/>
    <n v="200"/>
    <s v="NL2018"/>
    <m/>
    <n v="9"/>
    <n v="1800"/>
    <x v="149"/>
    <n v="11467800"/>
    <x v="4"/>
    <d v="2019-05-05T00:00:00"/>
    <d v="2019-06-07T00:00:00"/>
    <d v="2019-06-07T00:00:00"/>
    <s v="5/5AL"/>
    <s v="CONT 27/2019"/>
    <d v="2019-04-14T00:00:00"/>
    <m/>
    <m/>
    <n v="0"/>
    <m/>
    <m/>
    <m/>
    <m/>
    <m/>
    <m/>
    <n v="0"/>
    <n v="1800"/>
    <n v="11467800"/>
  </r>
  <r>
    <s v="7A/2019"/>
    <d v="2019-04-23T00:00:00"/>
    <s v="KIỀU THY"/>
    <s v="CD01"/>
    <x v="85"/>
    <x v="51"/>
    <s v="THALITA"/>
    <s v="RL"/>
    <s v="12.14"/>
    <n v="400"/>
    <s v="NL2018"/>
    <m/>
    <n v="2"/>
    <n v="800"/>
    <x v="137"/>
    <n v="6960000"/>
    <x v="4"/>
    <d v="2019-05-05T00:00:00"/>
    <d v="2019-06-07T00:00:00"/>
    <d v="2019-06-07T00:00:00"/>
    <m/>
    <m/>
    <m/>
    <m/>
    <m/>
    <m/>
    <m/>
    <m/>
    <m/>
    <m/>
    <m/>
    <m/>
    <n v="0"/>
    <n v="800"/>
    <n v="6960000"/>
  </r>
  <r>
    <s v="7A/2019"/>
    <d v="2019-05-10T00:00:00"/>
    <s v="KIỀU THY"/>
    <s v="CD01"/>
    <x v="85"/>
    <x v="162"/>
    <s v="ZAMBESSI"/>
    <m/>
    <s v="16.18"/>
    <n v="200"/>
    <s v="NL2018"/>
    <m/>
    <n v="1"/>
    <n v="200"/>
    <x v="42"/>
    <n v="1260000"/>
    <x v="4"/>
    <d v="2019-05-05T00:00:00"/>
    <d v="2019-06-07T00:00:00"/>
    <d v="2019-06-07T00:00:00"/>
    <m/>
    <m/>
    <m/>
    <m/>
    <m/>
    <m/>
    <m/>
    <m/>
    <m/>
    <m/>
    <m/>
    <m/>
    <n v="0"/>
    <n v="200"/>
    <n v="1260000"/>
  </r>
  <r>
    <s v="7A/2019"/>
    <d v="2019-05-10T00:00:00"/>
    <s v="KIỀU THY"/>
    <s v="CD01"/>
    <x v="85"/>
    <x v="102"/>
    <s v="COMPETITION"/>
    <m/>
    <s v="16.18"/>
    <n v="200"/>
    <s v="NL2018"/>
    <m/>
    <n v="15"/>
    <n v="3000"/>
    <x v="34"/>
    <n v="21300000"/>
    <x v="4"/>
    <d v="2019-05-05T00:00:00"/>
    <d v="2019-06-07T00:00:00"/>
    <d v="2019-06-07T00:00:00"/>
    <m/>
    <m/>
    <m/>
    <m/>
    <m/>
    <m/>
    <m/>
    <m/>
    <m/>
    <m/>
    <m/>
    <m/>
    <n v="0"/>
    <n v="3000"/>
    <n v="21300000"/>
  </r>
  <r>
    <s v="235/2019"/>
    <d v="2019-05-31T00:00:00"/>
    <s v="KIỀU THY"/>
    <s v="CD01"/>
    <x v="85"/>
    <x v="158"/>
    <s v="LAKE CAREY"/>
    <m/>
    <s v="14.16"/>
    <n v="300"/>
    <s v="NL2018"/>
    <m/>
    <n v="17"/>
    <n v="5100"/>
    <x v="150"/>
    <m/>
    <x v="3"/>
    <d v="2019-06-05T00:00:00"/>
    <d v="2019-07-07T00:00:00"/>
    <d v="2019-07-07T00:00:00"/>
    <m/>
    <m/>
    <m/>
    <m/>
    <m/>
    <m/>
    <m/>
    <m/>
    <m/>
    <m/>
    <m/>
    <m/>
    <n v="0"/>
    <n v="5100"/>
    <e v="#VALUE!"/>
  </r>
  <r>
    <s v="235/2019"/>
    <d v="2019-05-31T00:00:00"/>
    <s v="KIỀU THY"/>
    <s v="CD01"/>
    <x v="85"/>
    <x v="5"/>
    <s v="PROFUNDO"/>
    <m/>
    <s v="16.18"/>
    <n v="200"/>
    <s v="NL2018"/>
    <m/>
    <n v="100"/>
    <n v="20000"/>
    <x v="151"/>
    <m/>
    <x v="3"/>
    <d v="2019-06-05T00:00:00"/>
    <d v="2019-07-07T00:00:00"/>
    <d v="2019-07-07T00:00:00"/>
    <m/>
    <m/>
    <m/>
    <m/>
    <m/>
    <m/>
    <m/>
    <m/>
    <m/>
    <m/>
    <m/>
    <m/>
    <n v="0"/>
    <n v="20000"/>
    <e v="#VALUE!"/>
  </r>
  <r>
    <s v="235/2019"/>
    <d v="2019-05-31T00:00:00"/>
    <s v="KIỀU THY"/>
    <s v="CD01"/>
    <x v="85"/>
    <x v="159"/>
    <s v="REDDESIRE"/>
    <m/>
    <s v="16.18"/>
    <n v="200"/>
    <s v="NL2018"/>
    <m/>
    <n v="75"/>
    <n v="15000"/>
    <x v="152"/>
    <m/>
    <x v="3"/>
    <d v="2019-06-05T00:00:00"/>
    <d v="2019-07-07T00:00:00"/>
    <d v="2019-07-07T00:00:00"/>
    <m/>
    <m/>
    <m/>
    <m/>
    <m/>
    <m/>
    <m/>
    <m/>
    <m/>
    <m/>
    <m/>
    <m/>
    <n v="0"/>
    <n v="15000"/>
    <e v="#VALUE!"/>
  </r>
  <r>
    <s v="235/2019"/>
    <d v="2019-05-31T00:00:00"/>
    <s v="KIỀU THY"/>
    <s v="CD01"/>
    <x v="85"/>
    <x v="89"/>
    <s v="TATSJANA"/>
    <s v="RL"/>
    <s v="12.14"/>
    <n v="350"/>
    <s v="NL2018"/>
    <m/>
    <n v="2"/>
    <n v="700"/>
    <x v="137"/>
    <n v="6090000"/>
    <x v="3"/>
    <d v="2019-06-05T00:00:00"/>
    <d v="2019-07-07T00:00:00"/>
    <d v="2019-07-07T00:00:00"/>
    <m/>
    <m/>
    <m/>
    <m/>
    <m/>
    <m/>
    <m/>
    <m/>
    <m/>
    <m/>
    <m/>
    <m/>
    <n v="0"/>
    <n v="700"/>
    <n v="6090000"/>
  </r>
  <r>
    <s v="235/2019"/>
    <d v="2019-05-31T00:00:00"/>
    <s v="KIỀU THY"/>
    <s v="CD01"/>
    <x v="85"/>
    <x v="51"/>
    <s v="THALITA"/>
    <s v="RL"/>
    <s v="12.14"/>
    <n v="400"/>
    <s v="NL2018"/>
    <m/>
    <n v="2"/>
    <n v="800"/>
    <x v="137"/>
    <n v="6960000"/>
    <x v="3"/>
    <d v="2019-06-05T00:00:00"/>
    <d v="2019-07-07T00:00:00"/>
    <d v="2019-07-07T00:00:00"/>
    <m/>
    <m/>
    <m/>
    <m/>
    <m/>
    <m/>
    <m/>
    <m/>
    <m/>
    <m/>
    <m/>
    <m/>
    <n v="0"/>
    <n v="800"/>
    <n v="6960000"/>
  </r>
  <r>
    <s v="235/2019"/>
    <d v="2019-05-31T00:00:00"/>
    <s v="KIỀU THY"/>
    <s v="CD01"/>
    <x v="85"/>
    <x v="78"/>
    <s v="NATALIA"/>
    <s v="RL"/>
    <s v="12.14"/>
    <n v="400"/>
    <s v="NL2018"/>
    <m/>
    <n v="2"/>
    <n v="800"/>
    <x v="137"/>
    <n v="6960000"/>
    <x v="3"/>
    <d v="2019-06-05T00:00:00"/>
    <d v="2019-07-07T00:00:00"/>
    <d v="2019-07-07T00:00:00"/>
    <m/>
    <m/>
    <m/>
    <m/>
    <m/>
    <m/>
    <m/>
    <m/>
    <m/>
    <m/>
    <m/>
    <m/>
    <n v="0"/>
    <n v="800"/>
    <n v="6960000"/>
  </r>
  <r>
    <s v="235/2019"/>
    <d v="2019-05-31T00:00:00"/>
    <s v="KIỀU THY"/>
    <s v="CD01"/>
    <x v="85"/>
    <x v="162"/>
    <s v="ZAMBESSI"/>
    <m/>
    <s v="16.18"/>
    <n v="200"/>
    <s v="NL2018"/>
    <m/>
    <n v="1"/>
    <n v="200"/>
    <x v="54"/>
    <n v="1280000"/>
    <x v="3"/>
    <d v="2019-06-05T00:00:00"/>
    <d v="2019-07-07T00:00:00"/>
    <d v="2019-07-07T00:00:00"/>
    <m/>
    <m/>
    <m/>
    <m/>
    <m/>
    <m/>
    <m/>
    <m/>
    <m/>
    <m/>
    <m/>
    <m/>
    <n v="0"/>
    <n v="200"/>
    <n v="1280000"/>
  </r>
  <r>
    <s v="7A/2019"/>
    <d v="2019-04-23T00:00:00"/>
    <s v="KIỀU THY"/>
    <s v="CD01"/>
    <x v="85"/>
    <x v="15"/>
    <s v="CONCADOR "/>
    <m/>
    <s v="16.18"/>
    <n v="200"/>
    <s v="NL2018"/>
    <m/>
    <n v="50"/>
    <n v="10000"/>
    <x v="153"/>
    <n v="65840000"/>
    <x v="3"/>
    <d v="2019-06-05T00:00:00"/>
    <d v="2019-07-07T00:00:00"/>
    <d v="2019-07-07T00:00:00"/>
    <s v="05/6AL"/>
    <m/>
    <m/>
    <m/>
    <m/>
    <n v="0"/>
    <m/>
    <m/>
    <m/>
    <m/>
    <m/>
    <m/>
    <n v="0"/>
    <n v="10000"/>
    <n v="65840000"/>
  </r>
  <r>
    <s v="178A/2019"/>
    <d v="2018-12-27T00:00:00"/>
    <s v="KIỀU THY"/>
    <s v="CD01"/>
    <x v="85"/>
    <x v="158"/>
    <s v="LAKE CAREY"/>
    <m/>
    <s v="14.16"/>
    <n v="300"/>
    <s v="NL2018"/>
    <m/>
    <n v="68"/>
    <n v="20400"/>
    <x v="6"/>
    <n v="77520000"/>
    <x v="2"/>
    <d v="2019-08-01T00:00:00"/>
    <d v="2019-08-30T00:00:00"/>
    <d v="2019-08-30T00:00:00"/>
    <s v="T4 AL onwards, not including cooling cost"/>
    <m/>
    <m/>
    <m/>
    <m/>
    <n v="0"/>
    <m/>
    <m/>
    <m/>
    <m/>
    <m/>
    <m/>
    <n v="0"/>
    <n v="20400"/>
    <n v="77520000"/>
  </r>
  <r>
    <s v="178A/2019"/>
    <d v="2018-12-27T00:00:00"/>
    <s v="KIỀU THY"/>
    <s v="CD01"/>
    <x v="85"/>
    <x v="5"/>
    <s v="PROFUNDO"/>
    <m/>
    <s v="16.18"/>
    <n v="200"/>
    <s v="NL2018"/>
    <m/>
    <n v="204"/>
    <n v="40800"/>
    <x v="43"/>
    <n v="265200000"/>
    <x v="2"/>
    <d v="2019-08-01T00:00:00"/>
    <d v="2019-08-30T00:00:00"/>
    <d v="2019-08-30T00:00:00"/>
    <s v="T4 AL onwards, not including cooling cost"/>
    <m/>
    <m/>
    <s v="R"/>
    <m/>
    <n v="0"/>
    <m/>
    <m/>
    <m/>
    <m/>
    <m/>
    <m/>
    <n v="0"/>
    <n v="40800"/>
    <n v="265200000"/>
  </r>
  <r>
    <s v="178A/2019"/>
    <d v="2019-02-03T00:00:00"/>
    <s v="KIỀU THY"/>
    <s v="CD01"/>
    <x v="85"/>
    <x v="159"/>
    <s v="REDDESIRE"/>
    <m/>
    <s v="16.18"/>
    <n v="200"/>
    <s v="NL2018"/>
    <m/>
    <n v="65"/>
    <n v="13000"/>
    <x v="45"/>
    <n v="87100000"/>
    <x v="2"/>
    <d v="2019-08-01T00:00:00"/>
    <d v="2019-08-30T00:00:00"/>
    <d v="2019-08-30T00:00:00"/>
    <s v="T4 AL onwards, not including cooling cost"/>
    <m/>
    <m/>
    <s v="R"/>
    <m/>
    <n v="0"/>
    <m/>
    <m/>
    <m/>
    <m/>
    <m/>
    <m/>
    <n v="0"/>
    <n v="13000"/>
    <n v="87100000"/>
  </r>
  <r>
    <s v="235/2019"/>
    <d v="2019-05-31T00:00:00"/>
    <s v="KIỀU THY"/>
    <s v="CD01"/>
    <x v="85"/>
    <x v="158"/>
    <s v="LAKE CAREY"/>
    <m/>
    <s v="14.16"/>
    <n v="300"/>
    <s v="NL2018"/>
    <m/>
    <n v="17"/>
    <n v="5100"/>
    <x v="150"/>
    <m/>
    <x v="2"/>
    <d v="2019-07-05T00:00:00"/>
    <d v="2019-08-05T00:00:00"/>
    <d v="2019-08-05T00:00:00"/>
    <m/>
    <m/>
    <m/>
    <m/>
    <m/>
    <m/>
    <m/>
    <m/>
    <m/>
    <m/>
    <m/>
    <m/>
    <n v="0"/>
    <n v="5100"/>
    <e v="#VALUE!"/>
  </r>
  <r>
    <s v="235/2019"/>
    <d v="2019-05-31T00:00:00"/>
    <s v="KIỀU THY"/>
    <s v="CD01"/>
    <x v="85"/>
    <x v="5"/>
    <s v="PROFUNDO"/>
    <m/>
    <s v="16.18"/>
    <n v="200"/>
    <s v="NL2018"/>
    <m/>
    <n v="100"/>
    <n v="20000"/>
    <x v="151"/>
    <m/>
    <x v="2"/>
    <d v="2019-07-05T00:00:00"/>
    <d v="2019-08-05T00:00:00"/>
    <d v="2019-08-05T00:00:00"/>
    <m/>
    <m/>
    <m/>
    <m/>
    <m/>
    <m/>
    <m/>
    <m/>
    <m/>
    <m/>
    <m/>
    <m/>
    <n v="0"/>
    <n v="20000"/>
    <e v="#VALUE!"/>
  </r>
  <r>
    <s v="235/2019"/>
    <d v="2019-05-31T00:00:00"/>
    <s v="KIỀU THY"/>
    <s v="CD01"/>
    <x v="85"/>
    <x v="159"/>
    <s v="REDDESIRE"/>
    <m/>
    <s v="16.18"/>
    <n v="200"/>
    <s v="NL2018"/>
    <m/>
    <n v="50"/>
    <n v="10000"/>
    <x v="152"/>
    <m/>
    <x v="2"/>
    <d v="2019-07-05T00:00:00"/>
    <d v="2019-08-05T00:00:00"/>
    <d v="2019-08-05T00:00:00"/>
    <m/>
    <m/>
    <m/>
    <m/>
    <m/>
    <m/>
    <m/>
    <m/>
    <m/>
    <m/>
    <m/>
    <m/>
    <n v="0"/>
    <n v="10000"/>
    <e v="#VALUE!"/>
  </r>
  <r>
    <s v="235/2019"/>
    <d v="2019-05-31T00:00:00"/>
    <s v="KIỀU THY"/>
    <s v="CD01"/>
    <x v="85"/>
    <x v="163"/>
    <s v="DIGAME"/>
    <m/>
    <s v="16.18"/>
    <n v="200"/>
    <s v="NL2018"/>
    <m/>
    <n v="1"/>
    <n v="200"/>
    <x v="45"/>
    <n v="1340000"/>
    <x v="2"/>
    <d v="2019-07-05T00:00:00"/>
    <d v="2019-08-05T00:00:00"/>
    <d v="2019-08-05T00:00:00"/>
    <m/>
    <m/>
    <m/>
    <m/>
    <m/>
    <m/>
    <m/>
    <m/>
    <m/>
    <m/>
    <m/>
    <m/>
    <n v="0"/>
    <n v="200"/>
    <n v="1340000"/>
  </r>
  <r>
    <s v="235/2019"/>
    <d v="2019-05-31T00:00:00"/>
    <s v="KIỀU THY"/>
    <s v="CD01"/>
    <x v="85"/>
    <x v="89"/>
    <s v="TATSJANA"/>
    <s v="RL"/>
    <s v="12.14"/>
    <n v="350"/>
    <s v="NL2018"/>
    <m/>
    <n v="2"/>
    <n v="700"/>
    <x v="137"/>
    <n v="6090000"/>
    <x v="2"/>
    <d v="2019-07-05T00:00:00"/>
    <d v="2019-08-05T00:00:00"/>
    <d v="2019-08-05T00:00:00"/>
    <m/>
    <m/>
    <m/>
    <m/>
    <m/>
    <m/>
    <m/>
    <m/>
    <m/>
    <m/>
    <m/>
    <m/>
    <n v="0"/>
    <n v="700"/>
    <n v="6090000"/>
  </r>
  <r>
    <s v="178A/2019"/>
    <d v="2018-12-27T00:00:00"/>
    <s v="KIỀU THY"/>
    <s v="CD01"/>
    <x v="85"/>
    <x v="49"/>
    <s v="MARENGO"/>
    <m/>
    <s v="16.18"/>
    <n v="200"/>
    <s v="NL2018"/>
    <m/>
    <n v="35"/>
    <n v="7000"/>
    <x v="154"/>
    <n v="44541000"/>
    <x v="3"/>
    <d v="2019-06-15T00:00:00"/>
    <d v="2019-07-17T00:00:00"/>
    <d v="2019-07-17T00:00:00"/>
    <s v="T4 AL onwards, not including cooling cost"/>
    <m/>
    <m/>
    <m/>
    <m/>
    <n v="0"/>
    <m/>
    <m/>
    <m/>
    <m/>
    <m/>
    <m/>
    <n v="0"/>
    <n v="7000"/>
    <n v="44541000"/>
  </r>
  <r>
    <s v="235/2019"/>
    <d v="2019-05-31T00:00:00"/>
    <s v="KIỀU THY"/>
    <s v="CD01"/>
    <x v="85"/>
    <x v="51"/>
    <s v="THALITA"/>
    <s v="RL"/>
    <s v="12.14"/>
    <n v="400"/>
    <s v="NL2018"/>
    <m/>
    <n v="2"/>
    <n v="800"/>
    <x v="137"/>
    <n v="6960000"/>
    <x v="2"/>
    <d v="2019-07-05T00:00:00"/>
    <d v="2019-08-05T00:00:00"/>
    <d v="2019-08-05T00:00:00"/>
    <m/>
    <m/>
    <m/>
    <m/>
    <m/>
    <m/>
    <m/>
    <m/>
    <m/>
    <m/>
    <m/>
    <m/>
    <n v="0"/>
    <n v="800"/>
    <n v="6960000"/>
  </r>
  <r>
    <s v="235/2019"/>
    <d v="2019-05-31T00:00:00"/>
    <s v="KIỀU THY"/>
    <s v="CD01"/>
    <x v="85"/>
    <x v="78"/>
    <s v="NATALIA"/>
    <s v="RL"/>
    <s v="12.14"/>
    <n v="400"/>
    <s v="NL2018"/>
    <m/>
    <n v="2"/>
    <n v="800"/>
    <x v="137"/>
    <n v="6960000"/>
    <x v="2"/>
    <d v="2019-07-05T00:00:00"/>
    <d v="2019-08-05T00:00:00"/>
    <d v="2019-08-05T00:00:00"/>
    <m/>
    <m/>
    <m/>
    <m/>
    <m/>
    <m/>
    <m/>
    <m/>
    <m/>
    <m/>
    <m/>
    <m/>
    <n v="0"/>
    <n v="800"/>
    <n v="6960000"/>
  </r>
  <r>
    <s v="178A/2019"/>
    <d v="2018-12-27T00:00:00"/>
    <s v="KIỀU THY"/>
    <s v="CD01"/>
    <x v="85"/>
    <x v="90"/>
    <s v="CARBONERO"/>
    <m/>
    <s v="16.18"/>
    <n v="200"/>
    <s v="NL2018"/>
    <m/>
    <n v="0"/>
    <n v="0"/>
    <x v="46"/>
    <n v="0"/>
    <x v="1"/>
    <d v="2019-07-01T00:00:00"/>
    <d v="2019-08-01T00:00:00"/>
    <d v="2019-08-01T00:00:00"/>
    <s v="T5 AL onwards, not including cooling cost"/>
    <m/>
    <m/>
    <m/>
    <m/>
    <n v="0"/>
    <m/>
    <m/>
    <m/>
    <m/>
    <m/>
    <m/>
    <n v="0"/>
    <n v="0"/>
    <n v="0"/>
  </r>
  <r>
    <s v="235/2019"/>
    <d v="2019-05-31T00:00:00"/>
    <s v="KIỀU THY"/>
    <s v="CD01"/>
    <x v="85"/>
    <x v="162"/>
    <s v="ZAMBESSI"/>
    <m/>
    <s v="16.18"/>
    <n v="200"/>
    <s v="NL2018"/>
    <m/>
    <n v="1"/>
    <n v="200"/>
    <x v="43"/>
    <n v="1300000"/>
    <x v="2"/>
    <d v="2019-07-05T00:00:00"/>
    <d v="2019-08-05T00:00:00"/>
    <d v="2019-08-05T00:00:00"/>
    <m/>
    <m/>
    <m/>
    <m/>
    <m/>
    <m/>
    <m/>
    <m/>
    <m/>
    <m/>
    <m/>
    <m/>
    <n v="0"/>
    <n v="200"/>
    <n v="1300000"/>
  </r>
  <r>
    <s v="7A/2019"/>
    <d v="2019-04-23T00:00:00"/>
    <s v="KIỀU THY"/>
    <s v="CD01"/>
    <x v="85"/>
    <x v="15"/>
    <s v="CONCADOR "/>
    <m/>
    <s v="16.18"/>
    <n v="200"/>
    <s v="NL2018"/>
    <m/>
    <n v="50"/>
    <n v="10000"/>
    <x v="155"/>
    <n v="66690000"/>
    <x v="2"/>
    <d v="2019-07-05T00:00:00"/>
    <d v="2019-08-05T00:00:00"/>
    <d v="2019-08-05T00:00:00"/>
    <s v="05/7AL"/>
    <m/>
    <m/>
    <m/>
    <m/>
    <n v="0"/>
    <m/>
    <m/>
    <m/>
    <m/>
    <m/>
    <m/>
    <n v="0"/>
    <n v="10000"/>
    <n v="66690000"/>
  </r>
  <r>
    <s v="7A/2019"/>
    <d v="2019-04-23T00:00:00"/>
    <s v="KIỀU THY"/>
    <s v="CD01"/>
    <x v="85"/>
    <x v="15"/>
    <s v="CONCADOR "/>
    <m/>
    <s v="16.18"/>
    <n v="200"/>
    <s v="NL2018"/>
    <m/>
    <n v="50"/>
    <n v="10000"/>
    <x v="156"/>
    <n v="67540000"/>
    <x v="2"/>
    <d v="2019-08-05T00:00:00"/>
    <d v="2019-09-03T00:00:00"/>
    <d v="2019-09-03T00:00:00"/>
    <s v="05/8AL"/>
    <m/>
    <m/>
    <m/>
    <m/>
    <n v="0"/>
    <m/>
    <m/>
    <m/>
    <m/>
    <m/>
    <m/>
    <n v="0"/>
    <n v="10000"/>
    <n v="67540000"/>
  </r>
  <r>
    <s v="119A/2019"/>
    <d v="2019-03-14T00:00:00"/>
    <s v="KIỀU THY"/>
    <s v="CD01"/>
    <x v="85"/>
    <x v="25"/>
    <s v="CONCADOR"/>
    <m/>
    <s v="18.20"/>
    <n v="150"/>
    <s v="NL2018"/>
    <m/>
    <n v="87"/>
    <n v="13050"/>
    <x v="74"/>
    <n v="97875000"/>
    <x v="2"/>
    <d v="2019-09-01T00:00:00"/>
    <d v="2019-09-29T00:00:00"/>
    <d v="2019-09-29T00:00:00"/>
    <s v="TẾT."/>
    <m/>
    <m/>
    <m/>
    <m/>
    <n v="0"/>
    <m/>
    <m/>
    <m/>
    <m/>
    <m/>
    <m/>
    <n v="0"/>
    <n v="13050"/>
    <n v="97875000"/>
  </r>
  <r>
    <s v="119A/2019"/>
    <d v="2019-03-14T00:00:00"/>
    <s v="KIỀU THY"/>
    <s v="CD01"/>
    <x v="85"/>
    <x v="59"/>
    <s v="DALIAN"/>
    <m/>
    <s v="18.20"/>
    <n v="150"/>
    <s v="NL2018"/>
    <m/>
    <n v="52"/>
    <n v="7800"/>
    <x v="106"/>
    <n v="92820000"/>
    <x v="2"/>
    <d v="2019-09-01T00:00:00"/>
    <d v="2019-09-29T00:00:00"/>
    <d v="2019-09-29T00:00:00"/>
    <s v="TẾT. Hoặc competition"/>
    <m/>
    <m/>
    <m/>
    <m/>
    <n v="0"/>
    <m/>
    <m/>
    <m/>
    <m/>
    <m/>
    <m/>
    <n v="0"/>
    <n v="7800"/>
    <n v="92820000"/>
  </r>
  <r>
    <s v="119A/2019"/>
    <d v="2019-03-14T00:00:00"/>
    <s v="KIỀU THY"/>
    <s v="CD01"/>
    <x v="85"/>
    <x v="97"/>
    <s v="LAKE CAREY"/>
    <m/>
    <s v="16.18"/>
    <n v="200"/>
    <s v="NL2018"/>
    <m/>
    <n v="25"/>
    <n v="5000"/>
    <x v="20"/>
    <n v="30500000"/>
    <x v="2"/>
    <d v="2019-09-01T00:00:00"/>
    <d v="2019-09-29T00:00:00"/>
    <d v="2019-09-29T00:00:00"/>
    <s v="TẾT"/>
    <m/>
    <m/>
    <m/>
    <m/>
    <n v="0"/>
    <m/>
    <m/>
    <m/>
    <m/>
    <m/>
    <m/>
    <n v="0"/>
    <n v="5000"/>
    <n v="30500000"/>
  </r>
  <r>
    <s v="119A/2019"/>
    <d v="2019-03-14T00:00:00"/>
    <s v="KIỀU THY"/>
    <s v="CD01"/>
    <x v="85"/>
    <x v="7"/>
    <s v="PROFUNDO"/>
    <m/>
    <s v="18.20"/>
    <n v="150"/>
    <s v="NL2018"/>
    <m/>
    <n v="67"/>
    <n v="10050"/>
    <x v="8"/>
    <n v="108540000"/>
    <x v="2"/>
    <d v="2019-09-01T00:00:00"/>
    <d v="2019-09-29T00:00:00"/>
    <d v="2019-09-29T00:00:00"/>
    <s v="TẾT."/>
    <m/>
    <m/>
    <m/>
    <m/>
    <n v="0"/>
    <m/>
    <m/>
    <m/>
    <m/>
    <m/>
    <m/>
    <n v="0"/>
    <n v="10050"/>
    <n v="108540000"/>
  </r>
  <r>
    <s v="7A/2019"/>
    <d v="2018-12-27T00:00:00"/>
    <s v="KIỀU THY"/>
    <s v="CD01"/>
    <x v="85"/>
    <x v="15"/>
    <s v="CONCADOR"/>
    <m/>
    <s v="16.18"/>
    <n v="200"/>
    <s v="NL2018"/>
    <m/>
    <n v="25"/>
    <n v="5000"/>
    <x v="21"/>
    <n v="23000000"/>
    <x v="0"/>
    <s v="30-Feb-19"/>
    <d v="2019-04-04T00:00:00"/>
    <d v="2019-04-04T00:00:00"/>
    <s v="30/2AL"/>
    <s v="CONT 17/2019"/>
    <d v="2019-03-31T00:00:00"/>
    <m/>
    <d v="2019-04-15T00:00:00"/>
    <n v="5000"/>
    <m/>
    <m/>
    <m/>
    <m/>
    <m/>
    <m/>
    <n v="5000"/>
    <n v="0"/>
    <n v="0"/>
  </r>
  <r>
    <s v="7A/2019"/>
    <d v="2019-02-03T00:00:00"/>
    <s v="KIỀU THY"/>
    <s v="CD01"/>
    <x v="85"/>
    <x v="49"/>
    <s v="MARENGO"/>
    <m/>
    <s v="16.18"/>
    <n v="200"/>
    <s v="NL2018"/>
    <m/>
    <n v="15"/>
    <n v="3000"/>
    <x v="46"/>
    <n v="18000000"/>
    <x v="0"/>
    <s v="30-Feb-19"/>
    <d v="2019-04-04T00:00:00"/>
    <d v="2019-04-04T00:00:00"/>
    <s v="30/2AL"/>
    <s v="CONT 17/2019"/>
    <d v="2019-03-31T00:00:00"/>
    <m/>
    <d v="2019-04-08T00:00:00"/>
    <n v="3000"/>
    <m/>
    <m/>
    <m/>
    <m/>
    <m/>
    <m/>
    <n v="3000"/>
    <n v="0"/>
    <n v="0"/>
  </r>
  <r>
    <s v="7A/2019"/>
    <d v="2019-04-23T00:00:00"/>
    <s v="KIỀU THY"/>
    <s v="CD01"/>
    <x v="85"/>
    <x v="15"/>
    <s v="CONCADOR "/>
    <m/>
    <s v="16.18"/>
    <n v="200"/>
    <s v="NL2018"/>
    <m/>
    <n v="50"/>
    <n v="10000"/>
    <x v="157"/>
    <n v="68390000"/>
    <x v="2"/>
    <d v="2019-09-05T00:00:00"/>
    <d v="2019-10-03T00:00:00"/>
    <d v="2019-10-03T00:00:00"/>
    <s v="05/9AL"/>
    <m/>
    <m/>
    <m/>
    <m/>
    <n v="0"/>
    <m/>
    <m/>
    <m/>
    <m/>
    <m/>
    <m/>
    <n v="0"/>
    <n v="10000"/>
    <n v="68390000"/>
  </r>
  <r>
    <s v="178A/2019"/>
    <d v="2019-05-31T00:00:00"/>
    <s v="KIỀU THY"/>
    <s v="CD01"/>
    <x v="85"/>
    <x v="89"/>
    <s v="TATSJANA"/>
    <s v="RL"/>
    <s v="12.14"/>
    <n v="350"/>
    <s v="NL2018"/>
    <m/>
    <n v="0"/>
    <n v="0"/>
    <x v="158"/>
    <m/>
    <x v="1"/>
    <m/>
    <m/>
    <m/>
    <m/>
    <m/>
    <m/>
    <m/>
    <m/>
    <m/>
    <m/>
    <m/>
    <m/>
    <m/>
    <m/>
    <m/>
    <n v="0"/>
    <n v="0"/>
    <e v="#VALUE!"/>
  </r>
  <r>
    <s v="178A/2019"/>
    <d v="2019-05-31T00:00:00"/>
    <s v="KIỀU THY"/>
    <s v="CD01"/>
    <x v="85"/>
    <x v="51"/>
    <s v="THALITA"/>
    <s v="RL"/>
    <s v="12.14"/>
    <n v="400"/>
    <s v="NL2018"/>
    <m/>
    <n v="10"/>
    <n v="4000"/>
    <x v="158"/>
    <m/>
    <x v="2"/>
    <m/>
    <m/>
    <m/>
    <m/>
    <m/>
    <m/>
    <m/>
    <m/>
    <m/>
    <m/>
    <m/>
    <m/>
    <m/>
    <m/>
    <m/>
    <n v="0"/>
    <n v="4000"/>
    <e v="#VALUE!"/>
  </r>
  <r>
    <s v="178A/2019"/>
    <d v="2019-05-31T00:00:00"/>
    <s v="KIỀU THY"/>
    <s v="CD01"/>
    <x v="85"/>
    <x v="78"/>
    <s v="NATALIA"/>
    <s v="RL"/>
    <s v="12.14"/>
    <n v="400"/>
    <s v="NL2018"/>
    <m/>
    <n v="10"/>
    <n v="4000"/>
    <x v="158"/>
    <m/>
    <x v="2"/>
    <m/>
    <m/>
    <m/>
    <m/>
    <m/>
    <m/>
    <m/>
    <m/>
    <m/>
    <m/>
    <m/>
    <m/>
    <m/>
    <m/>
    <m/>
    <n v="0"/>
    <n v="4000"/>
    <e v="#VALUE!"/>
  </r>
  <r>
    <s v="178A/2019"/>
    <d v="2019-05-31T00:00:00"/>
    <s v="KIỀU THY"/>
    <s v="CD01"/>
    <x v="85"/>
    <x v="162"/>
    <s v="ZAMBESSI"/>
    <m/>
    <s v="16.18"/>
    <n v="200"/>
    <s v="NL2018"/>
    <m/>
    <n v="5"/>
    <n v="1000"/>
    <x v="159"/>
    <m/>
    <x v="2"/>
    <m/>
    <m/>
    <m/>
    <m/>
    <m/>
    <m/>
    <m/>
    <m/>
    <m/>
    <m/>
    <m/>
    <m/>
    <m/>
    <m/>
    <m/>
    <n v="0"/>
    <n v="1000"/>
    <e v="#VALUE!"/>
  </r>
  <r>
    <s v="178A/2019"/>
    <d v="2019-04-08T00:00:00"/>
    <s v="KIỀU THY"/>
    <s v="CD01"/>
    <x v="85"/>
    <x v="28"/>
    <s v="YELLOWEEN"/>
    <m/>
    <s v="14.16"/>
    <n v="300"/>
    <s v="NL2018"/>
    <m/>
    <n v="7"/>
    <n v="2100"/>
    <x v="6"/>
    <n v="7980000"/>
    <x v="0"/>
    <s v="30-Feb-19"/>
    <d v="2019-04-04T00:00:00"/>
    <d v="2019-04-04T00:00:00"/>
    <s v="30/2AL"/>
    <m/>
    <m/>
    <m/>
    <m/>
    <n v="2100"/>
    <m/>
    <m/>
    <m/>
    <m/>
    <m/>
    <m/>
    <n v="2100"/>
    <n v="0"/>
    <n v="0"/>
  </r>
  <r>
    <s v="178A/2019"/>
    <d v="2019-06-06T00:00:00"/>
    <s v="KIỀU THY"/>
    <s v="CD01"/>
    <x v="85"/>
    <x v="28"/>
    <s v="YELLOWEEN"/>
    <m/>
    <s v="14.16"/>
    <n v="300"/>
    <s v="NL2018"/>
    <m/>
    <n v="10"/>
    <n v="3000"/>
    <x v="56"/>
    <n v="11700000"/>
    <x v="4"/>
    <d v="2019-05-05T00:00:00"/>
    <d v="2019-06-07T00:00:00"/>
    <d v="2019-06-07T00:00:00"/>
    <m/>
    <m/>
    <m/>
    <m/>
    <d v="2019-06-06T00:00:00"/>
    <n v="300"/>
    <d v="2019-06-15T00:00:00"/>
    <n v="300"/>
    <m/>
    <m/>
    <m/>
    <m/>
    <n v="600"/>
    <n v="2400"/>
    <n v="9360000"/>
  </r>
  <r>
    <s v="189A/2019"/>
    <d v="2019-04-12T00:00:00"/>
    <s v="KIỀU THY"/>
    <s v="CT02"/>
    <x v="86"/>
    <x v="66"/>
    <s v="ALUSTA"/>
    <m/>
    <s v="14.16"/>
    <s v="300"/>
    <s v="NL2018"/>
    <m/>
    <n v="23"/>
    <n v="6900"/>
    <x v="57"/>
    <n v="27600000"/>
    <x v="0"/>
    <d v="2019-02-28T00:00:00"/>
    <d v="2019-04-02T00:00:00"/>
    <d v="2019-04-02T00:00:00"/>
    <s v="30/2AL"/>
    <m/>
    <m/>
    <m/>
    <d v="2019-04-12T00:00:00"/>
    <n v="6900"/>
    <m/>
    <m/>
    <m/>
    <m/>
    <m/>
    <m/>
    <n v="6900"/>
    <n v="0"/>
    <n v="0"/>
  </r>
  <r>
    <s v="189A/2019"/>
    <d v="2019-04-12T00:00:00"/>
    <s v="KIỀU THY"/>
    <s v="CT02"/>
    <x v="86"/>
    <x v="133"/>
    <s v="MANISSA"/>
    <m/>
    <s v="14.16"/>
    <s v="300"/>
    <s v="NL2018"/>
    <m/>
    <n v="46"/>
    <n v="13800"/>
    <x v="117"/>
    <n v="51060000"/>
    <x v="0"/>
    <d v="2019-03-15T00:00:00"/>
    <d v="2019-04-19T00:00:00"/>
    <d v="2019-04-19T00:00:00"/>
    <s v="15/3AL"/>
    <m/>
    <m/>
    <m/>
    <d v="2019-04-25T00:00:00"/>
    <n v="13800"/>
    <m/>
    <m/>
    <m/>
    <m/>
    <m/>
    <m/>
    <n v="13800"/>
    <n v="0"/>
    <n v="0"/>
  </r>
  <r>
    <s v="189A/2019"/>
    <d v="2019-04-12T00:00:00"/>
    <s v="KIỀU THY"/>
    <s v="CT02"/>
    <x v="86"/>
    <x v="164"/>
    <s v="FELINO"/>
    <m/>
    <s v="16.18"/>
    <s v="200"/>
    <s v="NL2018"/>
    <m/>
    <n v="42"/>
    <n v="8400"/>
    <x v="54"/>
    <n v="53760000"/>
    <x v="0"/>
    <d v="2019-03-15T00:00:00"/>
    <d v="2019-04-19T00:00:00"/>
    <d v="2019-04-19T00:00:00"/>
    <s v="15/3AL"/>
    <m/>
    <m/>
    <m/>
    <d v="2019-04-25T00:00:00"/>
    <n v="8400"/>
    <m/>
    <m/>
    <m/>
    <m/>
    <m/>
    <m/>
    <n v="8400"/>
    <n v="0"/>
    <n v="0"/>
  </r>
  <r>
    <s v="189A/2019"/>
    <d v="2019-05-04T00:00:00"/>
    <s v="KIỀU THY"/>
    <s v="CT02"/>
    <x v="86"/>
    <x v="48"/>
    <s v="SERANO"/>
    <m/>
    <n v="16.18"/>
    <s v="200"/>
    <s v="NL2018"/>
    <m/>
    <n v="50"/>
    <n v="10000"/>
    <x v="82"/>
    <n v="52000000"/>
    <x v="3"/>
    <d v="2019-05-20T00:00:00"/>
    <d v="2019-06-22T00:00:00"/>
    <d v="2019-06-22T00:00:00"/>
    <m/>
    <m/>
    <m/>
    <m/>
    <m/>
    <m/>
    <m/>
    <m/>
    <m/>
    <m/>
    <m/>
    <m/>
    <n v="0"/>
    <n v="10000"/>
    <n v="52000000"/>
  </r>
  <r>
    <s v="189A/2019"/>
    <d v="2019-06-14T00:00:00"/>
    <s v="KIỀU THY"/>
    <s v="CT02"/>
    <x v="86"/>
    <x v="67"/>
    <s v="INDIANA"/>
    <m/>
    <s v="14.16"/>
    <s v="300"/>
    <s v="NL2018"/>
    <m/>
    <n v="36"/>
    <n v="10800"/>
    <x v="18"/>
    <n v="54000000"/>
    <x v="3"/>
    <d v="2019-06-15T00:00:00"/>
    <d v="2019-07-17T00:00:00"/>
    <d v="2019-07-17T00:00:00"/>
    <m/>
    <m/>
    <m/>
    <m/>
    <m/>
    <m/>
    <m/>
    <m/>
    <m/>
    <m/>
    <m/>
    <m/>
    <n v="0"/>
    <n v="10800"/>
    <n v="54000000"/>
  </r>
  <r>
    <s v="189A/2019"/>
    <d v="2019-06-14T00:00:00"/>
    <s v="KIỀU THY"/>
    <s v="CT02"/>
    <x v="86"/>
    <x v="48"/>
    <s v="SERANO"/>
    <m/>
    <n v="16.18"/>
    <s v="200"/>
    <s v="NL2018"/>
    <m/>
    <n v="30"/>
    <n v="6000"/>
    <x v="55"/>
    <n v="31800000"/>
    <x v="3"/>
    <d v="2019-06-15T00:00:00"/>
    <d v="2019-07-17T00:00:00"/>
    <d v="2019-07-17T00:00:00"/>
    <m/>
    <m/>
    <m/>
    <m/>
    <m/>
    <m/>
    <m/>
    <m/>
    <m/>
    <m/>
    <m/>
    <m/>
    <n v="0"/>
    <n v="6000"/>
    <n v="31800000"/>
  </r>
  <r>
    <s v="189A/2019"/>
    <d v="2019-06-14T00:00:00"/>
    <s v="KIỀU THY"/>
    <s v="CT02"/>
    <x v="86"/>
    <x v="72"/>
    <s v="YELLOWEEN"/>
    <s v="DN"/>
    <n v="16.18"/>
    <s v="200"/>
    <s v="NL2018"/>
    <m/>
    <n v="20"/>
    <n v="4000"/>
    <x v="46"/>
    <n v="24000000"/>
    <x v="3"/>
    <d v="2019-06-15T00:00:00"/>
    <d v="2019-07-17T00:00:00"/>
    <d v="2019-07-17T00:00:00"/>
    <m/>
    <m/>
    <m/>
    <m/>
    <m/>
    <m/>
    <m/>
    <m/>
    <m/>
    <m/>
    <m/>
    <m/>
    <n v="0"/>
    <n v="4000"/>
    <n v="24000000"/>
  </r>
  <r>
    <s v="189A/2019"/>
    <d v="2019-06-14T00:00:00"/>
    <s v="KIỀU THY"/>
    <s v="CT02"/>
    <x v="86"/>
    <x v="28"/>
    <s v="YELLOWEEN"/>
    <m/>
    <s v="14.16"/>
    <s v="300"/>
    <s v="NL2018"/>
    <m/>
    <n v="67"/>
    <n v="20100"/>
    <x v="57"/>
    <n v="80400000"/>
    <x v="3"/>
    <d v="2019-06-15T00:00:00"/>
    <d v="2019-07-17T00:00:00"/>
    <d v="2019-07-17T00:00:00"/>
    <m/>
    <m/>
    <m/>
    <m/>
    <m/>
    <m/>
    <m/>
    <m/>
    <m/>
    <m/>
    <m/>
    <m/>
    <n v="0"/>
    <n v="20100"/>
    <n v="80400000"/>
  </r>
  <r>
    <s v="136A/2019"/>
    <d v="2019-02-09T00:00:00"/>
    <s v="KIỀU THY"/>
    <s v="NB01"/>
    <x v="87"/>
    <x v="25"/>
    <s v="CONCADOR"/>
    <m/>
    <s v="18.20"/>
    <n v="150"/>
    <s v="NL2018"/>
    <m/>
    <n v="34"/>
    <n v="5100"/>
    <x v="35"/>
    <n v="36720000"/>
    <x v="2"/>
    <d v="2019-09-01T00:00:00"/>
    <d v="2019-09-29T00:00:00"/>
    <d v="2019-09-29T00:00:00"/>
    <s v="TẾT"/>
    <m/>
    <m/>
    <s v="R"/>
    <m/>
    <n v="0"/>
    <m/>
    <m/>
    <m/>
    <m/>
    <m/>
    <m/>
    <n v="0"/>
    <n v="5100"/>
    <n v="36720000"/>
  </r>
  <r>
    <s v="136A/2019"/>
    <d v="2019-02-09T00:00:00"/>
    <s v="KIỀU THY"/>
    <s v="NB01"/>
    <x v="87"/>
    <x v="9"/>
    <s v="MANISSA"/>
    <m/>
    <s v="22.24"/>
    <n v="100"/>
    <s v="NL2018"/>
    <m/>
    <n v="50"/>
    <n v="5000"/>
    <x v="38"/>
    <n v="76000000"/>
    <x v="2"/>
    <d v="2019-09-01T00:00:00"/>
    <d v="2019-09-29T00:00:00"/>
    <d v="2019-09-29T00:00:00"/>
    <s v="TẾT"/>
    <m/>
    <m/>
    <s v="R"/>
    <m/>
    <n v="0"/>
    <m/>
    <m/>
    <m/>
    <m/>
    <m/>
    <m/>
    <n v="0"/>
    <n v="5000"/>
    <n v="76000000"/>
  </r>
  <r>
    <s v="136A/2019"/>
    <d v="2019-02-09T00:00:00"/>
    <s v="KIỀU THY"/>
    <s v="NB01"/>
    <x v="87"/>
    <x v="26"/>
    <s v="ROBINA"/>
    <m/>
    <s v="22.24"/>
    <n v="100"/>
    <s v="NL2018"/>
    <m/>
    <n v="100"/>
    <n v="10000"/>
    <x v="29"/>
    <n v="125000000"/>
    <x v="2"/>
    <d v="2019-09-01T00:00:00"/>
    <d v="2019-09-29T00:00:00"/>
    <d v="2019-09-29T00:00:00"/>
    <s v="TẾT"/>
    <m/>
    <m/>
    <s v="R"/>
    <m/>
    <n v="0"/>
    <m/>
    <m/>
    <m/>
    <m/>
    <m/>
    <m/>
    <n v="0"/>
    <n v="10000"/>
    <n v="125000000"/>
  </r>
  <r>
    <s v="36A/2019"/>
    <d v="2019-02-09T00:00:00"/>
    <s v="KIỀU THY"/>
    <s v="NB01"/>
    <x v="87"/>
    <x v="11"/>
    <s v="YELLOWEEN"/>
    <m/>
    <s v="12.14"/>
    <n v="400"/>
    <s v="NL2018"/>
    <m/>
    <n v="15"/>
    <n v="6000"/>
    <x v="12"/>
    <n v="15600000"/>
    <x v="0"/>
    <d v="2019-01-16T00:00:00"/>
    <d v="2019-02-20T00:00:00"/>
    <d v="2019-02-20T00:00:00"/>
    <s v="16/1AL"/>
    <m/>
    <m/>
    <s v="R"/>
    <d v="2019-02-20T00:00:00"/>
    <n v="6000"/>
    <m/>
    <m/>
    <m/>
    <m/>
    <m/>
    <m/>
    <n v="6000"/>
    <n v="0"/>
    <n v="0"/>
  </r>
  <r>
    <s v="36A/2019"/>
    <d v="2019-02-09T00:00:00"/>
    <s v="KIỀU THY"/>
    <s v="NB01"/>
    <x v="87"/>
    <x v="11"/>
    <s v="YELLOWEEN"/>
    <m/>
    <s v="12.14"/>
    <n v="400"/>
    <s v="NL2018"/>
    <m/>
    <n v="15"/>
    <n v="6000"/>
    <x v="12"/>
    <n v="15600000"/>
    <x v="0"/>
    <d v="2019-01-28T00:00:00"/>
    <d v="2019-03-04T00:00:00"/>
    <d v="2019-03-04T00:00:00"/>
    <s v="28/1AL"/>
    <m/>
    <m/>
    <s v="R"/>
    <d v="2019-03-04T00:00:00"/>
    <n v="6000"/>
    <m/>
    <m/>
    <m/>
    <m/>
    <m/>
    <m/>
    <n v="6000"/>
    <n v="0"/>
    <n v="0"/>
  </r>
  <r>
    <s v="36A/2019"/>
    <d v="2019-02-09T00:00:00"/>
    <s v="KIỀU THY"/>
    <s v="NB01"/>
    <x v="87"/>
    <x v="22"/>
    <s v="ROBINA"/>
    <m/>
    <s v="16.18"/>
    <n v="200"/>
    <s v="NL2018"/>
    <m/>
    <n v="15"/>
    <n v="3000"/>
    <x v="18"/>
    <n v="15000000"/>
    <x v="0"/>
    <d v="2019-02-15T00:00:00"/>
    <d v="2019-03-20T00:00:00"/>
    <d v="2019-03-20T00:00:00"/>
    <s v="15/02AL"/>
    <s v="CONT 11/2019"/>
    <d v="2019-03-17T00:00:00"/>
    <m/>
    <d v="2019-03-27T00:00:00"/>
    <n v="3000"/>
    <m/>
    <m/>
    <m/>
    <m/>
    <m/>
    <m/>
    <n v="3000"/>
    <n v="0"/>
    <n v="0"/>
  </r>
  <r>
    <s v="36A/2019"/>
    <d v="2019-02-09T00:00:00"/>
    <s v="KIỀU THY"/>
    <s v="NB01"/>
    <x v="87"/>
    <x v="11"/>
    <s v="YELLOWEEN"/>
    <m/>
    <s v="12.14"/>
    <n v="400"/>
    <s v="NL2018"/>
    <m/>
    <n v="8"/>
    <n v="3200"/>
    <x v="12"/>
    <n v="8320000"/>
    <x v="0"/>
    <d v="2019-02-15T00:00:00"/>
    <d v="2019-03-20T00:00:00"/>
    <d v="2019-03-20T00:00:00"/>
    <s v="15/02AL"/>
    <s v="CONT 12/2019"/>
    <d v="2019-03-17T00:00:00"/>
    <m/>
    <d v="2019-05-02T00:00:00"/>
    <n v="3200"/>
    <m/>
    <m/>
    <m/>
    <m/>
    <m/>
    <m/>
    <n v="3200"/>
    <n v="0"/>
    <n v="0"/>
  </r>
  <r>
    <s v="36A/2019"/>
    <d v="2019-02-09T00:00:00"/>
    <s v="KIỀU THY"/>
    <s v="NB01"/>
    <x v="87"/>
    <x v="22"/>
    <s v="ROBINA"/>
    <m/>
    <s v="16.18"/>
    <n v="200"/>
    <s v="NL2018"/>
    <m/>
    <n v="15"/>
    <n v="3000"/>
    <x v="18"/>
    <n v="15000000"/>
    <x v="0"/>
    <d v="2019-02-28T00:00:00"/>
    <d v="2019-04-02T00:00:00"/>
    <d v="2019-04-02T00:00:00"/>
    <s v="28/2AL"/>
    <s v="CONT 18/2019"/>
    <d v="2019-03-31T00:00:00"/>
    <s v="R"/>
    <d v="2019-04-12T00:00:00"/>
    <n v="3000"/>
    <m/>
    <m/>
    <m/>
    <m/>
    <m/>
    <m/>
    <n v="3000"/>
    <n v="0"/>
    <n v="0"/>
  </r>
  <r>
    <s v="36A/2019"/>
    <d v="2019-02-09T00:00:00"/>
    <s v="KIỀU THY"/>
    <s v="NB01"/>
    <x v="87"/>
    <x v="11"/>
    <s v="YELLOWEEN"/>
    <m/>
    <s v="12.14"/>
    <n v="400"/>
    <s v="NL2018"/>
    <m/>
    <n v="15"/>
    <n v="6000"/>
    <x v="12"/>
    <n v="15600000"/>
    <x v="0"/>
    <d v="2019-02-28T00:00:00"/>
    <d v="2019-04-02T00:00:00"/>
    <d v="2019-04-02T00:00:00"/>
    <s v="28/2AL"/>
    <s v="CONT 18/2019"/>
    <d v="2019-03-31T00:00:00"/>
    <s v="R"/>
    <d v="2019-04-17T00:00:00"/>
    <n v="6000"/>
    <m/>
    <m/>
    <m/>
    <m/>
    <m/>
    <m/>
    <n v="6000"/>
    <n v="0"/>
    <n v="0"/>
  </r>
  <r>
    <s v="36A/2019"/>
    <d v="2019-02-09T00:00:00"/>
    <s v="KIỀU THY"/>
    <s v="NB01"/>
    <x v="87"/>
    <x v="22"/>
    <s v="ROBINA"/>
    <m/>
    <s v="16.18"/>
    <n v="200"/>
    <s v="NL2018"/>
    <m/>
    <n v="15"/>
    <n v="3000"/>
    <x v="18"/>
    <n v="15000000"/>
    <x v="0"/>
    <d v="2019-03-15T00:00:00"/>
    <d v="2019-04-19T00:00:00"/>
    <d v="2019-04-19T00:00:00"/>
    <s v="15/3AL"/>
    <s v="CONT 26/2019"/>
    <d v="2019-04-14T00:00:00"/>
    <s v="R"/>
    <d v="2019-03-20T00:00:00"/>
    <n v="3000"/>
    <m/>
    <m/>
    <m/>
    <m/>
    <m/>
    <m/>
    <n v="3000"/>
    <n v="0"/>
    <n v="0"/>
  </r>
  <r>
    <s v="36A/2019"/>
    <d v="2019-02-09T00:00:00"/>
    <s v="KIỀU THY"/>
    <s v="NB01"/>
    <x v="87"/>
    <x v="11"/>
    <s v="YELLOWEEN"/>
    <m/>
    <s v="12.14"/>
    <n v="400"/>
    <s v="NL2018"/>
    <m/>
    <n v="15"/>
    <n v="6000"/>
    <x v="12"/>
    <n v="15600000"/>
    <x v="0"/>
    <d v="2019-03-15T00:00:00"/>
    <d v="2019-04-19T00:00:00"/>
    <d v="2019-04-19T00:00:00"/>
    <s v="15/3AL"/>
    <s v="CONT 24/2019"/>
    <d v="2019-04-14T00:00:00"/>
    <s v="R"/>
    <d v="2019-04-03T00:00:00"/>
    <n v="6000"/>
    <m/>
    <m/>
    <m/>
    <m/>
    <m/>
    <m/>
    <n v="6000"/>
    <n v="0"/>
    <n v="0"/>
  </r>
  <r>
    <s v="36A/2019"/>
    <d v="2019-02-09T00:00:00"/>
    <s v="KIỀU THY"/>
    <s v="NB01"/>
    <x v="87"/>
    <x v="11"/>
    <s v="YELLOWEEN"/>
    <m/>
    <s v="12.14"/>
    <n v="400"/>
    <s v="NL2018"/>
    <m/>
    <n v="8"/>
    <n v="3200"/>
    <x v="12"/>
    <n v="8320000"/>
    <x v="0"/>
    <d v="2019-03-15T00:00:00"/>
    <d v="2019-04-19T00:00:00"/>
    <d v="2019-04-19T00:00:00"/>
    <s v="15/3AL"/>
    <s v="CONT 24/2019"/>
    <d v="2019-04-14T00:00:00"/>
    <s v="R"/>
    <d v="2019-03-20T00:00:00"/>
    <n v="3200"/>
    <m/>
    <m/>
    <m/>
    <m/>
    <m/>
    <m/>
    <n v="3200"/>
    <n v="0"/>
    <n v="0"/>
  </r>
  <r>
    <s v="36A/2019"/>
    <d v="2019-02-09T00:00:00"/>
    <s v="KIỀU THY"/>
    <s v="NB01"/>
    <x v="87"/>
    <x v="22"/>
    <s v="ROBINA"/>
    <m/>
    <s v="16.18"/>
    <n v="200"/>
    <s v="NL2018"/>
    <m/>
    <n v="0"/>
    <n v="0"/>
    <x v="83"/>
    <n v="0"/>
    <x v="1"/>
    <d v="2019-04-17T00:00:00"/>
    <d v="2019-05-21T00:00:00"/>
    <d v="2019-05-21T00:00:00"/>
    <s v="30/3AL"/>
    <m/>
    <m/>
    <s v="R"/>
    <m/>
    <n v="0"/>
    <m/>
    <m/>
    <m/>
    <m/>
    <m/>
    <m/>
    <n v="0"/>
    <n v="0"/>
    <n v="0"/>
  </r>
  <r>
    <s v="36A/2019"/>
    <d v="2019-04-25T00:00:00"/>
    <s v="KIỀU THY"/>
    <s v="NB01"/>
    <x v="87"/>
    <x v="11"/>
    <s v="YELLOWEEN"/>
    <m/>
    <s v="12.14"/>
    <n v="400"/>
    <s v="NL2018"/>
    <m/>
    <n v="25"/>
    <n v="10000"/>
    <x v="4"/>
    <n v="28000000"/>
    <x v="0"/>
    <d v="2019-03-15T00:00:00"/>
    <d v="2019-04-19T00:00:00"/>
    <d v="2019-04-19T00:00:00"/>
    <s v="15/3AL"/>
    <m/>
    <m/>
    <m/>
    <d v="2019-05-02T00:00:00"/>
    <n v="3200"/>
    <d v="2019-06-03T00:00:00"/>
    <n v="6800"/>
    <m/>
    <m/>
    <m/>
    <m/>
    <n v="10000"/>
    <n v="0"/>
    <n v="0"/>
  </r>
  <r>
    <s v="36A/2019"/>
    <d v="2019-05-06T00:00:00"/>
    <s v="KIỀU THY"/>
    <s v="NB01"/>
    <x v="87"/>
    <x v="11"/>
    <s v="YELLOWEEN"/>
    <m/>
    <s v="12.14"/>
    <n v="400"/>
    <s v="NL2018"/>
    <m/>
    <n v="13"/>
    <n v="5200"/>
    <x v="4"/>
    <n v="14560000"/>
    <x v="0"/>
    <d v="2019-04-17T00:00:00"/>
    <d v="2019-05-21T00:00:00"/>
    <d v="2019-05-21T00:00:00"/>
    <m/>
    <m/>
    <m/>
    <m/>
    <d v="2019-05-17T00:00:00"/>
    <n v="5200"/>
    <m/>
    <m/>
    <m/>
    <m/>
    <m/>
    <m/>
    <n v="5200"/>
    <n v="0"/>
    <n v="0"/>
  </r>
  <r>
    <s v="36A/2019"/>
    <d v="2019-05-13T00:00:00"/>
    <s v="KIỀU THY"/>
    <s v="NB01"/>
    <x v="87"/>
    <x v="57"/>
    <s v="DALIAN"/>
    <m/>
    <s v="14.16"/>
    <n v="300"/>
    <s v="NL2018"/>
    <m/>
    <n v="10"/>
    <n v="3000"/>
    <x v="44"/>
    <n v="16500000"/>
    <x v="0"/>
    <d v="2019-04-17T00:00:00"/>
    <d v="2019-05-21T00:00:00"/>
    <d v="2019-05-21T00:00:00"/>
    <m/>
    <m/>
    <m/>
    <m/>
    <d v="2019-05-17T00:00:00"/>
    <n v="3000"/>
    <m/>
    <m/>
    <m/>
    <m/>
    <m/>
    <m/>
    <n v="3000"/>
    <n v="0"/>
    <n v="0"/>
  </r>
  <r>
    <s v="36A/2019"/>
    <d v="2019-05-29T00:00:00"/>
    <s v="KIỀU THY"/>
    <s v="NB01"/>
    <x v="87"/>
    <x v="22"/>
    <s v="ROBINA"/>
    <m/>
    <s v="16.18"/>
    <n v="200"/>
    <s v="NL2018"/>
    <m/>
    <n v="0"/>
    <n v="0"/>
    <x v="44"/>
    <n v="0"/>
    <x v="1"/>
    <d v="2019-05-20T00:00:00"/>
    <d v="2019-06-22T00:00:00"/>
    <d v="2019-06-22T00:00:00"/>
    <m/>
    <m/>
    <m/>
    <m/>
    <m/>
    <m/>
    <m/>
    <m/>
    <m/>
    <m/>
    <m/>
    <m/>
    <n v="0"/>
    <n v="0"/>
    <n v="0"/>
  </r>
  <r>
    <s v="36A/2019"/>
    <d v="2019-06-17T00:00:00"/>
    <s v="KIỀU THY"/>
    <s v="NB01"/>
    <x v="87"/>
    <x v="11"/>
    <s v="YELLOWEEN"/>
    <m/>
    <s v="12.14"/>
    <n v="400"/>
    <s v="NL2018"/>
    <m/>
    <n v="13"/>
    <n v="5200"/>
    <x v="4"/>
    <n v="14560000"/>
    <x v="0"/>
    <d v="2019-06-17T00:00:00"/>
    <d v="2019-07-19T00:00:00"/>
    <d v="2019-07-19T00:00:00"/>
    <m/>
    <m/>
    <m/>
    <m/>
    <d v="2019-06-17T00:00:00"/>
    <n v="5200"/>
    <m/>
    <m/>
    <m/>
    <m/>
    <m/>
    <m/>
    <n v="5200"/>
    <n v="0"/>
    <n v="0"/>
  </r>
  <r>
    <s v="36A/2019"/>
    <d v="2019-05-06T00:00:00"/>
    <s v="KIỀU THY"/>
    <s v="NB01"/>
    <x v="87"/>
    <x v="11"/>
    <s v="YELLOWEEN"/>
    <m/>
    <s v="12.14"/>
    <n v="400"/>
    <s v="NL2018"/>
    <m/>
    <n v="25"/>
    <n v="10000"/>
    <x v="4"/>
    <n v="28000000"/>
    <x v="3"/>
    <d v="2019-06-15T00:00:00"/>
    <d v="2019-07-17T00:00:00"/>
    <d v="2019-07-17T00:00:00"/>
    <m/>
    <m/>
    <m/>
    <m/>
    <m/>
    <m/>
    <m/>
    <m/>
    <m/>
    <m/>
    <m/>
    <m/>
    <n v="0"/>
    <n v="10000"/>
    <n v="28000000"/>
  </r>
  <r>
    <s v="36A/2019"/>
    <d v="2019-06-18T00:00:00"/>
    <s v="KIỀU THY"/>
    <s v="NB01"/>
    <x v="87"/>
    <x v="28"/>
    <s v="YELLOWEEN"/>
    <m/>
    <s v="14.16"/>
    <n v="300"/>
    <s v="NL2018"/>
    <m/>
    <n v="27"/>
    <n v="8100"/>
    <x v="57"/>
    <n v="32400000"/>
    <x v="2"/>
    <d v="2019-07-15T00:00:00"/>
    <d v="2019-08-15T00:00:00"/>
    <d v="2019-08-15T00:00:00"/>
    <m/>
    <m/>
    <m/>
    <m/>
    <m/>
    <m/>
    <m/>
    <m/>
    <m/>
    <m/>
    <m/>
    <m/>
    <n v="0"/>
    <n v="8100"/>
    <n v="32400000"/>
  </r>
  <r>
    <s v="36A/2019"/>
    <d v="2019-06-18T00:00:00"/>
    <s v="KIỀU THY"/>
    <s v="NB01"/>
    <x v="87"/>
    <x v="28"/>
    <s v="YELLOWEEN"/>
    <m/>
    <s v="14.16"/>
    <n v="300"/>
    <s v="NL2018"/>
    <m/>
    <n v="20"/>
    <n v="6000"/>
    <x v="57"/>
    <n v="24000000"/>
    <x v="2"/>
    <d v="2019-07-30T00:00:00"/>
    <s v=""/>
    <s v=""/>
    <m/>
    <m/>
    <m/>
    <m/>
    <m/>
    <m/>
    <m/>
    <m/>
    <m/>
    <m/>
    <m/>
    <m/>
    <n v="0"/>
    <n v="6000"/>
    <n v="24000000"/>
  </r>
  <r>
    <s v="36A/2019"/>
    <d v="2019-06-18T00:00:00"/>
    <s v="KIỀU THY"/>
    <s v="NB01"/>
    <x v="87"/>
    <x v="28"/>
    <s v="YELLOWEEN"/>
    <m/>
    <s v="14.16"/>
    <n v="300"/>
    <s v="NL2018"/>
    <m/>
    <n v="34"/>
    <n v="10200"/>
    <x v="57"/>
    <n v="40800000"/>
    <x v="2"/>
    <d v="2019-06-30T00:00:00"/>
    <s v=""/>
    <s v=""/>
    <m/>
    <m/>
    <m/>
    <m/>
    <m/>
    <m/>
    <m/>
    <m/>
    <m/>
    <m/>
    <m/>
    <m/>
    <n v="0"/>
    <n v="10200"/>
    <n v="40800000"/>
  </r>
  <r>
    <s v="36A/2019"/>
    <d v="2019-06-18T00:00:00"/>
    <s v="KIỀU THY"/>
    <s v="NB01"/>
    <x v="87"/>
    <x v="11"/>
    <s v="YELLOWEEN"/>
    <m/>
    <s v="12.14"/>
    <n v="400"/>
    <s v="NL2018"/>
    <m/>
    <n v="6"/>
    <n v="2400"/>
    <x v="4"/>
    <n v="6720000"/>
    <x v="0"/>
    <d v="2019-06-18T00:00:00"/>
    <d v="2019-07-20T00:00:00"/>
    <d v="2019-07-20T00:00:00"/>
    <m/>
    <m/>
    <m/>
    <m/>
    <d v="2019-06-18T00:00:00"/>
    <n v="2400"/>
    <m/>
    <m/>
    <m/>
    <m/>
    <m/>
    <m/>
    <n v="2400"/>
    <n v="0"/>
    <n v="0"/>
  </r>
  <r>
    <s v="36A/2019"/>
    <d v="2019-06-18T00:00:00"/>
    <s v="KIỀU THY"/>
    <s v="NB01"/>
    <x v="87"/>
    <x v="28"/>
    <s v="YELLOWEEN"/>
    <m/>
    <s v="14.16"/>
    <n v="300"/>
    <s v="NL2018"/>
    <m/>
    <n v="8"/>
    <n v="2400"/>
    <x v="56"/>
    <n v="9360000"/>
    <x v="0"/>
    <d v="2019-06-18T00:00:00"/>
    <d v="2019-07-20T00:00:00"/>
    <d v="2019-07-20T00:00:00"/>
    <m/>
    <m/>
    <m/>
    <m/>
    <d v="2019-06-18T00:00:00"/>
    <n v="2400"/>
    <m/>
    <m/>
    <m/>
    <m/>
    <m/>
    <m/>
    <n v="2400"/>
    <n v="0"/>
    <n v="0"/>
  </r>
  <r>
    <s v="210A/2019"/>
    <d v="2019-05-02T00:00:00"/>
    <s v="KIỀU THY"/>
    <s v="AT05"/>
    <x v="88"/>
    <x v="22"/>
    <s v="ROBINA"/>
    <m/>
    <s v="16.18"/>
    <s v="200"/>
    <s v="NL2018"/>
    <m/>
    <n v="70"/>
    <n v="14000"/>
    <x v="44"/>
    <n v="77000000"/>
    <x v="3"/>
    <d v="2019-05-18T00:00:00"/>
    <d v="2019-06-20T00:00:00"/>
    <d v="2019-06-20T00:00:00"/>
    <s v="5/5AL_1 lần trồng 8.000 cách nhau 15 ngay"/>
    <m/>
    <m/>
    <m/>
    <m/>
    <m/>
    <m/>
    <m/>
    <m/>
    <m/>
    <m/>
    <m/>
    <n v="0"/>
    <n v="14000"/>
    <n v="77000000"/>
  </r>
  <r>
    <s v="210A/2019"/>
    <d v="2019-05-02T00:00:00"/>
    <s v="KIỀU THY"/>
    <s v="AT05"/>
    <x v="88"/>
    <x v="78"/>
    <s v="NATALIA"/>
    <s v="RL"/>
    <n v="12.14"/>
    <s v="400"/>
    <s v="NL2018"/>
    <m/>
    <n v="5"/>
    <n v="2000"/>
    <x v="79"/>
    <n v="17200000"/>
    <x v="3"/>
    <d v="2019-05-18T00:00:00"/>
    <d v="2019-06-20T00:00:00"/>
    <d v="2019-06-20T00:00:00"/>
    <s v="5/5AL_1 lần trồng 8.000 cách nhau 15 ngay"/>
    <m/>
    <m/>
    <m/>
    <m/>
    <m/>
    <m/>
    <m/>
    <m/>
    <m/>
    <m/>
    <m/>
    <n v="0"/>
    <n v="2000"/>
    <n v="17200000"/>
  </r>
  <r>
    <s v="210A/2019"/>
    <d v="2019-05-02T00:00:00"/>
    <s v="KIỀU THY"/>
    <s v="AT05"/>
    <x v="88"/>
    <x v="22"/>
    <s v="ROBINA"/>
    <m/>
    <s v="16.18"/>
    <s v="200"/>
    <s v="NL2018"/>
    <m/>
    <n v="70"/>
    <n v="14000"/>
    <x v="48"/>
    <n v="78400000"/>
    <x v="3"/>
    <d v="2019-06-15T00:00:00"/>
    <d v="2019-07-17T00:00:00"/>
    <d v="2019-07-17T00:00:00"/>
    <m/>
    <m/>
    <m/>
    <m/>
    <m/>
    <m/>
    <m/>
    <m/>
    <m/>
    <m/>
    <m/>
    <m/>
    <n v="0"/>
    <n v="14000"/>
    <n v="78400000"/>
  </r>
  <r>
    <s v="210A/2019"/>
    <d v="2019-05-02T00:00:00"/>
    <s v="KIỀU THY"/>
    <s v="AT05"/>
    <x v="88"/>
    <x v="78"/>
    <s v="NATALIA"/>
    <s v="RL"/>
    <n v="12.14"/>
    <s v="400"/>
    <s v="NL2018"/>
    <m/>
    <n v="5"/>
    <n v="2000"/>
    <x v="137"/>
    <n v="17400000"/>
    <x v="3"/>
    <d v="2019-06-15T00:00:00"/>
    <d v="2019-07-17T00:00:00"/>
    <d v="2019-07-17T00:00:00"/>
    <m/>
    <m/>
    <m/>
    <m/>
    <m/>
    <m/>
    <m/>
    <m/>
    <m/>
    <m/>
    <m/>
    <m/>
    <n v="0"/>
    <n v="2000"/>
    <n v="17400000"/>
  </r>
  <r>
    <s v="210A/2019"/>
    <d v="2019-05-02T00:00:00"/>
    <s v="KIỀU THY"/>
    <s v="AT05"/>
    <x v="88"/>
    <x v="22"/>
    <s v="ROBINA"/>
    <m/>
    <s v="16.18"/>
    <s v="200"/>
    <s v="NL2018"/>
    <m/>
    <n v="35"/>
    <n v="7000"/>
    <x v="48"/>
    <n v="39200000"/>
    <x v="2"/>
    <d v="2019-07-10T00:00:00"/>
    <d v="2019-08-10T00:00:00"/>
    <d v="2019-08-10T00:00:00"/>
    <m/>
    <m/>
    <m/>
    <m/>
    <m/>
    <m/>
    <m/>
    <m/>
    <m/>
    <m/>
    <m/>
    <m/>
    <n v="0"/>
    <n v="7000"/>
    <n v="39200000"/>
  </r>
  <r>
    <s v="210A/2019"/>
    <d v="2019-05-02T00:00:00"/>
    <s v="KIỀU THY"/>
    <s v="AT05"/>
    <x v="88"/>
    <x v="78"/>
    <s v="NATALIA"/>
    <s v="RL"/>
    <n v="12.14"/>
    <s v="400"/>
    <s v="NL2018"/>
    <m/>
    <n v="3"/>
    <n v="1200"/>
    <x v="137"/>
    <n v="10440000"/>
    <x v="2"/>
    <d v="2019-07-10T00:00:00"/>
    <d v="2019-08-10T00:00:00"/>
    <d v="2019-08-10T00:00:00"/>
    <m/>
    <m/>
    <m/>
    <m/>
    <m/>
    <m/>
    <m/>
    <m/>
    <m/>
    <m/>
    <m/>
    <m/>
    <n v="0"/>
    <n v="1200"/>
    <n v="10440000"/>
  </r>
  <r>
    <s v="210A/2019"/>
    <d v="2019-05-09T00:00:00"/>
    <s v="KIỀU THY"/>
    <s v="AT05"/>
    <x v="88"/>
    <x v="22"/>
    <s v="ROBINA"/>
    <m/>
    <s v="16.18"/>
    <s v="200"/>
    <s v="NL2018"/>
    <m/>
    <n v="50"/>
    <n v="10000"/>
    <x v="46"/>
    <n v="60000000"/>
    <x v="2"/>
    <d v="2019-11-25T00:00:00"/>
    <d v="2019-12-20T00:00:00"/>
    <d v="2019-12-20T00:00:00"/>
    <m/>
    <m/>
    <m/>
    <m/>
    <m/>
    <m/>
    <m/>
    <m/>
    <m/>
    <m/>
    <m/>
    <m/>
    <n v="0"/>
    <n v="10000"/>
    <n v="60000000"/>
  </r>
  <r>
    <s v="210A/2019"/>
    <d v="2019-05-09T00:00:00"/>
    <s v="KIỀU THY"/>
    <s v="AT05"/>
    <x v="88"/>
    <x v="51"/>
    <s v="THALITA"/>
    <s v="RL"/>
    <s v="12.14"/>
    <s v="400"/>
    <s v="NL2018"/>
    <m/>
    <n v="25"/>
    <n v="10000"/>
    <x v="94"/>
    <n v="89000000"/>
    <x v="2"/>
    <d v="2019-11-25T00:00:00"/>
    <d v="2019-12-20T00:00:00"/>
    <d v="2019-12-20T00:00:00"/>
    <m/>
    <m/>
    <m/>
    <m/>
    <m/>
    <m/>
    <m/>
    <m/>
    <m/>
    <m/>
    <m/>
    <m/>
    <n v="0"/>
    <n v="10000"/>
    <n v="89000000"/>
  </r>
  <r>
    <s v="212A/2019"/>
    <d v="2019-05-02T00:00:00"/>
    <s v="KIỀU THY"/>
    <s v="AT05"/>
    <x v="88"/>
    <x v="16"/>
    <s v="ROBINA"/>
    <m/>
    <s v="20.22"/>
    <s v="125"/>
    <s v="NL2018"/>
    <m/>
    <n v="80"/>
    <n v="10000"/>
    <x v="16"/>
    <n v="107000000"/>
    <x v="2"/>
    <d v="2019-09-01T00:00:00"/>
    <d v="2019-09-29T00:00:00"/>
    <d v="2019-09-29T00:00:00"/>
    <s v="TẾT"/>
    <m/>
    <m/>
    <m/>
    <m/>
    <m/>
    <m/>
    <m/>
    <m/>
    <m/>
    <m/>
    <m/>
    <n v="0"/>
    <n v="10000"/>
    <n v="107000000"/>
  </r>
  <r>
    <s v="212A/2019"/>
    <d v="2019-05-02T00:00:00"/>
    <s v="KIỀU THY"/>
    <s v="AT05"/>
    <x v="88"/>
    <x v="165"/>
    <s v="TATSJANA"/>
    <s v="RL"/>
    <s v="14.16"/>
    <s v="300"/>
    <s v="NL2018"/>
    <m/>
    <n v="9.8333333333333339"/>
    <n v="2950"/>
    <x v="160"/>
    <n v="41005000"/>
    <x v="2"/>
    <d v="2019-09-01T00:00:00"/>
    <d v="2019-09-29T00:00:00"/>
    <d v="2019-09-29T00:00:00"/>
    <s v="TẾT"/>
    <m/>
    <m/>
    <m/>
    <m/>
    <m/>
    <m/>
    <m/>
    <m/>
    <m/>
    <m/>
    <m/>
    <n v="0"/>
    <n v="2950"/>
    <n v="41005000"/>
  </r>
  <r>
    <s v="212A/2019"/>
    <d v="2019-05-02T00:00:00"/>
    <s v="KIỀU THY"/>
    <s v="AT05"/>
    <x v="88"/>
    <x v="7"/>
    <s v="PROFUNDO"/>
    <m/>
    <s v="18.20"/>
    <s v="150"/>
    <s v="NL2018"/>
    <m/>
    <n v="34"/>
    <n v="5100"/>
    <x v="22"/>
    <n v="55590000"/>
    <x v="2"/>
    <d v="2019-09-01T00:00:00"/>
    <d v="2019-09-29T00:00:00"/>
    <d v="2019-09-29T00:00:00"/>
    <s v="TẾT"/>
    <m/>
    <m/>
    <m/>
    <m/>
    <m/>
    <m/>
    <m/>
    <m/>
    <m/>
    <m/>
    <m/>
    <n v="0"/>
    <n v="5100"/>
    <n v="55590000"/>
  </r>
  <r>
    <s v="212A/2019"/>
    <d v="2019-05-02T00:00:00"/>
    <s v="KIỀU THY"/>
    <s v="AT05"/>
    <x v="88"/>
    <x v="78"/>
    <s v="NATALIA"/>
    <s v="RL"/>
    <s v="12.14"/>
    <s v="400"/>
    <s v="NL2018"/>
    <m/>
    <n v="25"/>
    <n v="10000"/>
    <x v="64"/>
    <n v="88000000"/>
    <x v="2"/>
    <d v="2019-09-01T00:00:00"/>
    <d v="2019-09-29T00:00:00"/>
    <d v="2019-09-29T00:00:00"/>
    <s v="TẾT"/>
    <m/>
    <m/>
    <m/>
    <m/>
    <m/>
    <m/>
    <m/>
    <m/>
    <m/>
    <m/>
    <m/>
    <n v="0"/>
    <n v="10000"/>
    <n v="88000000"/>
  </r>
  <r>
    <s v="44B/2019"/>
    <d v="2019-02-12T00:00:00"/>
    <s v="THANH THÚY"/>
    <s v="VD04"/>
    <x v="89"/>
    <x v="102"/>
    <s v="COMPETITION"/>
    <m/>
    <s v="16.18"/>
    <n v="200"/>
    <s v="NL2018"/>
    <m/>
    <n v="100"/>
    <n v="20000"/>
    <x v="45"/>
    <n v="134000000"/>
    <x v="0"/>
    <d v="2019-02-15T00:00:00"/>
    <d v="2019-03-20T00:00:00"/>
    <d v="2019-03-20T00:00:00"/>
    <s v="15/2AL"/>
    <s v="CONT 9/2019"/>
    <m/>
    <m/>
    <d v="2019-03-19T00:00:00"/>
    <n v="5000"/>
    <d v="2019-03-28T00:00:00"/>
    <n v="15000"/>
    <m/>
    <m/>
    <m/>
    <m/>
    <n v="20000"/>
    <n v="0"/>
    <n v="0"/>
  </r>
  <r>
    <s v="44B/2019"/>
    <d v="2019-02-12T00:00:00"/>
    <s v="THANH THÚY"/>
    <s v="VD04"/>
    <x v="89"/>
    <x v="79"/>
    <s v="YELLOWEEN"/>
    <m/>
    <s v="16.18"/>
    <n v="200"/>
    <s v="NL2017"/>
    <m/>
    <n v="25"/>
    <n v="5000"/>
    <x v="6"/>
    <n v="19000000"/>
    <x v="0"/>
    <d v="2019-02-02T00:00:00"/>
    <d v="2019-03-07T00:00:00"/>
    <d v="2019-03-07T00:00:00"/>
    <s v="28/1AL"/>
    <m/>
    <m/>
    <m/>
    <d v="2019-03-06T00:00:00"/>
    <n v="5000"/>
    <m/>
    <m/>
    <m/>
    <m/>
    <m/>
    <m/>
    <n v="5000"/>
    <n v="0"/>
    <n v="0"/>
  </r>
  <r>
    <s v="137B/2019"/>
    <d v="2019-03-30T00:00:00"/>
    <s v="THANH THÚY"/>
    <s v="VD04"/>
    <x v="89"/>
    <x v="31"/>
    <s v="TARRANGO"/>
    <m/>
    <s v="14.16"/>
    <n v="300"/>
    <s v="NL2018"/>
    <m/>
    <n v="33"/>
    <n v="9900"/>
    <x v="21"/>
    <n v="45540000"/>
    <x v="0"/>
    <d v="2019-03-15T00:00:00"/>
    <d v="2019-04-19T00:00:00"/>
    <d v="2019-04-19T00:00:00"/>
    <s v="15/3AL"/>
    <m/>
    <m/>
    <m/>
    <d v="2019-05-17T00:00:00"/>
    <n v="9900"/>
    <m/>
    <m/>
    <m/>
    <m/>
    <m/>
    <m/>
    <n v="9900"/>
    <n v="0"/>
    <n v="0"/>
  </r>
  <r>
    <s v="137B/2019"/>
    <d v="2019-06-15T00:00:00"/>
    <s v="THANH THÚY"/>
    <s v="VD04"/>
    <x v="89"/>
    <x v="28"/>
    <s v="YELLOWEEN"/>
    <m/>
    <s v="14.16"/>
    <n v="300"/>
    <s v="NL2018"/>
    <m/>
    <n v="67"/>
    <n v="20100"/>
    <x v="57"/>
    <n v="80400000"/>
    <x v="3"/>
    <d v="2019-06-15T00:00:00"/>
    <d v="2019-07-17T00:00:00"/>
    <d v="2019-07-17T00:00:00"/>
    <m/>
    <m/>
    <m/>
    <m/>
    <m/>
    <m/>
    <m/>
    <m/>
    <m/>
    <m/>
    <m/>
    <m/>
    <n v="0"/>
    <n v="20100"/>
    <n v="80400000"/>
  </r>
  <r>
    <s v="137B/2019"/>
    <d v="2019-06-15T00:00:00"/>
    <s v="THANH THÚY"/>
    <s v="VD04"/>
    <x v="89"/>
    <x v="28"/>
    <s v="YELLOWEEN"/>
    <m/>
    <s v="14.16"/>
    <n v="300"/>
    <s v="NL2018"/>
    <m/>
    <n v="67"/>
    <n v="20100"/>
    <x v="57"/>
    <n v="80400000"/>
    <x v="2"/>
    <d v="2019-07-15T00:00:00"/>
    <d v="2019-08-15T00:00:00"/>
    <d v="2019-08-15T00:00:00"/>
    <m/>
    <m/>
    <m/>
    <m/>
    <m/>
    <m/>
    <m/>
    <m/>
    <m/>
    <m/>
    <m/>
    <m/>
    <n v="0"/>
    <n v="20100"/>
    <n v="80400000"/>
  </r>
  <r>
    <s v="137B/2019"/>
    <d v="2019-06-15T00:00:00"/>
    <s v="THANH THÚY"/>
    <s v="VD04"/>
    <x v="89"/>
    <x v="28"/>
    <s v="YELLOWEEN"/>
    <m/>
    <s v="14.16"/>
    <n v="300"/>
    <s v="NL2018"/>
    <m/>
    <n v="67"/>
    <n v="20100"/>
    <x v="3"/>
    <n v="82410000"/>
    <x v="2"/>
    <d v="2019-08-15T00:00:00"/>
    <d v="2019-09-13T00:00:00"/>
    <d v="2019-09-13T00:00:00"/>
    <m/>
    <m/>
    <m/>
    <m/>
    <m/>
    <m/>
    <m/>
    <m/>
    <m/>
    <m/>
    <m/>
    <m/>
    <n v="0"/>
    <n v="20100"/>
    <n v="82410000"/>
  </r>
  <r>
    <s v="166B/2019"/>
    <d v="2019-04-18T00:00:00"/>
    <s v="THANH THÚY"/>
    <s v="TH14"/>
    <x v="90"/>
    <x v="62"/>
    <s v="BACARDI"/>
    <m/>
    <s v="15.16"/>
    <s v="300"/>
    <s v="NL2018"/>
    <m/>
    <n v="34"/>
    <n v="10200"/>
    <x v="13"/>
    <n v="45900000"/>
    <x v="4"/>
    <d v="2019-04-17T00:00:00"/>
    <d v="2019-05-21T00:00:00"/>
    <d v="2019-05-21T00:00:00"/>
    <s v="17/4AL"/>
    <m/>
    <m/>
    <m/>
    <d v="2019-05-20T00:00:00"/>
    <n v="3900"/>
    <d v="2019-06-15T00:00:00"/>
    <s v="4200"/>
    <m/>
    <m/>
    <m/>
    <m/>
    <n v="8100"/>
    <n v="2100"/>
    <n v="9450000"/>
  </r>
  <r>
    <s v="166B/2019"/>
    <d v="2019-04-18T00:00:00"/>
    <s v="THANH THÚY"/>
    <s v="TH14"/>
    <x v="90"/>
    <x v="62"/>
    <s v="BACARDI"/>
    <m/>
    <s v="15.16"/>
    <s v="300"/>
    <s v="NL2018"/>
    <m/>
    <n v="0"/>
    <n v="0"/>
    <x v="13"/>
    <n v="0"/>
    <x v="1"/>
    <d v="2019-03-15T00:00:00"/>
    <d v="2019-04-19T00:00:00"/>
    <d v="2019-04-19T00:00:00"/>
    <s v="15/3AL"/>
    <m/>
    <m/>
    <m/>
    <m/>
    <n v="0"/>
    <m/>
    <m/>
    <m/>
    <m/>
    <m/>
    <m/>
    <n v="0"/>
    <n v="0"/>
    <n v="0"/>
  </r>
  <r>
    <s v="166B/2019"/>
    <d v="2019-05-19T00:00:00"/>
    <s v="THANH THÚY"/>
    <s v="TH14"/>
    <x v="90"/>
    <x v="57"/>
    <s v="DALIAN"/>
    <m/>
    <s v="14.16"/>
    <s v="300"/>
    <s v="NL2018"/>
    <m/>
    <n v="18"/>
    <n v="5400"/>
    <x v="11"/>
    <n v="29160000"/>
    <x v="4"/>
    <d v="2019-04-17T00:00:00"/>
    <d v="2019-05-21T00:00:00"/>
    <d v="2019-05-21T00:00:00"/>
    <s v="17/4AL"/>
    <m/>
    <m/>
    <m/>
    <m/>
    <m/>
    <m/>
    <m/>
    <m/>
    <m/>
    <m/>
    <m/>
    <n v="0"/>
    <n v="5400"/>
    <n v="29160000"/>
  </r>
  <r>
    <s v="166B/2019"/>
    <d v="2019-04-18T00:00:00"/>
    <s v="THANH THÚY"/>
    <s v="TH14"/>
    <x v="90"/>
    <x v="24"/>
    <s v="SERANO"/>
    <m/>
    <s v="14.16"/>
    <s v="300"/>
    <s v="NL2018"/>
    <m/>
    <n v="8"/>
    <n v="2400"/>
    <x v="25"/>
    <n v="8640000"/>
    <x v="0"/>
    <d v="2019-04-17T00:00:00"/>
    <d v="2019-05-21T00:00:00"/>
    <d v="2019-05-21T00:00:00"/>
    <s v="17/4AL"/>
    <m/>
    <m/>
    <m/>
    <d v="2019-04-18T00:00:00"/>
    <n v="2400"/>
    <m/>
    <m/>
    <m/>
    <m/>
    <m/>
    <m/>
    <n v="2400"/>
    <n v="0"/>
    <n v="0"/>
  </r>
  <r>
    <s v="166B/2019"/>
    <d v="2019-04-18T00:00:00"/>
    <s v="THANH THÚY"/>
    <s v="TH14"/>
    <x v="90"/>
    <x v="66"/>
    <s v="ALUSTA"/>
    <m/>
    <s v="14.16"/>
    <s v="300"/>
    <s v="NL2018"/>
    <m/>
    <n v="2"/>
    <n v="600"/>
    <x v="57"/>
    <n v="2400000"/>
    <x v="0"/>
    <m/>
    <s v=""/>
    <s v=""/>
    <m/>
    <m/>
    <m/>
    <m/>
    <d v="2019-04-18T00:00:00"/>
    <n v="600"/>
    <m/>
    <m/>
    <m/>
    <m/>
    <m/>
    <m/>
    <n v="600"/>
    <n v="0"/>
    <n v="0"/>
  </r>
  <r>
    <s v="166B/2019"/>
    <d v="2019-04-18T00:00:00"/>
    <s v="THANH THÚY"/>
    <s v="TH14"/>
    <x v="90"/>
    <x v="24"/>
    <s v="SERANO"/>
    <m/>
    <s v="14.16"/>
    <s v="300"/>
    <s v="NL2018"/>
    <m/>
    <n v="22"/>
    <n v="6600"/>
    <x v="25"/>
    <n v="23760000"/>
    <x v="4"/>
    <d v="2019-04-17T00:00:00"/>
    <d v="2019-05-21T00:00:00"/>
    <d v="2019-05-21T00:00:00"/>
    <s v="17/4AL"/>
    <m/>
    <m/>
    <m/>
    <d v="2019-05-20T00:00:00"/>
    <n v="2400"/>
    <d v="2019-06-06T00:00:00"/>
    <s v="3000"/>
    <m/>
    <m/>
    <m/>
    <m/>
    <n v="5400"/>
    <n v="1200"/>
    <n v="4320000"/>
  </r>
  <r>
    <s v="166B/2019"/>
    <d v="2019-04-18T00:00:00"/>
    <s v="THANH THÚY"/>
    <s v="TH14"/>
    <x v="90"/>
    <x v="24"/>
    <s v="SERANO"/>
    <m/>
    <s v="14.16"/>
    <s v="300"/>
    <s v="NL2018"/>
    <m/>
    <n v="9"/>
    <n v="2700"/>
    <x v="25"/>
    <n v="9720000"/>
    <x v="4"/>
    <d v="2019-05-12T00:00:00"/>
    <d v="2019-06-14T00:00:00"/>
    <d v="2019-06-14T00:00:00"/>
    <s v="12/5AL"/>
    <m/>
    <m/>
    <m/>
    <m/>
    <m/>
    <m/>
    <m/>
    <m/>
    <m/>
    <m/>
    <m/>
    <n v="0"/>
    <n v="2700"/>
    <n v="9720000"/>
  </r>
  <r>
    <s v="166B/2019"/>
    <d v="2019-04-18T00:00:00"/>
    <s v="THANH THÚY"/>
    <s v="TH14"/>
    <x v="90"/>
    <x v="65"/>
    <s v="ROBINA"/>
    <m/>
    <s v="14.16"/>
    <s v="300"/>
    <s v="NL2018"/>
    <m/>
    <n v="17"/>
    <n v="5100"/>
    <x v="6"/>
    <n v="19380000"/>
    <x v="3"/>
    <d v="2019-06-15T00:00:00"/>
    <d v="2019-07-17T00:00:00"/>
    <d v="2019-07-17T00:00:00"/>
    <s v="15/6AL"/>
    <m/>
    <m/>
    <m/>
    <m/>
    <m/>
    <m/>
    <m/>
    <m/>
    <m/>
    <m/>
    <m/>
    <n v="0"/>
    <n v="5100"/>
    <n v="19380000"/>
  </r>
  <r>
    <s v="166B/2019"/>
    <d v="2019-04-18T00:00:00"/>
    <s v="THANH THÚY"/>
    <s v="TH14"/>
    <x v="90"/>
    <x v="57"/>
    <s v="DALIAN"/>
    <m/>
    <s v="14.16"/>
    <s v="300"/>
    <s v="NL2018"/>
    <m/>
    <n v="17"/>
    <n v="5100"/>
    <x v="11"/>
    <n v="27540000"/>
    <x v="3"/>
    <d v="2019-06-15T00:00:00"/>
    <d v="2019-07-17T00:00:00"/>
    <d v="2019-07-17T00:00:00"/>
    <s v="15/6AL"/>
    <m/>
    <m/>
    <m/>
    <m/>
    <m/>
    <m/>
    <m/>
    <m/>
    <m/>
    <m/>
    <m/>
    <n v="0"/>
    <n v="5100"/>
    <n v="27540000"/>
  </r>
  <r>
    <s v="166B/2019"/>
    <d v="2019-04-18T00:00:00"/>
    <s v="THANH THÚY"/>
    <s v="TH14"/>
    <x v="90"/>
    <x v="29"/>
    <s v="MANISSA"/>
    <m/>
    <s v="16.18"/>
    <n v="200"/>
    <s v="NL2018"/>
    <m/>
    <n v="0"/>
    <n v="0"/>
    <x v="33"/>
    <n v="0"/>
    <x v="1"/>
    <d v="2019-06-15T00:00:00"/>
    <d v="2019-07-17T00:00:00"/>
    <d v="2019-07-17T00:00:00"/>
    <s v="15/6AL"/>
    <m/>
    <m/>
    <m/>
    <m/>
    <m/>
    <m/>
    <m/>
    <m/>
    <m/>
    <m/>
    <m/>
    <n v="0"/>
    <n v="0"/>
    <n v="0"/>
  </r>
  <r>
    <s v="166B/2019"/>
    <d v="2019-06-15T00:00:00"/>
    <s v="THANH THÚY"/>
    <s v="TH14"/>
    <x v="90"/>
    <x v="29"/>
    <s v="MANISSA"/>
    <m/>
    <s v="16.18"/>
    <n v="200"/>
    <s v="NL2018"/>
    <m/>
    <n v="50"/>
    <n v="10000"/>
    <x v="33"/>
    <n v="70000000"/>
    <x v="3"/>
    <d v="2019-05-18T00:00:00"/>
    <d v="2019-06-20T00:00:00"/>
    <d v="2019-06-20T00:00:00"/>
    <m/>
    <m/>
    <m/>
    <m/>
    <m/>
    <m/>
    <m/>
    <m/>
    <m/>
    <m/>
    <m/>
    <m/>
    <n v="0"/>
    <n v="10000"/>
    <n v="70000000"/>
  </r>
  <r>
    <s v="166B/2019"/>
    <d v="2019-06-15T00:00:00"/>
    <s v="THANH THÚY"/>
    <s v="TH14"/>
    <x v="90"/>
    <x v="24"/>
    <s v="SERANO"/>
    <m/>
    <s v="14.16"/>
    <s v="300"/>
    <s v="NL2018"/>
    <m/>
    <n v="17"/>
    <n v="5100"/>
    <x v="6"/>
    <n v="19380000"/>
    <x v="3"/>
    <d v="2019-06-15T00:00:00"/>
    <d v="2019-07-17T00:00:00"/>
    <d v="2019-07-17T00:00:00"/>
    <m/>
    <m/>
    <m/>
    <m/>
    <m/>
    <m/>
    <m/>
    <m/>
    <m/>
    <m/>
    <m/>
    <m/>
    <n v="0"/>
    <n v="5100"/>
    <n v="19380000"/>
  </r>
  <r>
    <s v="166B/2019"/>
    <d v="2019-06-15T00:00:00"/>
    <s v="THANH THÚY"/>
    <s v="TH14"/>
    <x v="90"/>
    <x v="22"/>
    <s v="ROBINA"/>
    <m/>
    <s v="16.18"/>
    <n v="200"/>
    <s v="NL2018"/>
    <m/>
    <n v="20"/>
    <n v="4000"/>
    <x v="117"/>
    <n v="14800000"/>
    <x v="3"/>
    <d v="2019-06-15T00:00:00"/>
    <d v="2019-07-17T00:00:00"/>
    <d v="2019-07-17T00:00:00"/>
    <m/>
    <m/>
    <m/>
    <m/>
    <m/>
    <m/>
    <m/>
    <m/>
    <m/>
    <m/>
    <m/>
    <m/>
    <n v="0"/>
    <n v="4000"/>
    <n v="14800000"/>
  </r>
  <r>
    <s v="166B/2019"/>
    <d v="2019-06-15T00:00:00"/>
    <s v="THANH THÚY"/>
    <s v="TH14"/>
    <x v="90"/>
    <x v="57"/>
    <s v="DALIAN"/>
    <m/>
    <s v="14.16"/>
    <s v="300"/>
    <s v="NL2018"/>
    <m/>
    <n v="17"/>
    <n v="5100"/>
    <x v="48"/>
    <n v="28560000"/>
    <x v="2"/>
    <d v="2019-06-25T00:00:00"/>
    <d v="2019-07-27T00:00:00"/>
    <d v="2019-07-27T00:00:00"/>
    <m/>
    <m/>
    <m/>
    <m/>
    <m/>
    <m/>
    <m/>
    <m/>
    <m/>
    <m/>
    <m/>
    <m/>
    <n v="0"/>
    <n v="5100"/>
    <n v="28560000"/>
  </r>
  <r>
    <s v="167B/2019"/>
    <d v="2019-04-18T00:00:00"/>
    <s v="THANH THÚY"/>
    <s v="TH14"/>
    <x v="90"/>
    <x v="16"/>
    <s v="ROBINA"/>
    <m/>
    <s v="20.22"/>
    <s v="125"/>
    <s v="NL2018"/>
    <m/>
    <n v="56"/>
    <n v="7000"/>
    <x v="16"/>
    <n v="74900000"/>
    <x v="2"/>
    <d v="2019-09-01T00:00:00"/>
    <d v="2019-09-29T00:00:00"/>
    <d v="2019-09-29T00:00:00"/>
    <s v="TẾT"/>
    <m/>
    <m/>
    <m/>
    <m/>
    <n v="0"/>
    <m/>
    <m/>
    <m/>
    <m/>
    <m/>
    <m/>
    <n v="0"/>
    <n v="7000"/>
    <n v="74900000"/>
  </r>
  <r>
    <s v="167B/2019"/>
    <d v="2019-04-18T00:00:00"/>
    <s v="THANH THÚY"/>
    <s v="TH14"/>
    <x v="90"/>
    <x v="108"/>
    <s v="ROBINA NEW ZEALAND"/>
    <m/>
    <s v="20.22"/>
    <s v="125"/>
    <s v="NZ2019"/>
    <m/>
    <n v="24"/>
    <n v="3000"/>
    <x v="29"/>
    <n v="37500000"/>
    <x v="2"/>
    <d v="2019-09-01T00:00:00"/>
    <d v="2019-09-29T00:00:00"/>
    <d v="2019-09-29T00:00:00"/>
    <s v="TẾT"/>
    <m/>
    <m/>
    <m/>
    <m/>
    <n v="0"/>
    <m/>
    <m/>
    <m/>
    <m/>
    <m/>
    <m/>
    <n v="0"/>
    <n v="3000"/>
    <n v="37500000"/>
  </r>
  <r>
    <s v="167B/2019"/>
    <d v="2019-04-18T00:00:00"/>
    <s v="THANH THÚY"/>
    <s v="TH14"/>
    <x v="90"/>
    <x v="85"/>
    <s v="DALIAN"/>
    <m/>
    <s v="20.22"/>
    <s v="125"/>
    <s v="NL2018"/>
    <m/>
    <n v="40"/>
    <n v="5000"/>
    <x v="161"/>
    <n v="71500000"/>
    <x v="2"/>
    <d v="2019-09-01T00:00:00"/>
    <d v="2019-09-29T00:00:00"/>
    <d v="2019-09-29T00:00:00"/>
    <s v="TẾT"/>
    <m/>
    <m/>
    <m/>
    <m/>
    <n v="0"/>
    <m/>
    <m/>
    <m/>
    <m/>
    <m/>
    <m/>
    <n v="0"/>
    <n v="5000"/>
    <n v="71500000"/>
  </r>
  <r>
    <s v="167B/2019"/>
    <d v="2019-04-18T00:00:00"/>
    <s v="THANH THÚY"/>
    <s v="TH14"/>
    <x v="90"/>
    <x v="25"/>
    <s v="CONCADOR"/>
    <m/>
    <s v="18.20"/>
    <s v="150"/>
    <s v="NL2018"/>
    <m/>
    <n v="0"/>
    <n v="0"/>
    <x v="27"/>
    <n v="0"/>
    <x v="1"/>
    <d v="2019-09-01T00:00:00"/>
    <d v="2019-09-29T00:00:00"/>
    <d v="2019-09-29T00:00:00"/>
    <s v="TẾT"/>
    <m/>
    <m/>
    <m/>
    <m/>
    <n v="0"/>
    <m/>
    <m/>
    <m/>
    <m/>
    <m/>
    <m/>
    <n v="0"/>
    <n v="0"/>
    <n v="0"/>
  </r>
  <r>
    <s v="167B/2019"/>
    <d v="2019-04-18T00:00:00"/>
    <s v="THANH THÚY"/>
    <s v="TH14"/>
    <x v="90"/>
    <x v="6"/>
    <s v="CONCADOR"/>
    <m/>
    <s v="20.22"/>
    <s v="125"/>
    <s v="NL2018"/>
    <m/>
    <n v="104"/>
    <n v="13000"/>
    <x v="7"/>
    <n v="137800000"/>
    <x v="2"/>
    <d v="2019-09-01T00:00:00"/>
    <d v="2019-09-29T00:00:00"/>
    <d v="2019-09-29T00:00:00"/>
    <s v="TẾT"/>
    <m/>
    <m/>
    <m/>
    <m/>
    <n v="0"/>
    <m/>
    <m/>
    <m/>
    <m/>
    <m/>
    <m/>
    <n v="0"/>
    <n v="13000"/>
    <n v="137800000"/>
  </r>
  <r>
    <s v="76A/2019"/>
    <d v="2019-02-25T00:00:00"/>
    <s v="KIỀU THY"/>
    <s v="VV03"/>
    <x v="91"/>
    <x v="46"/>
    <s v="CONCAD'OR"/>
    <m/>
    <s v="22.24"/>
    <n v="100"/>
    <s v="NL2018"/>
    <m/>
    <n v="150"/>
    <n v="15000"/>
    <x v="29"/>
    <n v="187500000"/>
    <x v="2"/>
    <d v="2019-09-01T00:00:00"/>
    <d v="2019-09-29T00:00:00"/>
    <d v="2019-09-29T00:00:00"/>
    <s v="TẾT"/>
    <m/>
    <m/>
    <s v="R"/>
    <m/>
    <n v="0"/>
    <m/>
    <m/>
    <m/>
    <m/>
    <m/>
    <m/>
    <n v="0"/>
    <n v="15000"/>
    <n v="187500000"/>
  </r>
  <r>
    <s v="76A/2019"/>
    <d v="2019-02-25T00:00:00"/>
    <s v="KIỀU THY"/>
    <s v="VV03"/>
    <x v="91"/>
    <x v="63"/>
    <s v="MANISSA"/>
    <m/>
    <s v="24.26"/>
    <n v="80"/>
    <s v="NL2018"/>
    <m/>
    <n v="63"/>
    <n v="5040"/>
    <x v="30"/>
    <n v="80640000"/>
    <x v="2"/>
    <d v="2019-09-01T00:00:00"/>
    <d v="2019-09-29T00:00:00"/>
    <d v="2019-09-29T00:00:00"/>
    <s v="TẾT"/>
    <m/>
    <m/>
    <s v="R"/>
    <m/>
    <n v="0"/>
    <m/>
    <m/>
    <m/>
    <m/>
    <m/>
    <m/>
    <n v="0"/>
    <n v="5040"/>
    <n v="80640000"/>
  </r>
  <r>
    <s v="76A/2019"/>
    <d v="2019-02-25T00:00:00"/>
    <s v="KIỀU THY"/>
    <s v="VV03"/>
    <x v="91"/>
    <x v="26"/>
    <s v="ROBINA"/>
    <m/>
    <s v="22.24"/>
    <n v="100"/>
    <s v="NL2018"/>
    <m/>
    <n v="120"/>
    <n v="12000"/>
    <x v="29"/>
    <n v="150000000"/>
    <x v="2"/>
    <d v="2019-09-01T00:00:00"/>
    <d v="2019-09-29T00:00:00"/>
    <d v="2019-09-29T00:00:00"/>
    <s v="TẾT"/>
    <m/>
    <m/>
    <s v="R"/>
    <m/>
    <n v="0"/>
    <m/>
    <m/>
    <m/>
    <m/>
    <m/>
    <m/>
    <n v="0"/>
    <n v="12000"/>
    <n v="150000000"/>
  </r>
  <r>
    <s v="74A/2019"/>
    <d v="2019-02-23T00:00:00"/>
    <s v="KIỀU THY"/>
    <s v="VH06"/>
    <x v="92"/>
    <x v="46"/>
    <s v="CONCAD'OR"/>
    <m/>
    <s v="22.24"/>
    <n v="100"/>
    <s v="NL2018"/>
    <m/>
    <n v="350"/>
    <n v="35000"/>
    <x v="29"/>
    <n v="437500000"/>
    <x v="2"/>
    <d v="2019-09-01T00:00:00"/>
    <d v="2019-09-29T00:00:00"/>
    <d v="2019-09-29T00:00:00"/>
    <s v="TẾT"/>
    <m/>
    <m/>
    <s v="R"/>
    <m/>
    <m/>
    <m/>
    <m/>
    <m/>
    <m/>
    <m/>
    <m/>
    <n v="0"/>
    <n v="35000"/>
    <n v="437500000"/>
  </r>
  <r>
    <s v="74A/2019"/>
    <d v="2019-02-23T00:00:00"/>
    <s v="KIỀU THY"/>
    <s v="VH06"/>
    <x v="92"/>
    <x v="26"/>
    <s v="ROBINA"/>
    <m/>
    <s v="22.24"/>
    <n v="100"/>
    <s v="NL2018"/>
    <m/>
    <n v="210"/>
    <n v="21000"/>
    <x v="29"/>
    <n v="262500000"/>
    <x v="2"/>
    <d v="2019-09-01T00:00:00"/>
    <d v="2019-09-29T00:00:00"/>
    <d v="2019-09-29T00:00:00"/>
    <s v="TẾT"/>
    <m/>
    <m/>
    <s v="R"/>
    <m/>
    <n v="0"/>
    <m/>
    <m/>
    <m/>
    <m/>
    <m/>
    <m/>
    <n v="0"/>
    <n v="21000"/>
    <n v="262500000"/>
  </r>
  <r>
    <s v="162A/2019"/>
    <d v="2019-04-02T00:00:00"/>
    <s v="KIỀU THY"/>
    <s v="VT17"/>
    <x v="93"/>
    <x v="11"/>
    <s v="YELLOWEEN"/>
    <m/>
    <s v="12.14"/>
    <s v="400"/>
    <s v="NL2018"/>
    <m/>
    <n v="0"/>
    <n v="0"/>
    <x v="47"/>
    <n v="0"/>
    <x v="1"/>
    <d v="2019-04-17T00:00:00"/>
    <d v="2019-05-21T00:00:00"/>
    <d v="2019-05-21T00:00:00"/>
    <s v="10/4AL"/>
    <m/>
    <m/>
    <m/>
    <m/>
    <m/>
    <m/>
    <m/>
    <m/>
    <m/>
    <m/>
    <m/>
    <n v="0"/>
    <n v="0"/>
    <n v="0"/>
  </r>
  <r>
    <s v="162A/2019"/>
    <d v="2019-04-02T00:00:00"/>
    <s v="KIỀU THY"/>
    <s v="VT17"/>
    <x v="93"/>
    <x v="28"/>
    <s v="YELLOWEEN"/>
    <m/>
    <s v="14.16"/>
    <s v="300"/>
    <s v="NL2018"/>
    <m/>
    <n v="0"/>
    <n v="0"/>
    <x v="6"/>
    <n v="0"/>
    <x v="1"/>
    <d v="2019-04-17T00:00:00"/>
    <d v="2019-05-21T00:00:00"/>
    <d v="2019-05-21T00:00:00"/>
    <s v="10/4AL"/>
    <m/>
    <m/>
    <m/>
    <m/>
    <m/>
    <m/>
    <m/>
    <m/>
    <m/>
    <m/>
    <m/>
    <n v="0"/>
    <n v="0"/>
    <n v="0"/>
  </r>
  <r>
    <n v="3"/>
    <d v="2019-04-02T00:00:00"/>
    <s v="KIỀU THY"/>
    <s v="VT17"/>
    <x v="93"/>
    <x v="31"/>
    <s v="TARRANGO"/>
    <m/>
    <s v="14.16"/>
    <s v="300"/>
    <s v="NL2018"/>
    <m/>
    <n v="34"/>
    <n v="10200"/>
    <x v="21"/>
    <n v="46920000"/>
    <x v="0"/>
    <d v="2019-04-17T00:00:00"/>
    <d v="2019-05-21T00:00:00"/>
    <d v="2019-05-21T00:00:00"/>
    <s v="10/4AL"/>
    <m/>
    <m/>
    <m/>
    <d v="2019-06-18T00:00:00"/>
    <n v="10200"/>
    <m/>
    <m/>
    <m/>
    <m/>
    <m/>
    <m/>
    <n v="10200"/>
    <n v="0"/>
    <n v="0"/>
  </r>
  <r>
    <s v="162A/2019"/>
    <d v="2019-05-02T00:00:00"/>
    <s v="KIỀU THY"/>
    <s v="VT17"/>
    <x v="93"/>
    <x v="23"/>
    <s v="FELINO"/>
    <m/>
    <n v="15.16"/>
    <s v="250"/>
    <s v="NL2018"/>
    <m/>
    <n v="2"/>
    <n v="500"/>
    <x v="24"/>
    <n v="2850000"/>
    <x v="0"/>
    <d v="2019-03-15T00:00:00"/>
    <d v="2019-04-19T00:00:00"/>
    <d v="2019-04-19T00:00:00"/>
    <s v="15/3AL"/>
    <m/>
    <m/>
    <m/>
    <d v="2019-05-03T00:00:00"/>
    <n v="500"/>
    <m/>
    <m/>
    <m/>
    <m/>
    <m/>
    <m/>
    <n v="500"/>
    <n v="0"/>
    <n v="0"/>
  </r>
  <r>
    <s v="162A/2019"/>
    <d v="2019-04-02T00:00:00"/>
    <s v="KIỀU THY"/>
    <s v="VT17"/>
    <x v="93"/>
    <x v="149"/>
    <s v="PARAGUAY"/>
    <m/>
    <s v="14.16"/>
    <s v="275"/>
    <s v="NL2018"/>
    <m/>
    <n v="31"/>
    <n v="8525"/>
    <x v="23"/>
    <n v="40920000"/>
    <x v="0"/>
    <d v="2019-03-15T00:00:00"/>
    <d v="2019-04-19T00:00:00"/>
    <d v="2019-04-19T00:00:00"/>
    <s v="15/3AL"/>
    <m/>
    <m/>
    <m/>
    <d v="2019-04-24T00:00:00"/>
    <n v="8525"/>
    <m/>
    <m/>
    <m/>
    <m/>
    <m/>
    <m/>
    <n v="8525"/>
    <n v="0"/>
    <n v="0"/>
  </r>
  <r>
    <s v="162A/2019"/>
    <d v="2019-04-02T00:00:00"/>
    <s v="KIỀU THY"/>
    <s v="VT17"/>
    <x v="93"/>
    <x v="57"/>
    <s v="DALIAN"/>
    <m/>
    <s v="14.16"/>
    <s v="300"/>
    <s v="NL2018"/>
    <m/>
    <n v="26"/>
    <n v="7800"/>
    <x v="11"/>
    <n v="42120000"/>
    <x v="0"/>
    <d v="2019-03-30T00:00:00"/>
    <d v="2019-05-04T00:00:00"/>
    <d v="2019-05-04T00:00:00"/>
    <s v="30/3AL"/>
    <m/>
    <m/>
    <m/>
    <d v="2019-05-22T00:00:00"/>
    <n v="7800"/>
    <m/>
    <m/>
    <m/>
    <m/>
    <m/>
    <m/>
    <n v="7800"/>
    <n v="0"/>
    <n v="0"/>
  </r>
  <r>
    <s v="163A/2019"/>
    <d v="2019-04-02T00:00:00"/>
    <s v="KIỀU THY"/>
    <s v="VT17"/>
    <x v="93"/>
    <x v="14"/>
    <s v="TARRANGO"/>
    <m/>
    <s v="20.22"/>
    <s v="125"/>
    <s v="NL2018"/>
    <m/>
    <n v="0"/>
    <n v="0"/>
    <x v="36"/>
    <n v="0"/>
    <x v="1"/>
    <d v="2019-09-01T00:00:00"/>
    <d v="2019-09-29T00:00:00"/>
    <d v="2019-09-29T00:00:00"/>
    <s v="TẾT, KH nhờ bán hộ"/>
    <m/>
    <m/>
    <m/>
    <m/>
    <m/>
    <m/>
    <m/>
    <m/>
    <m/>
    <m/>
    <m/>
    <n v="0"/>
    <n v="0"/>
    <n v="0"/>
  </r>
  <r>
    <s v="163A/2019"/>
    <d v="2019-04-02T00:00:00"/>
    <s v="KIỀU THY"/>
    <s v="VT17"/>
    <x v="93"/>
    <x v="27"/>
    <s v="MANISSA"/>
    <m/>
    <s v="24+"/>
    <s v="75"/>
    <s v="NL2018"/>
    <m/>
    <n v="0"/>
    <n v="0"/>
    <x v="30"/>
    <n v="0"/>
    <x v="2"/>
    <d v="2019-09-01T00:00:00"/>
    <d v="2019-09-29T00:00:00"/>
    <d v="2019-09-29T00:00:00"/>
    <s v="TẾT, KH nhờ bán hộ"/>
    <m/>
    <m/>
    <m/>
    <m/>
    <m/>
    <m/>
    <m/>
    <m/>
    <m/>
    <m/>
    <m/>
    <n v="0"/>
    <n v="0"/>
    <n v="0"/>
  </r>
  <r>
    <s v="70A/2019"/>
    <d v="2019-02-22T00:00:00"/>
    <s v="KIỀU THY"/>
    <s v="VS06"/>
    <x v="94"/>
    <x v="15"/>
    <s v="CONCAD'OR"/>
    <m/>
    <s v="16.18"/>
    <n v="200"/>
    <s v="NL2018"/>
    <m/>
    <n v="25"/>
    <n v="5000"/>
    <x v="18"/>
    <n v="25000000"/>
    <x v="0"/>
    <d v="2019-03-15T00:00:00"/>
    <d v="2019-04-19T00:00:00"/>
    <d v="2019-04-19T00:00:00"/>
    <s v="15/3AL"/>
    <s v="CONT 22/2019"/>
    <d v="2019-04-14T00:00:00"/>
    <s v="R"/>
    <d v="2019-04-17T00:00:00"/>
    <n v="5000"/>
    <m/>
    <m/>
    <m/>
    <m/>
    <m/>
    <m/>
    <n v="5000"/>
    <n v="0"/>
    <n v="0"/>
  </r>
  <r>
    <s v="70A/2019"/>
    <d v="2019-02-22T00:00:00"/>
    <s v="KIỀU THY"/>
    <s v="VS06"/>
    <x v="94"/>
    <x v="34"/>
    <s v="TARRANGO"/>
    <m/>
    <s v="16.18"/>
    <n v="200"/>
    <s v="NL2018"/>
    <m/>
    <n v="25"/>
    <n v="5000"/>
    <x v="44"/>
    <n v="27500000"/>
    <x v="0"/>
    <d v="2019-03-15T00:00:00"/>
    <d v="2019-04-19T00:00:00"/>
    <d v="2019-04-19T00:00:00"/>
    <s v="15/3AL"/>
    <s v="CONT 26/2019"/>
    <d v="2019-04-14T00:00:00"/>
    <s v="R"/>
    <d v="2019-04-17T00:00:00"/>
    <n v="5000"/>
    <m/>
    <m/>
    <m/>
    <m/>
    <m/>
    <m/>
    <n v="5000"/>
    <n v="0"/>
    <n v="0"/>
  </r>
  <r>
    <s v="154A/2019"/>
    <d v="2019-05-10T00:00:00"/>
    <s v="KIỀU THY"/>
    <s v="VD07"/>
    <x v="95"/>
    <x v="12"/>
    <s v="AMATERAS"/>
    <m/>
    <s v="14.16"/>
    <n v="300"/>
    <s v="NL2018"/>
    <m/>
    <n v="40"/>
    <n v="12000"/>
    <x v="162"/>
    <n v="53160000"/>
    <x v="4"/>
    <d v="2019-05-05T00:00:00"/>
    <d v="2019-06-07T00:00:00"/>
    <d v="2019-06-07T00:00:00"/>
    <m/>
    <m/>
    <m/>
    <m/>
    <m/>
    <m/>
    <m/>
    <m/>
    <m/>
    <m/>
    <m/>
    <m/>
    <n v="0"/>
    <n v="12000"/>
    <n v="53160000"/>
  </r>
  <r>
    <s v="154A/2019"/>
    <d v="2019-06-03T00:00:00"/>
    <s v="KIỀU THY"/>
    <s v="VD07"/>
    <x v="95"/>
    <x v="2"/>
    <s v="NASHVILLE"/>
    <m/>
    <s v="14.16"/>
    <n v="300"/>
    <s v="NL2018"/>
    <m/>
    <n v="7"/>
    <n v="2100"/>
    <x v="56"/>
    <n v="8190000"/>
    <x v="0"/>
    <d v="2019-04-17T00:00:00"/>
    <d v="2019-05-21T00:00:00"/>
    <d v="2019-05-21T00:00:00"/>
    <m/>
    <m/>
    <m/>
    <m/>
    <d v="2019-06-05T00:00:00"/>
    <n v="2100"/>
    <m/>
    <m/>
    <m/>
    <m/>
    <m/>
    <m/>
    <n v="2100"/>
    <n v="0"/>
    <n v="0"/>
  </r>
  <r>
    <s v="154A/2019"/>
    <d v="2019-06-03T00:00:00"/>
    <s v="KIỀU THY"/>
    <s v="VD07"/>
    <x v="95"/>
    <x v="12"/>
    <s v="AMATERAS"/>
    <m/>
    <s v="14.16"/>
    <n v="300"/>
    <s v="NL2018"/>
    <m/>
    <n v="16"/>
    <n v="4800"/>
    <x v="162"/>
    <n v="21264000"/>
    <x v="4"/>
    <d v="2019-05-05T00:00:00"/>
    <d v="2019-06-07T00:00:00"/>
    <d v="2019-06-07T00:00:00"/>
    <m/>
    <m/>
    <m/>
    <m/>
    <m/>
    <m/>
    <m/>
    <m/>
    <m/>
    <m/>
    <m/>
    <m/>
    <n v="0"/>
    <n v="4800"/>
    <n v="21264000"/>
  </r>
  <r>
    <s v="154A/2019"/>
    <d v="2019-03-07T00:00:00"/>
    <s v="KIỀU THY"/>
    <s v="VD07"/>
    <x v="95"/>
    <x v="41"/>
    <s v="PAVIA"/>
    <m/>
    <s v="14.16"/>
    <n v="300"/>
    <s v="NL2018"/>
    <m/>
    <n v="67"/>
    <n v="20100"/>
    <x v="162"/>
    <n v="89043000"/>
    <x v="4"/>
    <d v="2019-05-05T00:00:00"/>
    <d v="2019-06-07T00:00:00"/>
    <d v="2019-06-07T00:00:00"/>
    <s v="1/5AL"/>
    <m/>
    <m/>
    <m/>
    <m/>
    <m/>
    <m/>
    <m/>
    <m/>
    <m/>
    <m/>
    <m/>
    <n v="0"/>
    <n v="20100"/>
    <n v="89043000"/>
  </r>
  <r>
    <s v="154A/2019"/>
    <d v="2019-03-07T00:00:00"/>
    <s v="KIỀU THY"/>
    <s v="VD07"/>
    <x v="95"/>
    <x v="4"/>
    <s v="TEBALDI"/>
    <m/>
    <s v="14.16"/>
    <n v="300"/>
    <s v="NL2018"/>
    <m/>
    <n v="53"/>
    <n v="15900"/>
    <x v="162"/>
    <n v="70437000"/>
    <x v="4"/>
    <d v="2019-05-05T00:00:00"/>
    <d v="2019-06-07T00:00:00"/>
    <d v="2019-06-07T00:00:00"/>
    <s v="1/5AL"/>
    <m/>
    <m/>
    <m/>
    <d v="2019-06-08T00:00:00"/>
    <n v="15000"/>
    <m/>
    <m/>
    <m/>
    <m/>
    <m/>
    <m/>
    <n v="15000"/>
    <n v="900"/>
    <n v="3987000"/>
  </r>
  <r>
    <s v="154A/2019"/>
    <d v="2019-03-07T00:00:00"/>
    <s v="KIỀU THY"/>
    <s v="VD07"/>
    <x v="95"/>
    <x v="1"/>
    <s v="EREMO"/>
    <m/>
    <s v="14.16"/>
    <n v="300"/>
    <s v="NL2018"/>
    <m/>
    <n v="44"/>
    <n v="13200"/>
    <x v="163"/>
    <n v="55836000"/>
    <x v="4"/>
    <d v="2019-05-05T00:00:00"/>
    <d v="2019-06-07T00:00:00"/>
    <d v="2019-06-07T00:00:00"/>
    <s v="1/5AL"/>
    <m/>
    <m/>
    <m/>
    <m/>
    <m/>
    <m/>
    <m/>
    <m/>
    <m/>
    <m/>
    <m/>
    <n v="0"/>
    <n v="13200"/>
    <n v="55836000"/>
  </r>
  <r>
    <s v="154A/2019"/>
    <d v="2019-05-28T00:00:00"/>
    <s v="KIỀU THY"/>
    <s v="VD07"/>
    <x v="95"/>
    <x v="1"/>
    <s v="EREMO"/>
    <m/>
    <s v="14.16"/>
    <n v="300"/>
    <s v="NL2018"/>
    <m/>
    <n v="57"/>
    <n v="17100"/>
    <x v="99"/>
    <n v="73530000"/>
    <x v="1"/>
    <d v="2019-05-18T00:00:00"/>
    <d v="2019-06-20T00:00:00"/>
    <d v="2019-06-20T00:00:00"/>
    <m/>
    <m/>
    <m/>
    <m/>
    <m/>
    <m/>
    <m/>
    <m/>
    <m/>
    <m/>
    <m/>
    <m/>
    <n v="0"/>
    <n v="17100"/>
    <n v="73530000"/>
  </r>
  <r>
    <s v="154A/2019"/>
    <d v="2019-05-28T00:00:00"/>
    <s v="KIỀU THY"/>
    <s v="VD07"/>
    <x v="95"/>
    <x v="12"/>
    <s v="AMATERAS"/>
    <m/>
    <s v="14.16"/>
    <n v="300"/>
    <s v="NL2018"/>
    <m/>
    <n v="69"/>
    <n v="20700"/>
    <x v="21"/>
    <n v="95220000"/>
    <x v="3"/>
    <d v="2019-06-15T00:00:00"/>
    <d v="2019-07-17T00:00:00"/>
    <d v="2019-07-17T00:00:00"/>
    <m/>
    <m/>
    <m/>
    <m/>
    <m/>
    <m/>
    <m/>
    <m/>
    <m/>
    <m/>
    <m/>
    <m/>
    <n v="0"/>
    <n v="20700"/>
    <n v="95220000"/>
  </r>
  <r>
    <s v="154A/2019"/>
    <d v="2019-06-13T00:00:00"/>
    <s v="KIỀU THY"/>
    <s v="VD07"/>
    <x v="95"/>
    <x v="1"/>
    <s v="EREMO"/>
    <m/>
    <s v="14.16"/>
    <n v="300"/>
    <s v="NL2018"/>
    <m/>
    <n v="3"/>
    <n v="900"/>
    <x v="2"/>
    <n v="3960000"/>
    <x v="3"/>
    <d v="2019-06-15T00:00:00"/>
    <d v="2019-07-17T00:00:00"/>
    <d v="2019-07-17T00:00:00"/>
    <m/>
    <m/>
    <m/>
    <m/>
    <m/>
    <m/>
    <m/>
    <m/>
    <m/>
    <m/>
    <m/>
    <m/>
    <n v="0"/>
    <n v="900"/>
    <n v="3960000"/>
  </r>
  <r>
    <s v="154A/2019"/>
    <d v="2019-06-13T00:00:00"/>
    <s v="KIỀU THY"/>
    <s v="VD07"/>
    <x v="95"/>
    <x v="2"/>
    <s v="NASHVILLE"/>
    <m/>
    <s v="14.16"/>
    <n v="300"/>
    <s v="NL2018"/>
    <m/>
    <n v="0"/>
    <n v="0"/>
    <x v="3"/>
    <n v="0"/>
    <x v="1"/>
    <d v="2019-06-15T00:00:00"/>
    <d v="2019-07-17T00:00:00"/>
    <d v="2019-07-17T00:00:00"/>
    <m/>
    <m/>
    <m/>
    <m/>
    <m/>
    <m/>
    <m/>
    <m/>
    <m/>
    <m/>
    <m/>
    <m/>
    <n v="0"/>
    <n v="0"/>
    <n v="0"/>
  </r>
  <r>
    <s v="154A/2019"/>
    <d v="2019-06-14T00:00:00"/>
    <s v="KIỀU THY"/>
    <s v="VD07"/>
    <x v="95"/>
    <x v="3"/>
    <s v="PAVIA"/>
    <m/>
    <s v="12.14"/>
    <n v="400"/>
    <s v="NL2018"/>
    <m/>
    <n v="50"/>
    <n v="20000"/>
    <x v="17"/>
    <n v="60000000"/>
    <x v="3"/>
    <d v="2019-06-15T00:00:00"/>
    <d v="2019-07-17T00:00:00"/>
    <d v="2019-07-17T00:00:00"/>
    <m/>
    <m/>
    <m/>
    <m/>
    <m/>
    <m/>
    <m/>
    <m/>
    <m/>
    <m/>
    <m/>
    <m/>
    <n v="0"/>
    <n v="20000"/>
    <n v="60000000"/>
  </r>
  <r>
    <s v="146B/2019"/>
    <d v="2019-03-26T00:00:00"/>
    <s v="KIỀU THY"/>
    <s v="VD07"/>
    <x v="95"/>
    <x v="143"/>
    <s v="NELLO "/>
    <m/>
    <s v="18.20"/>
    <n v="150"/>
    <s v="NL2018"/>
    <m/>
    <n v="100"/>
    <n v="15000"/>
    <x v="35"/>
    <n v="108000000"/>
    <x v="2"/>
    <d v="2019-09-01T00:00:00"/>
    <d v="2019-09-29T00:00:00"/>
    <d v="2019-09-29T00:00:00"/>
    <s v="TẾT"/>
    <m/>
    <m/>
    <m/>
    <m/>
    <n v="0"/>
    <m/>
    <m/>
    <m/>
    <m/>
    <m/>
    <m/>
    <n v="0"/>
    <n v="15000"/>
    <n v="108000000"/>
  </r>
  <r>
    <s v="146B/2019"/>
    <d v="2019-03-26T00:00:00"/>
    <s v="KIỀU THY"/>
    <s v="VD07"/>
    <x v="95"/>
    <x v="14"/>
    <s v="TARRANGO"/>
    <m/>
    <s v="20.22"/>
    <n v="125"/>
    <s v="NL2018"/>
    <s v="VWS"/>
    <n v="96"/>
    <n v="12000"/>
    <x v="8"/>
    <n v="129600000"/>
    <x v="2"/>
    <d v="2019-09-01T00:00:00"/>
    <d v="2019-09-29T00:00:00"/>
    <d v="2019-09-29T00:00:00"/>
    <s v="TẾT"/>
    <m/>
    <m/>
    <m/>
    <m/>
    <n v="0"/>
    <m/>
    <m/>
    <m/>
    <m/>
    <m/>
    <m/>
    <n v="0"/>
    <n v="12000"/>
    <n v="129600000"/>
  </r>
  <r>
    <s v="154A/2019"/>
    <d v="2019-03-07T00:00:00"/>
    <s v="KIỀU THY"/>
    <s v="VD07"/>
    <x v="95"/>
    <x v="41"/>
    <s v="PAVIA"/>
    <m/>
    <s v="14.16"/>
    <n v="300"/>
    <s v="NL2018"/>
    <m/>
    <n v="100"/>
    <n v="30000"/>
    <x v="2"/>
    <n v="132000000"/>
    <x v="0"/>
    <d v="2019-04-17T00:00:00"/>
    <d v="2019-05-21T00:00:00"/>
    <d v="2019-05-21T00:00:00"/>
    <s v="10/4AL"/>
    <m/>
    <m/>
    <m/>
    <d v="2019-05-27T00:00:00"/>
    <n v="30000"/>
    <m/>
    <m/>
    <m/>
    <m/>
    <m/>
    <m/>
    <n v="30000"/>
    <n v="0"/>
    <n v="0"/>
  </r>
  <r>
    <s v="154A/2019"/>
    <d v="2019-03-07T00:00:00"/>
    <s v="KIỀU THY"/>
    <s v="VD07"/>
    <x v="95"/>
    <x v="4"/>
    <s v="TEBALDI"/>
    <m/>
    <s v="14.16"/>
    <n v="300"/>
    <s v="NL2018"/>
    <m/>
    <n v="67"/>
    <n v="20100"/>
    <x v="2"/>
    <n v="88440000"/>
    <x v="0"/>
    <d v="2019-04-17T00:00:00"/>
    <d v="2019-05-21T00:00:00"/>
    <d v="2019-05-21T00:00:00"/>
    <s v="10/4AL"/>
    <m/>
    <m/>
    <m/>
    <d v="2019-05-27T00:00:00"/>
    <n v="20100"/>
    <m/>
    <m/>
    <m/>
    <m/>
    <m/>
    <m/>
    <n v="20100"/>
    <n v="0"/>
    <n v="0"/>
  </r>
  <r>
    <s v="154A/2019"/>
    <d v="2019-05-07T00:00:00"/>
    <s v="KIỀU THY"/>
    <s v="VD07"/>
    <x v="95"/>
    <x v="3"/>
    <s v="PAVIA"/>
    <m/>
    <s v="12.14"/>
    <n v="400"/>
    <s v="NL2018"/>
    <m/>
    <n v="25"/>
    <n v="10000"/>
    <x v="14"/>
    <n v="29000000"/>
    <x v="0"/>
    <d v="2019-04-17T00:00:00"/>
    <d v="2019-05-21T00:00:00"/>
    <d v="2019-05-21T00:00:00"/>
    <s v="10/4AL"/>
    <m/>
    <m/>
    <m/>
    <d v="2019-05-27T00:00:00"/>
    <n v="10000"/>
    <m/>
    <m/>
    <m/>
    <m/>
    <m/>
    <m/>
    <n v="10000"/>
    <n v="0"/>
    <n v="0"/>
  </r>
  <r>
    <s v="146B/2019"/>
    <d v="2019-03-26T00:00:00"/>
    <s v="KIỀU THY"/>
    <s v="VD07"/>
    <x v="95"/>
    <x v="16"/>
    <s v="ROBINA"/>
    <m/>
    <s v="20.22"/>
    <n v="125"/>
    <s v="NL2018"/>
    <s v="dlw"/>
    <n v="96"/>
    <n v="12000"/>
    <x v="59"/>
    <n v="126000000"/>
    <x v="2"/>
    <d v="2019-09-01T00:00:00"/>
    <d v="2019-09-29T00:00:00"/>
    <d v="2019-09-29T00:00:00"/>
    <s v="TẾT"/>
    <m/>
    <m/>
    <m/>
    <m/>
    <n v="0"/>
    <m/>
    <m/>
    <m/>
    <m/>
    <m/>
    <m/>
    <n v="0"/>
    <n v="12000"/>
    <n v="126000000"/>
  </r>
  <r>
    <s v="146B/2019"/>
    <d v="2019-03-26T00:00:00"/>
    <s v="KIỀU THY"/>
    <s v="VD07"/>
    <x v="95"/>
    <x v="41"/>
    <s v="PAVIA"/>
    <m/>
    <s v="14.16"/>
    <n v="300"/>
    <s v="NL2018"/>
    <m/>
    <n v="50"/>
    <n v="15000"/>
    <x v="21"/>
    <n v="69000000"/>
    <x v="2"/>
    <d v="2019-09-01T00:00:00"/>
    <d v="2019-09-29T00:00:00"/>
    <d v="2019-09-29T00:00:00"/>
    <s v="TẾT"/>
    <m/>
    <m/>
    <m/>
    <m/>
    <n v="0"/>
    <m/>
    <m/>
    <m/>
    <m/>
    <m/>
    <m/>
    <n v="0"/>
    <n v="15000"/>
    <n v="69000000"/>
  </r>
  <r>
    <s v="146B/2019"/>
    <d v="2019-03-26T00:00:00"/>
    <s v="KIỀU THY"/>
    <s v="VD07"/>
    <x v="95"/>
    <x v="36"/>
    <s v="MANISSA"/>
    <m/>
    <s v="20.22"/>
    <n v="125"/>
    <s v="NL2018"/>
    <s v="dlw"/>
    <n v="96"/>
    <n v="12000"/>
    <x v="37"/>
    <n v="162000000"/>
    <x v="2"/>
    <d v="2019-09-01T00:00:00"/>
    <d v="2019-09-29T00:00:00"/>
    <d v="2019-09-29T00:00:00"/>
    <s v="TẾT"/>
    <m/>
    <m/>
    <m/>
    <m/>
    <n v="0"/>
    <m/>
    <m/>
    <m/>
    <m/>
    <m/>
    <m/>
    <n v="0"/>
    <n v="12000"/>
    <n v="162000000"/>
  </r>
  <r>
    <s v="146B/2019"/>
    <d v="2019-04-16T00:00:00"/>
    <s v="KIỀU THY"/>
    <s v="VD07"/>
    <x v="95"/>
    <x v="166"/>
    <s v="AMIGA"/>
    <m/>
    <s v="14.16"/>
    <n v="300"/>
    <s v="NL2018"/>
    <m/>
    <n v="49.666666666666664"/>
    <n v="14900"/>
    <x v="23"/>
    <n v="71520000"/>
    <x v="2"/>
    <d v="2019-09-01T00:00:00"/>
    <d v="2019-09-29T00:00:00"/>
    <d v="2019-09-29T00:00:00"/>
    <s v="TẾT"/>
    <m/>
    <m/>
    <m/>
    <m/>
    <m/>
    <m/>
    <m/>
    <m/>
    <m/>
    <m/>
    <m/>
    <n v="0"/>
    <n v="14900"/>
    <n v="71520000"/>
  </r>
  <r>
    <s v="146B/2019"/>
    <d v="2019-04-16T00:00:00"/>
    <s v="KIỀU THY"/>
    <s v="VD07"/>
    <x v="95"/>
    <x v="167"/>
    <s v="AMIGA"/>
    <m/>
    <s v="16.18"/>
    <n v="200"/>
    <s v="NL2018"/>
    <m/>
    <n v="51"/>
    <n v="10200"/>
    <x v="54"/>
    <n v="65280000"/>
    <x v="2"/>
    <d v="2019-09-01T00:00:00"/>
    <d v="2019-09-29T00:00:00"/>
    <d v="2019-09-29T00:00:00"/>
    <s v="TẾT"/>
    <m/>
    <m/>
    <m/>
    <m/>
    <m/>
    <m/>
    <m/>
    <m/>
    <m/>
    <m/>
    <m/>
    <n v="0"/>
    <n v="10200"/>
    <n v="65280000"/>
  </r>
  <r>
    <s v="179A/2019"/>
    <d v="2019-04-08T00:00:00"/>
    <s v="KIỀU THY"/>
    <s v="VD07"/>
    <x v="95"/>
    <x v="19"/>
    <s v="PAVIA"/>
    <m/>
    <s v="12.14"/>
    <n v="400"/>
    <s v="NL2017"/>
    <m/>
    <n v="75"/>
    <n v="30000"/>
    <x v="19"/>
    <n v="60000000"/>
    <x v="0"/>
    <d v="2019-02-15T00:00:00"/>
    <d v="2019-03-20T00:00:00"/>
    <d v="2019-03-20T00:00:00"/>
    <s v="15/2AL"/>
    <m/>
    <m/>
    <m/>
    <d v="2019-04-09T00:00:00"/>
    <n v="30000"/>
    <m/>
    <m/>
    <m/>
    <m/>
    <m/>
    <m/>
    <n v="30000"/>
    <n v="0"/>
    <n v="0"/>
  </r>
  <r>
    <s v="92B/2019"/>
    <d v="2019-03-07T00:00:00"/>
    <s v="KIỀU THY"/>
    <s v="VD07"/>
    <x v="95"/>
    <x v="168"/>
    <s v="HONESTY"/>
    <m/>
    <s v="16.18"/>
    <n v="200"/>
    <s v="NL2017"/>
    <m/>
    <n v="50"/>
    <n v="10000"/>
    <x v="69"/>
    <n v="33000000"/>
    <x v="0"/>
    <d v="2019-02-07T00:00:00"/>
    <d v="2019-03-12T00:00:00"/>
    <d v="2019-03-12T00:00:00"/>
    <s v="07/2AL"/>
    <m/>
    <m/>
    <s v="R"/>
    <d v="2019-03-12T00:00:00"/>
    <n v="10000"/>
    <m/>
    <m/>
    <m/>
    <m/>
    <m/>
    <m/>
    <n v="10000"/>
    <n v="0"/>
    <n v="0"/>
  </r>
  <r>
    <s v="92B/2019"/>
    <d v="2019-03-07T00:00:00"/>
    <s v="KIỀU THY"/>
    <s v="VD07"/>
    <x v="95"/>
    <x v="19"/>
    <s v="PAVIA"/>
    <m/>
    <s v="12.14"/>
    <n v="400"/>
    <s v="NL2017"/>
    <m/>
    <n v="25"/>
    <n v="10000"/>
    <x v="19"/>
    <n v="20000000"/>
    <x v="0"/>
    <d v="2019-02-15T00:00:00"/>
    <d v="2019-03-20T00:00:00"/>
    <d v="2019-03-20T00:00:00"/>
    <s v="15/2AL"/>
    <s v="CONT 9/2019"/>
    <d v="2019-03-19T00:00:00"/>
    <s v="R"/>
    <d v="2019-03-19T00:00:00"/>
    <n v="10000"/>
    <m/>
    <m/>
    <m/>
    <m/>
    <m/>
    <m/>
    <n v="10000"/>
    <n v="0"/>
    <n v="0"/>
  </r>
  <r>
    <s v="92B/2019"/>
    <d v="2019-03-07T00:00:00"/>
    <s v="KIỀU THY"/>
    <s v="VD07"/>
    <x v="95"/>
    <x v="41"/>
    <s v="PAVIA"/>
    <m/>
    <s v="14.16"/>
    <n v="300"/>
    <s v="NL2018"/>
    <m/>
    <n v="20"/>
    <n v="6000"/>
    <x v="1"/>
    <n v="25200000"/>
    <x v="0"/>
    <d v="2019-02-15T00:00:00"/>
    <d v="2019-03-20T00:00:00"/>
    <d v="2019-03-20T00:00:00"/>
    <s v="15/2AL"/>
    <s v="CONT 10/2019"/>
    <d v="2019-03-19T00:00:00"/>
    <s v="R"/>
    <d v="2019-03-19T00:00:00"/>
    <n v="6000"/>
    <m/>
    <m/>
    <m/>
    <m/>
    <m/>
    <m/>
    <n v="6000"/>
    <n v="0"/>
    <n v="0"/>
  </r>
  <r>
    <s v="92B/2019"/>
    <d v="2019-03-07T00:00:00"/>
    <s v="KIỀU THY"/>
    <s v="VD07"/>
    <x v="95"/>
    <x v="1"/>
    <s v="EREMO"/>
    <m/>
    <s v="14.16"/>
    <n v="300"/>
    <s v="NL2018"/>
    <m/>
    <n v="50"/>
    <n v="15000"/>
    <x v="57"/>
    <n v="60000000"/>
    <x v="0"/>
    <d v="2019-03-15T00:00:00"/>
    <d v="2019-04-19T00:00:00"/>
    <d v="2019-04-19T00:00:00"/>
    <s v="15/3AL"/>
    <s v="CONT 21/2019"/>
    <d v="2019-04-14T00:00:00"/>
    <s v="R"/>
    <d v="2019-04-17T00:00:00"/>
    <n v="15000"/>
    <m/>
    <m/>
    <m/>
    <m/>
    <m/>
    <m/>
    <n v="15000"/>
    <n v="0"/>
    <n v="0"/>
  </r>
  <r>
    <s v="92B/2019"/>
    <d v="2019-03-07T00:00:00"/>
    <s v="KIỀU THY"/>
    <s v="VD07"/>
    <x v="95"/>
    <x v="41"/>
    <s v="PAVIA"/>
    <m/>
    <s v="14.16"/>
    <n v="300"/>
    <s v="NL2018"/>
    <m/>
    <n v="67"/>
    <n v="20100"/>
    <x v="1"/>
    <n v="84420000"/>
    <x v="0"/>
    <d v="2019-03-15T00:00:00"/>
    <d v="2019-04-19T00:00:00"/>
    <d v="2019-04-19T00:00:00"/>
    <s v="15/3AL"/>
    <s v="CONT 23/2019"/>
    <d v="2019-04-14T00:00:00"/>
    <s v="R"/>
    <d v="2019-04-17T00:00:00"/>
    <n v="20100"/>
    <m/>
    <m/>
    <m/>
    <m/>
    <m/>
    <m/>
    <n v="20100"/>
    <n v="0"/>
    <n v="0"/>
  </r>
  <r>
    <s v="92B/2019"/>
    <d v="2019-03-07T00:00:00"/>
    <s v="KIỀU THY"/>
    <s v="VD07"/>
    <x v="95"/>
    <x v="4"/>
    <s v="TEBALDI"/>
    <m/>
    <s v="14.16"/>
    <n v="300"/>
    <s v="NL2018"/>
    <m/>
    <n v="51"/>
    <n v="15300"/>
    <x v="3"/>
    <n v="62730000"/>
    <x v="0"/>
    <d v="2019-03-15T00:00:00"/>
    <d v="2019-04-19T00:00:00"/>
    <d v="2019-04-19T00:00:00"/>
    <s v="15/3AL"/>
    <s v="CONT 23/2019"/>
    <d v="2019-04-14T00:00:00"/>
    <s v="R"/>
    <d v="2019-04-17T00:00:00"/>
    <n v="15300"/>
    <m/>
    <m/>
    <m/>
    <m/>
    <m/>
    <m/>
    <n v="15300"/>
    <n v="0"/>
    <n v="0"/>
  </r>
  <r>
    <s v="92B/2019"/>
    <d v="2019-04-16T00:00:00"/>
    <s v="KIỀU THY"/>
    <s v="VD07"/>
    <x v="95"/>
    <x v="11"/>
    <s v="YELLOWEEN"/>
    <m/>
    <s v="12.14"/>
    <n v="400"/>
    <s v="NL2018"/>
    <m/>
    <n v="20"/>
    <n v="8000"/>
    <x v="47"/>
    <n v="21600000"/>
    <x v="0"/>
    <d v="2019-03-15T00:00:00"/>
    <d v="2019-04-19T00:00:00"/>
    <d v="2019-04-19T00:00:00"/>
    <s v="15/3AL"/>
    <m/>
    <m/>
    <m/>
    <d v="2019-04-17T00:00:00"/>
    <n v="8000"/>
    <m/>
    <m/>
    <m/>
    <m/>
    <m/>
    <m/>
    <n v="8000"/>
    <n v="0"/>
    <n v="0"/>
  </r>
  <r>
    <s v="92B/2019"/>
    <d v="2019-04-29T00:00:00"/>
    <s v="KIỀU THY"/>
    <s v="VD07"/>
    <x v="95"/>
    <x v="11"/>
    <s v="YELLOWEEN"/>
    <m/>
    <s v="12.14"/>
    <n v="400"/>
    <s v="NL2018"/>
    <m/>
    <n v="25"/>
    <n v="10000"/>
    <x v="47"/>
    <n v="27000000"/>
    <x v="0"/>
    <d v="2019-03-15T00:00:00"/>
    <d v="2019-04-19T00:00:00"/>
    <d v="2019-04-19T00:00:00"/>
    <s v="15/3AL"/>
    <m/>
    <m/>
    <m/>
    <d v="2019-04-29T00:00:00"/>
    <n v="10000"/>
    <m/>
    <m/>
    <m/>
    <m/>
    <m/>
    <m/>
    <n v="10000"/>
    <n v="0"/>
    <n v="0"/>
  </r>
  <r>
    <s v="92B/2019"/>
    <d v="2019-03-07T00:00:00"/>
    <s v="KIỀU THY"/>
    <s v="VD07"/>
    <x v="95"/>
    <x v="3"/>
    <s v="PAVIA"/>
    <m/>
    <s v="12.14"/>
    <n v="400"/>
    <s v="NL2018"/>
    <m/>
    <n v="31"/>
    <n v="12400"/>
    <x v="4"/>
    <n v="34720000"/>
    <x v="0"/>
    <s v="29-Feb-19"/>
    <d v="2019-04-03T00:00:00"/>
    <d v="2019-04-03T00:00:00"/>
    <s v="30/2AL"/>
    <s v="CONT 14/2019"/>
    <d v="2019-03-31T00:00:00"/>
    <s v="R"/>
    <d v="2019-04-03T00:00:00"/>
    <n v="12400"/>
    <m/>
    <m/>
    <m/>
    <m/>
    <m/>
    <m/>
    <n v="12400"/>
    <n v="0"/>
    <n v="0"/>
  </r>
  <r>
    <s v="92B/2019"/>
    <d v="2019-03-07T00:00:00"/>
    <s v="KIỀU THY"/>
    <s v="VD07"/>
    <x v="95"/>
    <x v="4"/>
    <s v="TEBALDI"/>
    <m/>
    <s v="14.16"/>
    <n v="300"/>
    <s v="NL2018"/>
    <m/>
    <n v="56"/>
    <n v="16800"/>
    <x v="3"/>
    <n v="68880000"/>
    <x v="0"/>
    <s v="29-Feb-19"/>
    <d v="2019-04-03T00:00:00"/>
    <d v="2019-04-03T00:00:00"/>
    <s v="30/2AL"/>
    <s v="CONT 15/2019"/>
    <d v="2019-03-31T00:00:00"/>
    <s v="R"/>
    <d v="2019-04-03T00:00:00"/>
    <n v="16800"/>
    <m/>
    <m/>
    <m/>
    <m/>
    <m/>
    <m/>
    <n v="16800"/>
    <n v="0"/>
    <n v="0"/>
  </r>
  <r>
    <s v="169A/2019"/>
    <d v="2019-02-11T00:00:00"/>
    <s v="KIỀU THY"/>
    <s v="TV06"/>
    <x v="96"/>
    <x v="9"/>
    <s v="MANISSA"/>
    <m/>
    <s v="22.24"/>
    <n v="100"/>
    <s v="NL2018"/>
    <m/>
    <n v="100"/>
    <n v="10000"/>
    <x v="38"/>
    <n v="152000000"/>
    <x v="2"/>
    <d v="2019-09-01T00:00:00"/>
    <d v="2019-09-29T00:00:00"/>
    <d v="2019-09-29T00:00:00"/>
    <s v="TẾT"/>
    <m/>
    <m/>
    <m/>
    <m/>
    <n v="0"/>
    <m/>
    <m/>
    <m/>
    <m/>
    <m/>
    <m/>
    <n v="0"/>
    <n v="10000"/>
    <n v="152000000"/>
  </r>
  <r>
    <s v="41A/2019"/>
    <d v="2019-02-11T00:00:00"/>
    <s v="KIỀU THY"/>
    <s v="TV06"/>
    <x v="96"/>
    <x v="38"/>
    <s v="YELLOWEEN"/>
    <m/>
    <s v="16.18"/>
    <n v="200"/>
    <s v="NL2018"/>
    <m/>
    <n v="75"/>
    <n v="15000"/>
    <x v="18"/>
    <n v="75000000"/>
    <x v="0"/>
    <d v="2019-01-15T00:00:00"/>
    <d v="2019-02-19T00:00:00"/>
    <d v="2019-02-19T00:00:00"/>
    <s v="15/1AL"/>
    <m/>
    <m/>
    <s v="R"/>
    <d v="2019-03-02T00:00:00"/>
    <n v="5000"/>
    <d v="2019-03-13T00:00:00"/>
    <n v="5000"/>
    <d v="2019-03-20T00:00:00"/>
    <n v="5000"/>
    <m/>
    <m/>
    <n v="15000"/>
    <n v="0"/>
    <n v="0"/>
  </r>
  <r>
    <s v="41A/2019"/>
    <d v="2019-02-11T00:00:00"/>
    <s v="KIỀU THY"/>
    <s v="TV06"/>
    <x v="96"/>
    <x v="22"/>
    <s v="ROBINA"/>
    <m/>
    <s v="16.18"/>
    <n v="200"/>
    <s v="NL2018"/>
    <m/>
    <n v="50"/>
    <n v="10000"/>
    <x v="23"/>
    <n v="48000000"/>
    <x v="0"/>
    <d v="2019-02-15T00:00:00"/>
    <d v="2019-03-20T00:00:00"/>
    <d v="2019-03-20T00:00:00"/>
    <s v="15/2AL"/>
    <s v="CONT 11/2019"/>
    <d v="2019-03-17T00:00:00"/>
    <s v="R"/>
    <d v="2019-04-03T00:00:00"/>
    <n v="5000"/>
    <d v="2019-04-26T00:00:00"/>
    <n v="5000"/>
    <m/>
    <m/>
    <m/>
    <m/>
    <n v="10000"/>
    <n v="0"/>
    <n v="0"/>
  </r>
  <r>
    <s v="41A/2019"/>
    <d v="2019-02-11T00:00:00"/>
    <s v="KIỀU THY"/>
    <s v="TV06"/>
    <x v="96"/>
    <x v="28"/>
    <s v="YELLOWEEN"/>
    <m/>
    <s v="14.16"/>
    <n v="300"/>
    <s v="NL2018"/>
    <m/>
    <n v="34"/>
    <n v="10200"/>
    <x v="6"/>
    <n v="38760000"/>
    <x v="0"/>
    <d v="2019-02-15T00:00:00"/>
    <d v="2019-03-20T00:00:00"/>
    <d v="2019-03-20T00:00:00"/>
    <s v="15/2AL"/>
    <s v="CONT 12/2019"/>
    <d v="2019-03-17T00:00:00"/>
    <s v="R"/>
    <d v="2019-04-05T00:00:00"/>
    <n v="10200"/>
    <m/>
    <m/>
    <m/>
    <m/>
    <m/>
    <m/>
    <n v="10200"/>
    <n v="0"/>
    <n v="0"/>
  </r>
  <r>
    <s v="41A/2019"/>
    <d v="2019-02-11T00:00:00"/>
    <s v="KIỀU THY"/>
    <s v="TV06"/>
    <x v="96"/>
    <x v="15"/>
    <s v="CONCADOR "/>
    <m/>
    <s v="16.18"/>
    <n v="200"/>
    <s v="NL2018"/>
    <m/>
    <n v="10"/>
    <n v="2000"/>
    <x v="0"/>
    <n v="9400000"/>
    <x v="0"/>
    <d v="2019-03-15T00:00:00"/>
    <d v="2019-04-19T00:00:00"/>
    <d v="2019-04-19T00:00:00"/>
    <s v="15/3AL"/>
    <m/>
    <m/>
    <m/>
    <d v="2019-04-19T00:00:00"/>
    <n v="2000"/>
    <m/>
    <m/>
    <m/>
    <m/>
    <m/>
    <m/>
    <n v="2000"/>
    <n v="0"/>
    <n v="0"/>
  </r>
  <r>
    <s v="41A/2019"/>
    <d v="2019-02-11T00:00:00"/>
    <s v="KIỀU THY"/>
    <s v="TV06"/>
    <x v="96"/>
    <x v="80"/>
    <s v="PROFUNDO"/>
    <m/>
    <s v="14.16"/>
    <n v="300"/>
    <s v="NL2018"/>
    <m/>
    <n v="34"/>
    <n v="10200"/>
    <x v="82"/>
    <n v="53040000"/>
    <x v="3"/>
    <d v="2019-06-15T00:00:00"/>
    <d v="2019-07-17T00:00:00"/>
    <d v="2019-07-17T00:00:00"/>
    <s v="17/4AL"/>
    <m/>
    <m/>
    <s v="R"/>
    <m/>
    <n v="0"/>
    <m/>
    <m/>
    <m/>
    <m/>
    <m/>
    <m/>
    <n v="0"/>
    <n v="10200"/>
    <n v="53040000"/>
  </r>
  <r>
    <s v="41A/2019"/>
    <d v="2019-06-01T00:00:00"/>
    <s v="KIỀU THY"/>
    <s v="TV06"/>
    <x v="96"/>
    <x v="80"/>
    <s v="PROFUNDO"/>
    <m/>
    <s v="14.16"/>
    <n v="300"/>
    <s v="NL2018"/>
    <m/>
    <n v="34"/>
    <n v="10200"/>
    <x v="78"/>
    <n v="52020000"/>
    <x v="0"/>
    <d v="2019-05-05T00:00:00"/>
    <d v="2019-06-07T00:00:00"/>
    <d v="2019-06-07T00:00:00"/>
    <m/>
    <m/>
    <m/>
    <m/>
    <d v="2019-06-14T00:00:00"/>
    <n v="10200"/>
    <m/>
    <m/>
    <m/>
    <m/>
    <m/>
    <m/>
    <n v="10200"/>
    <n v="0"/>
    <n v="0"/>
  </r>
  <r>
    <s v="41A/2019"/>
    <d v="2019-02-11T00:00:00"/>
    <s v="KIỀU THY"/>
    <s v="TV06"/>
    <x v="96"/>
    <x v="5"/>
    <s v="PROFUNDO"/>
    <m/>
    <s v="16.18"/>
    <n v="200"/>
    <s v="NL2018"/>
    <m/>
    <n v="0"/>
    <n v="0"/>
    <x v="45"/>
    <n v="0"/>
    <x v="1"/>
    <d v="2019-04-17T00:00:00"/>
    <d v="2019-05-21T00:00:00"/>
    <d v="2019-05-21T00:00:00"/>
    <s v="17/4AL"/>
    <m/>
    <m/>
    <s v="R"/>
    <m/>
    <n v="0"/>
    <m/>
    <m/>
    <m/>
    <m/>
    <m/>
    <m/>
    <n v="0"/>
    <n v="0"/>
    <n v="0"/>
  </r>
  <r>
    <s v="41A/2019"/>
    <d v="2019-02-11T00:00:00"/>
    <s v="KIỀU THY"/>
    <s v="TV06"/>
    <x v="96"/>
    <x v="15"/>
    <s v="CONCADOR "/>
    <m/>
    <s v="16.18"/>
    <n v="200"/>
    <s v="NL2018"/>
    <m/>
    <n v="40"/>
    <n v="8000"/>
    <x v="0"/>
    <n v="37600000"/>
    <x v="0"/>
    <s v="30-Feb-19"/>
    <d v="2019-04-04T00:00:00"/>
    <d v="2019-04-04T00:00:00"/>
    <s v="30/2AL"/>
    <s v="CONT 17/2019"/>
    <d v="2019-03-31T00:00:00"/>
    <s v="R"/>
    <d v="2019-04-12T00:00:00"/>
    <n v="8000"/>
    <m/>
    <m/>
    <m/>
    <m/>
    <m/>
    <m/>
    <n v="8000"/>
    <n v="0"/>
    <n v="0"/>
  </r>
  <r>
    <s v="41A/2019"/>
    <d v="2019-02-11T00:00:00"/>
    <s v="KIỀU THY"/>
    <s v="TV06"/>
    <x v="96"/>
    <x v="80"/>
    <s v="PROFUNDO"/>
    <m/>
    <s v="14.16"/>
    <n v="300"/>
    <s v="NL2018"/>
    <m/>
    <n v="17"/>
    <n v="5100"/>
    <x v="23"/>
    <n v="24480000"/>
    <x v="0"/>
    <s v="30-Feb-19"/>
    <d v="2019-04-04T00:00:00"/>
    <d v="2019-04-04T00:00:00"/>
    <s v="30/2AL"/>
    <s v="CONT 15/2019"/>
    <d v="2019-03-31T00:00:00"/>
    <s v="R"/>
    <d v="2019-04-19T00:00:00"/>
    <n v="5100"/>
    <m/>
    <m/>
    <m/>
    <m/>
    <m/>
    <m/>
    <n v="5100"/>
    <n v="0"/>
    <n v="0"/>
  </r>
  <r>
    <s v="41A/2019"/>
    <d v="2019-02-11T00:00:00"/>
    <s v="KIỀU THY"/>
    <s v="TV06"/>
    <x v="96"/>
    <x v="5"/>
    <s v="PROFUNDO"/>
    <m/>
    <s v="16.18"/>
    <n v="200"/>
    <s v="NL2018"/>
    <m/>
    <n v="25"/>
    <n v="5000"/>
    <x v="45"/>
    <n v="33500000"/>
    <x v="0"/>
    <s v="30-Feb-19"/>
    <d v="2019-04-04T00:00:00"/>
    <d v="2019-04-04T00:00:00"/>
    <s v="30/2AL"/>
    <s v="CONT 17/2019"/>
    <d v="2019-03-31T00:00:00"/>
    <s v="R"/>
    <d v="2019-04-05T00:00:00"/>
    <n v="5000"/>
    <m/>
    <m/>
    <m/>
    <m/>
    <m/>
    <m/>
    <n v="5000"/>
    <n v="0"/>
    <n v="0"/>
  </r>
  <r>
    <s v="144B/2019"/>
    <d v="2019-03-23T00:00:00"/>
    <s v="THANH THÚY"/>
    <s v="TA01"/>
    <x v="97"/>
    <x v="24"/>
    <s v="SERANO"/>
    <m/>
    <s v="14.16"/>
    <n v="300"/>
    <s v="NL2018"/>
    <m/>
    <n v="0"/>
    <n v="0"/>
    <x v="25"/>
    <n v="0"/>
    <x v="1"/>
    <d v="2019-02-15T00:00:00"/>
    <s v=""/>
    <s v=""/>
    <s v="15/2AL"/>
    <m/>
    <m/>
    <m/>
    <m/>
    <m/>
    <m/>
    <m/>
    <m/>
    <m/>
    <m/>
    <m/>
    <n v="0"/>
    <n v="0"/>
    <n v="0"/>
  </r>
  <r>
    <s v="144B/2019"/>
    <d v="2019-05-04T00:00:00"/>
    <s v="THANH THÚY"/>
    <s v="TA01"/>
    <x v="97"/>
    <x v="28"/>
    <s v="YELLOWEEN"/>
    <m/>
    <s v="14.16"/>
    <n v="300"/>
    <s v="NL2018"/>
    <m/>
    <n v="5"/>
    <n v="1500"/>
    <x v="6"/>
    <n v="5700000"/>
    <x v="0"/>
    <d v="2019-03-15T00:00:00"/>
    <s v=""/>
    <s v=""/>
    <m/>
    <m/>
    <m/>
    <m/>
    <d v="2019-05-04T00:00:00"/>
    <n v="1500"/>
    <m/>
    <m/>
    <m/>
    <m/>
    <m/>
    <m/>
    <n v="1500"/>
    <n v="0"/>
    <n v="0"/>
  </r>
  <r>
    <s v="232/2019"/>
    <d v="2019-05-30T00:00:00"/>
    <s v="KIỀU THY"/>
    <s v="TA01"/>
    <x v="97"/>
    <x v="110"/>
    <s v="CONCADOR NEWZELAND"/>
    <m/>
    <s v="20.22"/>
    <s v="125"/>
    <s v="NZ2019"/>
    <m/>
    <n v="144"/>
    <n v="18000"/>
    <x v="53"/>
    <n v="216000000"/>
    <x v="2"/>
    <d v="2019-09-01T00:00:00"/>
    <s v=""/>
    <s v=""/>
    <m/>
    <m/>
    <m/>
    <m/>
    <m/>
    <m/>
    <m/>
    <m/>
    <m/>
    <m/>
    <m/>
    <m/>
    <n v="0"/>
    <n v="18000"/>
    <n v="216000000"/>
  </r>
  <r>
    <s v="232/2019"/>
    <d v="2019-05-30T00:00:00"/>
    <s v="KIỀU THY"/>
    <s v="TA01"/>
    <x v="97"/>
    <x v="6"/>
    <s v="CONCADOR"/>
    <m/>
    <s v="20.22"/>
    <s v="125"/>
    <s v="NL2018"/>
    <m/>
    <n v="0"/>
    <n v="0"/>
    <x v="7"/>
    <n v="0"/>
    <x v="1"/>
    <d v="2019-09-01T00:00:00"/>
    <s v=""/>
    <s v=""/>
    <m/>
    <m/>
    <m/>
    <m/>
    <m/>
    <m/>
    <m/>
    <m/>
    <m/>
    <m/>
    <m/>
    <m/>
    <n v="0"/>
    <n v="0"/>
    <n v="0"/>
  </r>
  <r>
    <s v="232/2019"/>
    <d v="2019-05-30T00:00:00"/>
    <s v="KIỀU THY"/>
    <s v="TA01"/>
    <x v="97"/>
    <x v="16"/>
    <s v="ROBINA"/>
    <m/>
    <s v="20.22"/>
    <s v="125"/>
    <s v="NL2018"/>
    <m/>
    <n v="0"/>
    <n v="0"/>
    <x v="16"/>
    <n v="0"/>
    <x v="1"/>
    <d v="2019-09-01T00:00:00"/>
    <s v=""/>
    <s v=""/>
    <m/>
    <m/>
    <m/>
    <m/>
    <m/>
    <m/>
    <m/>
    <m/>
    <m/>
    <m/>
    <m/>
    <m/>
    <n v="0"/>
    <n v="0"/>
    <n v="0"/>
  </r>
  <r>
    <s v="232/2019"/>
    <d v="2019-05-30T00:00:00"/>
    <s v="KIỀU THY"/>
    <s v="TA01"/>
    <x v="97"/>
    <x v="108"/>
    <s v="ROBINA NEWZELAND"/>
    <m/>
    <s v="20.22"/>
    <s v="125"/>
    <s v="NZ2019"/>
    <m/>
    <n v="16"/>
    <n v="2000"/>
    <x v="29"/>
    <n v="25000000"/>
    <x v="2"/>
    <d v="2019-09-01T00:00:00"/>
    <s v=""/>
    <s v=""/>
    <m/>
    <m/>
    <m/>
    <m/>
    <m/>
    <m/>
    <m/>
    <m/>
    <m/>
    <m/>
    <m/>
    <m/>
    <n v="0"/>
    <n v="2000"/>
    <n v="25000000"/>
  </r>
  <r>
    <s v="232/2019"/>
    <d v="2019-05-30T00:00:00"/>
    <s v="KIỀU THY"/>
    <s v="TA01"/>
    <x v="97"/>
    <x v="109"/>
    <s v="ROBINA NEWZELAND"/>
    <m/>
    <s v="22.24"/>
    <s v="100"/>
    <s v="NZ2019"/>
    <m/>
    <n v="50"/>
    <n v="5000"/>
    <x v="40"/>
    <n v="65000000"/>
    <x v="2"/>
    <d v="2019-09-01T00:00:00"/>
    <s v=""/>
    <s v=""/>
    <m/>
    <m/>
    <m/>
    <m/>
    <m/>
    <m/>
    <m/>
    <m/>
    <m/>
    <m/>
    <m/>
    <m/>
    <n v="0"/>
    <n v="5000"/>
    <n v="65000000"/>
  </r>
  <r>
    <s v="176B/2019"/>
    <d v="2019-04-24T00:00:00"/>
    <s v="THANH THÚY"/>
    <s v="TH15"/>
    <x v="98"/>
    <x v="62"/>
    <s v="BACARDI"/>
    <m/>
    <s v="15.16"/>
    <s v="300"/>
    <s v="NL2018"/>
    <m/>
    <n v="20"/>
    <n v="6000"/>
    <x v="13"/>
    <n v="27000000"/>
    <x v="0"/>
    <d v="2019-03-15T00:00:00"/>
    <d v="2019-04-19T00:00:00"/>
    <d v="2019-04-19T00:00:00"/>
    <s v="15/3AL"/>
    <m/>
    <m/>
    <m/>
    <d v="2019-04-24T00:00:00"/>
    <n v="3000"/>
    <d v="2019-04-26T00:00:00"/>
    <s v="3000"/>
    <m/>
    <m/>
    <m/>
    <m/>
    <n v="6000"/>
    <n v="0"/>
    <n v="0"/>
  </r>
  <r>
    <s v="176B/2019"/>
    <d v="2019-04-24T00:00:00"/>
    <s v="THANH THÚY"/>
    <s v="TH15"/>
    <x v="98"/>
    <x v="61"/>
    <s v="BACARDI"/>
    <m/>
    <s v="15.16"/>
    <s v="250"/>
    <s v="NL2018"/>
    <m/>
    <n v="20"/>
    <n v="5000"/>
    <x v="13"/>
    <n v="22500000"/>
    <x v="0"/>
    <d v="2019-03-15T00:00:00"/>
    <d v="2019-04-19T00:00:00"/>
    <d v="2019-04-19T00:00:00"/>
    <s v="15/3AL"/>
    <m/>
    <m/>
    <m/>
    <d v="2019-04-24T00:00:00"/>
    <n v="3000"/>
    <d v="2019-04-26T00:00:00"/>
    <s v="2000"/>
    <m/>
    <m/>
    <m/>
    <m/>
    <n v="5000"/>
    <n v="0"/>
    <n v="0"/>
  </r>
  <r>
    <s v="176B/2019"/>
    <d v="2019-04-24T00:00:00"/>
    <s v="THANH THÚY"/>
    <s v="TH15"/>
    <x v="98"/>
    <x v="22"/>
    <s v="ROBINA"/>
    <m/>
    <s v="16.18"/>
    <s v="200"/>
    <s v="NL2018"/>
    <m/>
    <n v="50"/>
    <n v="10000"/>
    <x v="44"/>
    <n v="55000000"/>
    <x v="3"/>
    <d v="2019-05-18T00:00:00"/>
    <d v="2019-06-20T00:00:00"/>
    <d v="2019-06-20T00:00:00"/>
    <s v="02/5AL"/>
    <m/>
    <m/>
    <m/>
    <m/>
    <m/>
    <m/>
    <m/>
    <m/>
    <m/>
    <m/>
    <m/>
    <n v="0"/>
    <n v="10000"/>
    <n v="55000000"/>
  </r>
  <r>
    <s v="176B/2019"/>
    <d v="2019-04-24T00:00:00"/>
    <s v="THANH THÚY"/>
    <s v="TH15"/>
    <x v="98"/>
    <x v="47"/>
    <s v="ROBINA"/>
    <m/>
    <s v="18.20"/>
    <s v="150"/>
    <s v="NL2018"/>
    <m/>
    <n v="67"/>
    <n v="10050"/>
    <x v="80"/>
    <n v="73365000"/>
    <x v="4"/>
    <d v="2019-04-29T00:00:00"/>
    <d v="2019-06-02T00:00:00"/>
    <d v="2019-06-02T00:00:00"/>
    <s v="29/4AL"/>
    <m/>
    <m/>
    <m/>
    <m/>
    <m/>
    <m/>
    <m/>
    <m/>
    <m/>
    <m/>
    <m/>
    <n v="0"/>
    <n v="10050"/>
    <n v="73365000"/>
  </r>
  <r>
    <s v="202A/2019"/>
    <d v="2019-04-11T00:00:00"/>
    <s v="KIỀU THY"/>
    <s v="TS05"/>
    <x v="99"/>
    <x v="103"/>
    <s v="LARGO"/>
    <m/>
    <s v="16.18"/>
    <s v="200"/>
    <s v="NL2018"/>
    <m/>
    <n v="10"/>
    <n v="2000"/>
    <x v="24"/>
    <n v="11400000"/>
    <x v="4"/>
    <d v="2019-05-05T00:00:00"/>
    <d v="2019-06-07T00:00:00"/>
    <d v="2019-06-07T00:00:00"/>
    <m/>
    <m/>
    <m/>
    <m/>
    <d v="2019-06-10T00:00:00"/>
    <n v="1000"/>
    <m/>
    <m/>
    <m/>
    <m/>
    <m/>
    <m/>
    <n v="1000"/>
    <n v="1000"/>
    <n v="5700000"/>
  </r>
  <r>
    <s v="202A/2019"/>
    <d v="2019-06-04T00:00:00"/>
    <s v="KIỀU THY"/>
    <s v="TS05"/>
    <x v="99"/>
    <x v="54"/>
    <s v="MALDANO"/>
    <m/>
    <s v="14.16"/>
    <s v="300"/>
    <s v="NL2018"/>
    <m/>
    <n v="4"/>
    <n v="1200"/>
    <x v="57"/>
    <n v="4800000"/>
    <x v="0"/>
    <d v="2019-05-05T00:00:00"/>
    <d v="2019-06-07T00:00:00"/>
    <d v="2019-06-07T00:00:00"/>
    <m/>
    <m/>
    <m/>
    <m/>
    <d v="2019-06-10T00:00:00"/>
    <n v="1200"/>
    <m/>
    <m/>
    <m/>
    <m/>
    <m/>
    <m/>
    <n v="1200"/>
    <n v="0"/>
    <n v="0"/>
  </r>
  <r>
    <s v="202A/2019"/>
    <d v="2019-04-11T00:00:00"/>
    <s v="KIỀU THY"/>
    <s v="TS05"/>
    <x v="99"/>
    <x v="2"/>
    <s v="NASHVILLE"/>
    <m/>
    <s v="14.16"/>
    <s v="300"/>
    <s v="NL2018"/>
    <m/>
    <n v="0"/>
    <n v="0"/>
    <x v="56"/>
    <n v="0"/>
    <x v="1"/>
    <d v="2019-05-30T00:00:00"/>
    <d v="2019-07-02T00:00:00"/>
    <d v="2019-07-02T00:00:00"/>
    <m/>
    <m/>
    <m/>
    <m/>
    <m/>
    <m/>
    <m/>
    <m/>
    <m/>
    <m/>
    <m/>
    <m/>
    <n v="0"/>
    <n v="0"/>
    <n v="0"/>
  </r>
  <r>
    <s v="202A/2019"/>
    <d v="2019-04-11T00:00:00"/>
    <s v="KIỀU THY"/>
    <s v="TS05"/>
    <x v="99"/>
    <x v="29"/>
    <s v="MANISSA"/>
    <m/>
    <s v="16.18"/>
    <s v="200"/>
    <s v="NL2018"/>
    <m/>
    <n v="14"/>
    <n v="2800"/>
    <x v="164"/>
    <n v="19432000"/>
    <x v="4"/>
    <d v="2019-03-15T00:00:00"/>
    <d v="2019-04-19T00:00:00"/>
    <d v="2019-04-19T00:00:00"/>
    <m/>
    <m/>
    <m/>
    <m/>
    <d v="2019-05-28T00:00:00"/>
    <n v="1000"/>
    <m/>
    <m/>
    <m/>
    <m/>
    <m/>
    <m/>
    <n v="1000"/>
    <n v="1800"/>
    <n v="12492000"/>
  </r>
  <r>
    <s v="202A/2019"/>
    <d v="2019-04-11T00:00:00"/>
    <s v="KIỀU THY"/>
    <s v="TS05"/>
    <x v="99"/>
    <x v="11"/>
    <s v="YELLOWEEN"/>
    <m/>
    <s v="12.14"/>
    <s v="400"/>
    <s v="NL2018"/>
    <m/>
    <n v="5"/>
    <n v="2000"/>
    <x v="47"/>
    <n v="5400000"/>
    <x v="0"/>
    <d v="2019-03-15T00:00:00"/>
    <d v="2019-04-19T00:00:00"/>
    <d v="2019-04-19T00:00:00"/>
    <m/>
    <m/>
    <m/>
    <m/>
    <d v="2019-05-28T00:00:00"/>
    <n v="2000"/>
    <m/>
    <m/>
    <m/>
    <m/>
    <m/>
    <m/>
    <n v="2000"/>
    <n v="0"/>
    <n v="0"/>
  </r>
  <r>
    <s v="225A/2019"/>
    <d v="2019-05-28T00:00:00"/>
    <s v="KIỀU THY"/>
    <s v="TS05"/>
    <x v="99"/>
    <x v="6"/>
    <s v="CONCADOR"/>
    <m/>
    <s v="20.22"/>
    <s v="125"/>
    <s v="NL2018"/>
    <m/>
    <n v="16"/>
    <n v="2000"/>
    <x v="7"/>
    <n v="21200000"/>
    <x v="2"/>
    <d v="2019-09-01T00:00:00"/>
    <d v="2019-09-29T00:00:00"/>
    <d v="2019-09-29T00:00:00"/>
    <m/>
    <m/>
    <m/>
    <m/>
    <m/>
    <m/>
    <m/>
    <m/>
    <m/>
    <m/>
    <m/>
    <m/>
    <n v="0"/>
    <n v="2000"/>
    <n v="21200000"/>
  </r>
  <r>
    <s v="225A/2019"/>
    <d v="2019-05-28T00:00:00"/>
    <s v="KIỀU THY"/>
    <s v="TS05"/>
    <x v="99"/>
    <x v="45"/>
    <s v="CONCADOR"/>
    <m/>
    <s v="24.26"/>
    <s v="80"/>
    <s v="NL2018"/>
    <m/>
    <n v="25"/>
    <n v="2000"/>
    <x v="38"/>
    <n v="30400000"/>
    <x v="2"/>
    <d v="2019-09-01T00:00:00"/>
    <d v="2019-09-29T00:00:00"/>
    <d v="2019-09-29T00:00:00"/>
    <m/>
    <m/>
    <m/>
    <m/>
    <m/>
    <m/>
    <m/>
    <m/>
    <m/>
    <m/>
    <m/>
    <m/>
    <n v="0"/>
    <n v="2000"/>
    <n v="30400000"/>
  </r>
  <r>
    <s v="225A/2019"/>
    <d v="2019-05-28T00:00:00"/>
    <s v="KIỀU THY"/>
    <s v="TS05"/>
    <x v="99"/>
    <x v="103"/>
    <s v="LARGO"/>
    <m/>
    <s v="16.18"/>
    <s v="200"/>
    <s v="NL2018"/>
    <m/>
    <n v="5"/>
    <n v="1000"/>
    <x v="20"/>
    <n v="6100000"/>
    <x v="2"/>
    <d v="2019-09-01T00:00:00"/>
    <d v="2019-09-29T00:00:00"/>
    <d v="2019-09-29T00:00:00"/>
    <m/>
    <m/>
    <m/>
    <m/>
    <m/>
    <m/>
    <m/>
    <m/>
    <m/>
    <m/>
    <m/>
    <m/>
    <n v="0"/>
    <n v="1000"/>
    <n v="6100000"/>
  </r>
  <r>
    <s v="225A/2019"/>
    <d v="2019-05-28T00:00:00"/>
    <s v="KIỀU THY"/>
    <s v="TS05"/>
    <x v="99"/>
    <x v="104"/>
    <s v="LARGO"/>
    <m/>
    <s v="22.24"/>
    <s v="100"/>
    <s v="NL2018"/>
    <m/>
    <n v="20"/>
    <n v="2000"/>
    <x v="110"/>
    <n v="22800000"/>
    <x v="2"/>
    <d v="2019-09-01T00:00:00"/>
    <d v="2019-09-29T00:00:00"/>
    <d v="2019-09-29T00:00:00"/>
    <m/>
    <m/>
    <m/>
    <m/>
    <m/>
    <m/>
    <m/>
    <m/>
    <m/>
    <m/>
    <m/>
    <m/>
    <n v="0"/>
    <n v="2000"/>
    <n v="22800000"/>
  </r>
  <r>
    <s v="225A/2019"/>
    <d v="2019-05-28T00:00:00"/>
    <s v="KIỀU THY"/>
    <s v="TS05"/>
    <x v="99"/>
    <x v="141"/>
    <s v="MANISSA"/>
    <m/>
    <s v="18.20"/>
    <s v="150"/>
    <s v="NL2018"/>
    <m/>
    <n v="14"/>
    <n v="2100"/>
    <x v="165"/>
    <n v="21630000"/>
    <x v="2"/>
    <d v="2019-09-01T00:00:00"/>
    <d v="2019-09-29T00:00:00"/>
    <d v="2019-09-29T00:00:00"/>
    <m/>
    <m/>
    <m/>
    <m/>
    <m/>
    <m/>
    <m/>
    <m/>
    <m/>
    <m/>
    <m/>
    <m/>
    <n v="0"/>
    <n v="2100"/>
    <n v="21630000"/>
  </r>
  <r>
    <s v="225A/2019"/>
    <d v="2019-05-28T00:00:00"/>
    <s v="KIỀU THY"/>
    <s v="TS05"/>
    <x v="99"/>
    <x v="150"/>
    <s v="TRESOR"/>
    <m/>
    <s v="16.18"/>
    <s v="200"/>
    <s v="NL2018"/>
    <m/>
    <n v="5"/>
    <n v="1000"/>
    <x v="33"/>
    <n v="7000000"/>
    <x v="2"/>
    <d v="2019-09-01T00:00:00"/>
    <d v="2019-09-29T00:00:00"/>
    <d v="2019-09-29T00:00:00"/>
    <m/>
    <m/>
    <m/>
    <m/>
    <m/>
    <m/>
    <m/>
    <m/>
    <m/>
    <m/>
    <m/>
    <m/>
    <n v="0"/>
    <n v="1000"/>
    <n v="7000000"/>
  </r>
  <r>
    <s v="225A/2019"/>
    <d v="2019-05-28T00:00:00"/>
    <s v="KIỀU THY"/>
    <s v="TS05"/>
    <x v="99"/>
    <x v="169"/>
    <s v="SORBONNE"/>
    <m/>
    <s v="18.20"/>
    <s v="150"/>
    <s v="NL2018"/>
    <m/>
    <n v="13.333333333333334"/>
    <n v="2000"/>
    <x v="39"/>
    <n v="20200000"/>
    <x v="2"/>
    <d v="2019-09-01T00:00:00"/>
    <d v="2019-09-29T00:00:00"/>
    <d v="2019-09-29T00:00:00"/>
    <m/>
    <m/>
    <m/>
    <m/>
    <m/>
    <m/>
    <m/>
    <m/>
    <m/>
    <m/>
    <m/>
    <m/>
    <n v="0"/>
    <n v="2000"/>
    <n v="20200000"/>
  </r>
  <r>
    <s v="225A/2019"/>
    <d v="2019-05-28T00:00:00"/>
    <s v="KIỀU THY"/>
    <s v="TS05"/>
    <x v="99"/>
    <x v="2"/>
    <s v="NASHVILLE"/>
    <m/>
    <s v="14.16"/>
    <s v="300"/>
    <s v="NL2018"/>
    <m/>
    <n v="4"/>
    <n v="1200"/>
    <x v="1"/>
    <n v="5040000"/>
    <x v="2"/>
    <d v="2019-09-01T00:00:00"/>
    <d v="2019-09-29T00:00:00"/>
    <d v="2019-09-29T00:00:00"/>
    <m/>
    <m/>
    <m/>
    <m/>
    <m/>
    <m/>
    <m/>
    <m/>
    <m/>
    <m/>
    <m/>
    <m/>
    <n v="0"/>
    <n v="1200"/>
    <n v="5040000"/>
  </r>
  <r>
    <s v="191A/2019"/>
    <d v="2019-04-12T00:00:00"/>
    <s v="KIỀU THY"/>
    <s v="HT05"/>
    <x v="100"/>
    <x v="22"/>
    <s v="ROBINA"/>
    <m/>
    <s v="16.18"/>
    <s v="200"/>
    <s v="NL2018"/>
    <m/>
    <n v="0"/>
    <n v="0"/>
    <x v="55"/>
    <n v="0"/>
    <x v="1"/>
    <d v="2019-04-17T00:00:00"/>
    <d v="2019-05-21T00:00:00"/>
    <d v="2019-05-21T00:00:00"/>
    <s v="17/4AL"/>
    <m/>
    <m/>
    <m/>
    <m/>
    <m/>
    <m/>
    <m/>
    <m/>
    <m/>
    <m/>
    <m/>
    <n v="0"/>
    <n v="0"/>
    <n v="0"/>
  </r>
  <r>
    <s v="191A/2019"/>
    <d v="2019-04-12T00:00:00"/>
    <s v="KIỀU THY"/>
    <s v="HT05"/>
    <x v="100"/>
    <x v="3"/>
    <s v="PAVIA"/>
    <m/>
    <s v="12.14"/>
    <s v="400"/>
    <s v="NL2018"/>
    <m/>
    <n v="0"/>
    <n v="0"/>
    <x v="17"/>
    <n v="0"/>
    <x v="1"/>
    <d v="2019-04-17T00:00:00"/>
    <d v="2019-05-21T00:00:00"/>
    <d v="2019-05-21T00:00:00"/>
    <s v="17/4AL"/>
    <m/>
    <m/>
    <m/>
    <m/>
    <m/>
    <m/>
    <m/>
    <m/>
    <m/>
    <m/>
    <m/>
    <n v="0"/>
    <n v="0"/>
    <n v="0"/>
  </r>
  <r>
    <s v="191A/2019"/>
    <d v="2019-04-12T00:00:00"/>
    <s v="KIỀU THY"/>
    <s v="HT05"/>
    <x v="100"/>
    <x v="24"/>
    <s v="SERANO"/>
    <m/>
    <s v="14.16"/>
    <s v="300"/>
    <s v="NL2018"/>
    <m/>
    <n v="0"/>
    <n v="0"/>
    <x v="117"/>
    <n v="0"/>
    <x v="1"/>
    <d v="2019-04-17T00:00:00"/>
    <d v="2019-05-21T00:00:00"/>
    <d v="2019-05-21T00:00:00"/>
    <s v="17/4AL"/>
    <m/>
    <m/>
    <m/>
    <m/>
    <m/>
    <m/>
    <m/>
    <m/>
    <m/>
    <m/>
    <m/>
    <n v="0"/>
    <n v="0"/>
    <n v="0"/>
  </r>
  <r>
    <s v="191A/2019"/>
    <d v="2019-04-12T00:00:00"/>
    <s v="KIỀU THY"/>
    <s v="HT05"/>
    <x v="100"/>
    <x v="149"/>
    <s v="PARAGUAY"/>
    <m/>
    <s v="14.16"/>
    <s v="275"/>
    <s v="NL2018"/>
    <m/>
    <n v="18"/>
    <n v="4950"/>
    <x v="21"/>
    <n v="22770000"/>
    <x v="0"/>
    <d v="2019-03-15T00:00:00"/>
    <d v="2019-04-19T00:00:00"/>
    <d v="2019-04-19T00:00:00"/>
    <s v="15/3AL"/>
    <m/>
    <m/>
    <m/>
    <d v="2019-04-17T00:00:00"/>
    <n v="4950"/>
    <m/>
    <m/>
    <m/>
    <m/>
    <m/>
    <m/>
    <n v="4950"/>
    <n v="0"/>
    <n v="0"/>
  </r>
  <r>
    <s v="123A/2019"/>
    <d v="2019-03-14T00:00:00"/>
    <s v="KIỀU THY"/>
    <s v="DT06"/>
    <x v="101"/>
    <x v="68"/>
    <s v="TEBALDI"/>
    <m/>
    <s v="12.14"/>
    <s v="400"/>
    <s v="NL2018"/>
    <m/>
    <n v="8"/>
    <n v="3200"/>
    <x v="49"/>
    <n v="9920000"/>
    <x v="2"/>
    <d v="2019-07-25T00:00:00"/>
    <d v="2019-08-25T00:00:00"/>
    <d v="2019-08-25T00:00:00"/>
    <s v="TRỒNG NGÀY 25/7 AL"/>
    <m/>
    <m/>
    <m/>
    <m/>
    <n v="0"/>
    <m/>
    <m/>
    <m/>
    <m/>
    <m/>
    <m/>
    <n v="0"/>
    <n v="3200"/>
    <n v="9920000"/>
  </r>
  <r>
    <s v="123A/2019"/>
    <d v="2019-03-14T00:00:00"/>
    <s v="KIỀU THY"/>
    <s v="DT06"/>
    <x v="101"/>
    <x v="6"/>
    <s v="CONCADOR"/>
    <m/>
    <s v="20.22"/>
    <s v="125"/>
    <s v="NL2018"/>
    <m/>
    <n v="40"/>
    <n v="5000"/>
    <x v="59"/>
    <n v="52500000"/>
    <x v="2"/>
    <d v="2019-09-01T00:00:00"/>
    <d v="2019-09-29T00:00:00"/>
    <d v="2019-09-29T00:00:00"/>
    <s v="TẾT"/>
    <m/>
    <m/>
    <m/>
    <m/>
    <n v="0"/>
    <m/>
    <m/>
    <m/>
    <m/>
    <m/>
    <m/>
    <n v="0"/>
    <n v="5000"/>
    <n v="52500000"/>
  </r>
  <r>
    <s v="123A/2019"/>
    <d v="2019-03-14T00:00:00"/>
    <s v="KIỀU THY"/>
    <s v="DT06"/>
    <x v="101"/>
    <x v="36"/>
    <s v="MANISSA"/>
    <m/>
    <s v="20.22"/>
    <s v="125"/>
    <s v="NL2018"/>
    <m/>
    <n v="8"/>
    <n v="1000"/>
    <x v="37"/>
    <n v="13500000"/>
    <x v="2"/>
    <d v="2019-09-01T00:00:00"/>
    <d v="2019-09-29T00:00:00"/>
    <d v="2019-09-29T00:00:00"/>
    <s v="TẾT"/>
    <m/>
    <m/>
    <m/>
    <m/>
    <n v="0"/>
    <m/>
    <m/>
    <m/>
    <m/>
    <m/>
    <m/>
    <n v="0"/>
    <n v="1000"/>
    <n v="13500000"/>
  </r>
  <r>
    <s v="123A/2019"/>
    <d v="2019-03-14T00:00:00"/>
    <s v="KIỀU THY"/>
    <s v="DT06"/>
    <x v="101"/>
    <x v="7"/>
    <s v="PROFUNDO"/>
    <m/>
    <s v="18.20"/>
    <s v="150"/>
    <s v="NL2018"/>
    <m/>
    <n v="14"/>
    <n v="2100"/>
    <x v="8"/>
    <n v="22680000"/>
    <x v="2"/>
    <d v="2019-09-01T00:00:00"/>
    <d v="2019-09-29T00:00:00"/>
    <d v="2019-09-29T00:00:00"/>
    <s v="TẾT"/>
    <m/>
    <m/>
    <m/>
    <m/>
    <n v="0"/>
    <m/>
    <m/>
    <m/>
    <m/>
    <m/>
    <m/>
    <n v="0"/>
    <n v="2100"/>
    <n v="22680000"/>
  </r>
  <r>
    <s v="123A/2019"/>
    <d v="2019-03-14T00:00:00"/>
    <s v="KIỀU THY"/>
    <s v="DT06"/>
    <x v="101"/>
    <x v="170"/>
    <s v="REDDESIRE"/>
    <m/>
    <s v="18.20"/>
    <s v="150"/>
    <s v="NL2018"/>
    <m/>
    <n v="14"/>
    <n v="2100"/>
    <x v="59"/>
    <n v="22050000"/>
    <x v="2"/>
    <d v="2019-09-01T00:00:00"/>
    <d v="2019-09-29T00:00:00"/>
    <d v="2019-09-29T00:00:00"/>
    <s v="TẾT"/>
    <m/>
    <m/>
    <m/>
    <m/>
    <n v="0"/>
    <m/>
    <m/>
    <m/>
    <m/>
    <m/>
    <m/>
    <n v="0"/>
    <n v="2100"/>
    <n v="22050000"/>
  </r>
  <r>
    <s v="123A/2019"/>
    <d v="2019-03-14T00:00:00"/>
    <s v="KIỀU THY"/>
    <s v="DT06"/>
    <x v="101"/>
    <x v="16"/>
    <s v="ROBINA"/>
    <m/>
    <s v="20.22"/>
    <s v="125"/>
    <s v="NL2018"/>
    <m/>
    <n v="16"/>
    <n v="2000"/>
    <x v="59"/>
    <n v="21000000"/>
    <x v="2"/>
    <d v="2019-09-01T00:00:00"/>
    <d v="2019-09-29T00:00:00"/>
    <d v="2019-09-29T00:00:00"/>
    <s v="TẾT"/>
    <m/>
    <m/>
    <m/>
    <m/>
    <n v="0"/>
    <m/>
    <m/>
    <m/>
    <m/>
    <m/>
    <m/>
    <n v="0"/>
    <n v="2000"/>
    <n v="21000000"/>
  </r>
  <r>
    <s v="123A/2019"/>
    <d v="2019-03-14T00:00:00"/>
    <s v="KIỀU THY"/>
    <s v="DT06"/>
    <x v="101"/>
    <x v="4"/>
    <s v="TEBALDI"/>
    <m/>
    <s v="14.16"/>
    <s v="300"/>
    <s v="NL2018"/>
    <m/>
    <n v="44"/>
    <n v="13200"/>
    <x v="21"/>
    <n v="60720000"/>
    <x v="2"/>
    <d v="2019-09-01T00:00:00"/>
    <d v="2019-09-29T00:00:00"/>
    <d v="2019-09-29T00:00:00"/>
    <s v="TẾT"/>
    <m/>
    <m/>
    <m/>
    <m/>
    <n v="0"/>
    <m/>
    <m/>
    <m/>
    <m/>
    <m/>
    <m/>
    <n v="0"/>
    <n v="13200"/>
    <n v="60720000"/>
  </r>
  <r>
    <s v="165A/2019"/>
    <d v="2019-04-03T00:00:00"/>
    <s v="KIỀU THY"/>
    <s v="DT06"/>
    <x v="101"/>
    <x v="170"/>
    <s v="REDDESIRE"/>
    <m/>
    <s v="18.20"/>
    <s v="150"/>
    <s v="NL2018"/>
    <m/>
    <n v="14"/>
    <n v="2100"/>
    <x v="59"/>
    <n v="22050000"/>
    <x v="2"/>
    <d v="2019-09-01T00:00:00"/>
    <d v="2019-09-29T00:00:00"/>
    <d v="2019-09-29T00:00:00"/>
    <s v="TẾT"/>
    <m/>
    <m/>
    <m/>
    <m/>
    <m/>
    <m/>
    <m/>
    <m/>
    <m/>
    <m/>
    <m/>
    <n v="0"/>
    <n v="2100"/>
    <n v="22050000"/>
  </r>
  <r>
    <s v="165A/2019"/>
    <d v="2019-04-03T00:00:00"/>
    <s v="KIỀU THY"/>
    <s v="DT06"/>
    <x v="101"/>
    <x v="6"/>
    <s v="CONCADOR"/>
    <m/>
    <s v="20.22"/>
    <s v="125"/>
    <s v="NL2018"/>
    <m/>
    <n v="8"/>
    <n v="1000"/>
    <x v="7"/>
    <n v="10600000"/>
    <x v="2"/>
    <d v="2019-09-01T00:00:00"/>
    <d v="2019-09-29T00:00:00"/>
    <d v="2019-09-29T00:00:00"/>
    <s v="TẾT"/>
    <m/>
    <m/>
    <m/>
    <m/>
    <m/>
    <m/>
    <m/>
    <m/>
    <m/>
    <m/>
    <m/>
    <n v="0"/>
    <n v="1000"/>
    <n v="10600000"/>
  </r>
  <r>
    <s v="165A/2019"/>
    <d v="2019-04-03T00:00:00"/>
    <s v="KIỀU THY"/>
    <s v="DT06"/>
    <x v="101"/>
    <x v="16"/>
    <s v="ROBINA"/>
    <m/>
    <s v="20.22"/>
    <s v="125"/>
    <s v="NL2018"/>
    <m/>
    <n v="16"/>
    <n v="2000"/>
    <x v="16"/>
    <n v="21400000"/>
    <x v="2"/>
    <d v="2019-09-01T00:00:00"/>
    <d v="2019-09-29T00:00:00"/>
    <d v="2019-09-29T00:00:00"/>
    <s v="TẾT"/>
    <m/>
    <m/>
    <m/>
    <m/>
    <m/>
    <m/>
    <m/>
    <m/>
    <m/>
    <m/>
    <m/>
    <n v="0"/>
    <n v="2000"/>
    <n v="21400000"/>
  </r>
  <r>
    <s v="165A/2019"/>
    <d v="2019-04-03T00:00:00"/>
    <s v="KIỀU THY"/>
    <s v="DT06"/>
    <x v="101"/>
    <x v="141"/>
    <s v="MANISSA"/>
    <m/>
    <s v="18.20"/>
    <s v="150"/>
    <s v="NL2018"/>
    <m/>
    <n v="14"/>
    <n v="2100"/>
    <x v="165"/>
    <n v="21630000"/>
    <x v="2"/>
    <d v="2019-09-01T00:00:00"/>
    <d v="2019-09-29T00:00:00"/>
    <d v="2019-09-29T00:00:00"/>
    <s v="TẾT"/>
    <m/>
    <m/>
    <m/>
    <m/>
    <m/>
    <m/>
    <m/>
    <m/>
    <m/>
    <m/>
    <m/>
    <n v="0"/>
    <n v="2100"/>
    <n v="21630000"/>
  </r>
  <r>
    <s v="123A/2019"/>
    <d v="2019-03-14T00:00:00"/>
    <s v="KIỀU THY"/>
    <s v="DT06"/>
    <x v="101"/>
    <x v="2"/>
    <s v="NASHVILLE"/>
    <m/>
    <s v="14.16"/>
    <s v="300"/>
    <s v="NL2018"/>
    <m/>
    <n v="10"/>
    <n v="3000"/>
    <x v="99"/>
    <n v="12900000"/>
    <x v="2"/>
    <d v="2019-07-25T00:00:00"/>
    <d v="2019-08-25T00:00:00"/>
    <d v="2019-08-25T00:00:00"/>
    <s v="TRỒNG NGÀY 25/7 AL"/>
    <m/>
    <m/>
    <m/>
    <m/>
    <n v="0"/>
    <m/>
    <m/>
    <m/>
    <m/>
    <m/>
    <m/>
    <n v="0"/>
    <n v="3000"/>
    <n v="12900000"/>
  </r>
  <r>
    <s v="168A/2019"/>
    <d v="2019-02-22T00:00:00"/>
    <s v="KIỀU THY"/>
    <s v="TT16"/>
    <x v="102"/>
    <x v="46"/>
    <s v="CONCAD'OR"/>
    <m/>
    <s v="22.24"/>
    <n v="100"/>
    <s v="NL2018"/>
    <m/>
    <n v="80"/>
    <n v="8000"/>
    <x v="29"/>
    <n v="100000000"/>
    <x v="2"/>
    <d v="2019-09-01T00:00:00"/>
    <d v="2019-09-29T00:00:00"/>
    <d v="2019-09-29T00:00:00"/>
    <s v="TẾT"/>
    <m/>
    <m/>
    <s v="R"/>
    <m/>
    <n v="0"/>
    <m/>
    <m/>
    <m/>
    <m/>
    <m/>
    <m/>
    <n v="0"/>
    <n v="8000"/>
    <n v="100000000"/>
  </r>
  <r>
    <s v="168A/2019"/>
    <d v="2019-02-22T00:00:00"/>
    <s v="KIỀU THY"/>
    <s v="TT16"/>
    <x v="102"/>
    <x v="37"/>
    <s v="PROFUNDO"/>
    <m/>
    <s v="20.22"/>
    <n v="125"/>
    <s v="NL2018"/>
    <m/>
    <n v="20"/>
    <n v="2500"/>
    <x v="40"/>
    <n v="32500000"/>
    <x v="2"/>
    <d v="2019-09-01T00:00:00"/>
    <d v="2019-09-29T00:00:00"/>
    <d v="2019-09-29T00:00:00"/>
    <s v="TẾT"/>
    <m/>
    <m/>
    <s v="R"/>
    <m/>
    <n v="0"/>
    <m/>
    <m/>
    <m/>
    <m/>
    <m/>
    <m/>
    <n v="0"/>
    <n v="2500"/>
    <n v="32500000"/>
  </r>
  <r>
    <s v="168A/2019"/>
    <d v="2019-02-22T00:00:00"/>
    <s v="KIỀU THY"/>
    <s v="TT16"/>
    <x v="102"/>
    <x v="87"/>
    <s v="PROFUNDO"/>
    <m/>
    <s v="22.24"/>
    <n v="100"/>
    <s v="NL2018"/>
    <m/>
    <n v="25"/>
    <n v="2500"/>
    <x v="85"/>
    <n v="35500000"/>
    <x v="2"/>
    <d v="2019-09-01T00:00:00"/>
    <d v="2019-09-29T00:00:00"/>
    <d v="2019-09-29T00:00:00"/>
    <s v="TẾT"/>
    <m/>
    <m/>
    <s v="R"/>
    <m/>
    <n v="0"/>
    <m/>
    <m/>
    <m/>
    <m/>
    <m/>
    <m/>
    <n v="0"/>
    <n v="2500"/>
    <n v="35500000"/>
  </r>
  <r>
    <s v="168A/2019"/>
    <d v="2019-02-22T00:00:00"/>
    <s v="KIỀU THY"/>
    <s v="TT16"/>
    <x v="102"/>
    <x v="26"/>
    <s v="ROBINA"/>
    <m/>
    <s v="22.24"/>
    <n v="100"/>
    <s v="NL2018"/>
    <m/>
    <n v="55"/>
    <n v="5500"/>
    <x v="29"/>
    <n v="68750000"/>
    <x v="2"/>
    <d v="2019-09-01T00:00:00"/>
    <d v="2019-09-29T00:00:00"/>
    <d v="2019-09-29T00:00:00"/>
    <s v="TẾT"/>
    <m/>
    <m/>
    <s v="R"/>
    <m/>
    <n v="0"/>
    <m/>
    <m/>
    <m/>
    <m/>
    <m/>
    <m/>
    <n v="0"/>
    <n v="5500"/>
    <n v="68750000"/>
  </r>
  <r>
    <s v="71A/2019"/>
    <d v="2019-02-22T00:00:00"/>
    <s v="KIỀU THY"/>
    <s v="TT16"/>
    <x v="102"/>
    <x v="68"/>
    <s v="TEBALDI"/>
    <m/>
    <s v="12.14"/>
    <n v="400"/>
    <s v="NL2018"/>
    <m/>
    <n v="2"/>
    <n v="800"/>
    <x v="4"/>
    <n v="2240000"/>
    <x v="0"/>
    <d v="2019-02-28T00:00:00"/>
    <d v="2019-04-02T00:00:00"/>
    <d v="2019-04-02T00:00:00"/>
    <s v="15/3AL"/>
    <s v="CONT 15/2019"/>
    <d v="2019-03-31T00:00:00"/>
    <s v="R"/>
    <d v="2019-04-26T00:00:00"/>
    <n v="800"/>
    <m/>
    <m/>
    <m/>
    <m/>
    <m/>
    <m/>
    <n v="800"/>
    <n v="0"/>
    <n v="0"/>
  </r>
  <r>
    <s v="71A/2019"/>
    <d v="2019-02-22T00:00:00"/>
    <s v="KIỀU THY"/>
    <s v="TT16"/>
    <x v="102"/>
    <x v="5"/>
    <s v="PROFUNDO"/>
    <m/>
    <s v="16.18"/>
    <n v="200"/>
    <s v="NL2018"/>
    <m/>
    <n v="55"/>
    <n v="11000"/>
    <x v="45"/>
    <n v="73700000"/>
    <x v="0"/>
    <d v="2019-03-15T00:00:00"/>
    <d v="2019-04-19T00:00:00"/>
    <d v="2019-04-19T00:00:00"/>
    <s v="15/3AL"/>
    <s v="CONT 23/2019"/>
    <d v="2019-04-14T00:00:00"/>
    <s v="R"/>
    <d v="2019-04-26T00:00:00"/>
    <n v="11000"/>
    <m/>
    <m/>
    <m/>
    <m/>
    <m/>
    <m/>
    <n v="11000"/>
    <n v="0"/>
    <n v="0"/>
  </r>
  <r>
    <s v="71A/2019"/>
    <d v="2019-02-22T00:00:00"/>
    <s v="KIỀU THY"/>
    <s v="TT16"/>
    <x v="102"/>
    <x v="28"/>
    <s v="YELLOWEEN"/>
    <m/>
    <s v="14.16"/>
    <n v="300"/>
    <s v="NL2018"/>
    <m/>
    <n v="14"/>
    <n v="4200"/>
    <x v="6"/>
    <n v="15960000"/>
    <x v="0"/>
    <d v="2019-03-15T00:00:00"/>
    <d v="2019-04-19T00:00:00"/>
    <d v="2019-04-19T00:00:00"/>
    <s v="15/3AL"/>
    <s v="CONT 20/2019"/>
    <d v="2019-04-14T00:00:00"/>
    <s v="R"/>
    <d v="2019-04-26T00:00:00"/>
    <n v="4200"/>
    <m/>
    <m/>
    <m/>
    <m/>
    <m/>
    <m/>
    <n v="4200"/>
    <n v="0"/>
    <n v="0"/>
  </r>
  <r>
    <s v="71A/2019"/>
    <d v="2019-02-22T00:00:00"/>
    <s v="KIỀU THY"/>
    <s v="TT16"/>
    <x v="102"/>
    <x v="38"/>
    <s v="YELLOWEEN"/>
    <m/>
    <s v="16.18"/>
    <n v="200"/>
    <s v="NL2018"/>
    <m/>
    <n v="25"/>
    <n v="5000"/>
    <x v="93"/>
    <n v="0"/>
    <x v="1"/>
    <d v="2019-05-01T00:00:00"/>
    <d v="2019-06-03T00:00:00"/>
    <d v="2019-06-03T00:00:00"/>
    <s v="1/5AL"/>
    <m/>
    <m/>
    <s v="R"/>
    <m/>
    <n v="0"/>
    <m/>
    <m/>
    <m/>
    <m/>
    <m/>
    <m/>
    <n v="0"/>
    <n v="5000"/>
    <n v="0"/>
  </r>
  <r>
    <s v="171B/2019"/>
    <d v="2019-04-20T00:00:00"/>
    <s v="THANH THÚY"/>
    <s v="TA05"/>
    <x v="103"/>
    <x v="62"/>
    <s v="BACARDI"/>
    <m/>
    <s v="15.16"/>
    <s v="300"/>
    <s v="NL2018"/>
    <m/>
    <n v="0"/>
    <n v="0"/>
    <x v="13"/>
    <n v="0"/>
    <x v="1"/>
    <d v="2019-03-18T00:00:00"/>
    <d v="2019-04-22T00:00:00"/>
    <d v="2019-04-22T00:00:00"/>
    <m/>
    <m/>
    <m/>
    <m/>
    <m/>
    <m/>
    <m/>
    <m/>
    <m/>
    <m/>
    <m/>
    <m/>
    <n v="0"/>
    <n v="0"/>
    <n v="0"/>
  </r>
  <r>
    <s v="171B/2019"/>
    <d v="2019-04-20T00:00:00"/>
    <s v="THANH THÚY"/>
    <s v="TA05"/>
    <x v="103"/>
    <x v="61"/>
    <s v="BACARDI"/>
    <m/>
    <s v="15.16"/>
    <s v="250"/>
    <s v="NL2018"/>
    <m/>
    <n v="0"/>
    <n v="0"/>
    <x v="13"/>
    <n v="0"/>
    <x v="1"/>
    <d v="2019-03-18T00:00:00"/>
    <d v="2019-04-22T00:00:00"/>
    <d v="2019-04-22T00:00:00"/>
    <m/>
    <m/>
    <m/>
    <m/>
    <m/>
    <m/>
    <m/>
    <m/>
    <m/>
    <m/>
    <m/>
    <m/>
    <n v="0"/>
    <n v="0"/>
    <n v="0"/>
  </r>
  <r>
    <s v="171B/2019"/>
    <d v="2019-05-20T00:00:00"/>
    <s v="THANH THÚY"/>
    <s v="TA05"/>
    <x v="103"/>
    <x v="57"/>
    <s v="DALIAN"/>
    <m/>
    <s v="14.16"/>
    <s v="300"/>
    <s v="NL2018"/>
    <m/>
    <n v="5"/>
    <n v="1500"/>
    <x v="44"/>
    <n v="8250000"/>
    <x v="0"/>
    <d v="2019-04-17T00:00:00"/>
    <d v="2019-05-21T00:00:00"/>
    <d v="2019-05-21T00:00:00"/>
    <m/>
    <m/>
    <m/>
    <m/>
    <d v="2019-05-21T00:00:00"/>
    <n v="1500"/>
    <m/>
    <m/>
    <m/>
    <m/>
    <m/>
    <m/>
    <n v="1500"/>
    <n v="0"/>
    <n v="0"/>
  </r>
  <r>
    <s v="171B/2019"/>
    <d v="2019-04-20T00:00:00"/>
    <s v="THANH THÚY"/>
    <s v="TA05"/>
    <x v="103"/>
    <x v="80"/>
    <s v="PROFUNDO"/>
    <m/>
    <s v="14.16"/>
    <s v="300"/>
    <s v="NL2018"/>
    <m/>
    <n v="34"/>
    <n v="10200"/>
    <x v="18"/>
    <n v="51000000"/>
    <x v="0"/>
    <d v="2019-03-18T00:00:00"/>
    <d v="2019-04-22T00:00:00"/>
    <d v="2019-04-22T00:00:00"/>
    <m/>
    <m/>
    <m/>
    <m/>
    <d v="2019-05-13T00:00:00"/>
    <n v="10200"/>
    <m/>
    <m/>
    <m/>
    <m/>
    <m/>
    <m/>
    <n v="10200"/>
    <n v="0"/>
    <n v="0"/>
  </r>
  <r>
    <s v="171B/2019"/>
    <d v="2019-04-20T00:00:00"/>
    <s v="THANH THÚY"/>
    <s v="TA05"/>
    <x v="103"/>
    <x v="140"/>
    <s v="LODI"/>
    <m/>
    <s v="16.18"/>
    <s v="200"/>
    <s v="NL2018"/>
    <m/>
    <n v="24"/>
    <n v="4800"/>
    <x v="34"/>
    <n v="34080000"/>
    <x v="0"/>
    <d v="2019-03-18T00:00:00"/>
    <d v="2019-04-22T00:00:00"/>
    <d v="2019-04-22T00:00:00"/>
    <m/>
    <m/>
    <m/>
    <m/>
    <d v="2019-04-22T00:00:00"/>
    <n v="4800"/>
    <m/>
    <m/>
    <m/>
    <m/>
    <m/>
    <m/>
    <n v="4800"/>
    <n v="0"/>
    <n v="0"/>
  </r>
  <r>
    <s v="171B/2019"/>
    <d v="2019-04-20T00:00:00"/>
    <s v="THANH THÚY"/>
    <s v="TA05"/>
    <x v="103"/>
    <x v="22"/>
    <s v="ROBINA"/>
    <m/>
    <s v="16.18"/>
    <s v="200"/>
    <s v="NL2018"/>
    <m/>
    <n v="50"/>
    <n v="10000"/>
    <x v="55"/>
    <n v="53000000"/>
    <x v="0"/>
    <d v="2019-03-18T00:00:00"/>
    <d v="2019-04-22T00:00:00"/>
    <d v="2019-04-22T00:00:00"/>
    <m/>
    <m/>
    <m/>
    <m/>
    <d v="2019-04-23T00:00:00"/>
    <n v="10000"/>
    <m/>
    <m/>
    <m/>
    <m/>
    <m/>
    <m/>
    <n v="10000"/>
    <n v="0"/>
    <n v="0"/>
  </r>
  <r>
    <s v="171B/2019"/>
    <d v="2019-04-20T00:00:00"/>
    <s v="THANH THÚY"/>
    <s v="TA05"/>
    <x v="103"/>
    <x v="103"/>
    <s v="LARGO"/>
    <m/>
    <s v="16.18"/>
    <s v="200"/>
    <s v="NL2018"/>
    <m/>
    <n v="50"/>
    <n v="10000"/>
    <x v="26"/>
    <n v="58000000"/>
    <x v="4"/>
    <d v="2019-04-29T00:00:00"/>
    <d v="2019-06-02T00:00:00"/>
    <d v="2019-06-02T00:00:00"/>
    <s v="29/4AL"/>
    <m/>
    <m/>
    <m/>
    <m/>
    <m/>
    <m/>
    <m/>
    <m/>
    <m/>
    <m/>
    <m/>
    <n v="0"/>
    <n v="10000"/>
    <n v="58000000"/>
  </r>
  <r>
    <s v="171B/2019"/>
    <d v="2019-06-14T00:00:00"/>
    <s v="THANH THÚY"/>
    <s v="TA05"/>
    <x v="103"/>
    <x v="57"/>
    <s v="DALIAN"/>
    <m/>
    <s v="14.16"/>
    <s v="300"/>
    <s v="NL2018"/>
    <m/>
    <n v="33"/>
    <n v="9900"/>
    <x v="44"/>
    <n v="54450000"/>
    <x v="0"/>
    <m/>
    <m/>
    <m/>
    <m/>
    <m/>
    <m/>
    <m/>
    <d v="2019-06-14T00:00:00"/>
    <n v="9900"/>
    <m/>
    <m/>
    <m/>
    <m/>
    <m/>
    <m/>
    <n v="9900"/>
    <n v="0"/>
    <n v="0"/>
  </r>
  <r>
    <s v="172B/2019"/>
    <d v="2019-04-20T00:00:00"/>
    <s v="THANH THÚY"/>
    <s v="TA05"/>
    <x v="103"/>
    <x v="71"/>
    <s v="CONCADOR"/>
    <m/>
    <s v="24+"/>
    <s v="75"/>
    <s v="NL2018"/>
    <m/>
    <n v="133.33333333333334"/>
    <n v="10000"/>
    <x v="38"/>
    <n v="152000000"/>
    <x v="2"/>
    <d v="2019-09-01T00:00:00"/>
    <d v="2019-09-29T00:00:00"/>
    <d v="2019-09-29T00:00:00"/>
    <s v="TẾT"/>
    <m/>
    <m/>
    <m/>
    <m/>
    <m/>
    <m/>
    <m/>
    <m/>
    <m/>
    <m/>
    <m/>
    <n v="0"/>
    <n v="10000"/>
    <n v="152000000"/>
  </r>
  <r>
    <s v="172B/2019"/>
    <d v="2019-04-20T00:00:00"/>
    <s v="THANH THÚY"/>
    <s v="TA05"/>
    <x v="103"/>
    <x v="104"/>
    <s v="LARGO"/>
    <m/>
    <s v="22.24"/>
    <s v="100"/>
    <s v="NL2018"/>
    <m/>
    <n v="200"/>
    <n v="20000"/>
    <x v="104"/>
    <n v="230000000"/>
    <x v="2"/>
    <d v="2019-09-01T00:00:00"/>
    <d v="2019-09-29T00:00:00"/>
    <d v="2019-09-29T00:00:00"/>
    <s v="TẾT"/>
    <m/>
    <m/>
    <m/>
    <m/>
    <m/>
    <m/>
    <m/>
    <m/>
    <m/>
    <m/>
    <m/>
    <n v="0"/>
    <n v="20000"/>
    <n v="230000000"/>
  </r>
  <r>
    <s v="172B/2019"/>
    <d v="2019-04-20T00:00:00"/>
    <s v="THANH THÚY"/>
    <s v="TA05"/>
    <x v="103"/>
    <x v="171"/>
    <s v="THALITA"/>
    <s v="RL"/>
    <s v="14.16"/>
    <s v="300"/>
    <s v="NL2018"/>
    <m/>
    <n v="7"/>
    <n v="2100"/>
    <x v="160"/>
    <n v="29190000"/>
    <x v="2"/>
    <d v="2019-09-01T00:00:00"/>
    <d v="2019-09-29T00:00:00"/>
    <d v="2019-09-29T00:00:00"/>
    <s v="TẾT"/>
    <m/>
    <m/>
    <m/>
    <m/>
    <m/>
    <m/>
    <m/>
    <m/>
    <m/>
    <m/>
    <m/>
    <n v="0"/>
    <n v="2100"/>
    <n v="29190000"/>
  </r>
  <r>
    <s v="137A/2019"/>
    <d v="2019-03-05T00:00:00"/>
    <s v="KIỀU THY"/>
    <s v="NH03"/>
    <x v="104"/>
    <x v="6"/>
    <s v="CONCADOR"/>
    <m/>
    <s v="20.22"/>
    <n v="125"/>
    <s v="NL2018"/>
    <m/>
    <n v="0"/>
    <n v="0"/>
    <x v="59"/>
    <n v="0"/>
    <x v="1"/>
    <d v="2019-09-01T00:00:00"/>
    <d v="2019-09-29T00:00:00"/>
    <d v="2019-09-29T00:00:00"/>
    <s v="TẾT"/>
    <m/>
    <m/>
    <m/>
    <m/>
    <m/>
    <m/>
    <m/>
    <m/>
    <m/>
    <m/>
    <m/>
    <n v="0"/>
    <n v="0"/>
    <n v="0"/>
  </r>
  <r>
    <s v="137A/2019"/>
    <d v="2019-03-05T00:00:00"/>
    <s v="KIỀU THY"/>
    <s v="NH03"/>
    <x v="104"/>
    <x v="26"/>
    <s v="ROBINA"/>
    <m/>
    <s v="22.24"/>
    <n v="100"/>
    <s v="NL2018"/>
    <m/>
    <n v="0"/>
    <n v="0"/>
    <x v="29"/>
    <n v="0"/>
    <x v="1"/>
    <d v="2019-09-01T00:00:00"/>
    <d v="2019-09-29T00:00:00"/>
    <d v="2019-09-29T00:00:00"/>
    <s v="TẾT"/>
    <m/>
    <m/>
    <m/>
    <m/>
    <m/>
    <m/>
    <m/>
    <m/>
    <m/>
    <m/>
    <m/>
    <n v="0"/>
    <n v="0"/>
    <n v="0"/>
  </r>
  <r>
    <s v="88A/2019"/>
    <d v="2019-03-05T00:00:00"/>
    <s v="KIỀU THY"/>
    <s v="NH03"/>
    <x v="104"/>
    <x v="10"/>
    <s v="ARVANDRUD"/>
    <m/>
    <s v="16.18"/>
    <n v="200"/>
    <s v="NL2018"/>
    <m/>
    <n v="10"/>
    <n v="2000"/>
    <x v="44"/>
    <n v="11000000"/>
    <x v="0"/>
    <d v="2019-03-15T00:00:00"/>
    <d v="2019-04-19T00:00:00"/>
    <d v="2019-04-19T00:00:00"/>
    <s v="15/3AL"/>
    <s v="CONT 22/2019"/>
    <d v="2019-04-14T00:00:00"/>
    <m/>
    <d v="2019-04-29T00:00:00"/>
    <n v="2000"/>
    <m/>
    <m/>
    <m/>
    <m/>
    <m/>
    <m/>
    <n v="2000"/>
    <n v="0"/>
    <n v="0"/>
  </r>
  <r>
    <s v="88A/2019"/>
    <d v="2019-03-05T00:00:00"/>
    <s v="KIỀU THY"/>
    <s v="NH03"/>
    <x v="104"/>
    <x v="15"/>
    <s v="CONCADOR"/>
    <m/>
    <s v="16.18"/>
    <n v="200"/>
    <s v="NL2018"/>
    <m/>
    <n v="25"/>
    <n v="5000"/>
    <x v="18"/>
    <n v="25000000"/>
    <x v="0"/>
    <d v="2019-03-15T00:00:00"/>
    <d v="2019-04-19T00:00:00"/>
    <d v="2019-04-19T00:00:00"/>
    <s v="15/3AL"/>
    <s v="CONT 21/2019"/>
    <d v="2019-04-14T00:00:00"/>
    <m/>
    <d v="2019-04-22T00:00:00"/>
    <n v="5000"/>
    <m/>
    <m/>
    <m/>
    <m/>
    <m/>
    <m/>
    <n v="5000"/>
    <n v="0"/>
    <n v="0"/>
  </r>
  <r>
    <s v="88A/2019"/>
    <d v="2019-03-05T00:00:00"/>
    <s v="KIỀU THY"/>
    <s v="NH03"/>
    <x v="104"/>
    <x v="28"/>
    <s v="YELLOWEEN"/>
    <m/>
    <s v="14.16"/>
    <n v="300"/>
    <s v="NL2018"/>
    <m/>
    <n v="10"/>
    <n v="3000"/>
    <x v="6"/>
    <n v="11400000"/>
    <x v="0"/>
    <d v="2019-03-15T00:00:00"/>
    <d v="2019-04-19T00:00:00"/>
    <d v="2019-04-19T00:00:00"/>
    <s v="15/3AL"/>
    <s v="CONT 20/2019"/>
    <d v="2019-04-14T00:00:00"/>
    <m/>
    <d v="2019-06-03T00:00:00"/>
    <n v="3000"/>
    <m/>
    <m/>
    <m/>
    <m/>
    <m/>
    <m/>
    <n v="3000"/>
    <n v="0"/>
    <n v="0"/>
  </r>
  <r>
    <s v="88A/2019"/>
    <d v="2019-03-05T00:00:00"/>
    <s v="KIỀU THY"/>
    <s v="NH03"/>
    <x v="104"/>
    <x v="10"/>
    <s v="ARVANDRUD"/>
    <m/>
    <s v="16.18"/>
    <n v="200"/>
    <s v="NL2018"/>
    <m/>
    <n v="15"/>
    <n v="3000"/>
    <x v="44"/>
    <n v="16500000"/>
    <x v="0"/>
    <d v="2019-04-17T00:00:00"/>
    <d v="2019-05-21T00:00:00"/>
    <d v="2019-05-21T00:00:00"/>
    <s v="30/3AL"/>
    <m/>
    <m/>
    <m/>
    <d v="2019-06-03T00:00:00"/>
    <n v="3000"/>
    <m/>
    <m/>
    <m/>
    <m/>
    <m/>
    <m/>
    <n v="3000"/>
    <n v="0"/>
    <n v="0"/>
  </r>
  <r>
    <s v="88A/2019"/>
    <d v="2019-03-05T00:00:00"/>
    <s v="KIỀU THY"/>
    <s v="NH03"/>
    <x v="104"/>
    <x v="15"/>
    <s v="CONCADOR"/>
    <m/>
    <s v="16.18"/>
    <n v="200"/>
    <s v="NL2018"/>
    <m/>
    <n v="0"/>
    <n v="0"/>
    <x v="46"/>
    <n v="0"/>
    <x v="1"/>
    <d v="2019-04-17T00:00:00"/>
    <d v="2019-05-21T00:00:00"/>
    <d v="2019-05-21T00:00:00"/>
    <s v="30/3AL"/>
    <m/>
    <m/>
    <m/>
    <m/>
    <m/>
    <m/>
    <m/>
    <m/>
    <m/>
    <m/>
    <m/>
    <n v="0"/>
    <n v="0"/>
    <n v="0"/>
  </r>
  <r>
    <s v="88A/2019"/>
    <d v="2019-03-05T00:00:00"/>
    <s v="KIỀU THY"/>
    <s v="NH03"/>
    <x v="104"/>
    <x v="28"/>
    <s v="YELLOWEEN"/>
    <m/>
    <s v="14.16"/>
    <n v="300"/>
    <s v="NL2018"/>
    <m/>
    <n v="10"/>
    <n v="3000"/>
    <x v="6"/>
    <n v="11400000"/>
    <x v="0"/>
    <d v="2019-04-17T00:00:00"/>
    <d v="2019-05-21T00:00:00"/>
    <d v="2019-05-21T00:00:00"/>
    <s v="30/3AL"/>
    <m/>
    <m/>
    <m/>
    <d v="2019-04-29T00:00:00"/>
    <n v="3000"/>
    <m/>
    <m/>
    <m/>
    <m/>
    <m/>
    <m/>
    <n v="3000"/>
    <n v="0"/>
    <n v="0"/>
  </r>
  <r>
    <s v="245/2019"/>
    <d v="2019-06-14T00:00:00"/>
    <s v="KIỀU THY"/>
    <s v="HN06"/>
    <x v="105"/>
    <x v="63"/>
    <s v="MANISSA"/>
    <m/>
    <s v="24.26"/>
    <s v="80"/>
    <s v="NL2018"/>
    <m/>
    <n v="5"/>
    <n v="400"/>
    <x v="50"/>
    <n v="6480000"/>
    <x v="2"/>
    <d v="2019-09-01T00:00:00"/>
    <d v="2019-09-29T00:00:00"/>
    <d v="2019-09-29T00:00:00"/>
    <m/>
    <m/>
    <m/>
    <m/>
    <m/>
    <m/>
    <m/>
    <m/>
    <m/>
    <m/>
    <m/>
    <m/>
    <n v="0"/>
    <n v="400"/>
    <n v="6480000"/>
  </r>
  <r>
    <s v="245/2019"/>
    <d v="2019-06-14T00:00:00"/>
    <s v="KIỀU THY"/>
    <s v="HN06"/>
    <x v="105"/>
    <x v="172"/>
    <s v="ROBINA"/>
    <m/>
    <s v="24+"/>
    <s v="75"/>
    <s v="NL2018"/>
    <m/>
    <n v="11"/>
    <n v="825"/>
    <x v="52"/>
    <n v="12622500"/>
    <x v="2"/>
    <d v="2019-09-01T00:00:00"/>
    <d v="2019-09-29T00:00:00"/>
    <d v="2019-09-29T00:00:00"/>
    <m/>
    <m/>
    <m/>
    <m/>
    <m/>
    <m/>
    <m/>
    <m/>
    <m/>
    <m/>
    <m/>
    <m/>
    <n v="0"/>
    <n v="825"/>
    <n v="12622500"/>
  </r>
  <r>
    <s v="231/2019"/>
    <d v="2019-05-30T00:00:00"/>
    <s v="KIỀU THY"/>
    <s v="LH01"/>
    <x v="106"/>
    <x v="6"/>
    <s v="CONCADOR"/>
    <m/>
    <s v="20.22"/>
    <s v="125"/>
    <s v="NL2018"/>
    <m/>
    <n v="0"/>
    <n v="0"/>
    <x v="7"/>
    <n v="0"/>
    <x v="1"/>
    <d v="2019-09-01T00:00:00"/>
    <s v=""/>
    <s v=""/>
    <m/>
    <m/>
    <m/>
    <m/>
    <m/>
    <m/>
    <m/>
    <m/>
    <m/>
    <m/>
    <m/>
    <m/>
    <n v="0"/>
    <n v="0"/>
    <n v="0"/>
  </r>
  <r>
    <s v="231/2019"/>
    <d v="2019-05-30T00:00:00"/>
    <s v="KIỀU THY"/>
    <s v="LH01"/>
    <x v="106"/>
    <x v="46"/>
    <s v="CONCADOR"/>
    <m/>
    <s v="22.24"/>
    <s v="100"/>
    <s v="NL2018"/>
    <m/>
    <n v="0"/>
    <n v="0"/>
    <x v="29"/>
    <n v="0"/>
    <x v="1"/>
    <d v="2019-09-01T00:00:00"/>
    <s v=""/>
    <s v=""/>
    <m/>
    <m/>
    <m/>
    <m/>
    <m/>
    <m/>
    <m/>
    <m/>
    <m/>
    <m/>
    <m/>
    <m/>
    <n v="0"/>
    <n v="0"/>
    <n v="0"/>
  </r>
  <r>
    <s v="231/2019"/>
    <d v="2019-05-30T00:00:00"/>
    <s v="KIỀU THY"/>
    <s v="LH01"/>
    <x v="106"/>
    <x v="16"/>
    <s v="ROBINA"/>
    <m/>
    <s v="20.22"/>
    <s v="125"/>
    <s v="NL2018"/>
    <m/>
    <n v="0"/>
    <n v="0"/>
    <x v="16"/>
    <n v="0"/>
    <x v="1"/>
    <d v="2019-09-01T00:00:00"/>
    <s v=""/>
    <s v=""/>
    <m/>
    <m/>
    <m/>
    <m/>
    <m/>
    <m/>
    <m/>
    <m/>
    <m/>
    <m/>
    <m/>
    <m/>
    <n v="0"/>
    <n v="0"/>
    <n v="0"/>
  </r>
  <r>
    <s v="231/2019"/>
    <d v="2019-05-30T00:00:00"/>
    <s v="KIỀU THY"/>
    <s v="LH01"/>
    <x v="106"/>
    <x v="26"/>
    <s v="ROBINA"/>
    <m/>
    <s v="22.24"/>
    <s v="100"/>
    <s v="NL2018"/>
    <m/>
    <n v="0"/>
    <n v="0"/>
    <x v="29"/>
    <n v="0"/>
    <x v="1"/>
    <d v="2019-09-01T00:00:00"/>
    <s v=""/>
    <s v=""/>
    <m/>
    <m/>
    <m/>
    <m/>
    <m/>
    <m/>
    <m/>
    <m/>
    <m/>
    <m/>
    <m/>
    <m/>
    <n v="0"/>
    <n v="0"/>
    <n v="0"/>
  </r>
  <r>
    <s v="231/2019"/>
    <d v="2019-05-30T00:00:00"/>
    <s v="KIỀU THY"/>
    <s v="LH01"/>
    <x v="106"/>
    <x v="108"/>
    <s v="ROBINA NEWZELAND"/>
    <m/>
    <s v="20.22"/>
    <s v="125"/>
    <s v="NZ2019"/>
    <m/>
    <n v="64"/>
    <n v="8000"/>
    <x v="29"/>
    <n v="100000000"/>
    <x v="2"/>
    <d v="2019-09-01T00:00:00"/>
    <s v=""/>
    <s v=""/>
    <m/>
    <m/>
    <m/>
    <m/>
    <m/>
    <m/>
    <m/>
    <m/>
    <m/>
    <m/>
    <m/>
    <m/>
    <n v="0"/>
    <n v="8000"/>
    <n v="100000000"/>
  </r>
  <r>
    <s v="231/2019"/>
    <d v="2019-05-30T00:00:00"/>
    <s v="KIỀU THY"/>
    <s v="LH01"/>
    <x v="106"/>
    <x v="109"/>
    <s v="ROBINA NEWZELAND"/>
    <m/>
    <s v="22.24"/>
    <s v="100"/>
    <s v="NZ2019"/>
    <m/>
    <n v="70"/>
    <n v="7000"/>
    <x v="40"/>
    <n v="91000000"/>
    <x v="2"/>
    <d v="2019-09-01T00:00:00"/>
    <s v=""/>
    <s v=""/>
    <m/>
    <m/>
    <m/>
    <m/>
    <m/>
    <m/>
    <m/>
    <m/>
    <m/>
    <m/>
    <m/>
    <m/>
    <n v="0"/>
    <n v="7000"/>
    <n v="91000000"/>
  </r>
  <r>
    <s v="231/2019"/>
    <d v="2019-06-03T00:00:00"/>
    <s v="KIỀU THY"/>
    <s v="LH01"/>
    <x v="106"/>
    <x v="25"/>
    <s v="CONCADOR"/>
    <m/>
    <s v="18.20"/>
    <s v="150"/>
    <s v="NL2018"/>
    <m/>
    <n v="34"/>
    <n v="5100"/>
    <x v="27"/>
    <n v="40800000"/>
    <x v="2"/>
    <d v="2019-09-01T00:00:00"/>
    <s v=""/>
    <s v=""/>
    <m/>
    <m/>
    <m/>
    <m/>
    <m/>
    <m/>
    <m/>
    <m/>
    <m/>
    <m/>
    <m/>
    <m/>
    <n v="0"/>
    <n v="5100"/>
    <n v="40800000"/>
  </r>
  <r>
    <s v="231/2019"/>
    <d v="2019-06-03T00:00:00"/>
    <s v="KIỀU THY"/>
    <s v="LH01"/>
    <x v="106"/>
    <x v="110"/>
    <s v="CONCADOR"/>
    <m/>
    <s v="20.22"/>
    <s v="125"/>
    <s v="NZ2019"/>
    <m/>
    <n v="200"/>
    <n v="25000"/>
    <x v="53"/>
    <n v="300000000"/>
    <x v="2"/>
    <d v="2019-09-01T00:00:00"/>
    <s v=""/>
    <s v=""/>
    <m/>
    <m/>
    <m/>
    <m/>
    <m/>
    <m/>
    <m/>
    <m/>
    <m/>
    <m/>
    <m/>
    <m/>
    <n v="0"/>
    <n v="25000"/>
    <n v="300000000"/>
  </r>
  <r>
    <s v="190A/2019"/>
    <d v="2019-04-12T00:00:00"/>
    <s v="KIỀU THY"/>
    <s v="DH01"/>
    <x v="107"/>
    <x v="164"/>
    <s v="FELINO"/>
    <m/>
    <s v="16.18"/>
    <n v="200"/>
    <s v="NL2018"/>
    <m/>
    <n v="8"/>
    <n v="1600"/>
    <x v="166"/>
    <n v="11840000"/>
    <x v="0"/>
    <d v="2019-03-15T00:00:00"/>
    <d v="2019-04-19T00:00:00"/>
    <d v="2019-04-19T00:00:00"/>
    <s v="15/3AL"/>
    <m/>
    <m/>
    <m/>
    <d v="2019-04-20T00:00:00"/>
    <n v="800"/>
    <d v="2019-05-24T00:00:00"/>
    <n v="800"/>
    <m/>
    <m/>
    <m/>
    <m/>
    <n v="1600"/>
    <n v="0"/>
    <n v="0"/>
  </r>
  <r>
    <s v="49A/2019"/>
    <d v="2019-02-14T00:00:00"/>
    <s v="KIỀU THY"/>
    <s v="DH01"/>
    <x v="107"/>
    <x v="47"/>
    <s v="ROBINA"/>
    <m/>
    <s v="18.20"/>
    <n v="150"/>
    <s v="NL2018"/>
    <m/>
    <n v="7"/>
    <n v="1050"/>
    <x v="42"/>
    <n v="6615000"/>
    <x v="0"/>
    <d v="2019-02-15T00:00:00"/>
    <d v="2019-03-20T00:00:00"/>
    <d v="2019-03-20T00:00:00"/>
    <s v="15/2AL"/>
    <s v="CONT 10/2019"/>
    <d v="2019-03-17T00:00:00"/>
    <s v="R"/>
    <d v="2019-03-19T00:00:00"/>
    <n v="1050"/>
    <m/>
    <m/>
    <m/>
    <m/>
    <m/>
    <m/>
    <n v="1050"/>
    <n v="0"/>
    <n v="0"/>
  </r>
  <r>
    <s v="238/2019"/>
    <d v="2019-06-03T00:00:00"/>
    <s v="KIỀU THY"/>
    <s v="DH01"/>
    <x v="107"/>
    <x v="36"/>
    <s v="MANISSA"/>
    <m/>
    <s v="20.22"/>
    <n v="125"/>
    <s v="NL2018"/>
    <m/>
    <n v="16"/>
    <n v="2000"/>
    <x v="167"/>
    <n v="29200000"/>
    <x v="2"/>
    <d v="2019-09-01T00:00:00"/>
    <d v="2019-09-29T00:00:00"/>
    <d v="2019-09-29T00:00:00"/>
    <m/>
    <m/>
    <m/>
    <m/>
    <m/>
    <m/>
    <m/>
    <m/>
    <m/>
    <m/>
    <m/>
    <m/>
    <n v="0"/>
    <n v="2000"/>
    <n v="29200000"/>
  </r>
  <r>
    <s v="238/2019"/>
    <d v="2019-06-03T00:00:00"/>
    <s v="KIỀU THY"/>
    <s v="DH01"/>
    <x v="107"/>
    <x v="16"/>
    <s v="ROBINA"/>
    <m/>
    <s v="20.22"/>
    <n v="125"/>
    <s v="NL2018"/>
    <m/>
    <n v="8"/>
    <n v="1000"/>
    <x v="168"/>
    <n v="11700000"/>
    <x v="2"/>
    <d v="2019-09-01T00:00:00"/>
    <d v="2019-09-29T00:00:00"/>
    <d v="2019-09-29T00:00:00"/>
    <m/>
    <m/>
    <m/>
    <m/>
    <m/>
    <m/>
    <m/>
    <m/>
    <m/>
    <m/>
    <m/>
    <m/>
    <n v="0"/>
    <n v="1000"/>
    <n v="11700000"/>
  </r>
  <r>
    <s v="238/2019"/>
    <d v="2019-06-14T00:00:00"/>
    <s v="KIỀU THY"/>
    <s v="DH01"/>
    <x v="107"/>
    <x v="21"/>
    <s v="SERANO"/>
    <m/>
    <s v="18.20"/>
    <n v="150"/>
    <s v="NL2018"/>
    <m/>
    <n v="14"/>
    <n v="2100"/>
    <x v="5"/>
    <n v="16170000"/>
    <x v="2"/>
    <d v="2019-09-01T00:00:00"/>
    <d v="2019-09-29T00:00:00"/>
    <d v="2019-09-29T00:00:00"/>
    <m/>
    <m/>
    <m/>
    <m/>
    <m/>
    <m/>
    <m/>
    <m/>
    <m/>
    <m/>
    <m/>
    <m/>
    <n v="0"/>
    <n v="2100"/>
    <n v="16170000"/>
  </r>
  <r>
    <s v="236/2019"/>
    <d v="2019-06-01T00:00:00"/>
    <s v="KIỀU THY"/>
    <s v="LB01"/>
    <x v="108"/>
    <x v="25"/>
    <s v="CONCADOR"/>
    <m/>
    <s v="18.20"/>
    <s v="150"/>
    <s v="NL2018"/>
    <m/>
    <n v="34"/>
    <n v="5100"/>
    <x v="27"/>
    <n v="40800000"/>
    <x v="2"/>
    <d v="2019-09-01T00:00:00"/>
    <d v="2019-09-29T00:00:00"/>
    <d v="2019-09-29T00:00:00"/>
    <m/>
    <m/>
    <m/>
    <m/>
    <m/>
    <m/>
    <m/>
    <m/>
    <m/>
    <m/>
    <m/>
    <m/>
    <n v="0"/>
    <n v="5100"/>
    <n v="40800000"/>
  </r>
  <r>
    <s v="236/2019"/>
    <d v="2019-06-01T00:00:00"/>
    <s v="KIỀU THY"/>
    <s v="LB01"/>
    <x v="108"/>
    <x v="6"/>
    <s v="CONCADOR"/>
    <m/>
    <s v="20.22"/>
    <s v="125"/>
    <s v="NL2018"/>
    <m/>
    <n v="80"/>
    <n v="10000"/>
    <x v="7"/>
    <n v="106000000"/>
    <x v="2"/>
    <d v="2019-09-01T00:00:00"/>
    <d v="2019-09-29T00:00:00"/>
    <d v="2019-09-29T00:00:00"/>
    <m/>
    <m/>
    <m/>
    <m/>
    <m/>
    <m/>
    <m/>
    <m/>
    <m/>
    <m/>
    <m/>
    <m/>
    <n v="0"/>
    <n v="10000"/>
    <n v="106000000"/>
  </r>
  <r>
    <s v="236/2019"/>
    <d v="2019-06-01T00:00:00"/>
    <s v="KIỀU THY"/>
    <s v="LB01"/>
    <x v="108"/>
    <x v="110"/>
    <s v="CONCADOR NEWZELAND"/>
    <m/>
    <s v="20.22"/>
    <s v="125"/>
    <s v="NZ2019"/>
    <m/>
    <n v="40"/>
    <n v="5000"/>
    <x v="53"/>
    <n v="60000000"/>
    <x v="2"/>
    <d v="2019-09-01T00:00:00"/>
    <d v="2019-09-29T00:00:00"/>
    <d v="2019-09-29T00:00:00"/>
    <m/>
    <m/>
    <m/>
    <m/>
    <m/>
    <m/>
    <m/>
    <m/>
    <m/>
    <m/>
    <m/>
    <m/>
    <n v="0"/>
    <n v="5000"/>
    <n v="60000000"/>
  </r>
  <r>
    <s v="28A/2019"/>
    <d v="2019-01-15T00:00:00"/>
    <s v="KIỀU THY"/>
    <s v="VH05"/>
    <x v="109"/>
    <x v="15"/>
    <s v="CONCADOR "/>
    <m/>
    <s v="16.18"/>
    <n v="200"/>
    <s v="NL2018"/>
    <m/>
    <n v="54"/>
    <n v="10800"/>
    <x v="0"/>
    <n v="50760000"/>
    <x v="0"/>
    <d v="2019-01-15T00:00:00"/>
    <d v="2019-02-19T00:00:00"/>
    <d v="2019-02-19T00:00:00"/>
    <m/>
    <m/>
    <m/>
    <s v="R"/>
    <d v="2019-02-19T00:00:00"/>
    <n v="3000"/>
    <d v="2019-03-05T00:00:00"/>
    <n v="7800"/>
    <m/>
    <m/>
    <m/>
    <m/>
    <n v="10800"/>
    <n v="0"/>
    <n v="0"/>
  </r>
  <r>
    <s v="28A/2019"/>
    <d v="2019-01-15T00:00:00"/>
    <s v="KIỀU THY"/>
    <s v="VH05"/>
    <x v="109"/>
    <x v="73"/>
    <s v="YELLOWEEN"/>
    <m/>
    <s v="14.16"/>
    <n v="300"/>
    <s v="NL2017"/>
    <m/>
    <n v="18"/>
    <n v="5400"/>
    <x v="17"/>
    <n v="16200000"/>
    <x v="0"/>
    <d v="2019-02-07T00:00:00"/>
    <d v="2019-03-12T00:00:00"/>
    <d v="2019-03-12T00:00:00"/>
    <m/>
    <s v="CONT 87/2018"/>
    <m/>
    <m/>
    <d v="2019-03-12T00:00:00"/>
    <n v="2100"/>
    <d v="2019-03-16T00:00:00"/>
    <n v="300"/>
    <d v="2019-03-25T00:00:00"/>
    <n v="3000"/>
    <m/>
    <m/>
    <n v="5400"/>
    <n v="0"/>
    <n v="0"/>
  </r>
  <r>
    <s v="28A/2019"/>
    <d v="2019-01-15T00:00:00"/>
    <s v="KIỀU THY"/>
    <s v="VH05"/>
    <x v="109"/>
    <x v="22"/>
    <s v="ROBINA"/>
    <m/>
    <s v="16.18"/>
    <n v="200"/>
    <s v="NL2018"/>
    <m/>
    <n v="50"/>
    <n v="10000"/>
    <x v="23"/>
    <n v="48000000"/>
    <x v="0"/>
    <d v="2019-02-15T00:00:00"/>
    <d v="2019-03-20T00:00:00"/>
    <d v="2019-03-20T00:00:00"/>
    <m/>
    <s v="CONT 11/2019"/>
    <d v="2019-03-17T00:00:00"/>
    <s v="R"/>
    <d v="2019-03-19T00:00:00"/>
    <n v="5000"/>
    <d v="2019-04-02T00:00:00"/>
    <n v="5000"/>
    <m/>
    <m/>
    <m/>
    <m/>
    <n v="10000"/>
    <n v="0"/>
    <n v="0"/>
  </r>
  <r>
    <s v="155A/2019"/>
    <d v="2019-03-29T00:00:00"/>
    <s v="KIỀU THY"/>
    <s v="VH05"/>
    <x v="109"/>
    <x v="11"/>
    <s v="YELLOWEEN"/>
    <m/>
    <s v="12.14"/>
    <n v="400"/>
    <s v="NL2018"/>
    <m/>
    <n v="22"/>
    <n v="8800"/>
    <x v="47"/>
    <n v="23760000"/>
    <x v="0"/>
    <d v="2019-03-15T00:00:00"/>
    <d v="2019-04-19T00:00:00"/>
    <d v="2019-04-19T00:00:00"/>
    <s v="Chia làm 3 cử"/>
    <m/>
    <m/>
    <m/>
    <d v="2019-04-26T00:00:00"/>
    <n v="4000"/>
    <d v="2019-05-02T00:00:00"/>
    <n v="1200"/>
    <d v="2019-05-27T00:00:00"/>
    <n v="3600"/>
    <m/>
    <m/>
    <n v="8800"/>
    <n v="0"/>
    <n v="0"/>
  </r>
  <r>
    <s v="28A/2019"/>
    <d v="2019-01-15T00:00:00"/>
    <s v="KIỀU THY"/>
    <s v="VH05"/>
    <x v="109"/>
    <x v="15"/>
    <s v="CONCADOR "/>
    <m/>
    <s v="16.18"/>
    <n v="200"/>
    <s v="NL2018"/>
    <m/>
    <n v="25"/>
    <n v="5000"/>
    <x v="18"/>
    <n v="25000000"/>
    <x v="0"/>
    <d v="2019-03-15T00:00:00"/>
    <d v="2019-04-19T00:00:00"/>
    <d v="2019-04-19T00:00:00"/>
    <m/>
    <s v="CONT 22/2019"/>
    <d v="2019-04-14T00:00:00"/>
    <s v="R"/>
    <d v="2019-04-26T00:00:00"/>
    <n v="2000"/>
    <d v="2019-05-09T00:00:00"/>
    <n v="3000"/>
    <m/>
    <m/>
    <m/>
    <m/>
    <n v="5000"/>
    <n v="0"/>
    <n v="0"/>
  </r>
  <r>
    <s v="155A/2019"/>
    <d v="2019-03-29T00:00:00"/>
    <s v="KIỀU THY"/>
    <s v="VH05"/>
    <x v="109"/>
    <x v="22"/>
    <s v="ROBINA"/>
    <m/>
    <s v="16.18"/>
    <n v="200"/>
    <s v="NL2018"/>
    <m/>
    <n v="70"/>
    <n v="14000"/>
    <x v="11"/>
    <n v="75600000"/>
    <x v="0"/>
    <d v="2019-04-17T00:00:00"/>
    <d v="2019-05-21T00:00:00"/>
    <d v="2019-05-21T00:00:00"/>
    <s v="10/4AL_MỖI CỬ VỀ 7.000/15 NGÀY"/>
    <m/>
    <m/>
    <m/>
    <d v="2019-05-18T00:00:00"/>
    <n v="6000"/>
    <d v="2019-05-22T00:00:00"/>
    <n v="200"/>
    <d v="2019-06-04T00:00:00"/>
    <n v="7800"/>
    <m/>
    <m/>
    <n v="14000"/>
    <n v="0"/>
    <n v="0"/>
  </r>
  <r>
    <s v="155A/2019"/>
    <d v="2019-03-29T00:00:00"/>
    <s v="KIỀU THY"/>
    <s v="VH05"/>
    <x v="109"/>
    <x v="31"/>
    <s v="TARRANGO"/>
    <m/>
    <s v="14.16"/>
    <n v="300"/>
    <s v="NL2018"/>
    <m/>
    <n v="15"/>
    <n v="4500"/>
    <x v="23"/>
    <n v="21600000"/>
    <x v="0"/>
    <d v="2019-04-17T00:00:00"/>
    <d v="2019-05-21T00:00:00"/>
    <d v="2019-05-21T00:00:00"/>
    <s v="10/4AL_MỖI CỬ VỀ 4.500/15 NGÀY"/>
    <m/>
    <m/>
    <m/>
    <d v="2019-06-04T00:00:00"/>
    <n v="3000"/>
    <m/>
    <m/>
    <m/>
    <m/>
    <m/>
    <m/>
    <n v="3000"/>
    <n v="1500"/>
    <n v="7200000"/>
  </r>
  <r>
    <s v="155A/2019"/>
    <d v="2019-05-19T00:00:00"/>
    <s v="KIỀU THY"/>
    <s v="VH05"/>
    <x v="109"/>
    <x v="32"/>
    <s v="BACARDI"/>
    <m/>
    <s v="16.18"/>
    <n v="200"/>
    <s v="NL2018"/>
    <m/>
    <n v="3"/>
    <n v="600"/>
    <x v="33"/>
    <n v="4200000"/>
    <x v="0"/>
    <d v="2019-04-17T00:00:00"/>
    <d v="2019-05-21T00:00:00"/>
    <d v="2019-05-21T00:00:00"/>
    <m/>
    <m/>
    <m/>
    <m/>
    <d v="2019-06-04T00:00:00"/>
    <n v="600"/>
    <m/>
    <m/>
    <m/>
    <m/>
    <m/>
    <m/>
    <n v="600"/>
    <n v="0"/>
    <n v="0"/>
  </r>
  <r>
    <s v="155A/2019"/>
    <d v="2019-05-19T00:00:00"/>
    <s v="KIỀU THY"/>
    <s v="VH05"/>
    <x v="109"/>
    <x v="62"/>
    <s v="BACARDI"/>
    <m/>
    <s v="15.16"/>
    <n v="300"/>
    <s v="NL2018"/>
    <m/>
    <n v="8"/>
    <n v="2400"/>
    <x v="13"/>
    <n v="10800000"/>
    <x v="4"/>
    <d v="2019-04-17T00:00:00"/>
    <d v="2019-05-21T00:00:00"/>
    <d v="2019-05-21T00:00:00"/>
    <m/>
    <m/>
    <m/>
    <m/>
    <d v="2019-06-04T00:00:00"/>
    <n v="300"/>
    <m/>
    <m/>
    <m/>
    <m/>
    <m/>
    <m/>
    <n v="300"/>
    <n v="2100"/>
    <n v="9450000"/>
  </r>
  <r>
    <s v="155A/2019"/>
    <d v="2019-05-19T00:00:00"/>
    <s v="KIỀU THY"/>
    <s v="VH05"/>
    <x v="109"/>
    <x v="61"/>
    <s v="BACARDI"/>
    <m/>
    <s v="15.16"/>
    <n v="250"/>
    <s v="NL2018"/>
    <m/>
    <n v="8"/>
    <n v="2000"/>
    <x v="13"/>
    <n v="9000000"/>
    <x v="0"/>
    <d v="2019-03-15T00:00:00"/>
    <d v="2019-04-19T00:00:00"/>
    <d v="2019-04-19T00:00:00"/>
    <m/>
    <m/>
    <m/>
    <m/>
    <d v="2019-06-04T00:00:00"/>
    <n v="2000"/>
    <m/>
    <m/>
    <m/>
    <m/>
    <m/>
    <m/>
    <n v="2000"/>
    <n v="0"/>
    <n v="0"/>
  </r>
  <r>
    <s v="155A/2019"/>
    <d v="2019-05-19T00:00:00"/>
    <s v="KIỀU THY"/>
    <s v="VH05"/>
    <x v="109"/>
    <x v="173"/>
    <s v="BACARDI"/>
    <m/>
    <s v="18.20"/>
    <n v="150"/>
    <s v="NL2018"/>
    <m/>
    <n v="31"/>
    <n v="4650"/>
    <x v="127"/>
    <n v="41850000"/>
    <x v="2"/>
    <d v="2019-08-30T00:00:00"/>
    <d v="2019-09-28T00:00:00"/>
    <d v="2019-09-28T00:00:00"/>
    <m/>
    <m/>
    <m/>
    <m/>
    <m/>
    <m/>
    <m/>
    <m/>
    <m/>
    <m/>
    <m/>
    <m/>
    <n v="0"/>
    <n v="4650"/>
    <n v="41850000"/>
  </r>
  <r>
    <s v="155A/2019"/>
    <d v="2019-03-29T00:00:00"/>
    <s v="KIỀU THY"/>
    <s v="VH05"/>
    <x v="109"/>
    <x v="22"/>
    <s v="ROBINA"/>
    <m/>
    <s v="16.18"/>
    <n v="200"/>
    <s v="NL2018"/>
    <m/>
    <n v="35"/>
    <n v="7000"/>
    <x v="44"/>
    <n v="38500000"/>
    <x v="4"/>
    <d v="2019-05-05T00:00:00"/>
    <d v="2019-06-07T00:00:00"/>
    <d v="2019-06-07T00:00:00"/>
    <m/>
    <m/>
    <m/>
    <m/>
    <m/>
    <m/>
    <m/>
    <m/>
    <m/>
    <m/>
    <m/>
    <m/>
    <n v="0"/>
    <n v="7000"/>
    <n v="38500000"/>
  </r>
  <r>
    <s v="155A/2019"/>
    <d v="2019-03-29T00:00:00"/>
    <s v="KIỀU THY"/>
    <s v="VH05"/>
    <x v="109"/>
    <x v="31"/>
    <s v="TARRANGO"/>
    <m/>
    <s v="14.16"/>
    <n v="300"/>
    <s v="NL2018"/>
    <m/>
    <n v="30"/>
    <n v="9000"/>
    <x v="23"/>
    <n v="43200000"/>
    <x v="4"/>
    <d v="2019-05-05T00:00:00"/>
    <d v="2019-06-07T00:00:00"/>
    <d v="2019-06-07T00:00:00"/>
    <m/>
    <m/>
    <m/>
    <m/>
    <m/>
    <m/>
    <m/>
    <m/>
    <m/>
    <m/>
    <m/>
    <m/>
    <n v="0"/>
    <n v="9000"/>
    <n v="43200000"/>
  </r>
  <r>
    <s v="155A/2019"/>
    <d v="2019-03-29T00:00:00"/>
    <s v="KIỀU THY"/>
    <s v="VH05"/>
    <x v="109"/>
    <x v="31"/>
    <s v="TARRANGO"/>
    <m/>
    <s v="14.16"/>
    <n v="300"/>
    <s v="NL2018"/>
    <m/>
    <n v="15"/>
    <n v="4500"/>
    <x v="23"/>
    <n v="21600000"/>
    <x v="3"/>
    <d v="2019-05-18T00:00:00"/>
    <d v="2019-06-20T00:00:00"/>
    <d v="2019-06-20T00:00:00"/>
    <m/>
    <m/>
    <m/>
    <m/>
    <m/>
    <m/>
    <m/>
    <m/>
    <m/>
    <m/>
    <m/>
    <m/>
    <n v="0"/>
    <n v="4500"/>
    <n v="21600000"/>
  </r>
  <r>
    <s v="155A/2019"/>
    <d v="2019-03-29T00:00:00"/>
    <s v="KIỀU THY"/>
    <s v="VH05"/>
    <x v="109"/>
    <x v="22"/>
    <s v="ROBINA"/>
    <m/>
    <s v="16.18"/>
    <n v="200"/>
    <s v="NL2018"/>
    <m/>
    <n v="35"/>
    <n v="7000"/>
    <x v="44"/>
    <n v="38500000"/>
    <x v="3"/>
    <d v="2019-05-18T00:00:00"/>
    <d v="2019-06-20T00:00:00"/>
    <d v="2019-06-20T00:00:00"/>
    <m/>
    <m/>
    <m/>
    <m/>
    <m/>
    <m/>
    <m/>
    <m/>
    <m/>
    <m/>
    <m/>
    <m/>
    <n v="0"/>
    <n v="7000"/>
    <n v="38500000"/>
  </r>
  <r>
    <s v="155A/2019"/>
    <d v="2019-03-29T00:00:00"/>
    <s v="KIỀU THY"/>
    <s v="VH05"/>
    <x v="109"/>
    <x v="31"/>
    <s v="TARRANGO"/>
    <m/>
    <s v="14.16"/>
    <n v="300"/>
    <s v="NL2018"/>
    <m/>
    <n v="15"/>
    <n v="4500"/>
    <x v="23"/>
    <n v="21600000"/>
    <x v="3"/>
    <d v="2019-05-30T00:00:00"/>
    <d v="2019-07-02T00:00:00"/>
    <d v="2019-07-02T00:00:00"/>
    <s v="T5/AL"/>
    <m/>
    <m/>
    <m/>
    <m/>
    <m/>
    <m/>
    <m/>
    <m/>
    <m/>
    <m/>
    <m/>
    <n v="0"/>
    <n v="4500"/>
    <n v="21600000"/>
  </r>
  <r>
    <s v="155A/2019"/>
    <d v="2019-03-29T00:00:00"/>
    <s v="KIỀU THY"/>
    <s v="VH05"/>
    <x v="109"/>
    <x v="22"/>
    <s v="ROBINA"/>
    <m/>
    <s v="16.18"/>
    <n v="200"/>
    <s v="NL2018"/>
    <m/>
    <n v="35"/>
    <n v="7000"/>
    <x v="44"/>
    <n v="38500000"/>
    <x v="3"/>
    <d v="2019-06-15T00:00:00"/>
    <d v="2019-07-17T00:00:00"/>
    <d v="2019-07-17T00:00:00"/>
    <m/>
    <m/>
    <m/>
    <m/>
    <m/>
    <m/>
    <m/>
    <m/>
    <m/>
    <m/>
    <m/>
    <m/>
    <n v="0"/>
    <n v="7000"/>
    <n v="38500000"/>
  </r>
  <r>
    <s v="155A/2019"/>
    <d v="2019-03-29T00:00:00"/>
    <s v="KIỀU THY"/>
    <s v="VH05"/>
    <x v="109"/>
    <x v="22"/>
    <s v="ROBINA"/>
    <m/>
    <s v="16.18"/>
    <n v="200"/>
    <s v="NL2018"/>
    <m/>
    <n v="325"/>
    <n v="65000"/>
    <x v="169"/>
    <m/>
    <x v="2"/>
    <d v="2019-07-01T00:00:00"/>
    <d v="2019-08-01T00:00:00"/>
    <d v="2019-08-01T00:00:00"/>
    <s v="T5/AL TRỞ ĐI"/>
    <m/>
    <m/>
    <m/>
    <m/>
    <m/>
    <m/>
    <m/>
    <m/>
    <m/>
    <m/>
    <m/>
    <n v="0"/>
    <n v="65000"/>
    <e v="#VALUE!"/>
  </r>
  <r>
    <s v="158A/2019"/>
    <d v="2019-03-30T00:00:00"/>
    <s v="KIỀU THY"/>
    <s v="VH05"/>
    <x v="109"/>
    <x v="25"/>
    <s v="CONCADOR"/>
    <m/>
    <s v="18.20"/>
    <n v="150"/>
    <s v="NL2018"/>
    <m/>
    <n v="60"/>
    <n v="9000"/>
    <x v="27"/>
    <n v="72000000"/>
    <x v="2"/>
    <d v="2019-09-01T00:00:00"/>
    <d v="2019-09-29T00:00:00"/>
    <d v="2019-09-29T00:00:00"/>
    <s v="TẾT"/>
    <m/>
    <m/>
    <m/>
    <m/>
    <m/>
    <m/>
    <m/>
    <m/>
    <m/>
    <m/>
    <m/>
    <n v="0"/>
    <n v="9000"/>
    <n v="72000000"/>
  </r>
  <r>
    <s v="158A/2019"/>
    <d v="2019-03-30T00:00:00"/>
    <s v="KIỀU THY"/>
    <s v="VH05"/>
    <x v="109"/>
    <x v="47"/>
    <s v="ROBINA"/>
    <m/>
    <s v="18.20"/>
    <n v="150"/>
    <s v="NL2018"/>
    <m/>
    <n v="40"/>
    <n v="6000"/>
    <x v="5"/>
    <n v="46200000"/>
    <x v="2"/>
    <d v="2019-09-01T00:00:00"/>
    <d v="2019-09-29T00:00:00"/>
    <d v="2019-09-29T00:00:00"/>
    <s v="TẾT"/>
    <m/>
    <m/>
    <m/>
    <m/>
    <m/>
    <m/>
    <m/>
    <m/>
    <m/>
    <m/>
    <m/>
    <n v="0"/>
    <n v="6000"/>
    <n v="46200000"/>
  </r>
  <r>
    <s v="158A/2019"/>
    <d v="2019-03-30T00:00:00"/>
    <s v="KIỀU THY"/>
    <s v="VH05"/>
    <x v="109"/>
    <x v="16"/>
    <s v="ROBINA"/>
    <m/>
    <s v="20.22"/>
    <n v="125"/>
    <s v="NL2018"/>
    <m/>
    <n v="32"/>
    <n v="4000"/>
    <x v="16"/>
    <n v="42800000"/>
    <x v="2"/>
    <d v="2019-09-01T00:00:00"/>
    <d v="2019-09-29T00:00:00"/>
    <d v="2019-09-29T00:00:00"/>
    <s v="TẾT"/>
    <m/>
    <m/>
    <m/>
    <m/>
    <m/>
    <m/>
    <m/>
    <m/>
    <m/>
    <m/>
    <m/>
    <n v="0"/>
    <n v="4000"/>
    <n v="42800000"/>
  </r>
  <r>
    <s v="158A/2019"/>
    <d v="2019-03-30T00:00:00"/>
    <s v="KIỀU THY"/>
    <s v="VH05"/>
    <x v="109"/>
    <x v="87"/>
    <s v="PROFUNDO"/>
    <m/>
    <s v="22.24"/>
    <n v="100"/>
    <s v="NL2018"/>
    <m/>
    <n v="30"/>
    <n v="3000"/>
    <x v="167"/>
    <n v="43800000"/>
    <x v="2"/>
    <d v="2019-09-01T00:00:00"/>
    <d v="2019-09-29T00:00:00"/>
    <d v="2019-09-29T00:00:00"/>
    <s v="TẾT"/>
    <m/>
    <m/>
    <m/>
    <m/>
    <m/>
    <m/>
    <m/>
    <m/>
    <m/>
    <m/>
    <m/>
    <n v="0"/>
    <n v="3000"/>
    <n v="43800000"/>
  </r>
  <r>
    <s v="28A/2019"/>
    <d v="2019-01-15T00:00:00"/>
    <s v="KIỀU THY"/>
    <s v="VH05"/>
    <x v="109"/>
    <x v="6"/>
    <s v="CONCADOR"/>
    <m/>
    <s v="20.22"/>
    <n v="125"/>
    <s v="NL2018"/>
    <m/>
    <n v="128"/>
    <n v="16000"/>
    <x v="59"/>
    <n v="168000000"/>
    <x v="2"/>
    <d v="2019-09-01T00:00:00"/>
    <d v="2019-09-29T00:00:00"/>
    <d v="2019-09-29T00:00:00"/>
    <s v="TẾT"/>
    <m/>
    <m/>
    <s v="R"/>
    <m/>
    <n v="0"/>
    <m/>
    <m/>
    <m/>
    <m/>
    <m/>
    <m/>
    <n v="0"/>
    <n v="16000"/>
    <n v="168000000"/>
  </r>
  <r>
    <s v="28A/2019"/>
    <d v="2019-01-15T00:00:00"/>
    <s v="KIỀU THY"/>
    <s v="VH05"/>
    <x v="109"/>
    <x v="46"/>
    <s v="CONCADOR"/>
    <m/>
    <s v="22.24"/>
    <n v="100"/>
    <s v="NL2018"/>
    <m/>
    <n v="50"/>
    <n v="5000"/>
    <x v="29"/>
    <n v="62500000"/>
    <x v="2"/>
    <d v="2019-09-01T00:00:00"/>
    <d v="2019-09-29T00:00:00"/>
    <d v="2019-09-29T00:00:00"/>
    <s v="TẾT"/>
    <m/>
    <m/>
    <s v="R"/>
    <m/>
    <n v="0"/>
    <m/>
    <m/>
    <m/>
    <m/>
    <m/>
    <m/>
    <n v="0"/>
    <n v="5000"/>
    <n v="62500000"/>
  </r>
  <r>
    <s v="28A/2019"/>
    <d v="2019-01-15T00:00:00"/>
    <s v="KIỀU THY"/>
    <s v="VH05"/>
    <x v="109"/>
    <x v="36"/>
    <s v="MANISSA"/>
    <m/>
    <s v="20.22"/>
    <n v="125"/>
    <s v="NL2018"/>
    <m/>
    <n v="40"/>
    <n v="5000"/>
    <x v="37"/>
    <n v="67500000"/>
    <x v="2"/>
    <d v="2019-09-01T00:00:00"/>
    <d v="2019-09-29T00:00:00"/>
    <d v="2019-09-29T00:00:00"/>
    <s v="TẾT"/>
    <m/>
    <m/>
    <s v="R"/>
    <m/>
    <n v="0"/>
    <m/>
    <m/>
    <m/>
    <m/>
    <m/>
    <m/>
    <n v="0"/>
    <n v="5000"/>
    <n v="67500000"/>
  </r>
  <r>
    <s v="28A/2019"/>
    <d v="2019-01-15T00:00:00"/>
    <s v="KIỀU THY"/>
    <s v="VH05"/>
    <x v="109"/>
    <x v="9"/>
    <s v="MANISSA"/>
    <m/>
    <s v="22.24"/>
    <n v="100"/>
    <s v="NL2018"/>
    <m/>
    <n v="30"/>
    <n v="3000"/>
    <x v="38"/>
    <n v="45600000"/>
    <x v="2"/>
    <d v="2019-09-01T00:00:00"/>
    <d v="2019-09-29T00:00:00"/>
    <d v="2019-09-29T00:00:00"/>
    <s v="TẾT"/>
    <m/>
    <m/>
    <s v="R"/>
    <m/>
    <n v="0"/>
    <m/>
    <m/>
    <m/>
    <m/>
    <m/>
    <m/>
    <n v="0"/>
    <n v="3000"/>
    <n v="45600000"/>
  </r>
  <r>
    <s v="28A/2019"/>
    <d v="2019-01-15T00:00:00"/>
    <s v="KIỀU THY"/>
    <s v="VH05"/>
    <x v="109"/>
    <x v="27"/>
    <s v="MANISSA"/>
    <m/>
    <s v="24+"/>
    <n v="75"/>
    <s v="NL2018"/>
    <m/>
    <n v="54"/>
    <n v="4050"/>
    <x v="30"/>
    <n v="64800000"/>
    <x v="2"/>
    <d v="2019-09-01T00:00:00"/>
    <d v="2019-09-29T00:00:00"/>
    <d v="2019-09-29T00:00:00"/>
    <s v="TẾT"/>
    <m/>
    <m/>
    <s v="R"/>
    <m/>
    <n v="0"/>
    <m/>
    <m/>
    <m/>
    <m/>
    <m/>
    <m/>
    <n v="0"/>
    <n v="4050"/>
    <n v="64800000"/>
  </r>
  <r>
    <s v="28A/2019"/>
    <d v="2019-01-15T00:00:00"/>
    <s v="KIỀU THY"/>
    <s v="VH05"/>
    <x v="109"/>
    <x v="16"/>
    <s v="ROBINA"/>
    <m/>
    <s v="20.22"/>
    <n v="125"/>
    <s v="NL2018"/>
    <m/>
    <n v="72"/>
    <n v="9000"/>
    <x v="59"/>
    <n v="94500000"/>
    <x v="2"/>
    <d v="2019-09-01T00:00:00"/>
    <d v="2019-09-29T00:00:00"/>
    <d v="2019-09-29T00:00:00"/>
    <s v="TẾT"/>
    <m/>
    <m/>
    <s v="R"/>
    <m/>
    <n v="0"/>
    <m/>
    <m/>
    <m/>
    <m/>
    <m/>
    <m/>
    <n v="0"/>
    <n v="9000"/>
    <n v="94500000"/>
  </r>
  <r>
    <s v="28A/2019"/>
    <d v="2019-01-15T00:00:00"/>
    <s v="KIỀU THY"/>
    <s v="VH05"/>
    <x v="109"/>
    <x v="26"/>
    <s v="ROBINA"/>
    <m/>
    <s v="22.24"/>
    <n v="100"/>
    <s v="NL2018"/>
    <m/>
    <n v="50"/>
    <n v="5000"/>
    <x v="29"/>
    <n v="62500000"/>
    <x v="2"/>
    <d v="2019-09-01T00:00:00"/>
    <d v="2019-09-29T00:00:00"/>
    <d v="2019-09-29T00:00:00"/>
    <s v="TẾT"/>
    <m/>
    <m/>
    <s v="R"/>
    <m/>
    <n v="0"/>
    <m/>
    <m/>
    <m/>
    <m/>
    <m/>
    <m/>
    <n v="0"/>
    <n v="5000"/>
    <n v="62500000"/>
  </r>
  <r>
    <s v="28A/2019"/>
    <d v="2019-01-15T00:00:00"/>
    <s v="KIỀU THY"/>
    <s v="VH05"/>
    <x v="109"/>
    <x v="15"/>
    <s v="CONCADOR "/>
    <m/>
    <s v="16.18"/>
    <n v="200"/>
    <s v="NL2018"/>
    <m/>
    <n v="25"/>
    <n v="5000"/>
    <x v="0"/>
    <n v="23500000"/>
    <x v="0"/>
    <s v="29-Feb-19"/>
    <d v="2019-04-03T00:00:00"/>
    <d v="2019-04-03T00:00:00"/>
    <m/>
    <s v="CONT 17/2019"/>
    <d v="2019-03-31T00:00:00"/>
    <s v="R"/>
    <d v="2019-04-13T00:00:00"/>
    <n v="2000"/>
    <d v="2019-04-26T00:00:00"/>
    <n v="3000"/>
    <m/>
    <m/>
    <m/>
    <m/>
    <n v="5000"/>
    <n v="0"/>
    <n v="0"/>
  </r>
  <r>
    <s v="28A/2019"/>
    <d v="2019-01-15T00:00:00"/>
    <s v="KIỀU THY"/>
    <s v="VH05"/>
    <x v="109"/>
    <x v="29"/>
    <s v="MANISSA"/>
    <m/>
    <s v="16.18"/>
    <n v="200"/>
    <s v="NL2018"/>
    <m/>
    <n v="60"/>
    <n v="12000"/>
    <x v="45"/>
    <n v="80400000"/>
    <x v="0"/>
    <s v="29-Feb-19"/>
    <d v="2019-04-03T00:00:00"/>
    <d v="2019-04-03T00:00:00"/>
    <m/>
    <s v="CONT 16/2019"/>
    <d v="2019-03-31T00:00:00"/>
    <s v="R"/>
    <d v="2019-04-02T00:00:00"/>
    <n v="3000"/>
    <d v="2019-04-20T00:00:00"/>
    <n v="9000"/>
    <m/>
    <m/>
    <m/>
    <m/>
    <n v="12000"/>
    <n v="0"/>
    <n v="0"/>
  </r>
  <r>
    <s v="28A/2019"/>
    <d v="2019-01-15T00:00:00"/>
    <s v="KIỀU THY"/>
    <s v="VH05"/>
    <x v="109"/>
    <x v="78"/>
    <s v="NATALIA"/>
    <s v="RL"/>
    <s v="12.14"/>
    <n v="400"/>
    <s v="NL2018"/>
    <m/>
    <n v="1"/>
    <n v="400"/>
    <x v="27"/>
    <n v="3200000"/>
    <x v="0"/>
    <s v="29-Feb-19"/>
    <d v="2019-04-03T00:00:00"/>
    <d v="2019-04-03T00:00:00"/>
    <m/>
    <s v="CONT 17/2019"/>
    <d v="2019-03-31T00:00:00"/>
    <s v="R"/>
    <d v="2019-04-20T00:00:00"/>
    <n v="400"/>
    <m/>
    <m/>
    <m/>
    <m/>
    <m/>
    <m/>
    <n v="400"/>
    <n v="0"/>
    <n v="0"/>
  </r>
  <r>
    <s v="28A/2019"/>
    <d v="2019-01-15T00:00:00"/>
    <s v="KIỀU THY"/>
    <s v="VH05"/>
    <x v="109"/>
    <x v="22"/>
    <s v="ROBINA"/>
    <m/>
    <s v="16.18"/>
    <n v="200"/>
    <s v="NL2018"/>
    <m/>
    <n v="95"/>
    <n v="19000"/>
    <x v="23"/>
    <n v="91200000"/>
    <x v="0"/>
    <s v="29-Feb-19"/>
    <d v="2019-04-03T00:00:00"/>
    <d v="2019-04-03T00:00:00"/>
    <s v="30/2AL"/>
    <s v="CONT 15/2019"/>
    <d v="2019-03-31T00:00:00"/>
    <s v="R"/>
    <d v="2019-04-02T00:00:00"/>
    <n v="2000"/>
    <d v="2019-04-20T00:00:00"/>
    <n v="10000"/>
    <d v="2019-05-03T00:00:00"/>
    <n v="7000"/>
    <m/>
    <m/>
    <n v="19000"/>
    <n v="0"/>
    <n v="0"/>
  </r>
  <r>
    <s v="28A/2019"/>
    <d v="2019-01-15T00:00:00"/>
    <s v="KIỀU THY"/>
    <s v="VH05"/>
    <x v="109"/>
    <x v="24"/>
    <s v="SERANO"/>
    <m/>
    <s v="14.16"/>
    <n v="300"/>
    <s v="NL2018"/>
    <m/>
    <n v="10"/>
    <n v="3000"/>
    <x v="68"/>
    <n v="10500000"/>
    <x v="0"/>
    <s v="29-Feb-19"/>
    <d v="2019-04-03T00:00:00"/>
    <d v="2019-04-03T00:00:00"/>
    <m/>
    <s v="CONT 17/2019"/>
    <d v="2019-03-31T00:00:00"/>
    <s v="R"/>
    <d v="2019-04-20T00:00:00"/>
    <n v="3000"/>
    <m/>
    <m/>
    <m/>
    <m/>
    <m/>
    <m/>
    <n v="3000"/>
    <n v="0"/>
    <n v="0"/>
  </r>
  <r>
    <s v="28A/2019"/>
    <d v="2019-01-15T00:00:00"/>
    <s v="KIỀU THY"/>
    <s v="VH05"/>
    <x v="109"/>
    <x v="11"/>
    <s v="YELLOWEEN"/>
    <m/>
    <s v="12.14"/>
    <n v="400"/>
    <s v="NL2018"/>
    <m/>
    <n v="25"/>
    <n v="10000"/>
    <x v="12"/>
    <n v="26000000"/>
    <x v="0"/>
    <s v="29-Feb-19"/>
    <d v="2019-04-03T00:00:00"/>
    <d v="2019-04-03T00:00:00"/>
    <m/>
    <s v="CONT 18/2019"/>
    <d v="2019-03-31T00:00:00"/>
    <s v="R"/>
    <d v="2019-04-13T00:00:00"/>
    <n v="3200"/>
    <d v="2019-05-09T00:00:00"/>
    <n v="6800"/>
    <m/>
    <m/>
    <m/>
    <m/>
    <n v="10000"/>
    <n v="0"/>
    <n v="0"/>
  </r>
  <r>
    <s v="28A/2019"/>
    <d v="2019-01-15T00:00:00"/>
    <s v="KIỀU THY"/>
    <s v="VH05"/>
    <x v="109"/>
    <x v="39"/>
    <s v="MANISSA"/>
    <s v="PR"/>
    <s v="16.18"/>
    <n v="200"/>
    <s v="NL2018"/>
    <m/>
    <n v="15"/>
    <n v="3000"/>
    <x v="46"/>
    <n v="18000000"/>
    <x v="0"/>
    <m/>
    <s v=""/>
    <s v=""/>
    <m/>
    <m/>
    <m/>
    <m/>
    <d v="2019-04-02T00:00:00"/>
    <n v="3000"/>
    <m/>
    <m/>
    <m/>
    <m/>
    <m/>
    <m/>
    <n v="3000"/>
    <n v="0"/>
    <n v="0"/>
  </r>
  <r>
    <s v="28A/2019"/>
    <d v="2019-01-15T00:00:00"/>
    <s v="KIỀU THY"/>
    <s v="VH05"/>
    <x v="109"/>
    <x v="79"/>
    <s v="YELLOWEEN"/>
    <m/>
    <s v="16.18"/>
    <n v="200"/>
    <s v="NL2017"/>
    <m/>
    <n v="10"/>
    <n v="2000"/>
    <x v="6"/>
    <n v="7600000"/>
    <x v="0"/>
    <m/>
    <s v=""/>
    <s v=""/>
    <m/>
    <m/>
    <m/>
    <m/>
    <d v="2019-03-02T00:00:00"/>
    <n v="1000"/>
    <d v="2019-03-12T00:00:00"/>
    <n v="1000"/>
    <m/>
    <m/>
    <m/>
    <m/>
    <n v="2000"/>
    <n v="0"/>
    <n v="0"/>
  </r>
  <r>
    <s v="183B/2019"/>
    <d v="2019-05-21T00:00:00"/>
    <s v="THANH THÚY"/>
    <s v="TH02"/>
    <x v="110"/>
    <x v="6"/>
    <s v="CONCADOR"/>
    <m/>
    <s v="20.22"/>
    <s v="125"/>
    <s v="NL2018"/>
    <m/>
    <n v="160"/>
    <n v="20000"/>
    <x v="7"/>
    <n v="212000000"/>
    <x v="2"/>
    <d v="2019-09-01T00:00:00"/>
    <d v="2019-09-29T00:00:00"/>
    <d v="2019-09-29T00:00:00"/>
    <m/>
    <m/>
    <m/>
    <m/>
    <m/>
    <m/>
    <m/>
    <m/>
    <m/>
    <m/>
    <m/>
    <m/>
    <n v="0"/>
    <n v="20000"/>
    <n v="212000000"/>
  </r>
  <r>
    <s v="183B/2019"/>
    <d v="2019-05-21T00:00:00"/>
    <s v="THANH THÚY"/>
    <s v="TH02"/>
    <x v="110"/>
    <x v="16"/>
    <s v="ROBINA"/>
    <m/>
    <s v="20.22"/>
    <s v="125"/>
    <s v="NL2018"/>
    <m/>
    <n v="0"/>
    <n v="0"/>
    <x v="16"/>
    <n v="0"/>
    <x v="1"/>
    <d v="2019-09-01T00:00:00"/>
    <d v="2019-09-29T00:00:00"/>
    <d v="2019-09-29T00:00:00"/>
    <m/>
    <m/>
    <m/>
    <m/>
    <m/>
    <m/>
    <m/>
    <m/>
    <m/>
    <m/>
    <m/>
    <m/>
    <n v="0"/>
    <n v="0"/>
    <n v="0"/>
  </r>
  <r>
    <s v="183B/2019"/>
    <d v="2019-05-21T00:00:00"/>
    <s v="THANH THÚY"/>
    <s v="TH02"/>
    <x v="110"/>
    <x v="70"/>
    <s v="INDIANA"/>
    <m/>
    <s v="18.20"/>
    <s v="150"/>
    <s v="NL2018"/>
    <m/>
    <n v="134"/>
    <n v="20100"/>
    <x v="39"/>
    <n v="203010000"/>
    <x v="2"/>
    <d v="2019-09-01T00:00:00"/>
    <d v="2019-09-29T00:00:00"/>
    <d v="2019-09-29T00:00:00"/>
    <m/>
    <m/>
    <m/>
    <m/>
    <m/>
    <m/>
    <m/>
    <m/>
    <m/>
    <m/>
    <m/>
    <m/>
    <n v="0"/>
    <n v="20100"/>
    <n v="203010000"/>
  </r>
  <r>
    <s v="02A/2019"/>
    <d v="2019-03-18T00:00:00"/>
    <s v="KIỀU THY"/>
    <s v="MN01"/>
    <x v="111"/>
    <x v="143"/>
    <s v="NELLO "/>
    <m/>
    <s v="18.20"/>
    <s v="150"/>
    <s v="NL2018"/>
    <m/>
    <n v="34"/>
    <n v="5100"/>
    <x v="35"/>
    <n v="36720000"/>
    <x v="2"/>
    <d v="2019-09-01T00:00:00"/>
    <d v="2019-09-29T00:00:00"/>
    <d v="2019-09-29T00:00:00"/>
    <m/>
    <m/>
    <m/>
    <m/>
    <m/>
    <m/>
    <m/>
    <m/>
    <m/>
    <m/>
    <m/>
    <m/>
    <n v="0"/>
    <n v="5100"/>
    <n v="36720000"/>
  </r>
  <r>
    <s v="02A/2019"/>
    <d v="2019-03-18T00:00:00"/>
    <s v="KIỀU THY"/>
    <s v="MN01"/>
    <x v="111"/>
    <x v="26"/>
    <s v="ROBINA"/>
    <m/>
    <s v="22.24"/>
    <s v="100"/>
    <s v="NL2018"/>
    <m/>
    <n v="120"/>
    <n v="12000"/>
    <x v="29"/>
    <n v="150000000"/>
    <x v="2"/>
    <d v="2019-09-01T00:00:00"/>
    <d v="2019-09-29T00:00:00"/>
    <d v="2019-09-29T00:00:00"/>
    <m/>
    <m/>
    <m/>
    <m/>
    <m/>
    <m/>
    <m/>
    <m/>
    <m/>
    <m/>
    <m/>
    <m/>
    <n v="0"/>
    <n v="12000"/>
    <n v="150000000"/>
  </r>
  <r>
    <s v="157A/2019"/>
    <d v="2019-03-30T00:00:00"/>
    <s v="KIỀU THY"/>
    <s v="MN01"/>
    <x v="111"/>
    <x v="6"/>
    <s v="CONCADOR"/>
    <m/>
    <s v="20.22"/>
    <s v="125"/>
    <s v="NL2018"/>
    <m/>
    <n v="40"/>
    <n v="5000"/>
    <x v="7"/>
    <n v="53000000"/>
    <x v="2"/>
    <d v="2019-09-01T00:00:00"/>
    <d v="2019-09-29T00:00:00"/>
    <d v="2019-09-29T00:00:00"/>
    <m/>
    <m/>
    <m/>
    <m/>
    <m/>
    <m/>
    <m/>
    <m/>
    <m/>
    <m/>
    <m/>
    <m/>
    <n v="0"/>
    <n v="5000"/>
    <n v="53000000"/>
  </r>
  <r>
    <s v="157A/2019"/>
    <d v="2019-03-30T00:00:00"/>
    <s v="KIỀU THY"/>
    <s v="MN01"/>
    <x v="111"/>
    <x v="16"/>
    <s v="ROBINA"/>
    <m/>
    <s v="20.22"/>
    <s v="125"/>
    <s v="NL2018"/>
    <m/>
    <n v="40"/>
    <n v="5000"/>
    <x v="16"/>
    <n v="53500000"/>
    <x v="2"/>
    <d v="2019-09-01T00:00:00"/>
    <d v="2019-09-29T00:00:00"/>
    <d v="2019-09-29T00:00:00"/>
    <m/>
    <m/>
    <m/>
    <m/>
    <m/>
    <m/>
    <m/>
    <m/>
    <m/>
    <m/>
    <m/>
    <m/>
    <n v="0"/>
    <n v="5000"/>
    <n v="53500000"/>
  </r>
  <r>
    <s v="100A/2019"/>
    <d v="2019-03-09T00:00:00"/>
    <s v="KIỀU THY"/>
    <s v="HD02"/>
    <x v="112"/>
    <x v="77"/>
    <s v="SEDONA"/>
    <m/>
    <s v="20.22"/>
    <n v="125"/>
    <s v="NL2018"/>
    <m/>
    <n v="24"/>
    <n v="3000"/>
    <x v="22"/>
    <n v="32700000"/>
    <x v="2"/>
    <d v="2019-09-01T00:00:00"/>
    <d v="2019-09-29T00:00:00"/>
    <d v="2019-09-29T00:00:00"/>
    <s v="TẾT"/>
    <m/>
    <m/>
    <m/>
    <m/>
    <n v="0"/>
    <m/>
    <m/>
    <m/>
    <m/>
    <m/>
    <m/>
    <n v="0"/>
    <n v="3000"/>
    <n v="32700000"/>
  </r>
  <r>
    <s v="100A/2019"/>
    <d v="2019-03-09T00:00:00"/>
    <s v="KIỀU THY"/>
    <s v="HD02"/>
    <x v="112"/>
    <x v="16"/>
    <s v="ROBINA"/>
    <m/>
    <s v="20.22"/>
    <n v="125"/>
    <s v="NL2018"/>
    <m/>
    <n v="16"/>
    <n v="2000"/>
    <x v="59"/>
    <n v="21000000"/>
    <x v="2"/>
    <d v="2019-09-01T00:00:00"/>
    <d v="2019-09-29T00:00:00"/>
    <d v="2019-09-29T00:00:00"/>
    <s v="TẾT"/>
    <m/>
    <m/>
    <m/>
    <m/>
    <n v="0"/>
    <m/>
    <m/>
    <m/>
    <m/>
    <m/>
    <m/>
    <n v="0"/>
    <n v="2000"/>
    <n v="21000000"/>
  </r>
  <r>
    <s v="100A/2019"/>
    <d v="2019-03-09T00:00:00"/>
    <s v="KIỀU THY"/>
    <s v="HD02"/>
    <x v="112"/>
    <x v="28"/>
    <s v="YELLOWEEN"/>
    <m/>
    <s v="14.16"/>
    <n v="300"/>
    <s v="NL2018"/>
    <m/>
    <n v="17"/>
    <n v="5100"/>
    <x v="6"/>
    <n v="19380000"/>
    <x v="0"/>
    <d v="2019-04-17T00:00:00"/>
    <d v="2019-05-21T00:00:00"/>
    <d v="2019-05-21T00:00:00"/>
    <s v="30/3AL"/>
    <m/>
    <m/>
    <m/>
    <d v="2019-05-18T00:00:00"/>
    <n v="5100"/>
    <m/>
    <m/>
    <m/>
    <m/>
    <m/>
    <m/>
    <n v="5100"/>
    <n v="0"/>
    <n v="0"/>
  </r>
  <r>
    <s v="100A/2019"/>
    <d v="2019-06-12T00:00:00"/>
    <s v="KIỀU THY"/>
    <s v="HD02"/>
    <x v="112"/>
    <x v="31"/>
    <s v="TARRANGO"/>
    <m/>
    <s v="14.16"/>
    <n v="300"/>
    <s v="NL2018"/>
    <m/>
    <n v="17"/>
    <n v="5100"/>
    <x v="77"/>
    <n v="24990000"/>
    <x v="4"/>
    <d v="2019-04-17T00:00:00"/>
    <d v="2019-05-21T00:00:00"/>
    <d v="2019-05-21T00:00:00"/>
    <m/>
    <m/>
    <m/>
    <m/>
    <m/>
    <m/>
    <m/>
    <m/>
    <m/>
    <m/>
    <m/>
    <m/>
    <n v="0"/>
    <n v="5100"/>
    <n v="24990000"/>
  </r>
  <r>
    <s v="100A/2019"/>
    <d v="2019-06-12T00:00:00"/>
    <s v="KIỀU THY"/>
    <s v="HD02"/>
    <x v="112"/>
    <x v="12"/>
    <s v="AMATERAS"/>
    <m/>
    <s v="14.16"/>
    <n v="300"/>
    <s v="NL2018"/>
    <m/>
    <n v="9"/>
    <n v="2700"/>
    <x v="21"/>
    <n v="12420000"/>
    <x v="3"/>
    <d v="2019-06-15T00:00:00"/>
    <d v="2019-07-17T00:00:00"/>
    <d v="2019-07-17T00:00:00"/>
    <m/>
    <m/>
    <m/>
    <m/>
    <m/>
    <m/>
    <m/>
    <m/>
    <m/>
    <m/>
    <m/>
    <m/>
    <n v="0"/>
    <n v="2700"/>
    <n v="12420000"/>
  </r>
  <r>
    <s v="100A/2019"/>
    <d v="2019-06-12T00:00:00"/>
    <s v="KIỀU THY"/>
    <s v="HD02"/>
    <x v="112"/>
    <x v="31"/>
    <s v="TARRANGO"/>
    <m/>
    <s v="14.16"/>
    <n v="300"/>
    <s v="NL2018"/>
    <m/>
    <n v="8"/>
    <n v="2400"/>
    <x v="18"/>
    <n v="12000000"/>
    <x v="3"/>
    <d v="2019-06-15T00:00:00"/>
    <d v="2019-07-17T00:00:00"/>
    <d v="2019-07-17T00:00:00"/>
    <m/>
    <m/>
    <m/>
    <m/>
    <m/>
    <m/>
    <m/>
    <m/>
    <m/>
    <m/>
    <m/>
    <m/>
    <n v="0"/>
    <n v="2400"/>
    <n v="12000000"/>
  </r>
  <r>
    <s v="100A/2019"/>
    <d v="2019-05-13T00:00:00"/>
    <s v="KIỀU THY"/>
    <s v="HD02"/>
    <x v="112"/>
    <x v="28"/>
    <s v="YELLOWEEN"/>
    <m/>
    <s v="14.16"/>
    <n v="300"/>
    <s v="NL2018"/>
    <m/>
    <n v="0"/>
    <n v="0"/>
    <x v="56"/>
    <n v="0"/>
    <x v="1"/>
    <d v="2019-05-05T00:00:00"/>
    <d v="2019-06-07T00:00:00"/>
    <d v="2019-06-07T00:00:00"/>
    <m/>
    <m/>
    <m/>
    <m/>
    <m/>
    <m/>
    <m/>
    <m/>
    <m/>
    <m/>
    <m/>
    <m/>
    <n v="0"/>
    <n v="0"/>
    <n v="0"/>
  </r>
  <r>
    <s v="02A/2019"/>
    <d v="2019-03-18T00:00:00"/>
    <s v="KIỀU THY"/>
    <s v="MN01"/>
    <x v="111"/>
    <x v="6"/>
    <s v="CONCADOR"/>
    <m/>
    <s v="20.22"/>
    <s v="125"/>
    <s v="NL2018"/>
    <m/>
    <n v="64"/>
    <n v="8000"/>
    <x v="59"/>
    <n v="84000000"/>
    <x v="2"/>
    <d v="2019-09-01T00:00:00"/>
    <d v="2019-09-29T00:00:00"/>
    <d v="2019-09-29T00:00:00"/>
    <m/>
    <m/>
    <m/>
    <m/>
    <m/>
    <m/>
    <m/>
    <m/>
    <m/>
    <m/>
    <m/>
    <m/>
    <n v="0"/>
    <n v="8000"/>
    <n v="84000000"/>
  </r>
  <r>
    <s v="227A/2019"/>
    <d v="2019-05-29T00:00:00"/>
    <s v="KIỀU THY"/>
    <s v="VX02"/>
    <x v="113"/>
    <x v="31"/>
    <s v="TARRANGO"/>
    <m/>
    <s v="14.16"/>
    <s v="300"/>
    <s v="NL2018"/>
    <m/>
    <n v="14"/>
    <n v="4200"/>
    <x v="23"/>
    <n v="20160000"/>
    <x v="0"/>
    <d v="2019-04-17T00:00:00"/>
    <d v="2019-05-21T00:00:00"/>
    <d v="2019-05-21T00:00:00"/>
    <m/>
    <m/>
    <m/>
    <m/>
    <d v="2019-05-29T00:00:00"/>
    <n v="4200"/>
    <m/>
    <m/>
    <m/>
    <m/>
    <m/>
    <m/>
    <n v="4200"/>
    <n v="0"/>
    <n v="0"/>
  </r>
  <r>
    <s v="227A/2019"/>
    <d v="2019-06-04T00:00:00"/>
    <s v="KIỀU THY"/>
    <s v="VX02"/>
    <x v="113"/>
    <x v="57"/>
    <s v="DALIAN"/>
    <m/>
    <s v="14.16"/>
    <s v="300"/>
    <s v="NL2018"/>
    <m/>
    <n v="1"/>
    <n v="300"/>
    <x v="44"/>
    <n v="1650000"/>
    <x v="0"/>
    <d v="2019-04-17T00:00:00"/>
    <d v="2019-05-21T00:00:00"/>
    <d v="2019-05-21T00:00:00"/>
    <m/>
    <m/>
    <m/>
    <m/>
    <d v="2019-06-04T00:00:00"/>
    <n v="300"/>
    <m/>
    <m/>
    <m/>
    <m/>
    <m/>
    <m/>
    <n v="300"/>
    <n v="0"/>
    <n v="0"/>
  </r>
  <r>
    <s v="237/2019"/>
    <d v="2019-06-01T00:00:00"/>
    <s v="KIỀU THY"/>
    <s v="VX02"/>
    <x v="113"/>
    <x v="14"/>
    <s v="TARRANGO"/>
    <m/>
    <s v="20.22"/>
    <s v="125"/>
    <s v="NL2018"/>
    <m/>
    <n v="48"/>
    <n v="6000"/>
    <x v="36"/>
    <n v="66000000"/>
    <x v="2"/>
    <d v="2019-09-01T00:00:00"/>
    <d v="2019-09-29T00:00:00"/>
    <d v="2019-09-29T00:00:00"/>
    <m/>
    <m/>
    <m/>
    <m/>
    <m/>
    <m/>
    <m/>
    <m/>
    <m/>
    <m/>
    <m/>
    <m/>
    <n v="0"/>
    <n v="6000"/>
    <n v="66000000"/>
  </r>
  <r>
    <s v="237/2019"/>
    <d v="2019-06-01T00:00:00"/>
    <s v="KIỀU THY"/>
    <s v="VX02"/>
    <x v="113"/>
    <x v="16"/>
    <s v="ROBINA NEWZEALAND"/>
    <m/>
    <s v="20.22"/>
    <s v="125"/>
    <s v="NL2018"/>
    <m/>
    <n v="48"/>
    <n v="6000"/>
    <x v="29"/>
    <n v="75000000"/>
    <x v="2"/>
    <d v="2019-09-01T00:00:00"/>
    <d v="2019-09-29T00:00:00"/>
    <d v="2019-09-29T00:00:00"/>
    <m/>
    <m/>
    <m/>
    <m/>
    <m/>
    <m/>
    <m/>
    <m/>
    <m/>
    <m/>
    <m/>
    <m/>
    <n v="0"/>
    <n v="6000"/>
    <n v="75000000"/>
  </r>
  <r>
    <s v="237/2019"/>
    <d v="2019-06-01T00:00:00"/>
    <s v="KIỀU THY"/>
    <s v="VX02"/>
    <x v="113"/>
    <x v="6"/>
    <s v="CONCADOR NEWZELAND"/>
    <m/>
    <s v="20.22"/>
    <s v="125"/>
    <s v="NL2018"/>
    <m/>
    <n v="40"/>
    <n v="5000"/>
    <x v="53"/>
    <n v="60000000"/>
    <x v="2"/>
    <d v="2019-09-01T00:00:00"/>
    <d v="2019-09-29T00:00:00"/>
    <d v="2019-09-29T00:00:00"/>
    <m/>
    <m/>
    <m/>
    <m/>
    <m/>
    <m/>
    <m/>
    <m/>
    <m/>
    <m/>
    <m/>
    <m/>
    <n v="0"/>
    <n v="5000"/>
    <n v="60000000"/>
  </r>
  <r>
    <s v="227A/2019"/>
    <d v="2019-06-01T00:00:00"/>
    <s v="KIỀU THY"/>
    <s v="VX02"/>
    <x v="113"/>
    <x v="2"/>
    <s v="NASHVILLE"/>
    <m/>
    <s v="14.16"/>
    <s v="300"/>
    <s v="NL2018"/>
    <m/>
    <n v="0"/>
    <n v="0"/>
    <x v="3"/>
    <n v="0"/>
    <x v="1"/>
    <d v="2019-07-20T00:00:00"/>
    <d v="2019-08-20T00:00:00"/>
    <d v="2019-08-20T00:00:00"/>
    <m/>
    <m/>
    <m/>
    <m/>
    <m/>
    <m/>
    <m/>
    <m/>
    <m/>
    <m/>
    <m/>
    <m/>
    <n v="0"/>
    <n v="0"/>
    <n v="0"/>
  </r>
  <r>
    <s v="227A/2019"/>
    <d v="2019-06-01T00:00:00"/>
    <s v="KIỀU THY"/>
    <s v="VX02"/>
    <x v="113"/>
    <x v="12"/>
    <s v="AMATERAS"/>
    <m/>
    <s v="14.16"/>
    <s v="300"/>
    <s v="NL2018"/>
    <m/>
    <n v="0"/>
    <n v="0"/>
    <x v="21"/>
    <n v="0"/>
    <x v="1"/>
    <d v="2019-07-20T00:00:00"/>
    <d v="2019-08-20T00:00:00"/>
    <d v="2019-08-20T00:00:00"/>
    <m/>
    <m/>
    <m/>
    <m/>
    <m/>
    <m/>
    <m/>
    <m/>
    <m/>
    <m/>
    <m/>
    <m/>
    <n v="0"/>
    <n v="0"/>
    <n v="0"/>
  </r>
  <r>
    <s v="91B/2019"/>
    <d v="2019-03-07T00:00:00"/>
    <s v="THANH THÚY"/>
    <s v="VK01"/>
    <x v="114"/>
    <x v="10"/>
    <s v="ARVANDRUD"/>
    <m/>
    <s v="16.18"/>
    <n v="200"/>
    <s v="NL2018"/>
    <m/>
    <n v="0"/>
    <n v="0"/>
    <x v="44"/>
    <n v="0"/>
    <x v="1"/>
    <d v="2019-03-15T00:00:00"/>
    <d v="2019-04-19T00:00:00"/>
    <d v="2019-04-19T00:00:00"/>
    <s v="15/3AL"/>
    <s v="CONT 21/2019"/>
    <m/>
    <m/>
    <m/>
    <n v="0"/>
    <m/>
    <m/>
    <m/>
    <m/>
    <m/>
    <m/>
    <n v="0"/>
    <n v="0"/>
    <n v="0"/>
  </r>
  <r>
    <s v="91B/2019"/>
    <d v="2019-03-07T00:00:00"/>
    <s v="THANH THÚY"/>
    <s v="VK01"/>
    <x v="114"/>
    <x v="29"/>
    <s v="MANISSA"/>
    <m/>
    <s v="16.18"/>
    <n v="200"/>
    <s v="NL2018"/>
    <m/>
    <n v="25"/>
    <n v="5000"/>
    <x v="45"/>
    <n v="33500000"/>
    <x v="0"/>
    <d v="2019-03-15T00:00:00"/>
    <d v="2019-04-19T00:00:00"/>
    <d v="2019-04-19T00:00:00"/>
    <s v="15/3AL"/>
    <s v="CONT 27/2019"/>
    <m/>
    <m/>
    <d v="2019-05-16T00:00:00"/>
    <n v="5000"/>
    <m/>
    <m/>
    <m/>
    <m/>
    <m/>
    <m/>
    <n v="5000"/>
    <n v="0"/>
    <n v="0"/>
  </r>
  <r>
    <s v="91B/2019"/>
    <d v="2019-03-07T00:00:00"/>
    <s v="THANH THÚY"/>
    <s v="VK01"/>
    <x v="114"/>
    <x v="22"/>
    <s v="ROBINA"/>
    <m/>
    <s v="16.18"/>
    <n v="200"/>
    <s v="NL2018"/>
    <m/>
    <n v="15"/>
    <n v="3000"/>
    <x v="18"/>
    <n v="15000000"/>
    <x v="0"/>
    <d v="2019-03-15T00:00:00"/>
    <d v="2019-04-19T00:00:00"/>
    <d v="2019-04-19T00:00:00"/>
    <s v="15/3AL"/>
    <s v="CONT 26/2019"/>
    <m/>
    <m/>
    <d v="2019-06-05T00:00:00"/>
    <n v="0"/>
    <m/>
    <m/>
    <m/>
    <m/>
    <m/>
    <m/>
    <n v="0"/>
    <n v="3000"/>
    <n v="15000000"/>
  </r>
  <r>
    <s v="91B/2019"/>
    <d v="2019-03-07T00:00:00"/>
    <s v="THANH THÚY"/>
    <s v="VK01"/>
    <x v="114"/>
    <x v="31"/>
    <s v="TARRANGO"/>
    <m/>
    <s v="14.16"/>
    <n v="300"/>
    <s v="NL2018"/>
    <m/>
    <n v="10"/>
    <n v="3000"/>
    <x v="21"/>
    <n v="13800000"/>
    <x v="0"/>
    <d v="2019-03-15T00:00:00"/>
    <d v="2019-04-19T00:00:00"/>
    <d v="2019-04-19T00:00:00"/>
    <s v="15/3AL"/>
    <s v="CONT 26/2019"/>
    <m/>
    <m/>
    <d v="2019-04-19T00:00:00"/>
    <n v="3000"/>
    <m/>
    <m/>
    <m/>
    <m/>
    <m/>
    <m/>
    <n v="3000"/>
    <n v="0"/>
    <n v="0"/>
  </r>
  <r>
    <s v="91B/2019"/>
    <d v="2019-03-07T00:00:00"/>
    <s v="THANH THÚY"/>
    <s v="VK01"/>
    <x v="114"/>
    <x v="57"/>
    <s v="DALIAN"/>
    <m/>
    <n v="14.16"/>
    <n v="300"/>
    <s v="NL2018"/>
    <m/>
    <n v="17"/>
    <n v="5100"/>
    <x v="55"/>
    <n v="27030000"/>
    <x v="0"/>
    <d v="2019-04-17T00:00:00"/>
    <d v="2019-05-21T00:00:00"/>
    <d v="2019-05-21T00:00:00"/>
    <s v="30/3AL"/>
    <m/>
    <m/>
    <m/>
    <d v="2019-06-05T00:00:00"/>
    <n v="5100"/>
    <m/>
    <m/>
    <m/>
    <m/>
    <m/>
    <m/>
    <n v="5100"/>
    <n v="0"/>
    <n v="0"/>
  </r>
  <r>
    <s v="91B/2019"/>
    <d v="2019-03-07T00:00:00"/>
    <s v="THANH THÚY"/>
    <s v="VK01"/>
    <x v="114"/>
    <x v="57"/>
    <s v="DALIAN"/>
    <m/>
    <n v="14.16"/>
    <n v="300"/>
    <s v="NL2018"/>
    <m/>
    <n v="0"/>
    <n v="0"/>
    <x v="170"/>
    <n v="0"/>
    <x v="1"/>
    <d v="2019-04-17T00:00:00"/>
    <d v="2019-05-21T00:00:00"/>
    <d v="2019-05-21T00:00:00"/>
    <s v="17/4AL"/>
    <m/>
    <m/>
    <m/>
    <m/>
    <n v="0"/>
    <m/>
    <m/>
    <m/>
    <m/>
    <m/>
    <m/>
    <n v="0"/>
    <n v="0"/>
    <n v="0"/>
  </r>
  <r>
    <s v="91B/2019"/>
    <d v="2019-06-01T00:00:00"/>
    <s v="THANH THÚY"/>
    <s v="VK01"/>
    <x v="114"/>
    <x v="28"/>
    <s v="YELLOWEEN"/>
    <m/>
    <n v="14.16"/>
    <n v="300"/>
    <s v="NL2018"/>
    <m/>
    <n v="20"/>
    <n v="6000"/>
    <x v="6"/>
    <n v="22800000"/>
    <x v="0"/>
    <d v="2019-04-17T00:00:00"/>
    <d v="2019-05-21T00:00:00"/>
    <d v="2019-05-21T00:00:00"/>
    <m/>
    <m/>
    <m/>
    <m/>
    <d v="2019-06-01T00:00:00"/>
    <n v="6000"/>
    <m/>
    <m/>
    <m/>
    <m/>
    <m/>
    <m/>
    <n v="6000"/>
    <n v="0"/>
    <n v="0"/>
  </r>
  <r>
    <s v="91B/2019"/>
    <d v="2019-05-27T00:00:00"/>
    <s v="THANH THÚY"/>
    <s v="VK01"/>
    <x v="114"/>
    <x v="65"/>
    <s v="ROBINA"/>
    <m/>
    <n v="14.16"/>
    <n v="300"/>
    <s v="NL2018"/>
    <m/>
    <n v="17"/>
    <n v="5100"/>
    <x v="6"/>
    <n v="19380000"/>
    <x v="4"/>
    <d v="2019-05-05T00:00:00"/>
    <d v="2019-06-07T00:00:00"/>
    <d v="2019-06-07T00:00:00"/>
    <m/>
    <m/>
    <m/>
    <m/>
    <m/>
    <m/>
    <m/>
    <m/>
    <m/>
    <m/>
    <m/>
    <m/>
    <n v="0"/>
    <n v="5100"/>
    <n v="19380000"/>
  </r>
  <r>
    <s v="91B/2019"/>
    <d v="2019-06-07T00:00:00"/>
    <s v="THANH THÚY"/>
    <s v="VK01"/>
    <x v="114"/>
    <x v="80"/>
    <s v="PROFUNDO"/>
    <m/>
    <n v="14.16"/>
    <n v="300"/>
    <s v="NL2018"/>
    <m/>
    <n v="5"/>
    <n v="1500"/>
    <x v="78"/>
    <n v="7650000"/>
    <x v="4"/>
    <d v="2019-05-05T00:00:00"/>
    <d v="2019-06-07T00:00:00"/>
    <d v="2019-06-07T00:00:00"/>
    <m/>
    <m/>
    <m/>
    <m/>
    <m/>
    <m/>
    <m/>
    <m/>
    <m/>
    <m/>
    <m/>
    <m/>
    <n v="0"/>
    <n v="1500"/>
    <n v="7650000"/>
  </r>
  <r>
    <s v="91B/2019"/>
    <d v="2019-06-07T00:00:00"/>
    <s v="THANH THÚY"/>
    <s v="VK01"/>
    <x v="114"/>
    <x v="50"/>
    <s v="PROFUNDO"/>
    <m/>
    <n v="14.16"/>
    <n v="275"/>
    <s v="NL2018"/>
    <m/>
    <n v="17"/>
    <n v="4675"/>
    <x v="78"/>
    <n v="23842500"/>
    <x v="4"/>
    <d v="2019-04-17T00:00:00"/>
    <d v="2019-05-21T00:00:00"/>
    <d v="2019-05-21T00:00:00"/>
    <m/>
    <m/>
    <m/>
    <m/>
    <m/>
    <m/>
    <m/>
    <m/>
    <m/>
    <m/>
    <m/>
    <m/>
    <n v="0"/>
    <n v="4675"/>
    <n v="23842500"/>
  </r>
  <r>
    <s v="91B/2019"/>
    <d v="2019-06-13T00:00:00"/>
    <s v="THANH THÚY"/>
    <s v="VK01"/>
    <x v="114"/>
    <x v="54"/>
    <s v="MALDANO"/>
    <m/>
    <s v="14.16"/>
    <n v="300"/>
    <s v="NL2018"/>
    <m/>
    <n v="7"/>
    <n v="2100"/>
    <x v="13"/>
    <n v="9450000"/>
    <x v="4"/>
    <d v="2019-05-05T00:00:00"/>
    <d v="2019-06-07T00:00:00"/>
    <d v="2019-06-07T00:00:00"/>
    <m/>
    <m/>
    <m/>
    <m/>
    <m/>
    <m/>
    <m/>
    <m/>
    <m/>
    <m/>
    <m/>
    <m/>
    <n v="0"/>
    <n v="2100"/>
    <n v="9450000"/>
  </r>
  <r>
    <s v="91B/2019"/>
    <d v="2019-06-13T00:00:00"/>
    <s v="THANH THÚY"/>
    <s v="VK01"/>
    <x v="114"/>
    <x v="28"/>
    <s v="YELLOWEEN"/>
    <m/>
    <s v="14.16"/>
    <n v="300"/>
    <s v="NL2018"/>
    <m/>
    <n v="27"/>
    <n v="8100"/>
    <x v="57"/>
    <n v="32400000"/>
    <x v="2"/>
    <d v="2019-07-15T00:00:00"/>
    <d v="2019-08-15T00:00:00"/>
    <d v="2019-08-15T00:00:00"/>
    <m/>
    <m/>
    <m/>
    <m/>
    <m/>
    <m/>
    <m/>
    <m/>
    <m/>
    <m/>
    <m/>
    <m/>
    <n v="0"/>
    <n v="8100"/>
    <n v="32400000"/>
  </r>
  <r>
    <s v="91B/2019"/>
    <d v="2019-06-13T00:00:00"/>
    <s v="THANH THÚY"/>
    <s v="VK01"/>
    <x v="114"/>
    <x v="22"/>
    <s v="ROBINA"/>
    <m/>
    <s v="16.18"/>
    <n v="200"/>
    <s v="NL2018"/>
    <m/>
    <n v="25"/>
    <n v="5000"/>
    <x v="24"/>
    <n v="28500000"/>
    <x v="2"/>
    <d v="2019-07-15T00:00:00"/>
    <d v="2019-08-15T00:00:00"/>
    <d v="2019-08-15T00:00:00"/>
    <m/>
    <m/>
    <m/>
    <m/>
    <m/>
    <m/>
    <m/>
    <m/>
    <m/>
    <m/>
    <m/>
    <m/>
    <n v="0"/>
    <n v="5000"/>
    <n v="28500000"/>
  </r>
  <r>
    <s v="91B/2019"/>
    <d v="2019-06-13T00:00:00"/>
    <s v="THANH THÚY"/>
    <s v="VK01"/>
    <x v="114"/>
    <x v="10"/>
    <s v="ARVANDRUD"/>
    <m/>
    <s v="16.18"/>
    <n v="200"/>
    <s v="NL2018"/>
    <m/>
    <n v="25"/>
    <n v="5000"/>
    <x v="48"/>
    <n v="28000000"/>
    <x v="2"/>
    <d v="2019-07-15T00:00:00"/>
    <d v="2019-08-15T00:00:00"/>
    <d v="2019-08-15T00:00:00"/>
    <m/>
    <m/>
    <m/>
    <m/>
    <m/>
    <m/>
    <m/>
    <m/>
    <m/>
    <m/>
    <m/>
    <m/>
    <n v="0"/>
    <n v="5000"/>
    <n v="28000000"/>
  </r>
  <r>
    <s v="91B/2019"/>
    <d v="2019-06-13T00:00:00"/>
    <s v="THANH THÚY"/>
    <s v="VK01"/>
    <x v="114"/>
    <x v="54"/>
    <s v="MALDANO"/>
    <m/>
    <s v="14.16"/>
    <n v="300"/>
    <s v="NL2018"/>
    <m/>
    <n v="17"/>
    <n v="5100"/>
    <x v="21"/>
    <n v="23460000"/>
    <x v="2"/>
    <d v="2019-07-15T00:00:00"/>
    <d v="2019-08-15T00:00:00"/>
    <d v="2019-08-15T00:00:00"/>
    <m/>
    <m/>
    <m/>
    <m/>
    <m/>
    <m/>
    <m/>
    <m/>
    <m/>
    <m/>
    <m/>
    <m/>
    <n v="0"/>
    <n v="5100"/>
    <n v="23460000"/>
  </r>
  <r>
    <s v="155B/2019"/>
    <d v="2019-04-03T00:00:00"/>
    <s v="THANH THÚY"/>
    <s v="VK01"/>
    <x v="114"/>
    <x v="29"/>
    <s v="MANISSA"/>
    <m/>
    <s v="16.18"/>
    <n v="200"/>
    <s v="NL2018"/>
    <m/>
    <n v="25"/>
    <n v="5000"/>
    <x v="45"/>
    <n v="33500000"/>
    <x v="0"/>
    <d v="2019-03-15T00:00:00"/>
    <d v="2019-04-19T00:00:00"/>
    <d v="2019-04-19T00:00:00"/>
    <s v="15/3AL"/>
    <m/>
    <m/>
    <m/>
    <d v="2019-05-16T00:00:00"/>
    <n v="5000"/>
    <m/>
    <m/>
    <m/>
    <m/>
    <m/>
    <m/>
    <n v="5000"/>
    <n v="0"/>
    <n v="0"/>
  </r>
  <r>
    <s v="155B/2019"/>
    <d v="2019-04-03T00:00:00"/>
    <s v="THANH THÚY"/>
    <s v="VK01"/>
    <x v="114"/>
    <x v="31"/>
    <s v="TARRANGO"/>
    <m/>
    <s v="14.16"/>
    <n v="300"/>
    <s v="NL2018"/>
    <m/>
    <n v="10"/>
    <n v="3000"/>
    <x v="21"/>
    <n v="13800000"/>
    <x v="0"/>
    <d v="2019-03-15T00:00:00"/>
    <d v="2019-04-19T00:00:00"/>
    <d v="2019-04-19T00:00:00"/>
    <s v="15/3AL"/>
    <m/>
    <m/>
    <m/>
    <m/>
    <n v="3000"/>
    <m/>
    <m/>
    <m/>
    <m/>
    <m/>
    <m/>
    <n v="3000"/>
    <n v="0"/>
    <n v="0"/>
  </r>
  <r>
    <s v="155B/2019"/>
    <d v="2019-04-03T00:00:00"/>
    <s v="THANH THÚY"/>
    <s v="VK01"/>
    <x v="114"/>
    <x v="34"/>
    <s v="TARRANGO"/>
    <m/>
    <s v="16.18"/>
    <n v="200"/>
    <s v="NL2018"/>
    <m/>
    <n v="15"/>
    <n v="3000"/>
    <x v="44"/>
    <n v="16500000"/>
    <x v="0"/>
    <d v="2019-03-15T00:00:00"/>
    <d v="2019-04-19T00:00:00"/>
    <d v="2019-04-19T00:00:00"/>
    <s v="15/3AL"/>
    <m/>
    <m/>
    <m/>
    <d v="2019-05-16T00:00:00"/>
    <n v="3000"/>
    <m/>
    <m/>
    <m/>
    <m/>
    <m/>
    <m/>
    <n v="3000"/>
    <n v="0"/>
    <n v="0"/>
  </r>
  <r>
    <s v="155B/2019"/>
    <d v="2019-04-03T00:00:00"/>
    <s v="THANH THÚY"/>
    <s v="VK01"/>
    <x v="114"/>
    <x v="22"/>
    <s v="ROBINA"/>
    <m/>
    <s v="16.18"/>
    <n v="200"/>
    <s v="NL2018"/>
    <m/>
    <n v="0"/>
    <n v="0"/>
    <x v="11"/>
    <n v="0"/>
    <x v="1"/>
    <d v="2019-04-17T00:00:00"/>
    <d v="2019-05-21T00:00:00"/>
    <d v="2019-05-21T00:00:00"/>
    <s v="10/4AL"/>
    <m/>
    <m/>
    <m/>
    <m/>
    <m/>
    <m/>
    <m/>
    <m/>
    <m/>
    <m/>
    <m/>
    <n v="0"/>
    <n v="0"/>
    <n v="0"/>
  </r>
  <r>
    <s v="155B/2019"/>
    <d v="2019-05-19T00:00:00"/>
    <s v="THANH THÚY"/>
    <s v="VK01"/>
    <x v="114"/>
    <x v="30"/>
    <s v="MALDANO"/>
    <m/>
    <s v="16.18"/>
    <n v="200"/>
    <s v="NL2018"/>
    <m/>
    <n v="20"/>
    <n v="4000"/>
    <x v="11"/>
    <n v="21600000"/>
    <x v="0"/>
    <d v="2019-04-10T00:00:00"/>
    <d v="2019-05-14T00:00:00"/>
    <d v="2019-05-14T00:00:00"/>
    <m/>
    <m/>
    <m/>
    <m/>
    <d v="2019-05-19T00:00:00"/>
    <n v="4000"/>
    <m/>
    <m/>
    <m/>
    <m/>
    <m/>
    <m/>
    <n v="4000"/>
    <n v="0"/>
    <n v="0"/>
  </r>
  <r>
    <s v="155B/2019"/>
    <d v="2019-05-19T00:00:00"/>
    <s v="THANH THÚY"/>
    <s v="VK01"/>
    <x v="114"/>
    <x v="10"/>
    <s v="ARVANDRUD"/>
    <m/>
    <s v="16.18"/>
    <n v="200"/>
    <s v="NL2018"/>
    <m/>
    <n v="25"/>
    <n v="5000"/>
    <x v="26"/>
    <n v="29000000"/>
    <x v="0"/>
    <d v="2019-04-10T00:00:00"/>
    <d v="2019-05-14T00:00:00"/>
    <d v="2019-05-14T00:00:00"/>
    <m/>
    <m/>
    <m/>
    <m/>
    <d v="2019-05-02T00:00:00"/>
    <n v="5000"/>
    <m/>
    <m/>
    <m/>
    <m/>
    <m/>
    <m/>
    <n v="5000"/>
    <n v="0"/>
    <n v="0"/>
  </r>
  <r>
    <s v="155B/2019"/>
    <d v="2019-04-03T00:00:00"/>
    <s v="THANH THÚY"/>
    <s v="VK01"/>
    <x v="114"/>
    <x v="10"/>
    <s v="ARVANDRUD"/>
    <m/>
    <s v="16.18"/>
    <n v="200"/>
    <s v="NL2018"/>
    <m/>
    <n v="25"/>
    <n v="5000"/>
    <x v="26"/>
    <n v="29000000"/>
    <x v="0"/>
    <d v="2019-04-10T00:00:00"/>
    <d v="2019-05-14T00:00:00"/>
    <d v="2019-05-14T00:00:00"/>
    <s v="10/4AL"/>
    <m/>
    <m/>
    <m/>
    <d v="2019-05-02T00:00:00"/>
    <n v="5000"/>
    <m/>
    <m/>
    <m/>
    <m/>
    <m/>
    <m/>
    <n v="5000"/>
    <n v="0"/>
    <n v="0"/>
  </r>
  <r>
    <s v="182B/2019"/>
    <d v="2019-05-18T00:00:00"/>
    <s v="THANH THÚY"/>
    <s v="VK01"/>
    <x v="114"/>
    <x v="30"/>
    <s v="MALDANO"/>
    <m/>
    <s v="16.18"/>
    <n v="200"/>
    <s v="NL2018"/>
    <m/>
    <n v="20"/>
    <n v="4000"/>
    <x v="11"/>
    <n v="21600000"/>
    <x v="0"/>
    <d v="2019-04-14T00:00:00"/>
    <d v="2019-05-18T00:00:00"/>
    <d v="2019-05-18T00:00:00"/>
    <s v="10/4AL"/>
    <m/>
    <m/>
    <m/>
    <m/>
    <n v="4000"/>
    <m/>
    <m/>
    <m/>
    <m/>
    <m/>
    <m/>
    <n v="4000"/>
    <n v="0"/>
    <n v="0"/>
  </r>
  <r>
    <s v="154B/2019"/>
    <d v="2019-04-03T00:00:00"/>
    <s v="THANH THÚY"/>
    <s v="VK01"/>
    <x v="114"/>
    <x v="16"/>
    <s v="ROBINA"/>
    <m/>
    <s v="20.22"/>
    <n v="125"/>
    <s v="NL2018"/>
    <m/>
    <n v="80"/>
    <n v="10000"/>
    <x v="16"/>
    <n v="107000000"/>
    <x v="2"/>
    <d v="2019-09-01T00:00:00"/>
    <d v="2019-09-29T00:00:00"/>
    <d v="2019-09-29T00:00:00"/>
    <s v="TẾT"/>
    <m/>
    <m/>
    <m/>
    <m/>
    <m/>
    <m/>
    <m/>
    <m/>
    <m/>
    <m/>
    <m/>
    <n v="0"/>
    <n v="10000"/>
    <n v="107000000"/>
  </r>
  <r>
    <s v="154B/2019"/>
    <d v="2019-04-03T00:00:00"/>
    <s v="THANH THÚY"/>
    <s v="VK01"/>
    <x v="114"/>
    <x v="6"/>
    <s v="CONCADOR"/>
    <m/>
    <s v="20.22"/>
    <n v="125"/>
    <s v="NL2018"/>
    <m/>
    <n v="80"/>
    <n v="10000"/>
    <x v="7"/>
    <n v="106000000"/>
    <x v="2"/>
    <d v="2019-09-01T00:00:00"/>
    <d v="2019-09-29T00:00:00"/>
    <d v="2019-09-29T00:00:00"/>
    <s v="TẾT"/>
    <m/>
    <m/>
    <m/>
    <m/>
    <m/>
    <m/>
    <m/>
    <m/>
    <m/>
    <m/>
    <m/>
    <n v="0"/>
    <n v="10000"/>
    <n v="106000000"/>
  </r>
  <r>
    <s v="154B/2019"/>
    <d v="2019-04-03T00:00:00"/>
    <s v="THANH THÚY"/>
    <s v="VK01"/>
    <x v="114"/>
    <x v="35"/>
    <s v="BACARDI"/>
    <m/>
    <s v="20.22"/>
    <n v="125"/>
    <s v="NL2018"/>
    <m/>
    <n v="48"/>
    <n v="6000"/>
    <x v="36"/>
    <n v="66000000"/>
    <x v="2"/>
    <d v="2019-09-01T00:00:00"/>
    <d v="2019-09-29T00:00:00"/>
    <d v="2019-09-29T00:00:00"/>
    <s v="TẾT"/>
    <m/>
    <m/>
    <m/>
    <m/>
    <m/>
    <m/>
    <m/>
    <m/>
    <m/>
    <m/>
    <m/>
    <n v="0"/>
    <n v="6000"/>
    <n v="66000000"/>
  </r>
  <r>
    <s v="154B/2019"/>
    <d v="2019-04-03T00:00:00"/>
    <s v="THANH THÚY"/>
    <s v="VK01"/>
    <x v="114"/>
    <x v="117"/>
    <s v="MALDANO"/>
    <m/>
    <s v="18.20"/>
    <n v="150"/>
    <s v="NL2018"/>
    <m/>
    <n v="34"/>
    <n v="5100"/>
    <x v="61"/>
    <n v="43350000"/>
    <x v="2"/>
    <d v="2019-09-01T00:00:00"/>
    <d v="2019-09-29T00:00:00"/>
    <d v="2019-09-29T00:00:00"/>
    <s v="TẾT"/>
    <m/>
    <m/>
    <m/>
    <m/>
    <m/>
    <m/>
    <m/>
    <m/>
    <m/>
    <m/>
    <m/>
    <n v="0"/>
    <n v="5100"/>
    <n v="43350000"/>
  </r>
  <r>
    <s v="154B/2019"/>
    <d v="2019-04-03T00:00:00"/>
    <s v="THANH THÚY"/>
    <s v="VK01"/>
    <x v="114"/>
    <x v="9"/>
    <s v="MANISSA"/>
    <m/>
    <s v="22.24"/>
    <n v="100"/>
    <s v="NL2018"/>
    <m/>
    <n v="100"/>
    <n v="10000"/>
    <x v="10"/>
    <n v="154000000"/>
    <x v="2"/>
    <d v="2019-09-01T00:00:00"/>
    <d v="2019-09-29T00:00:00"/>
    <d v="2019-09-29T00:00:00"/>
    <s v="TẾT"/>
    <m/>
    <m/>
    <m/>
    <m/>
    <m/>
    <m/>
    <m/>
    <m/>
    <m/>
    <m/>
    <m/>
    <n v="0"/>
    <n v="10000"/>
    <n v="154000000"/>
  </r>
  <r>
    <s v="223A/2019"/>
    <m/>
    <s v="KIỀU THY"/>
    <s v="VD03"/>
    <x v="115"/>
    <x v="24"/>
    <s v="SERANO"/>
    <m/>
    <s v="14.16"/>
    <s v="300"/>
    <s v="NL2018"/>
    <m/>
    <n v="0"/>
    <n v="0"/>
    <x v="117"/>
    <n v="0"/>
    <x v="1"/>
    <d v="2019-02-15T00:00:00"/>
    <d v="2019-03-20T00:00:00"/>
    <d v="2019-03-20T00:00:00"/>
    <s v="15/2AL"/>
    <s v="CONT 10/2019"/>
    <d v="2019-03-17T00:00:00"/>
    <m/>
    <m/>
    <m/>
    <m/>
    <m/>
    <m/>
    <m/>
    <m/>
    <m/>
    <n v="0"/>
    <n v="0"/>
    <n v="0"/>
  </r>
  <r>
    <s v="223A/2019"/>
    <d v="2019-05-25T00:00:00"/>
    <s v="KIỀU THY"/>
    <s v="VD03"/>
    <x v="115"/>
    <x v="16"/>
    <s v="ROBINA"/>
    <m/>
    <s v="20.22"/>
    <s v="125"/>
    <s v="NL2018"/>
    <m/>
    <n v="80"/>
    <n v="10000"/>
    <x v="16"/>
    <n v="107000000"/>
    <x v="2"/>
    <d v="2019-09-01T00:00:00"/>
    <d v="2019-09-29T00:00:00"/>
    <d v="2019-09-29T00:00:00"/>
    <m/>
    <m/>
    <m/>
    <m/>
    <m/>
    <m/>
    <m/>
    <m/>
    <m/>
    <m/>
    <m/>
    <m/>
    <n v="0"/>
    <n v="10000"/>
    <n v="107000000"/>
  </r>
  <r>
    <s v="223A/2019"/>
    <d v="2019-05-25T00:00:00"/>
    <s v="KIỀU THY"/>
    <s v="VD03"/>
    <x v="115"/>
    <x v="6"/>
    <s v="CONCADOR"/>
    <m/>
    <s v="20.22"/>
    <s v="125"/>
    <s v="NL2018"/>
    <m/>
    <n v="40"/>
    <n v="5000"/>
    <x v="7"/>
    <n v="53000000"/>
    <x v="2"/>
    <d v="2019-09-01T00:00:00"/>
    <d v="2019-09-29T00:00:00"/>
    <d v="2019-09-29T00:00:00"/>
    <m/>
    <m/>
    <m/>
    <m/>
    <m/>
    <m/>
    <m/>
    <m/>
    <m/>
    <m/>
    <m/>
    <m/>
    <n v="0"/>
    <n v="5000"/>
    <n v="53000000"/>
  </r>
  <r>
    <s v="114A/2019"/>
    <d v="2019-03-13T00:00:00"/>
    <s v="KIỀU THY"/>
    <s v="HT04"/>
    <x v="116"/>
    <x v="28"/>
    <s v="YELLOWEEN"/>
    <m/>
    <s v="14.16"/>
    <n v="300"/>
    <s v="NL2018"/>
    <m/>
    <n v="0"/>
    <n v="0"/>
    <x v="6"/>
    <n v="0"/>
    <x v="1"/>
    <d v="2019-03-15T00:00:00"/>
    <d v="2019-04-19T00:00:00"/>
    <d v="2019-04-19T00:00:00"/>
    <s v="15/3AL"/>
    <s v="CONT 27/2019"/>
    <d v="2019-04-14T00:00:00"/>
    <m/>
    <m/>
    <m/>
    <m/>
    <m/>
    <m/>
    <m/>
    <m/>
    <m/>
    <n v="0"/>
    <n v="0"/>
    <n v="0"/>
  </r>
  <r>
    <s v="114A/2019"/>
    <d v="2019-03-13T00:00:00"/>
    <s v="KIỀU THY"/>
    <s v="HT04"/>
    <x v="116"/>
    <x v="10"/>
    <s v="ARVANDRUD"/>
    <m/>
    <s v="16.18"/>
    <s v="200"/>
    <s v="NL2018"/>
    <m/>
    <n v="25"/>
    <n v="5000"/>
    <x v="44"/>
    <n v="27500000"/>
    <x v="0"/>
    <d v="2019-03-15T00:00:00"/>
    <d v="2019-04-19T00:00:00"/>
    <d v="2019-04-19T00:00:00"/>
    <s v="30/3AL"/>
    <m/>
    <m/>
    <m/>
    <d v="2019-05-24T00:00:00"/>
    <n v="5000"/>
    <m/>
    <m/>
    <m/>
    <m/>
    <m/>
    <m/>
    <n v="5000"/>
    <n v="0"/>
    <n v="0"/>
  </r>
  <r>
    <s v="114A/2019"/>
    <d v="2019-03-13T00:00:00"/>
    <s v="KIỀU THY"/>
    <s v="HT04"/>
    <x v="116"/>
    <x v="11"/>
    <s v="YELLOWEEN"/>
    <m/>
    <s v="12.14"/>
    <s v="400"/>
    <s v="NL2018"/>
    <m/>
    <n v="0"/>
    <n v="0"/>
    <x v="12"/>
    <n v="0"/>
    <x v="1"/>
    <s v="30-Feb-19"/>
    <d v="2019-04-04T00:00:00"/>
    <d v="2019-04-04T00:00:00"/>
    <s v="9-16/4 KH LÊN THANH TOÁN VÀ GIAO HÀNG"/>
    <s v="CONT 18/2019"/>
    <d v="2019-03-31T00:00:00"/>
    <m/>
    <m/>
    <n v="0"/>
    <m/>
    <m/>
    <m/>
    <m/>
    <m/>
    <m/>
    <n v="0"/>
    <n v="0"/>
    <n v="0"/>
  </r>
  <r>
    <s v="185A/2019"/>
    <d v="2019-04-09T00:00:00"/>
    <s v="KIỀU THY"/>
    <s v="HT04"/>
    <x v="116"/>
    <x v="31"/>
    <s v="TARRANGO"/>
    <m/>
    <s v="14.16"/>
    <s v="300"/>
    <s v="NL2018"/>
    <m/>
    <n v="6"/>
    <n v="1800"/>
    <x v="0"/>
    <n v="8460000"/>
    <x v="0"/>
    <s v="30-Feb-19"/>
    <d v="2019-04-04T00:00:00"/>
    <d v="2019-04-04T00:00:00"/>
    <s v="9-16/4 KH LÊN THANH TOÁN VÀ GIAO HÀNG"/>
    <m/>
    <m/>
    <m/>
    <d v="2019-04-23T00:00:00"/>
    <n v="1800"/>
    <m/>
    <m/>
    <m/>
    <m/>
    <m/>
    <m/>
    <n v="1800"/>
    <n v="0"/>
    <n v="0"/>
  </r>
  <r>
    <s v="104A/2019"/>
    <d v="2019-03-11T00:00:00"/>
    <s v="KIỀU THY"/>
    <s v="XK01"/>
    <x v="117"/>
    <x v="15"/>
    <s v="CONCADOR"/>
    <m/>
    <s v="16.18"/>
    <n v="200"/>
    <s v="NL2018"/>
    <m/>
    <n v="25"/>
    <n v="5000"/>
    <x v="18"/>
    <n v="25000000"/>
    <x v="0"/>
    <d v="2019-03-15T00:00:00"/>
    <d v="2019-04-19T00:00:00"/>
    <d v="2019-04-19T00:00:00"/>
    <s v="15/3AL"/>
    <s v="CONT 21/2019"/>
    <d v="2019-04-14T00:00:00"/>
    <m/>
    <d v="2019-04-26T00:00:00"/>
    <n v="5000"/>
    <m/>
    <m/>
    <m/>
    <m/>
    <m/>
    <m/>
    <n v="5000"/>
    <n v="0"/>
    <n v="0"/>
  </r>
  <r>
    <s v="104A/2019"/>
    <d v="2019-03-11T00:00:00"/>
    <s v="KIỀU THY"/>
    <s v="XK01"/>
    <x v="117"/>
    <x v="22"/>
    <s v="ROBINA"/>
    <m/>
    <s v="16.18"/>
    <n v="200"/>
    <s v="NL2018"/>
    <m/>
    <n v="25"/>
    <n v="5000"/>
    <x v="18"/>
    <n v="25000000"/>
    <x v="0"/>
    <d v="2019-03-15T00:00:00"/>
    <d v="2019-04-19T00:00:00"/>
    <d v="2019-04-19T00:00:00"/>
    <s v="15/3AL"/>
    <s v="CONT 26/2019"/>
    <d v="2019-04-14T00:00:00"/>
    <m/>
    <d v="2019-04-26T00:00:00"/>
    <n v="5000"/>
    <m/>
    <m/>
    <m/>
    <m/>
    <m/>
    <m/>
    <n v="5000"/>
    <n v="0"/>
    <n v="0"/>
  </r>
  <r>
    <s v="104A/2019"/>
    <d v="2019-03-11T00:00:00"/>
    <s v="KIỀU THY"/>
    <s v="XK01"/>
    <x v="117"/>
    <x v="47"/>
    <s v="ROBINA"/>
    <m/>
    <s v="18.20"/>
    <n v="150"/>
    <s v="NL2018"/>
    <m/>
    <n v="34"/>
    <n v="5100"/>
    <x v="42"/>
    <n v="32130000"/>
    <x v="0"/>
    <d v="2019-03-15T00:00:00"/>
    <d v="2019-04-19T00:00:00"/>
    <d v="2019-04-19T00:00:00"/>
    <s v="15/3AL"/>
    <s v="CONT 25/2019"/>
    <d v="2019-04-14T00:00:00"/>
    <m/>
    <d v="2019-04-26T00:00:00"/>
    <n v="5100"/>
    <m/>
    <m/>
    <m/>
    <m/>
    <m/>
    <m/>
    <n v="5100"/>
    <n v="0"/>
    <n v="0"/>
  </r>
  <r>
    <s v="104A/2019"/>
    <d v="2019-03-11T00:00:00"/>
    <s v="KIỀU THY"/>
    <s v="XK01"/>
    <x v="117"/>
    <x v="28"/>
    <s v="YELLOWEEN"/>
    <m/>
    <s v="14.16"/>
    <n v="300"/>
    <s v="NL2018"/>
    <m/>
    <n v="17"/>
    <n v="5100"/>
    <x v="6"/>
    <n v="19380000"/>
    <x v="0"/>
    <d v="2019-03-15T00:00:00"/>
    <d v="2019-04-19T00:00:00"/>
    <d v="2019-04-19T00:00:00"/>
    <s v="15/3AL"/>
    <s v="CONT 20/2019"/>
    <d v="2019-04-14T00:00:00"/>
    <m/>
    <d v="2019-04-26T00:00:00"/>
    <n v="5100"/>
    <m/>
    <m/>
    <m/>
    <m/>
    <m/>
    <m/>
    <n v="5100"/>
    <n v="0"/>
    <n v="0"/>
  </r>
  <r>
    <s v="104A/2019"/>
    <d v="2019-04-23T00:00:00"/>
    <s v="KIỀU THY"/>
    <s v="XK01"/>
    <x v="117"/>
    <x v="5"/>
    <s v="PROFUNDO"/>
    <m/>
    <s v="16.18"/>
    <n v="200"/>
    <s v="NL2018"/>
    <m/>
    <n v="15"/>
    <n v="3000"/>
    <x v="5"/>
    <n v="23100000"/>
    <x v="0"/>
    <d v="2019-03-15T00:00:00"/>
    <d v="2019-04-19T00:00:00"/>
    <d v="2019-04-19T00:00:00"/>
    <s v="15/3AL"/>
    <m/>
    <m/>
    <m/>
    <d v="2019-04-26T00:00:00"/>
    <n v="3000"/>
    <m/>
    <m/>
    <m/>
    <m/>
    <m/>
    <m/>
    <n v="3000"/>
    <n v="0"/>
    <n v="0"/>
  </r>
  <r>
    <s v="104A/2019"/>
    <d v="2019-04-25T00:00:00"/>
    <s v="KIỀU THY"/>
    <s v="XK01"/>
    <x v="117"/>
    <x v="5"/>
    <s v="PROFUNDO"/>
    <m/>
    <s v="16.18"/>
    <n v="200"/>
    <s v="NL2018"/>
    <m/>
    <n v="5"/>
    <n v="1000"/>
    <x v="5"/>
    <n v="7700000"/>
    <x v="0"/>
    <d v="2019-02-28T00:00:00"/>
    <d v="2019-04-02T00:00:00"/>
    <d v="2019-04-02T00:00:00"/>
    <s v="28/2AL"/>
    <m/>
    <m/>
    <m/>
    <d v="2019-04-26T00:00:00"/>
    <n v="1000"/>
    <m/>
    <m/>
    <m/>
    <m/>
    <m/>
    <m/>
    <n v="1000"/>
    <n v="0"/>
    <n v="0"/>
  </r>
  <r>
    <s v="104A/2019"/>
    <d v="2019-03-11T00:00:00"/>
    <s v="KIỀU THY"/>
    <s v="XK01"/>
    <x v="117"/>
    <x v="22"/>
    <s v="ROBINA"/>
    <m/>
    <s v="16.18"/>
    <n v="200"/>
    <s v="NL2018"/>
    <m/>
    <n v="25"/>
    <n v="5000"/>
    <x v="55"/>
    <n v="26500000"/>
    <x v="0"/>
    <d v="2019-03-15T00:00:00"/>
    <d v="2019-04-19T00:00:00"/>
    <d v="2019-04-19T00:00:00"/>
    <s v="17/4AL"/>
    <m/>
    <m/>
    <m/>
    <m/>
    <n v="5000"/>
    <m/>
    <m/>
    <m/>
    <m/>
    <m/>
    <m/>
    <n v="5000"/>
    <n v="0"/>
    <n v="0"/>
  </r>
  <r>
    <s v="104A/2019"/>
    <d v="2019-03-11T00:00:00"/>
    <s v="KIỀU THY"/>
    <s v="XK01"/>
    <x v="117"/>
    <x v="28"/>
    <s v="YELLOWEEN"/>
    <m/>
    <s v="14.16"/>
    <n v="300"/>
    <s v="NL2018"/>
    <m/>
    <n v="17"/>
    <n v="5100"/>
    <x v="6"/>
    <n v="19380000"/>
    <x v="0"/>
    <d v="2019-03-15T00:00:00"/>
    <d v="2019-04-19T00:00:00"/>
    <d v="2019-04-19T00:00:00"/>
    <s v="17/4AL"/>
    <m/>
    <m/>
    <m/>
    <m/>
    <n v="5100"/>
    <m/>
    <m/>
    <m/>
    <m/>
    <m/>
    <m/>
    <n v="5100"/>
    <n v="0"/>
    <n v="0"/>
  </r>
  <r>
    <s v="104A/2019"/>
    <d v="2019-03-11T00:00:00"/>
    <s v="KIỀU THY"/>
    <s v="XK01"/>
    <x v="117"/>
    <x v="57"/>
    <s v="DALIAN"/>
    <m/>
    <s v="14.16"/>
    <n v="300"/>
    <s v="NL2018"/>
    <m/>
    <n v="17"/>
    <n v="5100"/>
    <x v="55"/>
    <n v="27030000"/>
    <x v="0"/>
    <d v="2019-03-30T00:00:00"/>
    <d v="2019-05-04T00:00:00"/>
    <d v="2019-05-04T00:00:00"/>
    <s v="17/4AL"/>
    <m/>
    <m/>
    <m/>
    <d v="2019-05-19T00:00:00"/>
    <n v="5100"/>
    <m/>
    <m/>
    <m/>
    <m/>
    <m/>
    <m/>
    <n v="5100"/>
    <n v="0"/>
    <n v="0"/>
  </r>
  <r>
    <s v="104A/2019"/>
    <d v="2019-01-15T00:00:00"/>
    <s v="KIỀU THY"/>
    <s v="XK01"/>
    <x v="117"/>
    <x v="32"/>
    <s v="BACARDI"/>
    <m/>
    <s v="16.18"/>
    <n v="200"/>
    <s v="NL2018"/>
    <m/>
    <n v="20"/>
    <n v="4000"/>
    <x v="42"/>
    <n v="25200000"/>
    <x v="0"/>
    <s v="30-Feb-19"/>
    <d v="2019-04-04T00:00:00"/>
    <d v="2019-04-04T00:00:00"/>
    <s v="30/2AL"/>
    <s v="CONT 14/2019"/>
    <d v="2019-03-31T00:00:00"/>
    <m/>
    <d v="2019-04-16T00:00:00"/>
    <n v="4000"/>
    <m/>
    <m/>
    <m/>
    <m/>
    <m/>
    <m/>
    <n v="4000"/>
    <n v="0"/>
    <n v="0"/>
  </r>
  <r>
    <s v="104A/2019"/>
    <d v="2019-01-15T00:00:00"/>
    <s v="KIỀU THY"/>
    <s v="XK01"/>
    <x v="117"/>
    <x v="15"/>
    <s v="CONCADOR "/>
    <m/>
    <s v="16.18"/>
    <n v="200"/>
    <s v="NL2018"/>
    <m/>
    <n v="30"/>
    <n v="6000"/>
    <x v="0"/>
    <n v="28200000"/>
    <x v="0"/>
    <s v="30-Feb-19"/>
    <d v="2019-04-04T00:00:00"/>
    <d v="2019-04-04T00:00:00"/>
    <s v="30/2AL"/>
    <s v="CONT 17/2019"/>
    <d v="2019-03-31T00:00:00"/>
    <m/>
    <d v="2019-04-16T00:00:00"/>
    <n v="6000"/>
    <m/>
    <m/>
    <m/>
    <m/>
    <m/>
    <m/>
    <n v="6000"/>
    <n v="0"/>
    <n v="0"/>
  </r>
  <r>
    <s v="104A/2019"/>
    <d v="2019-01-15T00:00:00"/>
    <s v="KIỀU THY"/>
    <s v="XK01"/>
    <x v="117"/>
    <x v="22"/>
    <s v="ROBINA"/>
    <m/>
    <s v="16.18"/>
    <n v="200"/>
    <s v="NL2018"/>
    <m/>
    <n v="40"/>
    <n v="8000"/>
    <x v="18"/>
    <n v="40000000"/>
    <x v="0"/>
    <s v="30-Feb-19"/>
    <d v="2019-04-04T00:00:00"/>
    <d v="2019-04-04T00:00:00"/>
    <s v="30/2AL"/>
    <s v="CONT 15/2019"/>
    <d v="2019-03-31T00:00:00"/>
    <s v="R"/>
    <d v="2019-04-06T00:00:00"/>
    <n v="8000"/>
    <m/>
    <m/>
    <m/>
    <m/>
    <m/>
    <m/>
    <n v="8000"/>
    <n v="0"/>
    <n v="0"/>
  </r>
  <r>
    <s v="104A/2019"/>
    <d v="2019-03-11T00:00:00"/>
    <s v="KIỀU THY"/>
    <s v="XK01"/>
    <x v="117"/>
    <x v="24"/>
    <s v="SERANO"/>
    <m/>
    <s v="14.16"/>
    <n v="300"/>
    <s v="NL2018"/>
    <m/>
    <n v="17"/>
    <n v="5100"/>
    <x v="68"/>
    <n v="17850000"/>
    <x v="0"/>
    <s v="30-Feb-19"/>
    <d v="2019-04-04T00:00:00"/>
    <d v="2019-04-04T00:00:00"/>
    <s v="30/2AL"/>
    <s v="CONT 17/2019"/>
    <d v="2019-03-31T00:00:00"/>
    <m/>
    <d v="2019-04-16T00:00:00"/>
    <n v="5100"/>
    <m/>
    <m/>
    <m/>
    <m/>
    <m/>
    <m/>
    <n v="5100"/>
    <n v="0"/>
    <n v="0"/>
  </r>
  <r>
    <s v="153A/2019"/>
    <d v="2019-03-28T00:00:00"/>
    <s v="KIỀU THY"/>
    <s v="XK01"/>
    <x v="117"/>
    <x v="10"/>
    <s v="ARVANDRUD"/>
    <m/>
    <s v="16.18"/>
    <n v="200"/>
    <s v="NL2018"/>
    <m/>
    <n v="25"/>
    <n v="5000"/>
    <x v="26"/>
    <n v="29000000"/>
    <x v="0"/>
    <d v="2019-03-15T00:00:00"/>
    <d v="2019-04-19T00:00:00"/>
    <d v="2019-04-19T00:00:00"/>
    <s v="17/4AL"/>
    <m/>
    <m/>
    <m/>
    <d v="2019-05-23T00:00:00"/>
    <n v="5000"/>
    <m/>
    <m/>
    <m/>
    <m/>
    <m/>
    <m/>
    <n v="5000"/>
    <n v="0"/>
    <n v="0"/>
  </r>
  <r>
    <s v="153A/2019"/>
    <d v="2019-03-28T00:00:00"/>
    <s v="KIỀU THY"/>
    <s v="XK01"/>
    <x v="117"/>
    <x v="24"/>
    <s v="SERANO"/>
    <m/>
    <s v="14.16"/>
    <n v="300"/>
    <s v="NL2018"/>
    <m/>
    <n v="16"/>
    <n v="4800"/>
    <x v="117"/>
    <n v="17760000"/>
    <x v="0"/>
    <d v="2019-04-17T00:00:00"/>
    <d v="2019-05-21T00:00:00"/>
    <d v="2019-05-21T00:00:00"/>
    <s v="17/4AL"/>
    <m/>
    <m/>
    <m/>
    <m/>
    <n v="5100"/>
    <m/>
    <m/>
    <m/>
    <m/>
    <m/>
    <m/>
    <n v="5100"/>
    <n v="-300"/>
    <n v="-1110000"/>
  </r>
  <r>
    <s v="153A/2019"/>
    <d v="2019-03-28T00:00:00"/>
    <s v="KIỀU THY"/>
    <s v="XK01"/>
    <x v="117"/>
    <x v="15"/>
    <s v="CONCADOR"/>
    <m/>
    <s v="16.18"/>
    <n v="200"/>
    <s v="NL2018"/>
    <m/>
    <n v="26"/>
    <n v="5200"/>
    <x v="46"/>
    <n v="31200000"/>
    <x v="0"/>
    <d v="2019-04-17T00:00:00"/>
    <d v="2019-05-21T00:00:00"/>
    <d v="2019-05-21T00:00:00"/>
    <s v="17/4AL"/>
    <m/>
    <m/>
    <m/>
    <d v="2019-05-19T00:00:00"/>
    <n v="5000"/>
    <m/>
    <m/>
    <m/>
    <m/>
    <m/>
    <m/>
    <n v="5000"/>
    <n v="200"/>
    <n v="1200000"/>
  </r>
  <r>
    <s v="153A/2019"/>
    <d v="2019-04-23T00:00:00"/>
    <s v="KIỀU THY"/>
    <s v="XK01"/>
    <x v="117"/>
    <x v="30"/>
    <s v="MALDANO"/>
    <m/>
    <s v="16.18"/>
    <n v="200"/>
    <s v="NL2018"/>
    <m/>
    <n v="10"/>
    <n v="2000"/>
    <x v="55"/>
    <n v="10600000"/>
    <x v="0"/>
    <d v="2019-04-17T00:00:00"/>
    <d v="2019-05-21T00:00:00"/>
    <d v="2019-05-21T00:00:00"/>
    <s v="17/4AL"/>
    <m/>
    <m/>
    <m/>
    <d v="2019-05-19T00:00:00"/>
    <n v="2000"/>
    <m/>
    <m/>
    <m/>
    <m/>
    <m/>
    <m/>
    <n v="2000"/>
    <n v="0"/>
    <n v="0"/>
  </r>
  <r>
    <s v="153A/2019"/>
    <d v="2019-03-28T00:00:00"/>
    <s v="KIỀU THY"/>
    <s v="XK01"/>
    <x v="117"/>
    <x v="48"/>
    <s v="SERANO"/>
    <m/>
    <s v="16.18"/>
    <n v="200"/>
    <s v="NL2018"/>
    <m/>
    <n v="50"/>
    <n v="10000"/>
    <x v="82"/>
    <n v="52000000"/>
    <x v="4"/>
    <d v="2019-05-05T00:00:00"/>
    <d v="2019-06-07T00:00:00"/>
    <d v="2019-06-07T00:00:00"/>
    <s v="10/5AL"/>
    <m/>
    <m/>
    <m/>
    <m/>
    <m/>
    <m/>
    <m/>
    <m/>
    <m/>
    <m/>
    <m/>
    <n v="0"/>
    <n v="10000"/>
    <n v="52000000"/>
  </r>
  <r>
    <s v="153A/2019"/>
    <d v="2019-03-28T00:00:00"/>
    <s v="KIỀU THY"/>
    <s v="XK01"/>
    <x v="117"/>
    <x v="47"/>
    <s v="ROBINA"/>
    <m/>
    <s v="18.20"/>
    <n v="150"/>
    <s v="NL2018"/>
    <m/>
    <n v="164"/>
    <n v="24600"/>
    <x v="35"/>
    <n v="177120000"/>
    <x v="4"/>
    <d v="2019-05-05T00:00:00"/>
    <d v="2019-06-07T00:00:00"/>
    <d v="2019-06-07T00:00:00"/>
    <s v="10/5AL"/>
    <m/>
    <m/>
    <m/>
    <d v="2019-06-08T00:00:00"/>
    <n v="10050"/>
    <m/>
    <m/>
    <m/>
    <m/>
    <m/>
    <m/>
    <n v="10050"/>
    <n v="14550"/>
    <n v="104760000"/>
  </r>
  <r>
    <s v="153A/2019"/>
    <d v="2019-04-23T00:00:00"/>
    <s v="KIỀU THY"/>
    <s v="XK01"/>
    <x v="117"/>
    <x v="31"/>
    <s v="TARRANGO"/>
    <m/>
    <s v="14.16"/>
    <n v="300"/>
    <s v="NL2018"/>
    <m/>
    <n v="34"/>
    <n v="10200"/>
    <x v="77"/>
    <n v="49980000"/>
    <x v="0"/>
    <d v="2019-05-05T00:00:00"/>
    <d v="2019-06-07T00:00:00"/>
    <d v="2019-06-07T00:00:00"/>
    <s v="10/5AL"/>
    <m/>
    <m/>
    <m/>
    <d v="2019-06-08T00:00:00"/>
    <n v="10200"/>
    <m/>
    <m/>
    <m/>
    <m/>
    <m/>
    <m/>
    <n v="10200"/>
    <n v="0"/>
    <n v="0"/>
  </r>
  <r>
    <s v="153A/2019"/>
    <d v="2019-03-28T00:00:00"/>
    <s v="KIỀU THY"/>
    <s v="XK01"/>
    <x v="117"/>
    <x v="47"/>
    <s v="ROBINA"/>
    <m/>
    <s v="18.20"/>
    <n v="150"/>
    <s v="NL2018"/>
    <m/>
    <n v="168"/>
    <n v="25200"/>
    <x v="80"/>
    <n v="183960000"/>
    <x v="3"/>
    <d v="2019-05-18T00:00:00"/>
    <d v="2019-06-20T00:00:00"/>
    <d v="2019-06-20T00:00:00"/>
    <s v="10/6AL"/>
    <m/>
    <m/>
    <m/>
    <m/>
    <m/>
    <m/>
    <m/>
    <m/>
    <m/>
    <m/>
    <m/>
    <n v="0"/>
    <n v="25200"/>
    <n v="183960000"/>
  </r>
  <r>
    <s v="153A/2019"/>
    <d v="2019-04-23T00:00:00"/>
    <s v="KIỀU THY"/>
    <s v="XK01"/>
    <x v="117"/>
    <x v="48"/>
    <s v="SERANO"/>
    <m/>
    <s v="16.18"/>
    <n v="200"/>
    <s v="NL2018"/>
    <m/>
    <n v="50"/>
    <n v="10000"/>
    <x v="82"/>
    <n v="52000000"/>
    <x v="3"/>
    <d v="2019-05-30T00:00:00"/>
    <d v="2019-07-02T00:00:00"/>
    <d v="2019-07-02T00:00:00"/>
    <s v="10/5AL"/>
    <m/>
    <m/>
    <m/>
    <m/>
    <m/>
    <m/>
    <m/>
    <m/>
    <m/>
    <m/>
    <m/>
    <n v="0"/>
    <n v="10000"/>
    <n v="52000000"/>
  </r>
  <r>
    <s v="153A/2019"/>
    <d v="2019-04-23T00:00:00"/>
    <s v="KIỀU THY"/>
    <s v="XK01"/>
    <x v="117"/>
    <x v="31"/>
    <s v="TARRANGO"/>
    <m/>
    <s v="14.16"/>
    <n v="300"/>
    <s v="NL2018"/>
    <m/>
    <n v="34"/>
    <n v="10200"/>
    <x v="77"/>
    <n v="49980000"/>
    <x v="3"/>
    <d v="2019-05-30T00:00:00"/>
    <d v="2019-07-02T00:00:00"/>
    <d v="2019-07-02T00:00:00"/>
    <s v="25/5AL"/>
    <m/>
    <m/>
    <m/>
    <m/>
    <m/>
    <m/>
    <m/>
    <m/>
    <m/>
    <m/>
    <m/>
    <n v="0"/>
    <n v="10200"/>
    <n v="49980000"/>
  </r>
  <r>
    <s v="153A/2019"/>
    <d v="2019-03-28T00:00:00"/>
    <s v="KIỀU THY"/>
    <s v="XK01"/>
    <x v="117"/>
    <x v="48"/>
    <s v="SERANO"/>
    <m/>
    <s v="16.18"/>
    <n v="200"/>
    <s v="NL2018"/>
    <m/>
    <n v="100"/>
    <n v="20000"/>
    <x v="55"/>
    <n v="106000000"/>
    <x v="2"/>
    <d v="2019-06-29T00:00:00"/>
    <d v="2019-07-31T00:00:00"/>
    <d v="2019-07-31T00:00:00"/>
    <s v="10/6AL"/>
    <m/>
    <m/>
    <m/>
    <m/>
    <m/>
    <m/>
    <m/>
    <m/>
    <m/>
    <m/>
    <m/>
    <n v="0"/>
    <n v="20000"/>
    <n v="106000000"/>
  </r>
  <r>
    <s v="153A/2019"/>
    <d v="2019-05-06T00:00:00"/>
    <s v="KIỀU THY"/>
    <s v="XK01"/>
    <x v="117"/>
    <x v="48"/>
    <s v="SERANO"/>
    <m/>
    <s v="16.18"/>
    <n v="200"/>
    <s v="NL2018"/>
    <m/>
    <n v="125"/>
    <n v="25000"/>
    <x v="55"/>
    <n v="132500000"/>
    <x v="2"/>
    <d v="2019-06-29T00:00:00"/>
    <d v="2019-07-31T00:00:00"/>
    <d v="2019-07-31T00:00:00"/>
    <s v="T6/AL"/>
    <m/>
    <m/>
    <m/>
    <m/>
    <m/>
    <m/>
    <m/>
    <m/>
    <m/>
    <m/>
    <m/>
    <n v="0"/>
    <n v="25000"/>
    <n v="132500000"/>
  </r>
  <r>
    <s v="153A/2019"/>
    <d v="2019-05-06T00:00:00"/>
    <s v="KIỀU THY"/>
    <s v="XK01"/>
    <x v="117"/>
    <x v="48"/>
    <s v="SERANO"/>
    <m/>
    <s v="16.18"/>
    <n v="200"/>
    <s v="NL2018"/>
    <m/>
    <n v="125"/>
    <n v="25000"/>
    <x v="11"/>
    <n v="135000000"/>
    <x v="2"/>
    <d v="2019-07-10T00:00:00"/>
    <d v="2019-08-10T00:00:00"/>
    <d v="2019-08-10T00:00:00"/>
    <s v="T7/AL"/>
    <m/>
    <m/>
    <m/>
    <m/>
    <m/>
    <m/>
    <m/>
    <m/>
    <m/>
    <m/>
    <m/>
    <n v="0"/>
    <n v="25000"/>
    <n v="135000000"/>
  </r>
  <r>
    <s v="30A/2019"/>
    <d v="2019-01-15T00:00:00"/>
    <s v="KIỀU THY"/>
    <s v="XK01"/>
    <x v="117"/>
    <x v="32"/>
    <s v="BACARDI"/>
    <m/>
    <s v="16.18"/>
    <n v="200"/>
    <s v="NL2018"/>
    <m/>
    <n v="20"/>
    <n v="4000"/>
    <x v="42"/>
    <n v="25200000"/>
    <x v="0"/>
    <d v="2019-01-15T00:00:00"/>
    <d v="2019-02-19T00:00:00"/>
    <d v="2019-02-19T00:00:00"/>
    <s v="15/1AL"/>
    <m/>
    <m/>
    <s v="R"/>
    <d v="2019-03-09T00:00:00"/>
    <n v="4000"/>
    <m/>
    <m/>
    <m/>
    <m/>
    <m/>
    <m/>
    <n v="4000"/>
    <n v="0"/>
    <n v="0"/>
  </r>
  <r>
    <s v="30A/2019"/>
    <d v="2019-01-15T00:00:00"/>
    <s v="KIỀU THY"/>
    <s v="XK01"/>
    <x v="117"/>
    <x v="15"/>
    <s v="CONCADOR "/>
    <m/>
    <s v="16.18"/>
    <n v="200"/>
    <s v="NL2018"/>
    <m/>
    <n v="30"/>
    <n v="6000"/>
    <x v="21"/>
    <n v="27600000"/>
    <x v="0"/>
    <d v="2019-01-15T00:00:00"/>
    <d v="2019-02-19T00:00:00"/>
    <d v="2019-02-19T00:00:00"/>
    <s v="15/1AL"/>
    <m/>
    <m/>
    <s v="R"/>
    <d v="2019-03-02T00:00:00"/>
    <n v="6000"/>
    <m/>
    <m/>
    <m/>
    <m/>
    <m/>
    <m/>
    <n v="6000"/>
    <n v="0"/>
    <n v="0"/>
  </r>
  <r>
    <s v="30A/2019"/>
    <d v="2019-01-15T00:00:00"/>
    <s v="KIỀU THY"/>
    <s v="XK01"/>
    <x v="117"/>
    <x v="38"/>
    <s v="YELLOWEEN"/>
    <m/>
    <s v="16.18"/>
    <n v="200"/>
    <s v="NL2018"/>
    <m/>
    <n v="25"/>
    <n v="5000"/>
    <x v="18"/>
    <n v="25000000"/>
    <x v="0"/>
    <d v="2019-01-15T00:00:00"/>
    <d v="2019-02-19T00:00:00"/>
    <d v="2019-02-19T00:00:00"/>
    <s v="15/1AL"/>
    <m/>
    <m/>
    <s v="R"/>
    <d v="2019-03-09T00:00:00"/>
    <n v="5000"/>
    <m/>
    <m/>
    <m/>
    <m/>
    <m/>
    <m/>
    <n v="5000"/>
    <n v="0"/>
    <n v="0"/>
  </r>
  <r>
    <s v="30A/2019"/>
    <d v="2019-01-15T00:00:00"/>
    <s v="KIỀU THY"/>
    <s v="XK01"/>
    <x v="117"/>
    <x v="79"/>
    <s v="YELLOWEEN"/>
    <m/>
    <s v="16.18"/>
    <n v="200"/>
    <s v="NL2017"/>
    <m/>
    <n v="25"/>
    <n v="5000"/>
    <x v="6"/>
    <n v="19000000"/>
    <x v="0"/>
    <d v="2019-01-15T00:00:00"/>
    <d v="2019-02-19T00:00:00"/>
    <d v="2019-02-19T00:00:00"/>
    <s v="15/1AL"/>
    <m/>
    <m/>
    <m/>
    <d v="2019-03-09T00:00:00"/>
    <n v="5000"/>
    <m/>
    <m/>
    <m/>
    <m/>
    <m/>
    <m/>
    <n v="5000"/>
    <n v="0"/>
    <n v="0"/>
  </r>
  <r>
    <s v="30A/2019"/>
    <d v="2019-01-15T00:00:00"/>
    <s v="KIỀU THY"/>
    <s v="XK01"/>
    <x v="117"/>
    <x v="5"/>
    <s v="PROFUNDO"/>
    <m/>
    <s v="16.18"/>
    <n v="200"/>
    <s v="NL2018"/>
    <m/>
    <n v="25"/>
    <n v="5000"/>
    <x v="45"/>
    <n v="33500000"/>
    <x v="0"/>
    <d v="2019-02-15T00:00:00"/>
    <d v="2019-03-20T00:00:00"/>
    <d v="2019-03-20T00:00:00"/>
    <s v="15/2AL"/>
    <s v="CONT 12/2019"/>
    <d v="2019-03-17T00:00:00"/>
    <m/>
    <d v="2019-03-19T00:00:00"/>
    <n v="5000"/>
    <m/>
    <m/>
    <m/>
    <m/>
    <m/>
    <m/>
    <n v="5000"/>
    <n v="0"/>
    <n v="0"/>
  </r>
  <r>
    <s v="30A/2019"/>
    <d v="2019-01-15T00:00:00"/>
    <s v="KIỀU THY"/>
    <s v="XK01"/>
    <x v="117"/>
    <x v="47"/>
    <s v="ROBINA"/>
    <m/>
    <s v="18.20"/>
    <n v="150"/>
    <s v="NL2018"/>
    <m/>
    <n v="34"/>
    <n v="5100"/>
    <x v="42"/>
    <n v="32130000"/>
    <x v="0"/>
    <d v="2019-02-15T00:00:00"/>
    <d v="2019-03-20T00:00:00"/>
    <d v="2019-03-20T00:00:00"/>
    <s v="15/2AL"/>
    <s v="CONT 11/2019"/>
    <d v="2019-03-17T00:00:00"/>
    <m/>
    <d v="2019-03-19T00:00:00"/>
    <n v="5100"/>
    <m/>
    <m/>
    <m/>
    <m/>
    <m/>
    <m/>
    <n v="5100"/>
    <n v="0"/>
    <n v="0"/>
  </r>
  <r>
    <s v="30A/2019"/>
    <d v="2019-01-15T00:00:00"/>
    <s v="KIỀU THY"/>
    <s v="XK01"/>
    <x v="117"/>
    <x v="28"/>
    <s v="YELLOWEEN"/>
    <m/>
    <s v="14.16"/>
    <n v="300"/>
    <s v="NL2018"/>
    <m/>
    <n v="20"/>
    <n v="6000"/>
    <x v="6"/>
    <n v="22800000"/>
    <x v="0"/>
    <d v="2019-02-15T00:00:00"/>
    <d v="2019-03-20T00:00:00"/>
    <d v="2019-03-20T00:00:00"/>
    <s v="15/2AL"/>
    <s v="CONT 10/2019"/>
    <d v="2019-03-17T00:00:00"/>
    <s v="R"/>
    <d v="2019-03-19T00:00:00"/>
    <n v="6000"/>
    <m/>
    <m/>
    <m/>
    <m/>
    <m/>
    <m/>
    <n v="6000"/>
    <n v="0"/>
    <n v="0"/>
  </r>
  <r>
    <s v="30A/2019"/>
    <d v="2019-01-15T00:00:00"/>
    <s v="KIỀU THY"/>
    <s v="XK01"/>
    <x v="117"/>
    <x v="6"/>
    <s v="CONCADOR"/>
    <m/>
    <s v="20.22"/>
    <n v="125"/>
    <s v="NL2018"/>
    <m/>
    <n v="40"/>
    <n v="5000"/>
    <x v="59"/>
    <n v="52500000"/>
    <x v="2"/>
    <d v="2019-09-01T00:00:00"/>
    <d v="2019-09-29T00:00:00"/>
    <d v="2019-09-29T00:00:00"/>
    <s v="TẾT"/>
    <m/>
    <m/>
    <m/>
    <m/>
    <n v="0"/>
    <m/>
    <m/>
    <m/>
    <m/>
    <m/>
    <m/>
    <n v="0"/>
    <n v="5000"/>
    <n v="52500000"/>
  </r>
  <r>
    <s v="30A/2019"/>
    <d v="2019-01-15T00:00:00"/>
    <s v="KIỀU THY"/>
    <s v="XK01"/>
    <x v="117"/>
    <x v="46"/>
    <s v="CONCADOR"/>
    <m/>
    <s v="22.24"/>
    <n v="100"/>
    <s v="NL2018"/>
    <m/>
    <n v="100"/>
    <n v="10000"/>
    <x v="29"/>
    <n v="125000000"/>
    <x v="2"/>
    <d v="2019-09-01T00:00:00"/>
    <d v="2019-09-29T00:00:00"/>
    <d v="2019-09-29T00:00:00"/>
    <s v="TẾT"/>
    <m/>
    <m/>
    <m/>
    <m/>
    <n v="0"/>
    <m/>
    <m/>
    <m/>
    <m/>
    <m/>
    <m/>
    <n v="0"/>
    <n v="10000"/>
    <n v="125000000"/>
  </r>
  <r>
    <s v="30A/2019"/>
    <d v="2019-01-15T00:00:00"/>
    <s v="KIỀU THY"/>
    <s v="XK01"/>
    <x v="117"/>
    <x v="85"/>
    <s v="DALIAN"/>
    <m/>
    <s v="20.22"/>
    <n v="125"/>
    <s v="NL2018"/>
    <m/>
    <n v="40"/>
    <n v="5000"/>
    <x v="85"/>
    <n v="71000000"/>
    <x v="2"/>
    <d v="2019-09-01T00:00:00"/>
    <d v="2019-09-29T00:00:00"/>
    <d v="2019-09-29T00:00:00"/>
    <s v="TẾT"/>
    <m/>
    <m/>
    <m/>
    <m/>
    <n v="0"/>
    <m/>
    <m/>
    <m/>
    <m/>
    <m/>
    <m/>
    <n v="0"/>
    <n v="5000"/>
    <n v="71000000"/>
  </r>
  <r>
    <s v="30A/2019"/>
    <d v="2019-01-15T00:00:00"/>
    <s v="KIỀU THY"/>
    <s v="XK01"/>
    <x v="117"/>
    <x v="87"/>
    <s v="PROFUNDO"/>
    <m/>
    <s v="22.24"/>
    <n v="100"/>
    <s v="NL2018"/>
    <m/>
    <n v="50"/>
    <n v="5000"/>
    <x v="85"/>
    <n v="71000000"/>
    <x v="2"/>
    <d v="2019-09-01T00:00:00"/>
    <d v="2019-09-29T00:00:00"/>
    <d v="2019-09-29T00:00:00"/>
    <s v="TẾT"/>
    <m/>
    <m/>
    <m/>
    <m/>
    <n v="0"/>
    <m/>
    <m/>
    <m/>
    <m/>
    <m/>
    <m/>
    <n v="0"/>
    <n v="5000"/>
    <n v="71000000"/>
  </r>
  <r>
    <s v="30A/2019"/>
    <d v="2019-01-15T00:00:00"/>
    <s v="KIỀU THY"/>
    <s v="XK01"/>
    <x v="117"/>
    <x v="138"/>
    <s v="BACARDI"/>
    <m/>
    <s v="22.24"/>
    <n v="85"/>
    <s v="NL2018"/>
    <m/>
    <n v="59"/>
    <n v="5015"/>
    <x v="121"/>
    <n v="58174000"/>
    <x v="2"/>
    <d v="2019-09-01T00:00:00"/>
    <d v="2019-09-29T00:00:00"/>
    <d v="2019-09-29T00:00:00"/>
    <s v="TẾT"/>
    <m/>
    <m/>
    <m/>
    <m/>
    <n v="0"/>
    <m/>
    <m/>
    <m/>
    <m/>
    <m/>
    <m/>
    <n v="0"/>
    <n v="5015"/>
    <n v="58174000"/>
  </r>
  <r>
    <s v="151A/2019"/>
    <d v="2019-03-27T00:00:00"/>
    <s v="KIỀU THY"/>
    <s v="TT03"/>
    <x v="118"/>
    <x v="174"/>
    <s v="SERANO"/>
    <m/>
    <s v="14.16"/>
    <s v="300"/>
    <s v="NL2017"/>
    <m/>
    <n v="17"/>
    <n v="5100"/>
    <x v="25"/>
    <n v="18360000"/>
    <x v="0"/>
    <m/>
    <s v=""/>
    <s v=""/>
    <m/>
    <m/>
    <m/>
    <m/>
    <d v="2019-04-03T00:00:00"/>
    <n v="5100"/>
    <m/>
    <m/>
    <m/>
    <m/>
    <m/>
    <m/>
    <n v="5100"/>
    <n v="0"/>
    <n v="0"/>
  </r>
  <r>
    <s v="151A/2019"/>
    <d v="2019-03-27T00:00:00"/>
    <s v="KIỀU THY"/>
    <s v="TT03"/>
    <x v="118"/>
    <x v="175"/>
    <s v="INDIANA"/>
    <m/>
    <s v="14.16"/>
    <s v="300"/>
    <s v="NL2017"/>
    <m/>
    <n v="20"/>
    <n v="6000"/>
    <x v="0"/>
    <n v="28200000"/>
    <x v="0"/>
    <s v="30-02-2019"/>
    <s v=""/>
    <s v=""/>
    <s v="15/2AL"/>
    <m/>
    <m/>
    <m/>
    <d v="2019-04-03T00:00:00"/>
    <n v="6000"/>
    <m/>
    <m/>
    <m/>
    <m/>
    <m/>
    <m/>
    <n v="6000"/>
    <n v="0"/>
    <n v="0"/>
  </r>
  <r>
    <s v="151A/2019"/>
    <d v="2019-03-27T00:00:00"/>
    <s v="KIỀU THY"/>
    <s v="TT03"/>
    <x v="118"/>
    <x v="66"/>
    <s v="ALUSTA"/>
    <m/>
    <s v="14.16"/>
    <s v="300"/>
    <s v="NL2018"/>
    <m/>
    <n v="7"/>
    <n v="2100"/>
    <x v="57"/>
    <n v="8400000"/>
    <x v="0"/>
    <s v="30-02-2019"/>
    <s v=""/>
    <s v=""/>
    <s v="15/2AL"/>
    <m/>
    <m/>
    <m/>
    <d v="2019-04-03T00:00:00"/>
    <n v="2100"/>
    <m/>
    <m/>
    <m/>
    <m/>
    <m/>
    <m/>
    <n v="2100"/>
    <n v="0"/>
    <n v="0"/>
  </r>
  <r>
    <s v="X"/>
    <m/>
    <s v="KIỀU THY"/>
    <s v="TT03"/>
    <x v="118"/>
    <x v="57"/>
    <s v="DALIAN"/>
    <m/>
    <s v="14.16"/>
    <n v="300"/>
    <s v="NL2018"/>
    <m/>
    <n v="7"/>
    <n v="2100"/>
    <x v="55"/>
    <n v="11130000"/>
    <x v="0"/>
    <d v="2019-02-15T00:00:00"/>
    <d v="2019-03-20T00:00:00"/>
    <d v="2019-03-20T00:00:00"/>
    <s v="15/2AL"/>
    <s v="CONT 11/2019"/>
    <d v="2019-03-17T00:00:00"/>
    <m/>
    <d v="2019-03-19T00:00:00"/>
    <n v="2100"/>
    <m/>
    <m/>
    <m/>
    <m/>
    <m/>
    <m/>
    <n v="2100"/>
    <n v="0"/>
    <n v="0"/>
  </r>
  <r>
    <s v="X"/>
    <m/>
    <s v="KIỀU THY"/>
    <s v="TT03"/>
    <x v="118"/>
    <x v="24"/>
    <s v="SERANO"/>
    <m/>
    <s v="14.16"/>
    <s v="300"/>
    <s v="NL2018"/>
    <m/>
    <n v="34"/>
    <n v="10200"/>
    <x v="25"/>
    <n v="36720000"/>
    <x v="0"/>
    <d v="2019-02-15T00:00:00"/>
    <d v="2019-03-20T00:00:00"/>
    <d v="2019-03-20T00:00:00"/>
    <s v="15/2AL"/>
    <s v="CONT 10/2019"/>
    <d v="2019-03-17T00:00:00"/>
    <m/>
    <d v="2019-03-19T00:00:00"/>
    <n v="10200"/>
    <m/>
    <m/>
    <m/>
    <m/>
    <m/>
    <m/>
    <n v="10200"/>
    <n v="0"/>
    <n v="0"/>
  </r>
  <r>
    <s v="X"/>
    <m/>
    <s v="KIỀU THY"/>
    <s v="TT03"/>
    <x v="118"/>
    <x v="73"/>
    <s v="YELLOWEEN"/>
    <m/>
    <s v="14.16"/>
    <s v="300"/>
    <s v="NL2017"/>
    <m/>
    <n v="0"/>
    <n v="0"/>
    <x v="62"/>
    <n v="0"/>
    <x v="1"/>
    <d v="2019-02-07T00:00:00"/>
    <d v="2019-03-12T00:00:00"/>
    <d v="2019-03-12T00:00:00"/>
    <s v="7/2AL"/>
    <s v="CONT 87/2018"/>
    <m/>
    <m/>
    <m/>
    <m/>
    <m/>
    <m/>
    <m/>
    <m/>
    <m/>
    <m/>
    <n v="0"/>
    <n v="0"/>
    <n v="0"/>
  </r>
  <r>
    <s v="97B/2019"/>
    <d v="2019-03-08T00:00:00"/>
    <s v="THANH THÚY"/>
    <s v="PU01"/>
    <x v="119"/>
    <x v="6"/>
    <s v="CONCADOR"/>
    <m/>
    <s v="20.22"/>
    <n v="125"/>
    <s v="NL2018"/>
    <m/>
    <n v="48"/>
    <n v="6000"/>
    <x v="59"/>
    <n v="63000000"/>
    <x v="2"/>
    <d v="2019-09-01T00:00:00"/>
    <d v="2019-09-29T00:00:00"/>
    <d v="2019-09-29T00:00:00"/>
    <s v="TẾT"/>
    <m/>
    <m/>
    <m/>
    <m/>
    <n v="0"/>
    <m/>
    <m/>
    <m/>
    <m/>
    <m/>
    <m/>
    <n v="0"/>
    <n v="6000"/>
    <n v="63000000"/>
  </r>
  <r>
    <s v="97B/2019"/>
    <d v="2019-03-08T00:00:00"/>
    <s v="THANH THÚY"/>
    <s v="PU01"/>
    <x v="119"/>
    <x v="47"/>
    <s v="ROBINA"/>
    <m/>
    <s v="18.20"/>
    <n v="150"/>
    <s v="NL2018"/>
    <m/>
    <n v="27"/>
    <n v="4050"/>
    <x v="35"/>
    <n v="29160000"/>
    <x v="2"/>
    <d v="2019-09-01T00:00:00"/>
    <d v="2019-09-29T00:00:00"/>
    <d v="2019-09-29T00:00:00"/>
    <s v="TẾT"/>
    <m/>
    <m/>
    <m/>
    <m/>
    <n v="0"/>
    <m/>
    <m/>
    <m/>
    <m/>
    <m/>
    <m/>
    <n v="0"/>
    <n v="4050"/>
    <n v="29160000"/>
  </r>
  <r>
    <s v="97B/2019"/>
    <d v="2019-03-08T00:00:00"/>
    <s v="THANH THÚY"/>
    <s v="PU01"/>
    <x v="119"/>
    <x v="26"/>
    <s v="ROBINA"/>
    <m/>
    <s v="22.24"/>
    <n v="100"/>
    <s v="NL2018"/>
    <m/>
    <n v="60"/>
    <n v="6000"/>
    <x v="29"/>
    <n v="75000000"/>
    <x v="2"/>
    <d v="2019-09-01T00:00:00"/>
    <d v="2019-09-29T00:00:00"/>
    <d v="2019-09-29T00:00:00"/>
    <s v="TẾT"/>
    <m/>
    <m/>
    <m/>
    <m/>
    <n v="0"/>
    <m/>
    <m/>
    <m/>
    <m/>
    <m/>
    <m/>
    <n v="0"/>
    <n v="6000"/>
    <n v="75000000"/>
  </r>
  <r>
    <s v="97B/2019"/>
    <d v="2019-03-08T00:00:00"/>
    <s v="THANH THÚY"/>
    <s v="PU01"/>
    <x v="119"/>
    <x v="38"/>
    <s v="YELLOWEEN"/>
    <m/>
    <s v="16.18"/>
    <n v="200"/>
    <s v="NL2018"/>
    <m/>
    <n v="25"/>
    <n v="5000"/>
    <x v="48"/>
    <n v="28000000"/>
    <x v="2"/>
    <d v="2019-09-01T00:00:00"/>
    <d v="2019-09-29T00:00:00"/>
    <d v="2019-09-29T00:00:00"/>
    <s v="TẾT"/>
    <m/>
    <m/>
    <m/>
    <m/>
    <n v="0"/>
    <m/>
    <m/>
    <m/>
    <m/>
    <m/>
    <m/>
    <n v="0"/>
    <n v="5000"/>
    <n v="28000000"/>
  </r>
  <r>
    <s v="66B/2019"/>
    <d v="2019-02-21T00:00:00"/>
    <s v="THANH THÚY"/>
    <s v="HS01"/>
    <x v="120"/>
    <x v="6"/>
    <s v="CONCADOR"/>
    <m/>
    <s v="20.22"/>
    <n v="125"/>
    <s v="NL2018"/>
    <m/>
    <n v="13"/>
    <n v="1625"/>
    <x v="41"/>
    <n v="0"/>
    <x v="2"/>
    <d v="2019-09-01T00:00:00"/>
    <d v="2019-09-29T00:00:00"/>
    <d v="2019-09-29T00:00:00"/>
    <s v="TẾT.BÙ CỦ"/>
    <m/>
    <m/>
    <m/>
    <m/>
    <n v="0"/>
    <m/>
    <m/>
    <m/>
    <m/>
    <m/>
    <m/>
    <n v="0"/>
    <n v="1625"/>
    <n v="0"/>
  </r>
  <r>
    <s v="66B/2019"/>
    <d v="2019-02-21T00:00:00"/>
    <s v="THANH THÚY"/>
    <s v="HS01"/>
    <x v="120"/>
    <x v="46"/>
    <s v="CONCADOR"/>
    <m/>
    <s v="22.24"/>
    <n v="100"/>
    <s v="NL2018"/>
    <m/>
    <n v="60"/>
    <n v="6000"/>
    <x v="29"/>
    <n v="75000000"/>
    <x v="2"/>
    <d v="2019-09-01T00:00:00"/>
    <d v="2019-09-29T00:00:00"/>
    <d v="2019-09-29T00:00:00"/>
    <s v="TẾT"/>
    <m/>
    <m/>
    <m/>
    <m/>
    <n v="0"/>
    <m/>
    <m/>
    <m/>
    <m/>
    <m/>
    <m/>
    <n v="0"/>
    <n v="6000"/>
    <n v="75000000"/>
  </r>
  <r>
    <s v="66B/2019"/>
    <d v="2019-02-21T00:00:00"/>
    <s v="THANH THÚY"/>
    <s v="HS01"/>
    <x v="120"/>
    <x v="37"/>
    <s v="PROFUNDO"/>
    <m/>
    <s v="20.22"/>
    <n v="125"/>
    <s v="NL2018"/>
    <m/>
    <n v="48"/>
    <n v="6000"/>
    <x v="40"/>
    <n v="78000000"/>
    <x v="2"/>
    <d v="2019-09-01T00:00:00"/>
    <d v="2019-09-29T00:00:00"/>
    <d v="2019-09-29T00:00:00"/>
    <s v="TẾT"/>
    <m/>
    <m/>
    <m/>
    <m/>
    <n v="0"/>
    <m/>
    <m/>
    <m/>
    <m/>
    <m/>
    <m/>
    <n v="0"/>
    <n v="6000"/>
    <n v="78000000"/>
  </r>
  <r>
    <s v="64A/2019"/>
    <d v="2019-02-21T00:00:00"/>
    <s v="KIỀU THY"/>
    <s v="MP02"/>
    <x v="121"/>
    <x v="15"/>
    <s v="CONCADOR "/>
    <m/>
    <s v="16.18"/>
    <n v="200"/>
    <s v="NL2018"/>
    <m/>
    <n v="12"/>
    <n v="2400"/>
    <x v="83"/>
    <n v="12408000"/>
    <x v="0"/>
    <d v="2019-04-17T00:00:00"/>
    <d v="2019-05-21T00:00:00"/>
    <d v="2019-05-21T00:00:00"/>
    <s v="T4AL"/>
    <m/>
    <m/>
    <s v="R"/>
    <d v="2019-05-21T00:00:00"/>
    <n v="1200"/>
    <d v="2019-05-27T00:00:00"/>
    <n v="1200"/>
    <m/>
    <m/>
    <m/>
    <m/>
    <n v="2400"/>
    <n v="0"/>
    <n v="0"/>
  </r>
  <r>
    <s v="64A/2019"/>
    <d v="2019-02-21T00:00:00"/>
    <s v="KIỀU THY"/>
    <s v="MP02"/>
    <x v="121"/>
    <x v="22"/>
    <s v="ROBINA"/>
    <m/>
    <s v="16.18"/>
    <n v="200"/>
    <s v="NL2018"/>
    <m/>
    <n v="13"/>
    <n v="2600"/>
    <x v="83"/>
    <n v="13442000"/>
    <x v="0"/>
    <d v="2019-04-17T00:00:00"/>
    <d v="2019-05-21T00:00:00"/>
    <d v="2019-05-21T00:00:00"/>
    <s v="T4AL"/>
    <m/>
    <m/>
    <s v="R"/>
    <d v="2019-05-21T00:00:00"/>
    <n v="1400"/>
    <d v="2019-05-27T00:00:00"/>
    <n v="1200"/>
    <m/>
    <m/>
    <m/>
    <m/>
    <n v="2600"/>
    <n v="0"/>
    <n v="0"/>
  </r>
  <r>
    <s v="64A/2019"/>
    <d v="2019-05-14T00:00:00"/>
    <s v="KIỀU THY"/>
    <s v="MP02"/>
    <x v="121"/>
    <x v="17"/>
    <s v="NELLO "/>
    <m/>
    <s v="12.14"/>
    <n v="400"/>
    <s v="NL2018"/>
    <m/>
    <n v="0"/>
    <n v="0"/>
    <x v="28"/>
    <n v="0"/>
    <x v="1"/>
    <d v="2019-05-25T00:00:00"/>
    <d v="2019-06-27T00:00:00"/>
    <d v="2019-06-27T00:00:00"/>
    <m/>
    <m/>
    <m/>
    <m/>
    <m/>
    <m/>
    <m/>
    <m/>
    <m/>
    <m/>
    <m/>
    <m/>
    <n v="0"/>
    <n v="0"/>
    <n v="0"/>
  </r>
  <r>
    <s v="64A/2019"/>
    <m/>
    <m/>
    <s v="MP02"/>
    <x v="121"/>
    <x v="4"/>
    <s v="TEBALDI"/>
    <m/>
    <s v="14.16"/>
    <n v="300"/>
    <s v="NL2018"/>
    <m/>
    <n v="10"/>
    <n v="3000"/>
    <x v="99"/>
    <n v="12900000"/>
    <x v="0"/>
    <d v="2019-05-05T00:00:00"/>
    <d v="2019-06-07T00:00:00"/>
    <d v="2019-06-07T00:00:00"/>
    <m/>
    <m/>
    <m/>
    <m/>
    <d v="2019-06-10T00:00:00"/>
    <n v="3000"/>
    <m/>
    <m/>
    <m/>
    <m/>
    <m/>
    <m/>
    <n v="3000"/>
    <n v="0"/>
    <n v="0"/>
  </r>
  <r>
    <s v="64A/2019"/>
    <d v="2019-05-14T00:00:00"/>
    <s v="KIỀU THY"/>
    <s v="MP02"/>
    <x v="121"/>
    <x v="4"/>
    <s v="TEBALDI"/>
    <m/>
    <s v="14.16"/>
    <n v="300"/>
    <s v="NL2018"/>
    <m/>
    <n v="8"/>
    <n v="2400"/>
    <x v="2"/>
    <n v="10560000"/>
    <x v="2"/>
    <d v="2019-06-29T00:00:00"/>
    <d v="2019-07-31T00:00:00"/>
    <d v="2019-07-31T00:00:00"/>
    <m/>
    <m/>
    <m/>
    <m/>
    <m/>
    <m/>
    <m/>
    <m/>
    <m/>
    <m/>
    <m/>
    <m/>
    <n v="0"/>
    <n v="2400"/>
    <n v="10560000"/>
  </r>
  <r>
    <s v="64A/2019"/>
    <d v="2019-05-14T00:00:00"/>
    <s v="KIỀU THY"/>
    <s v="MP02"/>
    <x v="121"/>
    <x v="28"/>
    <s v="YELLOWEEN"/>
    <m/>
    <s v="14.16"/>
    <n v="300"/>
    <s v="NL2018"/>
    <m/>
    <n v="8.6666666666666661"/>
    <n v="2600"/>
    <x v="57"/>
    <n v="10400000"/>
    <x v="2"/>
    <d v="2019-06-29T00:00:00"/>
    <d v="2019-07-31T00:00:00"/>
    <d v="2019-07-31T00:00:00"/>
    <m/>
    <m/>
    <m/>
    <m/>
    <m/>
    <m/>
    <m/>
    <m/>
    <m/>
    <m/>
    <m/>
    <m/>
    <n v="0"/>
    <n v="2600"/>
    <n v="10400000"/>
  </r>
  <r>
    <s v="64A/2019"/>
    <d v="2019-05-14T00:00:00"/>
    <s v="KIỀU THY"/>
    <s v="MP02"/>
    <x v="121"/>
    <x v="4"/>
    <s v="TEBALDI"/>
    <m/>
    <s v="14.16"/>
    <n v="300"/>
    <s v="NL2018"/>
    <m/>
    <n v="8"/>
    <n v="2400"/>
    <x v="2"/>
    <n v="10560000"/>
    <x v="2"/>
    <d v="2019-07-29T00:00:00"/>
    <d v="2019-08-29T00:00:00"/>
    <d v="2019-08-29T00:00:00"/>
    <m/>
    <m/>
    <m/>
    <m/>
    <m/>
    <m/>
    <m/>
    <m/>
    <m/>
    <m/>
    <m/>
    <m/>
    <n v="0"/>
    <n v="2400"/>
    <n v="10560000"/>
  </r>
  <r>
    <s v="64A/2019"/>
    <d v="2019-05-14T00:00:00"/>
    <s v="KIỀU THY"/>
    <s v="MP02"/>
    <x v="121"/>
    <x v="28"/>
    <s v="YELLOWEEN"/>
    <m/>
    <s v="14.16"/>
    <n v="300"/>
    <s v="NL2018"/>
    <m/>
    <n v="8.6666666666666661"/>
    <n v="2600"/>
    <x v="57"/>
    <n v="10400000"/>
    <x v="2"/>
    <d v="2019-07-29T00:00:00"/>
    <d v="2019-08-29T00:00:00"/>
    <d v="2019-08-29T00:00:00"/>
    <m/>
    <m/>
    <m/>
    <m/>
    <m/>
    <m/>
    <m/>
    <m/>
    <m/>
    <m/>
    <m/>
    <m/>
    <n v="0"/>
    <n v="2600"/>
    <n v="10400000"/>
  </r>
  <r>
    <s v="64A/2019"/>
    <d v="2019-02-21T00:00:00"/>
    <s v="KIỀU THY"/>
    <s v="MP02"/>
    <x v="121"/>
    <x v="4"/>
    <s v="TEBALDI"/>
    <m/>
    <s v="14.16"/>
    <n v="300"/>
    <s v="NL2018"/>
    <m/>
    <n v="9"/>
    <n v="2700"/>
    <x v="3"/>
    <n v="11070000"/>
    <x v="0"/>
    <s v="30-Feb-19"/>
    <d v="2019-04-04T00:00:00"/>
    <d v="2019-04-04T00:00:00"/>
    <s v="30/2AL"/>
    <s v="CONT 15/2019"/>
    <d v="2019-03-31T00:00:00"/>
    <s v="R"/>
    <d v="2019-04-08T00:00:00"/>
    <n v="2700"/>
    <m/>
    <m/>
    <m/>
    <m/>
    <m/>
    <m/>
    <n v="2700"/>
    <n v="0"/>
    <n v="0"/>
  </r>
  <r>
    <s v="64A/2019"/>
    <d v="2019-02-21T00:00:00"/>
    <s v="KIỀU THY"/>
    <s v="MP02"/>
    <x v="121"/>
    <x v="28"/>
    <s v="YELLOWEEN"/>
    <m/>
    <s v="14.16"/>
    <n v="300"/>
    <s v="NL2018"/>
    <m/>
    <n v="8"/>
    <n v="2400"/>
    <x v="6"/>
    <n v="9120000"/>
    <x v="0"/>
    <s v="30-Feb-19"/>
    <d v="2019-04-04T00:00:00"/>
    <d v="2019-04-04T00:00:00"/>
    <s v="30/2AL"/>
    <s v="CONT 14/2019"/>
    <d v="2019-03-31T00:00:00"/>
    <s v="R"/>
    <d v="2019-04-08T00:00:00"/>
    <n v="2400"/>
    <m/>
    <m/>
    <m/>
    <m/>
    <m/>
    <m/>
    <n v="2400"/>
    <n v="0"/>
    <n v="0"/>
  </r>
  <r>
    <s v="131B/2019"/>
    <d v="2019-03-19T00:00:00"/>
    <s v="THANH THÚY"/>
    <s v="HL03"/>
    <x v="122"/>
    <x v="28"/>
    <s v="YELLOWEEN"/>
    <m/>
    <s v="14.16"/>
    <n v="300"/>
    <s v="NL2018"/>
    <m/>
    <n v="10"/>
    <n v="3000"/>
    <x v="6"/>
    <n v="11400000"/>
    <x v="0"/>
    <d v="2019-03-15T00:00:00"/>
    <d v="2019-04-19T00:00:00"/>
    <d v="2019-04-19T00:00:00"/>
    <s v="15/3AL"/>
    <s v="CONT 20/2019"/>
    <m/>
    <m/>
    <d v="2019-05-03T00:00:00"/>
    <n v="3000"/>
    <m/>
    <m/>
    <m/>
    <m/>
    <m/>
    <m/>
    <n v="3000"/>
    <n v="0"/>
    <n v="0"/>
  </r>
  <r>
    <s v="131B/2019"/>
    <d v="2019-03-19T00:00:00"/>
    <s v="THANH THÚY"/>
    <s v="HL03"/>
    <x v="122"/>
    <x v="80"/>
    <s v="PROFUNDO"/>
    <m/>
    <s v="14.16"/>
    <n v="300"/>
    <s v="NL2018"/>
    <m/>
    <n v="0"/>
    <n v="0"/>
    <x v="18"/>
    <n v="0"/>
    <x v="1"/>
    <d v="2019-03-15T00:00:00"/>
    <d v="2019-04-19T00:00:00"/>
    <d v="2019-04-19T00:00:00"/>
    <s v="15/3AL"/>
    <m/>
    <m/>
    <m/>
    <m/>
    <m/>
    <m/>
    <m/>
    <m/>
    <m/>
    <m/>
    <m/>
    <n v="0"/>
    <n v="0"/>
    <n v="0"/>
  </r>
  <r>
    <s v="131B/2019"/>
    <d v="2019-03-19T00:00:00"/>
    <s v="THANH THÚY"/>
    <s v="HL03"/>
    <x v="122"/>
    <x v="5"/>
    <s v="PROFUNDO"/>
    <m/>
    <s v="16.18"/>
    <n v="200"/>
    <s v="NL2018"/>
    <m/>
    <n v="0"/>
    <n v="0"/>
    <x v="74"/>
    <n v="0"/>
    <x v="1"/>
    <d v="2019-03-15T00:00:00"/>
    <d v="2019-04-19T00:00:00"/>
    <d v="2019-04-19T00:00:00"/>
    <s v="15/3AL"/>
    <m/>
    <m/>
    <m/>
    <m/>
    <m/>
    <m/>
    <m/>
    <m/>
    <m/>
    <m/>
    <m/>
    <n v="0"/>
    <n v="0"/>
    <n v="0"/>
  </r>
  <r>
    <s v="131B/2019"/>
    <d v="2019-03-19T00:00:00"/>
    <s v="THANH THÚY"/>
    <s v="HL03"/>
    <x v="122"/>
    <x v="22"/>
    <s v="ROBINA"/>
    <m/>
    <s v="16.18"/>
    <n v="200"/>
    <s v="NL2018"/>
    <m/>
    <n v="50"/>
    <n v="10000"/>
    <x v="18"/>
    <n v="50000000"/>
    <x v="0"/>
    <d v="2019-03-15T00:00:00"/>
    <d v="2019-04-19T00:00:00"/>
    <d v="2019-04-19T00:00:00"/>
    <s v="15/3AL"/>
    <s v="CONT 20/2019"/>
    <m/>
    <m/>
    <d v="2019-05-03T00:00:00"/>
    <n v="10000"/>
    <m/>
    <m/>
    <m/>
    <m/>
    <m/>
    <m/>
    <n v="10000"/>
    <n v="0"/>
    <n v="0"/>
  </r>
  <r>
    <s v="131B/2019"/>
    <d v="2019-05-23T00:00:00"/>
    <s v="THANH THÚY"/>
    <s v="HL03"/>
    <x v="122"/>
    <x v="11"/>
    <s v="YELLOWEEN"/>
    <m/>
    <s v="12.14"/>
    <n v="400"/>
    <s v="NL2018"/>
    <m/>
    <n v="0"/>
    <n v="0"/>
    <x v="4"/>
    <n v="0"/>
    <x v="1"/>
    <d v="2019-04-17T00:00:00"/>
    <d v="2019-05-21T00:00:00"/>
    <d v="2019-05-21T00:00:00"/>
    <m/>
    <m/>
    <m/>
    <m/>
    <m/>
    <m/>
    <m/>
    <m/>
    <m/>
    <m/>
    <m/>
    <m/>
    <n v="0"/>
    <n v="0"/>
    <n v="0"/>
  </r>
  <r>
    <s v="167A/2019"/>
    <d v="2019-02-22T00:00:00"/>
    <s v="KIỀU THY"/>
    <s v="XL01"/>
    <x v="123"/>
    <x v="25"/>
    <s v="CONCAD'OR"/>
    <m/>
    <s v="18.20"/>
    <n v="150"/>
    <s v="NL2018"/>
    <m/>
    <n v="208"/>
    <n v="31200"/>
    <x v="35"/>
    <n v="224640000"/>
    <x v="2"/>
    <d v="2019-09-01T00:00:00"/>
    <d v="2019-09-29T00:00:00"/>
    <d v="2019-09-29T00:00:00"/>
    <s v="TẾT"/>
    <m/>
    <m/>
    <s v="R"/>
    <m/>
    <n v="0"/>
    <m/>
    <m/>
    <m/>
    <m/>
    <m/>
    <m/>
    <n v="0"/>
    <n v="31200"/>
    <n v="224640000"/>
  </r>
  <r>
    <s v="167A/2019"/>
    <d v="2019-02-22T00:00:00"/>
    <s v="KIỀU THY"/>
    <s v="XL01"/>
    <x v="123"/>
    <x v="25"/>
    <s v="CONCAD'OR"/>
    <m/>
    <s v="18.20"/>
    <n v="150"/>
    <s v="NL2018"/>
    <m/>
    <n v="40"/>
    <n v="6000"/>
    <x v="74"/>
    <n v="45000000"/>
    <x v="2"/>
    <d v="2019-09-01T00:00:00"/>
    <d v="2019-09-29T00:00:00"/>
    <d v="2019-09-29T00:00:00"/>
    <s v="TẾT"/>
    <m/>
    <m/>
    <m/>
    <m/>
    <m/>
    <m/>
    <m/>
    <m/>
    <m/>
    <m/>
    <m/>
    <n v="0"/>
    <n v="6000"/>
    <n v="45000000"/>
  </r>
  <r>
    <s v="167A/2019"/>
    <d v="2019-02-22T00:00:00"/>
    <s v="KIỀU THY"/>
    <s v="XL01"/>
    <x v="123"/>
    <x v="36"/>
    <s v="MANISSA"/>
    <m/>
    <s v="20.22"/>
    <n v="125"/>
    <s v="NL2018"/>
    <m/>
    <n v="80"/>
    <n v="10000"/>
    <x v="37"/>
    <n v="135000000"/>
    <x v="2"/>
    <d v="2019-09-01T00:00:00"/>
    <d v="2019-09-29T00:00:00"/>
    <d v="2019-09-29T00:00:00"/>
    <s v="TẾT"/>
    <m/>
    <m/>
    <s v="R"/>
    <m/>
    <n v="0"/>
    <m/>
    <m/>
    <m/>
    <m/>
    <m/>
    <m/>
    <n v="0"/>
    <n v="10000"/>
    <n v="135000000"/>
  </r>
  <r>
    <s v="167A/2019"/>
    <d v="2019-02-22T00:00:00"/>
    <s v="KIỀU THY"/>
    <s v="XL01"/>
    <x v="123"/>
    <x v="16"/>
    <s v="ROBINA"/>
    <m/>
    <s v="20.22"/>
    <n v="125"/>
    <s v="NL2018"/>
    <m/>
    <n v="160"/>
    <n v="20000"/>
    <x v="59"/>
    <n v="210000000"/>
    <x v="2"/>
    <d v="2019-09-01T00:00:00"/>
    <d v="2019-09-29T00:00:00"/>
    <d v="2019-09-29T00:00:00"/>
    <s v="TẾT"/>
    <m/>
    <m/>
    <s v="R"/>
    <m/>
    <n v="0"/>
    <m/>
    <m/>
    <m/>
    <m/>
    <m/>
    <m/>
    <n v="0"/>
    <n v="20000"/>
    <n v="210000000"/>
  </r>
  <r>
    <s v="203A/2019"/>
    <d v="2019-04-22T00:00:00"/>
    <s v="KIỀU THY"/>
    <s v="XL01"/>
    <x v="123"/>
    <x v="176"/>
    <s v="SORBONNE"/>
    <m/>
    <s v="16.18"/>
    <n v="200"/>
    <s v="NL2018"/>
    <m/>
    <n v="18"/>
    <n v="3600"/>
    <x v="80"/>
    <n v="26280000"/>
    <x v="0"/>
    <d v="2019-05-05T00:00:00"/>
    <d v="2019-06-07T00:00:00"/>
    <d v="2019-06-07T00:00:00"/>
    <s v="29/4AL"/>
    <m/>
    <m/>
    <m/>
    <d v="2019-06-13T00:00:00"/>
    <n v="3600"/>
    <m/>
    <m/>
    <m/>
    <m/>
    <m/>
    <m/>
    <n v="3600"/>
    <n v="0"/>
    <n v="0"/>
  </r>
  <r>
    <s v="203A/2019"/>
    <d v="2019-04-22T00:00:00"/>
    <s v="KIỀU THY"/>
    <s v="XL01"/>
    <x v="123"/>
    <x v="162"/>
    <s v="ZAMBESSI"/>
    <m/>
    <s v="16.18"/>
    <n v="200"/>
    <s v="NL2018"/>
    <m/>
    <n v="20"/>
    <n v="4000"/>
    <x v="42"/>
    <n v="25200000"/>
    <x v="0"/>
    <d v="2019-05-05T00:00:00"/>
    <d v="2019-06-07T00:00:00"/>
    <d v="2019-06-07T00:00:00"/>
    <s v="29/4AL"/>
    <m/>
    <m/>
    <m/>
    <d v="2019-06-13T00:00:00"/>
    <n v="4000"/>
    <m/>
    <m/>
    <m/>
    <m/>
    <m/>
    <m/>
    <n v="4000"/>
    <n v="0"/>
    <n v="0"/>
  </r>
  <r>
    <s v="203A/2019"/>
    <d v="2019-04-22T00:00:00"/>
    <s v="KIỀU THY"/>
    <s v="XL01"/>
    <x v="123"/>
    <x v="177"/>
    <s v="ZAMBESSI"/>
    <m/>
    <s v="18.20"/>
    <n v="150"/>
    <s v="NL2018"/>
    <m/>
    <n v="23"/>
    <n v="3450"/>
    <x v="35"/>
    <n v="24840000"/>
    <x v="0"/>
    <d v="2019-05-05T00:00:00"/>
    <d v="2019-06-07T00:00:00"/>
    <d v="2019-06-07T00:00:00"/>
    <s v="29/4AL"/>
    <m/>
    <m/>
    <m/>
    <d v="2019-06-13T00:00:00"/>
    <n v="3450"/>
    <m/>
    <m/>
    <m/>
    <m/>
    <m/>
    <m/>
    <n v="3450"/>
    <n v="0"/>
    <n v="0"/>
  </r>
  <r>
    <s v="203A/2019"/>
    <d v="2019-04-22T00:00:00"/>
    <s v="KIỀU THY"/>
    <s v="XL01"/>
    <x v="123"/>
    <x v="91"/>
    <s v="FERRERO"/>
    <m/>
    <s v="13.14"/>
    <n v="400"/>
    <s v="NL2018"/>
    <m/>
    <n v="25"/>
    <n v="10000"/>
    <x v="68"/>
    <n v="35000000"/>
    <x v="0"/>
    <d v="2019-05-05T00:00:00"/>
    <d v="2019-06-07T00:00:00"/>
    <d v="2019-06-07T00:00:00"/>
    <s v="15/5AL"/>
    <m/>
    <m/>
    <m/>
    <d v="2019-06-13T00:00:00"/>
    <n v="10000"/>
    <m/>
    <m/>
    <m/>
    <m/>
    <m/>
    <m/>
    <n v="10000"/>
    <n v="0"/>
    <n v="0"/>
  </r>
  <r>
    <s v="203A/2019"/>
    <d v="2019-06-10T00:00:00"/>
    <s v="KIỀU THY"/>
    <s v="XL01"/>
    <x v="123"/>
    <x v="11"/>
    <s v="YELLOWEEN"/>
    <m/>
    <s v="12.14"/>
    <n v="400"/>
    <s v="NL2018"/>
    <m/>
    <n v="23"/>
    <n v="9200"/>
    <x v="4"/>
    <n v="25760000"/>
    <x v="0"/>
    <d v="2019-05-05T00:00:00"/>
    <d v="2019-06-07T00:00:00"/>
    <d v="2019-06-07T00:00:00"/>
    <m/>
    <m/>
    <m/>
    <m/>
    <d v="2019-06-13T00:00:00"/>
    <n v="9200"/>
    <m/>
    <m/>
    <m/>
    <m/>
    <m/>
    <m/>
    <n v="9200"/>
    <n v="0"/>
    <n v="0"/>
  </r>
  <r>
    <s v="203A/2019"/>
    <d v="2019-06-10T00:00:00"/>
    <s v="KIỀU THY"/>
    <s v="XL01"/>
    <x v="123"/>
    <x v="72"/>
    <s v="YELLOWEEN"/>
    <s v="DN"/>
    <s v="16.18"/>
    <n v="200"/>
    <s v="NL2018"/>
    <m/>
    <n v="15"/>
    <n v="3000"/>
    <x v="46"/>
    <n v="18000000"/>
    <x v="0"/>
    <d v="2019-05-05T00:00:00"/>
    <d v="2019-06-07T00:00:00"/>
    <d v="2019-06-07T00:00:00"/>
    <m/>
    <m/>
    <m/>
    <m/>
    <d v="2019-06-13T00:00:00"/>
    <n v="3000"/>
    <m/>
    <m/>
    <m/>
    <m/>
    <m/>
    <m/>
    <n v="3000"/>
    <n v="0"/>
    <n v="0"/>
  </r>
  <r>
    <s v="203A/2019"/>
    <d v="2019-06-14T00:00:00"/>
    <s v="KIỀU THY"/>
    <s v="XL01"/>
    <x v="123"/>
    <x v="133"/>
    <s v="MANISSA"/>
    <m/>
    <s v="14.16"/>
    <n v="300"/>
    <s v="NL2018"/>
    <m/>
    <n v="7"/>
    <n v="2100"/>
    <x v="6"/>
    <n v="7980000"/>
    <x v="4"/>
    <d v="2019-06-15T00:00:00"/>
    <d v="2019-07-17T00:00:00"/>
    <d v="2019-07-17T00:00:00"/>
    <m/>
    <m/>
    <m/>
    <m/>
    <m/>
    <m/>
    <m/>
    <m/>
    <m/>
    <m/>
    <m/>
    <m/>
    <n v="0"/>
    <n v="2100"/>
    <n v="7980000"/>
  </r>
  <r>
    <s v="203A/2019"/>
    <d v="2019-05-03T00:00:00"/>
    <s v="KIỀU THY"/>
    <s v="XL01"/>
    <x v="123"/>
    <x v="31"/>
    <s v="TARRANGO"/>
    <m/>
    <s v="14.16"/>
    <n v="300"/>
    <s v="NL2018"/>
    <m/>
    <n v="33"/>
    <n v="9900"/>
    <x v="77"/>
    <n v="48510000"/>
    <x v="3"/>
    <d v="2019-05-18T00:00:00"/>
    <d v="2019-06-20T00:00:00"/>
    <d v="2019-06-20T00:00:00"/>
    <s v="15/5AL"/>
    <m/>
    <m/>
    <m/>
    <m/>
    <m/>
    <m/>
    <m/>
    <m/>
    <m/>
    <m/>
    <m/>
    <n v="0"/>
    <n v="9900"/>
    <n v="48510000"/>
  </r>
  <r>
    <s v="240/2019"/>
    <d v="2019-06-12T00:00:00"/>
    <s v="KIỀU THY"/>
    <s v="XL01"/>
    <x v="123"/>
    <x v="28"/>
    <s v="YELLOWEEN"/>
    <m/>
    <s v="14.16"/>
    <n v="300"/>
    <s v="NL2018"/>
    <m/>
    <n v="34"/>
    <n v="10200"/>
    <x v="57"/>
    <n v="40800000"/>
    <x v="2"/>
    <d v="2019-06-29T00:00:00"/>
    <d v="2019-07-31T00:00:00"/>
    <d v="2019-07-31T00:00:00"/>
    <m/>
    <m/>
    <m/>
    <m/>
    <m/>
    <m/>
    <m/>
    <m/>
    <m/>
    <m/>
    <m/>
    <m/>
    <n v="0"/>
    <n v="10200"/>
    <n v="40800000"/>
  </r>
  <r>
    <s v="240/2019"/>
    <d v="2019-06-12T00:00:00"/>
    <s v="KIỀU THY"/>
    <s v="XL01"/>
    <x v="123"/>
    <x v="65"/>
    <s v="ROBINA"/>
    <m/>
    <s v="14.16"/>
    <n v="300"/>
    <s v="NL2018"/>
    <m/>
    <n v="34"/>
    <n v="10200"/>
    <x v="6"/>
    <n v="38760000"/>
    <x v="2"/>
    <d v="2019-06-29T00:00:00"/>
    <d v="2019-07-31T00:00:00"/>
    <d v="2019-07-31T00:00:00"/>
    <m/>
    <m/>
    <m/>
    <m/>
    <m/>
    <m/>
    <m/>
    <m/>
    <m/>
    <m/>
    <m/>
    <m/>
    <n v="0"/>
    <n v="10200"/>
    <n v="38760000"/>
  </r>
  <r>
    <s v="240/2019"/>
    <d v="2019-06-12T00:00:00"/>
    <s v="KIỀU THY"/>
    <s v="XL01"/>
    <x v="123"/>
    <x v="163"/>
    <s v="DIGAME"/>
    <m/>
    <s v="16.18"/>
    <n v="200"/>
    <s v="NL2018"/>
    <m/>
    <n v="14"/>
    <n v="2800"/>
    <x v="76"/>
    <n v="18480000"/>
    <x v="3"/>
    <d v="2019-06-15T00:00:00"/>
    <d v="2019-07-17T00:00:00"/>
    <d v="2019-07-17T00:00:00"/>
    <m/>
    <m/>
    <m/>
    <m/>
    <m/>
    <m/>
    <m/>
    <m/>
    <m/>
    <m/>
    <m/>
    <m/>
    <n v="0"/>
    <n v="2800"/>
    <n v="18480000"/>
  </r>
  <r>
    <s v="240/2019"/>
    <d v="2019-06-14T00:00:00"/>
    <s v="KIỀU THY"/>
    <s v="XL01"/>
    <x v="123"/>
    <x v="11"/>
    <s v="YELLOWEEN"/>
    <m/>
    <s v="12.14"/>
    <n v="400"/>
    <s v="NL2018"/>
    <m/>
    <n v="50"/>
    <n v="20000"/>
    <x v="14"/>
    <n v="58000000"/>
    <x v="2"/>
    <d v="2019-06-25T00:00:00"/>
    <d v="2019-07-27T00:00:00"/>
    <d v="2019-07-27T00:00:00"/>
    <m/>
    <m/>
    <m/>
    <m/>
    <m/>
    <m/>
    <m/>
    <m/>
    <m/>
    <m/>
    <m/>
    <m/>
    <n v="0"/>
    <n v="20000"/>
    <n v="58000000"/>
  </r>
  <r>
    <s v="203A/2019"/>
    <d v="2019-04-22T00:00:00"/>
    <s v="KIỀU THY"/>
    <s v="XL01"/>
    <x v="123"/>
    <x v="11"/>
    <s v="YELLOWEEN"/>
    <m/>
    <s v="12.14"/>
    <n v="400"/>
    <s v="NL2018"/>
    <m/>
    <n v="50"/>
    <n v="20000"/>
    <x v="4"/>
    <n v="56000000"/>
    <x v="3"/>
    <d v="2019-05-20T00:00:00"/>
    <d v="2019-06-22T00:00:00"/>
    <d v="2019-06-22T00:00:00"/>
    <s v="15/5AL"/>
    <m/>
    <m/>
    <m/>
    <m/>
    <m/>
    <m/>
    <m/>
    <m/>
    <m/>
    <m/>
    <m/>
    <n v="0"/>
    <n v="20000"/>
    <n v="56000000"/>
  </r>
  <r>
    <s v="215A/2019"/>
    <d v="2019-05-03T00:00:00"/>
    <s v="KIỀU THY"/>
    <s v="XL01"/>
    <x v="123"/>
    <x v="28"/>
    <s v="YELLOWEEN"/>
    <m/>
    <s v="14.16"/>
    <n v="300"/>
    <s v="NL2018"/>
    <m/>
    <n v="34"/>
    <n v="10200"/>
    <x v="6"/>
    <n v="38760000"/>
    <x v="0"/>
    <d v="2019-03-15T00:00:00"/>
    <d v="2019-04-19T00:00:00"/>
    <d v="2019-04-19T00:00:00"/>
    <m/>
    <m/>
    <m/>
    <m/>
    <d v="2019-04-20T00:00:00"/>
    <n v="10200"/>
    <m/>
    <m/>
    <m/>
    <m/>
    <m/>
    <m/>
    <n v="10200"/>
    <n v="0"/>
    <n v="0"/>
  </r>
  <r>
    <s v="69A/2019"/>
    <d v="2019-02-22T00:00:00"/>
    <s v="KIỀU THY"/>
    <s v="XL01"/>
    <x v="123"/>
    <x v="15"/>
    <s v="CONCAD'OR"/>
    <m/>
    <s v="16.18"/>
    <n v="200"/>
    <s v="NL2018"/>
    <m/>
    <n v="50"/>
    <n v="10000"/>
    <x v="0"/>
    <n v="47000000"/>
    <x v="0"/>
    <d v="2019-02-15T00:00:00"/>
    <d v="2019-03-20T00:00:00"/>
    <d v="2019-03-20T00:00:00"/>
    <s v="15/2AL"/>
    <s v="CONT 10/2019"/>
    <d v="2019-03-17T00:00:00"/>
    <s v="R"/>
    <d v="2019-03-20T00:00:00"/>
    <n v="10000"/>
    <m/>
    <m/>
    <m/>
    <m/>
    <m/>
    <m/>
    <n v="10000"/>
    <n v="0"/>
    <n v="0"/>
  </r>
  <r>
    <s v="69A/2019"/>
    <d v="2019-02-22T00:00:00"/>
    <s v="KIỀU THY"/>
    <s v="XL01"/>
    <x v="123"/>
    <x v="31"/>
    <s v="TARRANGO"/>
    <m/>
    <s v="14.16"/>
    <n v="300"/>
    <s v="NL2018"/>
    <m/>
    <n v="39"/>
    <n v="11700"/>
    <x v="21"/>
    <n v="53820000"/>
    <x v="0"/>
    <d v="2019-02-15T00:00:00"/>
    <d v="2019-03-20T00:00:00"/>
    <d v="2019-03-20T00:00:00"/>
    <s v="15/2AL"/>
    <s v="CONT 10/2019"/>
    <d v="2019-03-17T00:00:00"/>
    <s v="R"/>
    <d v="2019-03-20T00:00:00"/>
    <n v="11700"/>
    <m/>
    <m/>
    <m/>
    <m/>
    <m/>
    <m/>
    <n v="11700"/>
    <n v="0"/>
    <n v="0"/>
  </r>
  <r>
    <s v="69A/2019"/>
    <d v="2019-02-22T00:00:00"/>
    <s v="KIỀU THY"/>
    <s v="XL01"/>
    <x v="123"/>
    <x v="57"/>
    <s v="DALIAN"/>
    <m/>
    <s v="14.16"/>
    <n v="300"/>
    <s v="NL2018"/>
    <m/>
    <n v="33"/>
    <n v="9900"/>
    <x v="55"/>
    <n v="52470000"/>
    <x v="0"/>
    <s v="30-Feb-19"/>
    <d v="2019-04-04T00:00:00"/>
    <d v="2019-04-04T00:00:00"/>
    <s v="30/2AL"/>
    <s v="CONT 17/2019"/>
    <d v="2019-03-31T00:00:00"/>
    <s v="R"/>
    <d v="2019-04-20T00:00:00"/>
    <n v="9900"/>
    <m/>
    <m/>
    <m/>
    <m/>
    <m/>
    <m/>
    <n v="9900"/>
    <n v="0"/>
    <n v="0"/>
  </r>
  <r>
    <s v="69A/2019"/>
    <d v="2019-02-22T00:00:00"/>
    <s v="KIỀU THY"/>
    <s v="XL01"/>
    <x v="123"/>
    <x v="80"/>
    <s v="PROFUNDO"/>
    <m/>
    <s v="14.16"/>
    <n v="300"/>
    <s v="NL2018"/>
    <m/>
    <n v="17"/>
    <n v="5100"/>
    <x v="23"/>
    <n v="24480000"/>
    <x v="0"/>
    <s v="30-Feb-19"/>
    <d v="2019-04-04T00:00:00"/>
    <d v="2019-04-04T00:00:00"/>
    <s v="30/2AL"/>
    <s v="CONT 15/2019"/>
    <d v="2019-03-31T00:00:00"/>
    <s v="R"/>
    <d v="2019-04-20T00:00:00"/>
    <n v="5100"/>
    <m/>
    <m/>
    <m/>
    <m/>
    <m/>
    <m/>
    <n v="5100"/>
    <n v="0"/>
    <n v="0"/>
  </r>
  <r>
    <s v="69A/2019"/>
    <d v="2019-02-22T00:00:00"/>
    <s v="KIỀU THY"/>
    <s v="XL01"/>
    <x v="123"/>
    <x v="31"/>
    <s v="TARRANGO"/>
    <m/>
    <s v="14.16"/>
    <n v="300"/>
    <s v="NL2018"/>
    <m/>
    <n v="17"/>
    <n v="5100"/>
    <x v="21"/>
    <n v="23460000"/>
    <x v="0"/>
    <s v="30-Feb-19"/>
    <d v="2019-04-04T00:00:00"/>
    <d v="2019-04-04T00:00:00"/>
    <s v="30/2AL"/>
    <s v="CONT 17/2019"/>
    <d v="2019-03-31T00:00:00"/>
    <s v="R"/>
    <d v="2019-04-20T00:00:00"/>
    <n v="5100"/>
    <m/>
    <m/>
    <m/>
    <m/>
    <m/>
    <m/>
    <n v="5100"/>
    <n v="0"/>
    <n v="0"/>
  </r>
  <r>
    <s v="69A/2019"/>
    <d v="2019-02-22T00:00:00"/>
    <s v="KIỀU THY"/>
    <s v="XL01"/>
    <x v="123"/>
    <x v="28"/>
    <s v="YELLOWEEN"/>
    <m/>
    <s v="14.16"/>
    <n v="300"/>
    <s v="NL2018"/>
    <m/>
    <n v="28"/>
    <n v="8400"/>
    <x v="6"/>
    <n v="31920000"/>
    <x v="0"/>
    <s v="30-Feb-19"/>
    <d v="2019-04-04T00:00:00"/>
    <d v="2019-04-04T00:00:00"/>
    <s v="30/2AL"/>
    <s v="CONT 14/2019"/>
    <d v="2019-03-31T00:00:00"/>
    <s v="R"/>
    <d v="2019-04-20T00:00:00"/>
    <n v="8400"/>
    <m/>
    <m/>
    <m/>
    <m/>
    <m/>
    <m/>
    <n v="8400"/>
    <n v="0"/>
    <n v="0"/>
  </r>
  <r>
    <s v="73B/2019"/>
    <d v="2019-02-23T00:00:00"/>
    <s v="THANH THÚY"/>
    <s v="QH01"/>
    <x v="124"/>
    <x v="22"/>
    <s v="ROBINA"/>
    <m/>
    <s v="16.18"/>
    <n v="200"/>
    <s v="NL2018"/>
    <m/>
    <n v="100"/>
    <n v="20000"/>
    <x v="18"/>
    <n v="100000000"/>
    <x v="0"/>
    <d v="2019-03-15T00:00:00"/>
    <d v="2019-04-19T00:00:00"/>
    <d v="2019-04-19T00:00:00"/>
    <s v="30/3AL"/>
    <m/>
    <m/>
    <m/>
    <d v="2019-05-14T00:00:00"/>
    <n v="20000"/>
    <m/>
    <m/>
    <m/>
    <m/>
    <m/>
    <m/>
    <n v="20000"/>
    <n v="0"/>
    <n v="0"/>
  </r>
  <r>
    <s v="146B/2019"/>
    <d v="2019-03-26T00:00:00"/>
    <s v="THANH THÚY"/>
    <s v="QH01"/>
    <x v="124"/>
    <x v="16"/>
    <s v="ROBINA"/>
    <m/>
    <s v="20.22"/>
    <n v="125"/>
    <s v="NL2018"/>
    <m/>
    <n v="240"/>
    <n v="30000"/>
    <x v="59"/>
    <n v="315000000"/>
    <x v="2"/>
    <d v="2019-09-01T00:00:00"/>
    <d v="2019-09-29T00:00:00"/>
    <d v="2019-09-29T00:00:00"/>
    <s v="TẾT"/>
    <m/>
    <m/>
    <m/>
    <m/>
    <n v="0"/>
    <m/>
    <m/>
    <m/>
    <m/>
    <m/>
    <m/>
    <n v="0"/>
    <n v="30000"/>
    <n v="315000000"/>
  </r>
  <r>
    <s v="146B/2019"/>
    <d v="2019-03-26T00:00:00"/>
    <s v="THANH THÚY"/>
    <s v="QH01"/>
    <x v="124"/>
    <x v="25"/>
    <s v="CONCADOR"/>
    <m/>
    <s v="18.20"/>
    <n v="150"/>
    <s v="NL2018"/>
    <m/>
    <n v="400"/>
    <n v="60000"/>
    <x v="27"/>
    <n v="480000000"/>
    <x v="2"/>
    <d v="2019-09-01T00:00:00"/>
    <d v="2019-09-29T00:00:00"/>
    <d v="2019-09-29T00:00:00"/>
    <s v="TẾT"/>
    <m/>
    <m/>
    <m/>
    <m/>
    <m/>
    <m/>
    <m/>
    <m/>
    <m/>
    <m/>
    <m/>
    <n v="0"/>
    <n v="60000"/>
    <n v="480000000"/>
  </r>
  <r>
    <s v="134A/2019"/>
    <d v="2019-01-05T00:00:00"/>
    <s v="KIỀU THY"/>
    <s v="MH01"/>
    <x v="125"/>
    <x v="15"/>
    <s v="CONCADOR "/>
    <m/>
    <s v="16.18"/>
    <n v="200"/>
    <s v="NL2018"/>
    <s v="STEEN"/>
    <n v="18"/>
    <n v="3600"/>
    <x v="171"/>
    <n v="21002400"/>
    <x v="4"/>
    <d v="2019-05-05T00:00:00"/>
    <d v="2019-06-07T00:00:00"/>
    <d v="2019-06-07T00:00:00"/>
    <s v="T5/AL"/>
    <m/>
    <m/>
    <m/>
    <m/>
    <n v="0"/>
    <m/>
    <m/>
    <m/>
    <m/>
    <m/>
    <m/>
    <n v="0"/>
    <n v="3600"/>
    <n v="21002400"/>
  </r>
  <r>
    <s v="134A/2019"/>
    <d v="2019-01-05T00:00:00"/>
    <s v="KIỀU THY"/>
    <s v="MH01"/>
    <x v="125"/>
    <x v="15"/>
    <s v="CONCADOR "/>
    <m/>
    <s v="16.18"/>
    <n v="200"/>
    <s v="NL2018"/>
    <s v="STEEN"/>
    <n v="25"/>
    <n v="5000"/>
    <x v="172"/>
    <n v="29380000"/>
    <x v="3"/>
    <d v="2019-05-18T00:00:00"/>
    <d v="2019-06-20T00:00:00"/>
    <d v="2019-06-20T00:00:00"/>
    <m/>
    <m/>
    <m/>
    <m/>
    <m/>
    <m/>
    <m/>
    <m/>
    <m/>
    <m/>
    <m/>
    <m/>
    <n v="0"/>
    <n v="5000"/>
    <n v="29380000"/>
  </r>
  <r>
    <s v="134A/2019"/>
    <d v="2019-01-05T00:00:00"/>
    <s v="KIỀU THY"/>
    <s v="MH01"/>
    <x v="125"/>
    <x v="15"/>
    <s v="CONCADOR "/>
    <m/>
    <s v="16.18"/>
    <n v="200"/>
    <s v="NL2018"/>
    <m/>
    <n v="0"/>
    <n v="0"/>
    <x v="83"/>
    <n v="0"/>
    <x v="1"/>
    <d v="2019-05-05T00:00:00"/>
    <d v="2019-06-07T00:00:00"/>
    <d v="2019-06-07T00:00:00"/>
    <m/>
    <m/>
    <m/>
    <m/>
    <m/>
    <m/>
    <m/>
    <m/>
    <m/>
    <m/>
    <m/>
    <m/>
    <n v="0"/>
    <n v="0"/>
    <n v="0"/>
  </r>
  <r>
    <s v="134A/2019"/>
    <d v="2019-01-05T00:00:00"/>
    <s v="KIỀU THY"/>
    <s v="MH01"/>
    <x v="125"/>
    <x v="97"/>
    <s v="LAKE CAREY"/>
    <m/>
    <s v="16.18"/>
    <n v="200"/>
    <s v="NL2018"/>
    <m/>
    <n v="50"/>
    <n v="10000"/>
    <x v="113"/>
    <n v="56700000"/>
    <x v="4"/>
    <d v="2019-05-12T00:00:00"/>
    <d v="2019-06-14T00:00:00"/>
    <d v="2019-06-14T00:00:00"/>
    <s v="T5/AL"/>
    <m/>
    <m/>
    <m/>
    <m/>
    <n v="0"/>
    <m/>
    <m/>
    <m/>
    <m/>
    <m/>
    <m/>
    <n v="0"/>
    <n v="10000"/>
    <n v="56700000"/>
  </r>
  <r>
    <s v="134A/2019"/>
    <d v="2019-05-11T00:00:00"/>
    <s v="KIỀU THY"/>
    <s v="MH01"/>
    <x v="125"/>
    <x v="47"/>
    <s v="ROBINA"/>
    <m/>
    <s v="18.20"/>
    <n v="150"/>
    <s v="NL2018"/>
    <s v="STEEN"/>
    <n v="134"/>
    <n v="20100"/>
    <x v="27"/>
    <n v="160800000"/>
    <x v="4"/>
    <d v="2019-05-05T00:00:00"/>
    <d v="2019-06-07T00:00:00"/>
    <d v="2019-06-07T00:00:00"/>
    <s v="T5/AL"/>
    <m/>
    <m/>
    <m/>
    <d v="2019-06-08T00:00:00"/>
    <n v="10050"/>
    <m/>
    <m/>
    <m/>
    <m/>
    <m/>
    <m/>
    <n v="10050"/>
    <n v="10050"/>
    <n v="80400000"/>
  </r>
  <r>
    <s v="134A/2019"/>
    <d v="2019-01-05T00:00:00"/>
    <s v="KIỀU THY"/>
    <s v="MH01"/>
    <x v="125"/>
    <x v="47"/>
    <s v="ROBINA"/>
    <m/>
    <s v="18.20"/>
    <n v="150"/>
    <s v="NL2018"/>
    <m/>
    <n v="67"/>
    <n v="10050"/>
    <x v="73"/>
    <n v="66460650"/>
    <x v="0"/>
    <d v="2019-05-05T00:00:00"/>
    <d v="2019-06-07T00:00:00"/>
    <d v="2019-06-07T00:00:00"/>
    <m/>
    <m/>
    <m/>
    <m/>
    <d v="2019-06-08T00:00:00"/>
    <n v="10050"/>
    <m/>
    <m/>
    <m/>
    <m/>
    <m/>
    <m/>
    <n v="10050"/>
    <n v="0"/>
    <n v="0"/>
  </r>
  <r>
    <s v="134A/2019"/>
    <d v="2019-01-05T00:00:00"/>
    <s v="KIỀU THY"/>
    <s v="MH01"/>
    <x v="125"/>
    <x v="34"/>
    <s v="TARRANGO"/>
    <m/>
    <s v="16.18"/>
    <n v="200"/>
    <s v="NL2018"/>
    <m/>
    <n v="50"/>
    <n v="10000"/>
    <x v="173"/>
    <n v="57700000"/>
    <x v="4"/>
    <d v="2019-05-12T00:00:00"/>
    <d v="2019-06-14T00:00:00"/>
    <d v="2019-06-14T00:00:00"/>
    <s v="T5/AL"/>
    <m/>
    <m/>
    <m/>
    <m/>
    <n v="0"/>
    <m/>
    <m/>
    <m/>
    <m/>
    <m/>
    <m/>
    <n v="0"/>
    <n v="10000"/>
    <n v="57700000"/>
  </r>
  <r>
    <s v="134A/2019"/>
    <d v="2019-01-05T00:00:00"/>
    <s v="KIỀU THY"/>
    <s v="MH01"/>
    <x v="125"/>
    <x v="15"/>
    <s v="CONCADOR "/>
    <m/>
    <s v="16.18"/>
    <n v="200"/>
    <s v="NL2018"/>
    <m/>
    <n v="50"/>
    <n v="10000"/>
    <x v="174"/>
    <n v="52550000"/>
    <x v="3"/>
    <d v="2019-06-08T00:00:00"/>
    <d v="2019-07-10T00:00:00"/>
    <d v="2019-07-10T00:00:00"/>
    <s v="T6/AL"/>
    <m/>
    <m/>
    <m/>
    <m/>
    <n v="0"/>
    <m/>
    <m/>
    <m/>
    <m/>
    <m/>
    <m/>
    <n v="0"/>
    <n v="10000"/>
    <n v="52550000"/>
  </r>
  <r>
    <s v="134A/2019"/>
    <d v="2019-01-05T00:00:00"/>
    <s v="KIỀU THY"/>
    <s v="MH01"/>
    <x v="125"/>
    <x v="47"/>
    <s v="ROBINA"/>
    <m/>
    <s v="18.20"/>
    <n v="150"/>
    <s v="NL2018"/>
    <m/>
    <n v="67"/>
    <n v="10050"/>
    <x v="76"/>
    <n v="66330000"/>
    <x v="3"/>
    <d v="2019-06-08T00:00:00"/>
    <d v="2019-07-10T00:00:00"/>
    <d v="2019-07-10T00:00:00"/>
    <s v="T6/AL"/>
    <m/>
    <m/>
    <m/>
    <m/>
    <n v="0"/>
    <m/>
    <m/>
    <m/>
    <m/>
    <m/>
    <m/>
    <n v="0"/>
    <n v="10050"/>
    <n v="66330000"/>
  </r>
  <r>
    <s v="134A/2019"/>
    <d v="2019-01-05T00:00:00"/>
    <s v="KIỀU THY"/>
    <s v="MH01"/>
    <x v="125"/>
    <x v="34"/>
    <s v="TARRANGO"/>
    <m/>
    <s v="16.18"/>
    <n v="200"/>
    <s v="NL2018"/>
    <m/>
    <n v="50"/>
    <n v="10000"/>
    <x v="175"/>
    <n v="57550000"/>
    <x v="3"/>
    <d v="2019-06-08T00:00:00"/>
    <d v="2019-07-10T00:00:00"/>
    <d v="2019-07-10T00:00:00"/>
    <s v="T6/AL"/>
    <m/>
    <m/>
    <m/>
    <m/>
    <n v="0"/>
    <m/>
    <m/>
    <m/>
    <m/>
    <m/>
    <m/>
    <n v="0"/>
    <n v="10000"/>
    <n v="57550000"/>
  </r>
  <r>
    <s v="134A/2019"/>
    <d v="2019-01-05T00:00:00"/>
    <s v="KIỀU THY"/>
    <s v="MH01"/>
    <x v="125"/>
    <x v="15"/>
    <s v="CONCADOR "/>
    <m/>
    <s v="16.18"/>
    <n v="200"/>
    <s v="NL2018"/>
    <m/>
    <n v="100"/>
    <n v="20000"/>
    <x v="176"/>
    <n v="106800000"/>
    <x v="2"/>
    <d v="2019-07-09T00:00:00"/>
    <d v="2019-08-09T00:00:00"/>
    <d v="2019-08-09T00:00:00"/>
    <s v="T7/AL"/>
    <m/>
    <m/>
    <m/>
    <m/>
    <n v="0"/>
    <m/>
    <m/>
    <m/>
    <m/>
    <m/>
    <m/>
    <n v="0"/>
    <n v="20000"/>
    <n v="106800000"/>
  </r>
  <r>
    <s v="134A/2019"/>
    <d v="2019-01-05T00:00:00"/>
    <s v="KIỀU THY"/>
    <s v="MH01"/>
    <x v="125"/>
    <x v="47"/>
    <s v="ROBINA"/>
    <m/>
    <s v="18.20"/>
    <n v="150"/>
    <s v="NL2018"/>
    <m/>
    <n v="134"/>
    <n v="20100"/>
    <x v="45"/>
    <n v="134670000"/>
    <x v="2"/>
    <d v="2019-07-09T00:00:00"/>
    <d v="2019-08-09T00:00:00"/>
    <d v="2019-08-09T00:00:00"/>
    <s v="T7/AL"/>
    <m/>
    <m/>
    <m/>
    <m/>
    <n v="0"/>
    <m/>
    <m/>
    <m/>
    <m/>
    <m/>
    <m/>
    <n v="0"/>
    <n v="20100"/>
    <n v="134670000"/>
  </r>
  <r>
    <s v="134A/2019"/>
    <d v="2019-01-05T00:00:00"/>
    <s v="KIỀU THY"/>
    <s v="MH01"/>
    <x v="125"/>
    <x v="34"/>
    <s v="TARRANGO"/>
    <m/>
    <s v="16.18"/>
    <n v="200"/>
    <s v="NL2018"/>
    <m/>
    <n v="50"/>
    <n v="10000"/>
    <x v="177"/>
    <n v="58400000"/>
    <x v="2"/>
    <d v="2019-07-09T00:00:00"/>
    <d v="2019-08-09T00:00:00"/>
    <d v="2019-08-09T00:00:00"/>
    <s v="T7/AL"/>
    <m/>
    <m/>
    <m/>
    <m/>
    <n v="0"/>
    <m/>
    <m/>
    <m/>
    <m/>
    <m/>
    <m/>
    <n v="0"/>
    <n v="10000"/>
    <n v="58400000"/>
  </r>
  <r>
    <s v="134A/2019"/>
    <d v="2019-01-05T00:00:00"/>
    <s v="KIỀU THY"/>
    <s v="MH01"/>
    <x v="125"/>
    <x v="97"/>
    <s v="LAKE CAREY"/>
    <m/>
    <s v="16.18"/>
    <n v="200"/>
    <s v="NL2018"/>
    <m/>
    <n v="150"/>
    <n v="30000"/>
    <x v="178"/>
    <n v="177750000"/>
    <x v="2"/>
    <d v="2019-08-10T00:00:00"/>
    <d v="2019-09-08T00:00:00"/>
    <d v="2019-09-08T00:00:00"/>
    <s v="T8/AL"/>
    <m/>
    <m/>
    <m/>
    <m/>
    <n v="0"/>
    <m/>
    <m/>
    <m/>
    <m/>
    <m/>
    <m/>
    <n v="0"/>
    <n v="30000"/>
    <n v="177750000"/>
  </r>
  <r>
    <s v="134A/2019"/>
    <d v="2019-01-05T00:00:00"/>
    <s v="KIỀU THY"/>
    <s v="MH01"/>
    <x v="125"/>
    <x v="47"/>
    <s v="ROBINA"/>
    <m/>
    <s v="18.20"/>
    <n v="150"/>
    <s v="NL2018"/>
    <m/>
    <n v="200"/>
    <n v="30000"/>
    <x v="32"/>
    <n v="204000000"/>
    <x v="2"/>
    <d v="2019-08-10T00:00:00"/>
    <d v="2019-09-08T00:00:00"/>
    <d v="2019-09-08T00:00:00"/>
    <s v="T8/AL"/>
    <m/>
    <m/>
    <m/>
    <m/>
    <n v="0"/>
    <m/>
    <m/>
    <m/>
    <m/>
    <m/>
    <m/>
    <n v="0"/>
    <n v="30000"/>
    <n v="204000000"/>
  </r>
  <r>
    <s v="134A/2019"/>
    <d v="2019-01-05T00:00:00"/>
    <s v="KIỀU THY"/>
    <s v="MH01"/>
    <x v="125"/>
    <x v="34"/>
    <s v="TARRANGO"/>
    <m/>
    <s v="16.18"/>
    <n v="200"/>
    <s v="NL2018"/>
    <m/>
    <n v="50"/>
    <n v="10000"/>
    <x v="179"/>
    <n v="60100000"/>
    <x v="2"/>
    <d v="2019-09-10T00:00:00"/>
    <d v="2019-10-08T00:00:00"/>
    <d v="2019-10-08T00:00:00"/>
    <s v="T9/AL"/>
    <m/>
    <m/>
    <m/>
    <m/>
    <n v="0"/>
    <m/>
    <m/>
    <m/>
    <m/>
    <m/>
    <m/>
    <n v="0"/>
    <n v="10000"/>
    <n v="60100000"/>
  </r>
  <r>
    <s v="135A/2019"/>
    <d v="2019-01-05T00:00:00"/>
    <s v="KIỀU THY"/>
    <s v="MH01"/>
    <x v="125"/>
    <x v="25"/>
    <s v="CONCADOR"/>
    <m/>
    <s v="18.20"/>
    <n v="150"/>
    <s v="NL2018"/>
    <m/>
    <n v="134"/>
    <n v="20100"/>
    <x v="35"/>
    <n v="144720000"/>
    <x v="2"/>
    <d v="2019-09-01T00:00:00"/>
    <d v="2019-09-29T00:00:00"/>
    <d v="2019-09-29T00:00:00"/>
    <s v="TẾT"/>
    <m/>
    <m/>
    <m/>
    <m/>
    <n v="0"/>
    <m/>
    <m/>
    <m/>
    <m/>
    <m/>
    <m/>
    <n v="0"/>
    <n v="20100"/>
    <n v="144720000"/>
  </r>
  <r>
    <s v="135A/2019"/>
    <d v="2019-01-05T00:00:00"/>
    <s v="KIỀU THY"/>
    <s v="MH01"/>
    <x v="125"/>
    <x v="6"/>
    <s v="CONCADOR"/>
    <m/>
    <s v="20.22"/>
    <n v="125"/>
    <s v="NL2018"/>
    <m/>
    <n v="24"/>
    <n v="3000"/>
    <x v="59"/>
    <n v="31500000"/>
    <x v="2"/>
    <d v="2019-09-01T00:00:00"/>
    <d v="2019-09-29T00:00:00"/>
    <d v="2019-09-29T00:00:00"/>
    <s v="TẾT"/>
    <m/>
    <m/>
    <m/>
    <m/>
    <n v="0"/>
    <m/>
    <m/>
    <m/>
    <m/>
    <m/>
    <m/>
    <n v="0"/>
    <n v="3000"/>
    <n v="31500000"/>
  </r>
  <r>
    <s v="135A/2019"/>
    <d v="2019-01-05T00:00:00"/>
    <s v="KIỀU THY"/>
    <s v="MH01"/>
    <x v="125"/>
    <x v="16"/>
    <s v="ROBINA"/>
    <m/>
    <s v="20.22"/>
    <n v="125"/>
    <s v="NL2018"/>
    <m/>
    <n v="80"/>
    <n v="10000"/>
    <x v="59"/>
    <n v="105000000"/>
    <x v="2"/>
    <d v="2019-09-01T00:00:00"/>
    <d v="2019-09-29T00:00:00"/>
    <d v="2019-09-29T00:00:00"/>
    <s v="TẾT"/>
    <m/>
    <m/>
    <m/>
    <m/>
    <n v="0"/>
    <m/>
    <m/>
    <m/>
    <m/>
    <m/>
    <m/>
    <n v="0"/>
    <n v="10000"/>
    <n v="105000000"/>
  </r>
  <r>
    <s v="182A/2019"/>
    <d v="2019-04-08T00:00:00"/>
    <s v="KIỀU THY"/>
    <s v="MH01"/>
    <x v="125"/>
    <x v="5"/>
    <s v="PROFUNDO"/>
    <m/>
    <s v="16.18"/>
    <n v="200"/>
    <s v="NL2018"/>
    <m/>
    <n v="25"/>
    <n v="5000"/>
    <x v="45"/>
    <n v="33500000"/>
    <x v="0"/>
    <s v="30-Feb-19"/>
    <d v="2019-04-04T00:00:00"/>
    <d v="2019-04-04T00:00:00"/>
    <s v="30/2AL"/>
    <m/>
    <m/>
    <m/>
    <d v="2019-04-12T00:00:00"/>
    <n v="5000"/>
    <m/>
    <m/>
    <m/>
    <m/>
    <m/>
    <m/>
    <n v="5000"/>
    <n v="0"/>
    <n v="0"/>
  </r>
  <r>
    <s v="18A/2019"/>
    <d v="2019-01-05T00:00:00"/>
    <s v="KIỀU THY"/>
    <s v="MH01"/>
    <x v="125"/>
    <x v="15"/>
    <s v="CONCADOR "/>
    <m/>
    <s v="16.18"/>
    <s v="200"/>
    <s v="NL2018"/>
    <m/>
    <n v="35"/>
    <n v="7000"/>
    <x v="180"/>
    <n v="35595000"/>
    <x v="0"/>
    <d v="2019-03-15T00:00:00"/>
    <d v="2019-04-19T00:00:00"/>
    <d v="2019-04-19T00:00:00"/>
    <s v="15/3AL"/>
    <m/>
    <m/>
    <m/>
    <d v="2019-05-13T00:00:00"/>
    <n v="7000"/>
    <m/>
    <m/>
    <m/>
    <m/>
    <m/>
    <m/>
    <n v="7000"/>
    <n v="0"/>
    <n v="0"/>
  </r>
  <r>
    <s v="18A/2019"/>
    <d v="2019-01-05T00:00:00"/>
    <s v="KIỀU THY"/>
    <s v="MH01"/>
    <x v="125"/>
    <x v="15"/>
    <s v="CONCADOR "/>
    <m/>
    <s v="16.18"/>
    <n v="200"/>
    <s v="NL2018"/>
    <m/>
    <n v="65"/>
    <n v="13000"/>
    <x v="83"/>
    <n v="67210000"/>
    <x v="0"/>
    <d v="2019-04-17T00:00:00"/>
    <d v="2019-05-21T00:00:00"/>
    <d v="2019-05-21T00:00:00"/>
    <s v="30/03AL"/>
    <m/>
    <m/>
    <m/>
    <d v="2019-05-23T00:00:00"/>
    <n v="2600"/>
    <d v="2019-05-27T00:00:00"/>
    <n v="10400"/>
    <m/>
    <m/>
    <m/>
    <m/>
    <n v="13000"/>
    <n v="0"/>
    <n v="0"/>
  </r>
  <r>
    <s v="18A/2019"/>
    <d v="2019-01-05T00:00:00"/>
    <s v="KIỀU THY"/>
    <s v="MH01"/>
    <x v="125"/>
    <x v="47"/>
    <s v="ROBINA"/>
    <m/>
    <s v="18.20"/>
    <n v="150"/>
    <s v="NL2018"/>
    <m/>
    <n v="67"/>
    <n v="10050"/>
    <x v="134"/>
    <n v="65606400"/>
    <x v="0"/>
    <d v="2019-04-17T00:00:00"/>
    <d v="2019-05-21T00:00:00"/>
    <d v="2019-05-21T00:00:00"/>
    <s v="15/4AL"/>
    <m/>
    <m/>
    <m/>
    <m/>
    <n v="0"/>
    <d v="2019-05-27T00:00:00"/>
    <n v="10050"/>
    <m/>
    <m/>
    <m/>
    <m/>
    <n v="10050"/>
    <n v="0"/>
    <n v="0"/>
  </r>
  <r>
    <s v="18A/2019"/>
    <d v="2019-01-05T00:00:00"/>
    <s v="KIỀU THY"/>
    <s v="MH01"/>
    <x v="125"/>
    <x v="15"/>
    <s v="CONCADOR "/>
    <m/>
    <s v="16.18"/>
    <n v="200"/>
    <s v="NL2018"/>
    <m/>
    <n v="40"/>
    <n v="8000"/>
    <x v="21"/>
    <n v="36800000"/>
    <x v="0"/>
    <d v="2019-01-15T00:00:00"/>
    <d v="2019-02-19T00:00:00"/>
    <d v="2019-02-19T00:00:00"/>
    <s v="15/1AL"/>
    <m/>
    <m/>
    <m/>
    <d v="2019-02-19T00:00:00"/>
    <n v="8000"/>
    <m/>
    <m/>
    <m/>
    <m/>
    <m/>
    <m/>
    <n v="8000"/>
    <n v="0"/>
    <n v="0"/>
  </r>
  <r>
    <s v="18A/2019"/>
    <d v="2019-01-05T00:00:00"/>
    <s v="KIỀU THY"/>
    <s v="MH01"/>
    <x v="125"/>
    <x v="5"/>
    <s v="PROFUNDO"/>
    <m/>
    <s v="16.18"/>
    <n v="200"/>
    <s v="NL2018"/>
    <m/>
    <n v="35"/>
    <n v="7000"/>
    <x v="43"/>
    <n v="45500000"/>
    <x v="0"/>
    <d v="2019-01-15T00:00:00"/>
    <d v="2019-02-19T00:00:00"/>
    <d v="2019-02-19T00:00:00"/>
    <s v="15/1AL"/>
    <m/>
    <m/>
    <m/>
    <d v="2019-02-19T00:00:00"/>
    <n v="7000"/>
    <m/>
    <m/>
    <m/>
    <m/>
    <m/>
    <m/>
    <n v="7000"/>
    <n v="0"/>
    <n v="0"/>
  </r>
  <r>
    <s v="18A/2019"/>
    <d v="2019-01-05T00:00:00"/>
    <s v="KIỀU THY"/>
    <s v="MH01"/>
    <x v="125"/>
    <x v="34"/>
    <s v="TARRANGO"/>
    <m/>
    <s v="16.18"/>
    <n v="200"/>
    <s v="NL2018"/>
    <m/>
    <n v="50"/>
    <n v="10000"/>
    <x v="44"/>
    <n v="55000000"/>
    <x v="0"/>
    <d v="2019-01-15T00:00:00"/>
    <d v="2019-02-19T00:00:00"/>
    <d v="2019-02-19T00:00:00"/>
    <s v="15/1AL"/>
    <m/>
    <m/>
    <m/>
    <d v="2019-02-19T00:00:00"/>
    <n v="10000"/>
    <m/>
    <m/>
    <m/>
    <m/>
    <m/>
    <m/>
    <n v="10000"/>
    <n v="0"/>
    <n v="0"/>
  </r>
  <r>
    <s v="18A/2019"/>
    <d v="2019-01-05T00:00:00"/>
    <s v="KIỀU THY"/>
    <s v="MH01"/>
    <x v="125"/>
    <x v="47"/>
    <s v="ROBINA"/>
    <m/>
    <s v="18.20"/>
    <n v="150"/>
    <s v="NL2018"/>
    <m/>
    <n v="67"/>
    <n v="10050"/>
    <x v="42"/>
    <n v="63315000"/>
    <x v="0"/>
    <d v="2019-01-23T00:00:00"/>
    <d v="2019-02-27T00:00:00"/>
    <d v="2019-02-27T00:00:00"/>
    <s v="23/1AL"/>
    <m/>
    <m/>
    <m/>
    <d v="2019-02-27T00:00:00"/>
    <n v="10050"/>
    <m/>
    <m/>
    <m/>
    <m/>
    <m/>
    <m/>
    <n v="10050"/>
    <n v="0"/>
    <n v="0"/>
  </r>
  <r>
    <s v="18A/2019"/>
    <d v="2019-01-05T00:00:00"/>
    <s v="KIỀU THY"/>
    <s v="MH01"/>
    <x v="125"/>
    <x v="47"/>
    <s v="ROBINA"/>
    <m/>
    <s v="18.20"/>
    <n v="150"/>
    <s v="NL2018"/>
    <m/>
    <n v="15"/>
    <n v="2250"/>
    <x v="42"/>
    <n v="14175000"/>
    <x v="0"/>
    <d v="2019-01-23T00:00:00"/>
    <d v="2019-02-27T00:00:00"/>
    <d v="2019-02-27T00:00:00"/>
    <s v="23/1AL"/>
    <m/>
    <m/>
    <m/>
    <d v="2019-03-19T00:00:00"/>
    <n v="2250"/>
    <m/>
    <m/>
    <m/>
    <m/>
    <m/>
    <m/>
    <n v="2250"/>
    <n v="0"/>
    <n v="0"/>
  </r>
  <r>
    <s v="18A/2019"/>
    <d v="2019-01-05T00:00:00"/>
    <s v="KIỀU THY"/>
    <s v="MH01"/>
    <x v="125"/>
    <x v="15"/>
    <s v="CONCADOR"/>
    <m/>
    <s v="16.18"/>
    <n v="200"/>
    <s v="NL2018"/>
    <m/>
    <n v="50"/>
    <n v="10000"/>
    <x v="21"/>
    <n v="46000000"/>
    <x v="0"/>
    <d v="2019-02-15T00:00:00"/>
    <d v="2019-03-20T00:00:00"/>
    <d v="2019-03-20T00:00:00"/>
    <s v="15/2AL"/>
    <s v="CONT 10/2019"/>
    <d v="2019-03-17T00:00:00"/>
    <m/>
    <d v="2019-03-19T00:00:00"/>
    <n v="10000"/>
    <m/>
    <m/>
    <m/>
    <m/>
    <m/>
    <m/>
    <n v="10000"/>
    <n v="0"/>
    <n v="0"/>
  </r>
  <r>
    <s v="18A/2019"/>
    <d v="2019-01-05T00:00:00"/>
    <s v="KIỀU THY"/>
    <s v="MH01"/>
    <x v="125"/>
    <x v="5"/>
    <s v="PROFUNDO"/>
    <m/>
    <s v="16.18"/>
    <n v="200"/>
    <s v="NL2018"/>
    <m/>
    <n v="50"/>
    <n v="10000"/>
    <x v="45"/>
    <n v="67000000"/>
    <x v="0"/>
    <d v="2019-02-15T00:00:00"/>
    <d v="2019-03-20T00:00:00"/>
    <d v="2019-03-20T00:00:00"/>
    <s v="15/2AL"/>
    <s v="CONT 12/2019"/>
    <d v="2019-03-17T00:00:00"/>
    <m/>
    <d v="2019-03-19T00:00:00"/>
    <n v="10000"/>
    <m/>
    <m/>
    <m/>
    <m/>
    <m/>
    <m/>
    <n v="10000"/>
    <n v="0"/>
    <n v="0"/>
  </r>
  <r>
    <s v="18A/2019"/>
    <d v="2019-01-05T00:00:00"/>
    <s v="KIỀU THY"/>
    <s v="MH01"/>
    <x v="125"/>
    <x v="47"/>
    <s v="ROBINA"/>
    <m/>
    <s v="18.20"/>
    <n v="150"/>
    <s v="NL2018"/>
    <m/>
    <n v="60"/>
    <n v="9000"/>
    <x v="42"/>
    <n v="56700000"/>
    <x v="0"/>
    <d v="2019-02-15T00:00:00"/>
    <d v="2019-03-20T00:00:00"/>
    <d v="2019-03-20T00:00:00"/>
    <s v="15/2AL"/>
    <s v="CONT 10/2019"/>
    <d v="2019-03-17T00:00:00"/>
    <m/>
    <d v="2019-03-19T00:00:00"/>
    <n v="9000"/>
    <m/>
    <m/>
    <m/>
    <m/>
    <m/>
    <m/>
    <n v="9000"/>
    <n v="0"/>
    <n v="0"/>
  </r>
  <r>
    <s v="18A/2019"/>
    <d v="2019-01-05T00:00:00"/>
    <s v="KIỀU THY"/>
    <s v="MH01"/>
    <x v="125"/>
    <x v="47"/>
    <s v="ROBINA"/>
    <m/>
    <s v="18.20"/>
    <n v="150"/>
    <s v="NL2018"/>
    <m/>
    <n v="167"/>
    <n v="25050"/>
    <x v="42"/>
    <n v="157815000"/>
    <x v="0"/>
    <d v="2019-03-15T00:00:00"/>
    <d v="2019-04-19T00:00:00"/>
    <d v="2019-04-19T00:00:00"/>
    <s v="15/3AL"/>
    <s v="CONT 25/2019"/>
    <d v="2019-04-14T00:00:00"/>
    <m/>
    <d v="2019-04-23T00:00:00"/>
    <n v="12000"/>
    <d v="2019-05-04T00:00:00"/>
    <n v="13050"/>
    <m/>
    <m/>
    <m/>
    <m/>
    <n v="25050"/>
    <n v="0"/>
    <n v="0"/>
  </r>
  <r>
    <s v="18A/2019"/>
    <d v="2019-01-05T00:00:00"/>
    <s v="KIỀU THY"/>
    <s v="MH01"/>
    <x v="125"/>
    <x v="97"/>
    <s v="LAKE CAREY"/>
    <m/>
    <s v="16.18"/>
    <n v="200"/>
    <s v="NL2018"/>
    <m/>
    <n v="75"/>
    <n v="15000"/>
    <x v="44"/>
    <n v="82500000"/>
    <x v="0"/>
    <s v="30-Feb-19"/>
    <d v="2019-04-04T00:00:00"/>
    <d v="2019-04-04T00:00:00"/>
    <s v="30/2AL"/>
    <s v="CONT 14/2019"/>
    <d v="2019-03-31T00:00:00"/>
    <m/>
    <d v="2019-04-12T00:00:00"/>
    <n v="15000"/>
    <m/>
    <m/>
    <m/>
    <m/>
    <m/>
    <m/>
    <n v="15000"/>
    <n v="0"/>
    <n v="0"/>
  </r>
  <r>
    <s v="135A/2019"/>
    <d v="2019-01-05T00:00:00"/>
    <s v="KIỀU THY"/>
    <s v="MH01"/>
    <x v="125"/>
    <x v="64"/>
    <s v="TARRANGO"/>
    <m/>
    <s v="18.20"/>
    <n v="150"/>
    <s v="NL2018"/>
    <m/>
    <n v="34"/>
    <n v="5100"/>
    <x v="95"/>
    <n v="46410000"/>
    <x v="2"/>
    <d v="2019-09-01T00:00:00"/>
    <d v="2019-09-29T00:00:00"/>
    <d v="2019-09-29T00:00:00"/>
    <s v="TẾT"/>
    <m/>
    <m/>
    <m/>
    <m/>
    <n v="0"/>
    <m/>
    <m/>
    <m/>
    <m/>
    <m/>
    <m/>
    <n v="0"/>
    <n v="5100"/>
    <n v="46410000"/>
  </r>
  <r>
    <s v="61A/2019"/>
    <d v="2019-02-19T00:00:00"/>
    <s v="THANH THÚY"/>
    <s v="DT01"/>
    <x v="126"/>
    <x v="178"/>
    <s v="VIRUNGA"/>
    <m/>
    <s v="18.20"/>
    <n v="150"/>
    <s v="NL2017"/>
    <m/>
    <n v="103"/>
    <n v="15450"/>
    <x v="57"/>
    <n v="61800000"/>
    <x v="0"/>
    <d v="2019-02-07T00:00:00"/>
    <d v="2019-03-12T00:00:00"/>
    <d v="2019-03-12T00:00:00"/>
    <m/>
    <m/>
    <m/>
    <m/>
    <m/>
    <n v="0"/>
    <m/>
    <m/>
    <m/>
    <m/>
    <m/>
    <m/>
    <n v="0"/>
    <n v="15450"/>
    <n v="61800000"/>
  </r>
  <r>
    <s v="61A/2019"/>
    <d v="2019-02-19T00:00:00"/>
    <s v="THANH THÚY"/>
    <s v="DT01"/>
    <x v="126"/>
    <x v="179"/>
    <s v="VIRUNGA"/>
    <m/>
    <s v="20.22"/>
    <n v="125"/>
    <s v="NL2017"/>
    <m/>
    <n v="17"/>
    <n v="2125"/>
    <x v="57"/>
    <n v="8500000"/>
    <x v="0"/>
    <d v="2019-02-07T00:00:00"/>
    <d v="2019-03-12T00:00:00"/>
    <d v="2019-03-12T00:00:00"/>
    <m/>
    <m/>
    <m/>
    <m/>
    <m/>
    <n v="0"/>
    <m/>
    <m/>
    <m/>
    <m/>
    <m/>
    <m/>
    <n v="0"/>
    <n v="2125"/>
    <n v="8500000"/>
  </r>
  <r>
    <s v="61A/2019"/>
    <d v="2019-02-19T00:00:00"/>
    <s v="THANH THÚY"/>
    <s v="DT01"/>
    <x v="126"/>
    <x v="61"/>
    <s v="BACARDI"/>
    <m/>
    <s v="15.16"/>
    <n v="250"/>
    <s v="NL2018"/>
    <m/>
    <n v="0"/>
    <n v="0"/>
    <x v="65"/>
    <n v="0"/>
    <x v="1"/>
    <d v="2019-03-15T00:00:00"/>
    <d v="2019-04-19T00:00:00"/>
    <d v="2019-04-19T00:00:00"/>
    <s v="15/3AL"/>
    <m/>
    <m/>
    <m/>
    <m/>
    <m/>
    <m/>
    <m/>
    <m/>
    <m/>
    <m/>
    <m/>
    <n v="0"/>
    <n v="0"/>
    <n v="0"/>
  </r>
  <r>
    <s v="61A/2019"/>
    <d v="2019-02-19T00:00:00"/>
    <s v="THANH THÚY"/>
    <s v="DT01"/>
    <x v="126"/>
    <x v="15"/>
    <s v="CONCADOR "/>
    <m/>
    <s v="16.18"/>
    <n v="200"/>
    <s v="NL2018"/>
    <m/>
    <n v="150"/>
    <n v="30000"/>
    <x v="18"/>
    <n v="150000000"/>
    <x v="0"/>
    <d v="2019-03-15T00:00:00"/>
    <d v="2019-04-19T00:00:00"/>
    <d v="2019-04-19T00:00:00"/>
    <s v="15/3AL"/>
    <s v="CONT 22/2019"/>
    <m/>
    <m/>
    <d v="2019-04-18T00:00:00"/>
    <n v="10000"/>
    <d v="2019-05-19T00:00:00"/>
    <n v="20000"/>
    <m/>
    <m/>
    <m/>
    <m/>
    <n v="30000"/>
    <n v="0"/>
    <n v="0"/>
  </r>
  <r>
    <s v="61A/2019"/>
    <d v="2019-02-19T00:00:00"/>
    <s v="THANH THÚY"/>
    <s v="DT01"/>
    <x v="126"/>
    <x v="47"/>
    <s v="ROBINA"/>
    <m/>
    <s v="18.20"/>
    <n v="150"/>
    <s v="NL2018"/>
    <m/>
    <n v="200"/>
    <n v="30000"/>
    <x v="181"/>
    <n v="194100000"/>
    <x v="0"/>
    <d v="2019-04-17T00:00:00"/>
    <d v="2019-05-21T00:00:00"/>
    <d v="2019-05-21T00:00:00"/>
    <s v="17/4AL"/>
    <m/>
    <m/>
    <m/>
    <d v="2019-05-19T00:00:00"/>
    <n v="15000"/>
    <d v="2019-06-08T00:00:00"/>
    <n v="15000"/>
    <m/>
    <m/>
    <m/>
    <m/>
    <n v="30000"/>
    <n v="0"/>
    <n v="0"/>
  </r>
  <r>
    <s v="61A/2019"/>
    <d v="2019-02-19T00:00:00"/>
    <s v="THANH THÚY"/>
    <s v="DT01"/>
    <x v="126"/>
    <x v="30"/>
    <s v="MALDANO"/>
    <m/>
    <s v="16.18"/>
    <n v="200"/>
    <s v="NL2018"/>
    <m/>
    <n v="100"/>
    <n v="20000"/>
    <x v="82"/>
    <n v="104000000"/>
    <x v="4"/>
    <d v="2019-04-17T00:00:00"/>
    <d v="2019-05-21T00:00:00"/>
    <d v="2019-05-21T00:00:00"/>
    <s v="17/4AL"/>
    <m/>
    <m/>
    <m/>
    <d v="2019-06-01T00:00:00"/>
    <n v="10000"/>
    <m/>
    <m/>
    <m/>
    <m/>
    <m/>
    <m/>
    <n v="10000"/>
    <n v="10000"/>
    <n v="52000000"/>
  </r>
  <r>
    <s v="61A/2019"/>
    <d v="2019-02-19T00:00:00"/>
    <s v="THANH THÚY"/>
    <s v="DT01"/>
    <x v="126"/>
    <x v="47"/>
    <s v="ROBINA"/>
    <m/>
    <s v="18.20"/>
    <n v="150"/>
    <s v="NL2018"/>
    <m/>
    <n v="145"/>
    <n v="21750"/>
    <x v="182"/>
    <n v="142027500"/>
    <x v="4"/>
    <d v="2019-04-29T00:00:00"/>
    <d v="2019-06-02T00:00:00"/>
    <d v="2019-06-02T00:00:00"/>
    <s v="29/4AL"/>
    <m/>
    <m/>
    <m/>
    <m/>
    <n v="0"/>
    <m/>
    <m/>
    <m/>
    <m/>
    <m/>
    <m/>
    <n v="0"/>
    <n v="21750"/>
    <n v="142027500"/>
  </r>
  <r>
    <s v="61A/2019"/>
    <d v="2019-02-19T00:00:00"/>
    <s v="THANH THÚY"/>
    <s v="DT01"/>
    <x v="126"/>
    <x v="47"/>
    <s v="ROBINA"/>
    <m/>
    <s v="18.20"/>
    <n v="150"/>
    <s v="NL2018"/>
    <m/>
    <n v="55"/>
    <n v="8250"/>
    <x v="182"/>
    <n v="53872500"/>
    <x v="3"/>
    <d v="2019-05-18T00:00:00"/>
    <d v="2019-06-20T00:00:00"/>
    <d v="2019-06-20T00:00:00"/>
    <s v="29/4AL"/>
    <m/>
    <m/>
    <m/>
    <m/>
    <m/>
    <m/>
    <m/>
    <m/>
    <m/>
    <m/>
    <m/>
    <n v="0"/>
    <n v="8250"/>
    <n v="53872500"/>
  </r>
  <r>
    <s v="61A/2019"/>
    <d v="2019-02-19T00:00:00"/>
    <s v="THANH THÚY"/>
    <s v="DT01"/>
    <x v="126"/>
    <x v="30"/>
    <s v="MALDANO"/>
    <m/>
    <s v="16.18"/>
    <n v="200"/>
    <s v="NL2018"/>
    <m/>
    <n v="100"/>
    <n v="20000"/>
    <x v="55"/>
    <n v="106000000"/>
    <x v="2"/>
    <d v="2019-06-25T00:00:00"/>
    <d v="2019-07-27T00:00:00"/>
    <d v="2019-07-27T00:00:00"/>
    <s v="29/4AL"/>
    <m/>
    <m/>
    <m/>
    <m/>
    <n v="0"/>
    <m/>
    <m/>
    <m/>
    <m/>
    <m/>
    <m/>
    <n v="0"/>
    <n v="20000"/>
    <n v="106000000"/>
  </r>
  <r>
    <s v="61A/2019"/>
    <d v="2019-05-29T00:00:00"/>
    <s v="THANH THÚY"/>
    <s v="DT01"/>
    <x v="126"/>
    <x v="51"/>
    <s v="THALITA"/>
    <s v="RL"/>
    <s v="12.14"/>
    <n v="400"/>
    <s v="NL2018"/>
    <m/>
    <n v="0"/>
    <n v="0"/>
    <x v="137"/>
    <n v="0"/>
    <x v="1"/>
    <d v="2019-04-29T00:00:00"/>
    <d v="2019-06-02T00:00:00"/>
    <d v="2019-06-02T00:00:00"/>
    <m/>
    <m/>
    <m/>
    <m/>
    <m/>
    <m/>
    <m/>
    <m/>
    <m/>
    <m/>
    <m/>
    <m/>
    <n v="0"/>
    <n v="0"/>
    <n v="0"/>
  </r>
  <r>
    <s v="61A/2019"/>
    <d v="2019-02-19T00:00:00"/>
    <s v="THANH THÚY"/>
    <s v="DT01"/>
    <x v="126"/>
    <x v="47"/>
    <s v="ROBINA"/>
    <m/>
    <s v="18.20"/>
    <n v="150"/>
    <s v="NL2018"/>
    <m/>
    <n v="134"/>
    <n v="20100"/>
    <x v="182"/>
    <n v="131253000"/>
    <x v="3"/>
    <d v="2019-05-29T00:00:00"/>
    <d v="2019-07-01T00:00:00"/>
    <d v="2019-07-01T00:00:00"/>
    <s v="29/5AL"/>
    <m/>
    <m/>
    <m/>
    <m/>
    <n v="0"/>
    <m/>
    <m/>
    <m/>
    <m/>
    <m/>
    <m/>
    <n v="0"/>
    <n v="20100"/>
    <n v="131253000"/>
  </r>
  <r>
    <s v="61A/2019"/>
    <d v="2019-06-18T00:00:00"/>
    <s v="THANH THÚY"/>
    <s v="DT01"/>
    <x v="126"/>
    <x v="28"/>
    <s v="YELLOWEEN VWS"/>
    <m/>
    <s v="14.16"/>
    <s v="300"/>
    <s v="NL2018"/>
    <m/>
    <n v="100"/>
    <n v="30000"/>
    <x v="57"/>
    <n v="120000000"/>
    <x v="2"/>
    <d v="2019-06-15T00:00:00"/>
    <d v="2019-07-17T00:00:00"/>
    <d v="2019-07-17T00:00:00"/>
    <m/>
    <m/>
    <m/>
    <m/>
    <m/>
    <m/>
    <m/>
    <m/>
    <m/>
    <m/>
    <m/>
    <m/>
    <n v="0"/>
    <n v="30000"/>
    <n v="120000000"/>
  </r>
  <r>
    <s v="61A/2019"/>
    <d v="2019-02-19T00:00:00"/>
    <s v="THANH THÚY"/>
    <s v="DT01"/>
    <x v="126"/>
    <x v="62"/>
    <s v="BACARDI"/>
    <m/>
    <s v="15.16"/>
    <n v="300"/>
    <s v="NL2018"/>
    <m/>
    <n v="34"/>
    <n v="10200"/>
    <x v="65"/>
    <n v="44574000"/>
    <x v="0"/>
    <s v="30-Feb-19"/>
    <d v="2019-04-04T00:00:00"/>
    <d v="2019-04-04T00:00:00"/>
    <s v="30/2AL"/>
    <s v="CONT 14/2019"/>
    <m/>
    <m/>
    <d v="2019-04-03T00:00:00"/>
    <n v="10200"/>
    <m/>
    <m/>
    <m/>
    <m/>
    <m/>
    <m/>
    <n v="10200"/>
    <n v="0"/>
    <n v="0"/>
  </r>
  <r>
    <s v="61A/2019"/>
    <d v="2019-02-19T00:00:00"/>
    <s v="THANH THÚY"/>
    <s v="DT01"/>
    <x v="126"/>
    <x v="22"/>
    <s v="ROBINA"/>
    <m/>
    <s v="16.18"/>
    <n v="200"/>
    <s v="NL2018"/>
    <m/>
    <n v="150"/>
    <n v="30000"/>
    <x v="23"/>
    <n v="144000000"/>
    <x v="0"/>
    <s v="30-Feb-19"/>
    <d v="2019-04-04T00:00:00"/>
    <d v="2019-04-04T00:00:00"/>
    <s v="30/2AL"/>
    <s v="CONT 18/2019"/>
    <m/>
    <m/>
    <d v="2019-04-03T00:00:00"/>
    <n v="15000"/>
    <d v="2019-04-12T00:00:00"/>
    <n v="15000"/>
    <m/>
    <m/>
    <m/>
    <m/>
    <n v="30000"/>
    <n v="0"/>
    <n v="0"/>
  </r>
  <r>
    <s v="61A/2019"/>
    <d v="2019-02-19T00:00:00"/>
    <s v="THANH THÚY"/>
    <s v="DT01"/>
    <x v="126"/>
    <x v="52"/>
    <s v="MALDANO"/>
    <m/>
    <s v="15.16"/>
    <n v="300"/>
    <s v="NL2018"/>
    <m/>
    <n v="0"/>
    <n v="0"/>
    <x v="56"/>
    <n v="0"/>
    <x v="1"/>
    <s v="30-Feb-19"/>
    <d v="2019-04-04T00:00:00"/>
    <d v="2019-04-04T00:00:00"/>
    <s v="30/2AL"/>
    <m/>
    <m/>
    <m/>
    <m/>
    <n v="0"/>
    <m/>
    <m/>
    <m/>
    <m/>
    <m/>
    <m/>
    <n v="0"/>
    <n v="0"/>
    <n v="0"/>
  </r>
  <r>
    <s v="179B/2019"/>
    <d v="2019-05-07T00:00:00"/>
    <s v="THANH THÚY"/>
    <s v="DT01"/>
    <x v="126"/>
    <x v="10"/>
    <s v="ARVANDRUD"/>
    <m/>
    <s v="16.18"/>
    <n v="200"/>
    <s v="NL2018"/>
    <m/>
    <n v="50"/>
    <n v="10000"/>
    <x v="48"/>
    <n v="56000000"/>
    <x v="0"/>
    <m/>
    <s v=""/>
    <s v=""/>
    <m/>
    <m/>
    <m/>
    <m/>
    <d v="2019-05-09T00:00:00"/>
    <n v="10000"/>
    <m/>
    <m/>
    <m/>
    <m/>
    <m/>
    <m/>
    <n v="10000"/>
    <n v="0"/>
    <n v="0"/>
  </r>
  <r>
    <s v="128A/2019"/>
    <d v="2019-03-20T00:00:00"/>
    <s v="THANH THÚY"/>
    <s v="DT01"/>
    <x v="126"/>
    <x v="35"/>
    <s v="BACARDI"/>
    <m/>
    <s v="20.22"/>
    <n v="125"/>
    <s v="NL2018"/>
    <m/>
    <n v="80"/>
    <n v="10000"/>
    <x v="8"/>
    <n v="108000000"/>
    <x v="2"/>
    <d v="2019-09-01T00:00:00"/>
    <d v="2019-09-29T00:00:00"/>
    <d v="2019-09-29T00:00:00"/>
    <s v="TẾT"/>
    <m/>
    <m/>
    <m/>
    <m/>
    <m/>
    <m/>
    <m/>
    <m/>
    <m/>
    <m/>
    <m/>
    <n v="0"/>
    <n v="10000"/>
    <n v="108000000"/>
  </r>
  <r>
    <s v="128A/2019"/>
    <d v="2019-03-20T00:00:00"/>
    <s v="THANH THÚY"/>
    <s v="DT01"/>
    <x v="126"/>
    <x v="6"/>
    <s v="CONCADOR"/>
    <m/>
    <s v="20.22"/>
    <n v="125"/>
    <s v="NL2018"/>
    <m/>
    <n v="80"/>
    <n v="10000"/>
    <x v="59"/>
    <n v="105000000"/>
    <x v="2"/>
    <d v="2019-09-01T00:00:00"/>
    <d v="2019-09-29T00:00:00"/>
    <d v="2019-09-29T00:00:00"/>
    <s v="TẾT"/>
    <m/>
    <m/>
    <m/>
    <m/>
    <m/>
    <m/>
    <m/>
    <m/>
    <m/>
    <m/>
    <m/>
    <n v="0"/>
    <n v="10000"/>
    <n v="105000000"/>
  </r>
  <r>
    <s v="128A/2019"/>
    <d v="2019-03-20T00:00:00"/>
    <s v="THANH THÚY"/>
    <s v="DT01"/>
    <x v="126"/>
    <x v="25"/>
    <s v="CONCADOR"/>
    <m/>
    <s v="18.20"/>
    <n v="150"/>
    <s v="NL2018"/>
    <m/>
    <n v="67"/>
    <n v="10050"/>
    <x v="74"/>
    <n v="75375000"/>
    <x v="2"/>
    <d v="2019-09-01T00:00:00"/>
    <d v="2019-09-29T00:00:00"/>
    <d v="2019-09-29T00:00:00"/>
    <s v="TẾT"/>
    <m/>
    <m/>
    <m/>
    <m/>
    <m/>
    <m/>
    <m/>
    <m/>
    <m/>
    <m/>
    <m/>
    <n v="0"/>
    <n v="10050"/>
    <n v="75375000"/>
  </r>
  <r>
    <s v="128A/2019"/>
    <d v="2019-03-20T00:00:00"/>
    <s v="THANH THÚY"/>
    <s v="DT01"/>
    <x v="126"/>
    <x v="16"/>
    <s v="ROBINA"/>
    <m/>
    <s v="20.22"/>
    <n v="125"/>
    <s v="NL2018"/>
    <m/>
    <n v="160"/>
    <n v="20000"/>
    <x v="59"/>
    <n v="210000000"/>
    <x v="2"/>
    <d v="2019-09-01T00:00:00"/>
    <d v="2019-09-29T00:00:00"/>
    <d v="2019-09-29T00:00:00"/>
    <s v="TẾT"/>
    <m/>
    <m/>
    <m/>
    <m/>
    <m/>
    <m/>
    <m/>
    <m/>
    <m/>
    <m/>
    <m/>
    <n v="0"/>
    <n v="20000"/>
    <n v="210000000"/>
  </r>
  <r>
    <s v="229/2019"/>
    <d v="2019-05-30T00:00:00"/>
    <s v="KIỀU THY"/>
    <s v="PD01"/>
    <x v="127"/>
    <x v="16"/>
    <s v="ROBINA"/>
    <m/>
    <s v="20.22"/>
    <s v="125"/>
    <s v="NL2018"/>
    <m/>
    <n v="64"/>
    <n v="8000"/>
    <x v="16"/>
    <n v="85600000"/>
    <x v="2"/>
    <d v="2019-09-01T00:00:00"/>
    <d v="2019-09-29T00:00:00"/>
    <d v="2019-09-29T00:00:00"/>
    <m/>
    <m/>
    <m/>
    <m/>
    <m/>
    <m/>
    <m/>
    <m/>
    <m/>
    <m/>
    <m/>
    <m/>
    <n v="0"/>
    <n v="8000"/>
    <n v="85600000"/>
  </r>
  <r>
    <s v="229/2019"/>
    <d v="2019-05-30T00:00:00"/>
    <s v="KIỀU THY"/>
    <s v="PD01"/>
    <x v="127"/>
    <x v="6"/>
    <s v="CONCADOR"/>
    <m/>
    <s v="20.22"/>
    <s v="125"/>
    <s v="NL2018"/>
    <m/>
    <n v="56"/>
    <n v="7000"/>
    <x v="7"/>
    <n v="74200000"/>
    <x v="2"/>
    <d v="2019-09-01T00:00:00"/>
    <d v="2019-09-29T00:00:00"/>
    <d v="2019-09-29T00:00:00"/>
    <m/>
    <m/>
    <m/>
    <m/>
    <m/>
    <m/>
    <m/>
    <m/>
    <m/>
    <m/>
    <m/>
    <m/>
    <n v="0"/>
    <n v="7000"/>
    <n v="74200000"/>
  </r>
  <r>
    <s v="229/2019"/>
    <d v="2019-05-30T00:00:00"/>
    <s v="KIỀU THY"/>
    <s v="PD01"/>
    <x v="127"/>
    <x v="172"/>
    <s v="ROBINA"/>
    <m/>
    <s v="24+"/>
    <s v="75"/>
    <s v="NL2018"/>
    <m/>
    <n v="134"/>
    <n v="10050"/>
    <x v="52"/>
    <n v="153765000"/>
    <x v="2"/>
    <d v="2019-09-01T00:00:00"/>
    <d v="2019-09-29T00:00:00"/>
    <d v="2019-09-29T00:00:00"/>
    <m/>
    <m/>
    <m/>
    <m/>
    <m/>
    <m/>
    <m/>
    <m/>
    <m/>
    <m/>
    <m/>
    <m/>
    <n v="0"/>
    <n v="10050"/>
    <n v="153765000"/>
  </r>
  <r>
    <s v="229/2019"/>
    <d v="2019-05-30T00:00:00"/>
    <s v="KIỀU THY"/>
    <s v="PD01"/>
    <x v="127"/>
    <x v="45"/>
    <s v="CONCADOR"/>
    <m/>
    <s v="24.26"/>
    <s v="80"/>
    <s v="NL2018"/>
    <m/>
    <n v="125"/>
    <n v="10000"/>
    <x v="38"/>
    <n v="152000000"/>
    <x v="2"/>
    <d v="2019-09-01T00:00:00"/>
    <d v="2019-09-29T00:00:00"/>
    <d v="2019-09-29T00:00:00"/>
    <m/>
    <m/>
    <m/>
    <m/>
    <m/>
    <m/>
    <m/>
    <m/>
    <m/>
    <m/>
    <m/>
    <m/>
    <n v="0"/>
    <n v="10000"/>
    <n v="152000000"/>
  </r>
  <r>
    <s v="229/2019"/>
    <d v="2019-05-30T00:00:00"/>
    <s v="KIỀU THY"/>
    <s v="PD01"/>
    <x v="127"/>
    <x v="108"/>
    <s v="ROBINA NEW ZEALAND"/>
    <m/>
    <s v="20.22"/>
    <s v="125"/>
    <s v="NZ2019"/>
    <m/>
    <n v="40"/>
    <n v="5000"/>
    <x v="29"/>
    <n v="62500000"/>
    <x v="2"/>
    <d v="2019-09-01T00:00:00"/>
    <d v="2019-09-29T00:00:00"/>
    <d v="2019-09-29T00:00:00"/>
    <m/>
    <m/>
    <m/>
    <m/>
    <m/>
    <m/>
    <m/>
    <m/>
    <m/>
    <m/>
    <m/>
    <m/>
    <n v="0"/>
    <n v="5000"/>
    <n v="62500000"/>
  </r>
  <r>
    <s v="229/2019"/>
    <d v="2019-05-31T00:00:00"/>
    <s v="KIỀU THY"/>
    <s v="PD01"/>
    <x v="127"/>
    <x v="25"/>
    <s v="CONCADOR"/>
    <m/>
    <s v="18.20"/>
    <s v="150"/>
    <s v="NL2018"/>
    <m/>
    <n v="34"/>
    <n v="5100"/>
    <x v="27"/>
    <n v="40800000"/>
    <x v="2"/>
    <d v="2019-09-01T00:00:00"/>
    <d v="2019-09-29T00:00:00"/>
    <d v="2019-09-29T00:00:00"/>
    <m/>
    <m/>
    <m/>
    <m/>
    <m/>
    <m/>
    <m/>
    <m/>
    <m/>
    <m/>
    <m/>
    <m/>
    <n v="0"/>
    <n v="5100"/>
    <n v="40800000"/>
  </r>
  <r>
    <s v="185B/2019"/>
    <d v="2019-05-23T00:00:00"/>
    <s v="THANH THÚY"/>
    <s v="VH07"/>
    <x v="128"/>
    <x v="31"/>
    <s v="TARRANGO "/>
    <m/>
    <s v="14.16"/>
    <s v="300"/>
    <s v="NL2018"/>
    <m/>
    <n v="34"/>
    <n v="10200"/>
    <x v="23"/>
    <n v="48960000"/>
    <x v="0"/>
    <d v="2019-04-19T00:00:00"/>
    <d v="2019-05-23T00:00:00"/>
    <d v="2019-05-23T00:00:00"/>
    <m/>
    <m/>
    <m/>
    <m/>
    <d v="2019-05-23T00:00:00"/>
    <n v="10200"/>
    <m/>
    <m/>
    <m/>
    <m/>
    <m/>
    <m/>
    <n v="10200"/>
    <n v="0"/>
    <n v="0"/>
  </r>
  <r>
    <s v="185B/2019"/>
    <d v="2019-05-23T00:00:00"/>
    <s v="THANH THÚY"/>
    <s v="VH07"/>
    <x v="128"/>
    <x v="3"/>
    <s v="PAVIA"/>
    <m/>
    <s v="12.14"/>
    <s v="400"/>
    <s v="NL2018"/>
    <m/>
    <n v="25"/>
    <n v="10000"/>
    <x v="14"/>
    <n v="29000000"/>
    <x v="0"/>
    <d v="2019-04-19T00:00:00"/>
    <d v="2019-05-23T00:00:00"/>
    <d v="2019-05-23T00:00:00"/>
    <m/>
    <m/>
    <m/>
    <m/>
    <d v="2019-05-23T00:00:00"/>
    <n v="10000"/>
    <m/>
    <m/>
    <m/>
    <m/>
    <m/>
    <m/>
    <n v="10000"/>
    <n v="0"/>
    <n v="0"/>
  </r>
  <r>
    <s v="206A/2019"/>
    <d v="2019-04-26T00:00:00"/>
    <s v="KIỀU THY"/>
    <s v="BH01"/>
    <x v="129"/>
    <x v="28"/>
    <s v="YELLOWEEN"/>
    <m/>
    <s v="14.16"/>
    <s v="300"/>
    <s v="NL2018"/>
    <m/>
    <n v="0"/>
    <n v="0"/>
    <x v="6"/>
    <n v="0"/>
    <x v="1"/>
    <d v="2019-03-15T00:00:00"/>
    <d v="2019-04-19T00:00:00"/>
    <d v="2019-04-19T00:00:00"/>
    <s v="15/4AL XẢ "/>
    <m/>
    <m/>
    <m/>
    <m/>
    <m/>
    <m/>
    <m/>
    <m/>
    <m/>
    <m/>
    <m/>
    <n v="0"/>
    <n v="0"/>
    <n v="0"/>
  </r>
  <r>
    <s v="206A/2019"/>
    <d v="2019-04-26T00:00:00"/>
    <s v="KIỀU THY"/>
    <s v="BH01"/>
    <x v="129"/>
    <x v="5"/>
    <s v="PROFUNDO"/>
    <m/>
    <s v="16.18"/>
    <s v="200"/>
    <s v="NL2018"/>
    <m/>
    <n v="0"/>
    <n v="0"/>
    <x v="5"/>
    <n v="0"/>
    <x v="1"/>
    <d v="2019-04-05T00:00:00"/>
    <d v="2019-05-09T00:00:00"/>
    <d v="2019-05-09T00:00:00"/>
    <s v="15/4AL XẢ "/>
    <m/>
    <m/>
    <m/>
    <m/>
    <m/>
    <m/>
    <m/>
    <m/>
    <m/>
    <m/>
    <m/>
    <n v="0"/>
    <n v="0"/>
    <n v="0"/>
  </r>
  <r>
    <s v="206A/2019"/>
    <d v="2019-04-26T00:00:00"/>
    <s v="KIỀU THY"/>
    <s v="BH01"/>
    <x v="129"/>
    <x v="57"/>
    <s v="DALIAN"/>
    <m/>
    <s v="14.16"/>
    <s v="300"/>
    <s v="NL2018"/>
    <m/>
    <n v="0"/>
    <n v="0"/>
    <x v="11"/>
    <n v="0"/>
    <x v="1"/>
    <d v="2019-04-05T00:00:00"/>
    <d v="2019-05-09T00:00:00"/>
    <d v="2019-05-09T00:00:00"/>
    <s v="15/4AL XẢ "/>
    <m/>
    <m/>
    <m/>
    <m/>
    <m/>
    <m/>
    <m/>
    <m/>
    <m/>
    <m/>
    <m/>
    <n v="0"/>
    <n v="0"/>
    <n v="0"/>
  </r>
  <r>
    <s v="206A/2019"/>
    <d v="2019-04-26T00:00:00"/>
    <s v="KIỀU THY"/>
    <s v="BH01"/>
    <x v="129"/>
    <x v="5"/>
    <s v="PROFUNDO"/>
    <m/>
    <s v="16.18"/>
    <s v="200"/>
    <s v="NL2018"/>
    <m/>
    <n v="0"/>
    <n v="0"/>
    <x v="5"/>
    <n v="0"/>
    <x v="1"/>
    <d v="2019-04-05T00:00:00"/>
    <d v="2019-05-09T00:00:00"/>
    <d v="2019-05-09T00:00:00"/>
    <s v="23/4AL XẢ"/>
    <m/>
    <m/>
    <m/>
    <m/>
    <m/>
    <m/>
    <m/>
    <m/>
    <m/>
    <m/>
    <m/>
    <n v="0"/>
    <n v="0"/>
    <n v="0"/>
  </r>
  <r>
    <s v="206A/2019"/>
    <d v="2019-04-26T00:00:00"/>
    <s v="KIỀU THY"/>
    <s v="BH01"/>
    <x v="129"/>
    <x v="10"/>
    <s v="ARVANDRUD"/>
    <m/>
    <s v="16.18"/>
    <s v="200"/>
    <s v="NL2018"/>
    <m/>
    <n v="0"/>
    <n v="0"/>
    <x v="24"/>
    <n v="0"/>
    <x v="1"/>
    <d v="2019-04-17T00:00:00"/>
    <d v="2019-05-21T00:00:00"/>
    <d v="2019-05-21T00:00:00"/>
    <s v="23/4AL XẢ"/>
    <m/>
    <m/>
    <m/>
    <m/>
    <m/>
    <m/>
    <m/>
    <m/>
    <m/>
    <m/>
    <m/>
    <n v="0"/>
    <n v="0"/>
    <n v="0"/>
  </r>
  <r>
    <s v="206A/2019"/>
    <d v="2019-04-26T00:00:00"/>
    <s v="KIỀU THY"/>
    <s v="BH01"/>
    <x v="129"/>
    <x v="15"/>
    <s v="CONCADOR"/>
    <m/>
    <s v="16.18"/>
    <s v="200"/>
    <s v="NL2018"/>
    <m/>
    <n v="0"/>
    <n v="0"/>
    <x v="54"/>
    <n v="0"/>
    <x v="1"/>
    <d v="2019-04-17T00:00:00"/>
    <d v="2019-05-21T00:00:00"/>
    <d v="2019-05-21T00:00:00"/>
    <s v="23/4AL XẢ"/>
    <m/>
    <m/>
    <m/>
    <m/>
    <m/>
    <m/>
    <m/>
    <m/>
    <m/>
    <m/>
    <m/>
    <n v="0"/>
    <n v="0"/>
    <n v="0"/>
  </r>
  <r>
    <s v="206A/2019"/>
    <d v="2019-04-26T00:00:00"/>
    <s v="KIỀU THY"/>
    <s v="BH01"/>
    <x v="129"/>
    <x v="28"/>
    <s v="YELLOWEEN"/>
    <m/>
    <s v="14.16"/>
    <s v="300"/>
    <s v="NL2018"/>
    <m/>
    <n v="0"/>
    <n v="0"/>
    <x v="6"/>
    <n v="0"/>
    <x v="1"/>
    <d v="2019-04-17T00:00:00"/>
    <d v="2019-05-21T00:00:00"/>
    <d v="2019-05-21T00:00:00"/>
    <s v="23/4AL XẢ"/>
    <m/>
    <m/>
    <m/>
    <m/>
    <m/>
    <m/>
    <m/>
    <m/>
    <m/>
    <m/>
    <m/>
    <n v="0"/>
    <n v="0"/>
    <n v="0"/>
  </r>
  <r>
    <s v="206A/2019"/>
    <d v="2019-04-26T00:00:00"/>
    <s v="KIỀU THY"/>
    <s v="BH01"/>
    <x v="129"/>
    <x v="48"/>
    <s v="SERANO"/>
    <m/>
    <s v="16.18"/>
    <s v="200"/>
    <s v="NL2018"/>
    <m/>
    <n v="0"/>
    <n v="0"/>
    <x v="55"/>
    <n v="0"/>
    <x v="1"/>
    <d v="2019-05-05T00:00:00"/>
    <d v="2019-06-07T00:00:00"/>
    <d v="2019-06-07T00:00:00"/>
    <s v="5/5AL XẢ 1/2+ 15/5 xả 1/2"/>
    <m/>
    <m/>
    <m/>
    <m/>
    <m/>
    <m/>
    <m/>
    <m/>
    <m/>
    <m/>
    <m/>
    <n v="0"/>
    <n v="0"/>
    <n v="0"/>
  </r>
  <r>
    <s v="206A/2019"/>
    <d v="2019-04-26T00:00:00"/>
    <s v="KIỀU THY"/>
    <s v="BH01"/>
    <x v="129"/>
    <x v="28"/>
    <s v="YELLOWEEN"/>
    <m/>
    <s v="14.16"/>
    <s v="300"/>
    <s v="NL2018"/>
    <m/>
    <n v="0"/>
    <n v="0"/>
    <x v="56"/>
    <n v="0"/>
    <x v="1"/>
    <d v="2019-05-05T00:00:00"/>
    <d v="2019-06-07T00:00:00"/>
    <d v="2019-06-07T00:00:00"/>
    <s v="5/5AL XẢ 1/2+ 15/5 xả 1/2"/>
    <m/>
    <m/>
    <m/>
    <m/>
    <m/>
    <m/>
    <m/>
    <m/>
    <m/>
    <m/>
    <m/>
    <n v="0"/>
    <n v="0"/>
    <n v="0"/>
  </r>
  <r>
    <s v="206A/2019"/>
    <d v="2019-04-26T00:00:00"/>
    <s v="KIỀU THY"/>
    <s v="BH01"/>
    <x v="129"/>
    <x v="22"/>
    <s v="ROBINA"/>
    <m/>
    <s v="16.18"/>
    <s v="200"/>
    <s v="NL2018"/>
    <m/>
    <n v="0"/>
    <n v="0"/>
    <x v="44"/>
    <n v="0"/>
    <x v="1"/>
    <d v="2019-05-05T00:00:00"/>
    <d v="2019-06-07T00:00:00"/>
    <d v="2019-06-07T00:00:00"/>
    <s v="5/5AL XẢ 1/2+ 15/5 xả 1/2"/>
    <m/>
    <m/>
    <m/>
    <m/>
    <m/>
    <m/>
    <m/>
    <m/>
    <m/>
    <m/>
    <m/>
    <n v="0"/>
    <n v="0"/>
    <n v="0"/>
  </r>
  <r>
    <s v="206A/2019"/>
    <d v="2019-04-26T00:00:00"/>
    <s v="KIỀU THY"/>
    <s v="BH01"/>
    <x v="129"/>
    <x v="10"/>
    <s v="ARVANDRUD"/>
    <m/>
    <s v="16.18"/>
    <s v="200"/>
    <s v="NL2018"/>
    <m/>
    <n v="0"/>
    <n v="0"/>
    <x v="26"/>
    <n v="0"/>
    <x v="1"/>
    <d v="2019-05-05T00:00:00"/>
    <d v="2019-06-07T00:00:00"/>
    <d v="2019-06-07T00:00:00"/>
    <s v="5/5AL XẢ 1/2+ 15/5 xả 1/2"/>
    <m/>
    <m/>
    <m/>
    <m/>
    <m/>
    <m/>
    <m/>
    <m/>
    <m/>
    <m/>
    <m/>
    <n v="0"/>
    <n v="0"/>
    <n v="0"/>
  </r>
  <r>
    <s v="206A/2019"/>
    <d v="2019-04-26T00:00:00"/>
    <s v="KIỀU THY"/>
    <s v="BH01"/>
    <x v="129"/>
    <x v="6"/>
    <s v="CONCADOR"/>
    <m/>
    <s v="20.22"/>
    <s v="125"/>
    <s v="NL2018"/>
    <m/>
    <n v="0"/>
    <n v="0"/>
    <x v="7"/>
    <n v="0"/>
    <x v="1"/>
    <d v="2019-09-01T00:00:00"/>
    <d v="2019-09-29T00:00:00"/>
    <d v="2019-09-29T00:00:00"/>
    <s v="TẾT"/>
    <m/>
    <m/>
    <m/>
    <m/>
    <m/>
    <m/>
    <m/>
    <m/>
    <m/>
    <m/>
    <m/>
    <n v="0"/>
    <n v="0"/>
    <n v="0"/>
  </r>
  <r>
    <s v="206A/2019"/>
    <d v="2019-04-26T00:00:00"/>
    <s v="KIỀU THY"/>
    <s v="BH01"/>
    <x v="129"/>
    <x v="45"/>
    <s v="CONCADOR"/>
    <m/>
    <s v="24.26"/>
    <s v="80"/>
    <s v="NL2018"/>
    <m/>
    <n v="0"/>
    <n v="0"/>
    <x v="38"/>
    <n v="0"/>
    <x v="1"/>
    <d v="2019-09-01T00:00:00"/>
    <d v="2019-09-29T00:00:00"/>
    <d v="2019-09-29T00:00:00"/>
    <s v="TẾT"/>
    <m/>
    <m/>
    <m/>
    <m/>
    <m/>
    <m/>
    <m/>
    <m/>
    <m/>
    <m/>
    <m/>
    <n v="0"/>
    <n v="0"/>
    <n v="0"/>
  </r>
  <r>
    <s v="206A/2019"/>
    <d v="2019-04-26T00:00:00"/>
    <s v="KIỀU THY"/>
    <s v="BH01"/>
    <x v="129"/>
    <x v="7"/>
    <s v="PROFUNDO"/>
    <m/>
    <s v="18.20"/>
    <s v="150"/>
    <s v="NL2018"/>
    <m/>
    <n v="0"/>
    <n v="0"/>
    <x v="22"/>
    <n v="0"/>
    <x v="1"/>
    <d v="2019-09-01T00:00:00"/>
    <d v="2019-09-29T00:00:00"/>
    <d v="2019-09-29T00:00:00"/>
    <s v="TẾT"/>
    <m/>
    <m/>
    <m/>
    <m/>
    <m/>
    <m/>
    <m/>
    <m/>
    <m/>
    <m/>
    <m/>
    <n v="0"/>
    <n v="0"/>
    <n v="0"/>
  </r>
  <r>
    <s v="206A/2019"/>
    <d v="2019-04-26T00:00:00"/>
    <s v="KIỀU THY"/>
    <s v="BH01"/>
    <x v="129"/>
    <x v="107"/>
    <s v="PROFUNDO CHILE"/>
    <m/>
    <s v="20.22"/>
    <s v="125"/>
    <s v="CL2019"/>
    <m/>
    <n v="0"/>
    <n v="0"/>
    <x v="183"/>
    <m/>
    <x v="1"/>
    <d v="2019-09-01T00:00:00"/>
    <d v="2019-09-29T00:00:00"/>
    <d v="2019-09-29T00:00:00"/>
    <s v="TẾT"/>
    <m/>
    <m/>
    <m/>
    <m/>
    <m/>
    <m/>
    <m/>
    <m/>
    <m/>
    <m/>
    <m/>
    <n v="0"/>
    <n v="0"/>
    <e v="#VALUE!"/>
  </r>
  <r>
    <s v="63B/2019"/>
    <d v="2019-02-20T00:00:00"/>
    <s v="THANH THÚY"/>
    <s v="TD03"/>
    <x v="130"/>
    <x v="15"/>
    <s v="CONCADOR"/>
    <m/>
    <s v="16.18"/>
    <n v="200"/>
    <s v="NL2018"/>
    <m/>
    <n v="10"/>
    <n v="2000"/>
    <x v="0"/>
    <n v="9400000"/>
    <x v="0"/>
    <s v="30-Feb-19"/>
    <d v="2019-04-04T00:00:00"/>
    <d v="2019-04-04T00:00:00"/>
    <s v="15/3AL"/>
    <s v="CONT 21/2019"/>
    <m/>
    <m/>
    <d v="2019-04-03T00:00:00"/>
    <n v="2000"/>
    <m/>
    <m/>
    <m/>
    <m/>
    <m/>
    <m/>
    <n v="2000"/>
    <n v="0"/>
    <n v="0"/>
  </r>
  <r>
    <s v="63B/2019"/>
    <d v="2019-02-20T00:00:00"/>
    <s v="THANH THÚY"/>
    <s v="TD03"/>
    <x v="130"/>
    <x v="15"/>
    <s v="CONCADOR"/>
    <m/>
    <s v="16.18"/>
    <n v="200"/>
    <s v="NL2018"/>
    <m/>
    <n v="20"/>
    <n v="4000"/>
    <x v="0"/>
    <n v="18800000"/>
    <x v="0"/>
    <s v="30-Feb-19"/>
    <d v="2019-04-04T00:00:00"/>
    <d v="2019-04-04T00:00:00"/>
    <m/>
    <m/>
    <m/>
    <m/>
    <d v="2019-04-16T00:00:00"/>
    <n v="4000"/>
    <m/>
    <m/>
    <m/>
    <m/>
    <m/>
    <m/>
    <n v="4000"/>
    <n v="0"/>
    <n v="0"/>
  </r>
  <r>
    <s v="63B/2019"/>
    <d v="2019-02-20T00:00:00"/>
    <s v="THANH THÚY"/>
    <s v="TD03"/>
    <x v="130"/>
    <x v="22"/>
    <s v="ROBINA"/>
    <m/>
    <s v="16.18"/>
    <n v="200"/>
    <s v="NL2018"/>
    <m/>
    <n v="50"/>
    <n v="10000"/>
    <x v="18"/>
    <n v="50000000"/>
    <x v="0"/>
    <s v="30-Feb-19"/>
    <d v="2019-04-04T00:00:00"/>
    <d v="2019-04-04T00:00:00"/>
    <s v="15/3AL"/>
    <s v="CONT 26/2019"/>
    <m/>
    <m/>
    <d v="2019-04-03T00:00:00"/>
    <n v="5000"/>
    <d v="2019-04-16T00:00:00"/>
    <n v="5000"/>
    <m/>
    <m/>
    <m/>
    <m/>
    <n v="10000"/>
    <n v="0"/>
    <n v="0"/>
  </r>
  <r>
    <s v="63B/2019"/>
    <d v="2019-02-20T00:00:00"/>
    <s v="THANH THÚY"/>
    <s v="TD03"/>
    <x v="130"/>
    <x v="28"/>
    <s v="YELLOWEEN"/>
    <m/>
    <s v="14.16"/>
    <n v="300"/>
    <s v="NL2018"/>
    <m/>
    <n v="27"/>
    <n v="8100"/>
    <x v="6"/>
    <n v="30780000"/>
    <x v="0"/>
    <s v="30-Feb-19"/>
    <d v="2019-04-04T00:00:00"/>
    <d v="2019-04-04T00:00:00"/>
    <s v="15/3AL"/>
    <s v="CONT 20/2019"/>
    <m/>
    <m/>
    <d v="2019-04-03T00:00:00"/>
    <n v="4200"/>
    <d v="2019-04-16T00:00:00"/>
    <n v="3900"/>
    <m/>
    <m/>
    <m/>
    <m/>
    <n v="8100"/>
    <n v="0"/>
    <n v="0"/>
  </r>
  <r>
    <s v="63B/2019"/>
    <d v="2019-02-20T00:00:00"/>
    <s v="THANH THÚY"/>
    <s v="TD03"/>
    <x v="130"/>
    <x v="17"/>
    <s v="NELLO "/>
    <m/>
    <s v="12.14"/>
    <n v="400"/>
    <s v="NL2018"/>
    <m/>
    <n v="5"/>
    <n v="2000"/>
    <x v="17"/>
    <n v="6000000"/>
    <x v="0"/>
    <d v="2019-03-15T00:00:00"/>
    <d v="2019-04-19T00:00:00"/>
    <d v="2019-04-19T00:00:00"/>
    <s v="15/3AL"/>
    <s v="CONT 20/2019"/>
    <m/>
    <m/>
    <d v="2019-04-23T00:00:00"/>
    <n v="2000"/>
    <m/>
    <m/>
    <m/>
    <m/>
    <m/>
    <m/>
    <n v="2000"/>
    <n v="0"/>
    <n v="0"/>
  </r>
  <r>
    <s v="63B/2019"/>
    <d v="2019-02-20T00:00:00"/>
    <s v="THANH THÚY"/>
    <s v="TD03"/>
    <x v="130"/>
    <x v="61"/>
    <s v="BACARDI"/>
    <m/>
    <s v="15.16"/>
    <n v="250"/>
    <s v="NL2018"/>
    <m/>
    <n v="8"/>
    <n v="2000"/>
    <x v="13"/>
    <n v="9000000"/>
    <x v="0"/>
    <d v="2019-03-15T00:00:00"/>
    <d v="2019-04-19T00:00:00"/>
    <d v="2019-04-19T00:00:00"/>
    <s v="15/3AL"/>
    <s v="CONT 20/2019"/>
    <m/>
    <m/>
    <d v="2019-04-23T00:00:00"/>
    <n v="2000"/>
    <m/>
    <m/>
    <m/>
    <m/>
    <m/>
    <m/>
    <n v="2000"/>
    <n v="0"/>
    <n v="0"/>
  </r>
  <r>
    <s v="63B/2019"/>
    <d v="2019-05-18T00:00:00"/>
    <s v="THANH THÚY"/>
    <s v="TD03"/>
    <x v="130"/>
    <x v="30"/>
    <s v="MALDANO"/>
    <m/>
    <s v="16.18"/>
    <n v="200"/>
    <s v="NL2018"/>
    <m/>
    <n v="20"/>
    <n v="4000"/>
    <x v="11"/>
    <n v="21600000"/>
    <x v="0"/>
    <d v="2019-04-17T00:00:00"/>
    <d v="2019-05-21T00:00:00"/>
    <d v="2019-05-21T00:00:00"/>
    <m/>
    <m/>
    <m/>
    <m/>
    <d v="2019-05-19T00:00:00"/>
    <n v="4000"/>
    <m/>
    <m/>
    <m/>
    <m/>
    <m/>
    <m/>
    <n v="4000"/>
    <n v="0"/>
    <n v="0"/>
  </r>
  <r>
    <s v="63B/2019"/>
    <d v="2019-05-18T00:00:00"/>
    <s v="THANH THÚY"/>
    <s v="TD03"/>
    <x v="130"/>
    <x v="3"/>
    <s v="PAVIA"/>
    <m/>
    <s v="12.14"/>
    <n v="400"/>
    <s v="NL2018"/>
    <m/>
    <n v="5"/>
    <n v="2000"/>
    <x v="14"/>
    <n v="5800000"/>
    <x v="0"/>
    <d v="2019-04-17T00:00:00"/>
    <d v="2019-05-21T00:00:00"/>
    <d v="2019-05-21T00:00:00"/>
    <m/>
    <m/>
    <m/>
    <m/>
    <d v="2019-06-03T00:00:00"/>
    <n v="2000"/>
    <m/>
    <m/>
    <m/>
    <m/>
    <m/>
    <m/>
    <n v="2000"/>
    <n v="0"/>
    <n v="0"/>
  </r>
  <r>
    <s v="63B/2019"/>
    <d v="2019-05-18T00:00:00"/>
    <s v="THANH THÚY"/>
    <s v="TD03"/>
    <x v="130"/>
    <x v="72"/>
    <s v="YELLOWEEN"/>
    <s v="DN"/>
    <s v="16.18"/>
    <n v="200"/>
    <s v="NL2018"/>
    <m/>
    <n v="10"/>
    <n v="2000"/>
    <x v="44"/>
    <n v="11000000"/>
    <x v="0"/>
    <d v="2019-04-17T00:00:00"/>
    <d v="2019-05-21T00:00:00"/>
    <d v="2019-05-21T00:00:00"/>
    <m/>
    <m/>
    <m/>
    <m/>
    <m/>
    <m/>
    <m/>
    <m/>
    <m/>
    <m/>
    <m/>
    <m/>
    <n v="0"/>
    <n v="2000"/>
    <n v="11000000"/>
  </r>
  <r>
    <s v="151B/2019"/>
    <d v="2019-04-03T00:00:00"/>
    <s v="THANH THÚY"/>
    <s v="TD03"/>
    <x v="130"/>
    <x v="22"/>
    <s v="ROBINA"/>
    <m/>
    <s v="16.18"/>
    <n v="200"/>
    <s v="NL2018"/>
    <m/>
    <n v="0"/>
    <n v="0"/>
    <x v="11"/>
    <n v="0"/>
    <x v="1"/>
    <d v="2019-05-28T00:00:00"/>
    <d v="2019-06-30T00:00:00"/>
    <d v="2019-06-30T00:00:00"/>
    <s v="28/5AL"/>
    <m/>
    <m/>
    <m/>
    <m/>
    <m/>
    <m/>
    <m/>
    <m/>
    <m/>
    <m/>
    <m/>
    <n v="0"/>
    <n v="0"/>
    <n v="0"/>
  </r>
  <r>
    <s v="151B/2019"/>
    <d v="2019-05-20T00:00:00"/>
    <s v="THANH THÚY"/>
    <s v="TD03"/>
    <x v="130"/>
    <x v="30"/>
    <s v="MALDANO"/>
    <m/>
    <s v="16.18"/>
    <n v="200"/>
    <s v="NL2018"/>
    <m/>
    <n v="50"/>
    <n v="10000"/>
    <x v="44"/>
    <n v="55000000"/>
    <x v="3"/>
    <d v="2019-05-28T00:00:00"/>
    <d v="2019-06-30T00:00:00"/>
    <d v="2019-06-30T00:00:00"/>
    <s v="28/5AL"/>
    <m/>
    <m/>
    <m/>
    <m/>
    <m/>
    <m/>
    <m/>
    <m/>
    <m/>
    <m/>
    <m/>
    <n v="0"/>
    <n v="10000"/>
    <n v="55000000"/>
  </r>
  <r>
    <s v="151B/2019"/>
    <d v="2019-05-20T00:00:00"/>
    <s v="THANH THÚY"/>
    <s v="TD03"/>
    <x v="130"/>
    <x v="54"/>
    <s v="MALDANO"/>
    <m/>
    <s v="14.16"/>
    <s v="300"/>
    <s v="NL2018"/>
    <m/>
    <n v="14"/>
    <n v="4200"/>
    <x v="3"/>
    <n v="17220000"/>
    <x v="3"/>
    <d v="2019-05-28T00:00:00"/>
    <d v="2019-06-30T00:00:00"/>
    <d v="2019-06-30T00:00:00"/>
    <s v="28/5AL"/>
    <m/>
    <m/>
    <m/>
    <m/>
    <m/>
    <m/>
    <m/>
    <m/>
    <m/>
    <m/>
    <m/>
    <n v="0"/>
    <n v="4200"/>
    <n v="17220000"/>
  </r>
  <r>
    <s v="151B/2019"/>
    <d v="2019-04-03T00:00:00"/>
    <s v="THANH THÚY"/>
    <s v="TD03"/>
    <x v="130"/>
    <x v="28"/>
    <s v="YELLOWEEN"/>
    <m/>
    <s v="14.16"/>
    <n v="300"/>
    <s v="NL2018"/>
    <m/>
    <n v="34"/>
    <n v="10200"/>
    <x v="57"/>
    <n v="40800000"/>
    <x v="3"/>
    <d v="2019-05-28T00:00:00"/>
    <d v="2019-06-30T00:00:00"/>
    <d v="2019-06-30T00:00:00"/>
    <s v="28/5AL"/>
    <m/>
    <m/>
    <m/>
    <m/>
    <m/>
    <m/>
    <m/>
    <m/>
    <m/>
    <m/>
    <m/>
    <n v="0"/>
    <n v="10200"/>
    <n v="40800000"/>
  </r>
  <r>
    <s v="151B/2019"/>
    <d v="2019-04-03T00:00:00"/>
    <s v="THANH THÚY"/>
    <s v="TD03"/>
    <x v="130"/>
    <x v="31"/>
    <s v="TARRANGO"/>
    <m/>
    <s v="14.16"/>
    <n v="300"/>
    <s v="NL2018"/>
    <m/>
    <n v="20"/>
    <n v="6000"/>
    <x v="23"/>
    <n v="28800000"/>
    <x v="3"/>
    <d v="2019-05-28T00:00:00"/>
    <d v="2019-06-30T00:00:00"/>
    <d v="2019-06-30T00:00:00"/>
    <s v="28/5AL"/>
    <m/>
    <m/>
    <m/>
    <m/>
    <m/>
    <m/>
    <m/>
    <m/>
    <m/>
    <m/>
    <m/>
    <n v="0"/>
    <n v="6000"/>
    <n v="28800000"/>
  </r>
  <r>
    <s v="150B/2019"/>
    <d v="2019-02-20T00:00:00"/>
    <s v="THANH THÚY"/>
    <s v="TD03"/>
    <x v="130"/>
    <x v="46"/>
    <s v="CONCADOR"/>
    <m/>
    <s v="22.24"/>
    <n v="100"/>
    <s v="NL2018"/>
    <m/>
    <n v="50"/>
    <n v="5000"/>
    <x v="29"/>
    <n v="62500000"/>
    <x v="2"/>
    <d v="2019-09-01T00:00:00"/>
    <d v="2019-09-29T00:00:00"/>
    <d v="2019-09-29T00:00:00"/>
    <s v="TẾT"/>
    <m/>
    <m/>
    <m/>
    <m/>
    <n v="0"/>
    <m/>
    <m/>
    <m/>
    <m/>
    <m/>
    <m/>
    <n v="0"/>
    <n v="5000"/>
    <n v="62500000"/>
  </r>
  <r>
    <s v="150B/2019"/>
    <d v="2019-02-20T00:00:00"/>
    <s v="THANH THÚY"/>
    <s v="TD03"/>
    <x v="130"/>
    <x v="14"/>
    <s v="TARRANGO"/>
    <m/>
    <s v="20.22"/>
    <n v="125"/>
    <s v="NL2018"/>
    <m/>
    <n v="40"/>
    <n v="5000"/>
    <x v="36"/>
    <n v="55000000"/>
    <x v="2"/>
    <d v="2019-09-01T00:00:00"/>
    <d v="2019-09-29T00:00:00"/>
    <d v="2019-09-29T00:00:00"/>
    <s v="TẾT"/>
    <m/>
    <m/>
    <m/>
    <m/>
    <n v="0"/>
    <m/>
    <m/>
    <m/>
    <m/>
    <m/>
    <m/>
    <n v="0"/>
    <n v="5000"/>
    <n v="55000000"/>
  </r>
  <r>
    <s v="150B/2019"/>
    <d v="2019-02-20T00:00:00"/>
    <s v="THANH THÚY"/>
    <s v="TD03"/>
    <x v="130"/>
    <x v="37"/>
    <s v="PROFUNDO"/>
    <m/>
    <s v="20.22"/>
    <n v="125"/>
    <s v="NL2018"/>
    <m/>
    <n v="80"/>
    <n v="10000"/>
    <x v="40"/>
    <n v="130000000"/>
    <x v="2"/>
    <d v="2019-09-01T00:00:00"/>
    <d v="2019-09-29T00:00:00"/>
    <d v="2019-09-29T00:00:00"/>
    <s v="TẾT"/>
    <m/>
    <m/>
    <m/>
    <m/>
    <n v="0"/>
    <m/>
    <m/>
    <m/>
    <m/>
    <m/>
    <m/>
    <n v="0"/>
    <n v="10000"/>
    <n v="130000000"/>
  </r>
  <r>
    <s v="150B/2019"/>
    <d v="2019-02-20T00:00:00"/>
    <s v="THANH THÚY"/>
    <s v="TD03"/>
    <x v="130"/>
    <x v="8"/>
    <s v="TEBALDI"/>
    <m/>
    <s v="16.18"/>
    <n v="200"/>
    <s v="NL2018"/>
    <m/>
    <n v="25"/>
    <n v="5000"/>
    <x v="20"/>
    <n v="30500000"/>
    <x v="2"/>
    <d v="2019-09-01T00:00:00"/>
    <d v="2019-09-29T00:00:00"/>
    <d v="2019-09-29T00:00:00"/>
    <s v="TẾT"/>
    <m/>
    <m/>
    <m/>
    <m/>
    <n v="0"/>
    <m/>
    <m/>
    <m/>
    <m/>
    <m/>
    <m/>
    <n v="0"/>
    <n v="5000"/>
    <n v="30500000"/>
  </r>
  <r>
    <s v="133A/2019"/>
    <d v="2019-02-03T00:00:00"/>
    <s v="KIỀU THY"/>
    <s v="HN01"/>
    <x v="131"/>
    <x v="25"/>
    <s v="CONCADOR "/>
    <m/>
    <s v="18.20"/>
    <n v="150"/>
    <s v="NL2018"/>
    <m/>
    <n v="34"/>
    <n v="5100"/>
    <x v="35"/>
    <n v="36720000"/>
    <x v="2"/>
    <d v="2019-09-01T00:00:00"/>
    <d v="2019-09-29T00:00:00"/>
    <d v="2019-09-29T00:00:00"/>
    <s v="TẾT"/>
    <m/>
    <m/>
    <m/>
    <m/>
    <n v="0"/>
    <m/>
    <m/>
    <m/>
    <m/>
    <m/>
    <m/>
    <n v="0"/>
    <n v="5100"/>
    <n v="36720000"/>
  </r>
  <r>
    <s v="133A/2019"/>
    <d v="2019-02-03T00:00:00"/>
    <s v="KIỀU THY"/>
    <s v="HN01"/>
    <x v="131"/>
    <x v="46"/>
    <s v="CONCADOR "/>
    <m/>
    <s v="22.24"/>
    <n v="100"/>
    <s v="NL2018"/>
    <m/>
    <n v="40"/>
    <n v="4000"/>
    <x v="29"/>
    <n v="50000000"/>
    <x v="2"/>
    <d v="2019-09-01T00:00:00"/>
    <d v="2019-09-29T00:00:00"/>
    <d v="2019-09-29T00:00:00"/>
    <s v="TẾT"/>
    <m/>
    <m/>
    <m/>
    <m/>
    <n v="0"/>
    <m/>
    <m/>
    <m/>
    <m/>
    <m/>
    <m/>
    <n v="0"/>
    <n v="4000"/>
    <n v="50000000"/>
  </r>
  <r>
    <s v="133A/2019"/>
    <d v="2019-02-03T00:00:00"/>
    <s v="KIỀU THY"/>
    <s v="HN01"/>
    <x v="131"/>
    <x v="110"/>
    <s v="CONCADOR NEWZELAND"/>
    <m/>
    <s v="20.22"/>
    <n v="125"/>
    <s v="NZ2019"/>
    <m/>
    <n v="8"/>
    <n v="1000"/>
    <x v="53"/>
    <n v="12000000"/>
    <x v="2"/>
    <d v="2019-09-01T00:00:00"/>
    <s v=""/>
    <s v=""/>
    <s v="TẾT"/>
    <m/>
    <m/>
    <m/>
    <m/>
    <n v="0"/>
    <m/>
    <m/>
    <m/>
    <m/>
    <m/>
    <m/>
    <n v="0"/>
    <n v="1000"/>
    <n v="12000000"/>
  </r>
  <r>
    <s v="133A/2019"/>
    <d v="2019-02-03T00:00:00"/>
    <s v="KIỀU THY"/>
    <s v="HN01"/>
    <x v="131"/>
    <x v="37"/>
    <s v="PROFUNDO"/>
    <m/>
    <s v="20.22"/>
    <n v="125"/>
    <s v="NL2018"/>
    <m/>
    <n v="40"/>
    <n v="5000"/>
    <x v="40"/>
    <n v="65000000"/>
    <x v="2"/>
    <d v="2019-09-01T00:00:00"/>
    <d v="2019-09-29T00:00:00"/>
    <d v="2019-09-29T00:00:00"/>
    <s v="TẾT"/>
    <m/>
    <m/>
    <m/>
    <m/>
    <n v="0"/>
    <m/>
    <m/>
    <m/>
    <m/>
    <m/>
    <m/>
    <n v="0"/>
    <n v="5000"/>
    <n v="65000000"/>
  </r>
  <r>
    <s v="133A/2019"/>
    <d v="2019-02-03T00:00:00"/>
    <s v="KIỀU THY"/>
    <s v="HN01"/>
    <x v="131"/>
    <x v="47"/>
    <s v="ROBINA"/>
    <m/>
    <s v="18.20"/>
    <n v="150"/>
    <s v="NL2018"/>
    <m/>
    <n v="34"/>
    <n v="5100"/>
    <x v="35"/>
    <n v="36720000"/>
    <x v="2"/>
    <d v="2019-09-01T00:00:00"/>
    <d v="2019-09-29T00:00:00"/>
    <d v="2019-09-29T00:00:00"/>
    <s v="TẾT"/>
    <m/>
    <m/>
    <m/>
    <m/>
    <n v="0"/>
    <m/>
    <m/>
    <m/>
    <m/>
    <m/>
    <m/>
    <n v="0"/>
    <n v="5100"/>
    <n v="36720000"/>
  </r>
  <r>
    <s v="133A/2019"/>
    <d v="2019-02-03T00:00:00"/>
    <s v="KIỀU THY"/>
    <s v="HN01"/>
    <x v="131"/>
    <x v="26"/>
    <s v="ROBINA"/>
    <m/>
    <s v="22.24"/>
    <n v="100"/>
    <s v="NL2018"/>
    <m/>
    <n v="50"/>
    <n v="5000"/>
    <x v="29"/>
    <n v="62500000"/>
    <x v="2"/>
    <d v="2019-09-01T00:00:00"/>
    <d v="2019-09-29T00:00:00"/>
    <d v="2019-09-29T00:00:00"/>
    <s v="TẾT"/>
    <m/>
    <m/>
    <m/>
    <m/>
    <n v="0"/>
    <m/>
    <m/>
    <m/>
    <m/>
    <m/>
    <m/>
    <n v="0"/>
    <n v="5000"/>
    <n v="62500000"/>
  </r>
  <r>
    <s v="133A/2019"/>
    <d v="2019-02-03T00:00:00"/>
    <s v="KIỀU THY"/>
    <s v="HN01"/>
    <x v="131"/>
    <x v="38"/>
    <s v="YELLOWEEN"/>
    <m/>
    <s v="16.18"/>
    <n v="200"/>
    <s v="NL2018"/>
    <m/>
    <n v="25"/>
    <n v="5000"/>
    <x v="44"/>
    <n v="27500000"/>
    <x v="2"/>
    <d v="2019-09-01T00:00:00"/>
    <d v="2019-09-29T00:00:00"/>
    <d v="2019-09-29T00:00:00"/>
    <s v="TẾT"/>
    <m/>
    <m/>
    <m/>
    <m/>
    <n v="0"/>
    <m/>
    <m/>
    <m/>
    <m/>
    <m/>
    <m/>
    <n v="0"/>
    <n v="5000"/>
    <n v="27500000"/>
  </r>
  <r>
    <s v="33A/2019"/>
    <d v="2019-02-03T00:00:00"/>
    <s v="KIỀU THY"/>
    <s v="HN01"/>
    <x v="131"/>
    <x v="156"/>
    <s v="CONCADOR FR"/>
    <m/>
    <s v="14.16"/>
    <n v="250"/>
    <s v="NL2018"/>
    <m/>
    <n v="80"/>
    <n v="20000"/>
    <x v="117"/>
    <n v="74000000"/>
    <x v="0"/>
    <d v="2019-01-15T00:00:00"/>
    <d v="2019-02-19T00:00:00"/>
    <d v="2019-02-19T00:00:00"/>
    <s v="15/1AL"/>
    <m/>
    <m/>
    <s v="R"/>
    <d v="2019-02-19T00:00:00"/>
    <n v="10000"/>
    <d v="2019-03-04T00:00:00"/>
    <n v="10000"/>
    <m/>
    <m/>
    <m/>
    <m/>
    <n v="20000"/>
    <n v="0"/>
    <n v="0"/>
  </r>
  <r>
    <s v="33A/2019"/>
    <d v="2019-02-03T00:00:00"/>
    <s v="KIỀU THY"/>
    <s v="HN01"/>
    <x v="131"/>
    <x v="15"/>
    <s v="CONCADOR "/>
    <m/>
    <s v="16.18"/>
    <n v="200"/>
    <s v="NL2018"/>
    <m/>
    <n v="2"/>
    <n v="400"/>
    <x v="0"/>
    <n v="1880000"/>
    <x v="0"/>
    <d v="2019-02-15T00:00:00"/>
    <d v="2019-03-20T00:00:00"/>
    <d v="2019-03-20T00:00:00"/>
    <s v="15/2AL"/>
    <s v="CONT 11/2019"/>
    <d v="2019-03-17T00:00:00"/>
    <s v="R"/>
    <d v="2019-03-19T00:00:00"/>
    <n v="400"/>
    <m/>
    <m/>
    <m/>
    <m/>
    <m/>
    <m/>
    <n v="400"/>
    <n v="0"/>
    <n v="0"/>
  </r>
  <r>
    <s v="33A/2019"/>
    <d v="2019-02-03T00:00:00"/>
    <s v="KIỀU THY"/>
    <s v="HN01"/>
    <x v="131"/>
    <x v="15"/>
    <s v="CONCADOR "/>
    <m/>
    <s v="16.18"/>
    <n v="200"/>
    <s v="NL2018"/>
    <m/>
    <n v="13"/>
    <n v="2600"/>
    <x v="0"/>
    <n v="12220000"/>
    <x v="0"/>
    <d v="2019-02-15T00:00:00"/>
    <d v="2019-03-20T00:00:00"/>
    <d v="2019-03-20T00:00:00"/>
    <s v="15/2AL"/>
    <s v="CONT 10/2019"/>
    <d v="2019-03-17T00:00:00"/>
    <s v="R"/>
    <d v="2019-03-19T00:00:00"/>
    <n v="2600"/>
    <m/>
    <m/>
    <m/>
    <m/>
    <m/>
    <m/>
    <n v="2600"/>
    <n v="0"/>
    <n v="0"/>
  </r>
  <r>
    <s v="33A/2019"/>
    <d v="2019-02-03T00:00:00"/>
    <s v="KIỀU THY"/>
    <s v="HN01"/>
    <x v="131"/>
    <x v="80"/>
    <s v="PROFUNDO"/>
    <m/>
    <s v="14.16"/>
    <n v="300"/>
    <s v="NL2018"/>
    <m/>
    <n v="34"/>
    <n v="10200"/>
    <x v="82"/>
    <n v="53040000"/>
    <x v="0"/>
    <d v="2019-02-15T00:00:00"/>
    <d v="2019-03-20T00:00:00"/>
    <d v="2019-03-20T00:00:00"/>
    <s v="15/2AL"/>
    <s v="CONT 12/2019"/>
    <d v="2019-03-17T00:00:00"/>
    <s v="R"/>
    <d v="2019-03-19T00:00:00"/>
    <n v="10200"/>
    <m/>
    <m/>
    <m/>
    <m/>
    <m/>
    <m/>
    <n v="10200"/>
    <n v="0"/>
    <n v="0"/>
  </r>
  <r>
    <s v="33A/2019"/>
    <d v="2019-02-03T00:00:00"/>
    <s v="KIỀU THY"/>
    <s v="HN01"/>
    <x v="131"/>
    <x v="5"/>
    <s v="PROFUNDO"/>
    <m/>
    <s v="16.18"/>
    <n v="200"/>
    <s v="NL2018"/>
    <m/>
    <n v="100"/>
    <n v="20000"/>
    <x v="45"/>
    <n v="134000000"/>
    <x v="0"/>
    <d v="2019-02-15T00:00:00"/>
    <d v="2019-03-20T00:00:00"/>
    <d v="2019-03-20T00:00:00"/>
    <s v="15/2AL"/>
    <s v="CONT 12/2019"/>
    <d v="2019-03-17T00:00:00"/>
    <s v="R"/>
    <d v="2019-04-03T00:00:00"/>
    <n v="5000"/>
    <d v="2019-04-15T00:00:00"/>
    <n v="5000"/>
    <d v="2019-04-26T00:00:00"/>
    <n v="10000"/>
    <m/>
    <m/>
    <n v="20000"/>
    <n v="0"/>
    <n v="0"/>
  </r>
  <r>
    <s v="33A/2019"/>
    <d v="2019-02-03T00:00:00"/>
    <s v="KIỀU THY"/>
    <s v="HN01"/>
    <x v="131"/>
    <x v="15"/>
    <s v="CONCADOR "/>
    <m/>
    <s v="16.18"/>
    <n v="200"/>
    <s v="NL2018"/>
    <m/>
    <n v="50"/>
    <n v="10000"/>
    <x v="0"/>
    <n v="47000000"/>
    <x v="0"/>
    <d v="2019-03-15T00:00:00"/>
    <d v="2019-04-19T00:00:00"/>
    <d v="2019-04-19T00:00:00"/>
    <s v="15/3AL"/>
    <s v="CONT 22/2019"/>
    <d v="2019-04-14T00:00:00"/>
    <s v="R"/>
    <d v="2019-04-03T00:00:00"/>
    <n v="5000"/>
    <d v="2019-04-15T00:00:00"/>
    <n v="5000"/>
    <m/>
    <m/>
    <m/>
    <m/>
    <n v="10000"/>
    <n v="0"/>
    <n v="0"/>
  </r>
  <r>
    <s v="33A/2019"/>
    <d v="2019-02-03T00:00:00"/>
    <s v="KIỀU THY"/>
    <s v="HN01"/>
    <x v="131"/>
    <x v="22"/>
    <s v="ROBINA"/>
    <m/>
    <s v="16.18"/>
    <n v="200"/>
    <s v="NL2018"/>
    <m/>
    <n v="0"/>
    <n v="0"/>
    <x v="18"/>
    <n v="0"/>
    <x v="1"/>
    <d v="2019-03-15T00:00:00"/>
    <d v="2019-04-19T00:00:00"/>
    <d v="2019-04-19T00:00:00"/>
    <s v="15/3AL"/>
    <s v="CONT 26/2019"/>
    <d v="2019-04-14T00:00:00"/>
    <s v="R"/>
    <m/>
    <n v="0"/>
    <m/>
    <m/>
    <m/>
    <m/>
    <m/>
    <m/>
    <n v="0"/>
    <n v="0"/>
    <n v="0"/>
  </r>
  <r>
    <s v="33A/2019"/>
    <d v="2019-02-03T00:00:00"/>
    <s v="KIỀU THY"/>
    <s v="HN01"/>
    <x v="131"/>
    <x v="47"/>
    <s v="ROBINA"/>
    <m/>
    <s v="18.20"/>
    <n v="150"/>
    <s v="NL2018"/>
    <m/>
    <n v="100"/>
    <n v="15000"/>
    <x v="42"/>
    <n v="94500000"/>
    <x v="0"/>
    <d v="2019-03-15T00:00:00"/>
    <d v="2019-04-19T00:00:00"/>
    <d v="2019-04-19T00:00:00"/>
    <s v="15/3AL"/>
    <s v="CONT 25/2019"/>
    <d v="2019-04-14T00:00:00"/>
    <s v="R"/>
    <d v="2019-05-15T00:00:00"/>
    <n v="15000"/>
    <m/>
    <m/>
    <m/>
    <m/>
    <m/>
    <m/>
    <n v="15000"/>
    <n v="0"/>
    <n v="0"/>
  </r>
  <r>
    <s v="33A/2019"/>
    <d v="2019-02-03T00:00:00"/>
    <s v="KIỀU THY"/>
    <s v="HN01"/>
    <x v="131"/>
    <x v="57"/>
    <s v="DALIAN"/>
    <m/>
    <s v="14.16"/>
    <n v="300"/>
    <s v="NL2018"/>
    <m/>
    <n v="21"/>
    <n v="6300"/>
    <x v="184"/>
    <n v="34101900"/>
    <x v="0"/>
    <d v="2019-03-30T00:00:00"/>
    <d v="2019-05-04T00:00:00"/>
    <d v="2019-05-04T00:00:00"/>
    <s v="15/3AL"/>
    <m/>
    <m/>
    <m/>
    <d v="2019-05-27T00:00:00"/>
    <n v="5100"/>
    <d v="2019-06-17T00:00:00"/>
    <n v="1200"/>
    <m/>
    <m/>
    <m/>
    <m/>
    <n v="6300"/>
    <n v="0"/>
    <n v="0"/>
  </r>
  <r>
    <s v="33A/2019"/>
    <d v="2019-02-03T00:00:00"/>
    <s v="KIỀU THY"/>
    <s v="HN01"/>
    <x v="131"/>
    <x v="57"/>
    <s v="DALIAN"/>
    <m/>
    <s v="14.16"/>
    <n v="300"/>
    <s v="NL2018"/>
    <m/>
    <n v="13"/>
    <n v="3900"/>
    <x v="184"/>
    <n v="21110700"/>
    <x v="0"/>
    <d v="2019-04-17T00:00:00"/>
    <d v="2019-05-21T00:00:00"/>
    <d v="2019-05-21T00:00:00"/>
    <s v="15/3AL"/>
    <s v="CONT 23/2019"/>
    <d v="2019-04-14T00:00:00"/>
    <m/>
    <d v="2019-06-17T00:00:00"/>
    <n v="3900"/>
    <m/>
    <m/>
    <m/>
    <m/>
    <m/>
    <m/>
    <n v="3900"/>
    <n v="0"/>
    <n v="0"/>
  </r>
  <r>
    <s v="33A/2019"/>
    <d v="2019-02-03T00:00:00"/>
    <s v="KIỀU THY"/>
    <s v="HN01"/>
    <x v="131"/>
    <x v="50"/>
    <s v="PROFUNDO"/>
    <m/>
    <s v="14.16"/>
    <n v="275"/>
    <s v="NL2018"/>
    <m/>
    <n v="37"/>
    <n v="10175"/>
    <x v="18"/>
    <n v="50875000"/>
    <x v="4"/>
    <d v="2019-04-17T00:00:00"/>
    <d v="2019-05-21T00:00:00"/>
    <d v="2019-05-21T00:00:00"/>
    <s v="30/3AL"/>
    <m/>
    <m/>
    <m/>
    <d v="2019-06-17T00:00:00"/>
    <n v="6000"/>
    <m/>
    <m/>
    <m/>
    <m/>
    <m/>
    <m/>
    <n v="6000"/>
    <n v="4175"/>
    <n v="20875000"/>
  </r>
  <r>
    <s v="33A/2019"/>
    <d v="2019-02-03T00:00:00"/>
    <s v="KIỀU THY"/>
    <s v="HN01"/>
    <x v="131"/>
    <x v="22"/>
    <s v="ROBINA"/>
    <m/>
    <s v="16.18"/>
    <n v="200"/>
    <s v="NL2018"/>
    <m/>
    <n v="50"/>
    <n v="10000"/>
    <x v="185"/>
    <n v="51630000"/>
    <x v="3"/>
    <d v="2019-06-15T00:00:00"/>
    <d v="2019-07-17T00:00:00"/>
    <d v="2019-07-17T00:00:00"/>
    <s v="15/3AL"/>
    <m/>
    <m/>
    <m/>
    <m/>
    <m/>
    <m/>
    <m/>
    <m/>
    <m/>
    <m/>
    <m/>
    <n v="0"/>
    <n v="10000"/>
    <n v="51630000"/>
  </r>
  <r>
    <s v="33A/2019"/>
    <d v="2019-05-25T00:00:00"/>
    <s v="KIỀU THY"/>
    <s v="HN01"/>
    <x v="131"/>
    <x v="15"/>
    <s v="CONCADOR"/>
    <m/>
    <s v="16.18"/>
    <n v="200"/>
    <s v="NL2018"/>
    <m/>
    <n v="25"/>
    <n v="5000"/>
    <x v="18"/>
    <n v="25000000"/>
    <x v="0"/>
    <d v="2019-04-17T00:00:00"/>
    <d v="2019-05-21T00:00:00"/>
    <d v="2019-05-21T00:00:00"/>
    <m/>
    <m/>
    <m/>
    <m/>
    <d v="2019-05-27T00:00:00"/>
    <n v="5000"/>
    <m/>
    <m/>
    <m/>
    <m/>
    <m/>
    <m/>
    <n v="5000"/>
    <n v="0"/>
    <n v="0"/>
  </r>
  <r>
    <s v="33A/2019"/>
    <d v="2019-05-25T00:00:00"/>
    <s v="KIỀU THY"/>
    <s v="HN01"/>
    <x v="131"/>
    <x v="133"/>
    <s v="MANISSA"/>
    <m/>
    <s v="14.16"/>
    <n v="300"/>
    <s v="NL2018"/>
    <m/>
    <n v="17"/>
    <n v="5100"/>
    <x v="6"/>
    <n v="19380000"/>
    <x v="0"/>
    <d v="2019-05-05T00:00:00"/>
    <d v="2019-06-07T00:00:00"/>
    <d v="2019-06-07T00:00:00"/>
    <m/>
    <m/>
    <m/>
    <m/>
    <d v="2019-06-17T00:00:00"/>
    <n v="5100"/>
    <m/>
    <m/>
    <m/>
    <m/>
    <m/>
    <m/>
    <n v="5100"/>
    <n v="0"/>
    <n v="0"/>
  </r>
  <r>
    <s v="33A/2019"/>
    <d v="2019-02-03T00:00:00"/>
    <s v="KIỀU THY"/>
    <s v="HN01"/>
    <x v="131"/>
    <x v="22"/>
    <s v="ROBINA"/>
    <m/>
    <s v="16.18"/>
    <n v="200"/>
    <s v="NL2018"/>
    <m/>
    <n v="50"/>
    <n v="10000"/>
    <x v="185"/>
    <n v="51630000"/>
    <x v="3"/>
    <d v="2019-05-18T00:00:00"/>
    <d v="2019-06-20T00:00:00"/>
    <d v="2019-06-20T00:00:00"/>
    <m/>
    <m/>
    <m/>
    <m/>
    <m/>
    <m/>
    <m/>
    <m/>
    <m/>
    <m/>
    <m/>
    <m/>
    <n v="0"/>
    <n v="10000"/>
    <n v="51630000"/>
  </r>
  <r>
    <s v="33A/2019"/>
    <d v="2019-02-03T00:00:00"/>
    <s v="KIỀU THY"/>
    <s v="HN01"/>
    <x v="131"/>
    <x v="5"/>
    <s v="PROFUNDO"/>
    <m/>
    <s v="16.18"/>
    <n v="200"/>
    <s v="NL2018"/>
    <m/>
    <n v="0"/>
    <n v="0"/>
    <x v="45"/>
    <n v="0"/>
    <x v="1"/>
    <d v="2019-05-05T00:00:00"/>
    <d v="2019-06-07T00:00:00"/>
    <d v="2019-06-07T00:00:00"/>
    <s v="15/3AL"/>
    <s v="CONT 23/2019"/>
    <d v="2019-04-14T00:00:00"/>
    <s v="R"/>
    <m/>
    <n v="0"/>
    <m/>
    <m/>
    <m/>
    <m/>
    <m/>
    <m/>
    <n v="0"/>
    <n v="0"/>
    <n v="0"/>
  </r>
  <r>
    <s v="33A/2019"/>
    <d v="2019-02-03T00:00:00"/>
    <s v="KIỀU THY"/>
    <s v="HN01"/>
    <x v="131"/>
    <x v="15"/>
    <s v="CONCADOR "/>
    <m/>
    <s v="16.18"/>
    <n v="200"/>
    <s v="NL2018"/>
    <m/>
    <n v="50"/>
    <n v="10000"/>
    <x v="0"/>
    <n v="47000000"/>
    <x v="0"/>
    <s v="30-Feb-19"/>
    <d v="2019-04-04T00:00:00"/>
    <d v="2019-04-04T00:00:00"/>
    <s v="30/2AL"/>
    <s v="CONT 16/2019"/>
    <d v="2019-03-31T00:00:00"/>
    <s v="R"/>
    <d v="2019-04-26T00:00:00"/>
    <n v="5000"/>
    <d v="2019-05-06T00:00:00"/>
    <n v="5000"/>
    <m/>
    <m/>
    <m/>
    <m/>
    <n v="10000"/>
    <n v="0"/>
    <n v="0"/>
  </r>
  <r>
    <s v="33A/2019"/>
    <d v="2019-02-03T00:00:00"/>
    <s v="KIỀU THY"/>
    <s v="HN01"/>
    <x v="131"/>
    <x v="67"/>
    <s v="INDIANA"/>
    <m/>
    <s v="14.16"/>
    <n v="300"/>
    <s v="NL2018"/>
    <m/>
    <n v="39"/>
    <n v="11700"/>
    <x v="0"/>
    <n v="54990000"/>
    <x v="0"/>
    <s v="30-Feb-19"/>
    <d v="2019-04-04T00:00:00"/>
    <d v="2019-04-04T00:00:00"/>
    <s v="30/2AL"/>
    <s v="CONT 14/2019"/>
    <d v="2019-03-31T00:00:00"/>
    <s v="R"/>
    <d v="2019-04-15T00:00:00"/>
    <n v="5100"/>
    <d v="2019-05-06T00:00:00"/>
    <n v="6600"/>
    <m/>
    <m/>
    <m/>
    <m/>
    <n v="11700"/>
    <n v="0"/>
    <n v="0"/>
  </r>
  <r>
    <s v="33A/2019"/>
    <d v="2019-02-03T00:00:00"/>
    <s v="KIỀU THY"/>
    <s v="HN01"/>
    <x v="131"/>
    <x v="22"/>
    <s v="ROBINA"/>
    <m/>
    <s v="16.18"/>
    <n v="200"/>
    <s v="NL2018"/>
    <m/>
    <n v="0"/>
    <n v="0"/>
    <x v="23"/>
    <n v="0"/>
    <x v="1"/>
    <s v="30-Feb-19"/>
    <d v="2019-04-04T00:00:00"/>
    <d v="2019-04-04T00:00:00"/>
    <s v="30/2AL"/>
    <s v="CONT 15/2019"/>
    <d v="2019-03-31T00:00:00"/>
    <s v="R"/>
    <m/>
    <n v="0"/>
    <m/>
    <m/>
    <m/>
    <m/>
    <m/>
    <m/>
    <n v="0"/>
    <n v="0"/>
    <n v="0"/>
  </r>
  <r>
    <s v="198A/2019"/>
    <d v="2019-02-21T00:00:00"/>
    <s v="KIỀU THY"/>
    <s v="VT09"/>
    <x v="132"/>
    <x v="6"/>
    <s v="CONCADOR"/>
    <m/>
    <s v="20.22"/>
    <n v="125"/>
    <s v="NL2018"/>
    <m/>
    <n v="6"/>
    <n v="750"/>
    <x v="59"/>
    <n v="7875000"/>
    <x v="2"/>
    <d v="2019-09-01T00:00:00"/>
    <d v="2019-09-29T00:00:00"/>
    <d v="2019-09-29T00:00:00"/>
    <s v="TẾT"/>
    <m/>
    <m/>
    <m/>
    <m/>
    <m/>
    <m/>
    <m/>
    <m/>
    <m/>
    <m/>
    <m/>
    <n v="0"/>
    <n v="750"/>
    <n v="7875000"/>
  </r>
  <r>
    <s v="198A/2019"/>
    <d v="2019-02-21T00:00:00"/>
    <s v="KIỀU THY"/>
    <s v="VT09"/>
    <x v="132"/>
    <x v="6"/>
    <s v="CONCADOR"/>
    <m/>
    <s v="20.22"/>
    <n v="125"/>
    <s v="NL2018"/>
    <m/>
    <n v="10"/>
    <n v="1250"/>
    <x v="7"/>
    <n v="13250000"/>
    <x v="2"/>
    <d v="2019-09-01T00:00:00"/>
    <d v="2019-09-29T00:00:00"/>
    <d v="2019-09-29T00:00:00"/>
    <s v="TẾT"/>
    <m/>
    <m/>
    <m/>
    <m/>
    <m/>
    <m/>
    <m/>
    <m/>
    <m/>
    <m/>
    <m/>
    <n v="0"/>
    <n v="1250"/>
    <n v="13250000"/>
  </r>
  <r>
    <s v="198A/2019"/>
    <d v="2019-02-21T00:00:00"/>
    <s v="KIỀU THY"/>
    <s v="VT09"/>
    <x v="132"/>
    <x v="14"/>
    <s v="TARRANGO"/>
    <m/>
    <s v="20.22"/>
    <n v="125"/>
    <s v="NL2018"/>
    <m/>
    <n v="28"/>
    <n v="3500"/>
    <x v="39"/>
    <n v="35350000"/>
    <x v="2"/>
    <d v="2019-09-01T00:00:00"/>
    <d v="2019-09-29T00:00:00"/>
    <d v="2019-09-29T00:00:00"/>
    <s v="TẾT"/>
    <m/>
    <m/>
    <m/>
    <m/>
    <m/>
    <m/>
    <m/>
    <m/>
    <m/>
    <m/>
    <m/>
    <n v="0"/>
    <n v="3500"/>
    <n v="35350000"/>
  </r>
  <r>
    <s v="198A/2019"/>
    <d v="2019-02-21T00:00:00"/>
    <s v="KIỀU THY"/>
    <s v="VT09"/>
    <x v="132"/>
    <x v="37"/>
    <s v="PROFUNDO"/>
    <m/>
    <s v="20.22"/>
    <n v="125"/>
    <s v="NL2018"/>
    <m/>
    <n v="84"/>
    <n v="10500"/>
    <x v="40"/>
    <n v="136500000"/>
    <x v="2"/>
    <d v="2019-09-01T00:00:00"/>
    <d v="2019-09-29T00:00:00"/>
    <d v="2019-09-29T00:00:00"/>
    <s v="TẾT"/>
    <m/>
    <m/>
    <m/>
    <m/>
    <m/>
    <m/>
    <m/>
    <m/>
    <m/>
    <m/>
    <m/>
    <n v="0"/>
    <n v="10500"/>
    <n v="136500000"/>
  </r>
  <r>
    <s v="198A/2019"/>
    <d v="2019-02-21T00:00:00"/>
    <s v="KIỀU THY"/>
    <s v="VT09"/>
    <x v="132"/>
    <x v="111"/>
    <s v="SERANO"/>
    <m/>
    <s v="20.22"/>
    <n v="125"/>
    <s v="NL2018"/>
    <m/>
    <n v="46"/>
    <n v="5750"/>
    <x v="115"/>
    <n v="53475000"/>
    <x v="2"/>
    <d v="2019-09-01T00:00:00"/>
    <d v="2019-09-29T00:00:00"/>
    <d v="2019-09-29T00:00:00"/>
    <s v="TẾT"/>
    <m/>
    <m/>
    <m/>
    <m/>
    <m/>
    <m/>
    <m/>
    <m/>
    <m/>
    <m/>
    <m/>
    <n v="0"/>
    <n v="5750"/>
    <n v="53475000"/>
  </r>
  <r>
    <s v="198A/2019"/>
    <d v="2019-04-24T00:00:00"/>
    <s v="KIỀU THY"/>
    <s v="VT09"/>
    <x v="132"/>
    <x v="111"/>
    <s v="SERANO"/>
    <m/>
    <s v="20.22"/>
    <n v="125"/>
    <s v="NL2018"/>
    <m/>
    <n v="50"/>
    <n v="6250"/>
    <x v="103"/>
    <n v="60000000"/>
    <x v="2"/>
    <d v="2019-09-01T00:00:00"/>
    <d v="2019-09-29T00:00:00"/>
    <d v="2019-09-29T00:00:00"/>
    <s v="TẾT"/>
    <m/>
    <m/>
    <m/>
    <m/>
    <m/>
    <m/>
    <m/>
    <m/>
    <m/>
    <m/>
    <m/>
    <n v="0"/>
    <n v="6250"/>
    <n v="60000000"/>
  </r>
  <r>
    <s v="197A/2019"/>
    <d v="2019-02-21T00:00:00"/>
    <s v="KIỀU THY"/>
    <s v="VT09"/>
    <x v="133"/>
    <x v="37"/>
    <s v="PROFUNDO"/>
    <m/>
    <s v="20.22"/>
    <n v="125"/>
    <s v="NL2018"/>
    <m/>
    <n v="56"/>
    <n v="7000"/>
    <x v="40"/>
    <n v="91000000"/>
    <x v="2"/>
    <d v="2019-09-01T00:00:00"/>
    <d v="2019-09-29T00:00:00"/>
    <d v="2019-09-29T00:00:00"/>
    <s v="TẾT"/>
    <m/>
    <m/>
    <m/>
    <m/>
    <m/>
    <m/>
    <m/>
    <m/>
    <m/>
    <m/>
    <m/>
    <n v="0"/>
    <n v="7000"/>
    <n v="91000000"/>
  </r>
  <r>
    <s v="197A/2019"/>
    <d v="2019-02-21T00:00:00"/>
    <s v="KIỀU THY"/>
    <s v="VT09"/>
    <x v="133"/>
    <x v="6"/>
    <s v="CONCADOR"/>
    <m/>
    <s v="20.22"/>
    <n v="125"/>
    <s v="NL2018"/>
    <m/>
    <n v="32"/>
    <n v="4000"/>
    <x v="7"/>
    <n v="42400000"/>
    <x v="2"/>
    <d v="2019-09-01T00:00:00"/>
    <d v="2019-09-29T00:00:00"/>
    <d v="2019-09-29T00:00:00"/>
    <s v="TẾT"/>
    <m/>
    <m/>
    <m/>
    <m/>
    <m/>
    <m/>
    <m/>
    <m/>
    <m/>
    <m/>
    <m/>
    <n v="0"/>
    <n v="4000"/>
    <n v="42400000"/>
  </r>
  <r>
    <s v="197A/2019"/>
    <d v="2019-02-21T00:00:00"/>
    <s v="KIỀU THY"/>
    <s v="VT09"/>
    <x v="133"/>
    <x v="16"/>
    <s v="ROBINA"/>
    <m/>
    <s v="20.22"/>
    <n v="125"/>
    <s v="NL2018"/>
    <m/>
    <n v="24"/>
    <n v="3000"/>
    <x v="16"/>
    <n v="32100000"/>
    <x v="2"/>
    <d v="2019-09-01T00:00:00"/>
    <d v="2019-09-29T00:00:00"/>
    <d v="2019-09-29T00:00:00"/>
    <s v="TẾT"/>
    <m/>
    <m/>
    <m/>
    <m/>
    <m/>
    <m/>
    <m/>
    <m/>
    <m/>
    <m/>
    <m/>
    <n v="0"/>
    <n v="3000"/>
    <n v="32100000"/>
  </r>
  <r>
    <s v="197A/2019"/>
    <d v="2019-02-21T00:00:00"/>
    <s v="KIỀU THY"/>
    <s v="VT09"/>
    <x v="133"/>
    <x v="36"/>
    <s v="MANISSA"/>
    <m/>
    <s v="20.22"/>
    <n v="125"/>
    <s v="NL2018"/>
    <m/>
    <n v="24"/>
    <n v="3000"/>
    <x v="37"/>
    <n v="40500000"/>
    <x v="2"/>
    <d v="2019-09-01T00:00:00"/>
    <d v="2019-09-29T00:00:00"/>
    <d v="2019-09-29T00:00:00"/>
    <s v="TẾT"/>
    <m/>
    <m/>
    <m/>
    <m/>
    <m/>
    <m/>
    <m/>
    <m/>
    <m/>
    <m/>
    <m/>
    <n v="0"/>
    <n v="3000"/>
    <n v="40500000"/>
  </r>
  <r>
    <s v="197A/2019"/>
    <d v="2019-02-21T00:00:00"/>
    <s v="KIỀU THY"/>
    <s v="VT09"/>
    <x v="133"/>
    <x v="111"/>
    <s v="SERANO"/>
    <m/>
    <s v="20.22"/>
    <n v="125"/>
    <s v="NL2018"/>
    <m/>
    <n v="16"/>
    <n v="2000"/>
    <x v="115"/>
    <n v="18600000"/>
    <x v="2"/>
    <d v="2019-09-01T00:00:00"/>
    <d v="2019-09-29T00:00:00"/>
    <d v="2019-09-29T00:00:00"/>
    <s v="TẾT"/>
    <m/>
    <m/>
    <m/>
    <m/>
    <m/>
    <m/>
    <m/>
    <m/>
    <m/>
    <m/>
    <m/>
    <n v="0"/>
    <n v="2000"/>
    <n v="18600000"/>
  </r>
  <r>
    <s v="197A/2019"/>
    <d v="2019-04-24T00:00:00"/>
    <s v="KIỀU THY"/>
    <s v="VT09"/>
    <x v="133"/>
    <x v="111"/>
    <s v="SERANO"/>
    <m/>
    <s v="20.22"/>
    <n v="125"/>
    <s v="NL2018"/>
    <m/>
    <n v="8"/>
    <n v="1000"/>
    <x v="103"/>
    <n v="9600000"/>
    <x v="2"/>
    <d v="2019-09-01T00:00:00"/>
    <d v="2019-09-29T00:00:00"/>
    <d v="2019-09-29T00:00:00"/>
    <s v="TẾT"/>
    <m/>
    <m/>
    <m/>
    <m/>
    <m/>
    <m/>
    <m/>
    <m/>
    <m/>
    <m/>
    <m/>
    <n v="0"/>
    <n v="1000"/>
    <n v="9600000"/>
  </r>
  <r>
    <s v="199A/2019"/>
    <d v="2019-02-21T00:00:00"/>
    <s v="KIỀU THY"/>
    <s v="VT09"/>
    <x v="134"/>
    <x v="6"/>
    <s v="CONCADOR"/>
    <m/>
    <s v="20.22"/>
    <n v="125"/>
    <s v="NL2018"/>
    <m/>
    <n v="64"/>
    <n v="8000"/>
    <x v="59"/>
    <n v="84000000"/>
    <x v="2"/>
    <d v="2019-09-01T00:00:00"/>
    <d v="2019-09-29T00:00:00"/>
    <d v="2019-09-29T00:00:00"/>
    <s v="TẾT"/>
    <m/>
    <m/>
    <m/>
    <m/>
    <m/>
    <m/>
    <m/>
    <m/>
    <m/>
    <m/>
    <m/>
    <n v="0"/>
    <n v="8000"/>
    <n v="84000000"/>
  </r>
  <r>
    <s v="199A/2019"/>
    <d v="2019-02-21T00:00:00"/>
    <s v="KIỀU THY"/>
    <s v="VT09"/>
    <x v="134"/>
    <x v="9"/>
    <s v="MANISSA"/>
    <m/>
    <s v="22.24"/>
    <n v="100"/>
    <s v="NL2018"/>
    <m/>
    <n v="70"/>
    <n v="7000"/>
    <x v="38"/>
    <n v="106400000"/>
    <x v="2"/>
    <d v="2019-09-01T00:00:00"/>
    <d v="2019-09-29T00:00:00"/>
    <d v="2019-09-29T00:00:00"/>
    <s v="TẾT"/>
    <m/>
    <m/>
    <m/>
    <m/>
    <m/>
    <m/>
    <m/>
    <m/>
    <m/>
    <m/>
    <m/>
    <n v="0"/>
    <n v="7000"/>
    <n v="106400000"/>
  </r>
  <r>
    <s v="199A/2019"/>
    <d v="2019-02-21T00:00:00"/>
    <s v="KIỀU THY"/>
    <s v="VT09"/>
    <x v="134"/>
    <x v="36"/>
    <s v="MANISSA"/>
    <m/>
    <s v="20.22"/>
    <n v="125"/>
    <s v="NL2018"/>
    <m/>
    <n v="32"/>
    <n v="4000"/>
    <x v="37"/>
    <n v="54000000"/>
    <x v="2"/>
    <d v="2019-09-01T00:00:00"/>
    <d v="2019-09-29T00:00:00"/>
    <d v="2019-09-29T00:00:00"/>
    <s v="TẾT"/>
    <m/>
    <m/>
    <m/>
    <m/>
    <m/>
    <m/>
    <m/>
    <m/>
    <m/>
    <m/>
    <m/>
    <n v="0"/>
    <n v="4000"/>
    <n v="54000000"/>
  </r>
  <r>
    <s v="199A/2019"/>
    <d v="2019-02-21T00:00:00"/>
    <s v="KIỀU THY"/>
    <s v="VT09"/>
    <x v="134"/>
    <x v="111"/>
    <s v="SERANO"/>
    <m/>
    <s v="20.22"/>
    <n v="125"/>
    <s v="NL2018"/>
    <m/>
    <n v="48"/>
    <n v="6000"/>
    <x v="115"/>
    <n v="55800000"/>
    <x v="2"/>
    <d v="2019-09-01T00:00:00"/>
    <d v="2019-09-29T00:00:00"/>
    <d v="2019-09-29T00:00:00"/>
    <s v="TẾT"/>
    <m/>
    <m/>
    <m/>
    <m/>
    <m/>
    <m/>
    <m/>
    <m/>
    <m/>
    <m/>
    <m/>
    <n v="0"/>
    <n v="6000"/>
    <n v="55800000"/>
  </r>
  <r>
    <s v="199A/2019"/>
    <d v="2019-02-21T00:00:00"/>
    <s v="KIỀU THY"/>
    <s v="VT09"/>
    <x v="134"/>
    <x v="37"/>
    <s v="PROFUNDO"/>
    <m/>
    <s v="20.22"/>
    <n v="125"/>
    <s v="NL2018"/>
    <m/>
    <n v="80"/>
    <n v="10000"/>
    <x v="40"/>
    <n v="130000000"/>
    <x v="2"/>
    <d v="2019-09-01T00:00:00"/>
    <d v="2019-09-29T00:00:00"/>
    <d v="2019-09-29T00:00:00"/>
    <s v="TẾT"/>
    <m/>
    <m/>
    <m/>
    <m/>
    <m/>
    <m/>
    <m/>
    <m/>
    <m/>
    <m/>
    <m/>
    <n v="0"/>
    <n v="10000"/>
    <n v="130000000"/>
  </r>
  <r>
    <s v="199A/2019"/>
    <d v="2019-02-21T00:00:00"/>
    <s v="KIỀU THY"/>
    <s v="VT09"/>
    <x v="134"/>
    <x v="14"/>
    <s v="TARRANGO"/>
    <m/>
    <s v="20.22"/>
    <n v="125"/>
    <s v="NL2018"/>
    <m/>
    <n v="64"/>
    <n v="8000"/>
    <x v="39"/>
    <n v="80800000"/>
    <x v="2"/>
    <d v="2019-09-01T00:00:00"/>
    <d v="2019-09-29T00:00:00"/>
    <d v="2019-09-29T00:00:00"/>
    <s v="TẾT"/>
    <m/>
    <m/>
    <m/>
    <m/>
    <m/>
    <m/>
    <m/>
    <m/>
    <m/>
    <m/>
    <m/>
    <n v="0"/>
    <n v="8000"/>
    <n v="80800000"/>
  </r>
  <r>
    <s v="199A/2019"/>
    <d v="2019-04-18T00:00:00"/>
    <s v="KIỀU THY"/>
    <s v="VT09"/>
    <x v="134"/>
    <x v="16"/>
    <s v="ROBINA"/>
    <m/>
    <s v="20.22"/>
    <n v="125"/>
    <s v="NL2018"/>
    <m/>
    <n v="24"/>
    <n v="3000"/>
    <x v="16"/>
    <n v="32100000"/>
    <x v="2"/>
    <d v="2019-09-01T00:00:00"/>
    <d v="2019-09-29T00:00:00"/>
    <d v="2019-09-29T00:00:00"/>
    <s v="TẾT"/>
    <m/>
    <m/>
    <m/>
    <m/>
    <m/>
    <m/>
    <m/>
    <m/>
    <m/>
    <m/>
    <m/>
    <n v="0"/>
    <n v="3000"/>
    <n v="32100000"/>
  </r>
  <r>
    <s v="199A/2019"/>
    <d v="2019-05-21T00:00:00"/>
    <s v="KIỀU THY"/>
    <s v="VT09"/>
    <x v="134"/>
    <x v="35"/>
    <s v="BACARDI"/>
    <m/>
    <s v="20.22"/>
    <n v="125"/>
    <s v="NL2018"/>
    <m/>
    <n v="24"/>
    <n v="3000"/>
    <x v="36"/>
    <n v="33000000"/>
    <x v="2"/>
    <d v="2019-09-01T00:00:00"/>
    <d v="2019-09-29T00:00:00"/>
    <d v="2019-09-29T00:00:00"/>
    <s v="TẾT"/>
    <m/>
    <m/>
    <m/>
    <m/>
    <m/>
    <m/>
    <m/>
    <m/>
    <m/>
    <m/>
    <m/>
    <n v="0"/>
    <n v="3000"/>
    <n v="33000000"/>
  </r>
  <r>
    <s v="199A/2019"/>
    <d v="2019-05-21T00:00:00"/>
    <s v="KIỀU THY"/>
    <s v="VT09"/>
    <x v="134"/>
    <x v="70"/>
    <s v="INDIANA"/>
    <m/>
    <s v="18.20"/>
    <n v="150"/>
    <s v="NL2018"/>
    <m/>
    <n v="20"/>
    <n v="3000"/>
    <x v="39"/>
    <n v="30300000"/>
    <x v="2"/>
    <d v="2019-09-01T00:00:00"/>
    <d v="2019-09-29T00:00:00"/>
    <d v="2019-09-29T00:00:00"/>
    <s v="TẾT"/>
    <m/>
    <m/>
    <m/>
    <m/>
    <m/>
    <m/>
    <m/>
    <m/>
    <m/>
    <m/>
    <m/>
    <n v="0"/>
    <n v="3000"/>
    <n v="30300000"/>
  </r>
  <r>
    <s v="8A/2019"/>
    <d v="2019-01-01T00:00:00"/>
    <s v="KIỀU THY"/>
    <s v="VT09"/>
    <x v="134"/>
    <x v="15"/>
    <s v="CONCADOR"/>
    <m/>
    <s v="16.18"/>
    <n v="200"/>
    <s v="NL2018"/>
    <m/>
    <n v="35"/>
    <n v="7000"/>
    <x v="18"/>
    <n v="35000000"/>
    <x v="0"/>
    <d v="2019-01-15T00:00:00"/>
    <d v="2019-02-19T00:00:00"/>
    <d v="2019-02-19T00:00:00"/>
    <s v="15/1AL"/>
    <m/>
    <m/>
    <m/>
    <d v="2019-02-19T00:00:00"/>
    <n v="7000"/>
    <m/>
    <m/>
    <m/>
    <m/>
    <m/>
    <m/>
    <n v="7000"/>
    <n v="0"/>
    <n v="0"/>
  </r>
  <r>
    <s v="8A/2019"/>
    <d v="2019-01-01T00:00:00"/>
    <s v="KIỀU THY"/>
    <s v="VT09"/>
    <x v="134"/>
    <x v="5"/>
    <s v="PROFUNDO"/>
    <m/>
    <s v="16.18"/>
    <n v="200"/>
    <s v="NL2018"/>
    <m/>
    <n v="40"/>
    <n v="8000"/>
    <x v="45"/>
    <n v="53600000"/>
    <x v="0"/>
    <d v="2019-01-15T00:00:00"/>
    <d v="2019-02-19T00:00:00"/>
    <d v="2019-02-19T00:00:00"/>
    <s v="15/1AL"/>
    <m/>
    <m/>
    <m/>
    <d v="2019-02-19T00:00:00"/>
    <n v="8000"/>
    <m/>
    <m/>
    <m/>
    <m/>
    <m/>
    <m/>
    <n v="8000"/>
    <n v="0"/>
    <n v="0"/>
  </r>
  <r>
    <s v="8A/2019"/>
    <d v="2019-01-01T00:00:00"/>
    <s v="KIỀU THY"/>
    <s v="VT09"/>
    <x v="134"/>
    <x v="31"/>
    <s v="TARRANGO"/>
    <m/>
    <s v="14.16"/>
    <n v="300"/>
    <s v="NL2018"/>
    <m/>
    <n v="20"/>
    <n v="6000"/>
    <x v="21"/>
    <n v="27600000"/>
    <x v="0"/>
    <d v="2019-01-15T00:00:00"/>
    <d v="2019-02-19T00:00:00"/>
    <d v="2019-02-19T00:00:00"/>
    <s v="15/1AL"/>
    <m/>
    <m/>
    <m/>
    <d v="2019-02-19T00:00:00"/>
    <n v="6000"/>
    <m/>
    <m/>
    <m/>
    <m/>
    <m/>
    <m/>
    <n v="6000"/>
    <n v="0"/>
    <n v="0"/>
  </r>
  <r>
    <s v="8A/2019"/>
    <d v="2019-01-01T00:00:00"/>
    <s v="KIỀU THY"/>
    <s v="VT09"/>
    <x v="134"/>
    <x v="34"/>
    <s v="TARRANGO"/>
    <m/>
    <s v="16.18"/>
    <n v="200"/>
    <s v="NL2018"/>
    <m/>
    <n v="20"/>
    <n v="4000"/>
    <x v="44"/>
    <n v="22000000"/>
    <x v="0"/>
    <d v="2019-01-15T00:00:00"/>
    <d v="2019-02-19T00:00:00"/>
    <d v="2019-02-19T00:00:00"/>
    <s v="15/1AL"/>
    <m/>
    <m/>
    <m/>
    <d v="2019-02-19T00:00:00"/>
    <n v="4000"/>
    <m/>
    <m/>
    <m/>
    <m/>
    <m/>
    <m/>
    <n v="4000"/>
    <n v="0"/>
    <n v="0"/>
  </r>
  <r>
    <s v="8A/2019"/>
    <d v="2019-01-01T00:00:00"/>
    <s v="KIỀU THY"/>
    <s v="VT09"/>
    <x v="134"/>
    <x v="11"/>
    <s v="YELLOWEEN"/>
    <m/>
    <s v="12.14"/>
    <n v="400"/>
    <s v="NL2018"/>
    <m/>
    <n v="100"/>
    <n v="40000"/>
    <x v="12"/>
    <n v="104000000"/>
    <x v="0"/>
    <d v="2019-01-15T00:00:00"/>
    <d v="2019-02-19T00:00:00"/>
    <d v="2019-02-19T00:00:00"/>
    <s v="15/1AL"/>
    <m/>
    <m/>
    <m/>
    <d v="2019-02-19T00:00:00"/>
    <n v="40000"/>
    <m/>
    <m/>
    <m/>
    <m/>
    <m/>
    <m/>
    <n v="40000"/>
    <n v="0"/>
    <n v="0"/>
  </r>
  <r>
    <s v="8A/2019"/>
    <d v="2019-02-11T00:00:00"/>
    <s v="KIỀU THY"/>
    <s v="VT09"/>
    <x v="134"/>
    <x v="20"/>
    <s v="AMATERAS"/>
    <m/>
    <s v="12.14"/>
    <n v="400"/>
    <s v="NL2018"/>
    <m/>
    <n v="20"/>
    <n v="8000"/>
    <x v="4"/>
    <n v="22400000"/>
    <x v="0"/>
    <d v="2019-02-15T00:00:00"/>
    <d v="2019-03-20T00:00:00"/>
    <d v="2019-03-20T00:00:00"/>
    <s v="15/2AL"/>
    <s v="CONT 9/2019"/>
    <d v="2019-03-17T00:00:00"/>
    <m/>
    <d v="2019-03-19T00:00:00"/>
    <n v="8000"/>
    <m/>
    <m/>
    <m/>
    <m/>
    <m/>
    <m/>
    <n v="8000"/>
    <n v="0"/>
    <n v="0"/>
  </r>
  <r>
    <s v="8A/2019"/>
    <d v="2019-02-11T00:00:00"/>
    <s v="KIỀU THY"/>
    <s v="VT09"/>
    <x v="134"/>
    <x v="3"/>
    <s v="PAVIA"/>
    <m/>
    <s v="12.14"/>
    <n v="400"/>
    <s v="NL2018"/>
    <m/>
    <n v="20"/>
    <n v="8000"/>
    <x v="4"/>
    <n v="22400000"/>
    <x v="0"/>
    <d v="2019-02-15T00:00:00"/>
    <d v="2019-03-20T00:00:00"/>
    <d v="2019-03-20T00:00:00"/>
    <s v="15/2AL"/>
    <s v="CONT 9/2019"/>
    <d v="2019-03-17T00:00:00"/>
    <m/>
    <d v="2019-03-19T00:00:00"/>
    <n v="8000"/>
    <m/>
    <m/>
    <m/>
    <m/>
    <m/>
    <m/>
    <n v="8000"/>
    <n v="0"/>
    <n v="0"/>
  </r>
  <r>
    <s v="8A/2019"/>
    <d v="2019-02-21T00:00:00"/>
    <s v="KIỀU THY"/>
    <s v="VT09"/>
    <x v="134"/>
    <x v="17"/>
    <s v="NELLO "/>
    <m/>
    <s v="12.14"/>
    <n v="400"/>
    <s v="NL2018"/>
    <m/>
    <n v="0"/>
    <n v="0"/>
    <x v="17"/>
    <n v="0"/>
    <x v="1"/>
    <d v="2019-03-13T00:00:00"/>
    <d v="2019-04-17T00:00:00"/>
    <d v="2019-04-17T00:00:00"/>
    <s v="15/3AL"/>
    <s v="CONT 20/2019"/>
    <d v="2019-04-14T00:00:00"/>
    <m/>
    <m/>
    <n v="0"/>
    <m/>
    <m/>
    <m/>
    <m/>
    <m/>
    <m/>
    <n v="0"/>
    <n v="0"/>
    <n v="0"/>
  </r>
  <r>
    <s v="8A/2019"/>
    <d v="2019-02-11T00:00:00"/>
    <s v="KIỀU THY"/>
    <s v="VT09"/>
    <x v="134"/>
    <x v="20"/>
    <s v="AMATERAS"/>
    <m/>
    <s v="12.14"/>
    <n v="400"/>
    <s v="NL2018"/>
    <m/>
    <n v="0"/>
    <n v="0"/>
    <x v="4"/>
    <n v="0"/>
    <x v="1"/>
    <d v="2019-03-15T00:00:00"/>
    <d v="2019-04-19T00:00:00"/>
    <d v="2019-04-19T00:00:00"/>
    <s v="15/3AL"/>
    <s v="CONT 20/2019"/>
    <d v="2019-04-14T00:00:00"/>
    <m/>
    <m/>
    <n v="0"/>
    <m/>
    <m/>
    <m/>
    <m/>
    <m/>
    <m/>
    <n v="0"/>
    <n v="0"/>
    <n v="0"/>
  </r>
  <r>
    <s v="8A/2019"/>
    <d v="2019-02-11T00:00:00"/>
    <s v="KIỀU THY"/>
    <s v="VT09"/>
    <x v="134"/>
    <x v="62"/>
    <s v="BACARDI"/>
    <m/>
    <s v="15.16"/>
    <n v="300"/>
    <s v="NL2018"/>
    <m/>
    <n v="0"/>
    <n v="0"/>
    <x v="65"/>
    <n v="0"/>
    <x v="1"/>
    <d v="2019-03-15T00:00:00"/>
    <d v="2019-04-19T00:00:00"/>
    <d v="2019-04-19T00:00:00"/>
    <s v="15/3AL"/>
    <s v="CONT 22/2019"/>
    <d v="2019-04-14T00:00:00"/>
    <m/>
    <m/>
    <n v="0"/>
    <m/>
    <m/>
    <m/>
    <m/>
    <m/>
    <m/>
    <n v="0"/>
    <n v="0"/>
    <n v="0"/>
  </r>
  <r>
    <s v="8A/2019"/>
    <d v="2019-02-11T00:00:00"/>
    <s v="KIỀU THY"/>
    <s v="VT09"/>
    <x v="134"/>
    <x v="32"/>
    <s v="BACARDI"/>
    <m/>
    <s v="16.18"/>
    <n v="200"/>
    <s v="NL2018"/>
    <m/>
    <n v="32"/>
    <n v="6400"/>
    <x v="42"/>
    <n v="40320000"/>
    <x v="0"/>
    <d v="2019-03-15T00:00:00"/>
    <d v="2019-04-19T00:00:00"/>
    <d v="2019-04-19T00:00:00"/>
    <m/>
    <s v="CONT 20/2019"/>
    <d v="2019-04-14T00:00:00"/>
    <m/>
    <d v="2019-04-23T00:00:00"/>
    <n v="6400"/>
    <m/>
    <m/>
    <m/>
    <m/>
    <m/>
    <m/>
    <n v="6400"/>
    <n v="0"/>
    <n v="0"/>
  </r>
  <r>
    <s v="8A/2019"/>
    <d v="2019-01-01T00:00:00"/>
    <s v="KIỀU THY"/>
    <s v="VT09"/>
    <x v="134"/>
    <x v="15"/>
    <s v="CONCADOR"/>
    <m/>
    <s v="16.18"/>
    <n v="200"/>
    <s v="NL2018"/>
    <m/>
    <n v="35"/>
    <n v="7000"/>
    <x v="18"/>
    <n v="35000000"/>
    <x v="0"/>
    <d v="2019-03-15T00:00:00"/>
    <d v="2019-04-19T00:00:00"/>
    <d v="2019-04-19T00:00:00"/>
    <s v="15/3AL"/>
    <s v="CONT 22/2019"/>
    <d v="2019-04-14T00:00:00"/>
    <m/>
    <d v="2019-04-17T00:00:00"/>
    <n v="7000"/>
    <m/>
    <m/>
    <m/>
    <m/>
    <m/>
    <m/>
    <n v="7000"/>
    <n v="0"/>
    <n v="0"/>
  </r>
  <r>
    <s v="8A/2019"/>
    <d v="2019-02-11T00:00:00"/>
    <s v="KIỀU THY"/>
    <s v="VT09"/>
    <x v="134"/>
    <x v="3"/>
    <s v="PAVIA"/>
    <m/>
    <s v="12.14"/>
    <n v="400"/>
    <s v="NL2018"/>
    <m/>
    <n v="0"/>
    <n v="0"/>
    <x v="4"/>
    <n v="0"/>
    <x v="1"/>
    <d v="2019-03-15T00:00:00"/>
    <d v="2019-04-19T00:00:00"/>
    <d v="2019-04-19T00:00:00"/>
    <s v="15/3AL"/>
    <s v="CONT 20/2019"/>
    <d v="2019-04-14T00:00:00"/>
    <m/>
    <m/>
    <n v="0"/>
    <m/>
    <m/>
    <m/>
    <m/>
    <m/>
    <m/>
    <n v="0"/>
    <n v="0"/>
    <n v="0"/>
  </r>
  <r>
    <s v="8A/2019"/>
    <d v="2019-01-01T00:00:00"/>
    <s v="KIỀU THY"/>
    <s v="VT09"/>
    <x v="134"/>
    <x v="5"/>
    <s v="PROFUNDO"/>
    <m/>
    <s v="16.18"/>
    <n v="200"/>
    <s v="NL2018"/>
    <m/>
    <n v="30"/>
    <n v="6000"/>
    <x v="45"/>
    <n v="40200000"/>
    <x v="0"/>
    <d v="2019-03-15T00:00:00"/>
    <d v="2019-04-19T00:00:00"/>
    <d v="2019-04-19T00:00:00"/>
    <s v="15/3AL"/>
    <s v="CONT 23/2019"/>
    <d v="2019-04-14T00:00:00"/>
    <m/>
    <d v="2019-04-17T00:00:00"/>
    <n v="6000"/>
    <m/>
    <m/>
    <m/>
    <m/>
    <m/>
    <m/>
    <n v="6000"/>
    <n v="0"/>
    <n v="0"/>
  </r>
  <r>
    <s v="8A/2019"/>
    <d v="2019-01-01T00:00:00"/>
    <s v="KIỀU THY"/>
    <s v="VT09"/>
    <x v="134"/>
    <x v="31"/>
    <s v="TARRANGO"/>
    <m/>
    <s v="14.16"/>
    <n v="300"/>
    <s v="NL2018"/>
    <m/>
    <n v="20"/>
    <n v="6000"/>
    <x v="21"/>
    <n v="27600000"/>
    <x v="0"/>
    <d v="2019-03-15T00:00:00"/>
    <d v="2019-04-19T00:00:00"/>
    <d v="2019-04-19T00:00:00"/>
    <s v="15/3AL"/>
    <s v="CONT 24/2019"/>
    <d v="2019-04-14T00:00:00"/>
    <m/>
    <d v="2019-04-17T00:00:00"/>
    <n v="6000"/>
    <m/>
    <m/>
    <m/>
    <m/>
    <m/>
    <m/>
    <n v="6000"/>
    <n v="0"/>
    <n v="0"/>
  </r>
  <r>
    <s v="8A/2019"/>
    <d v="2019-01-01T00:00:00"/>
    <s v="KIỀU THY"/>
    <s v="VT09"/>
    <x v="134"/>
    <x v="34"/>
    <s v="TARRANGO"/>
    <m/>
    <s v="16.18"/>
    <n v="200"/>
    <s v="NL2018"/>
    <m/>
    <n v="20"/>
    <n v="4000"/>
    <x v="44"/>
    <n v="22000000"/>
    <x v="0"/>
    <d v="2019-03-15T00:00:00"/>
    <d v="2019-04-19T00:00:00"/>
    <d v="2019-04-19T00:00:00"/>
    <s v="15/3AL"/>
    <s v="CONT 26/2019"/>
    <d v="2019-04-14T00:00:00"/>
    <m/>
    <d v="2019-04-17T00:00:00"/>
    <n v="4000"/>
    <m/>
    <m/>
    <m/>
    <m/>
    <m/>
    <m/>
    <n v="4000"/>
    <n v="0"/>
    <n v="0"/>
  </r>
  <r>
    <s v="8A/2019"/>
    <d v="2019-01-01T00:00:00"/>
    <s v="KIỀU THY"/>
    <s v="VT09"/>
    <x v="134"/>
    <x v="11"/>
    <s v="YELLOWEEN"/>
    <m/>
    <s v="12.14"/>
    <n v="400"/>
    <s v="NL2018"/>
    <m/>
    <n v="40"/>
    <n v="16000"/>
    <x v="12"/>
    <n v="41600000"/>
    <x v="0"/>
    <d v="2019-03-15T00:00:00"/>
    <d v="2019-04-19T00:00:00"/>
    <d v="2019-04-19T00:00:00"/>
    <s v="15/3AL"/>
    <s v="CONT 24/2019"/>
    <d v="2019-04-14T00:00:00"/>
    <m/>
    <d v="2019-04-17T00:00:00"/>
    <n v="16000"/>
    <m/>
    <m/>
    <m/>
    <m/>
    <m/>
    <m/>
    <n v="16000"/>
    <n v="0"/>
    <n v="0"/>
  </r>
  <r>
    <s v="8A/2019"/>
    <d v="2019-01-01T00:00:00"/>
    <s v="KIỀU THY"/>
    <s v="VT09"/>
    <x v="134"/>
    <x v="30"/>
    <s v="MALDANO"/>
    <m/>
    <s v="16.18"/>
    <n v="200"/>
    <s v="NL2018"/>
    <m/>
    <n v="20"/>
    <n v="4000"/>
    <x v="82"/>
    <n v="20800000"/>
    <x v="0"/>
    <d v="2019-04-17T00:00:00"/>
    <d v="2019-05-21T00:00:00"/>
    <d v="2019-05-21T00:00:00"/>
    <s v="10/4AL"/>
    <m/>
    <m/>
    <m/>
    <d v="2019-05-19T00:00:00"/>
    <n v="4000"/>
    <m/>
    <m/>
    <m/>
    <m/>
    <m/>
    <m/>
    <n v="4000"/>
    <n v="0"/>
    <n v="0"/>
  </r>
  <r>
    <s v="8A/2019"/>
    <d v="2019-01-01T00:00:00"/>
    <s v="KIỀU THY"/>
    <s v="VT09"/>
    <x v="134"/>
    <x v="15"/>
    <s v="CONCADOR"/>
    <m/>
    <s v="16.18"/>
    <n v="200"/>
    <s v="NL2018"/>
    <m/>
    <n v="25"/>
    <n v="5000"/>
    <x v="46"/>
    <n v="30000000"/>
    <x v="0"/>
    <d v="2019-04-17T00:00:00"/>
    <d v="2019-05-21T00:00:00"/>
    <d v="2019-05-21T00:00:00"/>
    <s v="10/4AL"/>
    <m/>
    <m/>
    <m/>
    <d v="2019-05-19T00:00:00"/>
    <n v="5000"/>
    <m/>
    <m/>
    <m/>
    <m/>
    <m/>
    <m/>
    <n v="5000"/>
    <n v="0"/>
    <n v="0"/>
  </r>
  <r>
    <s v="8A/2019"/>
    <d v="2019-01-01T00:00:00"/>
    <s v="KIỀU THY"/>
    <s v="VT09"/>
    <x v="134"/>
    <x v="31"/>
    <s v="TARRANGO"/>
    <m/>
    <s v="14.16"/>
    <n v="300"/>
    <s v="NL2018"/>
    <m/>
    <n v="20"/>
    <n v="6000"/>
    <x v="186"/>
    <n v="27900000"/>
    <x v="0"/>
    <d v="2019-04-17T00:00:00"/>
    <d v="2019-05-21T00:00:00"/>
    <d v="2019-05-21T00:00:00"/>
    <s v="10/4AL"/>
    <m/>
    <m/>
    <m/>
    <d v="2019-05-19T00:00:00"/>
    <n v="6000"/>
    <m/>
    <m/>
    <m/>
    <m/>
    <m/>
    <m/>
    <n v="6000"/>
    <n v="0"/>
    <n v="0"/>
  </r>
  <r>
    <s v="8A/2019"/>
    <d v="2019-01-01T00:00:00"/>
    <s v="KIỀU THY"/>
    <s v="VT09"/>
    <x v="134"/>
    <x v="72"/>
    <s v="YELLOWEEN"/>
    <s v="DN"/>
    <s v="16.18"/>
    <n v="200"/>
    <s v="NL2018"/>
    <m/>
    <n v="75"/>
    <n v="15000"/>
    <x v="44"/>
    <n v="82500000"/>
    <x v="0"/>
    <d v="2019-04-17T00:00:00"/>
    <d v="2019-05-21T00:00:00"/>
    <d v="2019-05-21T00:00:00"/>
    <s v="10/4AL"/>
    <m/>
    <m/>
    <m/>
    <d v="2019-05-19T00:00:00"/>
    <n v="15000"/>
    <m/>
    <m/>
    <m/>
    <m/>
    <m/>
    <m/>
    <n v="15000"/>
    <n v="0"/>
    <n v="0"/>
  </r>
  <r>
    <s v="8A/2019"/>
    <d v="2019-01-01T00:00:00"/>
    <s v="KIỀU THY"/>
    <s v="VT09"/>
    <x v="134"/>
    <x v="5"/>
    <s v="PROFUNDO"/>
    <m/>
    <s v="16.18"/>
    <n v="200"/>
    <s v="NL2018"/>
    <m/>
    <n v="25"/>
    <n v="5000"/>
    <x v="32"/>
    <n v="34000000"/>
    <x v="0"/>
    <d v="2019-04-17T00:00:00"/>
    <d v="2019-05-21T00:00:00"/>
    <d v="2019-05-21T00:00:00"/>
    <s v="10/4AL"/>
    <m/>
    <m/>
    <m/>
    <d v="2019-05-19T00:00:00"/>
    <n v="5000"/>
    <m/>
    <m/>
    <m/>
    <m/>
    <m/>
    <m/>
    <n v="5000"/>
    <n v="0"/>
    <n v="0"/>
  </r>
  <r>
    <s v="8A/2019"/>
    <d v="2019-06-13T00:00:00"/>
    <s v="KIỀU THY"/>
    <s v="VT09"/>
    <x v="134"/>
    <x v="31"/>
    <s v="TARRANGO"/>
    <m/>
    <s v="14.16"/>
    <n v="300"/>
    <s v="NL2018"/>
    <m/>
    <n v="20"/>
    <n v="6000"/>
    <x v="18"/>
    <n v="30000000"/>
    <x v="3"/>
    <d v="2019-06-15T00:00:00"/>
    <d v="2019-07-17T00:00:00"/>
    <d v="2019-07-17T00:00:00"/>
    <s v="20/6AL"/>
    <m/>
    <m/>
    <m/>
    <m/>
    <m/>
    <m/>
    <m/>
    <m/>
    <m/>
    <m/>
    <m/>
    <n v="0"/>
    <n v="6000"/>
    <n v="30000000"/>
  </r>
  <r>
    <s v="8A/2019"/>
    <d v="2019-06-13T00:00:00"/>
    <s v="KIỀU THY"/>
    <s v="VT09"/>
    <x v="134"/>
    <x v="28"/>
    <s v="YELLOWEEN"/>
    <m/>
    <s v="14.16"/>
    <n v="300"/>
    <s v="NL2018"/>
    <m/>
    <n v="30"/>
    <n v="9000"/>
    <x v="57"/>
    <n v="36000000"/>
    <x v="3"/>
    <d v="2019-06-15T00:00:00"/>
    <d v="2019-07-17T00:00:00"/>
    <d v="2019-07-17T00:00:00"/>
    <s v="20/6AL"/>
    <m/>
    <m/>
    <m/>
    <m/>
    <m/>
    <m/>
    <m/>
    <m/>
    <m/>
    <m/>
    <m/>
    <n v="0"/>
    <n v="9000"/>
    <n v="36000000"/>
  </r>
  <r>
    <s v="8A/2019"/>
    <d v="2019-06-13T00:00:00"/>
    <s v="KIỀU THY"/>
    <s v="VT09"/>
    <x v="134"/>
    <x v="72"/>
    <s v="YELLOWEEN"/>
    <s v="DN"/>
    <s v="16.18"/>
    <n v="200"/>
    <s v="NL2018"/>
    <m/>
    <n v="30"/>
    <n v="6000"/>
    <x v="46"/>
    <n v="36000000"/>
    <x v="3"/>
    <d v="2019-06-15T00:00:00"/>
    <d v="2019-07-17T00:00:00"/>
    <d v="2019-07-17T00:00:00"/>
    <s v="20/6AL"/>
    <m/>
    <m/>
    <m/>
    <m/>
    <m/>
    <m/>
    <m/>
    <m/>
    <m/>
    <m/>
    <m/>
    <n v="0"/>
    <n v="6000"/>
    <n v="36000000"/>
  </r>
  <r>
    <s v="8A/2019"/>
    <d v="2019-06-13T00:00:00"/>
    <s v="KIỀU THY"/>
    <s v="VT09"/>
    <x v="134"/>
    <x v="29"/>
    <s v="MANISSA"/>
    <m/>
    <s v="16.18"/>
    <n v="200"/>
    <s v="NL2018"/>
    <m/>
    <n v="30"/>
    <n v="6000"/>
    <x v="34"/>
    <n v="42600000"/>
    <x v="3"/>
    <d v="2019-06-15T00:00:00"/>
    <d v="2019-07-17T00:00:00"/>
    <d v="2019-07-17T00:00:00"/>
    <s v="20/6AL"/>
    <m/>
    <m/>
    <m/>
    <m/>
    <m/>
    <m/>
    <m/>
    <m/>
    <m/>
    <m/>
    <m/>
    <n v="0"/>
    <n v="6000"/>
    <n v="42600000"/>
  </r>
  <r>
    <s v="8A/2019"/>
    <d v="2019-06-13T00:00:00"/>
    <s v="KIỀU THY"/>
    <s v="VT09"/>
    <x v="134"/>
    <x v="54"/>
    <s v="MALDANO"/>
    <m/>
    <s v="14.16"/>
    <n v="300"/>
    <s v="NL2018"/>
    <m/>
    <n v="20"/>
    <n v="6000"/>
    <x v="13"/>
    <n v="27000000"/>
    <x v="3"/>
    <d v="2019-06-15T00:00:00"/>
    <d v="2019-07-17T00:00:00"/>
    <d v="2019-07-17T00:00:00"/>
    <s v="20/6AL"/>
    <m/>
    <m/>
    <m/>
    <m/>
    <m/>
    <m/>
    <m/>
    <m/>
    <m/>
    <m/>
    <m/>
    <n v="0"/>
    <n v="6000"/>
    <n v="27000000"/>
  </r>
  <r>
    <s v="8A/2019"/>
    <d v="2019-06-13T00:00:00"/>
    <s v="KIỀU THY"/>
    <s v="VT09"/>
    <x v="134"/>
    <x v="57"/>
    <s v="DALIAN"/>
    <m/>
    <s v="14.16"/>
    <n v="300"/>
    <s v="NL2018"/>
    <m/>
    <n v="20"/>
    <n v="6000"/>
    <x v="48"/>
    <n v="33600000"/>
    <x v="3"/>
    <d v="2019-06-15T00:00:00"/>
    <d v="2019-07-17T00:00:00"/>
    <d v="2019-07-17T00:00:00"/>
    <s v="20/6AL"/>
    <m/>
    <m/>
    <m/>
    <m/>
    <m/>
    <m/>
    <m/>
    <m/>
    <m/>
    <m/>
    <m/>
    <n v="0"/>
    <n v="6000"/>
    <n v="33600000"/>
  </r>
  <r>
    <s v="8A/2019"/>
    <d v="2019-06-13T00:00:00"/>
    <s v="KIỀU THY"/>
    <s v="VT09"/>
    <x v="134"/>
    <x v="3"/>
    <s v="PAVIA"/>
    <m/>
    <s v="12.14"/>
    <n v="400"/>
    <s v="NL2018"/>
    <m/>
    <n v="10"/>
    <n v="4000"/>
    <x v="17"/>
    <n v="12000000"/>
    <x v="3"/>
    <d v="2019-06-15T00:00:00"/>
    <d v="2019-07-17T00:00:00"/>
    <d v="2019-07-17T00:00:00"/>
    <s v="20/6AL"/>
    <m/>
    <m/>
    <m/>
    <m/>
    <m/>
    <m/>
    <m/>
    <m/>
    <m/>
    <m/>
    <m/>
    <n v="0"/>
    <n v="4000"/>
    <n v="12000000"/>
  </r>
  <r>
    <s v="8A/2019"/>
    <d v="2019-06-13T00:00:00"/>
    <s v="KIỀU THY"/>
    <s v="VT09"/>
    <x v="134"/>
    <x v="72"/>
    <s v="YELLOWEEN"/>
    <s v="DN"/>
    <s v="16.18"/>
    <n v="200"/>
    <s v="NL2018"/>
    <m/>
    <n v="30"/>
    <n v="6000"/>
    <x v="187"/>
    <n v="36540000"/>
    <x v="2"/>
    <d v="2019-07-01T00:00:00"/>
    <d v="2019-08-01T00:00:00"/>
    <d v="2019-08-01T00:00:00"/>
    <m/>
    <m/>
    <m/>
    <m/>
    <m/>
    <m/>
    <m/>
    <m/>
    <m/>
    <m/>
    <m/>
    <m/>
    <n v="0"/>
    <n v="6000"/>
    <n v="36540000"/>
  </r>
  <r>
    <s v="8A/2019"/>
    <d v="2019-06-13T00:00:00"/>
    <s v="KIỀU THY"/>
    <s v="VT09"/>
    <x v="134"/>
    <x v="28"/>
    <s v="YELLOWEEN"/>
    <m/>
    <s v="14.16"/>
    <n v="300"/>
    <s v="NL2018"/>
    <m/>
    <n v="30"/>
    <n v="9000"/>
    <x v="57"/>
    <n v="36000000"/>
    <x v="2"/>
    <d v="2019-07-01T00:00:00"/>
    <d v="2019-08-01T00:00:00"/>
    <d v="2019-08-01T00:00:00"/>
    <m/>
    <m/>
    <m/>
    <m/>
    <m/>
    <m/>
    <m/>
    <m/>
    <m/>
    <m/>
    <m/>
    <m/>
    <n v="0"/>
    <n v="9000"/>
    <n v="36000000"/>
  </r>
  <r>
    <s v="8A/2019"/>
    <d v="2019-06-13T00:00:00"/>
    <s v="KIỀU THY"/>
    <s v="VT09"/>
    <x v="134"/>
    <x v="31"/>
    <s v="TARRANGO"/>
    <m/>
    <s v="14.16"/>
    <n v="300"/>
    <s v="NL2018"/>
    <m/>
    <n v="30"/>
    <n v="9000"/>
    <x v="18"/>
    <n v="45000000"/>
    <x v="2"/>
    <d v="2019-07-01T00:00:00"/>
    <d v="2019-08-01T00:00:00"/>
    <d v="2019-08-01T00:00:00"/>
    <m/>
    <m/>
    <m/>
    <m/>
    <m/>
    <m/>
    <m/>
    <m/>
    <m/>
    <m/>
    <m/>
    <m/>
    <n v="0"/>
    <n v="9000"/>
    <n v="45000000"/>
  </r>
  <r>
    <s v="8A/2019"/>
    <d v="2019-06-13T00:00:00"/>
    <s v="KIỀU THY"/>
    <s v="VT09"/>
    <x v="134"/>
    <x v="29"/>
    <s v="MANISSA"/>
    <m/>
    <s v="16.18"/>
    <n v="200"/>
    <s v="NL2018"/>
    <m/>
    <n v="40"/>
    <n v="8000"/>
    <x v="35"/>
    <n v="57600000"/>
    <x v="2"/>
    <d v="2019-07-01T00:00:00"/>
    <d v="2019-08-01T00:00:00"/>
    <d v="2019-08-01T00:00:00"/>
    <m/>
    <m/>
    <m/>
    <m/>
    <m/>
    <m/>
    <m/>
    <m/>
    <m/>
    <m/>
    <m/>
    <m/>
    <n v="0"/>
    <n v="8000"/>
    <n v="57600000"/>
  </r>
  <r>
    <s v="8A/2019"/>
    <d v="2019-06-13T00:00:00"/>
    <s v="KIỀU THY"/>
    <s v="VT09"/>
    <x v="134"/>
    <x v="5"/>
    <s v="PROFUNDO"/>
    <m/>
    <s v="16.18"/>
    <n v="200"/>
    <s v="NL2018"/>
    <m/>
    <n v="40"/>
    <n v="8000"/>
    <x v="118"/>
    <n v="64800000"/>
    <x v="2"/>
    <d v="2019-07-01T00:00:00"/>
    <d v="2019-08-01T00:00:00"/>
    <d v="2019-08-01T00:00:00"/>
    <m/>
    <m/>
    <m/>
    <m/>
    <m/>
    <m/>
    <m/>
    <m/>
    <m/>
    <m/>
    <m/>
    <m/>
    <n v="0"/>
    <n v="8000"/>
    <n v="64800000"/>
  </r>
  <r>
    <s v="72A/2019"/>
    <d v="2019-02-23T00:00:00"/>
    <s v="KIỀU THY"/>
    <s v="VT10"/>
    <x v="135"/>
    <x v="3"/>
    <s v="PAVIA"/>
    <m/>
    <s v="12.14"/>
    <n v="400"/>
    <s v="NL2018"/>
    <m/>
    <n v="14"/>
    <n v="5600"/>
    <x v="4"/>
    <n v="15680000"/>
    <x v="0"/>
    <d v="2019-02-15T00:00:00"/>
    <d v="2019-03-20T00:00:00"/>
    <d v="2019-03-20T00:00:00"/>
    <s v="15/2AL"/>
    <s v="CONT 9/2019"/>
    <d v="2019-03-17T00:00:00"/>
    <m/>
    <d v="2019-03-19T00:00:00"/>
    <n v="5600"/>
    <m/>
    <m/>
    <m/>
    <m/>
    <m/>
    <m/>
    <n v="5600"/>
    <n v="0"/>
    <n v="0"/>
  </r>
  <r>
    <s v="72A/2019"/>
    <d v="2019-02-23T00:00:00"/>
    <s v="KIỀU THY"/>
    <s v="VT10"/>
    <x v="135"/>
    <x v="35"/>
    <s v="BACARDI"/>
    <m/>
    <s v="20.22"/>
    <n v="125"/>
    <s v="NL2018"/>
    <m/>
    <n v="40"/>
    <n v="5000"/>
    <x v="8"/>
    <n v="54000000"/>
    <x v="2"/>
    <d v="2019-09-01T00:00:00"/>
    <d v="2019-09-29T00:00:00"/>
    <d v="2019-09-29T00:00:00"/>
    <s v="TẾT"/>
    <m/>
    <m/>
    <m/>
    <m/>
    <n v="0"/>
    <m/>
    <m/>
    <m/>
    <m/>
    <m/>
    <m/>
    <n v="0"/>
    <n v="5000"/>
    <n v="54000000"/>
  </r>
  <r>
    <s v="72A/2019"/>
    <d v="2019-02-23T00:00:00"/>
    <s v="KIỀU THY"/>
    <s v="VT10"/>
    <x v="135"/>
    <x v="9"/>
    <s v="MANISSA"/>
    <m/>
    <s v="22.24"/>
    <n v="100"/>
    <s v="NL2018"/>
    <m/>
    <n v="50"/>
    <n v="5000"/>
    <x v="38"/>
    <n v="76000000"/>
    <x v="2"/>
    <d v="2019-09-01T00:00:00"/>
    <d v="2019-09-29T00:00:00"/>
    <d v="2019-09-29T00:00:00"/>
    <s v="TẾT"/>
    <m/>
    <m/>
    <m/>
    <m/>
    <n v="0"/>
    <m/>
    <m/>
    <m/>
    <m/>
    <m/>
    <m/>
    <n v="0"/>
    <n v="5000"/>
    <n v="76000000"/>
  </r>
  <r>
    <s v="72A/2019"/>
    <d v="2019-02-23T00:00:00"/>
    <s v="KIỀU THY"/>
    <s v="VT10"/>
    <x v="135"/>
    <x v="37"/>
    <s v="PROFUNDO"/>
    <m/>
    <s v="20.22"/>
    <n v="125"/>
    <s v="NL2018"/>
    <m/>
    <n v="40"/>
    <n v="5000"/>
    <x v="40"/>
    <n v="65000000"/>
    <x v="2"/>
    <d v="2019-09-01T00:00:00"/>
    <d v="2019-09-29T00:00:00"/>
    <d v="2019-09-29T00:00:00"/>
    <s v="TẾT"/>
    <m/>
    <m/>
    <m/>
    <m/>
    <n v="0"/>
    <m/>
    <m/>
    <m/>
    <m/>
    <m/>
    <m/>
    <n v="0"/>
    <n v="5000"/>
    <n v="65000000"/>
  </r>
  <r>
    <s v="72A/2019"/>
    <d v="2019-02-23T00:00:00"/>
    <s v="KIỀU THY"/>
    <s v="VT10"/>
    <x v="135"/>
    <x v="111"/>
    <s v="SERANO"/>
    <m/>
    <s v="20.22"/>
    <n v="125"/>
    <s v="NL2018"/>
    <m/>
    <n v="40"/>
    <n v="5000"/>
    <x v="115"/>
    <n v="46500000"/>
    <x v="2"/>
    <d v="2019-09-01T00:00:00"/>
    <d v="2019-09-29T00:00:00"/>
    <d v="2019-09-29T00:00:00"/>
    <s v="TẾT"/>
    <m/>
    <m/>
    <m/>
    <m/>
    <n v="0"/>
    <m/>
    <m/>
    <m/>
    <m/>
    <m/>
    <m/>
    <n v="0"/>
    <n v="5000"/>
    <n v="46500000"/>
  </r>
  <r>
    <s v="72A/2019"/>
    <d v="2019-02-23T00:00:00"/>
    <s v="KIỀU THY"/>
    <s v="VT10"/>
    <x v="135"/>
    <x v="14"/>
    <s v="TARRANGO"/>
    <m/>
    <s v="20.22"/>
    <n v="125"/>
    <s v="NL2018"/>
    <m/>
    <n v="40"/>
    <n v="5000"/>
    <x v="39"/>
    <n v="50500000"/>
    <x v="2"/>
    <d v="2019-09-01T00:00:00"/>
    <d v="2019-09-29T00:00:00"/>
    <d v="2019-09-29T00:00:00"/>
    <s v="TẾT"/>
    <m/>
    <m/>
    <m/>
    <m/>
    <n v="0"/>
    <m/>
    <m/>
    <m/>
    <m/>
    <m/>
    <m/>
    <n v="0"/>
    <n v="5000"/>
    <n v="50500000"/>
  </r>
  <r>
    <s v="72A/2019"/>
    <d v="2019-02-23T00:00:00"/>
    <s v="KIỀU THY"/>
    <s v="VT10"/>
    <x v="135"/>
    <x v="78"/>
    <s v="NATALIA"/>
    <s v="RL"/>
    <s v="12.14"/>
    <n v="400"/>
    <s v="NL2018"/>
    <m/>
    <n v="1"/>
    <n v="400"/>
    <x v="27"/>
    <n v="3200000"/>
    <x v="0"/>
    <s v="30-Feb-19"/>
    <d v="2019-04-04T00:00:00"/>
    <d v="2019-04-04T00:00:00"/>
    <s v="30/2AL"/>
    <s v="CONT 17/2019"/>
    <d v="2019-03-31T00:00:00"/>
    <m/>
    <d v="2019-04-03T00:00:00"/>
    <n v="400"/>
    <m/>
    <m/>
    <m/>
    <m/>
    <m/>
    <m/>
    <n v="400"/>
    <n v="0"/>
    <n v="0"/>
  </r>
  <r>
    <s v="56A/2019"/>
    <d v="2019-02-16T00:00:00"/>
    <s v="KIỀU THY"/>
    <s v="VK03"/>
    <x v="136"/>
    <x v="6"/>
    <s v="CONCADOR"/>
    <m/>
    <s v="20.22"/>
    <n v="125"/>
    <s v="NL2018"/>
    <m/>
    <n v="24"/>
    <n v="3000"/>
    <x v="59"/>
    <n v="31500000"/>
    <x v="2"/>
    <d v="2019-09-01T00:00:00"/>
    <d v="2019-09-29T00:00:00"/>
    <d v="2019-09-29T00:00:00"/>
    <s v="TẾT"/>
    <m/>
    <m/>
    <s v="CUỐI T1, NHẮC KHÁCH"/>
    <m/>
    <n v="0"/>
    <m/>
    <m/>
    <m/>
    <m/>
    <m/>
    <m/>
    <n v="0"/>
    <n v="3000"/>
    <n v="31500000"/>
  </r>
  <r>
    <s v="56A/2019"/>
    <d v="2019-02-16T00:00:00"/>
    <s v="KIỀU THY"/>
    <s v="VK03"/>
    <x v="136"/>
    <x v="37"/>
    <s v="PROFUNDO"/>
    <m/>
    <s v="20.22"/>
    <n v="125"/>
    <s v="NL2018"/>
    <m/>
    <n v="80"/>
    <n v="10000"/>
    <x v="40"/>
    <n v="130000000"/>
    <x v="2"/>
    <d v="2019-09-01T00:00:00"/>
    <d v="2019-09-29T00:00:00"/>
    <d v="2019-09-29T00:00:00"/>
    <s v="TẾT"/>
    <m/>
    <m/>
    <s v="CUỐI T1, NHẮC KHÁCH"/>
    <m/>
    <n v="0"/>
    <m/>
    <m/>
    <m/>
    <m/>
    <m/>
    <m/>
    <n v="0"/>
    <n v="10000"/>
    <n v="130000000"/>
  </r>
  <r>
    <s v="56A/2019"/>
    <d v="2019-02-16T00:00:00"/>
    <s v="KIỀU THY"/>
    <s v="VK03"/>
    <x v="136"/>
    <x v="16"/>
    <s v="ROBINA"/>
    <m/>
    <n v="20.22"/>
    <n v="125"/>
    <s v="NL2018"/>
    <m/>
    <n v="40"/>
    <n v="5000"/>
    <x v="59"/>
    <n v="52500000"/>
    <x v="2"/>
    <d v="2019-09-01T00:00:00"/>
    <d v="2019-09-29T00:00:00"/>
    <d v="2019-09-29T00:00:00"/>
    <s v="TẾT"/>
    <m/>
    <m/>
    <m/>
    <m/>
    <n v="0"/>
    <m/>
    <m/>
    <m/>
    <m/>
    <m/>
    <m/>
    <n v="0"/>
    <n v="5000"/>
    <n v="52500000"/>
  </r>
  <r>
    <s v="56A/2019"/>
    <d v="2019-02-16T00:00:00"/>
    <s v="KIỀU THY"/>
    <s v="VK03"/>
    <x v="136"/>
    <x v="111"/>
    <s v="SERANO"/>
    <m/>
    <s v="20.22"/>
    <n v="125"/>
    <s v="NL2018"/>
    <m/>
    <n v="80"/>
    <n v="10000"/>
    <x v="115"/>
    <n v="93000000"/>
    <x v="2"/>
    <d v="2019-09-01T00:00:00"/>
    <d v="2019-09-29T00:00:00"/>
    <d v="2019-09-29T00:00:00"/>
    <s v="TẾT"/>
    <m/>
    <m/>
    <s v="CUỐI T1, NHẮC KHÁCH"/>
    <m/>
    <n v="0"/>
    <m/>
    <m/>
    <m/>
    <m/>
    <m/>
    <m/>
    <n v="0"/>
    <n v="10000"/>
    <n v="93000000"/>
  </r>
  <r>
    <s v="56A/2019"/>
    <d v="2019-04-25T00:00:00"/>
    <s v="KIỀU THY"/>
    <s v="VK03"/>
    <x v="136"/>
    <x v="14"/>
    <s v="TARRANGO"/>
    <m/>
    <s v="20.22"/>
    <n v="125"/>
    <s v="NL2018"/>
    <m/>
    <n v="16"/>
    <n v="2000"/>
    <x v="36"/>
    <n v="22000000"/>
    <x v="2"/>
    <d v="2019-09-01T00:00:00"/>
    <d v="2019-09-29T00:00:00"/>
    <d v="2019-09-29T00:00:00"/>
    <m/>
    <m/>
    <m/>
    <m/>
    <m/>
    <m/>
    <m/>
    <m/>
    <m/>
    <m/>
    <m/>
    <m/>
    <n v="0"/>
    <n v="2000"/>
    <n v="22000000"/>
  </r>
  <r>
    <s v="57A/2019"/>
    <d v="2019-02-20T00:00:00"/>
    <s v="KIỀU THY"/>
    <s v="VC02"/>
    <x v="137"/>
    <x v="36"/>
    <s v="MANISSA"/>
    <m/>
    <s v="20.22"/>
    <n v="125"/>
    <s v="NL2018"/>
    <m/>
    <n v="80"/>
    <n v="10000"/>
    <x v="37"/>
    <n v="135000000"/>
    <x v="2"/>
    <d v="2019-09-01T00:00:00"/>
    <d v="2019-09-29T00:00:00"/>
    <d v="2019-09-29T00:00:00"/>
    <s v="TẾT"/>
    <m/>
    <m/>
    <s v="R"/>
    <m/>
    <n v="0"/>
    <m/>
    <m/>
    <m/>
    <m/>
    <m/>
    <m/>
    <n v="0"/>
    <n v="10000"/>
    <n v="135000000"/>
  </r>
  <r>
    <s v="57A/2019"/>
    <d v="2019-02-20T00:00:00"/>
    <s v="KIỀU THY"/>
    <s v="VC02"/>
    <x v="137"/>
    <x v="37"/>
    <s v="PROFUNDO"/>
    <m/>
    <s v="20.22"/>
    <n v="125"/>
    <s v="NL2018"/>
    <m/>
    <n v="80"/>
    <n v="10000"/>
    <x v="40"/>
    <n v="130000000"/>
    <x v="2"/>
    <d v="2019-09-01T00:00:00"/>
    <d v="2019-09-29T00:00:00"/>
    <d v="2019-09-29T00:00:00"/>
    <s v="TẾT"/>
    <m/>
    <m/>
    <s v="R"/>
    <m/>
    <n v="0"/>
    <m/>
    <m/>
    <m/>
    <m/>
    <m/>
    <m/>
    <n v="0"/>
    <n v="10000"/>
    <n v="130000000"/>
  </r>
  <r>
    <s v="57A/2019"/>
    <d v="2019-02-20T00:00:00"/>
    <s v="KIỀU THY"/>
    <s v="VC02"/>
    <x v="137"/>
    <x v="111"/>
    <s v="SERANO"/>
    <m/>
    <s v="20.22"/>
    <n v="125"/>
    <s v="NL2018"/>
    <m/>
    <n v="40"/>
    <n v="5000"/>
    <x v="115"/>
    <n v="46500000"/>
    <x v="2"/>
    <d v="2019-09-01T00:00:00"/>
    <d v="2019-09-29T00:00:00"/>
    <d v="2019-09-29T00:00:00"/>
    <s v="TẾT"/>
    <m/>
    <m/>
    <s v="R"/>
    <m/>
    <n v="0"/>
    <m/>
    <m/>
    <m/>
    <m/>
    <m/>
    <m/>
    <n v="0"/>
    <n v="5000"/>
    <n v="46500000"/>
  </r>
  <r>
    <s v="57A/2019"/>
    <d v="2019-02-20T00:00:00"/>
    <s v="KIỀU THY"/>
    <s v="VC02"/>
    <x v="137"/>
    <x v="14"/>
    <s v="TARRANGO"/>
    <m/>
    <s v="20.22"/>
    <n v="125"/>
    <s v="NL2018"/>
    <m/>
    <n v="40"/>
    <n v="5000"/>
    <x v="39"/>
    <n v="50500000"/>
    <x v="2"/>
    <d v="2019-09-01T00:00:00"/>
    <d v="2019-09-29T00:00:00"/>
    <d v="2019-09-29T00:00:00"/>
    <s v="TẾT"/>
    <m/>
    <m/>
    <s v="R"/>
    <m/>
    <n v="0"/>
    <m/>
    <m/>
    <m/>
    <m/>
    <m/>
    <m/>
    <n v="0"/>
    <n v="5000"/>
    <n v="50500000"/>
  </r>
  <r>
    <s v="15B/2019"/>
    <d v="2019-01-05T00:00:00"/>
    <s v="THANH THÚY"/>
    <s v="NT02"/>
    <x v="138"/>
    <x v="38"/>
    <s v="YELLOWEEN"/>
    <m/>
    <s v="16.18"/>
    <n v="200"/>
    <s v="NL2018"/>
    <m/>
    <n v="40"/>
    <n v="8000"/>
    <x v="18"/>
    <n v="40000000"/>
    <x v="0"/>
    <d v="2019-01-09T00:00:00"/>
    <d v="2019-02-13T00:00:00"/>
    <d v="2019-02-13T00:00:00"/>
    <s v="09/1AL"/>
    <m/>
    <m/>
    <m/>
    <d v="2019-02-20T00:00:00"/>
    <n v="8000"/>
    <m/>
    <m/>
    <m/>
    <m/>
    <m/>
    <m/>
    <n v="8000"/>
    <n v="0"/>
    <n v="0"/>
  </r>
  <r>
    <s v="15B/2019"/>
    <d v="2019-01-05T00:00:00"/>
    <s v="THANH THÚY"/>
    <s v="NT02"/>
    <x v="138"/>
    <x v="38"/>
    <s v="YELLOWEEN"/>
    <m/>
    <s v="16.18"/>
    <n v="200"/>
    <s v="NL2018"/>
    <m/>
    <n v="25"/>
    <n v="5000"/>
    <x v="18"/>
    <n v="25000000"/>
    <x v="0"/>
    <d v="2019-01-09T00:00:00"/>
    <d v="2019-02-13T00:00:00"/>
    <d v="2019-02-13T00:00:00"/>
    <s v="09/1AL"/>
    <m/>
    <m/>
    <m/>
    <d v="2019-03-06T00:00:00"/>
    <n v="5000"/>
    <m/>
    <m/>
    <m/>
    <m/>
    <m/>
    <m/>
    <n v="5000"/>
    <n v="0"/>
    <n v="0"/>
  </r>
  <r>
    <s v="15B/2019"/>
    <d v="2019-01-05T00:00:00"/>
    <s v="THANH THÚY"/>
    <s v="NT02"/>
    <x v="138"/>
    <x v="79"/>
    <s v="YELLOWEEN"/>
    <m/>
    <s v="16.18"/>
    <n v="200"/>
    <s v="NL2017"/>
    <m/>
    <n v="15"/>
    <n v="3000"/>
    <x v="6"/>
    <n v="11400000"/>
    <x v="0"/>
    <d v="2019-01-11T00:00:00"/>
    <d v="2019-02-15T00:00:00"/>
    <d v="2019-02-15T00:00:00"/>
    <s v="11/1AL"/>
    <m/>
    <m/>
    <m/>
    <d v="2019-03-06T00:00:00"/>
    <n v="3000"/>
    <m/>
    <m/>
    <m/>
    <m/>
    <m/>
    <m/>
    <n v="3000"/>
    <n v="0"/>
    <n v="0"/>
  </r>
  <r>
    <s v="15B/2019"/>
    <d v="2019-01-05T00:00:00"/>
    <s v="THANH THÚY"/>
    <s v="NT02"/>
    <x v="138"/>
    <x v="34"/>
    <s v="TARRANGO"/>
    <m/>
    <s v="16.18"/>
    <n v="200"/>
    <s v="NL2018"/>
    <m/>
    <n v="50"/>
    <n v="10000"/>
    <x v="44"/>
    <n v="55000000"/>
    <x v="0"/>
    <d v="2019-01-15T00:00:00"/>
    <d v="2019-02-19T00:00:00"/>
    <d v="2019-02-19T00:00:00"/>
    <s v="15/1AL"/>
    <m/>
    <m/>
    <m/>
    <d v="2019-02-19T00:00:00"/>
    <n v="10000"/>
    <m/>
    <m/>
    <m/>
    <m/>
    <m/>
    <m/>
    <n v="10000"/>
    <n v="0"/>
    <n v="0"/>
  </r>
  <r>
    <s v="15B/2019"/>
    <d v="2019-01-05T00:00:00"/>
    <s v="THANH THÚY"/>
    <s v="NT02"/>
    <x v="138"/>
    <x v="10"/>
    <s v="ARVANDRUD"/>
    <m/>
    <s v="16.18"/>
    <n v="200"/>
    <s v="NL2018"/>
    <m/>
    <n v="25"/>
    <n v="5000"/>
    <x v="44"/>
    <n v="27500000"/>
    <x v="0"/>
    <d v="2019-03-15T00:00:00"/>
    <d v="2019-04-19T00:00:00"/>
    <d v="2019-04-19T00:00:00"/>
    <m/>
    <s v="CONT 21/2019"/>
    <m/>
    <m/>
    <m/>
    <n v="0"/>
    <m/>
    <m/>
    <m/>
    <m/>
    <m/>
    <m/>
    <n v="0"/>
    <n v="5000"/>
    <n v="27500000"/>
  </r>
  <r>
    <s v="15B/2019"/>
    <d v="2019-01-05T00:00:00"/>
    <s v="THANH THÚY"/>
    <s v="NT02"/>
    <x v="138"/>
    <x v="102"/>
    <s v="COMPETITION"/>
    <m/>
    <s v="16.18"/>
    <n v="200"/>
    <s v="NL2018"/>
    <m/>
    <n v="100"/>
    <n v="20000"/>
    <x v="45"/>
    <n v="134000000"/>
    <x v="0"/>
    <d v="2019-03-15T00:00:00"/>
    <d v="2019-04-19T00:00:00"/>
    <d v="2019-04-19T00:00:00"/>
    <s v="15/3AL"/>
    <s v="CONT 20/2019"/>
    <m/>
    <m/>
    <d v="2019-05-22T00:00:00"/>
    <n v="20000"/>
    <m/>
    <m/>
    <m/>
    <m/>
    <m/>
    <m/>
    <n v="20000"/>
    <n v="0"/>
    <n v="0"/>
  </r>
  <r>
    <s v="15B/2019"/>
    <d v="2019-01-05T00:00:00"/>
    <s v="THANH THÚY"/>
    <s v="NT02"/>
    <x v="138"/>
    <x v="15"/>
    <s v="CONCADOR"/>
    <m/>
    <s v="16.18"/>
    <n v="200"/>
    <s v="NL2018"/>
    <m/>
    <n v="50"/>
    <n v="10000"/>
    <x v="18"/>
    <n v="50000000"/>
    <x v="0"/>
    <d v="2019-03-15T00:00:00"/>
    <d v="2019-04-19T00:00:00"/>
    <d v="2019-04-19T00:00:00"/>
    <s v="15/3AL"/>
    <s v="CONT 22/2019"/>
    <m/>
    <m/>
    <d v="2019-05-16T00:00:00"/>
    <n v="10000"/>
    <m/>
    <m/>
    <m/>
    <m/>
    <m/>
    <m/>
    <n v="10000"/>
    <n v="0"/>
    <n v="0"/>
  </r>
  <r>
    <s v="15B/2019"/>
    <d v="2019-01-05T00:00:00"/>
    <s v="THANH THÚY"/>
    <s v="NT02"/>
    <x v="138"/>
    <x v="161"/>
    <s v="MONTEZUMA"/>
    <m/>
    <s v="16.18"/>
    <n v="200"/>
    <s v="NL2018"/>
    <m/>
    <n v="80"/>
    <n v="16000"/>
    <x v="9"/>
    <n v="99200000"/>
    <x v="0"/>
    <d v="2019-03-15T00:00:00"/>
    <d v="2019-04-19T00:00:00"/>
    <d v="2019-04-19T00:00:00"/>
    <s v="15/3AL"/>
    <s v="CONT 27/2019"/>
    <m/>
    <m/>
    <m/>
    <n v="0"/>
    <m/>
    <m/>
    <m/>
    <m/>
    <m/>
    <m/>
    <n v="0"/>
    <n v="16000"/>
    <n v="99200000"/>
  </r>
  <r>
    <s v="15B/2019"/>
    <d v="2019-01-05T00:00:00"/>
    <s v="THANH THÚY"/>
    <s v="NT02"/>
    <x v="138"/>
    <x v="5"/>
    <s v="PROFUNDO"/>
    <m/>
    <s v="16.18"/>
    <n v="200"/>
    <s v="NL2018"/>
    <m/>
    <n v="25"/>
    <n v="5000"/>
    <x v="45"/>
    <n v="33500000"/>
    <x v="0"/>
    <d v="2019-03-15T00:00:00"/>
    <d v="2019-04-19T00:00:00"/>
    <d v="2019-04-19T00:00:00"/>
    <s v="15/3AL"/>
    <s v="CONT 23/2019"/>
    <m/>
    <m/>
    <m/>
    <n v="0"/>
    <m/>
    <m/>
    <m/>
    <m/>
    <m/>
    <m/>
    <n v="0"/>
    <n v="5000"/>
    <n v="33500000"/>
  </r>
  <r>
    <s v="15B/2019"/>
    <d v="2019-01-05T00:00:00"/>
    <s v="THANH THÚY"/>
    <s v="NT02"/>
    <x v="138"/>
    <x v="15"/>
    <s v="CONCADOR"/>
    <m/>
    <s v="16.18"/>
    <n v="200"/>
    <s v="NL2018"/>
    <m/>
    <n v="0"/>
    <n v="0"/>
    <x v="18"/>
    <n v="0"/>
    <x v="1"/>
    <d v="2019-04-15T00:00:00"/>
    <d v="2019-05-19T00:00:00"/>
    <d v="2019-05-19T00:00:00"/>
    <s v="15/4AL"/>
    <s v="CONT 22/2019"/>
    <m/>
    <m/>
    <m/>
    <n v="0"/>
    <m/>
    <m/>
    <m/>
    <m/>
    <m/>
    <m/>
    <n v="0"/>
    <n v="0"/>
    <n v="0"/>
  </r>
  <r>
    <s v="15B/2019"/>
    <d v="2019-01-05T00:00:00"/>
    <s v="THANH THÚY"/>
    <s v="NT02"/>
    <x v="138"/>
    <x v="180"/>
    <s v="TOUCHSTONE"/>
    <m/>
    <s v="13.14"/>
    <n v="350"/>
    <s v="NL2018"/>
    <m/>
    <n v="20"/>
    <n v="7000"/>
    <x v="188"/>
    <n v="30450000"/>
    <x v="0"/>
    <d v="2019-04-15T00:00:00"/>
    <d v="2019-05-19T00:00:00"/>
    <d v="2019-05-19T00:00:00"/>
    <s v="15/4AL"/>
    <m/>
    <m/>
    <m/>
    <d v="2019-05-22T00:00:00"/>
    <n v="7000"/>
    <m/>
    <m/>
    <m/>
    <m/>
    <m/>
    <m/>
    <n v="7000"/>
    <n v="0"/>
    <n v="0"/>
  </r>
  <r>
    <s v="15B/2019"/>
    <d v="2019-01-05T00:00:00"/>
    <s v="THANH THÚY"/>
    <s v="NT02"/>
    <x v="138"/>
    <x v="181"/>
    <s v="TOUCHSTONE"/>
    <m/>
    <s v="14.16"/>
    <n v="300"/>
    <s v="NL2018"/>
    <m/>
    <n v="9"/>
    <n v="2700"/>
    <x v="33"/>
    <n v="18900000"/>
    <x v="0"/>
    <d v="2019-04-15T00:00:00"/>
    <d v="2019-05-19T00:00:00"/>
    <d v="2019-05-19T00:00:00"/>
    <s v="15/4AL"/>
    <m/>
    <m/>
    <m/>
    <d v="2019-05-22T00:00:00"/>
    <n v="2700"/>
    <m/>
    <m/>
    <m/>
    <m/>
    <m/>
    <m/>
    <n v="2700"/>
    <n v="0"/>
    <n v="0"/>
  </r>
  <r>
    <s v="15B/2019"/>
    <d v="2019-06-13T00:00:00"/>
    <s v="THANH THÚY"/>
    <s v="NT02"/>
    <x v="138"/>
    <x v="54"/>
    <s v="MALDANO"/>
    <m/>
    <s v="14.16"/>
    <n v="300"/>
    <s v="NL2018"/>
    <m/>
    <n v="27"/>
    <n v="8100"/>
    <x v="57"/>
    <n v="32400000"/>
    <x v="4"/>
    <d v="2019-05-05T00:00:00"/>
    <d v="2019-06-07T00:00:00"/>
    <d v="2019-06-07T00:00:00"/>
    <m/>
    <m/>
    <m/>
    <m/>
    <m/>
    <m/>
    <m/>
    <m/>
    <m/>
    <m/>
    <m/>
    <m/>
    <n v="0"/>
    <n v="8100"/>
    <n v="32400000"/>
  </r>
  <r>
    <s v="15B/2019"/>
    <d v="2019-06-13T00:00:00"/>
    <s v="THANH THÚY"/>
    <s v="NT02"/>
    <x v="138"/>
    <x v="66"/>
    <s v="ALUSTA"/>
    <m/>
    <s v="14.16"/>
    <n v="300"/>
    <s v="NL2018"/>
    <m/>
    <n v="13"/>
    <n v="3900"/>
    <x v="57"/>
    <n v="15600000"/>
    <x v="4"/>
    <d v="2019-05-05T00:00:00"/>
    <d v="2019-06-07T00:00:00"/>
    <d v="2019-06-07T00:00:00"/>
    <m/>
    <m/>
    <m/>
    <m/>
    <m/>
    <m/>
    <m/>
    <m/>
    <m/>
    <m/>
    <m/>
    <m/>
    <n v="0"/>
    <n v="3900"/>
    <n v="15600000"/>
  </r>
  <r>
    <s v="141B/2019"/>
    <d v="2019-03-21T00:00:00"/>
    <s v="THANH THÚY"/>
    <s v="NT02"/>
    <x v="138"/>
    <x v="6"/>
    <s v="CONCADOR"/>
    <m/>
    <s v="20.22"/>
    <n v="125"/>
    <s v="NL2018"/>
    <m/>
    <n v="160"/>
    <n v="20000"/>
    <x v="59"/>
    <n v="210000000"/>
    <x v="2"/>
    <d v="2019-09-01T00:00:00"/>
    <d v="2019-09-29T00:00:00"/>
    <d v="2019-09-29T00:00:00"/>
    <s v="TẾT"/>
    <m/>
    <m/>
    <m/>
    <m/>
    <m/>
    <m/>
    <m/>
    <m/>
    <m/>
    <m/>
    <m/>
    <n v="0"/>
    <n v="20000"/>
    <n v="210000000"/>
  </r>
  <r>
    <s v="141B/2019"/>
    <d v="2019-03-21T00:00:00"/>
    <s v="THANH THÚY"/>
    <s v="NT02"/>
    <x v="138"/>
    <x v="106"/>
    <s v="ARVANDRUD"/>
    <m/>
    <s v="18.20"/>
    <n v="150"/>
    <s v="NL2018"/>
    <m/>
    <n v="0"/>
    <n v="0"/>
    <x v="61"/>
    <n v="0"/>
    <x v="1"/>
    <d v="2019-09-01T00:00:00"/>
    <d v="2019-09-29T00:00:00"/>
    <d v="2019-09-29T00:00:00"/>
    <s v="TẾT"/>
    <m/>
    <m/>
    <m/>
    <m/>
    <m/>
    <m/>
    <m/>
    <m/>
    <m/>
    <m/>
    <m/>
    <n v="0"/>
    <n v="0"/>
    <n v="0"/>
  </r>
  <r>
    <s v="141B/2019"/>
    <d v="2019-05-21T00:00:00"/>
    <s v="THANH THÚY"/>
    <s v="NT02"/>
    <x v="138"/>
    <x v="35"/>
    <s v="BACARDI"/>
    <m/>
    <s v="20.22"/>
    <n v="125"/>
    <s v="NL2018"/>
    <m/>
    <n v="0"/>
    <n v="0"/>
    <x v="36"/>
    <n v="0"/>
    <x v="1"/>
    <d v="2019-09-01T00:00:00"/>
    <d v="2019-09-29T00:00:00"/>
    <d v="2019-09-29T00:00:00"/>
    <m/>
    <m/>
    <m/>
    <m/>
    <m/>
    <m/>
    <m/>
    <m/>
    <m/>
    <m/>
    <m/>
    <m/>
    <n v="0"/>
    <n v="0"/>
    <n v="0"/>
  </r>
  <r>
    <s v="15B/2019"/>
    <d v="2019-01-05T00:00:00"/>
    <s v="THANH THÚY"/>
    <s v="NT02"/>
    <x v="138"/>
    <x v="49"/>
    <s v="MARENGO"/>
    <m/>
    <s v="16.18"/>
    <n v="200"/>
    <s v="NL2018"/>
    <m/>
    <n v="25"/>
    <n v="5000"/>
    <x v="46"/>
    <n v="30000000"/>
    <x v="0"/>
    <s v="29-Feb-19"/>
    <d v="2019-04-03T00:00:00"/>
    <d v="2019-04-03T00:00:00"/>
    <s v="30/2AL"/>
    <s v="CONT 17/2019"/>
    <m/>
    <m/>
    <d v="2019-04-03T00:00:00"/>
    <n v="5000"/>
    <m/>
    <m/>
    <m/>
    <m/>
    <m/>
    <m/>
    <n v="5000"/>
    <n v="0"/>
    <n v="0"/>
  </r>
  <r>
    <s v="15B/2019"/>
    <d v="2019-01-05T00:00:00"/>
    <s v="THANH THÚY"/>
    <s v="NT02"/>
    <x v="138"/>
    <x v="5"/>
    <s v="PROFUNDO"/>
    <m/>
    <s v="16.18"/>
    <n v="200"/>
    <s v="NL2018"/>
    <m/>
    <n v="50"/>
    <n v="10000"/>
    <x v="45"/>
    <n v="67000000"/>
    <x v="0"/>
    <s v="29-Feb-19"/>
    <d v="2019-04-03T00:00:00"/>
    <d v="2019-04-03T00:00:00"/>
    <s v="30/2AL"/>
    <s v="CONT 17/2019"/>
    <m/>
    <m/>
    <d v="2019-04-03T00:00:00"/>
    <n v="5000"/>
    <d v="2019-04-09T00:00:00"/>
    <n v="5000"/>
    <m/>
    <m/>
    <m/>
    <m/>
    <n v="10000"/>
    <n v="0"/>
    <n v="0"/>
  </r>
  <r>
    <s v="15B/2019"/>
    <d v="2019-01-05T00:00:00"/>
    <s v="THANH THÚY"/>
    <s v="NT02"/>
    <x v="138"/>
    <x v="53"/>
    <s v="SENSI"/>
    <m/>
    <s v="16.18"/>
    <n v="200"/>
    <s v="NL2018"/>
    <m/>
    <n v="25"/>
    <n v="5000"/>
    <x v="44"/>
    <n v="27500000"/>
    <x v="0"/>
    <s v="29-Feb-19"/>
    <d v="2019-04-03T00:00:00"/>
    <d v="2019-04-03T00:00:00"/>
    <s v="30/2AL"/>
    <s v="CONT 15/2019"/>
    <m/>
    <m/>
    <d v="2019-05-07T00:00:00"/>
    <n v="5000"/>
    <m/>
    <m/>
    <m/>
    <m/>
    <m/>
    <m/>
    <n v="5000"/>
    <n v="0"/>
    <n v="0"/>
  </r>
  <r>
    <s v="15B/2019"/>
    <d v="2019-01-05T00:00:00"/>
    <s v="THANH THÚY"/>
    <s v="NT02"/>
    <x v="138"/>
    <x v="34"/>
    <s v="TARRANGO"/>
    <m/>
    <s v="16.18"/>
    <n v="200"/>
    <s v="NL2018"/>
    <m/>
    <n v="25"/>
    <n v="5000"/>
    <x v="44"/>
    <n v="27500000"/>
    <x v="0"/>
    <s v="29-Feb-19"/>
    <d v="2019-04-03T00:00:00"/>
    <d v="2019-04-03T00:00:00"/>
    <s v="30/2AL"/>
    <s v="CONT 14/2019"/>
    <m/>
    <m/>
    <d v="2019-04-09T00:00:00"/>
    <n v="5000"/>
    <m/>
    <m/>
    <m/>
    <m/>
    <m/>
    <m/>
    <n v="5000"/>
    <n v="0"/>
    <n v="0"/>
  </r>
  <r>
    <s v="15B/2019"/>
    <d v="2019-01-05T00:00:00"/>
    <s v="THANH THÚY"/>
    <s v="NT02"/>
    <x v="138"/>
    <x v="15"/>
    <s v="CONCADOR"/>
    <m/>
    <s v="16.18"/>
    <n v="200"/>
    <s v="NL2018"/>
    <m/>
    <n v="25"/>
    <n v="5000"/>
    <x v="0"/>
    <n v="23500000"/>
    <x v="0"/>
    <s v="29-Feb-19"/>
    <d v="2019-04-03T00:00:00"/>
    <d v="2019-04-03T00:00:00"/>
    <s v="30/2AL"/>
    <s v="CONT 17/2019"/>
    <m/>
    <m/>
    <d v="2019-05-07T00:00:00"/>
    <n v="5000"/>
    <m/>
    <m/>
    <m/>
    <m/>
    <m/>
    <m/>
    <n v="5000"/>
    <n v="0"/>
    <n v="0"/>
  </r>
  <r>
    <s v="120B/2019"/>
    <d v="2019-03-14T00:00:00"/>
    <s v="THANH THÚY"/>
    <s v="VT01"/>
    <x v="139"/>
    <x v="46"/>
    <s v="CONCADOR"/>
    <m/>
    <s v="22.24"/>
    <s v="100"/>
    <s v="NL2018"/>
    <m/>
    <n v="50"/>
    <n v="5000"/>
    <x v="29"/>
    <n v="62500000"/>
    <x v="2"/>
    <d v="2019-09-01T00:00:00"/>
    <d v="2019-09-29T00:00:00"/>
    <d v="2019-09-29T00:00:00"/>
    <s v="TẾT"/>
    <m/>
    <m/>
    <m/>
    <m/>
    <n v="0"/>
    <m/>
    <m/>
    <m/>
    <m/>
    <m/>
    <m/>
    <n v="0"/>
    <n v="5000"/>
    <n v="62500000"/>
  </r>
  <r>
    <s v="120B/2019"/>
    <d v="2019-03-14T00:00:00"/>
    <s v="THANH THÚY"/>
    <s v="VT01"/>
    <x v="139"/>
    <x v="6"/>
    <s v="CONCADOR"/>
    <m/>
    <s v="20.22"/>
    <s v="125"/>
    <s v="NL2018"/>
    <m/>
    <n v="8"/>
    <n v="1000"/>
    <x v="7"/>
    <n v="10600000"/>
    <x v="2"/>
    <d v="2019-09-01T00:00:00"/>
    <d v="2019-09-29T00:00:00"/>
    <d v="2019-09-29T00:00:00"/>
    <s v="TẾT"/>
    <m/>
    <m/>
    <m/>
    <m/>
    <m/>
    <m/>
    <m/>
    <m/>
    <m/>
    <m/>
    <m/>
    <n v="0"/>
    <n v="1000"/>
    <n v="10600000"/>
  </r>
  <r>
    <s v="120B/2019"/>
    <d v="2019-03-14T00:00:00"/>
    <s v="THANH THÚY"/>
    <s v="VT01"/>
    <x v="139"/>
    <x v="104"/>
    <s v="LARGO"/>
    <m/>
    <s v="22.24"/>
    <s v="100"/>
    <s v="NL2018"/>
    <m/>
    <n v="30"/>
    <n v="3000"/>
    <x v="110"/>
    <n v="34200000"/>
    <x v="2"/>
    <d v="2019-09-01T00:00:00"/>
    <d v="2019-09-29T00:00:00"/>
    <d v="2019-09-29T00:00:00"/>
    <s v="TẾT"/>
    <m/>
    <m/>
    <m/>
    <m/>
    <n v="0"/>
    <m/>
    <m/>
    <m/>
    <m/>
    <m/>
    <m/>
    <n v="0"/>
    <n v="3000"/>
    <n v="34200000"/>
  </r>
  <r>
    <s v="120B/2019"/>
    <d v="2019-03-14T00:00:00"/>
    <s v="THANH THÚY"/>
    <s v="VT01"/>
    <x v="139"/>
    <x v="9"/>
    <s v="MANISSA"/>
    <m/>
    <s v="22.24"/>
    <s v="100"/>
    <s v="NL2018"/>
    <m/>
    <n v="110"/>
    <n v="11000"/>
    <x v="38"/>
    <n v="167200000"/>
    <x v="2"/>
    <d v="2019-09-01T00:00:00"/>
    <d v="2019-09-29T00:00:00"/>
    <d v="2019-09-29T00:00:00"/>
    <s v="TẾT"/>
    <m/>
    <m/>
    <m/>
    <m/>
    <n v="0"/>
    <m/>
    <m/>
    <m/>
    <m/>
    <m/>
    <m/>
    <n v="0"/>
    <n v="11000"/>
    <n v="167200000"/>
  </r>
  <r>
    <s v="120B/2019"/>
    <d v="2019-03-14T00:00:00"/>
    <s v="THANH THÚY"/>
    <s v="VT01"/>
    <x v="139"/>
    <x v="26"/>
    <s v="ROBINA"/>
    <m/>
    <s v="22.24"/>
    <s v="100"/>
    <s v="NL2018"/>
    <m/>
    <n v="100"/>
    <n v="10000"/>
    <x v="29"/>
    <n v="125000000"/>
    <x v="2"/>
    <d v="2019-09-01T00:00:00"/>
    <d v="2019-09-29T00:00:00"/>
    <d v="2019-09-29T00:00:00"/>
    <s v="TẾT"/>
    <m/>
    <m/>
    <m/>
    <m/>
    <n v="0"/>
    <m/>
    <m/>
    <m/>
    <m/>
    <m/>
    <m/>
    <n v="0"/>
    <n v="10000"/>
    <n v="125000000"/>
  </r>
  <r>
    <s v="120B/2019"/>
    <d v="2019-03-14T00:00:00"/>
    <s v="THANH THÚY"/>
    <s v="VT01"/>
    <x v="139"/>
    <x v="16"/>
    <s v="ROBINA"/>
    <m/>
    <s v="20.22"/>
    <s v="125"/>
    <s v="NL2018"/>
    <m/>
    <n v="24"/>
    <n v="3000"/>
    <x v="16"/>
    <n v="32100000"/>
    <x v="2"/>
    <d v="2019-09-01T00:00:00"/>
    <d v="2019-09-29T00:00:00"/>
    <d v="2019-09-29T00:00:00"/>
    <s v="TẾT"/>
    <m/>
    <m/>
    <m/>
    <m/>
    <m/>
    <m/>
    <m/>
    <m/>
    <m/>
    <m/>
    <m/>
    <n v="0"/>
    <n v="3000"/>
    <n v="32100000"/>
  </r>
  <r>
    <s v="120B/2019"/>
    <d v="2019-03-14T00:00:00"/>
    <s v="THANH THÚY"/>
    <s v="VT01"/>
    <x v="139"/>
    <x v="14"/>
    <s v="TARRANGO"/>
    <m/>
    <s v="20.22"/>
    <s v="125"/>
    <s v="NL2018"/>
    <m/>
    <n v="16"/>
    <n v="2000"/>
    <x v="22"/>
    <n v="21800000"/>
    <x v="2"/>
    <d v="2019-09-01T00:00:00"/>
    <d v="2019-09-29T00:00:00"/>
    <d v="2019-09-29T00:00:00"/>
    <s v="TẾT"/>
    <m/>
    <m/>
    <m/>
    <m/>
    <n v="0"/>
    <m/>
    <m/>
    <m/>
    <m/>
    <m/>
    <m/>
    <n v="0"/>
    <n v="2000"/>
    <n v="21800000"/>
  </r>
  <r>
    <s v="120B/2019"/>
    <d v="2019-03-14T00:00:00"/>
    <s v="THANH THÚY"/>
    <s v="VT01"/>
    <x v="139"/>
    <x v="64"/>
    <s v="TARRANGO"/>
    <m/>
    <s v="18.20"/>
    <s v="150"/>
    <s v="NL2018"/>
    <m/>
    <n v="14"/>
    <n v="2100"/>
    <x v="95"/>
    <n v="19110000"/>
    <x v="2"/>
    <d v="2019-09-01T00:00:00"/>
    <d v="2019-09-29T00:00:00"/>
    <d v="2019-09-29T00:00:00"/>
    <s v="TẾT"/>
    <m/>
    <m/>
    <m/>
    <m/>
    <n v="0"/>
    <m/>
    <m/>
    <m/>
    <m/>
    <m/>
    <m/>
    <n v="0"/>
    <n v="2100"/>
    <n v="19110000"/>
  </r>
  <r>
    <s v="147A/2019"/>
    <d v="2019-03-26T00:00:00"/>
    <s v="KIỀU THY"/>
    <s v="TD04"/>
    <x v="140"/>
    <x v="35"/>
    <s v="BACARDI"/>
    <m/>
    <s v="20.22"/>
    <s v="125"/>
    <s v="NL2018"/>
    <m/>
    <n v="40"/>
    <n v="5000"/>
    <x v="8"/>
    <n v="54000000"/>
    <x v="2"/>
    <d v="2019-09-01T00:00:00"/>
    <d v="2019-09-29T00:00:00"/>
    <d v="2019-09-29T00:00:00"/>
    <s v="TẾT"/>
    <m/>
    <m/>
    <m/>
    <m/>
    <m/>
    <m/>
    <m/>
    <m/>
    <m/>
    <m/>
    <m/>
    <n v="0"/>
    <n v="5000"/>
    <n v="54000000"/>
  </r>
  <r>
    <s v="147A/2019"/>
    <d v="2019-03-26T00:00:00"/>
    <s v="KIỀU THY"/>
    <s v="TD04"/>
    <x v="140"/>
    <x v="36"/>
    <s v="MANISSA"/>
    <m/>
    <s v="20.22"/>
    <s v="125"/>
    <s v="NL2018"/>
    <m/>
    <n v="32"/>
    <n v="4000"/>
    <x v="37"/>
    <n v="54000000"/>
    <x v="2"/>
    <d v="2019-09-01T00:00:00"/>
    <d v="2019-09-29T00:00:00"/>
    <d v="2019-09-29T00:00:00"/>
    <s v="TẾT"/>
    <m/>
    <m/>
    <m/>
    <m/>
    <m/>
    <m/>
    <m/>
    <m/>
    <m/>
    <m/>
    <m/>
    <n v="0"/>
    <n v="4000"/>
    <n v="54000000"/>
  </r>
  <r>
    <s v="147A/2019"/>
    <d v="2019-03-26T00:00:00"/>
    <s v="KIỀU THY"/>
    <s v="TD04"/>
    <x v="140"/>
    <x v="8"/>
    <s v="TEBALDI"/>
    <m/>
    <s v="16.18"/>
    <s v="200"/>
    <s v="NL2018"/>
    <m/>
    <n v="15"/>
    <n v="3000"/>
    <x v="20"/>
    <n v="18300000"/>
    <x v="2"/>
    <d v="2019-09-01T00:00:00"/>
    <d v="2019-09-29T00:00:00"/>
    <d v="2019-09-29T00:00:00"/>
    <s v="TẾT"/>
    <m/>
    <m/>
    <m/>
    <m/>
    <m/>
    <m/>
    <m/>
    <m/>
    <m/>
    <m/>
    <m/>
    <n v="0"/>
    <n v="3000"/>
    <n v="18300000"/>
  </r>
  <r>
    <s v="130A/2019"/>
    <d v="2019-03-16T00:00:00"/>
    <s v="KIỀU THY"/>
    <s v="DT03"/>
    <x v="141"/>
    <x v="6"/>
    <s v="CONCADOR"/>
    <m/>
    <s v="20.22"/>
    <n v="125"/>
    <s v="NL2018"/>
    <m/>
    <n v="6"/>
    <n v="750"/>
    <x v="59"/>
    <n v="7875000"/>
    <x v="2"/>
    <d v="2019-09-01T00:00:00"/>
    <d v="2019-09-29T00:00:00"/>
    <d v="2019-09-29T00:00:00"/>
    <s v="TẾT"/>
    <m/>
    <m/>
    <m/>
    <m/>
    <m/>
    <m/>
    <m/>
    <m/>
    <m/>
    <m/>
    <m/>
    <n v="0"/>
    <n v="750"/>
    <n v="7875000"/>
  </r>
  <r>
    <s v="130A/2019"/>
    <d v="2019-03-16T00:00:00"/>
    <s v="KIỀU THY"/>
    <s v="DT03"/>
    <x v="141"/>
    <x v="36"/>
    <s v="MANISSA"/>
    <m/>
    <s v="20.22"/>
    <n v="125"/>
    <s v="NL2018"/>
    <m/>
    <n v="10"/>
    <n v="1250"/>
    <x v="37"/>
    <n v="16875000"/>
    <x v="2"/>
    <d v="2019-09-01T00:00:00"/>
    <d v="2019-09-29T00:00:00"/>
    <d v="2019-09-29T00:00:00"/>
    <s v="TẾT"/>
    <m/>
    <m/>
    <m/>
    <m/>
    <m/>
    <m/>
    <m/>
    <m/>
    <m/>
    <m/>
    <m/>
    <n v="0"/>
    <n v="1250"/>
    <n v="16875000"/>
  </r>
  <r>
    <s v="130A/2019"/>
    <d v="2019-03-16T00:00:00"/>
    <s v="KIỀU THY"/>
    <s v="DT03"/>
    <x v="141"/>
    <x v="42"/>
    <s v="PAVIA"/>
    <m/>
    <s v="16.18"/>
    <n v="200"/>
    <s v="NL2018"/>
    <m/>
    <n v="5"/>
    <n v="1000"/>
    <x v="20"/>
    <n v="6100000"/>
    <x v="2"/>
    <d v="2019-09-01T00:00:00"/>
    <d v="2019-09-29T00:00:00"/>
    <d v="2019-09-29T00:00:00"/>
    <s v="TẾT"/>
    <m/>
    <m/>
    <m/>
    <m/>
    <m/>
    <m/>
    <m/>
    <m/>
    <m/>
    <m/>
    <m/>
    <n v="0"/>
    <n v="1000"/>
    <n v="6100000"/>
  </r>
  <r>
    <s v="130A/2019"/>
    <d v="2019-03-16T00:00:00"/>
    <s v="KIỀU THY"/>
    <s v="DT03"/>
    <x v="141"/>
    <x v="8"/>
    <s v="TEBALDI"/>
    <m/>
    <s v="16.18"/>
    <n v="200"/>
    <s v="NL2018"/>
    <m/>
    <n v="5"/>
    <n v="1000"/>
    <x v="20"/>
    <n v="6100000"/>
    <x v="2"/>
    <d v="2019-09-01T00:00:00"/>
    <d v="2019-09-29T00:00:00"/>
    <d v="2019-09-29T00:00:00"/>
    <s v="TẾT"/>
    <m/>
    <m/>
    <m/>
    <m/>
    <m/>
    <m/>
    <m/>
    <m/>
    <m/>
    <m/>
    <m/>
    <n v="0"/>
    <n v="1000"/>
    <n v="6100000"/>
  </r>
  <r>
    <s v="129A/2019"/>
    <d v="2019-03-16T00:00:00"/>
    <s v="KIỀU THY"/>
    <s v="DT03"/>
    <x v="142"/>
    <x v="106"/>
    <s v="ARVANDRUD"/>
    <m/>
    <s v="18.20"/>
    <n v="150"/>
    <s v="NL2018"/>
    <m/>
    <n v="14"/>
    <n v="2100"/>
    <x v="61"/>
    <n v="17850000"/>
    <x v="2"/>
    <d v="2019-09-01T00:00:00"/>
    <d v="2019-09-29T00:00:00"/>
    <d v="2019-09-29T00:00:00"/>
    <s v="TẾT"/>
    <m/>
    <m/>
    <m/>
    <m/>
    <m/>
    <m/>
    <m/>
    <m/>
    <m/>
    <m/>
    <m/>
    <n v="0"/>
    <n v="2100"/>
    <n v="17850000"/>
  </r>
  <r>
    <s v="129A/2019"/>
    <d v="2019-03-16T00:00:00"/>
    <s v="KIỀU THY"/>
    <s v="DT03"/>
    <x v="142"/>
    <x v="6"/>
    <s v="CONCADOR"/>
    <m/>
    <s v="20.22"/>
    <n v="125"/>
    <s v="NL2018"/>
    <m/>
    <n v="16"/>
    <n v="2000"/>
    <x v="59"/>
    <n v="21000000"/>
    <x v="2"/>
    <d v="2019-09-01T00:00:00"/>
    <d v="2019-09-29T00:00:00"/>
    <d v="2019-09-29T00:00:00"/>
    <s v="TẾT"/>
    <m/>
    <m/>
    <m/>
    <m/>
    <m/>
    <m/>
    <m/>
    <m/>
    <m/>
    <m/>
    <m/>
    <n v="0"/>
    <n v="2000"/>
    <n v="21000000"/>
  </r>
  <r>
    <s v="129A/2019"/>
    <d v="2019-03-16T00:00:00"/>
    <s v="KIỀU THY"/>
    <s v="DT03"/>
    <x v="142"/>
    <x v="85"/>
    <s v="DALIAN"/>
    <m/>
    <s v="20.22"/>
    <n v="125"/>
    <s v="NL2018"/>
    <m/>
    <n v="24"/>
    <n v="3000"/>
    <x v="85"/>
    <n v="42600000"/>
    <x v="2"/>
    <d v="2019-09-01T00:00:00"/>
    <d v="2019-09-29T00:00:00"/>
    <d v="2019-09-29T00:00:00"/>
    <s v="TẾT"/>
    <m/>
    <m/>
    <m/>
    <m/>
    <m/>
    <m/>
    <m/>
    <m/>
    <m/>
    <m/>
    <m/>
    <n v="0"/>
    <n v="3000"/>
    <n v="42600000"/>
  </r>
  <r>
    <s v="129A/2019"/>
    <d v="2019-03-16T00:00:00"/>
    <s v="KIỀU THY"/>
    <s v="DT03"/>
    <x v="142"/>
    <x v="143"/>
    <s v="NELLO "/>
    <m/>
    <s v="18.20"/>
    <n v="150"/>
    <s v="NL2018"/>
    <m/>
    <n v="134"/>
    <n v="20100"/>
    <x v="35"/>
    <n v="144720000"/>
    <x v="2"/>
    <d v="2019-09-01T00:00:00"/>
    <d v="2019-09-29T00:00:00"/>
    <d v="2019-09-29T00:00:00"/>
    <s v="TẾT"/>
    <m/>
    <m/>
    <m/>
    <m/>
    <m/>
    <m/>
    <m/>
    <m/>
    <m/>
    <m/>
    <m/>
    <n v="0"/>
    <n v="20100"/>
    <n v="144720000"/>
  </r>
  <r>
    <s v="129A/2019"/>
    <d v="2019-03-16T00:00:00"/>
    <s v="KIỀU THY"/>
    <s v="DT03"/>
    <x v="142"/>
    <x v="87"/>
    <s v="PROFUNDO"/>
    <m/>
    <s v="22.24"/>
    <n v="100"/>
    <s v="NL2018"/>
    <m/>
    <n v="60"/>
    <n v="6000"/>
    <x v="85"/>
    <n v="85200000"/>
    <x v="2"/>
    <d v="2019-09-01T00:00:00"/>
    <d v="2019-09-29T00:00:00"/>
    <d v="2019-09-29T00:00:00"/>
    <s v="TẾT"/>
    <m/>
    <m/>
    <m/>
    <m/>
    <m/>
    <m/>
    <m/>
    <m/>
    <m/>
    <m/>
    <m/>
    <n v="0"/>
    <n v="6000"/>
    <n v="85200000"/>
  </r>
  <r>
    <s v="131A/2019"/>
    <d v="2019-01-06T00:00:00"/>
    <s v="KIỀU THY"/>
    <s v="DT03"/>
    <x v="142"/>
    <x v="20"/>
    <s v="AMATERAS"/>
    <m/>
    <s v="12.14"/>
    <n v="400"/>
    <s v="NL2018"/>
    <m/>
    <n v="25"/>
    <n v="10000"/>
    <x v="4"/>
    <n v="28000000"/>
    <x v="0"/>
    <d v="2019-01-15T00:00:00"/>
    <d v="2019-02-19T00:00:00"/>
    <d v="2019-02-19T00:00:00"/>
    <s v="15/1AL"/>
    <m/>
    <m/>
    <m/>
    <d v="2019-02-19T00:00:00"/>
    <n v="10000"/>
    <m/>
    <m/>
    <m/>
    <m/>
    <m/>
    <m/>
    <n v="10000"/>
    <n v="0"/>
    <n v="0"/>
  </r>
  <r>
    <s v="131A/2019"/>
    <d v="2019-01-06T00:00:00"/>
    <s v="KIỀU THY"/>
    <s v="DT03"/>
    <x v="142"/>
    <x v="38"/>
    <s v="YELLOWEEN"/>
    <m/>
    <s v="16.18"/>
    <n v="200"/>
    <s v="NL2018"/>
    <m/>
    <n v="71"/>
    <n v="14200"/>
    <x v="18"/>
    <n v="71000000"/>
    <x v="0"/>
    <d v="2019-01-16T00:00:00"/>
    <d v="2019-02-20T00:00:00"/>
    <d v="2019-02-20T00:00:00"/>
    <s v="16/1AL"/>
    <m/>
    <m/>
    <m/>
    <d v="2019-02-20T00:00:00"/>
    <n v="14200"/>
    <m/>
    <m/>
    <m/>
    <m/>
    <m/>
    <m/>
    <n v="14200"/>
    <n v="0"/>
    <n v="0"/>
  </r>
  <r>
    <s v="131A/2019"/>
    <d v="2019-01-06T00:00:00"/>
    <s v="KIỀU THY"/>
    <s v="DT03"/>
    <x v="142"/>
    <x v="20"/>
    <s v="AMATERAS"/>
    <m/>
    <s v="12.14"/>
    <n v="400"/>
    <s v="NL2018"/>
    <m/>
    <n v="25"/>
    <n v="10000"/>
    <x v="4"/>
    <n v="28000000"/>
    <x v="0"/>
    <d v="2019-02-15T00:00:00"/>
    <d v="2019-03-20T00:00:00"/>
    <d v="2019-03-20T00:00:00"/>
    <s v="15/2AL"/>
    <s v="CONT 9/2019"/>
    <d v="2019-03-17T00:00:00"/>
    <m/>
    <d v="2019-03-19T00:00:00"/>
    <n v="10000"/>
    <m/>
    <m/>
    <m/>
    <m/>
    <m/>
    <m/>
    <n v="10000"/>
    <n v="0"/>
    <n v="0"/>
  </r>
  <r>
    <s v="131A/2019"/>
    <d v="2019-01-06T00:00:00"/>
    <s v="KIỀU THY"/>
    <s v="DT03"/>
    <x v="142"/>
    <x v="61"/>
    <s v="BACARDI"/>
    <m/>
    <s v="15.16"/>
    <n v="250"/>
    <s v="NL2018"/>
    <m/>
    <n v="72"/>
    <n v="18000"/>
    <x v="2"/>
    <n v="79200000"/>
    <x v="0"/>
    <d v="2019-03-15T00:00:00"/>
    <d v="2019-04-19T00:00:00"/>
    <d v="2019-04-19T00:00:00"/>
    <s v="15/3AL"/>
    <s v="CONT 22/2019"/>
    <d v="2019-04-14T00:00:00"/>
    <m/>
    <d v="2019-04-17T00:00:00"/>
    <n v="18000"/>
    <m/>
    <m/>
    <m/>
    <m/>
    <m/>
    <m/>
    <n v="18000"/>
    <n v="0"/>
    <n v="0"/>
  </r>
  <r>
    <s v="131A/2019"/>
    <d v="2019-01-06T00:00:00"/>
    <s v="KIỀU THY"/>
    <s v="DT03"/>
    <x v="142"/>
    <x v="4"/>
    <s v="TEBALDI"/>
    <m/>
    <s v="14.16"/>
    <n v="300"/>
    <s v="NL2018"/>
    <m/>
    <n v="3"/>
    <n v="900"/>
    <x v="3"/>
    <n v="3690000"/>
    <x v="0"/>
    <s v="30-Feb-19"/>
    <d v="2019-04-04T00:00:00"/>
    <d v="2019-04-04T00:00:00"/>
    <s v="30/2AL"/>
    <m/>
    <m/>
    <m/>
    <d v="2019-04-03T00:00:00"/>
    <n v="900"/>
    <m/>
    <m/>
    <m/>
    <m/>
    <m/>
    <m/>
    <n v="900"/>
    <n v="0"/>
    <n v="0"/>
  </r>
  <r>
    <s v="131A/2019"/>
    <d v="2019-01-06T00:00:00"/>
    <s v="KIỀU THY"/>
    <s v="DT03"/>
    <x v="142"/>
    <x v="20"/>
    <s v="AMATERAS"/>
    <m/>
    <s v="12.14"/>
    <n v="400"/>
    <s v="NL2018"/>
    <m/>
    <n v="48"/>
    <n v="19200"/>
    <x v="4"/>
    <n v="53760000"/>
    <x v="0"/>
    <s v="30-Feb-19"/>
    <d v="2019-04-04T00:00:00"/>
    <d v="2019-04-04T00:00:00"/>
    <s v="30/2AL"/>
    <s v="CONT 17/2019"/>
    <d v="2019-03-31T00:00:00"/>
    <m/>
    <d v="2019-04-03T00:00:00"/>
    <n v="19200"/>
    <m/>
    <m/>
    <m/>
    <m/>
    <m/>
    <m/>
    <n v="19200"/>
    <n v="0"/>
    <n v="0"/>
  </r>
  <r>
    <s v="152A/2019"/>
    <d v="2019-03-28T00:00:00"/>
    <s v="KIỀU THY"/>
    <s v="DT03"/>
    <x v="142"/>
    <x v="57"/>
    <s v="DALIAN"/>
    <m/>
    <s v="14.16"/>
    <n v="300"/>
    <s v="NL2018"/>
    <m/>
    <n v="4"/>
    <n v="1200"/>
    <x v="44"/>
    <n v="6600000"/>
    <x v="0"/>
    <d v="2019-04-17T00:00:00"/>
    <d v="2019-05-21T00:00:00"/>
    <d v="2019-05-21T00:00:00"/>
    <s v="10/4AL"/>
    <m/>
    <m/>
    <m/>
    <d v="2019-05-19T00:00:00"/>
    <n v="1200"/>
    <m/>
    <m/>
    <m/>
    <m/>
    <m/>
    <m/>
    <n v="1200"/>
    <n v="0"/>
    <n v="0"/>
  </r>
  <r>
    <s v="152A/2019"/>
    <d v="2019-05-13T00:00:00"/>
    <s v="KIỀU THY"/>
    <s v="DT03"/>
    <x v="142"/>
    <x v="4"/>
    <s v="TEBALDI"/>
    <m/>
    <s v="14.16"/>
    <n v="300"/>
    <s v="NL2018"/>
    <m/>
    <n v="10"/>
    <n v="3000"/>
    <x v="1"/>
    <n v="12600000"/>
    <x v="0"/>
    <d v="2019-04-17T00:00:00"/>
    <d v="2019-05-21T00:00:00"/>
    <d v="2019-05-21T00:00:00"/>
    <s v="10/4AL"/>
    <m/>
    <m/>
    <m/>
    <d v="2019-05-19T00:00:00"/>
    <n v="3000"/>
    <m/>
    <m/>
    <m/>
    <m/>
    <m/>
    <m/>
    <n v="3000"/>
    <n v="0"/>
    <n v="0"/>
  </r>
  <r>
    <s v="152A/2019"/>
    <d v="2019-05-13T00:00:00"/>
    <s v="KIỀU THY"/>
    <s v="DT03"/>
    <x v="142"/>
    <x v="2"/>
    <s v="NASHVILLE"/>
    <m/>
    <s v="14.16"/>
    <n v="300"/>
    <s v="NL2018"/>
    <m/>
    <n v="10"/>
    <n v="3000"/>
    <x v="56"/>
    <n v="11700000"/>
    <x v="0"/>
    <d v="2019-04-17T00:00:00"/>
    <d v="2019-05-21T00:00:00"/>
    <d v="2019-05-21T00:00:00"/>
    <s v="10/4AL"/>
    <m/>
    <m/>
    <m/>
    <d v="2019-05-19T00:00:00"/>
    <n v="3000"/>
    <m/>
    <m/>
    <m/>
    <m/>
    <m/>
    <m/>
    <n v="3000"/>
    <n v="0"/>
    <n v="0"/>
  </r>
  <r>
    <s v="183A/2019"/>
    <d v="2019-04-09T00:00:00"/>
    <s v="KIỀU THY"/>
    <s v="DT03"/>
    <x v="142"/>
    <x v="20"/>
    <s v="AMATERAS"/>
    <m/>
    <s v="12.14"/>
    <n v="400"/>
    <s v="NL2018"/>
    <m/>
    <n v="9"/>
    <n v="3600"/>
    <x v="4"/>
    <n v="10080000"/>
    <x v="0"/>
    <d v="2019-03-15T00:00:00"/>
    <d v="2019-04-19T00:00:00"/>
    <d v="2019-04-19T00:00:00"/>
    <s v="15/3AL"/>
    <m/>
    <m/>
    <m/>
    <d v="2019-04-23T00:00:00"/>
    <n v="3600"/>
    <m/>
    <m/>
    <m/>
    <m/>
    <m/>
    <m/>
    <n v="3600"/>
    <n v="0"/>
    <n v="0"/>
  </r>
  <r>
    <s v="183A/2019"/>
    <d v="2019-04-09T00:00:00"/>
    <s v="KIỀU THY"/>
    <s v="DT03"/>
    <x v="142"/>
    <x v="3"/>
    <s v="PAVIA"/>
    <m/>
    <s v="12.14"/>
    <n v="400"/>
    <s v="NL2018"/>
    <m/>
    <n v="5"/>
    <n v="2000"/>
    <x v="17"/>
    <n v="6000000"/>
    <x v="0"/>
    <d v="2019-03-15T00:00:00"/>
    <d v="2019-04-19T00:00:00"/>
    <d v="2019-04-19T00:00:00"/>
    <s v="15/3AL"/>
    <m/>
    <m/>
    <m/>
    <d v="2019-04-23T00:00:00"/>
    <n v="2000"/>
    <m/>
    <m/>
    <m/>
    <m/>
    <m/>
    <m/>
    <n v="2000"/>
    <n v="0"/>
    <n v="0"/>
  </r>
  <r>
    <s v="183A/2019"/>
    <d v="2019-05-15T00:00:00"/>
    <s v="KIỀU THY"/>
    <s v="DT03"/>
    <x v="142"/>
    <x v="12"/>
    <s v="AMATERAS"/>
    <m/>
    <s v="14.16"/>
    <n v="300"/>
    <s v="NL2018"/>
    <m/>
    <n v="23"/>
    <n v="6900"/>
    <x v="189"/>
    <n v="30912000"/>
    <x v="4"/>
    <d v="2019-05-05T00:00:00"/>
    <d v="2019-06-07T00:00:00"/>
    <d v="2019-06-07T00:00:00"/>
    <m/>
    <m/>
    <m/>
    <m/>
    <d v="2019-06-08T00:00:00"/>
    <n v="5700"/>
    <m/>
    <m/>
    <m/>
    <m/>
    <m/>
    <m/>
    <n v="5700"/>
    <n v="1200"/>
    <n v="5376000"/>
  </r>
  <r>
    <s v="183A/2019"/>
    <d v="2019-06-01T00:00:00"/>
    <s v="KIỀU THY"/>
    <s v="DT03"/>
    <x v="142"/>
    <x v="13"/>
    <s v="AMATERAS"/>
    <m/>
    <s v="14.16"/>
    <n v="275"/>
    <s v="NL2018"/>
    <m/>
    <n v="68"/>
    <n v="18700"/>
    <x v="189"/>
    <n v="83776000"/>
    <x v="3"/>
    <d v="2019-05-18T00:00:00"/>
    <d v="2019-06-20T00:00:00"/>
    <d v="2019-06-20T00:00:00"/>
    <m/>
    <m/>
    <m/>
    <m/>
    <m/>
    <m/>
    <m/>
    <m/>
    <m/>
    <m/>
    <m/>
    <m/>
    <n v="0"/>
    <n v="18700"/>
    <n v="83776000"/>
  </r>
  <r>
    <s v="183A/2019"/>
    <d v="2019-05-15T00:00:00"/>
    <s v="KIỀU THY"/>
    <s v="DT03"/>
    <x v="142"/>
    <x v="12"/>
    <s v="AMATERAS"/>
    <m/>
    <s v="14.16"/>
    <n v="300"/>
    <s v="NL2018"/>
    <m/>
    <n v="51"/>
    <n v="15300"/>
    <x v="190"/>
    <n v="69462000"/>
    <x v="3"/>
    <d v="2019-06-15T00:00:00"/>
    <d v="2019-07-17T00:00:00"/>
    <d v="2019-07-17T00:00:00"/>
    <m/>
    <m/>
    <m/>
    <m/>
    <m/>
    <m/>
    <m/>
    <m/>
    <m/>
    <m/>
    <m/>
    <m/>
    <n v="0"/>
    <n v="15300"/>
    <n v="69462000"/>
  </r>
  <r>
    <s v="03A/2019"/>
    <d v="2019-03-19T00:00:00"/>
    <s v="KIỀU THY"/>
    <s v="TH13"/>
    <x v="143"/>
    <x v="3"/>
    <s v="PAVIA"/>
    <m/>
    <s v="12.14"/>
    <s v="400"/>
    <s v="NL2018"/>
    <m/>
    <n v="24"/>
    <n v="9600"/>
    <x v="4"/>
    <n v="26880000"/>
    <x v="0"/>
    <d v="2019-03-15T00:00:00"/>
    <d v="2019-04-19T00:00:00"/>
    <d v="2019-04-19T00:00:00"/>
    <s v="15/3AL"/>
    <s v="CONT 20/2019"/>
    <d v="2019-04-19T00:00:00"/>
    <m/>
    <d v="2019-04-23T00:00:00"/>
    <n v="9600"/>
    <m/>
    <m/>
    <m/>
    <m/>
    <m/>
    <m/>
    <n v="9600"/>
    <n v="0"/>
    <n v="0"/>
  </r>
  <r>
    <s v="03A/2019"/>
    <d v="2019-03-19T00:00:00"/>
    <s v="KIỀU THY"/>
    <s v="TH13"/>
    <x v="143"/>
    <x v="3"/>
    <s v="PAVIA"/>
    <m/>
    <s v="12.14"/>
    <s v="400"/>
    <s v="NL2018"/>
    <m/>
    <n v="0"/>
    <n v="0"/>
    <x v="4"/>
    <n v="0"/>
    <x v="1"/>
    <d v="2019-04-17T00:00:00"/>
    <d v="2019-05-21T00:00:00"/>
    <d v="2019-05-21T00:00:00"/>
    <s v="30/3AL"/>
    <m/>
    <m/>
    <m/>
    <m/>
    <m/>
    <m/>
    <m/>
    <m/>
    <m/>
    <m/>
    <m/>
    <n v="0"/>
    <n v="0"/>
    <n v="0"/>
  </r>
  <r>
    <s v="164A/2019"/>
    <d v="2019-03-19T00:00:00"/>
    <s v="KIỀU THY"/>
    <s v="TH13"/>
    <x v="143"/>
    <x v="27"/>
    <s v="MANISSA"/>
    <m/>
    <s v="24+"/>
    <s v="75"/>
    <s v="NL2018"/>
    <m/>
    <n v="68"/>
    <n v="5100"/>
    <x v="30"/>
    <n v="81600000"/>
    <x v="2"/>
    <d v="2019-09-01T00:00:00"/>
    <d v="2019-09-29T00:00:00"/>
    <d v="2019-09-29T00:00:00"/>
    <s v="TẾT"/>
    <m/>
    <m/>
    <m/>
    <m/>
    <m/>
    <m/>
    <m/>
    <m/>
    <m/>
    <m/>
    <m/>
    <n v="0"/>
    <n v="5100"/>
    <n v="81600000"/>
  </r>
  <r>
    <s v="164A/2019"/>
    <d v="2019-03-19T00:00:00"/>
    <s v="KIỀU THY"/>
    <s v="TH13"/>
    <x v="143"/>
    <x v="143"/>
    <s v="NELLO "/>
    <m/>
    <s v="18.20"/>
    <s v="150"/>
    <s v="NL2018"/>
    <m/>
    <n v="20"/>
    <n v="3000"/>
    <x v="35"/>
    <n v="21600000"/>
    <x v="2"/>
    <d v="2019-09-01T00:00:00"/>
    <d v="2019-09-29T00:00:00"/>
    <d v="2019-09-29T00:00:00"/>
    <s v="TẾT"/>
    <m/>
    <m/>
    <m/>
    <m/>
    <m/>
    <m/>
    <m/>
    <m/>
    <m/>
    <m/>
    <m/>
    <n v="0"/>
    <n v="3000"/>
    <n v="21600000"/>
  </r>
  <r>
    <s v="164A/2019"/>
    <d v="2019-03-19T00:00:00"/>
    <s v="KIỀU THY"/>
    <s v="TH13"/>
    <x v="143"/>
    <x v="42"/>
    <s v="PAVIA"/>
    <m/>
    <s v="16.18"/>
    <s v="200"/>
    <s v="NL2018"/>
    <m/>
    <n v="35"/>
    <n v="7000"/>
    <x v="20"/>
    <n v="42700000"/>
    <x v="2"/>
    <d v="2019-09-01T00:00:00"/>
    <d v="2019-09-29T00:00:00"/>
    <d v="2019-09-29T00:00:00"/>
    <s v="TẾT"/>
    <m/>
    <m/>
    <m/>
    <m/>
    <m/>
    <m/>
    <m/>
    <m/>
    <m/>
    <m/>
    <m/>
    <n v="0"/>
    <n v="7000"/>
    <n v="42700000"/>
  </r>
  <r>
    <s v="164A/2019"/>
    <d v="2019-03-19T00:00:00"/>
    <s v="KIỀU THY"/>
    <s v="TH13"/>
    <x v="143"/>
    <x v="16"/>
    <s v="ROBINA"/>
    <m/>
    <s v="20.22"/>
    <s v="125"/>
    <s v="NL2018"/>
    <m/>
    <n v="40"/>
    <n v="5000"/>
    <x v="59"/>
    <n v="52500000"/>
    <x v="2"/>
    <d v="2019-09-01T00:00:00"/>
    <d v="2019-09-29T00:00:00"/>
    <d v="2019-09-29T00:00:00"/>
    <s v="TẾT"/>
    <m/>
    <m/>
    <m/>
    <m/>
    <m/>
    <m/>
    <m/>
    <m/>
    <m/>
    <m/>
    <m/>
    <n v="0"/>
    <n v="5000"/>
    <n v="52500000"/>
  </r>
  <r>
    <s v="164A/2019"/>
    <d v="2019-03-19T00:00:00"/>
    <s v="KIỀU THY"/>
    <s v="TH13"/>
    <x v="143"/>
    <x v="26"/>
    <s v="ROBINA"/>
    <m/>
    <s v="22.24"/>
    <s v="100"/>
    <s v="NL2018"/>
    <m/>
    <n v="0"/>
    <n v="0"/>
    <x v="29"/>
    <n v="0"/>
    <x v="1"/>
    <d v="2019-09-01T00:00:00"/>
    <d v="2019-09-29T00:00:00"/>
    <d v="2019-09-29T00:00:00"/>
    <s v="TẾT"/>
    <m/>
    <m/>
    <m/>
    <m/>
    <m/>
    <m/>
    <m/>
    <m/>
    <m/>
    <m/>
    <m/>
    <n v="0"/>
    <n v="0"/>
    <n v="0"/>
  </r>
  <r>
    <s v="173A/2019"/>
    <d v="2019-04-04T00:00:00"/>
    <s v="KIỀU THY"/>
    <s v="TH13"/>
    <x v="143"/>
    <x v="3"/>
    <s v="PAVIA"/>
    <m/>
    <s v="12.14"/>
    <s v="400"/>
    <s v="NL2018"/>
    <m/>
    <n v="22"/>
    <n v="8800"/>
    <x v="49"/>
    <n v="27280000"/>
    <x v="0"/>
    <d v="2019-05-05T00:00:00"/>
    <d v="2019-06-07T00:00:00"/>
    <d v="2019-06-07T00:00:00"/>
    <s v="05/05AL"/>
    <m/>
    <m/>
    <m/>
    <d v="2019-06-08T00:00:00"/>
    <n v="8400"/>
    <d v="2019-06-10T00:00:00"/>
    <s v="400"/>
    <m/>
    <m/>
    <m/>
    <m/>
    <n v="8800"/>
    <n v="0"/>
    <n v="0"/>
  </r>
  <r>
    <s v="173A/2019"/>
    <d v="2019-06-06T00:00:00"/>
    <s v="KIỀU THY"/>
    <s v="TH13"/>
    <x v="143"/>
    <x v="17"/>
    <s v="NELLO "/>
    <m/>
    <s v="12.14"/>
    <s v="400"/>
    <s v="NL2018"/>
    <m/>
    <n v="8"/>
    <n v="3200"/>
    <x v="28"/>
    <n v="10240000"/>
    <x v="0"/>
    <d v="2019-05-05T00:00:00"/>
    <d v="2019-06-07T00:00:00"/>
    <d v="2019-06-07T00:00:00"/>
    <m/>
    <m/>
    <m/>
    <m/>
    <d v="2019-06-08T00:00:00"/>
    <n v="3200"/>
    <m/>
    <m/>
    <m/>
    <m/>
    <m/>
    <m/>
    <n v="3200"/>
    <n v="0"/>
    <n v="0"/>
  </r>
  <r>
    <s v="173A/2019"/>
    <d v="2019-06-01T00:00:00"/>
    <s v="KIỀU THY"/>
    <s v="TH13"/>
    <x v="143"/>
    <x v="3"/>
    <s v="PAVIA"/>
    <m/>
    <s v="12.14"/>
    <s v="400"/>
    <s v="NL2018"/>
    <m/>
    <n v="25"/>
    <n v="10000"/>
    <x v="17"/>
    <n v="30000000"/>
    <x v="3"/>
    <d v="2019-06-15T00:00:00"/>
    <d v="2019-07-17T00:00:00"/>
    <d v="2019-07-17T00:00:00"/>
    <m/>
    <m/>
    <m/>
    <m/>
    <m/>
    <m/>
    <m/>
    <m/>
    <m/>
    <m/>
    <m/>
    <m/>
    <n v="0"/>
    <n v="10000"/>
    <n v="30000000"/>
  </r>
  <r>
    <s v="96B/2019"/>
    <d v="2019-03-08T00:00:00"/>
    <s v="THANH THÚY"/>
    <s v="TG01"/>
    <x v="144"/>
    <x v="46"/>
    <s v="CONCADOR"/>
    <m/>
    <s v="22.24"/>
    <n v="100"/>
    <s v="NL2018"/>
    <m/>
    <n v="150"/>
    <n v="15000"/>
    <x v="29"/>
    <n v="187500000"/>
    <x v="2"/>
    <d v="2019-09-01T00:00:00"/>
    <d v="2019-09-29T00:00:00"/>
    <d v="2019-09-29T00:00:00"/>
    <s v="TẾT"/>
    <m/>
    <m/>
    <m/>
    <m/>
    <n v="0"/>
    <m/>
    <m/>
    <m/>
    <m/>
    <m/>
    <m/>
    <n v="0"/>
    <n v="15000"/>
    <n v="187500000"/>
  </r>
  <r>
    <s v="96B/2019"/>
    <d v="2019-03-08T00:00:00"/>
    <s v="THANH THÚY"/>
    <s v="TG01"/>
    <x v="144"/>
    <x v="22"/>
    <s v="ROBINA"/>
    <m/>
    <s v="16.18"/>
    <n v="200"/>
    <s v="NL2018"/>
    <m/>
    <n v="50"/>
    <n v="10000"/>
    <x v="18"/>
    <n v="50000000"/>
    <x v="0"/>
    <d v="2019-03-15T00:00:00"/>
    <d v="2019-04-19T00:00:00"/>
    <d v="2019-04-19T00:00:00"/>
    <s v="15/3AL"/>
    <s v="CONT 25/2019"/>
    <m/>
    <m/>
    <d v="2019-04-23T00:00:00"/>
    <n v="10000"/>
    <m/>
    <m/>
    <m/>
    <m/>
    <m/>
    <m/>
    <n v="10000"/>
    <n v="0"/>
    <n v="0"/>
  </r>
  <r>
    <s v="96B/2019"/>
    <d v="2019-03-08T00:00:00"/>
    <s v="THANH THÚY"/>
    <s v="TG01"/>
    <x v="144"/>
    <x v="22"/>
    <s v="ROBINA"/>
    <m/>
    <s v="16.18"/>
    <n v="200"/>
    <s v="NL2018"/>
    <m/>
    <n v="0"/>
    <n v="0"/>
    <x v="11"/>
    <n v="0"/>
    <x v="1"/>
    <d v="2019-05-02T00:00:00"/>
    <d v="2019-06-04T00:00:00"/>
    <d v="2019-06-04T00:00:00"/>
    <s v="02/5AL"/>
    <m/>
    <m/>
    <m/>
    <m/>
    <n v="0"/>
    <m/>
    <m/>
    <m/>
    <m/>
    <m/>
    <m/>
    <n v="0"/>
    <n v="0"/>
    <n v="0"/>
  </r>
  <r>
    <s v="96B/2019"/>
    <d v="2019-06-10T00:00:00"/>
    <s v="THANH THÚY"/>
    <s v="TG01"/>
    <x v="144"/>
    <x v="11"/>
    <s v="YELLOWEEN"/>
    <m/>
    <s v="12.14"/>
    <n v="400"/>
    <s v="NL2018"/>
    <m/>
    <n v="13"/>
    <n v="5200"/>
    <x v="4"/>
    <n v="14560000"/>
    <x v="0"/>
    <d v="2019-05-05T00:00:00"/>
    <d v="2019-06-07T00:00:00"/>
    <d v="2019-06-07T00:00:00"/>
    <m/>
    <m/>
    <m/>
    <m/>
    <d v="2019-06-18T00:00:00"/>
    <n v="5200"/>
    <m/>
    <m/>
    <m/>
    <m/>
    <m/>
    <m/>
    <n v="5200"/>
    <n v="0"/>
    <n v="0"/>
  </r>
  <r>
    <s v="96B/2019"/>
    <d v="2019-03-08T00:00:00"/>
    <s v="THANH THÚY"/>
    <s v="TG01"/>
    <x v="144"/>
    <x v="26"/>
    <s v="ROBINA"/>
    <m/>
    <s v="22.24"/>
    <n v="100"/>
    <s v="NL2018"/>
    <m/>
    <n v="100"/>
    <n v="10000"/>
    <x v="29"/>
    <n v="125000000"/>
    <x v="2"/>
    <d v="2019-09-01T00:00:00"/>
    <d v="2019-09-29T00:00:00"/>
    <d v="2019-09-29T00:00:00"/>
    <s v="TẾT"/>
    <m/>
    <m/>
    <m/>
    <m/>
    <n v="0"/>
    <m/>
    <m/>
    <m/>
    <m/>
    <m/>
    <m/>
    <n v="0"/>
    <n v="10000"/>
    <n v="125000000"/>
  </r>
  <r>
    <s v="96B/2019"/>
    <d v="2019-03-08T00:00:00"/>
    <s v="THANH THÚY"/>
    <s v="TG01"/>
    <x v="144"/>
    <x v="109"/>
    <s v="ROBINA"/>
    <m/>
    <s v="22.24"/>
    <n v="100"/>
    <s v="NZ2019"/>
    <m/>
    <n v="50"/>
    <n v="5000"/>
    <x v="40"/>
    <n v="65000000"/>
    <x v="2"/>
    <d v="2019-09-01T00:00:00"/>
    <d v="2019-09-29T00:00:00"/>
    <d v="2019-09-29T00:00:00"/>
    <s v="TẾT"/>
    <m/>
    <m/>
    <m/>
    <m/>
    <n v="0"/>
    <m/>
    <m/>
    <m/>
    <m/>
    <m/>
    <m/>
    <n v="0"/>
    <n v="5000"/>
    <n v="65000000"/>
  </r>
  <r>
    <s v="96B/2019"/>
    <d v="2019-03-08T00:00:00"/>
    <s v="THANH THÚY"/>
    <s v="TG01"/>
    <x v="144"/>
    <x v="38"/>
    <s v="YELLOWEEN"/>
    <m/>
    <s v="16.18"/>
    <n v="200"/>
    <s v="NL2018"/>
    <m/>
    <n v="25"/>
    <n v="5000"/>
    <x v="48"/>
    <n v="28000000"/>
    <x v="2"/>
    <d v="2019-09-01T00:00:00"/>
    <d v="2019-09-29T00:00:00"/>
    <d v="2019-09-29T00:00:00"/>
    <s v="TẾT"/>
    <m/>
    <m/>
    <m/>
    <m/>
    <n v="0"/>
    <m/>
    <m/>
    <m/>
    <m/>
    <m/>
    <m/>
    <n v="0"/>
    <n v="5000"/>
    <n v="28000000"/>
  </r>
  <r>
    <s v="162B/2019"/>
    <d v="2019-04-08T00:00:00"/>
    <s v="THANH THÚY"/>
    <s v="TG01"/>
    <x v="144"/>
    <x v="25"/>
    <s v="CONCADOR"/>
    <m/>
    <s v="18.20"/>
    <n v="150"/>
    <s v="NL2018"/>
    <m/>
    <n v="34"/>
    <n v="5100"/>
    <x v="27"/>
    <n v="40800000"/>
    <x v="2"/>
    <d v="2019-09-01T00:00:00"/>
    <d v="2019-09-29T00:00:00"/>
    <d v="2019-09-29T00:00:00"/>
    <s v="TẾT"/>
    <m/>
    <m/>
    <m/>
    <m/>
    <m/>
    <m/>
    <m/>
    <m/>
    <m/>
    <m/>
    <m/>
    <n v="0"/>
    <n v="5100"/>
    <n v="40800000"/>
  </r>
  <r>
    <s v="162B/2019"/>
    <d v="2019-04-08T00:00:00"/>
    <s v="THANH THÚY"/>
    <s v="TG01"/>
    <x v="144"/>
    <x v="6"/>
    <s v="CONCADOR"/>
    <m/>
    <s v="20.22"/>
    <n v="125"/>
    <s v="NL2018"/>
    <m/>
    <n v="40"/>
    <n v="5000"/>
    <x v="7"/>
    <n v="53000000"/>
    <x v="2"/>
    <d v="2019-09-01T00:00:00"/>
    <d v="2019-09-29T00:00:00"/>
    <d v="2019-09-29T00:00:00"/>
    <s v="TẾT"/>
    <m/>
    <m/>
    <m/>
    <m/>
    <m/>
    <m/>
    <m/>
    <m/>
    <m/>
    <m/>
    <m/>
    <n v="0"/>
    <n v="5000"/>
    <n v="53000000"/>
  </r>
  <r>
    <s v="224A/2019"/>
    <d v="2019-05-27T00:00:00"/>
    <s v="KIỀU THY"/>
    <s v="MP05"/>
    <x v="145"/>
    <x v="11"/>
    <s v="YELLOWEEN"/>
    <m/>
    <s v="12.14"/>
    <s v="400"/>
    <s v="NL2018"/>
    <m/>
    <n v="9"/>
    <n v="3600"/>
    <x v="4"/>
    <n v="10080000"/>
    <x v="0"/>
    <d v="2019-03-15T00:00:00"/>
    <d v="2019-04-19T00:00:00"/>
    <d v="2019-04-19T00:00:00"/>
    <m/>
    <m/>
    <m/>
    <m/>
    <d v="2019-05-27T00:00:00"/>
    <n v="3600"/>
    <m/>
    <m/>
    <m/>
    <m/>
    <m/>
    <m/>
    <n v="3600"/>
    <n v="0"/>
    <n v="0"/>
  </r>
  <r>
    <s v="16B/2019"/>
    <d v="2019-01-06T00:00:00"/>
    <s v="THANH THÚY"/>
    <s v="VK02"/>
    <x v="145"/>
    <x v="34"/>
    <s v="TARRANGO"/>
    <m/>
    <s v="16.18"/>
    <n v="200"/>
    <s v="NL2018"/>
    <m/>
    <n v="30"/>
    <n v="6000"/>
    <x v="44"/>
    <n v="33000000"/>
    <x v="0"/>
    <d v="2019-01-15T00:00:00"/>
    <d v="2019-02-19T00:00:00"/>
    <d v="2019-02-19T00:00:00"/>
    <s v="15/1AL"/>
    <m/>
    <m/>
    <m/>
    <d v="2019-02-19T00:00:00"/>
    <n v="6000"/>
    <m/>
    <m/>
    <m/>
    <m/>
    <m/>
    <m/>
    <n v="6000"/>
    <n v="0"/>
    <n v="0"/>
  </r>
  <r>
    <s v="16B/2019"/>
    <d v="2019-01-06T00:00:00"/>
    <s v="THANH THÚY"/>
    <s v="VK02"/>
    <x v="145"/>
    <x v="68"/>
    <s v="TEBALDI"/>
    <m/>
    <s v="12.14"/>
    <n v="400"/>
    <s v="NL2018"/>
    <m/>
    <n v="150"/>
    <n v="60000"/>
    <x v="4"/>
    <n v="168000000"/>
    <x v="0"/>
    <d v="2019-01-23T00:00:00"/>
    <d v="2019-02-27T00:00:00"/>
    <d v="2019-02-27T00:00:00"/>
    <s v="23/1AL"/>
    <m/>
    <m/>
    <m/>
    <d v="2019-02-27T00:00:00"/>
    <n v="30000"/>
    <d v="2019-03-05T00:00:00"/>
    <n v="30000"/>
    <m/>
    <m/>
    <m/>
    <m/>
    <n v="60000"/>
    <n v="0"/>
    <n v="0"/>
  </r>
  <r>
    <s v="16B/2019"/>
    <d v="2019-01-06T00:00:00"/>
    <s v="THANH THÚY"/>
    <s v="VK02"/>
    <x v="145"/>
    <x v="66"/>
    <s v="ALUSTA"/>
    <m/>
    <s v="14.16"/>
    <n v="300"/>
    <s v="NL2018"/>
    <m/>
    <n v="50"/>
    <n v="15000"/>
    <x v="57"/>
    <n v="60000000"/>
    <x v="0"/>
    <d v="2019-01-23T00:00:00"/>
    <d v="2019-02-27T00:00:00"/>
    <d v="2019-02-27T00:00:00"/>
    <s v="23/1AL"/>
    <m/>
    <m/>
    <m/>
    <d v="2019-02-27T00:00:00"/>
    <n v="15000"/>
    <m/>
    <m/>
    <m/>
    <m/>
    <m/>
    <m/>
    <n v="15000"/>
    <n v="0"/>
    <n v="0"/>
  </r>
  <r>
    <s v="16B/2019"/>
    <d v="2019-01-06T00:00:00"/>
    <s v="THANH THÚY"/>
    <s v="VK02"/>
    <x v="145"/>
    <x v="182"/>
    <s v="FELINO"/>
    <m/>
    <s v="15.16"/>
    <n v="300"/>
    <s v="NL2018"/>
    <m/>
    <n v="32.166666666666664"/>
    <n v="9650"/>
    <x v="191"/>
    <n v="51868750"/>
    <x v="0"/>
    <d v="2019-01-23T00:00:00"/>
    <d v="2019-02-27T00:00:00"/>
    <d v="2019-02-27T00:00:00"/>
    <s v="23/1AL"/>
    <m/>
    <m/>
    <m/>
    <d v="2019-02-27T00:00:00"/>
    <n v="9650"/>
    <m/>
    <m/>
    <m/>
    <m/>
    <m/>
    <m/>
    <n v="9650"/>
    <n v="0"/>
    <n v="0"/>
  </r>
  <r>
    <s v="16B/2019"/>
    <d v="2019-01-06T00:00:00"/>
    <s v="THANH THÚY"/>
    <s v="VK02"/>
    <x v="145"/>
    <x v="49"/>
    <s v="MARENGO"/>
    <m/>
    <s v="16.18"/>
    <n v="200"/>
    <s v="NL2018"/>
    <m/>
    <n v="45"/>
    <n v="9000"/>
    <x v="46"/>
    <n v="54000000"/>
    <x v="0"/>
    <d v="2019-01-23T00:00:00"/>
    <d v="2019-02-27T00:00:00"/>
    <d v="2019-02-27T00:00:00"/>
    <s v="23/1AL"/>
    <m/>
    <m/>
    <m/>
    <d v="2019-03-02T00:00:00"/>
    <n v="9000"/>
    <m/>
    <m/>
    <m/>
    <m/>
    <m/>
    <m/>
    <n v="9000"/>
    <n v="0"/>
    <n v="0"/>
  </r>
  <r>
    <s v="16B/2019"/>
    <d v="2019-01-06T00:00:00"/>
    <s v="THANH THÚY"/>
    <s v="VK02"/>
    <x v="145"/>
    <x v="53"/>
    <s v="SENSI"/>
    <m/>
    <s v="16.18"/>
    <n v="200"/>
    <s v="NL2018"/>
    <m/>
    <n v="50"/>
    <n v="10000"/>
    <x v="44"/>
    <n v="55000000"/>
    <x v="0"/>
    <d v="2019-01-23T00:00:00"/>
    <d v="2019-02-27T00:00:00"/>
    <d v="2019-02-27T00:00:00"/>
    <s v="23/1AL"/>
    <m/>
    <m/>
    <m/>
    <d v="2019-02-27T00:00:00"/>
    <n v="10000"/>
    <m/>
    <m/>
    <m/>
    <m/>
    <m/>
    <m/>
    <n v="10000"/>
    <n v="0"/>
    <n v="0"/>
  </r>
  <r>
    <s v="16B/2019"/>
    <d v="2019-01-06T00:00:00"/>
    <s v="THANH THÚY"/>
    <s v="VK02"/>
    <x v="145"/>
    <x v="168"/>
    <s v="HONESTY"/>
    <m/>
    <s v="16.18"/>
    <n v="200"/>
    <s v="NL2017"/>
    <m/>
    <n v="46"/>
    <n v="9200"/>
    <x v="17"/>
    <n v="27600000"/>
    <x v="0"/>
    <d v="2019-02-07T00:00:00"/>
    <d v="2019-03-12T00:00:00"/>
    <d v="2019-03-12T00:00:00"/>
    <s v="07/2AL"/>
    <m/>
    <m/>
    <m/>
    <d v="2019-03-19T00:00:00"/>
    <n v="9200"/>
    <m/>
    <m/>
    <m/>
    <m/>
    <m/>
    <m/>
    <n v="9200"/>
    <n v="0"/>
    <n v="0"/>
  </r>
  <r>
    <s v="16B/2019"/>
    <d v="2019-01-06T00:00:00"/>
    <s v="THANH THÚY"/>
    <s v="VK02"/>
    <x v="145"/>
    <x v="20"/>
    <s v="AMATERAS"/>
    <m/>
    <s v="12.14"/>
    <n v="400"/>
    <s v="NL2018"/>
    <m/>
    <n v="120"/>
    <n v="48000"/>
    <x v="4"/>
    <n v="134400000"/>
    <x v="0"/>
    <d v="2019-02-15T00:00:00"/>
    <d v="2019-03-20T00:00:00"/>
    <d v="2019-03-20T00:00:00"/>
    <s v="15/2AL"/>
    <s v="CONT 9/2019"/>
    <m/>
    <m/>
    <d v="2019-03-20T00:00:00"/>
    <n v="48000"/>
    <m/>
    <m/>
    <m/>
    <m/>
    <m/>
    <m/>
    <n v="48000"/>
    <n v="0"/>
    <n v="0"/>
  </r>
  <r>
    <s v="16B/2019"/>
    <d v="2019-01-06T00:00:00"/>
    <s v="THANH THÚY"/>
    <s v="VK02"/>
    <x v="145"/>
    <x v="12"/>
    <s v="AMATERAS"/>
    <m/>
    <s v="14.16"/>
    <n v="300"/>
    <s v="NL2018"/>
    <m/>
    <n v="149"/>
    <n v="44700"/>
    <x v="1"/>
    <n v="187740000"/>
    <x v="0"/>
    <d v="2019-02-15T00:00:00"/>
    <d v="2019-03-20T00:00:00"/>
    <d v="2019-03-20T00:00:00"/>
    <s v="15/2AL"/>
    <s v="CONT 9/2019"/>
    <m/>
    <m/>
    <d v="2019-03-20T00:00:00"/>
    <n v="44700"/>
    <m/>
    <m/>
    <m/>
    <m/>
    <m/>
    <m/>
    <n v="44700"/>
    <n v="0"/>
    <n v="0"/>
  </r>
  <r>
    <s v="16B/2019"/>
    <d v="2019-01-06T00:00:00"/>
    <s v="THANH THÚY"/>
    <s v="VK02"/>
    <x v="145"/>
    <x v="102"/>
    <s v="COMPETITION"/>
    <m/>
    <s v="16.18"/>
    <n v="200"/>
    <s v="NL2018"/>
    <m/>
    <n v="3"/>
    <n v="600"/>
    <x v="45"/>
    <n v="4020000"/>
    <x v="0"/>
    <d v="2019-02-15T00:00:00"/>
    <d v="2019-03-20T00:00:00"/>
    <d v="2019-03-20T00:00:00"/>
    <s v="15/2AL"/>
    <s v="CONT 9/2019"/>
    <m/>
    <m/>
    <d v="2019-03-20T00:00:00"/>
    <n v="600"/>
    <m/>
    <m/>
    <m/>
    <m/>
    <m/>
    <m/>
    <n v="600"/>
    <n v="0"/>
    <n v="0"/>
  </r>
  <r>
    <s v="16B/2019"/>
    <d v="2019-01-06T00:00:00"/>
    <s v="THANH THÚY"/>
    <s v="VK02"/>
    <x v="145"/>
    <x v="19"/>
    <s v="PAVIA"/>
    <m/>
    <s v="12.14"/>
    <n v="400"/>
    <s v="NL2017"/>
    <m/>
    <n v="115"/>
    <n v="46000"/>
    <x v="19"/>
    <n v="92000000"/>
    <x v="0"/>
    <d v="2019-02-15T00:00:00"/>
    <d v="2019-03-20T00:00:00"/>
    <d v="2019-03-20T00:00:00"/>
    <s v="15/2AL"/>
    <s v="CONT 9/2019"/>
    <m/>
    <m/>
    <d v="2019-03-20T00:00:00"/>
    <n v="26000"/>
    <d v="2019-03-22T00:00:00"/>
    <n v="20000"/>
    <m/>
    <m/>
    <m/>
    <m/>
    <n v="46000"/>
    <n v="0"/>
    <n v="0"/>
  </r>
  <r>
    <s v="16B/2019"/>
    <d v="2019-01-06T00:00:00"/>
    <s v="THANH THÚY"/>
    <s v="VK02"/>
    <x v="145"/>
    <x v="3"/>
    <s v="PAVIA"/>
    <m/>
    <s v="12.14"/>
    <n v="400"/>
    <s v="NL2018"/>
    <m/>
    <n v="28"/>
    <n v="11200"/>
    <x v="4"/>
    <n v="31360000"/>
    <x v="0"/>
    <d v="2019-02-15T00:00:00"/>
    <d v="2019-03-20T00:00:00"/>
    <d v="2019-03-20T00:00:00"/>
    <s v="15/2AL"/>
    <s v="CONT 9/2019"/>
    <m/>
    <m/>
    <m/>
    <n v="11200"/>
    <m/>
    <m/>
    <m/>
    <m/>
    <m/>
    <m/>
    <n v="11200"/>
    <n v="0"/>
    <n v="0"/>
  </r>
  <r>
    <s v="16B/2019"/>
    <d v="2019-01-06T00:00:00"/>
    <s v="THANH THÚY"/>
    <s v="VK02"/>
    <x v="145"/>
    <x v="183"/>
    <s v="SHADAI"/>
    <m/>
    <s v="14.16"/>
    <n v="300"/>
    <s v="NL2018"/>
    <m/>
    <n v="5"/>
    <n v="1500"/>
    <x v="57"/>
    <n v="6000000"/>
    <x v="0"/>
    <d v="2019-02-15T00:00:00"/>
    <d v="2019-03-20T00:00:00"/>
    <d v="2019-03-20T00:00:00"/>
    <s v="15/2AL"/>
    <s v="CONT 9/2019"/>
    <m/>
    <m/>
    <d v="2019-03-20T00:00:00"/>
    <n v="1500"/>
    <m/>
    <m/>
    <m/>
    <m/>
    <m/>
    <m/>
    <n v="1500"/>
    <n v="0"/>
    <n v="0"/>
  </r>
  <r>
    <s v="16B/2019"/>
    <d v="2019-01-06T00:00:00"/>
    <s v="THANH THÚY"/>
    <s v="VK02"/>
    <x v="145"/>
    <x v="184"/>
    <s v="SUNDERLAND"/>
    <m/>
    <s v="12.14"/>
    <n v="400"/>
    <s v="NL2018"/>
    <m/>
    <n v="2"/>
    <n v="800"/>
    <x v="4"/>
    <n v="2240000"/>
    <x v="0"/>
    <d v="2019-03-10T00:00:00"/>
    <d v="2019-04-14T00:00:00"/>
    <d v="2019-04-14T00:00:00"/>
    <s v="15/3AL"/>
    <s v="CONT 20/2019"/>
    <m/>
    <m/>
    <m/>
    <n v="800"/>
    <m/>
    <m/>
    <m/>
    <m/>
    <m/>
    <m/>
    <n v="800"/>
    <n v="0"/>
    <n v="0"/>
  </r>
  <r>
    <s v="16B/2019"/>
    <d v="2019-01-06T00:00:00"/>
    <s v="THANH THÚY"/>
    <s v="VK02"/>
    <x v="145"/>
    <x v="31"/>
    <s v="TARRANGO"/>
    <m/>
    <s v="14.16"/>
    <n v="300"/>
    <s v="NL2018"/>
    <m/>
    <n v="34"/>
    <n v="10200"/>
    <x v="21"/>
    <n v="46920000"/>
    <x v="0"/>
    <d v="2019-03-15T00:00:00"/>
    <d v="2019-04-19T00:00:00"/>
    <d v="2019-04-19T00:00:00"/>
    <s v="15/3AL"/>
    <s v="CONT 24/2019"/>
    <m/>
    <m/>
    <d v="2019-04-20T00:00:00"/>
    <n v="5100"/>
    <d v="2019-05-04T00:00:00"/>
    <n v="5100"/>
    <m/>
    <m/>
    <m/>
    <m/>
    <n v="10200"/>
    <n v="0"/>
    <n v="0"/>
  </r>
  <r>
    <s v="16B/2019"/>
    <d v="2019-01-06T00:00:00"/>
    <s v="THANH THÚY"/>
    <s v="VK02"/>
    <x v="145"/>
    <x v="68"/>
    <s v="TEBALDI"/>
    <m/>
    <s v="12.14"/>
    <n v="400"/>
    <s v="NL2018"/>
    <m/>
    <n v="175"/>
    <n v="70000"/>
    <x v="4"/>
    <n v="196000000"/>
    <x v="0"/>
    <d v="2019-03-15T00:00:00"/>
    <d v="2019-04-19T00:00:00"/>
    <d v="2019-04-19T00:00:00"/>
    <s v="15/3AL"/>
    <s v="CONT 24/2019"/>
    <m/>
    <m/>
    <d v="2019-04-20T00:00:00"/>
    <n v="4800"/>
    <d v="2019-04-22T00:00:00"/>
    <n v="65200"/>
    <m/>
    <m/>
    <m/>
    <m/>
    <n v="70000"/>
    <n v="0"/>
    <n v="0"/>
  </r>
  <r>
    <s v="16B/2019"/>
    <d v="2019-01-06T00:00:00"/>
    <s v="THANH THÚY"/>
    <s v="VK02"/>
    <x v="145"/>
    <x v="4"/>
    <s v="TEBALDI"/>
    <m/>
    <s v="14.16"/>
    <n v="300"/>
    <s v="NL2018"/>
    <m/>
    <n v="167"/>
    <n v="50100"/>
    <x v="3"/>
    <n v="205410000"/>
    <x v="0"/>
    <d v="2019-03-15T00:00:00"/>
    <d v="2019-04-19T00:00:00"/>
    <d v="2019-04-19T00:00:00"/>
    <s v="15/3AL"/>
    <s v="CONT 23/2019"/>
    <m/>
    <m/>
    <d v="2019-04-20T00:00:00"/>
    <n v="37200"/>
    <d v="2019-04-22T00:00:00"/>
    <n v="12900"/>
    <m/>
    <m/>
    <m/>
    <m/>
    <n v="50100"/>
    <n v="0"/>
    <n v="0"/>
  </r>
  <r>
    <s v="16B/2019"/>
    <d v="2019-03-20T00:00:00"/>
    <s v="THANH THÚY"/>
    <s v="VK02"/>
    <x v="145"/>
    <x v="30"/>
    <s v="MALDANO"/>
    <m/>
    <s v="16.18"/>
    <n v="200"/>
    <s v="NL2018"/>
    <m/>
    <n v="0"/>
    <n v="0"/>
    <x v="18"/>
    <n v="0"/>
    <x v="1"/>
    <d v="2019-03-15T00:00:00"/>
    <d v="2019-04-19T00:00:00"/>
    <d v="2019-04-19T00:00:00"/>
    <s v="15/3AL"/>
    <s v="CONT 23/2019"/>
    <m/>
    <m/>
    <m/>
    <n v="0"/>
    <m/>
    <m/>
    <m/>
    <m/>
    <m/>
    <m/>
    <n v="0"/>
    <n v="0"/>
    <n v="0"/>
  </r>
  <r>
    <s v="16B/2019"/>
    <d v="2019-03-20T00:00:00"/>
    <s v="THANH THÚY"/>
    <s v="VK02"/>
    <x v="145"/>
    <x v="80"/>
    <s v="PROFUNDO"/>
    <m/>
    <s v="14.16"/>
    <n v="300"/>
    <s v="NL2018"/>
    <m/>
    <n v="0"/>
    <n v="0"/>
    <x v="18"/>
    <n v="0"/>
    <x v="1"/>
    <d v="2019-03-15T00:00:00"/>
    <d v="2019-04-19T00:00:00"/>
    <d v="2019-04-19T00:00:00"/>
    <s v="15/3AL"/>
    <s v="CONT 23/2019"/>
    <m/>
    <m/>
    <m/>
    <m/>
    <m/>
    <m/>
    <m/>
    <m/>
    <m/>
    <m/>
    <n v="0"/>
    <n v="0"/>
    <n v="0"/>
  </r>
  <r>
    <s v="16B/2019"/>
    <d v="2019-03-20T00:00:00"/>
    <s v="THANH THÚY"/>
    <s v="VK02"/>
    <x v="145"/>
    <x v="5"/>
    <s v="PROFUNDO"/>
    <m/>
    <s v="16.18"/>
    <n v="200"/>
    <s v="NL2018"/>
    <m/>
    <n v="0"/>
    <n v="0"/>
    <x v="45"/>
    <n v="0"/>
    <x v="1"/>
    <d v="2019-03-15T00:00:00"/>
    <d v="2019-04-19T00:00:00"/>
    <d v="2019-04-19T00:00:00"/>
    <s v="15/3AL"/>
    <s v="CONT 23/2019"/>
    <m/>
    <m/>
    <m/>
    <m/>
    <m/>
    <m/>
    <m/>
    <m/>
    <m/>
    <m/>
    <n v="0"/>
    <n v="0"/>
    <n v="0"/>
  </r>
  <r>
    <s v="16B/2019"/>
    <d v="2019-03-20T00:00:00"/>
    <s v="THANH THÚY"/>
    <s v="VK02"/>
    <x v="145"/>
    <x v="13"/>
    <s v="AMATERAS"/>
    <m/>
    <s v="14.16"/>
    <n v="275"/>
    <s v="NL2018"/>
    <m/>
    <n v="18"/>
    <n v="4950"/>
    <x v="1"/>
    <n v="20790000"/>
    <x v="0"/>
    <d v="2019-03-15T00:00:00"/>
    <d v="2019-04-19T00:00:00"/>
    <d v="2019-04-19T00:00:00"/>
    <s v="15/3AL"/>
    <m/>
    <m/>
    <m/>
    <m/>
    <n v="4950"/>
    <m/>
    <m/>
    <m/>
    <m/>
    <m/>
    <m/>
    <n v="4950"/>
    <n v="0"/>
    <n v="0"/>
  </r>
  <r>
    <s v="16B/2019"/>
    <d v="2019-03-20T00:00:00"/>
    <s v="THANH THÚY"/>
    <s v="VK02"/>
    <x v="145"/>
    <x v="17"/>
    <s v="NELLO "/>
    <m/>
    <s v="12.14"/>
    <n v="400"/>
    <s v="NL2018"/>
    <m/>
    <n v="11"/>
    <n v="4400"/>
    <x v="17"/>
    <n v="13200000"/>
    <x v="0"/>
    <d v="2019-03-15T00:00:00"/>
    <d v="2019-04-19T00:00:00"/>
    <d v="2019-04-19T00:00:00"/>
    <s v="15/3AL"/>
    <m/>
    <m/>
    <m/>
    <m/>
    <n v="4400"/>
    <m/>
    <m/>
    <m/>
    <m/>
    <m/>
    <m/>
    <n v="4400"/>
    <n v="0"/>
    <n v="0"/>
  </r>
  <r>
    <s v="16B/2019"/>
    <d v="2019-03-20T00:00:00"/>
    <s v="THANH THÚY"/>
    <s v="VK02"/>
    <x v="145"/>
    <x v="30"/>
    <s v="MALDANO"/>
    <m/>
    <s v="16.18"/>
    <n v="200"/>
    <s v="NL2018"/>
    <m/>
    <n v="0"/>
    <n v="0"/>
    <x v="11"/>
    <n v="0"/>
    <x v="1"/>
    <d v="2019-04-10T00:00:00"/>
    <d v="2019-05-14T00:00:00"/>
    <d v="2019-05-14T00:00:00"/>
    <s v="10/4AL"/>
    <m/>
    <m/>
    <m/>
    <m/>
    <m/>
    <m/>
    <m/>
    <m/>
    <m/>
    <m/>
    <m/>
    <n v="0"/>
    <n v="0"/>
    <n v="0"/>
  </r>
  <r>
    <s v="16B/2019"/>
    <d v="2019-03-20T00:00:00"/>
    <s v="THANH THÚY"/>
    <s v="VK02"/>
    <x v="145"/>
    <x v="68"/>
    <s v="TEBALDI"/>
    <m/>
    <s v="12.14"/>
    <n v="400"/>
    <s v="NL2018"/>
    <m/>
    <n v="157"/>
    <n v="62800"/>
    <x v="14"/>
    <n v="182120000"/>
    <x v="4"/>
    <d v="2019-04-17T00:00:00"/>
    <d v="2019-05-21T00:00:00"/>
    <d v="2019-05-21T00:00:00"/>
    <s v="17/4AL"/>
    <m/>
    <m/>
    <m/>
    <d v="2019-05-23T00:00:00"/>
    <n v="10400"/>
    <d v="2019-05-29T00:00:00"/>
    <n v="7200"/>
    <d v="2019-06-06T00:00:00"/>
    <n v="39200"/>
    <m/>
    <m/>
    <n v="56800"/>
    <n v="6000"/>
    <n v="17400000"/>
  </r>
  <r>
    <s v="16B/2019"/>
    <d v="2019-03-20T00:00:00"/>
    <s v="THANH THÚY"/>
    <s v="VK02"/>
    <x v="145"/>
    <x v="4"/>
    <s v="TEBALDI"/>
    <m/>
    <s v="14.16"/>
    <n v="300"/>
    <s v="NL2018"/>
    <m/>
    <n v="192"/>
    <n v="57600"/>
    <x v="1"/>
    <n v="241920000"/>
    <x v="0"/>
    <d v="2019-04-17T00:00:00"/>
    <d v="2019-05-21T00:00:00"/>
    <d v="2019-05-21T00:00:00"/>
    <s v="17/4AL"/>
    <m/>
    <m/>
    <m/>
    <d v="2019-05-22T00:00:00"/>
    <n v="12900"/>
    <d v="2019-05-23T00:00:00"/>
    <n v="27000"/>
    <d v="2019-06-06T00:00:00"/>
    <n v="17700"/>
    <m/>
    <m/>
    <n v="57600"/>
    <n v="0"/>
    <n v="0"/>
  </r>
  <r>
    <s v="16B/2019"/>
    <d v="2019-03-20T00:00:00"/>
    <s v="THANH THÚY"/>
    <s v="VK02"/>
    <x v="145"/>
    <x v="31"/>
    <s v="TARRANGO"/>
    <m/>
    <s v="14.16"/>
    <n v="300"/>
    <s v="NL2018"/>
    <m/>
    <n v="50"/>
    <n v="15000"/>
    <x v="23"/>
    <n v="72000000"/>
    <x v="0"/>
    <d v="2019-04-17T00:00:00"/>
    <d v="2019-05-21T00:00:00"/>
    <d v="2019-05-21T00:00:00"/>
    <s v="17/4AL"/>
    <m/>
    <m/>
    <m/>
    <d v="2019-05-22T00:00:00"/>
    <n v="9000"/>
    <d v="2019-05-23T00:00:00"/>
    <n v="6000"/>
    <m/>
    <m/>
    <m/>
    <m/>
    <n v="15000"/>
    <n v="0"/>
    <n v="0"/>
  </r>
  <r>
    <s v="16B/2019"/>
    <d v="2019-01-06T00:00:00"/>
    <s v="THANH THÚY"/>
    <s v="VK02"/>
    <x v="145"/>
    <x v="4"/>
    <s v="TEBALDI"/>
    <m/>
    <s v="14.16"/>
    <n v="300"/>
    <s v="NL2018"/>
    <m/>
    <n v="151"/>
    <n v="45300"/>
    <x v="1"/>
    <n v="190260000"/>
    <x v="4"/>
    <d v="2019-04-29T00:00:00"/>
    <d v="2019-06-02T00:00:00"/>
    <d v="2019-06-02T00:00:00"/>
    <s v="29/4AL"/>
    <m/>
    <m/>
    <m/>
    <d v="2019-06-08T00:00:00"/>
    <n v="32100"/>
    <m/>
    <m/>
    <m/>
    <m/>
    <m/>
    <m/>
    <n v="32100"/>
    <n v="13200"/>
    <n v="55440000"/>
  </r>
  <r>
    <s v="16B/2019"/>
    <d v="2019-05-22T00:00:00"/>
    <s v="THANH THÚY"/>
    <s v="VK02"/>
    <x v="145"/>
    <x v="4"/>
    <s v="TEBALDI"/>
    <m/>
    <s v="14.16"/>
    <n v="300"/>
    <s v="NL2018"/>
    <m/>
    <n v="39"/>
    <n v="11700"/>
    <x v="99"/>
    <n v="50310000"/>
    <x v="3"/>
    <d v="2019-05-20T00:00:00"/>
    <d v="2019-06-22T00:00:00"/>
    <d v="2019-06-22T00:00:00"/>
    <s v="20/5AL"/>
    <s v="CONT 56+57/2019"/>
    <m/>
    <m/>
    <m/>
    <m/>
    <m/>
    <m/>
    <m/>
    <m/>
    <m/>
    <m/>
    <n v="0"/>
    <n v="11700"/>
    <n v="50310000"/>
  </r>
  <r>
    <s v="16B/2019"/>
    <d v="2019-06-06T00:00:00"/>
    <s v="THANH THÚY"/>
    <s v="VK02"/>
    <x v="145"/>
    <x v="1"/>
    <s v="EREMO"/>
    <m/>
    <s v="14.16"/>
    <n v="300"/>
    <s v="NL2018"/>
    <m/>
    <n v="3"/>
    <n v="900"/>
    <x v="99"/>
    <n v="3870000"/>
    <x v="3"/>
    <d v="2019-05-20T00:00:00"/>
    <d v="2019-06-22T00:00:00"/>
    <d v="2019-06-22T00:00:00"/>
    <m/>
    <m/>
    <m/>
    <m/>
    <m/>
    <m/>
    <m/>
    <m/>
    <m/>
    <m/>
    <m/>
    <m/>
    <n v="0"/>
    <n v="900"/>
    <n v="3870000"/>
  </r>
  <r>
    <s v="16B/2019"/>
    <d v="2019-06-13T00:00:00"/>
    <s v="THANH THÚY"/>
    <s v="VK02"/>
    <x v="145"/>
    <x v="12"/>
    <s v="AMATERAS"/>
    <m/>
    <s v="14.16"/>
    <n v="300"/>
    <s v="NL2018"/>
    <m/>
    <n v="267"/>
    <n v="80100"/>
    <x v="21"/>
    <n v="368460000"/>
    <x v="3"/>
    <d v="2019-06-15T00:00:00"/>
    <d v="2019-07-17T00:00:00"/>
    <d v="2019-07-17T00:00:00"/>
    <m/>
    <m/>
    <m/>
    <m/>
    <m/>
    <m/>
    <m/>
    <m/>
    <m/>
    <m/>
    <m/>
    <m/>
    <n v="0"/>
    <n v="80100"/>
    <n v="368460000"/>
  </r>
  <r>
    <s v="16B/2019"/>
    <d v="2019-06-18T00:00:00"/>
    <s v="THANH THÚY"/>
    <s v="VK02"/>
    <x v="145"/>
    <x v="69"/>
    <s v="GENERAL LEE"/>
    <m/>
    <s v="12.14"/>
    <n v="400"/>
    <s v="NL2018"/>
    <m/>
    <n v="15"/>
    <n v="6000"/>
    <x v="28"/>
    <n v="19200000"/>
    <x v="3"/>
    <d v="2019-06-15T00:00:00"/>
    <d v="2019-07-17T00:00:00"/>
    <d v="2019-07-17T00:00:00"/>
    <m/>
    <m/>
    <m/>
    <m/>
    <m/>
    <m/>
    <m/>
    <m/>
    <m/>
    <m/>
    <m/>
    <m/>
    <n v="0"/>
    <n v="6000"/>
    <n v="19200000"/>
  </r>
  <r>
    <s v="16B/2019"/>
    <d v="2019-06-18T00:00:00"/>
    <s v="THANH THÚY"/>
    <s v="VK02"/>
    <x v="145"/>
    <x v="43"/>
    <s v="GENERAL LEE"/>
    <m/>
    <s v="14.16"/>
    <n v="300"/>
    <s v="NL2018"/>
    <m/>
    <n v="48"/>
    <n v="14400"/>
    <x v="13"/>
    <n v="64800000"/>
    <x v="3"/>
    <d v="2019-06-15T00:00:00"/>
    <d v="2019-07-17T00:00:00"/>
    <d v="2019-07-17T00:00:00"/>
    <m/>
    <m/>
    <m/>
    <m/>
    <m/>
    <m/>
    <m/>
    <m/>
    <m/>
    <m/>
    <m/>
    <m/>
    <n v="0"/>
    <n v="14400"/>
    <n v="64800000"/>
  </r>
  <r>
    <s v="16B/2019"/>
    <d v="2019-06-13T00:00:00"/>
    <s v="THANH THÚY"/>
    <s v="VK02"/>
    <x v="145"/>
    <x v="31"/>
    <s v="TARRANGO"/>
    <m/>
    <s v="14.16"/>
    <n v="300"/>
    <s v="NL2018"/>
    <m/>
    <n v="22"/>
    <n v="6600"/>
    <x v="77"/>
    <n v="32340000"/>
    <x v="0"/>
    <d v="2019-05-13T00:00:00"/>
    <d v="2019-06-15T00:00:00"/>
    <d v="2019-06-15T00:00:00"/>
    <m/>
    <m/>
    <m/>
    <m/>
    <d v="2019-06-15T00:00:00"/>
    <n v="6600"/>
    <m/>
    <m/>
    <m/>
    <m/>
    <m/>
    <m/>
    <n v="6600"/>
    <n v="0"/>
    <n v="0"/>
  </r>
  <r>
    <s v="16B/2019"/>
    <d v="2019-01-06T00:00:00"/>
    <s v="THANH THÚY"/>
    <s v="VK02"/>
    <x v="145"/>
    <x v="13"/>
    <s v="AMATERAS"/>
    <m/>
    <s v="14.16"/>
    <n v="275"/>
    <s v="NL2018"/>
    <m/>
    <n v="35"/>
    <n v="9625"/>
    <x v="2"/>
    <n v="42350000"/>
    <x v="0"/>
    <d v="2019-04-29T00:00:00"/>
    <d v="2019-06-02T00:00:00"/>
    <d v="2019-06-02T00:00:00"/>
    <s v="29/4AL"/>
    <m/>
    <m/>
    <m/>
    <d v="2019-06-08T00:00:00"/>
    <n v="9625"/>
    <m/>
    <m/>
    <m/>
    <m/>
    <m/>
    <m/>
    <n v="9625"/>
    <n v="0"/>
    <n v="0"/>
  </r>
  <r>
    <s v="16B/2019"/>
    <d v="2019-01-06T00:00:00"/>
    <s v="THANH THÚY"/>
    <s v="VK02"/>
    <x v="145"/>
    <x v="12"/>
    <s v="AMATERAS"/>
    <m/>
    <s v="14.16"/>
    <n v="300"/>
    <s v="NL2018"/>
    <m/>
    <n v="88"/>
    <n v="26400"/>
    <x v="2"/>
    <n v="116160000"/>
    <x v="0"/>
    <d v="2019-04-29T00:00:00"/>
    <d v="2019-06-02T00:00:00"/>
    <d v="2019-06-02T00:00:00"/>
    <s v="29/4AL"/>
    <m/>
    <m/>
    <m/>
    <d v="2019-06-08T00:00:00"/>
    <n v="26400"/>
    <m/>
    <m/>
    <m/>
    <m/>
    <m/>
    <m/>
    <n v="26400"/>
    <n v="0"/>
    <n v="0"/>
  </r>
  <r>
    <s v="16B/2019"/>
    <d v="2019-03-20T00:00:00"/>
    <s v="THANH THÚY"/>
    <s v="VK02"/>
    <x v="145"/>
    <x v="103"/>
    <s v="LARGO"/>
    <m/>
    <s v="16.18"/>
    <n v="200"/>
    <s v="NL2018"/>
    <m/>
    <n v="2"/>
    <n v="400"/>
    <x v="26"/>
    <n v="2320000"/>
    <x v="0"/>
    <d v="2019-04-29T00:00:00"/>
    <d v="2019-06-02T00:00:00"/>
    <d v="2019-06-02T00:00:00"/>
    <s v="1/5AL"/>
    <m/>
    <m/>
    <m/>
    <d v="2019-06-08T00:00:00"/>
    <n v="400"/>
    <m/>
    <m/>
    <m/>
    <m/>
    <m/>
    <m/>
    <n v="400"/>
    <n v="0"/>
    <n v="0"/>
  </r>
  <r>
    <s v="16B/2019"/>
    <d v="2019-05-14T00:00:00"/>
    <s v="THANH THÚY"/>
    <s v="VK02"/>
    <x v="145"/>
    <x v="185"/>
    <s v="YELLOWEEN DIAMOND"/>
    <s v="DI"/>
    <s v="12.14"/>
    <n v="400"/>
    <s v="NL2018"/>
    <m/>
    <n v="11"/>
    <n v="4400"/>
    <x v="49"/>
    <n v="13640000"/>
    <x v="0"/>
    <d v="2019-04-29T00:00:00"/>
    <d v="2019-06-02T00:00:00"/>
    <d v="2019-06-02T00:00:00"/>
    <m/>
    <m/>
    <m/>
    <m/>
    <d v="2019-06-08T00:00:00"/>
    <n v="4400"/>
    <m/>
    <m/>
    <m/>
    <m/>
    <m/>
    <m/>
    <n v="4400"/>
    <n v="0"/>
    <n v="0"/>
  </r>
  <r>
    <s v="16B/2019"/>
    <d v="2019-05-14T00:00:00"/>
    <s v="THANH THÚY"/>
    <s v="VK02"/>
    <x v="145"/>
    <x v="186"/>
    <s v="TAMPA"/>
    <m/>
    <s v="12.14"/>
    <n v="400"/>
    <s v="NL2018"/>
    <m/>
    <n v="8"/>
    <n v="3200"/>
    <x v="17"/>
    <n v="9600000"/>
    <x v="0"/>
    <d v="2019-04-29T00:00:00"/>
    <d v="2019-06-02T00:00:00"/>
    <d v="2019-06-02T00:00:00"/>
    <m/>
    <m/>
    <m/>
    <m/>
    <d v="2019-06-08T00:00:00"/>
    <n v="3200"/>
    <m/>
    <m/>
    <m/>
    <m/>
    <m/>
    <m/>
    <n v="3200"/>
    <n v="0"/>
    <n v="0"/>
  </r>
  <r>
    <s v="16B/2019"/>
    <d v="2019-06-01T00:00:00"/>
    <s v="THANH THÚY"/>
    <s v="VK02"/>
    <x v="145"/>
    <x v="3"/>
    <s v="PAVIA"/>
    <m/>
    <s v="12.14"/>
    <n v="400"/>
    <s v="NL2018"/>
    <m/>
    <n v="15"/>
    <n v="6000"/>
    <x v="14"/>
    <n v="17400000"/>
    <x v="1"/>
    <d v="2019-04-29T00:00:00"/>
    <d v="2019-06-02T00:00:00"/>
    <d v="2019-06-02T00:00:00"/>
    <m/>
    <m/>
    <m/>
    <m/>
    <m/>
    <m/>
    <m/>
    <m/>
    <m/>
    <m/>
    <m/>
    <m/>
    <n v="0"/>
    <n v="6000"/>
    <n v="17400000"/>
  </r>
  <r>
    <s v="16B/2019"/>
    <d v="2019-06-12T00:00:00"/>
    <s v="THANH THÚY"/>
    <s v="VK02"/>
    <x v="145"/>
    <x v="13"/>
    <s v="AMATERAS"/>
    <m/>
    <s v="14.16"/>
    <n v="275"/>
    <s v="NL2018"/>
    <m/>
    <n v="32"/>
    <n v="8800"/>
    <x v="2"/>
    <n v="38720000"/>
    <x v="3"/>
    <d v="2019-05-20T00:00:00"/>
    <d v="2019-06-22T00:00:00"/>
    <d v="2019-06-22T00:00:00"/>
    <m/>
    <m/>
    <m/>
    <m/>
    <m/>
    <m/>
    <m/>
    <m/>
    <m/>
    <m/>
    <m/>
    <m/>
    <n v="0"/>
    <n v="8800"/>
    <n v="38720000"/>
  </r>
  <r>
    <s v="138B/2019"/>
    <d v="2019-03-19T00:00:00"/>
    <s v="THANH THÚY"/>
    <s v="VK02"/>
    <x v="145"/>
    <x v="8"/>
    <s v="TEBALDI"/>
    <m/>
    <s v="16.18"/>
    <n v="200"/>
    <s v="NL2018"/>
    <m/>
    <n v="250"/>
    <n v="50000"/>
    <x v="20"/>
    <n v="305000000"/>
    <x v="2"/>
    <d v="2019-09-01T00:00:00"/>
    <d v="2019-09-29T00:00:00"/>
    <d v="2019-09-29T00:00:00"/>
    <s v="TẾT"/>
    <m/>
    <m/>
    <m/>
    <m/>
    <n v="0"/>
    <m/>
    <m/>
    <m/>
    <m/>
    <m/>
    <m/>
    <n v="0"/>
    <n v="50000"/>
    <n v="305000000"/>
  </r>
  <r>
    <s v="138B/2019"/>
    <d v="2019-03-19T00:00:00"/>
    <s v="THANH THÚY"/>
    <s v="VK02"/>
    <x v="145"/>
    <x v="47"/>
    <s v="ROBINA"/>
    <m/>
    <s v="18.20"/>
    <n v="150"/>
    <s v="NL2018"/>
    <m/>
    <n v="187"/>
    <n v="28050"/>
    <x v="74"/>
    <n v="210375000"/>
    <x v="2"/>
    <d v="2019-09-01T00:00:00"/>
    <d v="2019-09-29T00:00:00"/>
    <d v="2019-09-29T00:00:00"/>
    <s v="TẾT"/>
    <m/>
    <m/>
    <m/>
    <m/>
    <n v="0"/>
    <m/>
    <m/>
    <m/>
    <m/>
    <m/>
    <m/>
    <n v="0"/>
    <n v="28050"/>
    <n v="210375000"/>
  </r>
  <r>
    <s v="138B/2019"/>
    <d v="2019-03-19T00:00:00"/>
    <s v="THANH THÚY"/>
    <s v="VK02"/>
    <x v="145"/>
    <x v="16"/>
    <s v="ROBINA"/>
    <m/>
    <s v="20.22"/>
    <n v="125"/>
    <s v="NL2018"/>
    <m/>
    <n v="408"/>
    <n v="51000"/>
    <x v="59"/>
    <n v="535500000"/>
    <x v="2"/>
    <d v="2019-09-01T00:00:00"/>
    <d v="2019-09-29T00:00:00"/>
    <d v="2019-09-29T00:00:00"/>
    <s v="TẾT"/>
    <m/>
    <m/>
    <m/>
    <m/>
    <n v="0"/>
    <m/>
    <m/>
    <m/>
    <m/>
    <m/>
    <m/>
    <n v="0"/>
    <n v="51000"/>
    <n v="535500000"/>
  </r>
  <r>
    <s v="138B/2019"/>
    <d v="2019-03-19T00:00:00"/>
    <s v="THANH THÚY"/>
    <s v="VK02"/>
    <x v="145"/>
    <x v="37"/>
    <s v="PROFUNDO"/>
    <m/>
    <s v="20.22"/>
    <n v="125"/>
    <s v="NL2018"/>
    <m/>
    <n v="0"/>
    <n v="0"/>
    <x v="40"/>
    <n v="0"/>
    <x v="1"/>
    <d v="2019-09-01T00:00:00"/>
    <d v="2019-09-29T00:00:00"/>
    <d v="2019-09-29T00:00:00"/>
    <s v="TẾT"/>
    <m/>
    <m/>
    <m/>
    <m/>
    <n v="0"/>
    <m/>
    <m/>
    <m/>
    <m/>
    <m/>
    <m/>
    <n v="0"/>
    <n v="0"/>
    <n v="0"/>
  </r>
  <r>
    <s v="138B/2019"/>
    <d v="2019-03-19T00:00:00"/>
    <s v="THANH THÚY"/>
    <s v="VK02"/>
    <x v="145"/>
    <x v="3"/>
    <s v="PAVIA"/>
    <m/>
    <s v="12.14"/>
    <n v="400"/>
    <s v="NL2018"/>
    <m/>
    <n v="33"/>
    <n v="13200"/>
    <x v="69"/>
    <n v="43560000"/>
    <x v="2"/>
    <d v="2019-09-01T00:00:00"/>
    <d v="2019-09-29T00:00:00"/>
    <d v="2019-09-29T00:00:00"/>
    <s v="TẾT"/>
    <m/>
    <m/>
    <m/>
    <m/>
    <n v="0"/>
    <m/>
    <m/>
    <m/>
    <m/>
    <m/>
    <m/>
    <n v="0"/>
    <n v="13200"/>
    <n v="43560000"/>
  </r>
  <r>
    <s v="138B/2019"/>
    <d v="2019-03-19T00:00:00"/>
    <s v="THANH THÚY"/>
    <s v="VK02"/>
    <x v="145"/>
    <x v="41"/>
    <s v="PAVIA"/>
    <m/>
    <s v="14.16"/>
    <n v="300"/>
    <s v="NL2018"/>
    <m/>
    <n v="0"/>
    <n v="0"/>
    <x v="13"/>
    <n v="0"/>
    <x v="1"/>
    <d v="2019-09-01T00:00:00"/>
    <d v="2019-09-29T00:00:00"/>
    <d v="2019-09-29T00:00:00"/>
    <s v="TẾT"/>
    <m/>
    <m/>
    <m/>
    <m/>
    <n v="0"/>
    <m/>
    <m/>
    <m/>
    <m/>
    <m/>
    <m/>
    <n v="0"/>
    <n v="0"/>
    <n v="0"/>
  </r>
  <r>
    <s v="138B/2019"/>
    <d v="2019-03-19T00:00:00"/>
    <s v="THANH THÚY"/>
    <s v="VK02"/>
    <x v="145"/>
    <x v="42"/>
    <s v="PAVIA"/>
    <m/>
    <s v="16.18"/>
    <n v="200"/>
    <s v="NL2018"/>
    <m/>
    <n v="25"/>
    <n v="5000"/>
    <x v="20"/>
    <n v="30500000"/>
    <x v="2"/>
    <d v="2019-09-01T00:00:00"/>
    <d v="2019-09-29T00:00:00"/>
    <d v="2019-09-29T00:00:00"/>
    <s v="TẾT"/>
    <m/>
    <m/>
    <m/>
    <m/>
    <n v="0"/>
    <m/>
    <m/>
    <m/>
    <m/>
    <m/>
    <m/>
    <n v="0"/>
    <n v="5000"/>
    <n v="30500000"/>
  </r>
  <r>
    <s v="138B/2019"/>
    <d v="2019-03-19T00:00:00"/>
    <s v="THANH THÚY"/>
    <s v="VK02"/>
    <x v="145"/>
    <x v="113"/>
    <s v="YELLOW DIAMOND"/>
    <s v="DI"/>
    <s v="18.20"/>
    <n v="150"/>
    <s v="NL2018"/>
    <m/>
    <n v="100"/>
    <n v="15000"/>
    <x v="9"/>
    <n v="93000000"/>
    <x v="2"/>
    <d v="2019-09-01T00:00:00"/>
    <d v="2019-09-29T00:00:00"/>
    <d v="2019-09-29T00:00:00"/>
    <s v="TẾT"/>
    <m/>
    <m/>
    <m/>
    <m/>
    <n v="0"/>
    <m/>
    <m/>
    <m/>
    <m/>
    <m/>
    <m/>
    <n v="0"/>
    <n v="15000"/>
    <n v="93000000"/>
  </r>
  <r>
    <s v="138B/2019"/>
    <d v="2019-05-14T00:00:00"/>
    <s v="THANH THÚY"/>
    <s v="VK02"/>
    <x v="145"/>
    <x v="47"/>
    <s v="ROBINA"/>
    <m/>
    <s v="18.20"/>
    <n v="150"/>
    <s v="NL2018"/>
    <m/>
    <n v="40"/>
    <n v="6000"/>
    <x v="61"/>
    <n v="51000000"/>
    <x v="2"/>
    <d v="2019-09-01T00:00:00"/>
    <d v="2019-09-29T00:00:00"/>
    <d v="2019-09-29T00:00:00"/>
    <s v="TẾT"/>
    <m/>
    <m/>
    <m/>
    <m/>
    <m/>
    <m/>
    <m/>
    <m/>
    <m/>
    <m/>
    <m/>
    <n v="0"/>
    <n v="6000"/>
    <n v="51000000"/>
  </r>
  <r>
    <s v="16B/2019"/>
    <d v="2019-01-06T00:00:00"/>
    <s v="THANH THÚY"/>
    <s v="VK02"/>
    <x v="145"/>
    <x v="80"/>
    <s v="PROFUNDO"/>
    <m/>
    <s v="14.16"/>
    <n v="300"/>
    <s v="NL2018"/>
    <m/>
    <n v="57"/>
    <n v="17100"/>
    <x v="23"/>
    <n v="82080000"/>
    <x v="0"/>
    <s v="29-Feb-19"/>
    <d v="2019-04-03T00:00:00"/>
    <d v="2019-04-03T00:00:00"/>
    <s v="28/2AL"/>
    <s v="CONT 15/2019"/>
    <m/>
    <m/>
    <m/>
    <n v="17100"/>
    <m/>
    <m/>
    <m/>
    <m/>
    <m/>
    <m/>
    <n v="17100"/>
    <n v="0"/>
    <n v="0"/>
  </r>
  <r>
    <s v="16B/2019"/>
    <d v="2019-01-06T00:00:00"/>
    <s v="THANH THÚY"/>
    <s v="VK02"/>
    <x v="145"/>
    <x v="31"/>
    <s v="TARRANGO"/>
    <m/>
    <s v="14.16"/>
    <n v="300"/>
    <s v="NL2018"/>
    <m/>
    <n v="17"/>
    <n v="5100"/>
    <x v="21"/>
    <n v="23460000"/>
    <x v="0"/>
    <s v="29-Feb-19"/>
    <d v="2019-04-03T00:00:00"/>
    <d v="2019-04-03T00:00:00"/>
    <s v="28/2AL"/>
    <s v="CONT 17/2019"/>
    <m/>
    <m/>
    <d v="2019-04-03T00:00:00"/>
    <n v="5100"/>
    <m/>
    <m/>
    <m/>
    <m/>
    <m/>
    <m/>
    <n v="5100"/>
    <n v="0"/>
    <n v="0"/>
  </r>
  <r>
    <s v="16B/2019"/>
    <d v="2019-01-06T00:00:00"/>
    <s v="THANH THÚY"/>
    <s v="VK02"/>
    <x v="145"/>
    <x v="68"/>
    <s v="TEBALDI"/>
    <m/>
    <s v="12.14"/>
    <n v="400"/>
    <s v="NL2018"/>
    <m/>
    <n v="150"/>
    <n v="60000"/>
    <x v="4"/>
    <n v="168000000"/>
    <x v="0"/>
    <s v="29-Feb-19"/>
    <d v="2019-04-03T00:00:00"/>
    <d v="2019-04-03T00:00:00"/>
    <s v="28/2AL"/>
    <s v="CONT 15/2019"/>
    <m/>
    <m/>
    <d v="2019-04-02T00:00:00"/>
    <n v="60000"/>
    <m/>
    <m/>
    <m/>
    <m/>
    <m/>
    <m/>
    <n v="60000"/>
    <n v="0"/>
    <n v="0"/>
  </r>
  <r>
    <s v="138B/2019"/>
    <d v="2019-03-19T00:00:00"/>
    <s v="THANH THÚY"/>
    <s v="VK02"/>
    <x v="145"/>
    <x v="187"/>
    <s v="BEAU SOLEIL"/>
    <m/>
    <s v="16.18"/>
    <n v="200"/>
    <s v="NL2018"/>
    <m/>
    <n v="0"/>
    <n v="0"/>
    <x v="93"/>
    <n v="0"/>
    <x v="1"/>
    <d v="2019-09-01T00:00:00"/>
    <d v="2019-09-29T00:00:00"/>
    <d v="2019-09-29T00:00:00"/>
    <s v="TẾT"/>
    <m/>
    <m/>
    <m/>
    <m/>
    <n v="0"/>
    <m/>
    <m/>
    <m/>
    <m/>
    <m/>
    <m/>
    <n v="0"/>
    <n v="0"/>
    <n v="0"/>
  </r>
  <r>
    <s v="16B/2019"/>
    <d v="2019-03-20T00:00:00"/>
    <s v="THANH THÚY"/>
    <s v="VK02"/>
    <x v="145"/>
    <x v="5"/>
    <s v="PROFUNDO"/>
    <m/>
    <s v="16.18"/>
    <n v="200"/>
    <s v="NL2018"/>
    <m/>
    <n v="0"/>
    <n v="0"/>
    <x v="45"/>
    <n v="0"/>
    <x v="1"/>
    <s v="29-Feb-19"/>
    <d v="2019-04-03T00:00:00"/>
    <d v="2019-04-03T00:00:00"/>
    <s v="28/2AL"/>
    <m/>
    <m/>
    <m/>
    <m/>
    <m/>
    <m/>
    <m/>
    <m/>
    <m/>
    <m/>
    <m/>
    <n v="0"/>
    <n v="0"/>
    <n v="0"/>
  </r>
  <r>
    <s v="138B/2019"/>
    <d v="2019-03-19T00:00:00"/>
    <s v="THANH THÚY"/>
    <s v="VK02"/>
    <x v="145"/>
    <x v="25"/>
    <s v="CONCADOR"/>
    <m/>
    <s v="18.20"/>
    <n v="150"/>
    <s v="NL2018"/>
    <m/>
    <n v="20"/>
    <n v="3000"/>
    <x v="74"/>
    <n v="22500000"/>
    <x v="2"/>
    <d v="2019-09-01T00:00:00"/>
    <d v="2019-09-29T00:00:00"/>
    <d v="2019-09-29T00:00:00"/>
    <s v="TẾT"/>
    <m/>
    <m/>
    <m/>
    <m/>
    <n v="0"/>
    <m/>
    <m/>
    <m/>
    <m/>
    <m/>
    <m/>
    <n v="0"/>
    <n v="3000"/>
    <n v="22500000"/>
  </r>
  <r>
    <s v="138B/2019"/>
    <d v="2019-03-19T00:00:00"/>
    <s v="THANH THÚY"/>
    <s v="VK02"/>
    <x v="145"/>
    <x v="6"/>
    <s v="CONCADOR"/>
    <m/>
    <s v="20.22"/>
    <n v="125"/>
    <s v="NL2018"/>
    <m/>
    <n v="80"/>
    <n v="10000"/>
    <x v="7"/>
    <n v="106000000"/>
    <x v="2"/>
    <d v="2019-09-01T00:00:00"/>
    <d v="2019-09-29T00:00:00"/>
    <d v="2019-09-29T00:00:00"/>
    <s v="TẾT"/>
    <m/>
    <m/>
    <m/>
    <m/>
    <n v="0"/>
    <m/>
    <m/>
    <m/>
    <m/>
    <m/>
    <m/>
    <n v="0"/>
    <n v="10000"/>
    <n v="106000000"/>
  </r>
  <r>
    <s v="16B/2019"/>
    <d v="2019-01-06T00:00:00"/>
    <s v="THANH THÚY"/>
    <s v="VK02"/>
    <x v="145"/>
    <x v="4"/>
    <s v="TEBALDI"/>
    <m/>
    <s v="14.16"/>
    <n v="300"/>
    <s v="NL2018"/>
    <m/>
    <n v="126"/>
    <n v="37800"/>
    <x v="3"/>
    <n v="154980000"/>
    <x v="0"/>
    <s v="29-Feb-19"/>
    <d v="2019-04-03T00:00:00"/>
    <d v="2019-04-03T00:00:00"/>
    <s v="28/2AL"/>
    <s v="CONT 15/2019"/>
    <m/>
    <m/>
    <d v="2019-04-03T00:00:00"/>
    <n v="31200"/>
    <d v="2019-05-04T00:00:00"/>
    <n v="6600"/>
    <m/>
    <m/>
    <m/>
    <m/>
    <n v="37800"/>
    <n v="0"/>
    <n v="0"/>
  </r>
  <r>
    <s v="138B/2019"/>
    <d v="2019-03-19T00:00:00"/>
    <s v="THANH THÚY"/>
    <s v="VK02"/>
    <x v="145"/>
    <x v="64"/>
    <s v="TARRANGO"/>
    <m/>
    <s v="18.20"/>
    <n v="150"/>
    <s v="NL2018"/>
    <m/>
    <n v="187"/>
    <n v="28050"/>
    <x v="64"/>
    <n v="246840000"/>
    <x v="2"/>
    <d v="2019-09-01T00:00:00"/>
    <d v="2019-09-29T00:00:00"/>
    <d v="2019-09-29T00:00:00"/>
    <s v="TẾT"/>
    <m/>
    <m/>
    <m/>
    <m/>
    <n v="0"/>
    <m/>
    <m/>
    <m/>
    <m/>
    <m/>
    <m/>
    <n v="0"/>
    <n v="28050"/>
    <n v="246840000"/>
  </r>
  <r>
    <s v="16B/2019"/>
    <d v="2019-06-14T00:00:00"/>
    <s v="THANH THÚY"/>
    <s v="VK02"/>
    <x v="145"/>
    <x v="41"/>
    <s v="PAVIA"/>
    <m/>
    <s v="14.16"/>
    <n v="300"/>
    <s v="NL2018"/>
    <m/>
    <n v="13"/>
    <n v="3900"/>
    <x v="2"/>
    <n v="17160000"/>
    <x v="4"/>
    <m/>
    <m/>
    <m/>
    <m/>
    <m/>
    <m/>
    <m/>
    <m/>
    <m/>
    <m/>
    <m/>
    <m/>
    <m/>
    <m/>
    <m/>
    <n v="0"/>
    <n v="3900"/>
    <n v="17160000"/>
  </r>
  <r>
    <s v="186A/2019"/>
    <d v="2019-04-09T00:00:00"/>
    <s v="KIỀU THY"/>
    <s v="VT19"/>
    <x v="146"/>
    <x v="6"/>
    <s v="CONCADOR"/>
    <m/>
    <s v="20.22"/>
    <s v="125"/>
    <s v="NL2018"/>
    <m/>
    <n v="24"/>
    <n v="3000"/>
    <x v="7"/>
    <n v="31800000"/>
    <x v="2"/>
    <d v="2019-09-01T00:00:00"/>
    <d v="2019-09-29T00:00:00"/>
    <d v="2019-09-29T00:00:00"/>
    <s v="TẾT"/>
    <m/>
    <m/>
    <m/>
    <m/>
    <m/>
    <m/>
    <m/>
    <m/>
    <m/>
    <m/>
    <m/>
    <n v="0"/>
    <n v="3000"/>
    <n v="31800000"/>
  </r>
  <r>
    <s v="186A/2019"/>
    <d v="2019-04-09T00:00:00"/>
    <s v="KIỀU THY"/>
    <s v="VT19"/>
    <x v="146"/>
    <x v="45"/>
    <s v="CONCADOR"/>
    <m/>
    <s v="24.26"/>
    <s v="80"/>
    <s v="NL2018"/>
    <m/>
    <n v="20"/>
    <n v="1600"/>
    <x v="38"/>
    <n v="24320000"/>
    <x v="2"/>
    <d v="2019-09-01T00:00:00"/>
    <d v="2019-09-29T00:00:00"/>
    <d v="2019-09-29T00:00:00"/>
    <s v="TẾT"/>
    <m/>
    <m/>
    <m/>
    <m/>
    <m/>
    <m/>
    <m/>
    <m/>
    <m/>
    <m/>
    <m/>
    <n v="0"/>
    <n v="1600"/>
    <n v="24320000"/>
  </r>
  <r>
    <s v="186A/2019"/>
    <d v="2019-04-09T00:00:00"/>
    <s v="KIỀU THY"/>
    <s v="VT19"/>
    <x v="146"/>
    <x v="16"/>
    <s v="ROBINA"/>
    <m/>
    <s v="20.22"/>
    <s v="125"/>
    <s v="NL2018"/>
    <m/>
    <n v="4"/>
    <n v="500"/>
    <x v="16"/>
    <n v="5350000"/>
    <x v="2"/>
    <d v="2019-09-01T00:00:00"/>
    <d v="2019-09-29T00:00:00"/>
    <d v="2019-09-29T00:00:00"/>
    <s v="TẾT"/>
    <m/>
    <m/>
    <m/>
    <m/>
    <m/>
    <m/>
    <m/>
    <m/>
    <m/>
    <m/>
    <m/>
    <n v="0"/>
    <n v="500"/>
    <n v="5350000"/>
  </r>
  <r>
    <s v="125A/2019"/>
    <d v="2019-03-12T00:00:00"/>
    <s v="KIỀU THY"/>
    <s v="CL01"/>
    <x v="147"/>
    <x v="46"/>
    <s v="CONCADOR"/>
    <m/>
    <s v="22.24"/>
    <n v="100"/>
    <s v="NL2018"/>
    <m/>
    <n v="200"/>
    <n v="20000"/>
    <x v="29"/>
    <n v="250000000"/>
    <x v="2"/>
    <d v="2019-09-01T00:00:00"/>
    <d v="2019-09-29T00:00:00"/>
    <d v="2019-09-29T00:00:00"/>
    <s v="TẾT"/>
    <m/>
    <m/>
    <m/>
    <m/>
    <n v="0"/>
    <m/>
    <m/>
    <m/>
    <m/>
    <m/>
    <m/>
    <n v="0"/>
    <n v="20000"/>
    <n v="250000000"/>
  </r>
  <r>
    <s v="125A/2019"/>
    <d v="2019-03-12T00:00:00"/>
    <s v="KIỀU THY"/>
    <s v="CL01"/>
    <x v="147"/>
    <x v="26"/>
    <s v="ROBINA"/>
    <m/>
    <s v="22.24"/>
    <n v="100"/>
    <s v="NL2018"/>
    <m/>
    <n v="200"/>
    <n v="20000"/>
    <x v="29"/>
    <n v="250000000"/>
    <x v="2"/>
    <d v="2019-09-01T00:00:00"/>
    <d v="2019-09-29T00:00:00"/>
    <d v="2019-09-29T00:00:00"/>
    <s v="TẾT"/>
    <m/>
    <m/>
    <m/>
    <m/>
    <n v="0"/>
    <m/>
    <m/>
    <m/>
    <m/>
    <m/>
    <m/>
    <n v="0"/>
    <n v="20000"/>
    <n v="250000000"/>
  </r>
  <r>
    <s v="14A/2019"/>
    <d v="2019-01-05T00:00:00"/>
    <s v="KIỀU THY"/>
    <s v="CL01"/>
    <x v="147"/>
    <x v="62"/>
    <s v="BACARDI"/>
    <m/>
    <s v="15.16"/>
    <n v="300"/>
    <s v="NL2018"/>
    <m/>
    <n v="67"/>
    <n v="20100"/>
    <x v="13"/>
    <n v="90450000"/>
    <x v="0"/>
    <d v="2019-01-15T00:00:00"/>
    <d v="2019-02-19T00:00:00"/>
    <d v="2019-02-19T00:00:00"/>
    <s v="15/1AL"/>
    <m/>
    <m/>
    <m/>
    <d v="2019-02-19T00:00:00"/>
    <n v="20100"/>
    <m/>
    <m/>
    <m/>
    <m/>
    <m/>
    <m/>
    <n v="20100"/>
    <n v="0"/>
    <n v="0"/>
  </r>
  <r>
    <s v="14A/2019"/>
    <d v="2019-01-05T00:00:00"/>
    <s v="KIỀU THY"/>
    <s v="CL01"/>
    <x v="147"/>
    <x v="53"/>
    <s v="SENSI"/>
    <m/>
    <s v="16.18"/>
    <n v="200"/>
    <s v="NL2018"/>
    <m/>
    <n v="25"/>
    <n v="5000"/>
    <x v="44"/>
    <n v="27500000"/>
    <x v="0"/>
    <d v="2019-02-28T00:00:00"/>
    <d v="2019-04-02T00:00:00"/>
    <d v="2019-04-02T00:00:00"/>
    <s v="28/2AL"/>
    <s v="CONT 15/2019"/>
    <d v="2019-03-31T00:00:00"/>
    <m/>
    <d v="2019-04-02T00:00:00"/>
    <n v="5000"/>
    <m/>
    <m/>
    <m/>
    <m/>
    <m/>
    <m/>
    <n v="5000"/>
    <n v="0"/>
    <n v="0"/>
  </r>
  <r>
    <s v="14A/2019"/>
    <d v="2019-01-05T00:00:00"/>
    <s v="KIỀU THY"/>
    <s v="CL01"/>
    <x v="147"/>
    <x v="103"/>
    <s v="LARGO"/>
    <m/>
    <s v="16.18"/>
    <n v="200"/>
    <s v="NL2018"/>
    <m/>
    <n v="50"/>
    <n v="10000"/>
    <x v="44"/>
    <n v="55000000"/>
    <x v="0"/>
    <d v="2019-03-15T00:00:00"/>
    <d v="2019-04-19T00:00:00"/>
    <d v="2019-04-19T00:00:00"/>
    <s v="15/3AL"/>
    <s v="CONT 27/2019"/>
    <d v="2019-04-14T00:00:00"/>
    <m/>
    <d v="2019-05-03T00:00:00"/>
    <n v="10000"/>
    <m/>
    <m/>
    <m/>
    <m/>
    <m/>
    <m/>
    <n v="10000"/>
    <n v="0"/>
    <n v="0"/>
  </r>
  <r>
    <s v="14A/2019"/>
    <d v="2019-01-05T00:00:00"/>
    <s v="KIỀU THY"/>
    <s v="CL01"/>
    <x v="147"/>
    <x v="57"/>
    <s v="DALIAN"/>
    <m/>
    <s v="14.16"/>
    <n v="300"/>
    <s v="NL2018"/>
    <m/>
    <n v="0"/>
    <n v="0"/>
    <x v="55"/>
    <n v="0"/>
    <x v="1"/>
    <d v="2019-04-17T00:00:00"/>
    <d v="2019-05-21T00:00:00"/>
    <d v="2019-05-21T00:00:00"/>
    <s v="17/4AL"/>
    <m/>
    <m/>
    <m/>
    <m/>
    <n v="0"/>
    <m/>
    <m/>
    <m/>
    <m/>
    <m/>
    <m/>
    <n v="0"/>
    <n v="0"/>
    <n v="0"/>
  </r>
  <r>
    <s v="14A/2019"/>
    <d v="2019-05-19T00:00:00"/>
    <s v="KIỀU THY"/>
    <s v="CL01"/>
    <x v="147"/>
    <x v="30"/>
    <s v="MALDANO"/>
    <m/>
    <s v="16.18"/>
    <n v="200"/>
    <s v="NL2018"/>
    <m/>
    <n v="55"/>
    <n v="11000"/>
    <x v="11"/>
    <n v="59400000"/>
    <x v="0"/>
    <d v="2019-04-17T00:00:00"/>
    <d v="2019-05-21T00:00:00"/>
    <d v="2019-05-21T00:00:00"/>
    <m/>
    <m/>
    <m/>
    <m/>
    <d v="2019-05-20T00:00:00"/>
    <n v="11000"/>
    <m/>
    <m/>
    <m/>
    <m/>
    <m/>
    <m/>
    <n v="11000"/>
    <n v="0"/>
    <n v="0"/>
  </r>
  <r>
    <s v="14A/2019"/>
    <d v="2019-05-19T00:00:00"/>
    <s v="KIỀU THY"/>
    <s v="CL01"/>
    <x v="147"/>
    <x v="53"/>
    <s v="SENSI"/>
    <m/>
    <s v="16.18"/>
    <n v="200"/>
    <s v="NL2018"/>
    <m/>
    <n v="51"/>
    <n v="10200"/>
    <x v="26"/>
    <n v="59160000"/>
    <x v="3"/>
    <d v="2019-05-30T00:00:00"/>
    <d v="2019-07-02T00:00:00"/>
    <d v="2019-07-02T00:00:00"/>
    <m/>
    <m/>
    <m/>
    <m/>
    <m/>
    <m/>
    <m/>
    <m/>
    <m/>
    <m/>
    <m/>
    <m/>
    <n v="0"/>
    <n v="10200"/>
    <n v="59160000"/>
  </r>
  <r>
    <s v="14A/2019"/>
    <d v="2019-06-17T00:00:00"/>
    <s v="KIỀU THY"/>
    <s v="CL01"/>
    <x v="147"/>
    <x v="15"/>
    <s v="CONCADOR"/>
    <m/>
    <s v="16.18"/>
    <n v="200"/>
    <s v="NL2018"/>
    <m/>
    <n v="50"/>
    <n v="10000"/>
    <x v="26"/>
    <n v="58000000"/>
    <x v="0"/>
    <d v="2019-06-17T00:00:00"/>
    <d v="2019-07-19T00:00:00"/>
    <d v="2019-07-19T00:00:00"/>
    <m/>
    <m/>
    <m/>
    <m/>
    <d v="2019-06-17T00:00:00"/>
    <n v="10000"/>
    <m/>
    <m/>
    <m/>
    <m/>
    <m/>
    <m/>
    <n v="10000"/>
    <n v="0"/>
    <n v="0"/>
  </r>
  <r>
    <s v="14A/2019"/>
    <d v="2019-06-17T00:00:00"/>
    <s v="KIỀU THY"/>
    <s v="CL01"/>
    <x v="147"/>
    <x v="47"/>
    <s v="ROBINA"/>
    <m/>
    <s v="18.20"/>
    <n v="150"/>
    <s v="NL2018"/>
    <m/>
    <n v="67"/>
    <n v="10050"/>
    <x v="74"/>
    <n v="75375000"/>
    <x v="3"/>
    <d v="2019-06-01T00:00:00"/>
    <d v="2019-07-03T00:00:00"/>
    <d v="2019-07-03T00:00:00"/>
    <s v="Hà Nội chuyển vô"/>
    <m/>
    <m/>
    <m/>
    <m/>
    <m/>
    <m/>
    <m/>
    <m/>
    <m/>
    <m/>
    <m/>
    <n v="0"/>
    <n v="10050"/>
    <n v="75375000"/>
  </r>
  <r>
    <s v="14A/2019"/>
    <d v="2019-06-17T00:00:00"/>
    <s v="KIỀU THY"/>
    <s v="CL01"/>
    <x v="147"/>
    <x v="144"/>
    <s v="INDIANA"/>
    <m/>
    <s v="16.18"/>
    <n v="200"/>
    <s v="NL2018"/>
    <m/>
    <n v="50"/>
    <n v="10000"/>
    <x v="45"/>
    <n v="67000000"/>
    <x v="2"/>
    <d v="2019-06-25T00:00:00"/>
    <d v="2019-07-27T00:00:00"/>
    <d v="2019-07-27T00:00:00"/>
    <m/>
    <m/>
    <m/>
    <m/>
    <m/>
    <m/>
    <m/>
    <m/>
    <m/>
    <m/>
    <m/>
    <m/>
    <n v="0"/>
    <n v="10000"/>
    <n v="67000000"/>
  </r>
  <r>
    <s v="160A/2019"/>
    <d v="2019-03-13T00:00:00"/>
    <s v="KIỀU THY"/>
    <s v="QH06"/>
    <x v="148"/>
    <x v="35"/>
    <s v="BACARDI"/>
    <m/>
    <n v="20.22"/>
    <s v="125"/>
    <s v="NL2018"/>
    <m/>
    <n v="16"/>
    <n v="2000"/>
    <x v="8"/>
    <n v="21600000"/>
    <x v="2"/>
    <d v="2019-09-01T00:00:00"/>
    <d v="2019-09-29T00:00:00"/>
    <d v="2019-09-29T00:00:00"/>
    <s v="TẾT"/>
    <m/>
    <m/>
    <m/>
    <m/>
    <n v="0"/>
    <m/>
    <m/>
    <m/>
    <m/>
    <m/>
    <m/>
    <n v="0"/>
    <n v="2000"/>
    <n v="21600000"/>
  </r>
  <r>
    <s v="160A/2019"/>
    <d v="2019-03-13T00:00:00"/>
    <s v="KIỀU THY"/>
    <s v="QH06"/>
    <x v="148"/>
    <x v="46"/>
    <s v="CONCADOR"/>
    <m/>
    <n v="22.24"/>
    <s v="100"/>
    <s v="NL2018"/>
    <m/>
    <n v="100"/>
    <n v="10000"/>
    <x v="29"/>
    <n v="125000000"/>
    <x v="2"/>
    <d v="2019-09-01T00:00:00"/>
    <d v="2019-09-29T00:00:00"/>
    <d v="2019-09-29T00:00:00"/>
    <s v="TẾT"/>
    <m/>
    <m/>
    <m/>
    <m/>
    <n v="0"/>
    <m/>
    <m/>
    <m/>
    <m/>
    <m/>
    <m/>
    <n v="0"/>
    <n v="10000"/>
    <n v="125000000"/>
  </r>
  <r>
    <s v="160A/2019"/>
    <d v="2019-03-13T00:00:00"/>
    <s v="KIỀU THY"/>
    <s v="QH06"/>
    <x v="148"/>
    <x v="26"/>
    <s v="ROBINA"/>
    <m/>
    <n v="22.24"/>
    <s v="100"/>
    <s v="NL2018"/>
    <m/>
    <n v="40"/>
    <n v="4000"/>
    <x v="29"/>
    <n v="50000000"/>
    <x v="2"/>
    <d v="2019-09-01T00:00:00"/>
    <d v="2019-09-29T00:00:00"/>
    <d v="2019-09-29T00:00:00"/>
    <s v="TẾT"/>
    <m/>
    <m/>
    <m/>
    <m/>
    <n v="0"/>
    <m/>
    <m/>
    <m/>
    <m/>
    <m/>
    <m/>
    <n v="0"/>
    <n v="4000"/>
    <n v="50000000"/>
  </r>
  <r>
    <s v="160A/2019"/>
    <d v="2019-04-01T00:00:00"/>
    <s v="KIỀU THY"/>
    <s v="QH06"/>
    <x v="148"/>
    <x v="45"/>
    <s v="CONCADOR"/>
    <m/>
    <s v="24.26"/>
    <s v="80"/>
    <s v="NL2018"/>
    <m/>
    <n v="25"/>
    <n v="2000"/>
    <x v="38"/>
    <n v="30400000"/>
    <x v="2"/>
    <d v="2019-09-01T00:00:00"/>
    <d v="2019-09-29T00:00:00"/>
    <d v="2019-09-29T00:00:00"/>
    <s v="TẾT"/>
    <m/>
    <m/>
    <m/>
    <m/>
    <m/>
    <m/>
    <m/>
    <m/>
    <m/>
    <m/>
    <m/>
    <n v="0"/>
    <n v="2000"/>
    <n v="30400000"/>
  </r>
  <r>
    <s v="160A/2019"/>
    <d v="2019-04-01T00:00:00"/>
    <s v="KIỀU THY"/>
    <s v="QH06"/>
    <x v="148"/>
    <x v="35"/>
    <s v="BACARDI"/>
    <m/>
    <n v="20.22"/>
    <s v="125"/>
    <s v="NL2018"/>
    <m/>
    <n v="16"/>
    <n v="2000"/>
    <x v="36"/>
    <n v="22000000"/>
    <x v="2"/>
    <d v="2019-09-01T00:00:00"/>
    <d v="2019-09-29T00:00:00"/>
    <d v="2019-09-29T00:00:00"/>
    <s v="TẾT"/>
    <m/>
    <m/>
    <m/>
    <m/>
    <m/>
    <m/>
    <m/>
    <m/>
    <m/>
    <m/>
    <m/>
    <n v="0"/>
    <n v="2000"/>
    <n v="22000000"/>
  </r>
  <r>
    <s v="159A/2019"/>
    <d v="2019-04-01T00:00:00"/>
    <s v="KIỀU THY"/>
    <s v="QH06"/>
    <x v="148"/>
    <x v="62"/>
    <s v="BACARDI"/>
    <m/>
    <s v="15.16"/>
    <s v="300"/>
    <s v="NL2018"/>
    <m/>
    <n v="17"/>
    <n v="5100"/>
    <x v="21"/>
    <n v="23460000"/>
    <x v="0"/>
    <d v="2019-04-17T00:00:00"/>
    <d v="2019-05-21T00:00:00"/>
    <d v="2019-05-21T00:00:00"/>
    <s v="10/4AL"/>
    <m/>
    <m/>
    <m/>
    <d v="2019-06-03T00:00:00"/>
    <n v="5100"/>
    <m/>
    <m/>
    <m/>
    <m/>
    <m/>
    <m/>
    <n v="5100"/>
    <n v="0"/>
    <n v="0"/>
  </r>
  <r>
    <s v="159A/2019"/>
    <d v="2019-05-27T00:00:00"/>
    <s v="KIỀU THY"/>
    <s v="QH06"/>
    <x v="148"/>
    <x v="57"/>
    <s v="DALIAN"/>
    <m/>
    <s v="14.16"/>
    <s v="300"/>
    <s v="NL2018"/>
    <m/>
    <n v="17"/>
    <n v="5100"/>
    <x v="11"/>
    <n v="27540000"/>
    <x v="1"/>
    <d v="2019-04-17T00:00:00"/>
    <d v="2019-05-21T00:00:00"/>
    <d v="2019-05-21T00:00:00"/>
    <m/>
    <m/>
    <m/>
    <m/>
    <m/>
    <m/>
    <m/>
    <m/>
    <m/>
    <m/>
    <m/>
    <m/>
    <n v="0"/>
    <n v="5100"/>
    <n v="27540000"/>
  </r>
  <r>
    <s v="85A/2019"/>
    <d v="2019-03-13T00:00:00"/>
    <s v="KIỀU THY"/>
    <s v="QH06"/>
    <x v="148"/>
    <x v="73"/>
    <s v="YELLOWEEN"/>
    <m/>
    <s v="14.16"/>
    <s v="300"/>
    <s v="NL2017"/>
    <m/>
    <n v="34"/>
    <n v="10200"/>
    <x v="17"/>
    <n v="30600000"/>
    <x v="0"/>
    <d v="2019-02-07T00:00:00"/>
    <d v="2019-03-12T00:00:00"/>
    <d v="2019-03-12T00:00:00"/>
    <s v="7/2AL"/>
    <s v="CONT 87/2018"/>
    <m/>
    <m/>
    <d v="2019-03-13T00:00:00"/>
    <n v="5100"/>
    <d v="2019-03-26T00:00:00"/>
    <s v="5100"/>
    <m/>
    <m/>
    <m/>
    <m/>
    <n v="10200"/>
    <n v="0"/>
    <n v="0"/>
  </r>
  <r>
    <s v="84A/2019"/>
    <d v="2019-03-04T00:00:00"/>
    <s v="KIỀU THY"/>
    <s v="PV01"/>
    <x v="149"/>
    <x v="46"/>
    <s v="CONCADOR"/>
    <m/>
    <s v="22.24"/>
    <n v="100"/>
    <s v="NL2018"/>
    <m/>
    <n v="150"/>
    <n v="15000"/>
    <x v="29"/>
    <n v="187500000"/>
    <x v="2"/>
    <d v="2019-09-01T00:00:00"/>
    <d v="2019-09-29T00:00:00"/>
    <d v="2019-09-29T00:00:00"/>
    <s v="TẾT"/>
    <m/>
    <m/>
    <s v="R"/>
    <m/>
    <n v="0"/>
    <m/>
    <m/>
    <m/>
    <m/>
    <m/>
    <m/>
    <n v="0"/>
    <n v="15000"/>
    <n v="187500000"/>
  </r>
  <r>
    <s v="84A/2019"/>
    <d v="2019-03-04T00:00:00"/>
    <s v="KIỀU THY"/>
    <s v="PV01"/>
    <x v="149"/>
    <x v="87"/>
    <s v="PROFUNDO"/>
    <m/>
    <s v="22.24"/>
    <n v="100"/>
    <s v="NL2018"/>
    <m/>
    <n v="50"/>
    <n v="5000"/>
    <x v="85"/>
    <n v="71000000"/>
    <x v="2"/>
    <d v="2019-09-01T00:00:00"/>
    <d v="2019-09-29T00:00:00"/>
    <d v="2019-09-29T00:00:00"/>
    <s v="TẾT"/>
    <m/>
    <m/>
    <s v="R"/>
    <m/>
    <n v="0"/>
    <m/>
    <m/>
    <m/>
    <m/>
    <m/>
    <m/>
    <n v="0"/>
    <n v="5000"/>
    <n v="71000000"/>
  </r>
  <r>
    <s v="50B/2019"/>
    <d v="2019-02-15T00:00:00"/>
    <s v="THANH THÚY"/>
    <s v="PKL01"/>
    <x v="150"/>
    <x v="22"/>
    <s v="ROBINA"/>
    <m/>
    <s v="16.18"/>
    <n v="200"/>
    <s v="NL2018"/>
    <m/>
    <n v="19"/>
    <n v="3800"/>
    <x v="192"/>
    <n v="18430000"/>
    <x v="0"/>
    <s v="29-Feb-19"/>
    <d v="2019-04-03T00:00:00"/>
    <d v="2019-04-03T00:00:00"/>
    <s v="30/2AL"/>
    <s v="CONT 13/2019"/>
    <m/>
    <m/>
    <d v="2019-04-02T00:00:00"/>
    <n v="3800"/>
    <m/>
    <m/>
    <m/>
    <m/>
    <m/>
    <m/>
    <n v="3800"/>
    <n v="0"/>
    <n v="0"/>
  </r>
  <r>
    <s v="50B/2019"/>
    <d v="2019-02-15T00:00:00"/>
    <s v="THANH THÚY"/>
    <s v="PKL01"/>
    <x v="150"/>
    <x v="47"/>
    <s v="ROBINA"/>
    <m/>
    <s v="18.20"/>
    <n v="150"/>
    <s v="NL2018"/>
    <m/>
    <n v="1031"/>
    <n v="154650"/>
    <x v="193"/>
    <n v="983264700"/>
    <x v="0"/>
    <s v="29-Feb-19"/>
    <d v="2019-04-03T00:00:00"/>
    <d v="2019-04-03T00:00:00"/>
    <s v="30/2AL"/>
    <s v="CONT 13/2019"/>
    <m/>
    <m/>
    <d v="2019-04-02T00:00:00"/>
    <n v="154650"/>
    <m/>
    <m/>
    <m/>
    <m/>
    <m/>
    <m/>
    <n v="154650"/>
    <n v="0"/>
    <n v="0"/>
  </r>
  <r>
    <s v="170B/2019"/>
    <d v="2019-04-19T00:00:00"/>
    <s v="THANH THÚY"/>
    <s v="PKL01"/>
    <x v="150"/>
    <x v="51"/>
    <s v="THALITA"/>
    <s v="RL"/>
    <s v="12.14"/>
    <n v="400"/>
    <s v="NL2018"/>
    <m/>
    <n v="0"/>
    <n v="0"/>
    <x v="79"/>
    <n v="0"/>
    <x v="1"/>
    <d v="2019-03-18T00:00:00"/>
    <d v="2019-04-22T00:00:00"/>
    <d v="2019-04-22T00:00:00"/>
    <s v="18/3AL"/>
    <m/>
    <m/>
    <m/>
    <m/>
    <m/>
    <m/>
    <m/>
    <m/>
    <m/>
    <m/>
    <m/>
    <n v="0"/>
    <n v="0"/>
    <n v="0"/>
  </r>
  <r>
    <s v="170B/2019"/>
    <d v="2019-04-19T00:00:00"/>
    <s v="THANH THÚY"/>
    <s v="PKL01"/>
    <x v="150"/>
    <x v="89"/>
    <s v="TATSJANA"/>
    <s v="RL"/>
    <s v="12.14"/>
    <n v="350"/>
    <s v="NL2018"/>
    <m/>
    <n v="0"/>
    <n v="0"/>
    <x v="137"/>
    <n v="0"/>
    <x v="1"/>
    <d v="2019-05-02T00:00:00"/>
    <d v="2019-06-04T00:00:00"/>
    <d v="2019-06-04T00:00:00"/>
    <s v="02/5AL"/>
    <m/>
    <m/>
    <m/>
    <m/>
    <m/>
    <m/>
    <m/>
    <m/>
    <m/>
    <m/>
    <m/>
    <n v="0"/>
    <n v="0"/>
    <n v="0"/>
  </r>
  <r>
    <s v="170B/2019"/>
    <d v="2019-04-19T00:00:00"/>
    <s v="THANH THÚY"/>
    <s v="PKL01"/>
    <x v="150"/>
    <x v="173"/>
    <s v="BACARDI"/>
    <m/>
    <s v="18.20"/>
    <n v="150"/>
    <s v="NL2018"/>
    <m/>
    <n v="152"/>
    <n v="22800"/>
    <x v="137"/>
    <n v="198360000"/>
    <x v="4"/>
    <d v="2019-04-29T00:00:00"/>
    <d v="2019-06-02T00:00:00"/>
    <d v="2019-06-02T00:00:00"/>
    <s v="29/4AL"/>
    <m/>
    <m/>
    <m/>
    <d v="2019-06-10T00:00:00"/>
    <n v="22500"/>
    <m/>
    <m/>
    <m/>
    <m/>
    <m/>
    <m/>
    <n v="22500"/>
    <n v="300"/>
    <n v="2610000"/>
  </r>
  <r>
    <s v="170B/2019"/>
    <d v="2019-04-19T00:00:00"/>
    <s v="THANH THÚY"/>
    <s v="PKL01"/>
    <x v="150"/>
    <x v="173"/>
    <s v="BACARDI"/>
    <m/>
    <s v="18.20"/>
    <n v="150"/>
    <s v="NL2018"/>
    <m/>
    <n v="0"/>
    <n v="0"/>
    <x v="64"/>
    <n v="0"/>
    <x v="1"/>
    <d v="2019-05-29T00:00:00"/>
    <d v="2019-07-01T00:00:00"/>
    <d v="2019-07-01T00:00:00"/>
    <s v="29/5AL"/>
    <m/>
    <m/>
    <m/>
    <m/>
    <m/>
    <m/>
    <m/>
    <m/>
    <m/>
    <m/>
    <m/>
    <n v="0"/>
    <n v="0"/>
    <n v="0"/>
  </r>
  <r>
    <s v="170B/2019"/>
    <d v="2019-04-19T00:00:00"/>
    <s v="THANH THÚY"/>
    <s v="PKL01"/>
    <x v="150"/>
    <x v="173"/>
    <s v="BACARDI"/>
    <m/>
    <s v="18.20"/>
    <n v="150"/>
    <s v="NL2018"/>
    <m/>
    <n v="0"/>
    <n v="0"/>
    <x v="94"/>
    <n v="0"/>
    <x v="1"/>
    <d v="2019-06-29T00:00:00"/>
    <d v="2019-07-31T00:00:00"/>
    <d v="2019-07-31T00:00:00"/>
    <s v="29/6AL"/>
    <m/>
    <m/>
    <m/>
    <m/>
    <m/>
    <m/>
    <m/>
    <m/>
    <m/>
    <m/>
    <m/>
    <n v="0"/>
    <n v="0"/>
    <n v="0"/>
  </r>
  <r>
    <s v="170B/2019"/>
    <d v="2019-04-19T00:00:00"/>
    <s v="THANH THÚY"/>
    <s v="PKL01"/>
    <x v="150"/>
    <x v="173"/>
    <s v="BACARDI"/>
    <m/>
    <s v="18.20"/>
    <n v="150"/>
    <s v="NL2018"/>
    <m/>
    <n v="0"/>
    <n v="0"/>
    <x v="127"/>
    <n v="0"/>
    <x v="1"/>
    <d v="2019-07-29T00:00:00"/>
    <d v="2019-08-29T00:00:00"/>
    <d v="2019-08-29T00:00:00"/>
    <s v="29/6AL"/>
    <m/>
    <m/>
    <m/>
    <m/>
    <m/>
    <m/>
    <m/>
    <m/>
    <m/>
    <m/>
    <m/>
    <n v="0"/>
    <n v="0"/>
    <n v="0"/>
  </r>
  <r>
    <s v="170B/2019"/>
    <d v="2019-04-19T00:00:00"/>
    <s v="THANH THÚY"/>
    <s v="PKL01"/>
    <x v="150"/>
    <x v="173"/>
    <s v="BACARDI"/>
    <m/>
    <s v="18.20"/>
    <n v="150"/>
    <s v="NL2018"/>
    <m/>
    <n v="0"/>
    <n v="0"/>
    <x v="95"/>
    <n v="0"/>
    <x v="1"/>
    <d v="2019-08-29T00:00:00"/>
    <d v="2019-09-27T00:00:00"/>
    <d v="2019-09-27T00:00:00"/>
    <s v="29/6AL"/>
    <m/>
    <m/>
    <m/>
    <m/>
    <m/>
    <m/>
    <m/>
    <m/>
    <m/>
    <m/>
    <m/>
    <n v="0"/>
    <n v="0"/>
    <n v="0"/>
  </r>
  <r>
    <s v="42B/2019"/>
    <d v="2019-02-11T00:00:00"/>
    <s v="THANH THÚY"/>
    <s v="MT01"/>
    <x v="151"/>
    <x v="188"/>
    <s v="STENDHAL"/>
    <m/>
    <s v="16.18"/>
    <n v="200"/>
    <s v="NL2018"/>
    <m/>
    <n v="0"/>
    <n v="0"/>
    <x v="18"/>
    <n v="0"/>
    <x v="1"/>
    <d v="2019-02-05T00:00:00"/>
    <d v="2019-03-10T00:00:00"/>
    <d v="2019-03-10T00:00:00"/>
    <s v="07/2AL"/>
    <m/>
    <m/>
    <m/>
    <m/>
    <n v="0"/>
    <m/>
    <m/>
    <m/>
    <m/>
    <m/>
    <m/>
    <n v="0"/>
    <n v="0"/>
    <n v="0"/>
  </r>
  <r>
    <s v="42B/2019"/>
    <d v="2019-02-11T00:00:00"/>
    <s v="THANH THÚY"/>
    <s v="MT01"/>
    <x v="151"/>
    <x v="189"/>
    <s v="STENDHAL"/>
    <m/>
    <s v="18.20"/>
    <n v="150"/>
    <s v="NL2018"/>
    <m/>
    <n v="0"/>
    <n v="0"/>
    <x v="18"/>
    <n v="0"/>
    <x v="1"/>
    <d v="2019-02-05T00:00:00"/>
    <d v="2019-03-10T00:00:00"/>
    <d v="2019-03-10T00:00:00"/>
    <s v="07/2AL"/>
    <m/>
    <m/>
    <m/>
    <m/>
    <n v="0"/>
    <m/>
    <m/>
    <m/>
    <m/>
    <m/>
    <m/>
    <n v="0"/>
    <n v="0"/>
    <n v="0"/>
  </r>
  <r>
    <s v="42B/2019"/>
    <d v="2019-02-11T00:00:00"/>
    <s v="THANH THÚY"/>
    <s v="MT01"/>
    <x v="151"/>
    <x v="11"/>
    <s v="YELLOWEEN"/>
    <m/>
    <s v="12.14"/>
    <n v="400"/>
    <s v="NL2018"/>
    <m/>
    <n v="40"/>
    <n v="16000"/>
    <x v="12"/>
    <n v="41600000"/>
    <x v="0"/>
    <d v="2019-01-15T00:00:00"/>
    <d v="2019-02-19T00:00:00"/>
    <d v="2019-02-19T00:00:00"/>
    <s v="15/1AL"/>
    <m/>
    <m/>
    <m/>
    <d v="2019-02-19T00:00:00"/>
    <n v="16000"/>
    <m/>
    <m/>
    <m/>
    <m/>
    <m/>
    <m/>
    <n v="16000"/>
    <n v="0"/>
    <n v="0"/>
  </r>
  <r>
    <s v="45B/2019"/>
    <d v="2019-02-12T00:00:00"/>
    <s v="THANH THÚY"/>
    <s v="DN01"/>
    <x v="152"/>
    <x v="15"/>
    <s v="CONCADOR"/>
    <m/>
    <s v="16.18"/>
    <n v="200"/>
    <s v="NL2018"/>
    <m/>
    <n v="50"/>
    <n v="10000"/>
    <x v="0"/>
    <n v="47000000"/>
    <x v="0"/>
    <d v="2019-02-15T00:00:00"/>
    <d v="2019-03-20T00:00:00"/>
    <d v="2019-03-20T00:00:00"/>
    <s v="15/2AL"/>
    <s v="CONT 11/2019"/>
    <m/>
    <m/>
    <d v="2019-03-20T00:00:00"/>
    <n v="5000"/>
    <d v="2019-04-01T00:00:00"/>
    <n v="5000"/>
    <m/>
    <m/>
    <m/>
    <m/>
    <n v="10000"/>
    <n v="0"/>
    <n v="0"/>
  </r>
  <r>
    <s v="45B/2019"/>
    <d v="2019-02-12T00:00:00"/>
    <s v="THANH THÚY"/>
    <s v="DN01"/>
    <x v="152"/>
    <x v="34"/>
    <s v="TARRANGO"/>
    <m/>
    <s v="16.18"/>
    <n v="200"/>
    <s v="NL2018"/>
    <m/>
    <n v="50"/>
    <n v="10000"/>
    <x v="44"/>
    <n v="55000000"/>
    <x v="0"/>
    <d v="2019-02-15T00:00:00"/>
    <d v="2019-03-20T00:00:00"/>
    <d v="2019-03-20T00:00:00"/>
    <s v="15/2AL"/>
    <s v="CONT 12/2019"/>
    <m/>
    <m/>
    <d v="2019-03-20T00:00:00"/>
    <n v="6200"/>
    <d v="2019-04-01T00:00:00"/>
    <n v="3800"/>
    <m/>
    <m/>
    <m/>
    <m/>
    <n v="10000"/>
    <n v="0"/>
    <n v="0"/>
  </r>
  <r>
    <s v="165B/2019"/>
    <d v="2019-04-17T00:00:00"/>
    <s v="THANH THÚY"/>
    <s v="DN01"/>
    <x v="152"/>
    <x v="5"/>
    <s v="PROFUNDO"/>
    <m/>
    <s v="16.18"/>
    <n v="200"/>
    <s v="NL2018"/>
    <m/>
    <n v="13"/>
    <n v="2600"/>
    <x v="5"/>
    <n v="20020000"/>
    <x v="0"/>
    <d v="2019-03-15T00:00:00"/>
    <d v="2019-04-19T00:00:00"/>
    <d v="2019-04-19T00:00:00"/>
    <s v="15/3AL"/>
    <m/>
    <m/>
    <m/>
    <d v="2019-05-03T00:00:00"/>
    <n v="2600"/>
    <m/>
    <m/>
    <m/>
    <m/>
    <m/>
    <m/>
    <n v="2600"/>
    <n v="0"/>
    <n v="0"/>
  </r>
  <r>
    <s v="165B/2019"/>
    <d v="2019-04-17T00:00:00"/>
    <s v="THANH THÚY"/>
    <s v="DN01"/>
    <x v="152"/>
    <x v="80"/>
    <s v="PROFUNDO"/>
    <m/>
    <s v="14.16"/>
    <n v="300"/>
    <s v="NL2018"/>
    <m/>
    <n v="2"/>
    <n v="600"/>
    <x v="18"/>
    <n v="3000000"/>
    <x v="0"/>
    <d v="2019-03-15T00:00:00"/>
    <d v="2019-04-19T00:00:00"/>
    <d v="2019-04-19T00:00:00"/>
    <s v="15/3AL"/>
    <m/>
    <m/>
    <m/>
    <d v="2019-05-04T00:00:00"/>
    <n v="600"/>
    <m/>
    <m/>
    <m/>
    <m/>
    <m/>
    <m/>
    <n v="600"/>
    <n v="0"/>
    <n v="0"/>
  </r>
  <r>
    <s v="165B/2019"/>
    <d v="2019-04-17T00:00:00"/>
    <s v="THANH THÚY"/>
    <s v="DN01"/>
    <x v="152"/>
    <x v="62"/>
    <s v="BACARDI"/>
    <m/>
    <s v="15.16"/>
    <n v="300"/>
    <s v="NL2018"/>
    <m/>
    <n v="16"/>
    <n v="4800"/>
    <x v="13"/>
    <n v="21600000"/>
    <x v="0"/>
    <d v="2019-03-15T00:00:00"/>
    <d v="2019-04-19T00:00:00"/>
    <d v="2019-04-19T00:00:00"/>
    <s v="15/3AL"/>
    <m/>
    <m/>
    <m/>
    <d v="2019-04-24T00:00:00"/>
    <n v="4800"/>
    <m/>
    <m/>
    <m/>
    <m/>
    <m/>
    <m/>
    <n v="4800"/>
    <n v="0"/>
    <n v="0"/>
  </r>
  <r>
    <s v="165B/2019"/>
    <d v="2019-04-17T00:00:00"/>
    <s v="THANH THÚY"/>
    <s v="DN01"/>
    <x v="152"/>
    <x v="15"/>
    <s v="CONCADOR"/>
    <m/>
    <s v="16.18"/>
    <n v="200"/>
    <s v="NL2018"/>
    <m/>
    <n v="24"/>
    <n v="4800"/>
    <x v="9"/>
    <n v="29760000"/>
    <x v="0"/>
    <d v="2019-03-15T00:00:00"/>
    <d v="2019-04-19T00:00:00"/>
    <d v="2019-04-19T00:00:00"/>
    <s v="15/3AL"/>
    <m/>
    <m/>
    <m/>
    <d v="2019-04-24T00:00:00"/>
    <n v="4800"/>
    <m/>
    <m/>
    <m/>
    <m/>
    <m/>
    <m/>
    <n v="4800"/>
    <n v="0"/>
    <n v="0"/>
  </r>
  <r>
    <s v="122A/2019"/>
    <d v="2019-03-15T00:00:00"/>
    <s v="KIỀU THY"/>
    <s v="ML01"/>
    <x v="153"/>
    <x v="24"/>
    <s v="SERANO"/>
    <m/>
    <s v="14.16"/>
    <s v="300"/>
    <s v="NL2018"/>
    <m/>
    <n v="24"/>
    <n v="7200"/>
    <x v="68"/>
    <n v="25200000"/>
    <x v="0"/>
    <d v="2019-02-15T00:00:00"/>
    <d v="2019-03-20T00:00:00"/>
    <d v="2019-03-20T00:00:00"/>
    <s v="15/02AL"/>
    <s v="CONT 10/2019"/>
    <d v="2019-03-17T00:00:00"/>
    <m/>
    <d v="2019-03-25T00:00:00"/>
    <n v="7200"/>
    <m/>
    <m/>
    <m/>
    <m/>
    <m/>
    <m/>
    <n v="7200"/>
    <n v="0"/>
    <n v="0"/>
  </r>
  <r>
    <s v="122A/2019"/>
    <d v="2019-03-15T00:00:00"/>
    <s v="KIỀU THY"/>
    <s v="ML01"/>
    <x v="153"/>
    <x v="11"/>
    <s v="YELLOWEEN"/>
    <m/>
    <n v="12.14"/>
    <s v="400"/>
    <s v="NL2018"/>
    <m/>
    <n v="8"/>
    <n v="3200"/>
    <x v="12"/>
    <n v="8320000"/>
    <x v="0"/>
    <d v="2019-02-15T00:00:00"/>
    <d v="2019-03-20T00:00:00"/>
    <d v="2019-03-20T00:00:00"/>
    <s v="15/02AL"/>
    <s v="CONT 12/2019"/>
    <d v="2019-03-17T00:00:00"/>
    <m/>
    <d v="2019-03-25T00:00:00"/>
    <n v="3200"/>
    <m/>
    <m/>
    <m/>
    <m/>
    <m/>
    <m/>
    <n v="3200"/>
    <n v="0"/>
    <n v="0"/>
  </r>
  <r>
    <s v="122A/2019"/>
    <d v="2019-03-15T00:00:00"/>
    <s v="KIỀU THY"/>
    <s v="ML01"/>
    <x v="153"/>
    <x v="10"/>
    <s v="ARVANDRUD"/>
    <m/>
    <s v="16.18"/>
    <s v="200"/>
    <s v="NL2018"/>
    <m/>
    <n v="0"/>
    <n v="0"/>
    <x v="44"/>
    <n v="0"/>
    <x v="1"/>
    <d v="2019-03-15T00:00:00"/>
    <d v="2019-04-19T00:00:00"/>
    <d v="2019-04-19T00:00:00"/>
    <s v="15/3AL"/>
    <s v="CONT 21/2019"/>
    <d v="2019-04-14T00:00:00"/>
    <m/>
    <m/>
    <n v="0"/>
    <m/>
    <m/>
    <m/>
    <m/>
    <m/>
    <m/>
    <n v="0"/>
    <n v="0"/>
    <n v="0"/>
  </r>
  <r>
    <s v="122A/2019"/>
    <d v="2019-03-15T00:00:00"/>
    <s v="KIỀU THY"/>
    <s v="ML01"/>
    <x v="153"/>
    <x v="15"/>
    <s v="CONCADOR"/>
    <m/>
    <s v="16.18"/>
    <s v="200"/>
    <s v="NL2018"/>
    <m/>
    <n v="50"/>
    <n v="10000"/>
    <x v="18"/>
    <n v="50000000"/>
    <x v="0"/>
    <d v="2019-03-15T00:00:00"/>
    <d v="2019-04-19T00:00:00"/>
    <d v="2019-04-19T00:00:00"/>
    <s v="15/3AL"/>
    <s v="CONT 21/2019"/>
    <d v="2019-04-14T00:00:00"/>
    <m/>
    <d v="2019-04-24T00:00:00"/>
    <n v="10000"/>
    <m/>
    <m/>
    <m/>
    <m/>
    <m/>
    <m/>
    <n v="10000"/>
    <n v="0"/>
    <n v="0"/>
  </r>
  <r>
    <s v="122A/2019"/>
    <d v="2019-03-15T00:00:00"/>
    <s v="KIỀU THY"/>
    <s v="ML01"/>
    <x v="153"/>
    <x v="22"/>
    <s v="ROBINA"/>
    <m/>
    <s v="16.18"/>
    <s v="200"/>
    <s v="NL2018"/>
    <m/>
    <n v="100"/>
    <n v="20000"/>
    <x v="83"/>
    <n v="103400000"/>
    <x v="0"/>
    <d v="2019-04-17T00:00:00"/>
    <d v="2019-05-21T00:00:00"/>
    <d v="2019-05-21T00:00:00"/>
    <s v="30/3AL"/>
    <m/>
    <m/>
    <m/>
    <d v="2019-05-20T00:00:00"/>
    <n v="10000"/>
    <d v="2019-06-08T00:00:00"/>
    <n v="10000"/>
    <m/>
    <m/>
    <m/>
    <m/>
    <n v="20000"/>
    <n v="0"/>
    <n v="0"/>
  </r>
  <r>
    <s v="122A/2019"/>
    <d v="2019-03-15T00:00:00"/>
    <s v="KIỀU THY"/>
    <s v="ML01"/>
    <x v="153"/>
    <x v="11"/>
    <s v="YELLOWEEN"/>
    <m/>
    <n v="12.14"/>
    <s v="400"/>
    <s v="NL2018"/>
    <m/>
    <n v="0"/>
    <n v="0"/>
    <x v="47"/>
    <n v="0"/>
    <x v="1"/>
    <d v="2019-04-17T00:00:00"/>
    <d v="2019-05-21T00:00:00"/>
    <d v="2019-05-21T00:00:00"/>
    <s v="30/3AL"/>
    <m/>
    <m/>
    <m/>
    <m/>
    <n v="0"/>
    <m/>
    <m/>
    <m/>
    <m/>
    <m/>
    <m/>
    <n v="0"/>
    <n v="0"/>
    <n v="0"/>
  </r>
  <r>
    <s v="150A/2019"/>
    <d v="2019-03-15T00:00:00"/>
    <s v="KIỀU THY"/>
    <s v="ML01"/>
    <x v="153"/>
    <x v="6"/>
    <s v="CONCADOR"/>
    <m/>
    <s v="20.22"/>
    <s v="125"/>
    <s v="NL2018"/>
    <m/>
    <n v="160"/>
    <n v="20000"/>
    <x v="59"/>
    <n v="210000000"/>
    <x v="2"/>
    <d v="2019-09-01T00:00:00"/>
    <d v="2019-09-29T00:00:00"/>
    <d v="2019-09-29T00:00:00"/>
    <s v="TẾT"/>
    <m/>
    <m/>
    <m/>
    <m/>
    <m/>
    <m/>
    <m/>
    <m/>
    <m/>
    <m/>
    <m/>
    <n v="0"/>
    <n v="20000"/>
    <n v="210000000"/>
  </r>
  <r>
    <s v="150A/2019"/>
    <d v="2019-03-15T00:00:00"/>
    <s v="KIỀU THY"/>
    <s v="ML01"/>
    <x v="153"/>
    <x v="16"/>
    <s v="ROBINA"/>
    <m/>
    <s v="20.22"/>
    <s v="125"/>
    <s v="NL2018"/>
    <m/>
    <n v="160"/>
    <n v="20000"/>
    <x v="59"/>
    <n v="210000000"/>
    <x v="2"/>
    <d v="2019-09-01T00:00:00"/>
    <d v="2019-09-29T00:00:00"/>
    <d v="2019-09-29T00:00:00"/>
    <s v="TẾT"/>
    <m/>
    <m/>
    <m/>
    <m/>
    <m/>
    <m/>
    <m/>
    <m/>
    <m/>
    <m/>
    <m/>
    <n v="0"/>
    <n v="20000"/>
    <n v="210000000"/>
  </r>
  <r>
    <s v="192A/2019"/>
    <d v="2019-04-12T00:00:00"/>
    <s v="KIỀU THY"/>
    <s v="ML01"/>
    <x v="153"/>
    <x v="22"/>
    <s v="ROBINA"/>
    <m/>
    <s v="16.18"/>
    <s v="200"/>
    <s v="NL2018"/>
    <m/>
    <n v="50"/>
    <n v="10000"/>
    <x v="11"/>
    <n v="54000000"/>
    <x v="3"/>
    <d v="2019-05-18T00:00:00"/>
    <d v="2019-06-20T00:00:00"/>
    <d v="2019-06-20T00:00:00"/>
    <s v="18/5AL"/>
    <m/>
    <m/>
    <m/>
    <m/>
    <m/>
    <m/>
    <m/>
    <m/>
    <m/>
    <m/>
    <m/>
    <n v="0"/>
    <n v="10000"/>
    <n v="54000000"/>
  </r>
  <r>
    <s v="192A/2019"/>
    <d v="2019-06-08T00:00:00"/>
    <s v="KIỀU THY"/>
    <s v="ML01"/>
    <x v="153"/>
    <x v="22"/>
    <s v="ROBINA"/>
    <m/>
    <s v="16.18"/>
    <s v="200"/>
    <s v="NL2018"/>
    <m/>
    <n v="100"/>
    <n v="20000"/>
    <x v="11"/>
    <n v="108000000"/>
    <x v="3"/>
    <d v="2019-06-15T00:00:00"/>
    <d v="2019-07-17T00:00:00"/>
    <d v="2019-07-17T00:00:00"/>
    <m/>
    <m/>
    <m/>
    <m/>
    <m/>
    <m/>
    <m/>
    <m/>
    <m/>
    <m/>
    <m/>
    <m/>
    <n v="0"/>
    <n v="20000"/>
    <n v="108000000"/>
  </r>
  <r>
    <s v="193A/2019"/>
    <d v="2019-04-12T00:00:00"/>
    <s v="KIỀU THY"/>
    <s v="ML01"/>
    <x v="153"/>
    <x v="25"/>
    <s v="CONCADOR"/>
    <m/>
    <s v="18.20"/>
    <s v="150"/>
    <s v="NL2018"/>
    <m/>
    <n v="0"/>
    <n v="0"/>
    <x v="27"/>
    <n v="0"/>
    <x v="1"/>
    <d v="2019-09-01T00:00:00"/>
    <d v="2019-09-29T00:00:00"/>
    <d v="2019-09-29T00:00:00"/>
    <s v="TẾT"/>
    <m/>
    <m/>
    <m/>
    <m/>
    <m/>
    <m/>
    <m/>
    <m/>
    <m/>
    <m/>
    <m/>
    <n v="0"/>
    <n v="0"/>
    <n v="0"/>
  </r>
  <r>
    <s v="193A/2019"/>
    <d v="2019-04-12T00:00:00"/>
    <s v="KIỀU THY"/>
    <s v="ML01"/>
    <x v="153"/>
    <x v="47"/>
    <s v="ROBINA"/>
    <m/>
    <s v="18.20"/>
    <s v="150"/>
    <s v="NL2018"/>
    <m/>
    <n v="0"/>
    <n v="0"/>
    <x v="118"/>
    <n v="0"/>
    <x v="1"/>
    <d v="2019-09-01T00:00:00"/>
    <d v="2019-09-29T00:00:00"/>
    <d v="2019-09-29T00:00:00"/>
    <s v="TẾT"/>
    <m/>
    <m/>
    <m/>
    <m/>
    <m/>
    <m/>
    <m/>
    <m/>
    <m/>
    <m/>
    <m/>
    <n v="0"/>
    <n v="0"/>
    <n v="0"/>
  </r>
  <r>
    <s v="193A/2019"/>
    <d v="2019-04-12T00:00:00"/>
    <s v="KIỀU THY"/>
    <s v="ML01"/>
    <x v="153"/>
    <x v="64"/>
    <s v="TARRANGO"/>
    <m/>
    <s v="18.20"/>
    <s v="150"/>
    <s v="NL2018"/>
    <m/>
    <n v="34"/>
    <n v="5100"/>
    <x v="115"/>
    <n v="47430000"/>
    <x v="2"/>
    <d v="2019-09-01T00:00:00"/>
    <d v="2019-09-29T00:00:00"/>
    <d v="2019-09-29T00:00:00"/>
    <s v="TẾT"/>
    <m/>
    <m/>
    <m/>
    <m/>
    <m/>
    <m/>
    <m/>
    <m/>
    <m/>
    <m/>
    <m/>
    <n v="0"/>
    <n v="5100"/>
    <n v="47430000"/>
  </r>
  <r>
    <m/>
    <m/>
    <m/>
    <m/>
    <x v="154"/>
    <x v="47"/>
    <s v="ROBINA"/>
    <m/>
    <s v="18.20"/>
    <s v="150"/>
    <s v="NL2018"/>
    <m/>
    <n v="9"/>
    <n v="1350"/>
    <x v="93"/>
    <m/>
    <x v="4"/>
    <m/>
    <s v=""/>
    <s v=""/>
    <m/>
    <m/>
    <m/>
    <m/>
    <m/>
    <m/>
    <m/>
    <m/>
    <m/>
    <m/>
    <m/>
    <m/>
    <n v="0"/>
    <n v="1350"/>
    <n v="0"/>
  </r>
  <r>
    <m/>
    <m/>
    <m/>
    <m/>
    <x v="154"/>
    <x v="15"/>
    <s v="CONCADOR"/>
    <m/>
    <s v="16.18"/>
    <s v="200"/>
    <s v="NL2018"/>
    <m/>
    <n v="25"/>
    <n v="5000"/>
    <x v="93"/>
    <m/>
    <x v="4"/>
    <m/>
    <s v=""/>
    <s v=""/>
    <m/>
    <m/>
    <m/>
    <m/>
    <m/>
    <m/>
    <m/>
    <m/>
    <m/>
    <m/>
    <m/>
    <m/>
    <n v="0"/>
    <n v="5000"/>
    <n v="0"/>
  </r>
  <r>
    <m/>
    <m/>
    <m/>
    <m/>
    <x v="154"/>
    <x v="22"/>
    <s v="ROBINA"/>
    <m/>
    <s v="16.18"/>
    <s v="200"/>
    <s v="NL2018"/>
    <m/>
    <n v="30"/>
    <n v="6000"/>
    <x v="93"/>
    <m/>
    <x v="4"/>
    <m/>
    <s v=""/>
    <s v=""/>
    <m/>
    <m/>
    <m/>
    <m/>
    <m/>
    <m/>
    <m/>
    <m/>
    <m/>
    <m/>
    <m/>
    <m/>
    <n v="0"/>
    <n v="6000"/>
    <n v="0"/>
  </r>
  <r>
    <m/>
    <m/>
    <m/>
    <m/>
    <x v="155"/>
    <x v="91"/>
    <s v="FERRERO"/>
    <m/>
    <s v="13.14"/>
    <s v="400"/>
    <s v="NL2018"/>
    <m/>
    <n v="38"/>
    <n v="15200"/>
    <x v="93"/>
    <m/>
    <x v="4"/>
    <m/>
    <s v=""/>
    <s v=""/>
    <m/>
    <m/>
    <m/>
    <m/>
    <m/>
    <m/>
    <m/>
    <m/>
    <m/>
    <m/>
    <m/>
    <m/>
    <n v="0"/>
    <n v="15200"/>
    <n v="0"/>
  </r>
  <r>
    <m/>
    <m/>
    <m/>
    <m/>
    <x v="156"/>
    <x v="190"/>
    <m/>
    <m/>
    <m/>
    <m/>
    <m/>
    <m/>
    <m/>
    <m/>
    <x v="93"/>
    <m/>
    <x v="5"/>
    <m/>
    <s v=""/>
    <s v=""/>
    <m/>
    <m/>
    <m/>
    <m/>
    <m/>
    <m/>
    <m/>
    <m/>
    <m/>
    <m/>
    <m/>
    <m/>
    <n v="0"/>
    <n v="0"/>
    <n v="0"/>
  </r>
  <r>
    <m/>
    <m/>
    <m/>
    <m/>
    <x v="156"/>
    <x v="190"/>
    <m/>
    <m/>
    <m/>
    <m/>
    <m/>
    <m/>
    <m/>
    <m/>
    <x v="93"/>
    <m/>
    <x v="5"/>
    <m/>
    <s v=""/>
    <s v=""/>
    <m/>
    <m/>
    <m/>
    <m/>
    <m/>
    <m/>
    <m/>
    <m/>
    <m/>
    <m/>
    <m/>
    <m/>
    <n v="0"/>
    <n v="0"/>
    <n v="0"/>
  </r>
  <r>
    <m/>
    <m/>
    <m/>
    <m/>
    <x v="156"/>
    <x v="190"/>
    <m/>
    <m/>
    <m/>
    <m/>
    <m/>
    <m/>
    <m/>
    <m/>
    <x v="93"/>
    <m/>
    <x v="5"/>
    <m/>
    <s v=""/>
    <s v=""/>
    <m/>
    <m/>
    <m/>
    <m/>
    <m/>
    <m/>
    <m/>
    <m/>
    <m/>
    <m/>
    <m/>
    <m/>
    <n v="0"/>
    <n v="0"/>
    <n v="0"/>
  </r>
  <r>
    <m/>
    <m/>
    <m/>
    <m/>
    <x v="156"/>
    <x v="190"/>
    <m/>
    <m/>
    <m/>
    <m/>
    <m/>
    <m/>
    <m/>
    <m/>
    <x v="93"/>
    <m/>
    <x v="5"/>
    <m/>
    <s v=""/>
    <s v=""/>
    <m/>
    <m/>
    <m/>
    <m/>
    <m/>
    <m/>
    <m/>
    <m/>
    <m/>
    <m/>
    <m/>
    <m/>
    <n v="0"/>
    <n v="0"/>
    <n v="0"/>
  </r>
  <r>
    <m/>
    <m/>
    <m/>
    <m/>
    <x v="156"/>
    <x v="190"/>
    <m/>
    <m/>
    <m/>
    <m/>
    <m/>
    <m/>
    <m/>
    <m/>
    <x v="93"/>
    <m/>
    <x v="5"/>
    <m/>
    <s v=""/>
    <s v=""/>
    <m/>
    <m/>
    <m/>
    <m/>
    <m/>
    <m/>
    <m/>
    <m/>
    <m/>
    <m/>
    <m/>
    <m/>
    <n v="0"/>
    <n v="0"/>
    <n v="0"/>
  </r>
  <r>
    <m/>
    <m/>
    <m/>
    <m/>
    <x v="156"/>
    <x v="190"/>
    <m/>
    <m/>
    <m/>
    <m/>
    <m/>
    <m/>
    <m/>
    <m/>
    <x v="93"/>
    <m/>
    <x v="5"/>
    <m/>
    <m/>
    <m/>
    <m/>
    <m/>
    <m/>
    <m/>
    <m/>
    <m/>
    <m/>
    <m/>
    <m/>
    <m/>
    <m/>
    <m/>
    <m/>
    <m/>
    <m/>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21">
  <r>
    <s v="122A/2019"/>
    <d v="2019-03-15T00:00:00"/>
    <s v="KIỀU THY"/>
    <s v="ML01"/>
    <x v="0"/>
    <x v="0"/>
    <s v="YELLOWEEN"/>
    <m/>
    <n v="12.14"/>
    <s v="400"/>
    <s v="NL2018"/>
    <m/>
    <n v="8"/>
    <n v="3200"/>
    <x v="0"/>
    <n v="8320000"/>
    <x v="0"/>
    <x v="0"/>
    <d v="2019-03-20T00:00:00"/>
    <d v="2019-03-20T00:00:00"/>
    <s v="15/02AL"/>
    <s v="CONT 12/2019"/>
    <d v="2019-03-17T00:00:00"/>
    <m/>
    <d v="2019-03-25T00:00:00"/>
    <n v="3200"/>
    <m/>
    <m/>
    <m/>
    <m/>
    <m/>
    <m/>
    <n v="3200"/>
    <n v="0"/>
    <n v="0"/>
    <m/>
  </r>
  <r>
    <s v="122A/2019"/>
    <d v="2019-03-15T00:00:00"/>
    <s v="KIỀU THY"/>
    <s v="ML01"/>
    <x v="0"/>
    <x v="0"/>
    <s v="YELLOWEEN"/>
    <m/>
    <n v="12.14"/>
    <s v="400"/>
    <s v="NL2018"/>
    <m/>
    <n v="0"/>
    <n v="0"/>
    <x v="1"/>
    <n v="0"/>
    <x v="1"/>
    <x v="1"/>
    <d v="2019-05-21T00:00:00"/>
    <d v="2019-05-21T00:00:00"/>
    <s v="30/3AL"/>
    <m/>
    <m/>
    <m/>
    <m/>
    <n v="0"/>
    <m/>
    <m/>
    <m/>
    <m/>
    <m/>
    <m/>
    <n v="0"/>
    <n v="0"/>
    <n v="0"/>
    <m/>
  </r>
  <r>
    <s v="193A/2019"/>
    <d v="2019-04-12T00:00:00"/>
    <s v="KIỀU THY"/>
    <s v="ML01"/>
    <x v="0"/>
    <x v="1"/>
    <s v="TARRANGO"/>
    <m/>
    <s v="18.20"/>
    <s v="150"/>
    <s v="NL2018"/>
    <m/>
    <n v="34"/>
    <n v="5100"/>
    <x v="2"/>
    <n v="47430000"/>
    <x v="2"/>
    <x v="2"/>
    <d v="2019-09-29T00:00:00"/>
    <d v="2019-09-29T00:00:00"/>
    <s v="TẾT"/>
    <m/>
    <m/>
    <m/>
    <m/>
    <m/>
    <m/>
    <m/>
    <m/>
    <m/>
    <m/>
    <m/>
    <n v="0"/>
    <n v="5100"/>
    <n v="47430000"/>
    <m/>
  </r>
  <r>
    <s v="122A/2019"/>
    <d v="2019-03-15T00:00:00"/>
    <s v="KIỀU THY"/>
    <s v="ML01"/>
    <x v="0"/>
    <x v="2"/>
    <s v="SERANO"/>
    <m/>
    <s v="14.16"/>
    <s v="300"/>
    <s v="NL2018"/>
    <m/>
    <n v="24"/>
    <n v="7200"/>
    <x v="3"/>
    <n v="25200000"/>
    <x v="0"/>
    <x v="0"/>
    <d v="2019-03-20T00:00:00"/>
    <d v="2019-03-20T00:00:00"/>
    <s v="15/02AL"/>
    <s v="CONT 10/2019"/>
    <d v="2019-03-17T00:00:00"/>
    <m/>
    <d v="2019-03-25T00:00:00"/>
    <n v="7200"/>
    <m/>
    <m/>
    <m/>
    <m/>
    <m/>
    <m/>
    <n v="7200"/>
    <n v="0"/>
    <n v="0"/>
    <m/>
  </r>
  <r>
    <s v="122A/2019"/>
    <d v="2019-03-15T00:00:00"/>
    <s v="KIỀU THY"/>
    <s v="ML01"/>
    <x v="0"/>
    <x v="3"/>
    <s v="ROBINA"/>
    <m/>
    <s v="16.18"/>
    <s v="200"/>
    <s v="NL2018"/>
    <m/>
    <n v="100"/>
    <n v="20000"/>
    <x v="4"/>
    <n v="103400000"/>
    <x v="0"/>
    <x v="1"/>
    <d v="2019-05-21T00:00:00"/>
    <d v="2019-05-21T00:00:00"/>
    <s v="30/3AL"/>
    <m/>
    <m/>
    <m/>
    <d v="2019-05-20T00:00:00"/>
    <n v="10000"/>
    <d v="2019-06-08T00:00:00"/>
    <n v="10000"/>
    <m/>
    <m/>
    <m/>
    <m/>
    <n v="20000"/>
    <n v="0"/>
    <n v="0"/>
    <m/>
  </r>
  <r>
    <s v="150A/2019"/>
    <d v="2019-03-15T00:00:00"/>
    <s v="KIỀU THY"/>
    <s v="ML01"/>
    <x v="0"/>
    <x v="4"/>
    <s v="ROBINA"/>
    <m/>
    <s v="20.22"/>
    <s v="125"/>
    <s v="NL2018"/>
    <m/>
    <n v="160"/>
    <n v="20000"/>
    <x v="5"/>
    <n v="210000000"/>
    <x v="2"/>
    <x v="2"/>
    <d v="2019-09-29T00:00:00"/>
    <d v="2019-09-29T00:00:00"/>
    <s v="TẾT"/>
    <m/>
    <m/>
    <m/>
    <m/>
    <m/>
    <m/>
    <m/>
    <m/>
    <m/>
    <m/>
    <m/>
    <n v="0"/>
    <n v="20000"/>
    <n v="210000000"/>
    <m/>
  </r>
  <r>
    <s v="192A/2019"/>
    <d v="2019-04-12T00:00:00"/>
    <s v="KIỀU THY"/>
    <s v="ML01"/>
    <x v="0"/>
    <x v="3"/>
    <s v="ROBINA"/>
    <m/>
    <s v="16.18"/>
    <s v="200"/>
    <s v="NL2018"/>
    <m/>
    <n v="0"/>
    <n v="0"/>
    <x v="6"/>
    <n v="0"/>
    <x v="1"/>
    <x v="3"/>
    <d v="2019-06-20T00:00:00"/>
    <d v="2019-06-20T00:00:00"/>
    <s v="18/5AL"/>
    <m/>
    <m/>
    <m/>
    <m/>
    <m/>
    <m/>
    <m/>
    <m/>
    <m/>
    <m/>
    <m/>
    <n v="0"/>
    <n v="0"/>
    <n v="0"/>
    <m/>
  </r>
  <r>
    <s v="192A/2019"/>
    <d v="2019-06-08T00:00:00"/>
    <s v="KIỀU THY"/>
    <s v="ML01"/>
    <x v="0"/>
    <x v="3"/>
    <s v="ROBINA"/>
    <m/>
    <s v="16.18"/>
    <s v="200"/>
    <s v="NL2018"/>
    <m/>
    <n v="0"/>
    <n v="0"/>
    <x v="6"/>
    <n v="0"/>
    <x v="1"/>
    <x v="4"/>
    <d v="2019-07-17T00:00:00"/>
    <d v="2019-07-17T00:00:00"/>
    <m/>
    <m/>
    <m/>
    <m/>
    <m/>
    <m/>
    <m/>
    <m/>
    <m/>
    <m/>
    <m/>
    <m/>
    <n v="0"/>
    <n v="0"/>
    <n v="0"/>
    <m/>
  </r>
  <r>
    <s v="193A/2019"/>
    <d v="2019-04-12T00:00:00"/>
    <s v="KIỀU THY"/>
    <s v="ML01"/>
    <x v="0"/>
    <x v="5"/>
    <s v="ROBINA"/>
    <m/>
    <s v="18.20"/>
    <s v="150"/>
    <s v="NL2018"/>
    <m/>
    <n v="0"/>
    <n v="0"/>
    <x v="7"/>
    <n v="0"/>
    <x v="1"/>
    <x v="2"/>
    <d v="2019-09-29T00:00:00"/>
    <d v="2019-09-29T00:00:00"/>
    <s v="TẾT"/>
    <m/>
    <m/>
    <m/>
    <m/>
    <m/>
    <m/>
    <m/>
    <m/>
    <m/>
    <m/>
    <m/>
    <n v="0"/>
    <n v="0"/>
    <n v="0"/>
    <m/>
  </r>
  <r>
    <s v="122A/2019"/>
    <d v="2019-03-15T00:00:00"/>
    <s v="KIỀU THY"/>
    <s v="ML01"/>
    <x v="0"/>
    <x v="6"/>
    <s v="CONCADOR"/>
    <m/>
    <s v="16.18"/>
    <s v="200"/>
    <s v="NL2018"/>
    <m/>
    <n v="50"/>
    <n v="10000"/>
    <x v="8"/>
    <n v="50000000"/>
    <x v="0"/>
    <x v="5"/>
    <d v="2019-04-19T00:00:00"/>
    <d v="2019-04-19T00:00:00"/>
    <s v="15/3AL"/>
    <s v="CONT 21/2019"/>
    <d v="2019-04-14T00:00:00"/>
    <m/>
    <d v="2019-04-24T00:00:00"/>
    <n v="10000"/>
    <m/>
    <m/>
    <m/>
    <m/>
    <m/>
    <m/>
    <n v="10000"/>
    <n v="0"/>
    <n v="0"/>
    <m/>
  </r>
  <r>
    <s v="150A/2019"/>
    <d v="2019-03-15T00:00:00"/>
    <s v="KIỀU THY"/>
    <s v="ML01"/>
    <x v="0"/>
    <x v="7"/>
    <s v="CONCADOR"/>
    <m/>
    <s v="20.22"/>
    <s v="125"/>
    <s v="NL2018"/>
    <m/>
    <n v="160"/>
    <n v="20000"/>
    <x v="5"/>
    <n v="210000000"/>
    <x v="2"/>
    <x v="2"/>
    <d v="2019-09-29T00:00:00"/>
    <d v="2019-09-29T00:00:00"/>
    <s v="TẾT"/>
    <m/>
    <m/>
    <m/>
    <m/>
    <m/>
    <m/>
    <m/>
    <m/>
    <m/>
    <m/>
    <m/>
    <n v="0"/>
    <n v="20000"/>
    <n v="210000000"/>
    <m/>
  </r>
  <r>
    <s v="193A/2019"/>
    <d v="2019-04-12T00:00:00"/>
    <s v="KIỀU THY"/>
    <s v="ML01"/>
    <x v="0"/>
    <x v="8"/>
    <s v="CONCADOR"/>
    <m/>
    <s v="18.20"/>
    <s v="150"/>
    <s v="NL2018"/>
    <m/>
    <n v="0"/>
    <n v="0"/>
    <x v="9"/>
    <n v="0"/>
    <x v="1"/>
    <x v="2"/>
    <d v="2019-09-29T00:00:00"/>
    <d v="2019-09-29T00:00:00"/>
    <s v="TẾT"/>
    <m/>
    <m/>
    <m/>
    <m/>
    <m/>
    <m/>
    <m/>
    <m/>
    <m/>
    <m/>
    <m/>
    <n v="0"/>
    <n v="0"/>
    <n v="0"/>
    <m/>
  </r>
  <r>
    <s v="122A/2019"/>
    <d v="2019-03-15T00:00:00"/>
    <s v="KIỀU THY"/>
    <s v="ML01"/>
    <x v="0"/>
    <x v="9"/>
    <s v="ARVANDRUD"/>
    <m/>
    <s v="16.18"/>
    <s v="200"/>
    <s v="NL2018"/>
    <m/>
    <n v="0"/>
    <n v="0"/>
    <x v="10"/>
    <n v="0"/>
    <x v="1"/>
    <x v="5"/>
    <d v="2019-04-19T00:00:00"/>
    <d v="2019-04-19T00:00:00"/>
    <s v="15/3AL"/>
    <s v="CONT 21/2019"/>
    <d v="2019-04-14T00:00:00"/>
    <m/>
    <m/>
    <n v="0"/>
    <m/>
    <m/>
    <m/>
    <m/>
    <m/>
    <m/>
    <n v="0"/>
    <n v="0"/>
    <n v="0"/>
    <m/>
  </r>
  <r>
    <s v="45B/2019"/>
    <d v="2019-02-12T00:00:00"/>
    <s v="THANH THÚY"/>
    <s v="DN01"/>
    <x v="1"/>
    <x v="10"/>
    <s v="TARRANGO"/>
    <m/>
    <s v="16.18"/>
    <n v="200"/>
    <s v="NL2018"/>
    <m/>
    <n v="50"/>
    <n v="10000"/>
    <x v="10"/>
    <n v="55000000"/>
    <x v="0"/>
    <x v="0"/>
    <d v="2019-03-20T00:00:00"/>
    <d v="2019-03-20T00:00:00"/>
    <s v="15/2AL"/>
    <s v="CONT 12/2019"/>
    <m/>
    <m/>
    <d v="2019-03-20T00:00:00"/>
    <n v="6200"/>
    <d v="2019-04-01T00:00:00"/>
    <n v="3800"/>
    <m/>
    <m/>
    <m/>
    <m/>
    <n v="10000"/>
    <n v="0"/>
    <n v="0"/>
    <d v="2019-12-27T00:00:00"/>
  </r>
  <r>
    <s v="165B/2019"/>
    <d v="2019-04-17T00:00:00"/>
    <s v="THANH THÚY"/>
    <s v="DN01"/>
    <x v="1"/>
    <x v="11"/>
    <s v="PROFUNDO"/>
    <m/>
    <s v="16.18"/>
    <n v="200"/>
    <s v="NL2018"/>
    <m/>
    <n v="13"/>
    <n v="2600"/>
    <x v="11"/>
    <n v="20020000"/>
    <x v="0"/>
    <x v="5"/>
    <d v="2019-04-19T00:00:00"/>
    <d v="2019-04-19T00:00:00"/>
    <s v="15/3AL"/>
    <m/>
    <m/>
    <m/>
    <d v="2019-05-03T00:00:00"/>
    <n v="2600"/>
    <m/>
    <m/>
    <m/>
    <m/>
    <m/>
    <m/>
    <n v="2600"/>
    <n v="0"/>
    <n v="0"/>
    <m/>
  </r>
  <r>
    <s v="165B/2019"/>
    <d v="2019-04-17T00:00:00"/>
    <s v="THANH THÚY"/>
    <s v="DN01"/>
    <x v="1"/>
    <x v="12"/>
    <s v="PROFUNDO"/>
    <m/>
    <s v="14.16"/>
    <n v="300"/>
    <s v="NL2018"/>
    <m/>
    <n v="2"/>
    <n v="600"/>
    <x v="8"/>
    <n v="3000000"/>
    <x v="0"/>
    <x v="5"/>
    <d v="2019-04-19T00:00:00"/>
    <d v="2019-04-19T00:00:00"/>
    <s v="15/3AL"/>
    <m/>
    <m/>
    <m/>
    <d v="2019-05-04T00:00:00"/>
    <n v="600"/>
    <m/>
    <m/>
    <m/>
    <m/>
    <m/>
    <m/>
    <n v="600"/>
    <n v="0"/>
    <n v="0"/>
    <m/>
  </r>
  <r>
    <s v="45B/2019"/>
    <d v="2019-02-12T00:00:00"/>
    <s v="THANH THÚY"/>
    <s v="DN01"/>
    <x v="1"/>
    <x v="6"/>
    <s v="CONCADOR"/>
    <m/>
    <s v="16.18"/>
    <n v="200"/>
    <s v="NL2018"/>
    <m/>
    <n v="50"/>
    <n v="10000"/>
    <x v="12"/>
    <n v="47000000"/>
    <x v="0"/>
    <x v="0"/>
    <d v="2019-03-20T00:00:00"/>
    <d v="2019-03-20T00:00:00"/>
    <s v="15/2AL"/>
    <s v="CONT 11/2019"/>
    <m/>
    <m/>
    <d v="2019-03-20T00:00:00"/>
    <n v="5000"/>
    <d v="2019-04-01T00:00:00"/>
    <n v="5000"/>
    <m/>
    <m/>
    <m/>
    <m/>
    <n v="10000"/>
    <n v="0"/>
    <n v="0"/>
    <d v="2019-12-27T00:00:00"/>
  </r>
  <r>
    <s v="165B/2019"/>
    <d v="2019-04-17T00:00:00"/>
    <s v="THANH THÚY"/>
    <s v="DN01"/>
    <x v="1"/>
    <x v="6"/>
    <s v="CONCADOR"/>
    <m/>
    <s v="16.18"/>
    <n v="200"/>
    <s v="NL2018"/>
    <m/>
    <n v="24"/>
    <n v="4800"/>
    <x v="13"/>
    <n v="29760000"/>
    <x v="0"/>
    <x v="5"/>
    <d v="2019-04-19T00:00:00"/>
    <d v="2019-04-19T00:00:00"/>
    <s v="15/3AL"/>
    <m/>
    <m/>
    <m/>
    <d v="2019-04-24T00:00:00"/>
    <n v="4800"/>
    <m/>
    <m/>
    <m/>
    <m/>
    <m/>
    <m/>
    <n v="4800"/>
    <n v="0"/>
    <n v="0"/>
    <m/>
  </r>
  <r>
    <s v="165B/2019"/>
    <d v="2019-04-17T00:00:00"/>
    <s v="THANH THÚY"/>
    <s v="DN01"/>
    <x v="1"/>
    <x v="13"/>
    <s v="BACARDI"/>
    <m/>
    <s v="15.16"/>
    <n v="300"/>
    <s v="NL2018"/>
    <m/>
    <n v="16"/>
    <n v="4800"/>
    <x v="14"/>
    <n v="21600000"/>
    <x v="0"/>
    <x v="5"/>
    <d v="2019-04-19T00:00:00"/>
    <d v="2019-04-19T00:00:00"/>
    <s v="15/3AL"/>
    <m/>
    <m/>
    <m/>
    <d v="2019-04-24T00:00:00"/>
    <n v="4800"/>
    <m/>
    <m/>
    <m/>
    <m/>
    <m/>
    <m/>
    <n v="4800"/>
    <n v="0"/>
    <n v="0"/>
    <m/>
  </r>
  <r>
    <s v="253/2019"/>
    <d v="2019-06-24T00:00:00"/>
    <s v="THANH THÚY"/>
    <s v="DN01"/>
    <x v="1"/>
    <x v="14"/>
    <s v="CONCADOR"/>
    <m/>
    <s v="24.26"/>
    <n v="80"/>
    <s v="NL2018"/>
    <m/>
    <n v="63"/>
    <n v="5040"/>
    <x v="15"/>
    <n v="76608000"/>
    <x v="2"/>
    <x v="2"/>
    <d v="2019-09-29T00:00:00"/>
    <d v="2019-09-29T00:00:00"/>
    <s v="TẾT"/>
    <m/>
    <m/>
    <m/>
    <m/>
    <m/>
    <m/>
    <m/>
    <m/>
    <m/>
    <m/>
    <m/>
    <n v="0"/>
    <n v="5040"/>
    <n v="76608000"/>
    <m/>
  </r>
  <r>
    <s v="42B/2019"/>
    <d v="2019-02-11T00:00:00"/>
    <s v="THANH THÚY"/>
    <s v="MT01"/>
    <x v="2"/>
    <x v="0"/>
    <s v="YELLOWEEN"/>
    <m/>
    <s v="12.14"/>
    <n v="400"/>
    <s v="NL2018"/>
    <m/>
    <n v="40"/>
    <n v="16000"/>
    <x v="0"/>
    <n v="41600000"/>
    <x v="0"/>
    <x v="6"/>
    <d v="2019-02-19T00:00:00"/>
    <d v="2019-02-19T00:00:00"/>
    <s v="15/1AL"/>
    <m/>
    <m/>
    <m/>
    <d v="2019-02-19T00:00:00"/>
    <n v="16000"/>
    <m/>
    <m/>
    <m/>
    <m/>
    <m/>
    <m/>
    <n v="16000"/>
    <n v="0"/>
    <n v="0"/>
    <d v="2019-12-27T00:00:00"/>
  </r>
  <r>
    <s v="42B/2019"/>
    <d v="2019-02-11T00:00:00"/>
    <s v="THANH THÚY"/>
    <s v="MT01"/>
    <x v="2"/>
    <x v="15"/>
    <s v="STENDHAL"/>
    <m/>
    <s v="16.18"/>
    <n v="200"/>
    <s v="NL2018"/>
    <m/>
    <n v="0"/>
    <n v="0"/>
    <x v="8"/>
    <n v="0"/>
    <x v="1"/>
    <x v="7"/>
    <d v="2019-03-10T00:00:00"/>
    <d v="2019-03-10T00:00:00"/>
    <s v="07/2AL"/>
    <m/>
    <m/>
    <m/>
    <m/>
    <n v="0"/>
    <m/>
    <m/>
    <m/>
    <m/>
    <m/>
    <m/>
    <n v="0"/>
    <n v="0"/>
    <n v="0"/>
    <m/>
  </r>
  <r>
    <s v="42B/2019"/>
    <d v="2019-02-11T00:00:00"/>
    <s v="THANH THÚY"/>
    <s v="MT01"/>
    <x v="2"/>
    <x v="16"/>
    <s v="STENDHAL"/>
    <m/>
    <s v="18.20"/>
    <n v="150"/>
    <s v="NL2018"/>
    <m/>
    <n v="0"/>
    <n v="0"/>
    <x v="8"/>
    <n v="0"/>
    <x v="1"/>
    <x v="7"/>
    <d v="2019-03-10T00:00:00"/>
    <d v="2019-03-10T00:00:00"/>
    <s v="07/2AL"/>
    <m/>
    <m/>
    <m/>
    <m/>
    <n v="0"/>
    <m/>
    <m/>
    <m/>
    <m/>
    <m/>
    <m/>
    <n v="0"/>
    <n v="0"/>
    <n v="0"/>
    <m/>
  </r>
  <r>
    <s v="170B/2019"/>
    <d v="2019-04-19T00:00:00"/>
    <s v="THANH THÚY"/>
    <s v="PKL01"/>
    <x v="3"/>
    <x v="17"/>
    <s v="THALITA"/>
    <s v="RL"/>
    <s v="12.14"/>
    <n v="400"/>
    <s v="NL2018"/>
    <m/>
    <n v="0"/>
    <n v="0"/>
    <x v="16"/>
    <n v="0"/>
    <x v="1"/>
    <x v="8"/>
    <d v="2019-04-22T00:00:00"/>
    <d v="2019-04-22T00:00:00"/>
    <s v="18/3AL"/>
    <m/>
    <m/>
    <m/>
    <m/>
    <m/>
    <m/>
    <m/>
    <m/>
    <m/>
    <m/>
    <m/>
    <n v="0"/>
    <n v="0"/>
    <n v="0"/>
    <m/>
  </r>
  <r>
    <s v="170B/2019"/>
    <d v="2019-04-19T00:00:00"/>
    <s v="THANH THÚY"/>
    <s v="PKL01"/>
    <x v="3"/>
    <x v="18"/>
    <s v="TATSJANA"/>
    <s v="RL"/>
    <s v="12.14"/>
    <n v="350"/>
    <s v="NL2018"/>
    <m/>
    <n v="0"/>
    <n v="0"/>
    <x v="17"/>
    <n v="0"/>
    <x v="1"/>
    <x v="9"/>
    <d v="2019-06-04T00:00:00"/>
    <d v="2019-06-04T00:00:00"/>
    <s v="02/5AL"/>
    <m/>
    <m/>
    <m/>
    <m/>
    <m/>
    <m/>
    <m/>
    <m/>
    <m/>
    <m/>
    <m/>
    <n v="0"/>
    <n v="0"/>
    <n v="0"/>
    <m/>
  </r>
  <r>
    <s v="50B/2019"/>
    <d v="2019-02-15T00:00:00"/>
    <s v="THANH THÚY"/>
    <s v="PKL01"/>
    <x v="3"/>
    <x v="3"/>
    <s v="ROBINA"/>
    <m/>
    <s v="16.18"/>
    <n v="200"/>
    <s v="NL2018"/>
    <m/>
    <n v="19"/>
    <n v="3800"/>
    <x v="18"/>
    <n v="18430000"/>
    <x v="0"/>
    <x v="10"/>
    <d v="2019-04-03T00:00:00"/>
    <d v="2019-04-03T00:00:00"/>
    <s v="30/2AL"/>
    <s v="CONT 13/2019"/>
    <m/>
    <m/>
    <d v="2019-04-02T00:00:00"/>
    <n v="3800"/>
    <m/>
    <m/>
    <m/>
    <m/>
    <m/>
    <m/>
    <n v="3800"/>
    <n v="0"/>
    <n v="0"/>
    <d v="2019-12-27T00:00:00"/>
  </r>
  <r>
    <s v="50B/2019"/>
    <d v="2019-02-15T00:00:00"/>
    <s v="THANH THÚY"/>
    <s v="PKL01"/>
    <x v="3"/>
    <x v="5"/>
    <s v="ROBINA"/>
    <m/>
    <s v="18.20"/>
    <n v="150"/>
    <s v="NL2018"/>
    <m/>
    <n v="1031"/>
    <n v="154650"/>
    <x v="19"/>
    <n v="983264700"/>
    <x v="0"/>
    <x v="10"/>
    <d v="2019-04-03T00:00:00"/>
    <d v="2019-04-03T00:00:00"/>
    <s v="30/2AL"/>
    <s v="CONT 13/2019"/>
    <m/>
    <m/>
    <d v="2019-04-02T00:00:00"/>
    <n v="154650"/>
    <m/>
    <m/>
    <m/>
    <m/>
    <m/>
    <m/>
    <n v="154650"/>
    <n v="0"/>
    <n v="0"/>
    <d v="2019-12-27T00:00:00"/>
  </r>
  <r>
    <s v="170B/2019"/>
    <d v="2019-04-19T00:00:00"/>
    <s v="THANH THÚY"/>
    <s v="PKL01"/>
    <x v="3"/>
    <x v="19"/>
    <s v="BACARDI"/>
    <m/>
    <s v="18.20"/>
    <n v="150"/>
    <s v="NL2018"/>
    <m/>
    <n v="152"/>
    <n v="22800"/>
    <x v="17"/>
    <n v="198360000"/>
    <x v="3"/>
    <x v="11"/>
    <d v="2019-06-02T00:00:00"/>
    <d v="2019-06-02T00:00:00"/>
    <s v="29/4AL"/>
    <m/>
    <m/>
    <m/>
    <d v="2019-06-10T00:00:00"/>
    <n v="22500"/>
    <m/>
    <m/>
    <m/>
    <m/>
    <m/>
    <m/>
    <n v="22500"/>
    <n v="300"/>
    <n v="2610000"/>
    <m/>
  </r>
  <r>
    <s v="170B/2019"/>
    <d v="2019-04-19T00:00:00"/>
    <s v="THANH THÚY"/>
    <s v="PKL01"/>
    <x v="3"/>
    <x v="19"/>
    <s v="BACARDI"/>
    <m/>
    <s v="18.20"/>
    <n v="150"/>
    <s v="NL2018"/>
    <m/>
    <n v="0"/>
    <n v="0"/>
    <x v="20"/>
    <n v="0"/>
    <x v="1"/>
    <x v="12"/>
    <d v="2019-07-01T00:00:00"/>
    <d v="2019-07-01T00:00:00"/>
    <s v="29/5AL"/>
    <m/>
    <m/>
    <m/>
    <m/>
    <m/>
    <m/>
    <m/>
    <m/>
    <m/>
    <m/>
    <m/>
    <n v="0"/>
    <n v="0"/>
    <n v="0"/>
    <m/>
  </r>
  <r>
    <s v="170B/2019"/>
    <d v="2019-04-19T00:00:00"/>
    <s v="THANH THÚY"/>
    <s v="PKL01"/>
    <x v="3"/>
    <x v="19"/>
    <s v="BACARDI"/>
    <m/>
    <s v="18.20"/>
    <n v="150"/>
    <s v="NL2018"/>
    <m/>
    <n v="0"/>
    <n v="0"/>
    <x v="21"/>
    <n v="0"/>
    <x v="1"/>
    <x v="13"/>
    <d v="2019-07-31T00:00:00"/>
    <d v="2019-07-31T00:00:00"/>
    <s v="29/6AL"/>
    <m/>
    <m/>
    <m/>
    <m/>
    <m/>
    <m/>
    <m/>
    <m/>
    <m/>
    <m/>
    <m/>
    <n v="0"/>
    <n v="0"/>
    <n v="0"/>
    <m/>
  </r>
  <r>
    <s v="170B/2019"/>
    <d v="2019-04-19T00:00:00"/>
    <s v="THANH THÚY"/>
    <s v="PKL01"/>
    <x v="3"/>
    <x v="19"/>
    <s v="BACARDI"/>
    <m/>
    <s v="18.20"/>
    <n v="150"/>
    <s v="NL2018"/>
    <m/>
    <n v="0"/>
    <n v="0"/>
    <x v="22"/>
    <n v="0"/>
    <x v="1"/>
    <x v="14"/>
    <d v="2019-08-29T00:00:00"/>
    <d v="2019-08-29T00:00:00"/>
    <s v="29/6AL"/>
    <m/>
    <m/>
    <m/>
    <m/>
    <m/>
    <m/>
    <m/>
    <m/>
    <m/>
    <m/>
    <m/>
    <n v="0"/>
    <n v="0"/>
    <n v="0"/>
    <m/>
  </r>
  <r>
    <s v="170B/2019"/>
    <d v="2019-04-19T00:00:00"/>
    <s v="THANH THÚY"/>
    <s v="PKL01"/>
    <x v="3"/>
    <x v="19"/>
    <s v="BACARDI"/>
    <m/>
    <s v="18.20"/>
    <n v="150"/>
    <s v="NL2018"/>
    <m/>
    <n v="0"/>
    <n v="0"/>
    <x v="23"/>
    <n v="0"/>
    <x v="1"/>
    <x v="15"/>
    <d v="2019-09-27T00:00:00"/>
    <d v="2019-09-27T00:00:00"/>
    <s v="29/6AL"/>
    <m/>
    <m/>
    <m/>
    <m/>
    <m/>
    <m/>
    <m/>
    <m/>
    <m/>
    <m/>
    <m/>
    <n v="0"/>
    <n v="0"/>
    <n v="0"/>
    <m/>
  </r>
  <r>
    <s v="84A/2019"/>
    <d v="2019-03-04T00:00:00"/>
    <s v="KIỀU THY"/>
    <s v="PV01"/>
    <x v="4"/>
    <x v="20"/>
    <s v="PROFUNDO"/>
    <m/>
    <s v="22.24"/>
    <n v="100"/>
    <s v="NL2018"/>
    <m/>
    <n v="50"/>
    <n v="5000"/>
    <x v="24"/>
    <n v="71000000"/>
    <x v="2"/>
    <x v="2"/>
    <d v="2019-09-29T00:00:00"/>
    <d v="2019-09-29T00:00:00"/>
    <s v="TẾT"/>
    <m/>
    <m/>
    <s v="R"/>
    <m/>
    <n v="0"/>
    <m/>
    <m/>
    <m/>
    <m/>
    <m/>
    <m/>
    <n v="0"/>
    <n v="5000"/>
    <n v="71000000"/>
    <m/>
  </r>
  <r>
    <s v="84A/2019"/>
    <d v="2019-03-04T00:00:00"/>
    <s v="KIỀU THY"/>
    <s v="PV01"/>
    <x v="4"/>
    <x v="21"/>
    <s v="CONCADOR"/>
    <m/>
    <s v="22.24"/>
    <n v="100"/>
    <s v="NL2018"/>
    <m/>
    <n v="150"/>
    <n v="15000"/>
    <x v="25"/>
    <n v="187500000"/>
    <x v="2"/>
    <x v="2"/>
    <d v="2019-09-29T00:00:00"/>
    <d v="2019-09-29T00:00:00"/>
    <s v="TẾT"/>
    <m/>
    <m/>
    <s v="R"/>
    <m/>
    <n v="0"/>
    <m/>
    <m/>
    <m/>
    <m/>
    <m/>
    <m/>
    <n v="0"/>
    <n v="15000"/>
    <n v="187500000"/>
    <m/>
  </r>
  <r>
    <s v="85A/2019"/>
    <d v="2019-03-13T00:00:00"/>
    <s v="KIỀU THY"/>
    <s v="QH06"/>
    <x v="5"/>
    <x v="22"/>
    <s v="YELLOWEEN"/>
    <m/>
    <s v="14.16"/>
    <s v="300"/>
    <s v="NL2017"/>
    <m/>
    <n v="34"/>
    <n v="10200"/>
    <x v="26"/>
    <n v="30600000"/>
    <x v="0"/>
    <x v="16"/>
    <d v="2019-03-12T00:00:00"/>
    <d v="2019-03-12T00:00:00"/>
    <s v="7/2AL"/>
    <s v="CONT 87/2018"/>
    <m/>
    <m/>
    <d v="2019-03-13T00:00:00"/>
    <n v="5100"/>
    <d v="2019-03-26T00:00:00"/>
    <s v="5100"/>
    <m/>
    <m/>
    <m/>
    <m/>
    <n v="10200"/>
    <n v="0"/>
    <n v="0"/>
    <m/>
  </r>
  <r>
    <s v="160A/2019"/>
    <d v="2019-03-13T00:00:00"/>
    <s v="KIỀU THY"/>
    <s v="QH06"/>
    <x v="5"/>
    <x v="23"/>
    <s v="ROBINA"/>
    <m/>
    <n v="22.24"/>
    <s v="100"/>
    <s v="NL2018"/>
    <m/>
    <n v="40"/>
    <n v="4000"/>
    <x v="25"/>
    <n v="50000000"/>
    <x v="2"/>
    <x v="2"/>
    <d v="2019-09-29T00:00:00"/>
    <d v="2019-09-29T00:00:00"/>
    <s v="TẾT"/>
    <m/>
    <m/>
    <m/>
    <m/>
    <n v="0"/>
    <m/>
    <m/>
    <m/>
    <m/>
    <m/>
    <m/>
    <n v="0"/>
    <n v="4000"/>
    <n v="50000000"/>
    <m/>
  </r>
  <r>
    <s v="159A/2019"/>
    <d v="2019-05-27T00:00:00"/>
    <s v="KIỀU THY"/>
    <s v="QH06"/>
    <x v="5"/>
    <x v="24"/>
    <s v="DALIAN"/>
    <m/>
    <s v="14.16"/>
    <s v="300"/>
    <s v="NL2018"/>
    <m/>
    <n v="0"/>
    <n v="0"/>
    <x v="6"/>
    <n v="0"/>
    <x v="1"/>
    <x v="1"/>
    <d v="2019-05-21T00:00:00"/>
    <d v="2019-05-21T00:00:00"/>
    <m/>
    <m/>
    <m/>
    <m/>
    <m/>
    <m/>
    <m/>
    <m/>
    <m/>
    <m/>
    <m/>
    <m/>
    <n v="0"/>
    <n v="0"/>
    <n v="0"/>
    <m/>
  </r>
  <r>
    <s v="160A/2019"/>
    <d v="2019-03-13T00:00:00"/>
    <s v="KIỀU THY"/>
    <s v="QH06"/>
    <x v="5"/>
    <x v="21"/>
    <s v="CONCADOR"/>
    <m/>
    <n v="22.24"/>
    <s v="100"/>
    <s v="NL2018"/>
    <m/>
    <n v="100"/>
    <n v="10000"/>
    <x v="25"/>
    <n v="125000000"/>
    <x v="2"/>
    <x v="2"/>
    <d v="2019-09-29T00:00:00"/>
    <d v="2019-09-29T00:00:00"/>
    <s v="TẾT"/>
    <m/>
    <m/>
    <m/>
    <m/>
    <n v="0"/>
    <m/>
    <m/>
    <m/>
    <m/>
    <m/>
    <m/>
    <n v="0"/>
    <n v="10000"/>
    <n v="125000000"/>
    <m/>
  </r>
  <r>
    <s v="160A/2019"/>
    <d v="2019-04-01T00:00:00"/>
    <s v="KIỀU THY"/>
    <s v="QH06"/>
    <x v="5"/>
    <x v="14"/>
    <s v="CONCADOR"/>
    <m/>
    <s v="24.26"/>
    <s v="80"/>
    <s v="NL2018"/>
    <m/>
    <n v="25"/>
    <n v="2000"/>
    <x v="15"/>
    <n v="30400000"/>
    <x v="2"/>
    <x v="2"/>
    <d v="2019-09-29T00:00:00"/>
    <d v="2019-09-29T00:00:00"/>
    <s v="TẾT"/>
    <m/>
    <m/>
    <m/>
    <m/>
    <m/>
    <m/>
    <m/>
    <m/>
    <m/>
    <m/>
    <m/>
    <n v="0"/>
    <n v="2000"/>
    <n v="30400000"/>
    <m/>
  </r>
  <r>
    <s v="160A/2019"/>
    <d v="2019-03-13T00:00:00"/>
    <s v="KIỀU THY"/>
    <s v="QH06"/>
    <x v="5"/>
    <x v="25"/>
    <s v="BACARDI"/>
    <m/>
    <n v="20.22"/>
    <s v="125"/>
    <s v="NL2018"/>
    <m/>
    <n v="16"/>
    <n v="2000"/>
    <x v="27"/>
    <n v="21600000"/>
    <x v="2"/>
    <x v="2"/>
    <d v="2019-09-29T00:00:00"/>
    <d v="2019-09-29T00:00:00"/>
    <s v="TẾT"/>
    <m/>
    <m/>
    <m/>
    <m/>
    <n v="0"/>
    <m/>
    <m/>
    <m/>
    <m/>
    <m/>
    <m/>
    <n v="0"/>
    <n v="2000"/>
    <n v="21600000"/>
    <m/>
  </r>
  <r>
    <s v="160A/2019"/>
    <d v="2019-04-01T00:00:00"/>
    <s v="KIỀU THY"/>
    <s v="QH06"/>
    <x v="5"/>
    <x v="25"/>
    <s v="BACARDI"/>
    <m/>
    <n v="20.22"/>
    <s v="125"/>
    <s v="NL2018"/>
    <m/>
    <n v="16"/>
    <n v="2000"/>
    <x v="28"/>
    <n v="22000000"/>
    <x v="2"/>
    <x v="2"/>
    <d v="2019-09-29T00:00:00"/>
    <d v="2019-09-29T00:00:00"/>
    <s v="TẾT"/>
    <m/>
    <m/>
    <m/>
    <m/>
    <m/>
    <m/>
    <m/>
    <m/>
    <m/>
    <m/>
    <m/>
    <n v="0"/>
    <n v="2000"/>
    <n v="22000000"/>
    <m/>
  </r>
  <r>
    <s v="159A/2019"/>
    <d v="2019-04-01T00:00:00"/>
    <s v="KIỀU THY"/>
    <s v="QH06"/>
    <x v="5"/>
    <x v="13"/>
    <s v="BACARDI"/>
    <m/>
    <s v="15.16"/>
    <s v="300"/>
    <s v="NL2018"/>
    <m/>
    <n v="17"/>
    <n v="5100"/>
    <x v="29"/>
    <n v="23460000"/>
    <x v="0"/>
    <x v="1"/>
    <d v="2019-05-21T00:00:00"/>
    <d v="2019-05-21T00:00:00"/>
    <s v="10/4AL"/>
    <m/>
    <m/>
    <m/>
    <d v="2019-06-03T00:00:00"/>
    <n v="5100"/>
    <m/>
    <m/>
    <m/>
    <m/>
    <m/>
    <m/>
    <n v="5100"/>
    <n v="0"/>
    <n v="0"/>
    <m/>
  </r>
  <r>
    <s v="14A/2019"/>
    <d v="2019-01-05T00:00:00"/>
    <s v="KIỀU THY"/>
    <s v="CL01"/>
    <x v="6"/>
    <x v="26"/>
    <s v="SENSI"/>
    <m/>
    <s v="16.18"/>
    <n v="200"/>
    <s v="NL2018"/>
    <m/>
    <n v="25"/>
    <n v="5000"/>
    <x v="10"/>
    <n v="27500000"/>
    <x v="0"/>
    <x v="17"/>
    <d v="2019-04-02T00:00:00"/>
    <d v="2019-04-02T00:00:00"/>
    <s v="28/2AL"/>
    <s v="CONT 15/2019"/>
    <d v="2019-03-31T00:00:00"/>
    <m/>
    <d v="2019-04-02T00:00:00"/>
    <n v="5000"/>
    <m/>
    <m/>
    <m/>
    <m/>
    <m/>
    <m/>
    <n v="5000"/>
    <n v="0"/>
    <n v="0"/>
    <m/>
  </r>
  <r>
    <s v="14A/2019"/>
    <d v="2019-05-19T00:00:00"/>
    <s v="KIỀU THY"/>
    <s v="CL01"/>
    <x v="6"/>
    <x v="26"/>
    <s v="SENSI"/>
    <m/>
    <s v="16.18"/>
    <n v="200"/>
    <s v="NL2018"/>
    <m/>
    <n v="51"/>
    <n v="10200"/>
    <x v="30"/>
    <n v="59160000"/>
    <x v="4"/>
    <x v="18"/>
    <d v="2019-07-02T00:00:00"/>
    <d v="2019-07-02T00:00:00"/>
    <m/>
    <m/>
    <m/>
    <m/>
    <m/>
    <m/>
    <m/>
    <m/>
    <m/>
    <m/>
    <m/>
    <m/>
    <n v="0"/>
    <n v="10200"/>
    <n v="59160000"/>
    <m/>
  </r>
  <r>
    <s v="125A/2019"/>
    <d v="2019-03-12T00:00:00"/>
    <s v="KIỀU THY"/>
    <s v="CL01"/>
    <x v="6"/>
    <x v="23"/>
    <s v="ROBINA"/>
    <m/>
    <s v="22.24"/>
    <n v="100"/>
    <s v="NL2018"/>
    <m/>
    <n v="200"/>
    <n v="20000"/>
    <x v="25"/>
    <n v="250000000"/>
    <x v="2"/>
    <x v="2"/>
    <d v="2019-09-29T00:00:00"/>
    <d v="2019-09-29T00:00:00"/>
    <s v="TẾT"/>
    <m/>
    <m/>
    <m/>
    <m/>
    <n v="0"/>
    <m/>
    <m/>
    <m/>
    <m/>
    <m/>
    <m/>
    <n v="0"/>
    <n v="20000"/>
    <n v="250000000"/>
    <m/>
  </r>
  <r>
    <s v="14A/2019"/>
    <d v="2019-06-17T00:00:00"/>
    <s v="KIỀU THY"/>
    <s v="CL01"/>
    <x v="6"/>
    <x v="5"/>
    <s v="ROBINA"/>
    <m/>
    <s v="18.20"/>
    <n v="150"/>
    <s v="NL2018"/>
    <m/>
    <n v="67"/>
    <n v="10050"/>
    <x v="31"/>
    <n v="75375000"/>
    <x v="4"/>
    <x v="19"/>
    <d v="2019-07-03T00:00:00"/>
    <d v="2019-07-03T00:00:00"/>
    <s v="Hà Nội chuyển vô"/>
    <m/>
    <m/>
    <m/>
    <m/>
    <m/>
    <m/>
    <m/>
    <m/>
    <m/>
    <m/>
    <m/>
    <n v="0"/>
    <n v="10050"/>
    <n v="75375000"/>
    <m/>
  </r>
  <r>
    <s v="14A/2019"/>
    <d v="2019-05-19T00:00:00"/>
    <s v="KIỀU THY"/>
    <s v="CL01"/>
    <x v="6"/>
    <x v="27"/>
    <s v="MALDANO"/>
    <m/>
    <s v="16.18"/>
    <n v="200"/>
    <s v="NL2018"/>
    <m/>
    <n v="55"/>
    <n v="11000"/>
    <x v="6"/>
    <n v="59400000"/>
    <x v="0"/>
    <x v="1"/>
    <d v="2019-05-21T00:00:00"/>
    <d v="2019-05-21T00:00:00"/>
    <m/>
    <m/>
    <m/>
    <m/>
    <d v="2019-05-20T00:00:00"/>
    <n v="11000"/>
    <m/>
    <m/>
    <m/>
    <m/>
    <m/>
    <m/>
    <n v="11000"/>
    <n v="0"/>
    <n v="0"/>
    <m/>
  </r>
  <r>
    <s v="14A/2019"/>
    <d v="2019-01-05T00:00:00"/>
    <s v="KIỀU THY"/>
    <s v="CL01"/>
    <x v="6"/>
    <x v="28"/>
    <s v="LARGO"/>
    <m/>
    <s v="16.18"/>
    <n v="200"/>
    <s v="NL2018"/>
    <m/>
    <n v="50"/>
    <n v="10000"/>
    <x v="10"/>
    <n v="55000000"/>
    <x v="0"/>
    <x v="5"/>
    <d v="2019-04-19T00:00:00"/>
    <d v="2019-04-19T00:00:00"/>
    <s v="15/3AL"/>
    <s v="CONT 27/2019"/>
    <d v="2019-04-14T00:00:00"/>
    <m/>
    <d v="2019-05-03T00:00:00"/>
    <n v="10000"/>
    <m/>
    <m/>
    <m/>
    <m/>
    <m/>
    <m/>
    <n v="10000"/>
    <n v="0"/>
    <n v="0"/>
    <m/>
  </r>
  <r>
    <s v="14A/2019"/>
    <d v="2019-06-17T00:00:00"/>
    <s v="KIỀU THY"/>
    <s v="CL01"/>
    <x v="6"/>
    <x v="29"/>
    <s v="INDIANA"/>
    <m/>
    <s v="16.18"/>
    <n v="200"/>
    <s v="NL2018"/>
    <m/>
    <n v="50"/>
    <n v="10000"/>
    <x v="32"/>
    <n v="67000000"/>
    <x v="2"/>
    <x v="20"/>
    <d v="2019-07-27T00:00:00"/>
    <d v="2019-07-27T00:00:00"/>
    <m/>
    <m/>
    <m/>
    <m/>
    <m/>
    <m/>
    <m/>
    <m/>
    <m/>
    <m/>
    <m/>
    <m/>
    <n v="0"/>
    <n v="10000"/>
    <n v="67000000"/>
    <m/>
  </r>
  <r>
    <s v="14A/2019"/>
    <d v="2019-01-05T00:00:00"/>
    <s v="KIỀU THY"/>
    <s v="CL01"/>
    <x v="6"/>
    <x v="24"/>
    <s v="DALIAN"/>
    <m/>
    <s v="14.16"/>
    <n v="300"/>
    <s v="NL2018"/>
    <m/>
    <n v="0"/>
    <n v="0"/>
    <x v="33"/>
    <n v="0"/>
    <x v="1"/>
    <x v="1"/>
    <d v="2019-05-21T00:00:00"/>
    <d v="2019-05-21T00:00:00"/>
    <s v="17/4AL"/>
    <m/>
    <m/>
    <m/>
    <m/>
    <n v="0"/>
    <m/>
    <m/>
    <m/>
    <m/>
    <m/>
    <m/>
    <n v="0"/>
    <n v="0"/>
    <n v="0"/>
    <m/>
  </r>
  <r>
    <s v="125A/2019"/>
    <d v="2019-03-12T00:00:00"/>
    <s v="KIỀU THY"/>
    <s v="CL01"/>
    <x v="6"/>
    <x v="21"/>
    <s v="CONCADOR"/>
    <m/>
    <s v="22.24"/>
    <n v="100"/>
    <s v="NL2018"/>
    <m/>
    <n v="200"/>
    <n v="20000"/>
    <x v="25"/>
    <n v="250000000"/>
    <x v="2"/>
    <x v="2"/>
    <d v="2019-09-29T00:00:00"/>
    <d v="2019-09-29T00:00:00"/>
    <s v="TẾT"/>
    <m/>
    <m/>
    <m/>
    <m/>
    <n v="0"/>
    <m/>
    <m/>
    <m/>
    <m/>
    <m/>
    <m/>
    <n v="0"/>
    <n v="20000"/>
    <n v="250000000"/>
    <m/>
  </r>
  <r>
    <s v="14A/2019"/>
    <d v="2019-06-17T00:00:00"/>
    <s v="KIỀU THY"/>
    <s v="CL01"/>
    <x v="6"/>
    <x v="6"/>
    <s v="CONCADOR"/>
    <m/>
    <s v="16.18"/>
    <n v="200"/>
    <s v="NL2018"/>
    <m/>
    <n v="50"/>
    <n v="10000"/>
    <x v="30"/>
    <n v="58000000"/>
    <x v="0"/>
    <x v="21"/>
    <d v="2019-07-19T00:00:00"/>
    <d v="2019-07-19T00:00:00"/>
    <m/>
    <m/>
    <m/>
    <m/>
    <d v="2019-06-17T00:00:00"/>
    <n v="10000"/>
    <m/>
    <m/>
    <m/>
    <m/>
    <m/>
    <m/>
    <n v="10000"/>
    <n v="0"/>
    <n v="0"/>
    <m/>
  </r>
  <r>
    <s v="14A/2019"/>
    <d v="2019-01-05T00:00:00"/>
    <s v="KIỀU THY"/>
    <s v="CL01"/>
    <x v="6"/>
    <x v="13"/>
    <s v="BACARDI"/>
    <m/>
    <s v="15.16"/>
    <n v="300"/>
    <s v="NL2018"/>
    <m/>
    <n v="67"/>
    <n v="20100"/>
    <x v="14"/>
    <n v="90450000"/>
    <x v="0"/>
    <x v="6"/>
    <d v="2019-02-19T00:00:00"/>
    <d v="2019-02-19T00:00:00"/>
    <s v="15/1AL"/>
    <m/>
    <m/>
    <m/>
    <d v="2019-02-19T00:00:00"/>
    <n v="20100"/>
    <m/>
    <m/>
    <m/>
    <m/>
    <m/>
    <m/>
    <n v="20100"/>
    <n v="0"/>
    <n v="0"/>
    <m/>
  </r>
  <r>
    <s v="186A/2019"/>
    <d v="2019-04-09T00:00:00"/>
    <s v="KIỀU THY"/>
    <s v="VT19"/>
    <x v="7"/>
    <x v="4"/>
    <s v="ROBINA"/>
    <m/>
    <s v="20.22"/>
    <s v="125"/>
    <s v="NL2018"/>
    <m/>
    <n v="4"/>
    <n v="500"/>
    <x v="34"/>
    <n v="5350000"/>
    <x v="2"/>
    <x v="2"/>
    <d v="2019-09-29T00:00:00"/>
    <d v="2019-09-29T00:00:00"/>
    <s v="TẾT"/>
    <m/>
    <m/>
    <m/>
    <m/>
    <m/>
    <m/>
    <m/>
    <m/>
    <m/>
    <m/>
    <m/>
    <n v="0"/>
    <n v="500"/>
    <n v="5350000"/>
    <m/>
  </r>
  <r>
    <s v="186A/2019"/>
    <d v="2019-04-09T00:00:00"/>
    <s v="KIỀU THY"/>
    <s v="VT19"/>
    <x v="7"/>
    <x v="7"/>
    <s v="CONCADOR"/>
    <m/>
    <s v="20.22"/>
    <s v="125"/>
    <s v="NL2018"/>
    <m/>
    <n v="24"/>
    <n v="3000"/>
    <x v="35"/>
    <n v="31800000"/>
    <x v="2"/>
    <x v="2"/>
    <d v="2019-09-29T00:00:00"/>
    <d v="2019-09-29T00:00:00"/>
    <s v="TẾT"/>
    <m/>
    <m/>
    <m/>
    <m/>
    <m/>
    <m/>
    <m/>
    <m/>
    <m/>
    <m/>
    <m/>
    <n v="0"/>
    <n v="3000"/>
    <n v="31800000"/>
    <m/>
  </r>
  <r>
    <s v="186A/2019"/>
    <d v="2019-04-09T00:00:00"/>
    <s v="KIỀU THY"/>
    <s v="VT19"/>
    <x v="7"/>
    <x v="14"/>
    <s v="CONCADOR"/>
    <m/>
    <s v="24.26"/>
    <s v="80"/>
    <s v="NL2018"/>
    <m/>
    <n v="20"/>
    <n v="1600"/>
    <x v="15"/>
    <n v="24320000"/>
    <x v="2"/>
    <x v="2"/>
    <d v="2019-09-29T00:00:00"/>
    <d v="2019-09-29T00:00:00"/>
    <s v="TẾT"/>
    <m/>
    <m/>
    <m/>
    <m/>
    <m/>
    <m/>
    <m/>
    <m/>
    <m/>
    <m/>
    <m/>
    <n v="0"/>
    <n v="1600"/>
    <n v="24320000"/>
    <m/>
  </r>
  <r>
    <s v="16B/2019"/>
    <d v="2019-05-14T00:00:00"/>
    <s v="THANH THÚY"/>
    <s v="VK02"/>
    <x v="8"/>
    <x v="30"/>
    <s v="YELLOWEEN DIAMOND"/>
    <s v="DI"/>
    <s v="12.14"/>
    <n v="400"/>
    <s v="NL2018"/>
    <m/>
    <n v="11"/>
    <n v="4400"/>
    <x v="36"/>
    <n v="13640000"/>
    <x v="0"/>
    <x v="11"/>
    <d v="2019-06-02T00:00:00"/>
    <d v="2019-06-02T00:00:00"/>
    <m/>
    <m/>
    <m/>
    <m/>
    <d v="2019-06-08T00:00:00"/>
    <n v="4400"/>
    <m/>
    <m/>
    <m/>
    <m/>
    <m/>
    <m/>
    <n v="4400"/>
    <n v="0"/>
    <n v="0"/>
    <m/>
  </r>
  <r>
    <s v="224A/2019"/>
    <d v="2019-05-27T00:00:00"/>
    <s v="KIỀU THY"/>
    <s v="MP05"/>
    <x v="8"/>
    <x v="0"/>
    <s v="YELLOWEEN"/>
    <m/>
    <s v="12.14"/>
    <s v="400"/>
    <s v="NL2018"/>
    <m/>
    <n v="9"/>
    <n v="3600"/>
    <x v="37"/>
    <n v="10080000"/>
    <x v="0"/>
    <x v="5"/>
    <d v="2019-04-19T00:00:00"/>
    <d v="2019-04-19T00:00:00"/>
    <m/>
    <m/>
    <m/>
    <m/>
    <d v="2019-05-27T00:00:00"/>
    <n v="3600"/>
    <m/>
    <m/>
    <m/>
    <m/>
    <m/>
    <m/>
    <n v="3600"/>
    <n v="0"/>
    <n v="0"/>
    <m/>
  </r>
  <r>
    <s v="138B/2019"/>
    <d v="2019-03-19T00:00:00"/>
    <s v="THANH THÚY"/>
    <s v="VK02"/>
    <x v="8"/>
    <x v="31"/>
    <s v="YELLOW DIAMOND"/>
    <s v="DI"/>
    <s v="18.20"/>
    <n v="150"/>
    <s v="NL2018"/>
    <m/>
    <n v="100"/>
    <n v="15000"/>
    <x v="13"/>
    <n v="93000000"/>
    <x v="2"/>
    <x v="2"/>
    <d v="2019-09-29T00:00:00"/>
    <d v="2019-09-29T00:00:00"/>
    <s v="TẾT"/>
    <m/>
    <m/>
    <m/>
    <m/>
    <n v="0"/>
    <m/>
    <m/>
    <m/>
    <m/>
    <m/>
    <m/>
    <n v="0"/>
    <n v="15000"/>
    <n v="93000000"/>
    <d v="2019-12-27T00:00:00"/>
  </r>
  <r>
    <s v="16B/2019"/>
    <d v="2019-01-06T00:00:00"/>
    <s v="THANH THÚY"/>
    <s v="VK02"/>
    <x v="8"/>
    <x v="32"/>
    <s v="TEBALDI"/>
    <m/>
    <s v="12.14"/>
    <n v="400"/>
    <s v="NL2018"/>
    <m/>
    <n v="150"/>
    <n v="60000"/>
    <x v="37"/>
    <n v="168000000"/>
    <x v="0"/>
    <x v="22"/>
    <d v="2019-02-27T00:00:00"/>
    <d v="2019-02-27T00:00:00"/>
    <s v="23/1AL"/>
    <m/>
    <m/>
    <m/>
    <d v="2019-02-27T00:00:00"/>
    <n v="30000"/>
    <d v="2019-03-05T00:00:00"/>
    <n v="30000"/>
    <m/>
    <m/>
    <m/>
    <m/>
    <n v="60000"/>
    <n v="0"/>
    <n v="0"/>
    <d v="2019-12-28T00:00:00"/>
  </r>
  <r>
    <s v="16B/2019"/>
    <d v="2019-01-06T00:00:00"/>
    <s v="THANH THÚY"/>
    <s v="VK02"/>
    <x v="8"/>
    <x v="32"/>
    <s v="TEBALDI"/>
    <m/>
    <s v="12.14"/>
    <n v="400"/>
    <s v="NL2018"/>
    <m/>
    <n v="175"/>
    <n v="70000"/>
    <x v="37"/>
    <n v="196000000"/>
    <x v="0"/>
    <x v="5"/>
    <d v="2019-04-19T00:00:00"/>
    <d v="2019-04-19T00:00:00"/>
    <s v="15/3AL"/>
    <s v="CONT 24/2019"/>
    <m/>
    <m/>
    <d v="2019-04-20T00:00:00"/>
    <n v="4800"/>
    <d v="2019-04-22T00:00:00"/>
    <n v="65200"/>
    <m/>
    <m/>
    <m/>
    <m/>
    <n v="70000"/>
    <n v="0"/>
    <n v="0"/>
    <d v="2019-12-28T00:00:00"/>
  </r>
  <r>
    <s v="16B/2019"/>
    <d v="2019-01-06T00:00:00"/>
    <s v="THANH THÚY"/>
    <s v="VK02"/>
    <x v="8"/>
    <x v="33"/>
    <s v="TEBALDI"/>
    <m/>
    <s v="14.16"/>
    <n v="300"/>
    <s v="NL2018"/>
    <m/>
    <n v="167"/>
    <n v="50100"/>
    <x v="38"/>
    <n v="205410000"/>
    <x v="0"/>
    <x v="5"/>
    <d v="2019-04-19T00:00:00"/>
    <d v="2019-04-19T00:00:00"/>
    <s v="15/3AL"/>
    <s v="CONT 23/2019"/>
    <m/>
    <m/>
    <d v="2019-04-20T00:00:00"/>
    <n v="37200"/>
    <d v="2019-04-22T00:00:00"/>
    <n v="12900"/>
    <m/>
    <m/>
    <m/>
    <m/>
    <n v="50100"/>
    <n v="0"/>
    <n v="0"/>
    <d v="2019-12-28T00:00:00"/>
  </r>
  <r>
    <s v="16B/2019"/>
    <d v="2019-03-20T00:00:00"/>
    <s v="THANH THÚY"/>
    <s v="VK02"/>
    <x v="8"/>
    <x v="32"/>
    <s v="TEBALDI"/>
    <m/>
    <s v="12.14"/>
    <n v="400"/>
    <s v="NL2018"/>
    <m/>
    <n v="157"/>
    <n v="62800"/>
    <x v="39"/>
    <n v="182120000"/>
    <x v="3"/>
    <x v="1"/>
    <d v="2019-05-21T00:00:00"/>
    <d v="2019-05-21T00:00:00"/>
    <s v="17/4AL"/>
    <m/>
    <m/>
    <m/>
    <d v="2019-05-23T00:00:00"/>
    <n v="10400"/>
    <d v="2019-05-29T00:00:00"/>
    <n v="7200"/>
    <d v="2019-06-06T00:00:00"/>
    <n v="39200"/>
    <m/>
    <m/>
    <n v="56800"/>
    <n v="6000"/>
    <n v="17400000"/>
    <d v="2019-12-28T00:00:00"/>
  </r>
  <r>
    <s v="16B/2019"/>
    <d v="2019-03-20T00:00:00"/>
    <s v="THANH THÚY"/>
    <s v="VK02"/>
    <x v="8"/>
    <x v="33"/>
    <s v="TEBALDI"/>
    <m/>
    <s v="14.16"/>
    <n v="300"/>
    <s v="NL2018"/>
    <m/>
    <n v="192"/>
    <n v="57600"/>
    <x v="40"/>
    <n v="241920000"/>
    <x v="0"/>
    <x v="1"/>
    <d v="2019-05-21T00:00:00"/>
    <d v="2019-05-21T00:00:00"/>
    <s v="17/4AL"/>
    <m/>
    <m/>
    <m/>
    <d v="2019-05-22T00:00:00"/>
    <n v="12900"/>
    <d v="2019-05-23T00:00:00"/>
    <n v="27000"/>
    <d v="2019-06-06T00:00:00"/>
    <n v="17700"/>
    <m/>
    <m/>
    <n v="57600"/>
    <n v="0"/>
    <n v="0"/>
    <d v="2019-12-28T00:00:00"/>
  </r>
  <r>
    <s v="16B/2019"/>
    <d v="2019-01-06T00:00:00"/>
    <s v="THANH THÚY"/>
    <s v="VK02"/>
    <x v="8"/>
    <x v="33"/>
    <s v="TEBALDI"/>
    <m/>
    <s v="14.16"/>
    <n v="300"/>
    <s v="NL2018"/>
    <m/>
    <n v="151"/>
    <n v="45300"/>
    <x v="40"/>
    <n v="190260000"/>
    <x v="3"/>
    <x v="11"/>
    <d v="2019-06-02T00:00:00"/>
    <d v="2019-06-02T00:00:00"/>
    <s v="29/4AL"/>
    <m/>
    <m/>
    <m/>
    <d v="2019-06-08T00:00:00"/>
    <n v="32100"/>
    <m/>
    <m/>
    <m/>
    <m/>
    <m/>
    <m/>
    <n v="32100"/>
    <n v="13200"/>
    <n v="55440000"/>
    <d v="2019-12-27T00:00:00"/>
  </r>
  <r>
    <s v="16B/2019"/>
    <d v="2019-05-22T00:00:00"/>
    <s v="THANH THÚY"/>
    <s v="VK02"/>
    <x v="8"/>
    <x v="33"/>
    <s v="TEBALDI"/>
    <m/>
    <s v="14.16"/>
    <n v="300"/>
    <s v="NL2018"/>
    <m/>
    <n v="39"/>
    <n v="11700"/>
    <x v="41"/>
    <n v="50310000"/>
    <x v="3"/>
    <x v="23"/>
    <d v="2019-06-22T00:00:00"/>
    <d v="2019-06-22T00:00:00"/>
    <s v="20/5AL"/>
    <s v="CONT 56+57/2019"/>
    <m/>
    <m/>
    <m/>
    <m/>
    <m/>
    <m/>
    <m/>
    <m/>
    <m/>
    <m/>
    <n v="0"/>
    <n v="11700"/>
    <n v="50310000"/>
    <m/>
  </r>
  <r>
    <s v="138B/2019"/>
    <d v="2019-03-19T00:00:00"/>
    <s v="THANH THÚY"/>
    <s v="VK02"/>
    <x v="8"/>
    <x v="34"/>
    <s v="TEBALDI"/>
    <m/>
    <s v="16.18"/>
    <n v="200"/>
    <s v="NL2018"/>
    <m/>
    <n v="250"/>
    <n v="50000"/>
    <x v="42"/>
    <n v="305000000"/>
    <x v="2"/>
    <x v="2"/>
    <d v="2019-09-29T00:00:00"/>
    <d v="2019-09-29T00:00:00"/>
    <s v="TẾT"/>
    <m/>
    <m/>
    <m/>
    <m/>
    <n v="0"/>
    <m/>
    <m/>
    <m/>
    <m/>
    <m/>
    <m/>
    <n v="0"/>
    <n v="50000"/>
    <n v="305000000"/>
    <d v="2019-12-27T00:00:00"/>
  </r>
  <r>
    <s v="16B/2019"/>
    <d v="2019-01-06T00:00:00"/>
    <s v="THANH THÚY"/>
    <s v="VK02"/>
    <x v="8"/>
    <x v="32"/>
    <s v="TEBALDI"/>
    <m/>
    <s v="12.14"/>
    <n v="400"/>
    <s v="NL2018"/>
    <m/>
    <n v="150"/>
    <n v="60000"/>
    <x v="37"/>
    <n v="168000000"/>
    <x v="0"/>
    <x v="10"/>
    <d v="2019-04-03T00:00:00"/>
    <d v="2019-04-03T00:00:00"/>
    <s v="28/2AL"/>
    <s v="CONT 15/2019"/>
    <m/>
    <m/>
    <d v="2019-04-02T00:00:00"/>
    <n v="60000"/>
    <m/>
    <m/>
    <m/>
    <m/>
    <m/>
    <m/>
    <n v="60000"/>
    <n v="0"/>
    <n v="0"/>
    <d v="2019-12-10T00:00:00"/>
  </r>
  <r>
    <s v="16B/2019"/>
    <d v="2019-01-06T00:00:00"/>
    <s v="THANH THÚY"/>
    <s v="VK02"/>
    <x v="8"/>
    <x v="33"/>
    <s v="TEBALDI"/>
    <m/>
    <s v="14.16"/>
    <n v="300"/>
    <s v="NL2018"/>
    <m/>
    <n v="126"/>
    <n v="37800"/>
    <x v="38"/>
    <n v="154980000"/>
    <x v="0"/>
    <x v="10"/>
    <d v="2019-04-03T00:00:00"/>
    <d v="2019-04-03T00:00:00"/>
    <s v="28/2AL"/>
    <s v="CONT 15/2019"/>
    <m/>
    <m/>
    <d v="2019-04-03T00:00:00"/>
    <n v="31200"/>
    <d v="2019-05-04T00:00:00"/>
    <n v="6600"/>
    <m/>
    <m/>
    <m/>
    <m/>
    <n v="37800"/>
    <n v="0"/>
    <n v="0"/>
    <d v="2019-12-27T00:00:00"/>
  </r>
  <r>
    <s v="16B/2019"/>
    <d v="2019-01-06T00:00:00"/>
    <s v="THANH THÚY"/>
    <s v="VK02"/>
    <x v="8"/>
    <x v="10"/>
    <s v="TARRANGO"/>
    <m/>
    <s v="16.18"/>
    <n v="200"/>
    <s v="NL2018"/>
    <m/>
    <n v="30"/>
    <n v="6000"/>
    <x v="10"/>
    <n v="33000000"/>
    <x v="0"/>
    <x v="6"/>
    <d v="2019-02-19T00:00:00"/>
    <d v="2019-02-19T00:00:00"/>
    <s v="15/1AL"/>
    <m/>
    <m/>
    <m/>
    <d v="2019-02-19T00:00:00"/>
    <n v="6000"/>
    <m/>
    <m/>
    <m/>
    <m/>
    <m/>
    <m/>
    <n v="6000"/>
    <n v="0"/>
    <n v="0"/>
    <d v="2019-12-28T00:00:00"/>
  </r>
  <r>
    <s v="16B/2019"/>
    <d v="2019-01-06T00:00:00"/>
    <s v="THANH THÚY"/>
    <s v="VK02"/>
    <x v="8"/>
    <x v="35"/>
    <s v="TARRANGO"/>
    <m/>
    <s v="14.16"/>
    <n v="300"/>
    <s v="NL2018"/>
    <m/>
    <n v="34"/>
    <n v="10200"/>
    <x v="29"/>
    <n v="46920000"/>
    <x v="0"/>
    <x v="5"/>
    <d v="2019-04-19T00:00:00"/>
    <d v="2019-04-19T00:00:00"/>
    <s v="15/3AL"/>
    <s v="CONT 24/2019"/>
    <m/>
    <m/>
    <d v="2019-04-20T00:00:00"/>
    <n v="5100"/>
    <d v="2019-05-04T00:00:00"/>
    <n v="5100"/>
    <m/>
    <m/>
    <m/>
    <m/>
    <n v="10200"/>
    <n v="0"/>
    <n v="0"/>
    <d v="2019-12-28T00:00:00"/>
  </r>
  <r>
    <s v="16B/2019"/>
    <d v="2019-03-20T00:00:00"/>
    <s v="THANH THÚY"/>
    <s v="VK02"/>
    <x v="8"/>
    <x v="35"/>
    <s v="TARRANGO"/>
    <m/>
    <s v="14.16"/>
    <n v="300"/>
    <s v="NL2018"/>
    <m/>
    <n v="50"/>
    <n v="15000"/>
    <x v="43"/>
    <n v="72000000"/>
    <x v="0"/>
    <x v="1"/>
    <d v="2019-05-21T00:00:00"/>
    <d v="2019-05-21T00:00:00"/>
    <s v="17/4AL"/>
    <m/>
    <m/>
    <m/>
    <d v="2019-05-22T00:00:00"/>
    <n v="9000"/>
    <d v="2019-05-23T00:00:00"/>
    <n v="6000"/>
    <m/>
    <m/>
    <m/>
    <m/>
    <n v="15000"/>
    <n v="0"/>
    <n v="0"/>
    <d v="2019-12-28T00:00:00"/>
  </r>
  <r>
    <s v="16B/2019"/>
    <d v="2019-06-13T00:00:00"/>
    <s v="THANH THÚY"/>
    <s v="VK02"/>
    <x v="8"/>
    <x v="35"/>
    <s v="TARRANGO"/>
    <m/>
    <s v="14.16"/>
    <n v="300"/>
    <s v="NL2018"/>
    <m/>
    <n v="22"/>
    <n v="6600"/>
    <x v="44"/>
    <n v="32340000"/>
    <x v="0"/>
    <x v="24"/>
    <d v="2019-06-15T00:00:00"/>
    <d v="2019-06-15T00:00:00"/>
    <m/>
    <m/>
    <m/>
    <m/>
    <d v="2019-06-15T00:00:00"/>
    <n v="6600"/>
    <m/>
    <m/>
    <m/>
    <m/>
    <m/>
    <m/>
    <n v="6600"/>
    <n v="0"/>
    <n v="0"/>
    <m/>
  </r>
  <r>
    <s v="16B/2019"/>
    <d v="2019-01-06T00:00:00"/>
    <s v="THANH THÚY"/>
    <s v="VK02"/>
    <x v="8"/>
    <x v="35"/>
    <s v="TARRANGO"/>
    <m/>
    <s v="14.16"/>
    <n v="300"/>
    <s v="NL2018"/>
    <m/>
    <n v="17"/>
    <n v="5100"/>
    <x v="29"/>
    <n v="23460000"/>
    <x v="0"/>
    <x v="10"/>
    <d v="2019-04-03T00:00:00"/>
    <d v="2019-04-03T00:00:00"/>
    <s v="28/2AL"/>
    <s v="CONT 17/2019"/>
    <m/>
    <m/>
    <d v="2019-04-03T00:00:00"/>
    <n v="5100"/>
    <m/>
    <m/>
    <m/>
    <m/>
    <m/>
    <m/>
    <n v="5100"/>
    <n v="0"/>
    <n v="0"/>
    <d v="2019-12-10T00:00:00"/>
  </r>
  <r>
    <s v="138B/2019"/>
    <d v="2019-03-19T00:00:00"/>
    <s v="THANH THÚY"/>
    <s v="VK02"/>
    <x v="8"/>
    <x v="1"/>
    <s v="TARRANGO"/>
    <m/>
    <s v="18.20"/>
    <n v="150"/>
    <s v="NL2018"/>
    <m/>
    <n v="187"/>
    <n v="28050"/>
    <x v="20"/>
    <n v="246840000"/>
    <x v="2"/>
    <x v="2"/>
    <d v="2019-09-29T00:00:00"/>
    <d v="2019-09-29T00:00:00"/>
    <s v="TẾT"/>
    <m/>
    <m/>
    <m/>
    <m/>
    <n v="0"/>
    <m/>
    <m/>
    <m/>
    <m/>
    <m/>
    <m/>
    <n v="0"/>
    <n v="28050"/>
    <n v="246840000"/>
    <d v="2019-12-27T00:00:00"/>
  </r>
  <r>
    <s v="16B/2019"/>
    <d v="2019-05-14T00:00:00"/>
    <s v="THANH THÚY"/>
    <s v="VK02"/>
    <x v="8"/>
    <x v="36"/>
    <s v="TAMPA"/>
    <m/>
    <s v="12.14"/>
    <n v="400"/>
    <s v="NL2018"/>
    <m/>
    <n v="8"/>
    <n v="3200"/>
    <x v="26"/>
    <n v="9600000"/>
    <x v="0"/>
    <x v="11"/>
    <d v="2019-06-02T00:00:00"/>
    <d v="2019-06-02T00:00:00"/>
    <m/>
    <m/>
    <m/>
    <m/>
    <d v="2019-06-08T00:00:00"/>
    <n v="3200"/>
    <m/>
    <m/>
    <m/>
    <m/>
    <m/>
    <m/>
    <n v="3200"/>
    <n v="0"/>
    <n v="0"/>
    <m/>
  </r>
  <r>
    <s v="16B/2019"/>
    <d v="2019-01-06T00:00:00"/>
    <s v="THANH THÚY"/>
    <s v="VK02"/>
    <x v="8"/>
    <x v="37"/>
    <s v="SUNDERLAND"/>
    <m/>
    <s v="12.14"/>
    <n v="400"/>
    <s v="NL2018"/>
    <m/>
    <n v="2"/>
    <n v="800"/>
    <x v="37"/>
    <n v="2240000"/>
    <x v="0"/>
    <x v="25"/>
    <d v="2019-04-14T00:00:00"/>
    <d v="2019-04-14T00:00:00"/>
    <s v="15/3AL"/>
    <s v="CONT 20/2019"/>
    <m/>
    <m/>
    <m/>
    <n v="800"/>
    <m/>
    <m/>
    <m/>
    <m/>
    <m/>
    <m/>
    <n v="800"/>
    <n v="0"/>
    <n v="0"/>
    <d v="2019-12-28T00:00:00"/>
  </r>
  <r>
    <s v="16B/2019"/>
    <d v="2019-01-06T00:00:00"/>
    <s v="THANH THÚY"/>
    <s v="VK02"/>
    <x v="8"/>
    <x v="38"/>
    <s v="SHADAI"/>
    <m/>
    <s v="14.16"/>
    <n v="300"/>
    <s v="NL2018"/>
    <m/>
    <n v="5"/>
    <n v="1500"/>
    <x v="45"/>
    <n v="6000000"/>
    <x v="0"/>
    <x v="0"/>
    <d v="2019-03-20T00:00:00"/>
    <d v="2019-03-20T00:00:00"/>
    <s v="15/2AL"/>
    <s v="CONT 9/2019"/>
    <m/>
    <m/>
    <d v="2019-03-20T00:00:00"/>
    <n v="1500"/>
    <m/>
    <m/>
    <m/>
    <m/>
    <m/>
    <m/>
    <n v="1500"/>
    <n v="0"/>
    <n v="0"/>
    <d v="2019-12-28T00:00:00"/>
  </r>
  <r>
    <s v="16B/2019"/>
    <d v="2019-01-06T00:00:00"/>
    <s v="THANH THÚY"/>
    <s v="VK02"/>
    <x v="8"/>
    <x v="26"/>
    <s v="SENSI"/>
    <m/>
    <s v="16.18"/>
    <n v="200"/>
    <s v="NL2018"/>
    <m/>
    <n v="50"/>
    <n v="10000"/>
    <x v="10"/>
    <n v="55000000"/>
    <x v="0"/>
    <x v="22"/>
    <d v="2019-02-27T00:00:00"/>
    <d v="2019-02-27T00:00:00"/>
    <s v="23/1AL"/>
    <m/>
    <m/>
    <m/>
    <d v="2019-02-27T00:00:00"/>
    <n v="10000"/>
    <m/>
    <m/>
    <m/>
    <m/>
    <m/>
    <m/>
    <n v="10000"/>
    <n v="0"/>
    <n v="0"/>
    <d v="2019-12-10T00:00:00"/>
  </r>
  <r>
    <s v="138B/2019"/>
    <d v="2019-03-19T00:00:00"/>
    <s v="THANH THÚY"/>
    <s v="VK02"/>
    <x v="8"/>
    <x v="5"/>
    <s v="ROBINA"/>
    <m/>
    <s v="18.20"/>
    <n v="150"/>
    <s v="NL2018"/>
    <m/>
    <n v="187"/>
    <n v="28050"/>
    <x v="31"/>
    <n v="210375000"/>
    <x v="2"/>
    <x v="2"/>
    <d v="2019-09-29T00:00:00"/>
    <d v="2019-09-29T00:00:00"/>
    <s v="TẾT"/>
    <m/>
    <m/>
    <m/>
    <m/>
    <n v="0"/>
    <m/>
    <m/>
    <m/>
    <m/>
    <m/>
    <m/>
    <n v="0"/>
    <n v="28050"/>
    <n v="210375000"/>
    <d v="2019-12-27T00:00:00"/>
  </r>
  <r>
    <s v="138B/2019"/>
    <d v="2019-03-19T00:00:00"/>
    <s v="THANH THÚY"/>
    <s v="VK02"/>
    <x v="8"/>
    <x v="4"/>
    <s v="ROBINA"/>
    <m/>
    <s v="20.22"/>
    <n v="125"/>
    <s v="NL2018"/>
    <m/>
    <n v="408"/>
    <n v="51000"/>
    <x v="5"/>
    <n v="535500000"/>
    <x v="2"/>
    <x v="2"/>
    <d v="2019-09-29T00:00:00"/>
    <d v="2019-09-29T00:00:00"/>
    <s v="TẾT"/>
    <m/>
    <m/>
    <m/>
    <m/>
    <n v="0"/>
    <m/>
    <m/>
    <m/>
    <m/>
    <m/>
    <m/>
    <n v="0"/>
    <n v="51000"/>
    <n v="535500000"/>
    <d v="2019-12-27T00:00:00"/>
  </r>
  <r>
    <s v="138B/2019"/>
    <d v="2019-05-14T00:00:00"/>
    <s v="THANH THÚY"/>
    <s v="VK02"/>
    <x v="8"/>
    <x v="5"/>
    <s v="ROBINA"/>
    <m/>
    <s v="18.20"/>
    <n v="150"/>
    <s v="NL2018"/>
    <m/>
    <n v="40"/>
    <n v="6000"/>
    <x v="46"/>
    <n v="51000000"/>
    <x v="2"/>
    <x v="2"/>
    <d v="2019-09-29T00:00:00"/>
    <d v="2019-09-29T00:00:00"/>
    <s v="TẾT"/>
    <m/>
    <m/>
    <m/>
    <m/>
    <m/>
    <m/>
    <m/>
    <m/>
    <m/>
    <m/>
    <m/>
    <n v="0"/>
    <n v="6000"/>
    <n v="51000000"/>
    <m/>
  </r>
  <r>
    <s v="16B/2019"/>
    <d v="2019-03-20T00:00:00"/>
    <s v="THANH THÚY"/>
    <s v="VK02"/>
    <x v="8"/>
    <x v="12"/>
    <s v="PROFUNDO"/>
    <m/>
    <s v="14.16"/>
    <n v="300"/>
    <s v="NL2018"/>
    <m/>
    <n v="0"/>
    <n v="0"/>
    <x v="8"/>
    <n v="0"/>
    <x v="1"/>
    <x v="5"/>
    <d v="2019-04-19T00:00:00"/>
    <d v="2019-04-19T00:00:00"/>
    <s v="15/3AL"/>
    <s v="CONT 23/2019"/>
    <m/>
    <m/>
    <m/>
    <m/>
    <m/>
    <m/>
    <m/>
    <m/>
    <m/>
    <m/>
    <n v="0"/>
    <n v="0"/>
    <n v="0"/>
    <m/>
  </r>
  <r>
    <s v="16B/2019"/>
    <d v="2019-03-20T00:00:00"/>
    <s v="THANH THÚY"/>
    <s v="VK02"/>
    <x v="8"/>
    <x v="11"/>
    <s v="PROFUNDO"/>
    <m/>
    <s v="16.18"/>
    <n v="200"/>
    <s v="NL2018"/>
    <m/>
    <n v="0"/>
    <n v="0"/>
    <x v="32"/>
    <n v="0"/>
    <x v="1"/>
    <x v="5"/>
    <d v="2019-04-19T00:00:00"/>
    <d v="2019-04-19T00:00:00"/>
    <s v="15/3AL"/>
    <s v="CONT 23/2019"/>
    <m/>
    <m/>
    <m/>
    <m/>
    <m/>
    <m/>
    <m/>
    <m/>
    <m/>
    <m/>
    <n v="0"/>
    <n v="0"/>
    <n v="0"/>
    <m/>
  </r>
  <r>
    <s v="138B/2019"/>
    <d v="2019-03-19T00:00:00"/>
    <s v="THANH THÚY"/>
    <s v="VK02"/>
    <x v="8"/>
    <x v="39"/>
    <s v="PROFUNDO"/>
    <m/>
    <s v="20.22"/>
    <n v="125"/>
    <s v="NL2018"/>
    <m/>
    <n v="0"/>
    <n v="0"/>
    <x v="47"/>
    <n v="0"/>
    <x v="1"/>
    <x v="2"/>
    <d v="2019-09-29T00:00:00"/>
    <d v="2019-09-29T00:00:00"/>
    <s v="TẾT"/>
    <m/>
    <m/>
    <m/>
    <m/>
    <n v="0"/>
    <m/>
    <m/>
    <m/>
    <m/>
    <m/>
    <m/>
    <n v="0"/>
    <n v="0"/>
    <n v="0"/>
    <d v="2019-12-27T00:00:00"/>
  </r>
  <r>
    <s v="16B/2019"/>
    <d v="2019-01-06T00:00:00"/>
    <s v="THANH THÚY"/>
    <s v="VK02"/>
    <x v="8"/>
    <x v="12"/>
    <s v="PROFUNDO"/>
    <m/>
    <s v="14.16"/>
    <n v="300"/>
    <s v="NL2018"/>
    <m/>
    <n v="57"/>
    <n v="17100"/>
    <x v="43"/>
    <n v="82080000"/>
    <x v="0"/>
    <x v="10"/>
    <d v="2019-04-03T00:00:00"/>
    <d v="2019-04-03T00:00:00"/>
    <s v="28/2AL"/>
    <s v="CONT 15/2019"/>
    <m/>
    <m/>
    <m/>
    <n v="17100"/>
    <m/>
    <m/>
    <m/>
    <m/>
    <m/>
    <m/>
    <n v="17100"/>
    <n v="0"/>
    <n v="0"/>
    <d v="2019-12-10T00:00:00"/>
  </r>
  <r>
    <s v="16B/2019"/>
    <d v="2019-03-20T00:00:00"/>
    <s v="THANH THÚY"/>
    <s v="VK02"/>
    <x v="8"/>
    <x v="11"/>
    <s v="PROFUNDO"/>
    <m/>
    <s v="16.18"/>
    <n v="200"/>
    <s v="NL2018"/>
    <m/>
    <n v="0"/>
    <n v="0"/>
    <x v="32"/>
    <n v="0"/>
    <x v="1"/>
    <x v="10"/>
    <d v="2019-04-03T00:00:00"/>
    <d v="2019-04-03T00:00:00"/>
    <s v="28/2AL"/>
    <m/>
    <m/>
    <m/>
    <m/>
    <m/>
    <m/>
    <m/>
    <m/>
    <m/>
    <m/>
    <m/>
    <n v="0"/>
    <n v="0"/>
    <n v="0"/>
    <m/>
  </r>
  <r>
    <s v="16B/2019"/>
    <d v="2019-01-06T00:00:00"/>
    <s v="THANH THÚY"/>
    <s v="VK02"/>
    <x v="8"/>
    <x v="40"/>
    <s v="PAVIA"/>
    <m/>
    <s v="12.14"/>
    <n v="400"/>
    <s v="NL2017"/>
    <m/>
    <n v="115"/>
    <n v="46000"/>
    <x v="48"/>
    <n v="92000000"/>
    <x v="0"/>
    <x v="0"/>
    <d v="2019-03-20T00:00:00"/>
    <d v="2019-03-20T00:00:00"/>
    <s v="15/2AL"/>
    <s v="CONT 9/2019"/>
    <m/>
    <m/>
    <d v="2019-03-20T00:00:00"/>
    <n v="26000"/>
    <d v="2019-03-22T00:00:00"/>
    <n v="20000"/>
    <m/>
    <m/>
    <m/>
    <m/>
    <n v="46000"/>
    <n v="0"/>
    <n v="0"/>
    <d v="2019-12-28T00:00:00"/>
  </r>
  <r>
    <s v="16B/2019"/>
    <d v="2019-01-06T00:00:00"/>
    <s v="THANH THÚY"/>
    <s v="VK02"/>
    <x v="8"/>
    <x v="41"/>
    <s v="PAVIA"/>
    <m/>
    <s v="12.14"/>
    <n v="400"/>
    <s v="NL2018"/>
    <m/>
    <n v="28"/>
    <n v="11200"/>
    <x v="37"/>
    <n v="31360000"/>
    <x v="0"/>
    <x v="0"/>
    <d v="2019-03-20T00:00:00"/>
    <d v="2019-03-20T00:00:00"/>
    <s v="15/2AL"/>
    <s v="CONT 9/2019"/>
    <m/>
    <m/>
    <m/>
    <n v="11200"/>
    <m/>
    <m/>
    <m/>
    <m/>
    <m/>
    <m/>
    <n v="11200"/>
    <n v="0"/>
    <n v="0"/>
    <d v="2019-12-28T00:00:00"/>
  </r>
  <r>
    <s v="16B/2019"/>
    <d v="2019-06-01T00:00:00"/>
    <s v="THANH THÚY"/>
    <s v="VK02"/>
    <x v="8"/>
    <x v="41"/>
    <s v="PAVIA"/>
    <m/>
    <s v="12.14"/>
    <n v="400"/>
    <s v="NL2018"/>
    <m/>
    <n v="0"/>
    <n v="0"/>
    <x v="39"/>
    <n v="0"/>
    <x v="1"/>
    <x v="11"/>
    <d v="2019-06-02T00:00:00"/>
    <d v="2019-06-02T00:00:00"/>
    <m/>
    <m/>
    <m/>
    <m/>
    <m/>
    <m/>
    <m/>
    <m/>
    <m/>
    <m/>
    <m/>
    <m/>
    <n v="0"/>
    <n v="0"/>
    <n v="0"/>
    <m/>
  </r>
  <r>
    <s v="138B/2019"/>
    <d v="2019-03-19T00:00:00"/>
    <s v="THANH THÚY"/>
    <s v="VK02"/>
    <x v="8"/>
    <x v="41"/>
    <s v="PAVIA"/>
    <m/>
    <s v="12.14"/>
    <n v="400"/>
    <s v="NL2018"/>
    <m/>
    <n v="33"/>
    <n v="13200"/>
    <x v="49"/>
    <n v="43560000"/>
    <x v="2"/>
    <x v="2"/>
    <d v="2019-09-29T00:00:00"/>
    <d v="2019-09-29T00:00:00"/>
    <s v="TẾT"/>
    <m/>
    <m/>
    <m/>
    <m/>
    <n v="0"/>
    <m/>
    <m/>
    <m/>
    <m/>
    <m/>
    <m/>
    <n v="0"/>
    <n v="13200"/>
    <n v="43560000"/>
    <d v="2019-12-27T00:00:00"/>
  </r>
  <r>
    <s v="138B/2019"/>
    <d v="2019-03-19T00:00:00"/>
    <s v="THANH THÚY"/>
    <s v="VK02"/>
    <x v="8"/>
    <x v="42"/>
    <s v="PAVIA"/>
    <m/>
    <s v="14.16"/>
    <n v="300"/>
    <s v="NL2018"/>
    <m/>
    <n v="0"/>
    <n v="0"/>
    <x v="14"/>
    <n v="0"/>
    <x v="1"/>
    <x v="2"/>
    <d v="2019-09-29T00:00:00"/>
    <d v="2019-09-29T00:00:00"/>
    <s v="TẾT"/>
    <m/>
    <m/>
    <m/>
    <m/>
    <n v="0"/>
    <m/>
    <m/>
    <m/>
    <m/>
    <m/>
    <m/>
    <n v="0"/>
    <n v="0"/>
    <n v="0"/>
    <d v="2019-12-27T00:00:00"/>
  </r>
  <r>
    <s v="138B/2019"/>
    <d v="2019-03-19T00:00:00"/>
    <s v="THANH THÚY"/>
    <s v="VK02"/>
    <x v="8"/>
    <x v="43"/>
    <s v="PAVIA"/>
    <m/>
    <s v="16.18"/>
    <n v="200"/>
    <s v="NL2018"/>
    <m/>
    <n v="25"/>
    <n v="5000"/>
    <x v="42"/>
    <n v="30500000"/>
    <x v="2"/>
    <x v="2"/>
    <d v="2019-09-29T00:00:00"/>
    <d v="2019-09-29T00:00:00"/>
    <s v="TẾT"/>
    <m/>
    <m/>
    <m/>
    <m/>
    <n v="0"/>
    <m/>
    <m/>
    <m/>
    <m/>
    <m/>
    <m/>
    <n v="0"/>
    <n v="5000"/>
    <n v="30500000"/>
    <d v="2019-12-27T00:00:00"/>
  </r>
  <r>
    <s v="16B/2019"/>
    <d v="2019-06-14T00:00:00"/>
    <s v="THANH THÚY"/>
    <s v="VK02"/>
    <x v="8"/>
    <x v="42"/>
    <s v="PAVIA"/>
    <m/>
    <s v="14.16"/>
    <n v="300"/>
    <s v="NL2018"/>
    <m/>
    <n v="13"/>
    <n v="3900"/>
    <x v="50"/>
    <n v="17160000"/>
    <x v="3"/>
    <x v="26"/>
    <m/>
    <m/>
    <m/>
    <m/>
    <m/>
    <m/>
    <m/>
    <m/>
    <m/>
    <m/>
    <m/>
    <m/>
    <m/>
    <m/>
    <n v="0"/>
    <n v="3900"/>
    <n v="17160000"/>
    <m/>
  </r>
  <r>
    <s v="16B/2019"/>
    <d v="2019-03-20T00:00:00"/>
    <s v="THANH THÚY"/>
    <s v="VK02"/>
    <x v="8"/>
    <x v="44"/>
    <s v="NELLO "/>
    <m/>
    <s v="12.14"/>
    <n v="400"/>
    <s v="NL2018"/>
    <m/>
    <n v="11"/>
    <n v="4400"/>
    <x v="26"/>
    <n v="13200000"/>
    <x v="0"/>
    <x v="5"/>
    <d v="2019-04-19T00:00:00"/>
    <d v="2019-04-19T00:00:00"/>
    <s v="15/3AL"/>
    <m/>
    <m/>
    <m/>
    <m/>
    <n v="4400"/>
    <m/>
    <m/>
    <m/>
    <m/>
    <m/>
    <m/>
    <n v="4400"/>
    <n v="0"/>
    <n v="0"/>
    <d v="2019-12-28T00:00:00"/>
  </r>
  <r>
    <s v="16B/2019"/>
    <d v="2019-01-06T00:00:00"/>
    <s v="THANH THÚY"/>
    <s v="VK02"/>
    <x v="8"/>
    <x v="45"/>
    <s v="MARENGO"/>
    <m/>
    <s v="16.18"/>
    <n v="200"/>
    <s v="NL2018"/>
    <m/>
    <n v="45"/>
    <n v="9000"/>
    <x v="51"/>
    <n v="54000000"/>
    <x v="0"/>
    <x v="22"/>
    <d v="2019-02-27T00:00:00"/>
    <d v="2019-02-27T00:00:00"/>
    <s v="23/1AL"/>
    <m/>
    <m/>
    <m/>
    <d v="2019-03-02T00:00:00"/>
    <n v="9000"/>
    <m/>
    <m/>
    <m/>
    <m/>
    <m/>
    <m/>
    <n v="9000"/>
    <n v="0"/>
    <n v="0"/>
    <d v="2019-12-10T00:00:00"/>
  </r>
  <r>
    <s v="16B/2019"/>
    <d v="2019-03-20T00:00:00"/>
    <s v="THANH THÚY"/>
    <s v="VK02"/>
    <x v="8"/>
    <x v="27"/>
    <s v="MALDANO"/>
    <m/>
    <s v="16.18"/>
    <n v="200"/>
    <s v="NL2018"/>
    <m/>
    <n v="0"/>
    <n v="0"/>
    <x v="8"/>
    <n v="0"/>
    <x v="1"/>
    <x v="5"/>
    <d v="2019-04-19T00:00:00"/>
    <d v="2019-04-19T00:00:00"/>
    <s v="15/3AL"/>
    <s v="CONT 23/2019"/>
    <m/>
    <m/>
    <m/>
    <n v="0"/>
    <m/>
    <m/>
    <m/>
    <m/>
    <m/>
    <m/>
    <n v="0"/>
    <n v="0"/>
    <n v="0"/>
    <d v="2019-12-28T00:00:00"/>
  </r>
  <r>
    <s v="16B/2019"/>
    <d v="2019-03-20T00:00:00"/>
    <s v="THANH THÚY"/>
    <s v="VK02"/>
    <x v="8"/>
    <x v="27"/>
    <s v="MALDANO"/>
    <m/>
    <s v="16.18"/>
    <n v="200"/>
    <s v="NL2018"/>
    <m/>
    <n v="0"/>
    <n v="0"/>
    <x v="6"/>
    <n v="0"/>
    <x v="1"/>
    <x v="27"/>
    <d v="2019-05-14T00:00:00"/>
    <d v="2019-05-14T00:00:00"/>
    <s v="10/4AL"/>
    <m/>
    <m/>
    <m/>
    <m/>
    <m/>
    <m/>
    <m/>
    <m/>
    <m/>
    <m/>
    <m/>
    <n v="0"/>
    <n v="0"/>
    <n v="0"/>
    <m/>
  </r>
  <r>
    <s v="16B/2019"/>
    <d v="2019-03-20T00:00:00"/>
    <s v="THANH THÚY"/>
    <s v="VK02"/>
    <x v="8"/>
    <x v="28"/>
    <s v="LARGO"/>
    <m/>
    <s v="16.18"/>
    <n v="200"/>
    <s v="NL2018"/>
    <m/>
    <n v="2"/>
    <n v="400"/>
    <x v="30"/>
    <n v="2320000"/>
    <x v="0"/>
    <x v="11"/>
    <d v="2019-06-02T00:00:00"/>
    <d v="2019-06-02T00:00:00"/>
    <s v="1/5AL"/>
    <m/>
    <m/>
    <m/>
    <d v="2019-06-08T00:00:00"/>
    <n v="400"/>
    <m/>
    <m/>
    <m/>
    <m/>
    <m/>
    <m/>
    <n v="400"/>
    <n v="0"/>
    <n v="0"/>
    <d v="2019-12-28T00:00:00"/>
  </r>
  <r>
    <s v="16B/2019"/>
    <d v="2019-01-06T00:00:00"/>
    <s v="THANH THÚY"/>
    <s v="VK02"/>
    <x v="8"/>
    <x v="46"/>
    <s v="HONESTY"/>
    <m/>
    <s v="16.18"/>
    <n v="200"/>
    <s v="NL2017"/>
    <m/>
    <n v="46"/>
    <n v="9200"/>
    <x v="26"/>
    <n v="27600000"/>
    <x v="0"/>
    <x v="16"/>
    <d v="2019-03-12T00:00:00"/>
    <d v="2019-03-12T00:00:00"/>
    <s v="07/2AL"/>
    <m/>
    <m/>
    <m/>
    <d v="2019-03-19T00:00:00"/>
    <n v="9200"/>
    <m/>
    <m/>
    <m/>
    <m/>
    <m/>
    <m/>
    <n v="9200"/>
    <n v="0"/>
    <n v="0"/>
    <d v="2019-12-27T00:00:00"/>
  </r>
  <r>
    <s v="16B/2019"/>
    <d v="2019-06-18T00:00:00"/>
    <s v="THANH THÚY"/>
    <s v="VK02"/>
    <x v="8"/>
    <x v="47"/>
    <s v="GENERAL LEE"/>
    <m/>
    <s v="12.14"/>
    <n v="400"/>
    <s v="NL2018"/>
    <m/>
    <n v="15"/>
    <n v="6000"/>
    <x v="52"/>
    <n v="19200000"/>
    <x v="4"/>
    <x v="4"/>
    <d v="2019-07-17T00:00:00"/>
    <d v="2019-07-17T00:00:00"/>
    <m/>
    <m/>
    <m/>
    <m/>
    <m/>
    <m/>
    <m/>
    <m/>
    <m/>
    <m/>
    <m/>
    <m/>
    <n v="0"/>
    <n v="6000"/>
    <n v="19200000"/>
    <m/>
  </r>
  <r>
    <s v="16B/2019"/>
    <d v="2019-06-18T00:00:00"/>
    <s v="THANH THÚY"/>
    <s v="VK02"/>
    <x v="8"/>
    <x v="48"/>
    <s v="GENERAL LEE"/>
    <m/>
    <s v="14.16"/>
    <n v="300"/>
    <s v="NL2018"/>
    <m/>
    <n v="48"/>
    <n v="14400"/>
    <x v="14"/>
    <n v="64800000"/>
    <x v="4"/>
    <x v="4"/>
    <d v="2019-07-17T00:00:00"/>
    <d v="2019-07-17T00:00:00"/>
    <m/>
    <m/>
    <m/>
    <m/>
    <m/>
    <m/>
    <m/>
    <m/>
    <m/>
    <m/>
    <m/>
    <m/>
    <n v="0"/>
    <n v="14400"/>
    <n v="64800000"/>
    <m/>
  </r>
  <r>
    <s v="16B/2019"/>
    <d v="2019-01-06T00:00:00"/>
    <s v="THANH THÚY"/>
    <s v="VK02"/>
    <x v="8"/>
    <x v="49"/>
    <s v="FELINO"/>
    <m/>
    <s v="15.16"/>
    <n v="300"/>
    <s v="NL2018"/>
    <m/>
    <n v="32.166666666666664"/>
    <n v="9650"/>
    <x v="53"/>
    <n v="51868750"/>
    <x v="0"/>
    <x v="22"/>
    <d v="2019-02-27T00:00:00"/>
    <d v="2019-02-27T00:00:00"/>
    <s v="23/1AL"/>
    <m/>
    <m/>
    <m/>
    <d v="2019-02-27T00:00:00"/>
    <n v="9650"/>
    <m/>
    <m/>
    <m/>
    <m/>
    <m/>
    <m/>
    <n v="9650"/>
    <n v="0"/>
    <n v="0"/>
    <d v="2019-12-10T00:00:00"/>
  </r>
  <r>
    <s v="16B/2019"/>
    <d v="2019-06-06T00:00:00"/>
    <s v="THANH THÚY"/>
    <s v="VK02"/>
    <x v="8"/>
    <x v="50"/>
    <s v="EREMO"/>
    <m/>
    <s v="14.16"/>
    <n v="300"/>
    <s v="NL2018"/>
    <m/>
    <n v="60"/>
    <n v="18000"/>
    <x v="41"/>
    <n v="77400000"/>
    <x v="3"/>
    <x v="23"/>
    <d v="2019-06-22T00:00:00"/>
    <d v="2019-06-22T00:00:00"/>
    <m/>
    <m/>
    <m/>
    <m/>
    <m/>
    <m/>
    <m/>
    <m/>
    <m/>
    <m/>
    <m/>
    <m/>
    <n v="0"/>
    <n v="18000"/>
    <n v="77400000"/>
    <m/>
  </r>
  <r>
    <s v="138B/2019"/>
    <d v="2019-03-19T00:00:00"/>
    <s v="THANH THÚY"/>
    <s v="VK02"/>
    <x v="8"/>
    <x v="8"/>
    <s v="CONCADOR"/>
    <m/>
    <s v="18.20"/>
    <n v="150"/>
    <s v="NL2018"/>
    <m/>
    <n v="20"/>
    <n v="3000"/>
    <x v="31"/>
    <n v="22500000"/>
    <x v="2"/>
    <x v="2"/>
    <d v="2019-09-29T00:00:00"/>
    <d v="2019-09-29T00:00:00"/>
    <s v="TẾT"/>
    <m/>
    <m/>
    <m/>
    <m/>
    <n v="0"/>
    <m/>
    <m/>
    <m/>
    <m/>
    <m/>
    <m/>
    <n v="0"/>
    <n v="3000"/>
    <n v="22500000"/>
    <d v="2019-12-27T00:00:00"/>
  </r>
  <r>
    <s v="138B/2019"/>
    <d v="2019-03-19T00:00:00"/>
    <s v="THANH THÚY"/>
    <s v="VK02"/>
    <x v="8"/>
    <x v="7"/>
    <s v="CONCADOR"/>
    <m/>
    <s v="20.22"/>
    <n v="125"/>
    <s v="NL2018"/>
    <m/>
    <n v="80"/>
    <n v="10000"/>
    <x v="35"/>
    <n v="106000000"/>
    <x v="2"/>
    <x v="2"/>
    <d v="2019-09-29T00:00:00"/>
    <d v="2019-09-29T00:00:00"/>
    <s v="TẾT"/>
    <m/>
    <m/>
    <m/>
    <m/>
    <n v="0"/>
    <m/>
    <m/>
    <m/>
    <m/>
    <m/>
    <m/>
    <n v="0"/>
    <n v="10000"/>
    <n v="106000000"/>
    <d v="2019-12-27T00:00:00"/>
  </r>
  <r>
    <s v="16B/2019"/>
    <d v="2019-01-06T00:00:00"/>
    <s v="THANH THÚY"/>
    <s v="VK02"/>
    <x v="8"/>
    <x v="51"/>
    <s v="COMPETITION"/>
    <m/>
    <s v="16.18"/>
    <n v="200"/>
    <s v="NL2018"/>
    <m/>
    <n v="3"/>
    <n v="600"/>
    <x v="32"/>
    <n v="4020000"/>
    <x v="0"/>
    <x v="0"/>
    <d v="2019-03-20T00:00:00"/>
    <d v="2019-03-20T00:00:00"/>
    <s v="15/2AL"/>
    <s v="CONT 9/2019"/>
    <m/>
    <m/>
    <d v="2019-03-20T00:00:00"/>
    <n v="600"/>
    <m/>
    <m/>
    <m/>
    <m/>
    <m/>
    <m/>
    <n v="600"/>
    <n v="0"/>
    <n v="0"/>
    <d v="2019-12-28T00:00:00"/>
  </r>
  <r>
    <s v="138B/2019"/>
    <d v="2019-03-19T00:00:00"/>
    <s v="THANH THÚY"/>
    <s v="VK02"/>
    <x v="8"/>
    <x v="52"/>
    <s v="BEAU SOLEIL"/>
    <m/>
    <s v="16.18"/>
    <n v="200"/>
    <s v="NL2018"/>
    <m/>
    <n v="0"/>
    <n v="0"/>
    <x v="54"/>
    <n v="0"/>
    <x v="1"/>
    <x v="2"/>
    <d v="2019-09-29T00:00:00"/>
    <d v="2019-09-29T00:00:00"/>
    <s v="TẾT"/>
    <m/>
    <m/>
    <m/>
    <m/>
    <n v="0"/>
    <m/>
    <m/>
    <m/>
    <m/>
    <m/>
    <m/>
    <n v="0"/>
    <n v="0"/>
    <n v="0"/>
    <d v="2019-12-27T00:00:00"/>
  </r>
  <r>
    <s v="16B/2019"/>
    <d v="2019-01-06T00:00:00"/>
    <s v="THANH THÚY"/>
    <s v="VK02"/>
    <x v="8"/>
    <x v="53"/>
    <s v="AMATERAS"/>
    <m/>
    <s v="12.14"/>
    <n v="400"/>
    <s v="NL2018"/>
    <m/>
    <n v="120"/>
    <n v="48000"/>
    <x v="37"/>
    <n v="134400000"/>
    <x v="0"/>
    <x v="0"/>
    <d v="2019-03-20T00:00:00"/>
    <d v="2019-03-20T00:00:00"/>
    <s v="15/2AL"/>
    <s v="CONT 9/2019"/>
    <m/>
    <m/>
    <d v="2019-03-20T00:00:00"/>
    <n v="48000"/>
    <m/>
    <m/>
    <m/>
    <m/>
    <m/>
    <m/>
    <n v="48000"/>
    <n v="0"/>
    <n v="0"/>
    <d v="2019-12-27T00:00:00"/>
  </r>
  <r>
    <s v="16B/2019"/>
    <d v="2019-01-06T00:00:00"/>
    <s v="THANH THÚY"/>
    <s v="VK02"/>
    <x v="8"/>
    <x v="54"/>
    <s v="AMATERAS"/>
    <m/>
    <s v="14.16"/>
    <n v="300"/>
    <s v="NL2018"/>
    <m/>
    <n v="149"/>
    <n v="44700"/>
    <x v="40"/>
    <n v="187740000"/>
    <x v="0"/>
    <x v="0"/>
    <d v="2019-03-20T00:00:00"/>
    <d v="2019-03-20T00:00:00"/>
    <s v="15/2AL"/>
    <s v="CONT 9/2019"/>
    <m/>
    <m/>
    <d v="2019-03-20T00:00:00"/>
    <n v="44700"/>
    <m/>
    <m/>
    <m/>
    <m/>
    <m/>
    <m/>
    <n v="44700"/>
    <n v="0"/>
    <n v="0"/>
    <d v="2019-12-27T00:00:00"/>
  </r>
  <r>
    <s v="16B/2019"/>
    <d v="2019-03-20T00:00:00"/>
    <s v="THANH THÚY"/>
    <s v="VK02"/>
    <x v="8"/>
    <x v="55"/>
    <s v="AMATERAS"/>
    <m/>
    <s v="14.16"/>
    <n v="275"/>
    <s v="NL2018"/>
    <m/>
    <n v="18"/>
    <n v="4950"/>
    <x v="40"/>
    <n v="20790000"/>
    <x v="0"/>
    <x v="5"/>
    <d v="2019-04-19T00:00:00"/>
    <d v="2019-04-19T00:00:00"/>
    <s v="15/3AL"/>
    <m/>
    <m/>
    <m/>
    <m/>
    <n v="4950"/>
    <m/>
    <m/>
    <m/>
    <m/>
    <m/>
    <m/>
    <n v="4950"/>
    <n v="0"/>
    <n v="0"/>
    <d v="2019-12-28T00:00:00"/>
  </r>
  <r>
    <s v="16B/2019"/>
    <d v="2019-06-13T00:00:00"/>
    <s v="THANH THÚY"/>
    <s v="VK02"/>
    <x v="8"/>
    <x v="54"/>
    <s v="AMATERAS"/>
    <m/>
    <s v="14.16"/>
    <n v="300"/>
    <s v="NL2018"/>
    <m/>
    <n v="267"/>
    <n v="80100"/>
    <x v="29"/>
    <n v="368460000"/>
    <x v="4"/>
    <x v="4"/>
    <d v="2019-07-17T00:00:00"/>
    <d v="2019-07-17T00:00:00"/>
    <m/>
    <m/>
    <m/>
    <m/>
    <m/>
    <m/>
    <m/>
    <m/>
    <m/>
    <m/>
    <m/>
    <m/>
    <n v="0"/>
    <n v="80100"/>
    <n v="368460000"/>
    <m/>
  </r>
  <r>
    <s v="16B/2019"/>
    <d v="2019-01-06T00:00:00"/>
    <s v="THANH THÚY"/>
    <s v="VK02"/>
    <x v="8"/>
    <x v="55"/>
    <s v="AMATERAS"/>
    <m/>
    <s v="14.16"/>
    <n v="275"/>
    <s v="NL2018"/>
    <m/>
    <n v="35"/>
    <n v="9625"/>
    <x v="50"/>
    <n v="42350000"/>
    <x v="0"/>
    <x v="11"/>
    <d v="2019-06-02T00:00:00"/>
    <d v="2019-06-02T00:00:00"/>
    <s v="29/4AL"/>
    <m/>
    <m/>
    <m/>
    <d v="2019-06-08T00:00:00"/>
    <n v="9625"/>
    <m/>
    <m/>
    <m/>
    <m/>
    <m/>
    <m/>
    <n v="9625"/>
    <n v="0"/>
    <n v="0"/>
    <d v="2019-12-27T00:00:00"/>
  </r>
  <r>
    <s v="16B/2019"/>
    <d v="2019-01-06T00:00:00"/>
    <s v="THANH THÚY"/>
    <s v="VK02"/>
    <x v="8"/>
    <x v="54"/>
    <s v="AMATERAS"/>
    <m/>
    <s v="14.16"/>
    <n v="300"/>
    <s v="NL2018"/>
    <m/>
    <n v="88"/>
    <n v="26400"/>
    <x v="50"/>
    <n v="116160000"/>
    <x v="0"/>
    <x v="11"/>
    <d v="2019-06-02T00:00:00"/>
    <d v="2019-06-02T00:00:00"/>
    <s v="29/4AL"/>
    <m/>
    <m/>
    <m/>
    <d v="2019-06-08T00:00:00"/>
    <n v="26400"/>
    <m/>
    <m/>
    <m/>
    <m/>
    <m/>
    <m/>
    <n v="26400"/>
    <n v="0"/>
    <n v="0"/>
    <d v="2019-12-27T00:00:00"/>
  </r>
  <r>
    <s v="16B/2019"/>
    <d v="2019-06-12T00:00:00"/>
    <s v="THANH THÚY"/>
    <s v="VK02"/>
    <x v="8"/>
    <x v="55"/>
    <s v="AMATERAS"/>
    <m/>
    <s v="14.16"/>
    <n v="275"/>
    <s v="NL2018"/>
    <m/>
    <n v="32"/>
    <n v="8800"/>
    <x v="50"/>
    <n v="38720000"/>
    <x v="3"/>
    <x v="23"/>
    <d v="2019-06-22T00:00:00"/>
    <d v="2019-06-22T00:00:00"/>
    <m/>
    <m/>
    <m/>
    <m/>
    <m/>
    <m/>
    <m/>
    <m/>
    <m/>
    <m/>
    <m/>
    <m/>
    <n v="0"/>
    <n v="8800"/>
    <n v="38720000"/>
    <m/>
  </r>
  <r>
    <s v="16B/2019"/>
    <d v="2019-01-06T00:00:00"/>
    <s v="THANH THÚY"/>
    <s v="VK02"/>
    <x v="8"/>
    <x v="56"/>
    <s v="ALUSTA"/>
    <m/>
    <s v="14.16"/>
    <n v="300"/>
    <s v="NL2018"/>
    <m/>
    <n v="50"/>
    <n v="15000"/>
    <x v="45"/>
    <n v="60000000"/>
    <x v="0"/>
    <x v="22"/>
    <d v="2019-02-27T00:00:00"/>
    <d v="2019-02-27T00:00:00"/>
    <s v="23/1AL"/>
    <m/>
    <m/>
    <m/>
    <d v="2019-02-27T00:00:00"/>
    <n v="15000"/>
    <m/>
    <m/>
    <m/>
    <m/>
    <m/>
    <m/>
    <n v="15000"/>
    <n v="0"/>
    <n v="0"/>
    <d v="2019-12-10T00:00:00"/>
  </r>
  <r>
    <s v="96B/2019"/>
    <d v="2019-06-10T00:00:00"/>
    <s v="THANH THÚY"/>
    <s v="TG01"/>
    <x v="9"/>
    <x v="0"/>
    <s v="YELLOWEEN"/>
    <m/>
    <s v="12.14"/>
    <n v="400"/>
    <s v="NL2018"/>
    <m/>
    <n v="13"/>
    <n v="5200"/>
    <x v="37"/>
    <n v="14560000"/>
    <x v="0"/>
    <x v="28"/>
    <d v="2019-06-07T00:00:00"/>
    <d v="2019-06-07T00:00:00"/>
    <m/>
    <m/>
    <m/>
    <m/>
    <d v="2019-06-18T00:00:00"/>
    <n v="5200"/>
    <m/>
    <m/>
    <m/>
    <m/>
    <m/>
    <m/>
    <n v="5200"/>
    <n v="0"/>
    <n v="0"/>
    <m/>
  </r>
  <r>
    <s v="96B/2019"/>
    <d v="2019-03-08T00:00:00"/>
    <s v="THANH THÚY"/>
    <s v="TG01"/>
    <x v="9"/>
    <x v="57"/>
    <s v="YELLOWEEN"/>
    <m/>
    <s v="16.18"/>
    <n v="200"/>
    <s v="NL2018"/>
    <m/>
    <n v="25"/>
    <n v="5000"/>
    <x v="55"/>
    <n v="28000000"/>
    <x v="2"/>
    <x v="2"/>
    <d v="2019-09-29T00:00:00"/>
    <d v="2019-09-29T00:00:00"/>
    <s v="TẾT"/>
    <m/>
    <m/>
    <m/>
    <m/>
    <n v="0"/>
    <m/>
    <m/>
    <m/>
    <m/>
    <m/>
    <m/>
    <n v="0"/>
    <n v="5000"/>
    <n v="28000000"/>
    <m/>
  </r>
  <r>
    <s v="96B/2019"/>
    <d v="2019-03-08T00:00:00"/>
    <s v="THANH THÚY"/>
    <s v="TG01"/>
    <x v="9"/>
    <x v="3"/>
    <s v="ROBINA"/>
    <m/>
    <s v="16.18"/>
    <n v="200"/>
    <s v="NL2018"/>
    <m/>
    <n v="50"/>
    <n v="10000"/>
    <x v="8"/>
    <n v="50000000"/>
    <x v="0"/>
    <x v="5"/>
    <d v="2019-04-19T00:00:00"/>
    <d v="2019-04-19T00:00:00"/>
    <s v="15/3AL"/>
    <s v="CONT 25/2019"/>
    <m/>
    <m/>
    <d v="2019-04-23T00:00:00"/>
    <n v="10000"/>
    <m/>
    <m/>
    <m/>
    <m/>
    <m/>
    <m/>
    <n v="10000"/>
    <n v="0"/>
    <n v="0"/>
    <m/>
  </r>
  <r>
    <s v="96B/2019"/>
    <d v="2019-03-08T00:00:00"/>
    <s v="THANH THÚY"/>
    <s v="TG01"/>
    <x v="9"/>
    <x v="3"/>
    <s v="ROBINA"/>
    <m/>
    <s v="16.18"/>
    <n v="200"/>
    <s v="NL2018"/>
    <m/>
    <n v="0"/>
    <n v="0"/>
    <x v="6"/>
    <n v="0"/>
    <x v="1"/>
    <x v="9"/>
    <d v="2019-06-04T00:00:00"/>
    <d v="2019-06-04T00:00:00"/>
    <s v="02/5AL"/>
    <m/>
    <m/>
    <m/>
    <m/>
    <n v="0"/>
    <m/>
    <m/>
    <m/>
    <m/>
    <m/>
    <m/>
    <n v="0"/>
    <n v="0"/>
    <n v="0"/>
    <m/>
  </r>
  <r>
    <s v="96B/2019"/>
    <d v="2019-03-08T00:00:00"/>
    <s v="THANH THÚY"/>
    <s v="TG01"/>
    <x v="9"/>
    <x v="23"/>
    <s v="ROBINA"/>
    <m/>
    <s v="22.24"/>
    <n v="100"/>
    <s v="NL2018"/>
    <m/>
    <n v="100"/>
    <n v="10000"/>
    <x v="25"/>
    <n v="125000000"/>
    <x v="2"/>
    <x v="2"/>
    <d v="2019-09-29T00:00:00"/>
    <d v="2019-09-29T00:00:00"/>
    <s v="TẾT"/>
    <m/>
    <m/>
    <m/>
    <m/>
    <n v="0"/>
    <m/>
    <m/>
    <m/>
    <m/>
    <m/>
    <m/>
    <n v="0"/>
    <n v="10000"/>
    <n v="125000000"/>
    <m/>
  </r>
  <r>
    <s v="96B/2019"/>
    <d v="2019-03-08T00:00:00"/>
    <s v="THANH THÚY"/>
    <s v="TG01"/>
    <x v="9"/>
    <x v="58"/>
    <s v="ROBINA"/>
    <m/>
    <s v="22.24"/>
    <n v="100"/>
    <s v="NZ2019"/>
    <m/>
    <n v="50"/>
    <n v="5000"/>
    <x v="47"/>
    <n v="65000000"/>
    <x v="2"/>
    <x v="2"/>
    <d v="2019-09-29T00:00:00"/>
    <d v="2019-09-29T00:00:00"/>
    <s v="TẾT"/>
    <m/>
    <m/>
    <m/>
    <m/>
    <n v="0"/>
    <m/>
    <m/>
    <m/>
    <m/>
    <m/>
    <m/>
    <n v="0"/>
    <n v="5000"/>
    <n v="65000000"/>
    <m/>
  </r>
  <r>
    <s v="96B/2019"/>
    <d v="2019-03-08T00:00:00"/>
    <s v="THANH THÚY"/>
    <s v="TG01"/>
    <x v="9"/>
    <x v="21"/>
    <s v="CONCADOR"/>
    <m/>
    <s v="22.24"/>
    <n v="100"/>
    <s v="NL2018"/>
    <m/>
    <n v="150"/>
    <n v="15000"/>
    <x v="25"/>
    <n v="187500000"/>
    <x v="2"/>
    <x v="2"/>
    <d v="2019-09-29T00:00:00"/>
    <d v="2019-09-29T00:00:00"/>
    <s v="TẾT"/>
    <m/>
    <m/>
    <m/>
    <m/>
    <n v="0"/>
    <m/>
    <m/>
    <m/>
    <m/>
    <m/>
    <m/>
    <n v="0"/>
    <n v="15000"/>
    <n v="187500000"/>
    <m/>
  </r>
  <r>
    <s v="162B/2019"/>
    <d v="2019-04-08T00:00:00"/>
    <s v="THANH THÚY"/>
    <s v="TG01"/>
    <x v="9"/>
    <x v="8"/>
    <s v="CONCADOR"/>
    <m/>
    <s v="18.20"/>
    <n v="150"/>
    <s v="NL2018"/>
    <m/>
    <n v="34"/>
    <n v="5100"/>
    <x v="9"/>
    <n v="40800000"/>
    <x v="2"/>
    <x v="2"/>
    <d v="2019-09-29T00:00:00"/>
    <d v="2019-09-29T00:00:00"/>
    <s v="TẾT"/>
    <m/>
    <m/>
    <m/>
    <m/>
    <m/>
    <m/>
    <m/>
    <m/>
    <m/>
    <m/>
    <m/>
    <n v="0"/>
    <n v="5100"/>
    <n v="40800000"/>
    <m/>
  </r>
  <r>
    <s v="162B/2019"/>
    <d v="2019-04-08T00:00:00"/>
    <s v="THANH THÚY"/>
    <s v="TG01"/>
    <x v="9"/>
    <x v="7"/>
    <s v="CONCADOR"/>
    <m/>
    <s v="20.22"/>
    <n v="125"/>
    <s v="NL2018"/>
    <m/>
    <n v="40"/>
    <n v="5000"/>
    <x v="35"/>
    <n v="53000000"/>
    <x v="2"/>
    <x v="2"/>
    <d v="2019-09-29T00:00:00"/>
    <d v="2019-09-29T00:00:00"/>
    <s v="TẾT"/>
    <m/>
    <m/>
    <m/>
    <m/>
    <m/>
    <m/>
    <m/>
    <m/>
    <m/>
    <m/>
    <m/>
    <n v="0"/>
    <n v="5000"/>
    <n v="53000000"/>
    <m/>
  </r>
  <r>
    <s v="164A/2019"/>
    <d v="2019-03-19T00:00:00"/>
    <s v="KIỀU THY"/>
    <s v="TH13"/>
    <x v="10"/>
    <x v="4"/>
    <s v="ROBINA"/>
    <m/>
    <s v="20.22"/>
    <s v="125"/>
    <s v="NL2018"/>
    <m/>
    <n v="40"/>
    <n v="5000"/>
    <x v="5"/>
    <n v="52500000"/>
    <x v="2"/>
    <x v="2"/>
    <d v="2019-09-29T00:00:00"/>
    <d v="2019-09-29T00:00:00"/>
    <s v="TẾT"/>
    <m/>
    <m/>
    <m/>
    <m/>
    <m/>
    <m/>
    <m/>
    <m/>
    <m/>
    <m/>
    <m/>
    <n v="0"/>
    <n v="5000"/>
    <n v="52500000"/>
    <m/>
  </r>
  <r>
    <s v="164A/2019"/>
    <d v="2019-03-19T00:00:00"/>
    <s v="KIỀU THY"/>
    <s v="TH13"/>
    <x v="10"/>
    <x v="23"/>
    <s v="ROBINA"/>
    <m/>
    <s v="22.24"/>
    <s v="100"/>
    <s v="NL2018"/>
    <m/>
    <n v="0"/>
    <n v="0"/>
    <x v="25"/>
    <n v="0"/>
    <x v="1"/>
    <x v="2"/>
    <d v="2019-09-29T00:00:00"/>
    <d v="2019-09-29T00:00:00"/>
    <s v="TẾT"/>
    <m/>
    <m/>
    <m/>
    <m/>
    <m/>
    <m/>
    <m/>
    <m/>
    <m/>
    <m/>
    <m/>
    <n v="0"/>
    <n v="0"/>
    <n v="0"/>
    <m/>
  </r>
  <r>
    <s v="03A/2019"/>
    <d v="2019-03-19T00:00:00"/>
    <s v="KIỀU THY"/>
    <s v="TH13"/>
    <x v="10"/>
    <x v="41"/>
    <s v="PAVIA"/>
    <m/>
    <s v="12.14"/>
    <s v="400"/>
    <s v="NL2018"/>
    <m/>
    <n v="24"/>
    <n v="9600"/>
    <x v="37"/>
    <n v="26880000"/>
    <x v="0"/>
    <x v="5"/>
    <d v="2019-04-19T00:00:00"/>
    <d v="2019-04-19T00:00:00"/>
    <s v="15/3AL"/>
    <s v="CONT 20/2019"/>
    <d v="2019-04-19T00:00:00"/>
    <m/>
    <d v="2019-04-23T00:00:00"/>
    <n v="9600"/>
    <m/>
    <m/>
    <m/>
    <m/>
    <m/>
    <m/>
    <n v="9600"/>
    <n v="0"/>
    <n v="0"/>
    <m/>
  </r>
  <r>
    <s v="03A/2019"/>
    <d v="2019-03-19T00:00:00"/>
    <s v="KIỀU THY"/>
    <s v="TH13"/>
    <x v="10"/>
    <x v="41"/>
    <s v="PAVIA"/>
    <m/>
    <s v="12.14"/>
    <s v="400"/>
    <s v="NL2018"/>
    <m/>
    <n v="0"/>
    <n v="0"/>
    <x v="37"/>
    <n v="0"/>
    <x v="1"/>
    <x v="1"/>
    <d v="2019-05-21T00:00:00"/>
    <d v="2019-05-21T00:00:00"/>
    <s v="30/3AL"/>
    <m/>
    <m/>
    <m/>
    <m/>
    <m/>
    <m/>
    <m/>
    <m/>
    <m/>
    <m/>
    <m/>
    <n v="0"/>
    <n v="0"/>
    <n v="0"/>
    <m/>
  </r>
  <r>
    <s v="164A/2019"/>
    <d v="2019-03-19T00:00:00"/>
    <s v="KIỀU THY"/>
    <s v="TH13"/>
    <x v="10"/>
    <x v="43"/>
    <s v="PAVIA"/>
    <m/>
    <s v="16.18"/>
    <s v="200"/>
    <s v="NL2018"/>
    <m/>
    <n v="35"/>
    <n v="7000"/>
    <x v="42"/>
    <n v="42700000"/>
    <x v="2"/>
    <x v="2"/>
    <d v="2019-09-29T00:00:00"/>
    <d v="2019-09-29T00:00:00"/>
    <s v="TẾT"/>
    <m/>
    <m/>
    <m/>
    <m/>
    <m/>
    <m/>
    <m/>
    <m/>
    <m/>
    <m/>
    <m/>
    <n v="0"/>
    <n v="7000"/>
    <n v="42700000"/>
    <m/>
  </r>
  <r>
    <s v="173A/2019"/>
    <d v="2019-04-04T00:00:00"/>
    <s v="KIỀU THY"/>
    <s v="TH13"/>
    <x v="10"/>
    <x v="41"/>
    <s v="PAVIA"/>
    <m/>
    <s v="12.14"/>
    <s v="400"/>
    <s v="NL2018"/>
    <m/>
    <n v="22"/>
    <n v="8800"/>
    <x v="36"/>
    <n v="27280000"/>
    <x v="0"/>
    <x v="28"/>
    <d v="2019-06-07T00:00:00"/>
    <d v="2019-06-07T00:00:00"/>
    <s v="05/05AL"/>
    <m/>
    <m/>
    <m/>
    <d v="2019-06-08T00:00:00"/>
    <n v="8400"/>
    <d v="2019-06-10T00:00:00"/>
    <s v="400"/>
    <m/>
    <m/>
    <m/>
    <m/>
    <n v="8800"/>
    <n v="0"/>
    <n v="0"/>
    <m/>
  </r>
  <r>
    <s v="173A/2019"/>
    <d v="2019-06-01T00:00:00"/>
    <s v="KIỀU THY"/>
    <s v="TH13"/>
    <x v="10"/>
    <x v="41"/>
    <s v="PAVIA"/>
    <m/>
    <s v="12.14"/>
    <s v="400"/>
    <s v="NL2018"/>
    <m/>
    <n v="25"/>
    <n v="10000"/>
    <x v="26"/>
    <n v="30000000"/>
    <x v="4"/>
    <x v="4"/>
    <d v="2019-07-17T00:00:00"/>
    <d v="2019-07-17T00:00:00"/>
    <m/>
    <m/>
    <m/>
    <m/>
    <m/>
    <m/>
    <m/>
    <m/>
    <m/>
    <m/>
    <m/>
    <m/>
    <n v="0"/>
    <n v="10000"/>
    <n v="30000000"/>
    <m/>
  </r>
  <r>
    <s v="164A/2019"/>
    <d v="2019-03-19T00:00:00"/>
    <s v="KIỀU THY"/>
    <s v="TH13"/>
    <x v="10"/>
    <x v="59"/>
    <s v="NELLO "/>
    <m/>
    <s v="18.20"/>
    <s v="150"/>
    <s v="NL2018"/>
    <m/>
    <n v="20"/>
    <n v="3000"/>
    <x v="56"/>
    <n v="21600000"/>
    <x v="2"/>
    <x v="2"/>
    <d v="2019-09-29T00:00:00"/>
    <d v="2019-09-29T00:00:00"/>
    <s v="TẾT"/>
    <m/>
    <m/>
    <m/>
    <m/>
    <m/>
    <m/>
    <m/>
    <m/>
    <m/>
    <m/>
    <m/>
    <n v="0"/>
    <n v="3000"/>
    <n v="21600000"/>
    <m/>
  </r>
  <r>
    <s v="173A/2019"/>
    <d v="2019-06-06T00:00:00"/>
    <s v="KIỀU THY"/>
    <s v="TH13"/>
    <x v="10"/>
    <x v="44"/>
    <s v="NELLO "/>
    <m/>
    <s v="12.14"/>
    <s v="400"/>
    <s v="NL2018"/>
    <m/>
    <n v="8"/>
    <n v="3200"/>
    <x v="52"/>
    <n v="10240000"/>
    <x v="0"/>
    <x v="28"/>
    <d v="2019-06-07T00:00:00"/>
    <d v="2019-06-07T00:00:00"/>
    <m/>
    <m/>
    <m/>
    <m/>
    <d v="2019-06-08T00:00:00"/>
    <n v="3200"/>
    <m/>
    <m/>
    <m/>
    <m/>
    <m/>
    <m/>
    <n v="3200"/>
    <n v="0"/>
    <n v="0"/>
    <m/>
  </r>
  <r>
    <s v="164A/2019"/>
    <d v="2019-03-19T00:00:00"/>
    <s v="KIỀU THY"/>
    <s v="TH13"/>
    <x v="10"/>
    <x v="60"/>
    <s v="MANISSA"/>
    <m/>
    <s v="24+"/>
    <s v="75"/>
    <s v="NL2018"/>
    <m/>
    <n v="68"/>
    <n v="5100"/>
    <x v="57"/>
    <n v="81600000"/>
    <x v="2"/>
    <x v="2"/>
    <d v="2019-09-29T00:00:00"/>
    <d v="2019-09-29T00:00:00"/>
    <s v="TẾT"/>
    <m/>
    <m/>
    <m/>
    <m/>
    <m/>
    <m/>
    <m/>
    <m/>
    <m/>
    <m/>
    <m/>
    <n v="0"/>
    <n v="5100"/>
    <n v="81600000"/>
    <m/>
  </r>
  <r>
    <s v="131A/2019"/>
    <d v="2019-01-06T00:00:00"/>
    <s v="KIỀU THY"/>
    <s v="DT03"/>
    <x v="11"/>
    <x v="57"/>
    <s v="YELLOWEEN"/>
    <m/>
    <s v="16.18"/>
    <n v="200"/>
    <s v="NL2018"/>
    <m/>
    <n v="71"/>
    <n v="14200"/>
    <x v="8"/>
    <n v="71000000"/>
    <x v="0"/>
    <x v="29"/>
    <d v="2019-02-20T00:00:00"/>
    <d v="2019-02-20T00:00:00"/>
    <s v="16/1AL"/>
    <m/>
    <m/>
    <m/>
    <d v="2019-02-20T00:00:00"/>
    <n v="14200"/>
    <m/>
    <m/>
    <m/>
    <m/>
    <m/>
    <m/>
    <n v="14200"/>
    <n v="0"/>
    <n v="0"/>
    <m/>
  </r>
  <r>
    <s v="131A/2019"/>
    <d v="2019-01-06T00:00:00"/>
    <s v="KIỀU THY"/>
    <s v="DT03"/>
    <x v="11"/>
    <x v="33"/>
    <s v="TEBALDI"/>
    <m/>
    <s v="14.16"/>
    <n v="300"/>
    <s v="NL2018"/>
    <m/>
    <n v="3"/>
    <n v="900"/>
    <x v="38"/>
    <n v="3690000"/>
    <x v="0"/>
    <x v="30"/>
    <d v="2019-04-04T00:00:00"/>
    <d v="2019-04-04T00:00:00"/>
    <s v="30/2AL"/>
    <m/>
    <m/>
    <m/>
    <d v="2019-04-03T00:00:00"/>
    <n v="900"/>
    <m/>
    <m/>
    <m/>
    <m/>
    <m/>
    <m/>
    <n v="900"/>
    <n v="0"/>
    <n v="0"/>
    <m/>
  </r>
  <r>
    <s v="152A/2019"/>
    <d v="2019-05-13T00:00:00"/>
    <s v="KIỀU THY"/>
    <s v="DT03"/>
    <x v="11"/>
    <x v="33"/>
    <s v="TEBALDI"/>
    <m/>
    <s v="14.16"/>
    <n v="300"/>
    <s v="NL2018"/>
    <m/>
    <n v="10"/>
    <n v="3000"/>
    <x v="40"/>
    <n v="12600000"/>
    <x v="0"/>
    <x v="1"/>
    <d v="2019-05-21T00:00:00"/>
    <d v="2019-05-21T00:00:00"/>
    <s v="10/4AL"/>
    <m/>
    <m/>
    <m/>
    <d v="2019-05-19T00:00:00"/>
    <n v="3000"/>
    <m/>
    <m/>
    <m/>
    <m/>
    <m/>
    <m/>
    <n v="3000"/>
    <n v="0"/>
    <n v="0"/>
    <m/>
  </r>
  <r>
    <s v="129A/2019"/>
    <d v="2019-03-16T00:00:00"/>
    <s v="KIỀU THY"/>
    <s v="DT03"/>
    <x v="11"/>
    <x v="20"/>
    <s v="PROFUNDO"/>
    <m/>
    <s v="22.24"/>
    <n v="100"/>
    <s v="NL2018"/>
    <m/>
    <n v="60"/>
    <n v="6000"/>
    <x v="24"/>
    <n v="85200000"/>
    <x v="2"/>
    <x v="2"/>
    <d v="2019-09-29T00:00:00"/>
    <d v="2019-09-29T00:00:00"/>
    <s v="TẾT"/>
    <m/>
    <m/>
    <m/>
    <m/>
    <m/>
    <m/>
    <m/>
    <m/>
    <m/>
    <m/>
    <m/>
    <n v="0"/>
    <n v="6000"/>
    <n v="85200000"/>
    <m/>
  </r>
  <r>
    <s v="183A/2019"/>
    <d v="2019-04-09T00:00:00"/>
    <s v="KIỀU THY"/>
    <s v="DT03"/>
    <x v="11"/>
    <x v="41"/>
    <s v="PAVIA"/>
    <m/>
    <s v="12.14"/>
    <n v="400"/>
    <s v="NL2018"/>
    <m/>
    <n v="5"/>
    <n v="2000"/>
    <x v="26"/>
    <n v="6000000"/>
    <x v="0"/>
    <x v="5"/>
    <d v="2019-04-19T00:00:00"/>
    <d v="2019-04-19T00:00:00"/>
    <s v="15/3AL"/>
    <m/>
    <m/>
    <m/>
    <d v="2019-04-23T00:00:00"/>
    <n v="2000"/>
    <m/>
    <m/>
    <m/>
    <m/>
    <m/>
    <m/>
    <n v="2000"/>
    <n v="0"/>
    <n v="0"/>
    <m/>
  </r>
  <r>
    <s v="129A/2019"/>
    <d v="2019-03-16T00:00:00"/>
    <s v="KIỀU THY"/>
    <s v="DT03"/>
    <x v="11"/>
    <x v="59"/>
    <s v="NELLO "/>
    <m/>
    <s v="18.20"/>
    <n v="150"/>
    <s v="NL2018"/>
    <m/>
    <n v="134"/>
    <n v="20100"/>
    <x v="56"/>
    <n v="144720000"/>
    <x v="2"/>
    <x v="2"/>
    <d v="2019-09-29T00:00:00"/>
    <d v="2019-09-29T00:00:00"/>
    <s v="TẾT"/>
    <m/>
    <m/>
    <m/>
    <m/>
    <m/>
    <m/>
    <m/>
    <m/>
    <m/>
    <m/>
    <m/>
    <n v="0"/>
    <n v="20100"/>
    <n v="144720000"/>
    <m/>
  </r>
  <r>
    <s v="152A/2019"/>
    <d v="2019-05-13T00:00:00"/>
    <s v="KIỀU THY"/>
    <s v="DT03"/>
    <x v="11"/>
    <x v="61"/>
    <s v="NASHVILLE"/>
    <m/>
    <s v="14.16"/>
    <n v="300"/>
    <s v="NL2018"/>
    <m/>
    <n v="10"/>
    <n v="3000"/>
    <x v="58"/>
    <n v="11700000"/>
    <x v="0"/>
    <x v="1"/>
    <d v="2019-05-21T00:00:00"/>
    <d v="2019-05-21T00:00:00"/>
    <s v="10/4AL"/>
    <m/>
    <m/>
    <m/>
    <d v="2019-05-19T00:00:00"/>
    <n v="3000"/>
    <m/>
    <m/>
    <m/>
    <m/>
    <m/>
    <m/>
    <n v="3000"/>
    <n v="0"/>
    <n v="0"/>
    <m/>
  </r>
  <r>
    <s v="129A/2019"/>
    <d v="2019-03-16T00:00:00"/>
    <s v="KIỀU THY"/>
    <s v="DT03"/>
    <x v="11"/>
    <x v="62"/>
    <s v="DALIAN"/>
    <m/>
    <s v="20.22"/>
    <n v="125"/>
    <s v="NL2018"/>
    <m/>
    <n v="24"/>
    <n v="3000"/>
    <x v="24"/>
    <n v="42600000"/>
    <x v="2"/>
    <x v="2"/>
    <d v="2019-09-29T00:00:00"/>
    <d v="2019-09-29T00:00:00"/>
    <s v="TẾT"/>
    <m/>
    <m/>
    <m/>
    <m/>
    <m/>
    <m/>
    <m/>
    <m/>
    <m/>
    <m/>
    <m/>
    <n v="0"/>
    <n v="3000"/>
    <n v="42600000"/>
    <m/>
  </r>
  <r>
    <s v="152A/2019"/>
    <d v="2019-03-28T00:00:00"/>
    <s v="KIỀU THY"/>
    <s v="DT03"/>
    <x v="11"/>
    <x v="24"/>
    <s v="DALIAN"/>
    <m/>
    <s v="14.16"/>
    <n v="300"/>
    <s v="NL2018"/>
    <m/>
    <n v="4"/>
    <n v="1200"/>
    <x v="10"/>
    <n v="6600000"/>
    <x v="0"/>
    <x v="1"/>
    <d v="2019-05-21T00:00:00"/>
    <d v="2019-05-21T00:00:00"/>
    <s v="10/4AL"/>
    <m/>
    <m/>
    <m/>
    <d v="2019-05-19T00:00:00"/>
    <n v="1200"/>
    <m/>
    <m/>
    <m/>
    <m/>
    <m/>
    <m/>
    <n v="1200"/>
    <n v="0"/>
    <n v="0"/>
    <m/>
  </r>
  <r>
    <s v="129A/2019"/>
    <d v="2019-03-16T00:00:00"/>
    <s v="KIỀU THY"/>
    <s v="DT03"/>
    <x v="11"/>
    <x v="7"/>
    <s v="CONCADOR"/>
    <m/>
    <s v="20.22"/>
    <n v="125"/>
    <s v="NL2018"/>
    <m/>
    <n v="16"/>
    <n v="2000"/>
    <x v="5"/>
    <n v="21000000"/>
    <x v="2"/>
    <x v="2"/>
    <d v="2019-09-29T00:00:00"/>
    <d v="2019-09-29T00:00:00"/>
    <s v="TẾT"/>
    <m/>
    <m/>
    <m/>
    <m/>
    <m/>
    <m/>
    <m/>
    <m/>
    <m/>
    <m/>
    <m/>
    <n v="0"/>
    <n v="2000"/>
    <n v="21000000"/>
    <m/>
  </r>
  <r>
    <s v="131A/2019"/>
    <d v="2019-01-06T00:00:00"/>
    <s v="KIỀU THY"/>
    <s v="DT03"/>
    <x v="11"/>
    <x v="63"/>
    <s v="BACARDI"/>
    <m/>
    <s v="15.16"/>
    <n v="250"/>
    <s v="NL2018"/>
    <m/>
    <n v="72"/>
    <n v="18000"/>
    <x v="50"/>
    <n v="79200000"/>
    <x v="0"/>
    <x v="5"/>
    <d v="2019-04-19T00:00:00"/>
    <d v="2019-04-19T00:00:00"/>
    <s v="15/3AL"/>
    <s v="CONT 22/2019"/>
    <d v="2019-04-14T00:00:00"/>
    <m/>
    <d v="2019-04-17T00:00:00"/>
    <n v="18000"/>
    <m/>
    <m/>
    <m/>
    <m/>
    <m/>
    <m/>
    <n v="18000"/>
    <n v="0"/>
    <n v="0"/>
    <m/>
  </r>
  <r>
    <s v="129A/2019"/>
    <d v="2019-03-16T00:00:00"/>
    <s v="KIỀU THY"/>
    <s v="DT03"/>
    <x v="11"/>
    <x v="64"/>
    <s v="ARVANDRUD"/>
    <m/>
    <s v="18.20"/>
    <n v="150"/>
    <s v="NL2018"/>
    <m/>
    <n v="14"/>
    <n v="2100"/>
    <x v="46"/>
    <n v="17850000"/>
    <x v="2"/>
    <x v="2"/>
    <d v="2019-09-29T00:00:00"/>
    <d v="2019-09-29T00:00:00"/>
    <s v="TẾT"/>
    <m/>
    <m/>
    <m/>
    <m/>
    <m/>
    <m/>
    <m/>
    <m/>
    <m/>
    <m/>
    <m/>
    <n v="0"/>
    <n v="2100"/>
    <n v="17850000"/>
    <m/>
  </r>
  <r>
    <s v="131A/2019"/>
    <d v="2019-01-06T00:00:00"/>
    <s v="KIỀU THY"/>
    <s v="DT03"/>
    <x v="11"/>
    <x v="53"/>
    <s v="AMATERAS"/>
    <m/>
    <s v="12.14"/>
    <n v="400"/>
    <s v="NL2018"/>
    <m/>
    <n v="25"/>
    <n v="10000"/>
    <x v="37"/>
    <n v="28000000"/>
    <x v="0"/>
    <x v="6"/>
    <d v="2019-02-19T00:00:00"/>
    <d v="2019-02-19T00:00:00"/>
    <s v="15/1AL"/>
    <m/>
    <m/>
    <m/>
    <d v="2019-02-19T00:00:00"/>
    <n v="10000"/>
    <m/>
    <m/>
    <m/>
    <m/>
    <m/>
    <m/>
    <n v="10000"/>
    <n v="0"/>
    <n v="0"/>
    <m/>
  </r>
  <r>
    <s v="131A/2019"/>
    <d v="2019-01-06T00:00:00"/>
    <s v="KIỀU THY"/>
    <s v="DT03"/>
    <x v="11"/>
    <x v="53"/>
    <s v="AMATERAS"/>
    <m/>
    <s v="12.14"/>
    <n v="400"/>
    <s v="NL2018"/>
    <m/>
    <n v="25"/>
    <n v="10000"/>
    <x v="37"/>
    <n v="28000000"/>
    <x v="0"/>
    <x v="0"/>
    <d v="2019-03-20T00:00:00"/>
    <d v="2019-03-20T00:00:00"/>
    <s v="15/2AL"/>
    <s v="CONT 9/2019"/>
    <d v="2019-03-17T00:00:00"/>
    <m/>
    <d v="2019-03-19T00:00:00"/>
    <n v="10000"/>
    <m/>
    <m/>
    <m/>
    <m/>
    <m/>
    <m/>
    <n v="10000"/>
    <n v="0"/>
    <n v="0"/>
    <m/>
  </r>
  <r>
    <s v="131A/2019"/>
    <d v="2019-01-06T00:00:00"/>
    <s v="KIỀU THY"/>
    <s v="DT03"/>
    <x v="11"/>
    <x v="53"/>
    <s v="AMATERAS"/>
    <m/>
    <s v="12.14"/>
    <n v="400"/>
    <s v="NL2018"/>
    <m/>
    <n v="48"/>
    <n v="19200"/>
    <x v="37"/>
    <n v="53760000"/>
    <x v="0"/>
    <x v="30"/>
    <d v="2019-04-04T00:00:00"/>
    <d v="2019-04-04T00:00:00"/>
    <s v="30/2AL"/>
    <s v="CONT 17/2019"/>
    <d v="2019-03-31T00:00:00"/>
    <m/>
    <d v="2019-04-03T00:00:00"/>
    <n v="19200"/>
    <m/>
    <m/>
    <m/>
    <m/>
    <m/>
    <m/>
    <n v="19200"/>
    <n v="0"/>
    <n v="0"/>
    <m/>
  </r>
  <r>
    <s v="183A/2019"/>
    <d v="2019-04-09T00:00:00"/>
    <s v="KIỀU THY"/>
    <s v="DT03"/>
    <x v="11"/>
    <x v="53"/>
    <s v="AMATERAS"/>
    <m/>
    <s v="12.14"/>
    <n v="400"/>
    <s v="NL2018"/>
    <m/>
    <n v="9"/>
    <n v="3600"/>
    <x v="37"/>
    <n v="10080000"/>
    <x v="0"/>
    <x v="5"/>
    <d v="2019-04-19T00:00:00"/>
    <d v="2019-04-19T00:00:00"/>
    <s v="15/3AL"/>
    <m/>
    <m/>
    <m/>
    <d v="2019-04-23T00:00:00"/>
    <n v="3600"/>
    <m/>
    <m/>
    <m/>
    <m/>
    <m/>
    <m/>
    <n v="3600"/>
    <n v="0"/>
    <n v="0"/>
    <m/>
  </r>
  <r>
    <s v="183A/2019"/>
    <d v="2019-05-15T00:00:00"/>
    <s v="KIỀU THY"/>
    <s v="DT03"/>
    <x v="11"/>
    <x v="54"/>
    <s v="AMATERAS"/>
    <m/>
    <s v="14.16"/>
    <n v="300"/>
    <s v="NL2018"/>
    <m/>
    <n v="23"/>
    <n v="6900"/>
    <x v="59"/>
    <n v="30912000"/>
    <x v="0"/>
    <x v="28"/>
    <d v="2019-06-07T00:00:00"/>
    <d v="2019-06-07T00:00:00"/>
    <m/>
    <m/>
    <m/>
    <m/>
    <d v="2019-06-08T00:00:00"/>
    <n v="5700"/>
    <d v="2019-06-22T00:00:00"/>
    <n v="1200"/>
    <m/>
    <m/>
    <m/>
    <m/>
    <n v="6900"/>
    <n v="0"/>
    <n v="0"/>
    <m/>
  </r>
  <r>
    <s v="183A/2019"/>
    <d v="2019-06-01T00:00:00"/>
    <s v="KIỀU THY"/>
    <s v="DT03"/>
    <x v="11"/>
    <x v="55"/>
    <s v="AMATERAS"/>
    <m/>
    <s v="14.16"/>
    <n v="275"/>
    <s v="NL2018"/>
    <m/>
    <n v="68"/>
    <n v="18700"/>
    <x v="59"/>
    <n v="83776000"/>
    <x v="0"/>
    <x v="3"/>
    <d v="2019-06-20T00:00:00"/>
    <d v="2019-06-20T00:00:00"/>
    <m/>
    <m/>
    <m/>
    <m/>
    <d v="2019-06-22T00:00:00"/>
    <n v="18700"/>
    <m/>
    <m/>
    <m/>
    <m/>
    <m/>
    <m/>
    <n v="18700"/>
    <n v="0"/>
    <n v="0"/>
    <m/>
  </r>
  <r>
    <s v="183A/2019"/>
    <d v="2019-05-15T00:00:00"/>
    <s v="KIỀU THY"/>
    <s v="DT03"/>
    <x v="11"/>
    <x v="54"/>
    <s v="AMATERAS"/>
    <m/>
    <s v="14.16"/>
    <n v="300"/>
    <s v="NL2018"/>
    <m/>
    <n v="51"/>
    <n v="15300"/>
    <x v="60"/>
    <n v="69462000"/>
    <x v="4"/>
    <x v="4"/>
    <d v="2019-07-17T00:00:00"/>
    <d v="2019-07-17T00:00:00"/>
    <m/>
    <m/>
    <m/>
    <m/>
    <m/>
    <m/>
    <m/>
    <m/>
    <m/>
    <m/>
    <m/>
    <m/>
    <n v="0"/>
    <n v="15300"/>
    <n v="69462000"/>
    <m/>
  </r>
  <r>
    <s v="130A/2019"/>
    <d v="2019-03-16T00:00:00"/>
    <s v="KIỀU THY"/>
    <s v="DT03"/>
    <x v="12"/>
    <x v="34"/>
    <s v="TEBALDI"/>
    <m/>
    <s v="16.18"/>
    <n v="200"/>
    <s v="NL2018"/>
    <m/>
    <n v="5"/>
    <n v="1000"/>
    <x v="42"/>
    <n v="6100000"/>
    <x v="2"/>
    <x v="2"/>
    <d v="2019-09-29T00:00:00"/>
    <d v="2019-09-29T00:00:00"/>
    <s v="TẾT"/>
    <m/>
    <m/>
    <m/>
    <m/>
    <m/>
    <m/>
    <m/>
    <m/>
    <m/>
    <m/>
    <m/>
    <n v="0"/>
    <n v="1000"/>
    <n v="6100000"/>
    <m/>
  </r>
  <r>
    <s v="130A/2019"/>
    <d v="2019-03-16T00:00:00"/>
    <s v="KIỀU THY"/>
    <s v="DT03"/>
    <x v="12"/>
    <x v="43"/>
    <s v="PAVIA"/>
    <m/>
    <s v="16.18"/>
    <n v="200"/>
    <s v="NL2018"/>
    <m/>
    <n v="5"/>
    <n v="1000"/>
    <x v="42"/>
    <n v="6100000"/>
    <x v="2"/>
    <x v="2"/>
    <d v="2019-09-29T00:00:00"/>
    <d v="2019-09-29T00:00:00"/>
    <s v="TẾT"/>
    <m/>
    <m/>
    <m/>
    <m/>
    <m/>
    <m/>
    <m/>
    <m/>
    <m/>
    <m/>
    <m/>
    <n v="0"/>
    <n v="1000"/>
    <n v="6100000"/>
    <m/>
  </r>
  <r>
    <s v="130A/2019"/>
    <d v="2019-03-16T00:00:00"/>
    <s v="KIỀU THY"/>
    <s v="DT03"/>
    <x v="12"/>
    <x v="65"/>
    <s v="MANISSA"/>
    <m/>
    <s v="20.22"/>
    <n v="125"/>
    <s v="NL2018"/>
    <m/>
    <n v="10"/>
    <n v="1250"/>
    <x v="61"/>
    <n v="16875000"/>
    <x v="2"/>
    <x v="2"/>
    <d v="2019-09-29T00:00:00"/>
    <d v="2019-09-29T00:00:00"/>
    <s v="TẾT"/>
    <m/>
    <m/>
    <m/>
    <m/>
    <m/>
    <m/>
    <m/>
    <m/>
    <m/>
    <m/>
    <m/>
    <n v="0"/>
    <n v="1250"/>
    <n v="16875000"/>
    <m/>
  </r>
  <r>
    <s v="130A/2019"/>
    <d v="2019-03-16T00:00:00"/>
    <s v="KIỀU THY"/>
    <s v="DT03"/>
    <x v="12"/>
    <x v="7"/>
    <s v="CONCADOR"/>
    <m/>
    <s v="20.22"/>
    <n v="125"/>
    <s v="NL2018"/>
    <m/>
    <n v="6"/>
    <n v="750"/>
    <x v="5"/>
    <n v="7875000"/>
    <x v="2"/>
    <x v="2"/>
    <d v="2019-09-29T00:00:00"/>
    <d v="2019-09-29T00:00:00"/>
    <s v="TẾT"/>
    <m/>
    <m/>
    <m/>
    <m/>
    <m/>
    <m/>
    <m/>
    <m/>
    <m/>
    <m/>
    <m/>
    <n v="0"/>
    <n v="750"/>
    <n v="7875000"/>
    <m/>
  </r>
  <r>
    <s v="147A/2019"/>
    <d v="2019-03-26T00:00:00"/>
    <s v="KIỀU THY"/>
    <s v="TD04"/>
    <x v="13"/>
    <x v="34"/>
    <s v="TEBALDI"/>
    <m/>
    <s v="16.18"/>
    <s v="200"/>
    <s v="NL2018"/>
    <m/>
    <n v="15"/>
    <n v="3000"/>
    <x v="42"/>
    <n v="18300000"/>
    <x v="2"/>
    <x v="2"/>
    <d v="2019-09-29T00:00:00"/>
    <d v="2019-09-29T00:00:00"/>
    <s v="TẾT"/>
    <m/>
    <m/>
    <m/>
    <m/>
    <m/>
    <m/>
    <m/>
    <m/>
    <m/>
    <m/>
    <m/>
    <n v="0"/>
    <n v="3000"/>
    <n v="18300000"/>
    <m/>
  </r>
  <r>
    <s v="147A/2019"/>
    <d v="2019-03-26T00:00:00"/>
    <s v="KIỀU THY"/>
    <s v="TD04"/>
    <x v="13"/>
    <x v="65"/>
    <s v="MANISSA"/>
    <m/>
    <s v="20.22"/>
    <s v="125"/>
    <s v="NL2018"/>
    <m/>
    <n v="32"/>
    <n v="4000"/>
    <x v="61"/>
    <n v="54000000"/>
    <x v="2"/>
    <x v="2"/>
    <d v="2019-09-29T00:00:00"/>
    <d v="2019-09-29T00:00:00"/>
    <s v="TẾT"/>
    <m/>
    <m/>
    <m/>
    <m/>
    <m/>
    <m/>
    <m/>
    <m/>
    <m/>
    <m/>
    <m/>
    <n v="0"/>
    <n v="4000"/>
    <n v="54000000"/>
    <m/>
  </r>
  <r>
    <s v="147A/2019"/>
    <d v="2019-03-26T00:00:00"/>
    <s v="KIỀU THY"/>
    <s v="TD04"/>
    <x v="13"/>
    <x v="25"/>
    <s v="BACARDI"/>
    <m/>
    <s v="20.22"/>
    <s v="125"/>
    <s v="NL2018"/>
    <m/>
    <n v="40"/>
    <n v="5000"/>
    <x v="27"/>
    <n v="54000000"/>
    <x v="2"/>
    <x v="2"/>
    <d v="2019-09-29T00:00:00"/>
    <d v="2019-09-29T00:00:00"/>
    <s v="TẾT"/>
    <m/>
    <m/>
    <m/>
    <m/>
    <m/>
    <m/>
    <m/>
    <m/>
    <m/>
    <m/>
    <m/>
    <n v="0"/>
    <n v="5000"/>
    <n v="54000000"/>
    <m/>
  </r>
  <r>
    <s v="120B/2019"/>
    <d v="2019-03-14T00:00:00"/>
    <s v="THANH THÚY"/>
    <s v="VT01"/>
    <x v="14"/>
    <x v="66"/>
    <s v="TARRANGO"/>
    <m/>
    <s v="20.22"/>
    <s v="125"/>
    <s v="NL2018"/>
    <m/>
    <n v="16"/>
    <n v="2000"/>
    <x v="62"/>
    <n v="21800000"/>
    <x v="2"/>
    <x v="2"/>
    <d v="2019-09-29T00:00:00"/>
    <d v="2019-09-29T00:00:00"/>
    <s v="TẾT"/>
    <m/>
    <m/>
    <m/>
    <m/>
    <n v="0"/>
    <m/>
    <m/>
    <m/>
    <m/>
    <m/>
    <m/>
    <n v="0"/>
    <n v="2000"/>
    <n v="21800000"/>
    <m/>
  </r>
  <r>
    <s v="120B/2019"/>
    <d v="2019-03-14T00:00:00"/>
    <s v="THANH THÚY"/>
    <s v="VT01"/>
    <x v="14"/>
    <x v="1"/>
    <s v="TARRANGO"/>
    <m/>
    <s v="18.20"/>
    <s v="150"/>
    <s v="NL2018"/>
    <m/>
    <n v="14"/>
    <n v="2100"/>
    <x v="23"/>
    <n v="19110000"/>
    <x v="2"/>
    <x v="2"/>
    <d v="2019-09-29T00:00:00"/>
    <d v="2019-09-29T00:00:00"/>
    <s v="TẾT"/>
    <m/>
    <m/>
    <m/>
    <m/>
    <n v="0"/>
    <m/>
    <m/>
    <m/>
    <m/>
    <m/>
    <m/>
    <n v="0"/>
    <n v="2100"/>
    <n v="19110000"/>
    <m/>
  </r>
  <r>
    <s v="120B/2019"/>
    <d v="2019-03-14T00:00:00"/>
    <s v="THANH THÚY"/>
    <s v="VT01"/>
    <x v="14"/>
    <x v="23"/>
    <s v="ROBINA"/>
    <m/>
    <s v="22.24"/>
    <s v="100"/>
    <s v="NL2018"/>
    <m/>
    <n v="100"/>
    <n v="10000"/>
    <x v="25"/>
    <n v="125000000"/>
    <x v="2"/>
    <x v="2"/>
    <d v="2019-09-29T00:00:00"/>
    <d v="2019-09-29T00:00:00"/>
    <s v="TẾT"/>
    <m/>
    <m/>
    <m/>
    <m/>
    <n v="0"/>
    <m/>
    <m/>
    <m/>
    <m/>
    <m/>
    <m/>
    <n v="0"/>
    <n v="10000"/>
    <n v="125000000"/>
    <m/>
  </r>
  <r>
    <s v="120B/2019"/>
    <d v="2019-03-14T00:00:00"/>
    <s v="THANH THÚY"/>
    <s v="VT01"/>
    <x v="14"/>
    <x v="4"/>
    <s v="ROBINA"/>
    <m/>
    <s v="20.22"/>
    <s v="125"/>
    <s v="NL2018"/>
    <m/>
    <n v="24"/>
    <n v="3000"/>
    <x v="34"/>
    <n v="32100000"/>
    <x v="2"/>
    <x v="2"/>
    <d v="2019-09-29T00:00:00"/>
    <d v="2019-09-29T00:00:00"/>
    <s v="TẾT"/>
    <m/>
    <m/>
    <m/>
    <m/>
    <m/>
    <m/>
    <m/>
    <m/>
    <m/>
    <m/>
    <m/>
    <n v="0"/>
    <n v="3000"/>
    <n v="32100000"/>
    <m/>
  </r>
  <r>
    <s v="120B/2019"/>
    <d v="2019-03-14T00:00:00"/>
    <s v="THANH THÚY"/>
    <s v="VT01"/>
    <x v="14"/>
    <x v="67"/>
    <s v="MANISSA"/>
    <m/>
    <s v="22.24"/>
    <s v="100"/>
    <s v="NL2018"/>
    <m/>
    <n v="110"/>
    <n v="11000"/>
    <x v="15"/>
    <n v="167200000"/>
    <x v="2"/>
    <x v="2"/>
    <d v="2019-09-29T00:00:00"/>
    <d v="2019-09-29T00:00:00"/>
    <s v="TẾT"/>
    <m/>
    <m/>
    <m/>
    <m/>
    <n v="0"/>
    <m/>
    <m/>
    <m/>
    <m/>
    <m/>
    <m/>
    <n v="0"/>
    <n v="11000"/>
    <n v="167200000"/>
    <m/>
  </r>
  <r>
    <s v="120B/2019"/>
    <d v="2019-03-14T00:00:00"/>
    <s v="THANH THÚY"/>
    <s v="VT01"/>
    <x v="14"/>
    <x v="68"/>
    <s v="LARGO"/>
    <m/>
    <s v="22.24"/>
    <s v="100"/>
    <s v="NL2018"/>
    <m/>
    <n v="30"/>
    <n v="3000"/>
    <x v="63"/>
    <n v="34200000"/>
    <x v="2"/>
    <x v="2"/>
    <d v="2019-09-29T00:00:00"/>
    <d v="2019-09-29T00:00:00"/>
    <s v="TẾT"/>
    <m/>
    <m/>
    <m/>
    <m/>
    <n v="0"/>
    <m/>
    <m/>
    <m/>
    <m/>
    <m/>
    <m/>
    <n v="0"/>
    <n v="3000"/>
    <n v="34200000"/>
    <m/>
  </r>
  <r>
    <s v="120B/2019"/>
    <d v="2019-03-14T00:00:00"/>
    <s v="THANH THÚY"/>
    <s v="VT01"/>
    <x v="14"/>
    <x v="21"/>
    <s v="CONCADOR"/>
    <m/>
    <s v="22.24"/>
    <s v="100"/>
    <s v="NL2018"/>
    <m/>
    <n v="50"/>
    <n v="5000"/>
    <x v="25"/>
    <n v="62500000"/>
    <x v="2"/>
    <x v="2"/>
    <d v="2019-09-29T00:00:00"/>
    <d v="2019-09-29T00:00:00"/>
    <s v="TẾT"/>
    <m/>
    <m/>
    <m/>
    <m/>
    <n v="0"/>
    <m/>
    <m/>
    <m/>
    <m/>
    <m/>
    <m/>
    <n v="0"/>
    <n v="5000"/>
    <n v="62500000"/>
    <m/>
  </r>
  <r>
    <s v="120B/2019"/>
    <d v="2019-03-14T00:00:00"/>
    <s v="THANH THÚY"/>
    <s v="VT01"/>
    <x v="14"/>
    <x v="7"/>
    <s v="CONCADOR"/>
    <m/>
    <s v="20.22"/>
    <s v="125"/>
    <s v="NL2018"/>
    <m/>
    <n v="8"/>
    <n v="1000"/>
    <x v="35"/>
    <n v="10600000"/>
    <x v="2"/>
    <x v="2"/>
    <d v="2019-09-29T00:00:00"/>
    <d v="2019-09-29T00:00:00"/>
    <s v="TẾT"/>
    <m/>
    <m/>
    <m/>
    <m/>
    <m/>
    <m/>
    <m/>
    <m/>
    <m/>
    <m/>
    <m/>
    <n v="0"/>
    <n v="1000"/>
    <n v="10600000"/>
    <m/>
  </r>
  <r>
    <s v="15B/2019"/>
    <d v="2019-01-05T00:00:00"/>
    <s v="THANH THÚY"/>
    <s v="NT02"/>
    <x v="15"/>
    <x v="57"/>
    <s v="YELLOWEEN"/>
    <m/>
    <s v="16.18"/>
    <n v="200"/>
    <s v="NL2018"/>
    <m/>
    <n v="40"/>
    <n v="8000"/>
    <x v="8"/>
    <n v="40000000"/>
    <x v="0"/>
    <x v="31"/>
    <d v="2019-02-13T00:00:00"/>
    <d v="2019-02-13T00:00:00"/>
    <s v="09/1AL"/>
    <m/>
    <m/>
    <m/>
    <d v="2019-02-20T00:00:00"/>
    <n v="8000"/>
    <m/>
    <m/>
    <m/>
    <m/>
    <m/>
    <m/>
    <n v="8000"/>
    <n v="0"/>
    <n v="0"/>
    <d v="2020-02-11T00:00:00"/>
  </r>
  <r>
    <s v="15B/2019"/>
    <d v="2019-01-05T00:00:00"/>
    <s v="THANH THÚY"/>
    <s v="NT02"/>
    <x v="15"/>
    <x v="57"/>
    <s v="YELLOWEEN"/>
    <m/>
    <s v="16.18"/>
    <n v="200"/>
    <s v="NL2018"/>
    <m/>
    <n v="25"/>
    <n v="5000"/>
    <x v="8"/>
    <n v="25000000"/>
    <x v="0"/>
    <x v="31"/>
    <d v="2019-02-13T00:00:00"/>
    <d v="2019-02-13T00:00:00"/>
    <s v="09/1AL"/>
    <m/>
    <m/>
    <m/>
    <d v="2019-03-06T00:00:00"/>
    <n v="5000"/>
    <m/>
    <m/>
    <m/>
    <m/>
    <m/>
    <m/>
    <n v="5000"/>
    <n v="0"/>
    <n v="0"/>
    <d v="2019-12-27T00:00:00"/>
  </r>
  <r>
    <s v="15B/2019"/>
    <d v="2019-01-05T00:00:00"/>
    <s v="THANH THÚY"/>
    <s v="NT02"/>
    <x v="15"/>
    <x v="69"/>
    <s v="YELLOWEEN"/>
    <m/>
    <s v="16.18"/>
    <n v="200"/>
    <s v="NL2017"/>
    <m/>
    <n v="15"/>
    <n v="3000"/>
    <x v="64"/>
    <n v="11400000"/>
    <x v="0"/>
    <x v="32"/>
    <d v="2019-02-15T00:00:00"/>
    <d v="2019-02-15T00:00:00"/>
    <s v="11/1AL"/>
    <m/>
    <m/>
    <m/>
    <d v="2019-03-06T00:00:00"/>
    <n v="3000"/>
    <m/>
    <m/>
    <m/>
    <m/>
    <m/>
    <m/>
    <n v="3000"/>
    <n v="0"/>
    <n v="0"/>
    <d v="2020-01-01T00:00:00"/>
  </r>
  <r>
    <s v="15B/2019"/>
    <d v="2019-01-05T00:00:00"/>
    <s v="THANH THÚY"/>
    <s v="NT02"/>
    <x v="15"/>
    <x v="70"/>
    <s v="TOUCHSTONE"/>
    <m/>
    <s v="13.14"/>
    <n v="350"/>
    <s v="NL2018"/>
    <m/>
    <n v="20"/>
    <n v="7000"/>
    <x v="65"/>
    <n v="30450000"/>
    <x v="0"/>
    <x v="33"/>
    <d v="2019-05-19T00:00:00"/>
    <d v="2019-05-19T00:00:00"/>
    <s v="15/4AL"/>
    <m/>
    <m/>
    <m/>
    <d v="2019-05-22T00:00:00"/>
    <n v="7000"/>
    <m/>
    <m/>
    <m/>
    <m/>
    <m/>
    <m/>
    <n v="7000"/>
    <n v="0"/>
    <n v="0"/>
    <m/>
  </r>
  <r>
    <s v="15B/2019"/>
    <d v="2019-01-05T00:00:00"/>
    <s v="THANH THÚY"/>
    <s v="NT02"/>
    <x v="15"/>
    <x v="71"/>
    <s v="TOUCHSTONE"/>
    <m/>
    <s v="14.16"/>
    <n v="300"/>
    <s v="NL2018"/>
    <m/>
    <n v="9"/>
    <n v="2700"/>
    <x v="66"/>
    <n v="18900000"/>
    <x v="0"/>
    <x v="33"/>
    <d v="2019-05-19T00:00:00"/>
    <d v="2019-05-19T00:00:00"/>
    <s v="15/4AL"/>
    <m/>
    <m/>
    <m/>
    <d v="2019-05-22T00:00:00"/>
    <n v="2700"/>
    <m/>
    <m/>
    <m/>
    <m/>
    <m/>
    <m/>
    <n v="2700"/>
    <n v="0"/>
    <n v="0"/>
    <m/>
  </r>
  <r>
    <s v="15B/2019"/>
    <d v="2019-01-05T00:00:00"/>
    <s v="THANH THÚY"/>
    <s v="NT02"/>
    <x v="15"/>
    <x v="10"/>
    <s v="TARRANGO"/>
    <m/>
    <s v="16.18"/>
    <n v="200"/>
    <s v="NL2018"/>
    <m/>
    <n v="50"/>
    <n v="10000"/>
    <x v="10"/>
    <n v="55000000"/>
    <x v="0"/>
    <x v="6"/>
    <d v="2019-02-19T00:00:00"/>
    <d v="2019-02-19T00:00:00"/>
    <s v="15/1AL"/>
    <m/>
    <m/>
    <m/>
    <d v="2019-02-19T00:00:00"/>
    <n v="10000"/>
    <m/>
    <m/>
    <m/>
    <m/>
    <m/>
    <m/>
    <n v="10000"/>
    <n v="0"/>
    <n v="0"/>
    <d v="2020-02-11T00:00:00"/>
  </r>
  <r>
    <s v="15B/2019"/>
    <d v="2019-01-05T00:00:00"/>
    <s v="THANH THÚY"/>
    <s v="NT02"/>
    <x v="15"/>
    <x v="10"/>
    <s v="TARRANGO"/>
    <m/>
    <s v="16.18"/>
    <n v="200"/>
    <s v="NL2018"/>
    <m/>
    <n v="25"/>
    <n v="5000"/>
    <x v="10"/>
    <n v="27500000"/>
    <x v="0"/>
    <x v="10"/>
    <d v="2019-04-03T00:00:00"/>
    <d v="2019-04-03T00:00:00"/>
    <s v="30/2AL"/>
    <s v="CONT 14/2019"/>
    <m/>
    <m/>
    <d v="2019-04-09T00:00:00"/>
    <n v="5000"/>
    <m/>
    <m/>
    <m/>
    <m/>
    <m/>
    <m/>
    <n v="5000"/>
    <n v="0"/>
    <n v="0"/>
    <m/>
  </r>
  <r>
    <s v="15B/2019"/>
    <d v="2019-01-05T00:00:00"/>
    <s v="THANH THÚY"/>
    <s v="NT02"/>
    <x v="15"/>
    <x v="26"/>
    <s v="SENSI"/>
    <m/>
    <s v="16.18"/>
    <n v="200"/>
    <s v="NL2018"/>
    <m/>
    <n v="25"/>
    <n v="5000"/>
    <x v="10"/>
    <n v="27500000"/>
    <x v="0"/>
    <x v="10"/>
    <d v="2019-04-03T00:00:00"/>
    <d v="2019-04-03T00:00:00"/>
    <s v="30/2AL"/>
    <s v="CONT 15/2019"/>
    <m/>
    <m/>
    <d v="2019-05-07T00:00:00"/>
    <n v="5000"/>
    <m/>
    <m/>
    <m/>
    <m/>
    <m/>
    <m/>
    <n v="5000"/>
    <n v="0"/>
    <n v="0"/>
    <d v="2020-01-01T00:00:00"/>
  </r>
  <r>
    <s v="15B/2019"/>
    <d v="2019-01-05T00:00:00"/>
    <s v="THANH THÚY"/>
    <s v="NT02"/>
    <x v="15"/>
    <x v="11"/>
    <s v="PROFUNDO"/>
    <m/>
    <s v="16.18"/>
    <n v="200"/>
    <s v="NL2018"/>
    <m/>
    <n v="25"/>
    <n v="5000"/>
    <x v="32"/>
    <n v="33500000"/>
    <x v="0"/>
    <x v="5"/>
    <d v="2019-04-19T00:00:00"/>
    <d v="2019-04-19T00:00:00"/>
    <s v="15/3AL"/>
    <s v="CONT 23/2019"/>
    <m/>
    <m/>
    <m/>
    <n v="0"/>
    <m/>
    <m/>
    <m/>
    <m/>
    <m/>
    <m/>
    <n v="0"/>
    <n v="5000"/>
    <n v="33500000"/>
    <d v="2020-01-01T00:00:00"/>
  </r>
  <r>
    <s v="15B/2019"/>
    <d v="2019-01-05T00:00:00"/>
    <s v="THANH THÚY"/>
    <s v="NT02"/>
    <x v="15"/>
    <x v="11"/>
    <s v="PROFUNDO"/>
    <m/>
    <s v="16.18"/>
    <n v="200"/>
    <s v="NL2018"/>
    <m/>
    <n v="50"/>
    <n v="10000"/>
    <x v="32"/>
    <n v="67000000"/>
    <x v="0"/>
    <x v="10"/>
    <d v="2019-04-03T00:00:00"/>
    <d v="2019-04-03T00:00:00"/>
    <s v="30/2AL"/>
    <s v="CONT 17/2019"/>
    <m/>
    <m/>
    <d v="2019-04-03T00:00:00"/>
    <n v="5000"/>
    <d v="2019-04-09T00:00:00"/>
    <n v="5000"/>
    <m/>
    <m/>
    <m/>
    <m/>
    <n v="10000"/>
    <n v="0"/>
    <n v="0"/>
    <d v="2020-01-01T00:00:00"/>
  </r>
  <r>
    <s v="15B/2019"/>
    <d v="2019-01-05T00:00:00"/>
    <s v="THANH THÚY"/>
    <s v="NT02"/>
    <x v="15"/>
    <x v="72"/>
    <s v="MONTEZUMA"/>
    <m/>
    <s v="16.18"/>
    <n v="200"/>
    <s v="NL2018"/>
    <m/>
    <n v="80"/>
    <n v="16000"/>
    <x v="13"/>
    <n v="99200000"/>
    <x v="0"/>
    <x v="5"/>
    <d v="2019-04-19T00:00:00"/>
    <d v="2019-04-19T00:00:00"/>
    <s v="15/3AL"/>
    <s v="CONT 27/2019"/>
    <m/>
    <m/>
    <m/>
    <n v="0"/>
    <m/>
    <m/>
    <m/>
    <m/>
    <m/>
    <m/>
    <n v="0"/>
    <n v="16000"/>
    <n v="99200000"/>
    <d v="2020-01-01T00:00:00"/>
  </r>
  <r>
    <s v="15B/2019"/>
    <d v="2019-01-05T00:00:00"/>
    <s v="THANH THÚY"/>
    <s v="NT02"/>
    <x v="15"/>
    <x v="45"/>
    <s v="MARENGO"/>
    <m/>
    <s v="16.18"/>
    <n v="200"/>
    <s v="NL2018"/>
    <m/>
    <n v="25"/>
    <n v="5000"/>
    <x v="51"/>
    <n v="30000000"/>
    <x v="0"/>
    <x v="10"/>
    <d v="2019-04-03T00:00:00"/>
    <d v="2019-04-03T00:00:00"/>
    <s v="30/2AL"/>
    <s v="CONT 17/2019"/>
    <m/>
    <m/>
    <d v="2019-04-03T00:00:00"/>
    <n v="5000"/>
    <m/>
    <m/>
    <m/>
    <m/>
    <m/>
    <m/>
    <n v="5000"/>
    <n v="0"/>
    <n v="0"/>
    <d v="2020-01-01T00:00:00"/>
  </r>
  <r>
    <s v="15B/2019"/>
    <d v="2019-06-13T00:00:00"/>
    <s v="THANH THÚY"/>
    <s v="NT02"/>
    <x v="15"/>
    <x v="73"/>
    <s v="MALDANO"/>
    <m/>
    <s v="14.16"/>
    <n v="300"/>
    <s v="NL2018"/>
    <m/>
    <n v="27"/>
    <n v="8100"/>
    <x v="45"/>
    <n v="32400000"/>
    <x v="3"/>
    <x v="28"/>
    <d v="2019-06-07T00:00:00"/>
    <d v="2019-06-07T00:00:00"/>
    <m/>
    <m/>
    <m/>
    <m/>
    <m/>
    <m/>
    <m/>
    <m/>
    <m/>
    <m/>
    <m/>
    <m/>
    <n v="0"/>
    <n v="8100"/>
    <n v="32400000"/>
    <m/>
  </r>
  <r>
    <s v="141B/2019"/>
    <d v="2019-06-21T00:00:00"/>
    <s v="THANH THÚY"/>
    <s v="NT02"/>
    <x v="15"/>
    <x v="74"/>
    <s v="MALDANO"/>
    <m/>
    <s v="18.20"/>
    <n v="150"/>
    <s v="NL2018"/>
    <m/>
    <n v="134"/>
    <n v="20100"/>
    <x v="67"/>
    <n v="164820000"/>
    <x v="2"/>
    <x v="2"/>
    <d v="2019-09-29T00:00:00"/>
    <d v="2019-09-29T00:00:00"/>
    <s v="TẾT"/>
    <m/>
    <m/>
    <m/>
    <m/>
    <m/>
    <m/>
    <m/>
    <m/>
    <m/>
    <m/>
    <m/>
    <n v="0"/>
    <n v="20100"/>
    <n v="164820000"/>
    <m/>
  </r>
  <r>
    <s v="15B/2019"/>
    <d v="2019-01-05T00:00:00"/>
    <s v="THANH THÚY"/>
    <s v="NT02"/>
    <x v="15"/>
    <x v="6"/>
    <s v="CONCADOR"/>
    <m/>
    <s v="16.18"/>
    <n v="200"/>
    <s v="NL2018"/>
    <m/>
    <n v="50"/>
    <n v="10000"/>
    <x v="8"/>
    <n v="50000000"/>
    <x v="0"/>
    <x v="5"/>
    <d v="2019-04-19T00:00:00"/>
    <d v="2019-04-19T00:00:00"/>
    <s v="15/3AL"/>
    <s v="CONT 22/2019"/>
    <m/>
    <m/>
    <d v="2019-05-16T00:00:00"/>
    <n v="10000"/>
    <m/>
    <m/>
    <m/>
    <m/>
    <m/>
    <m/>
    <n v="10000"/>
    <n v="0"/>
    <n v="0"/>
    <d v="2020-01-01T00:00:00"/>
  </r>
  <r>
    <s v="15B/2019"/>
    <d v="2019-01-05T00:00:00"/>
    <s v="THANH THÚY"/>
    <s v="NT02"/>
    <x v="15"/>
    <x v="6"/>
    <s v="CONCADOR"/>
    <m/>
    <s v="16.18"/>
    <n v="200"/>
    <s v="NL2018"/>
    <m/>
    <n v="0"/>
    <n v="0"/>
    <x v="8"/>
    <n v="0"/>
    <x v="1"/>
    <x v="33"/>
    <d v="2019-05-19T00:00:00"/>
    <d v="2019-05-19T00:00:00"/>
    <s v="15/4AL"/>
    <s v="CONT 22/2019"/>
    <m/>
    <m/>
    <m/>
    <n v="0"/>
    <m/>
    <m/>
    <m/>
    <m/>
    <m/>
    <m/>
    <n v="0"/>
    <n v="0"/>
    <n v="0"/>
    <d v="2020-01-01T00:00:00"/>
  </r>
  <r>
    <s v="141B/2019"/>
    <d v="2019-03-21T00:00:00"/>
    <s v="THANH THÚY"/>
    <s v="NT02"/>
    <x v="15"/>
    <x v="7"/>
    <s v="CONCADOR"/>
    <m/>
    <s v="20.22"/>
    <n v="125"/>
    <s v="NL2018"/>
    <m/>
    <n v="160"/>
    <n v="20000"/>
    <x v="5"/>
    <n v="210000000"/>
    <x v="2"/>
    <x v="2"/>
    <d v="2019-09-29T00:00:00"/>
    <d v="2019-09-29T00:00:00"/>
    <s v="TẾT"/>
    <m/>
    <m/>
    <m/>
    <m/>
    <m/>
    <m/>
    <m/>
    <m/>
    <m/>
    <m/>
    <m/>
    <n v="0"/>
    <n v="20000"/>
    <n v="210000000"/>
    <m/>
  </r>
  <r>
    <s v="15B/2019"/>
    <d v="2019-01-05T00:00:00"/>
    <s v="THANH THÚY"/>
    <s v="NT02"/>
    <x v="15"/>
    <x v="6"/>
    <s v="CONCADOR"/>
    <m/>
    <s v="16.18"/>
    <n v="200"/>
    <s v="NL2018"/>
    <m/>
    <n v="25"/>
    <n v="5000"/>
    <x v="12"/>
    <n v="23500000"/>
    <x v="0"/>
    <x v="10"/>
    <d v="2019-04-03T00:00:00"/>
    <d v="2019-04-03T00:00:00"/>
    <s v="30/2AL"/>
    <s v="CONT 17/2019"/>
    <m/>
    <m/>
    <d v="2019-05-07T00:00:00"/>
    <n v="5000"/>
    <m/>
    <m/>
    <m/>
    <m/>
    <m/>
    <m/>
    <n v="5000"/>
    <n v="0"/>
    <n v="0"/>
    <m/>
  </r>
  <r>
    <s v="15B/2019"/>
    <d v="2019-01-05T00:00:00"/>
    <s v="THANH THÚY"/>
    <s v="NT02"/>
    <x v="15"/>
    <x v="51"/>
    <s v="COMPETITION"/>
    <m/>
    <s v="16.18"/>
    <n v="200"/>
    <s v="NL2018"/>
    <m/>
    <n v="100"/>
    <n v="20000"/>
    <x v="32"/>
    <n v="134000000"/>
    <x v="0"/>
    <x v="5"/>
    <d v="2019-04-19T00:00:00"/>
    <d v="2019-04-19T00:00:00"/>
    <s v="15/3AL"/>
    <s v="CONT 20/2019"/>
    <m/>
    <m/>
    <d v="2019-05-22T00:00:00"/>
    <n v="20000"/>
    <m/>
    <m/>
    <m/>
    <m/>
    <m/>
    <m/>
    <n v="20000"/>
    <n v="0"/>
    <n v="0"/>
    <d v="2020-01-01T00:00:00"/>
  </r>
  <r>
    <s v="141B/2019"/>
    <d v="2019-05-21T00:00:00"/>
    <s v="THANH THÚY"/>
    <s v="NT02"/>
    <x v="15"/>
    <x v="25"/>
    <s v="BACARDI"/>
    <m/>
    <s v="20.22"/>
    <n v="125"/>
    <s v="NL2018"/>
    <m/>
    <n v="0"/>
    <n v="0"/>
    <x v="28"/>
    <n v="0"/>
    <x v="1"/>
    <x v="2"/>
    <d v="2019-09-29T00:00:00"/>
    <d v="2019-09-29T00:00:00"/>
    <m/>
    <m/>
    <m/>
    <m/>
    <m/>
    <m/>
    <m/>
    <m/>
    <m/>
    <m/>
    <m/>
    <m/>
    <n v="0"/>
    <n v="0"/>
    <n v="0"/>
    <m/>
  </r>
  <r>
    <s v="15B/2019"/>
    <d v="2019-01-05T00:00:00"/>
    <s v="THANH THÚY"/>
    <s v="NT02"/>
    <x v="15"/>
    <x v="9"/>
    <s v="ARVANDRUD"/>
    <m/>
    <s v="16.18"/>
    <n v="200"/>
    <s v="NL2018"/>
    <m/>
    <n v="25"/>
    <n v="5000"/>
    <x v="10"/>
    <n v="27500000"/>
    <x v="0"/>
    <x v="5"/>
    <d v="2019-04-19T00:00:00"/>
    <d v="2019-04-19T00:00:00"/>
    <m/>
    <s v="CONT 21/2019"/>
    <m/>
    <m/>
    <m/>
    <n v="0"/>
    <m/>
    <m/>
    <m/>
    <m/>
    <m/>
    <m/>
    <n v="0"/>
    <n v="5000"/>
    <n v="27500000"/>
    <d v="2020-01-01T00:00:00"/>
  </r>
  <r>
    <s v="141B/2019"/>
    <d v="2019-03-21T00:00:00"/>
    <s v="THANH THÚY"/>
    <s v="NT02"/>
    <x v="15"/>
    <x v="64"/>
    <s v="ARVANDRUD"/>
    <m/>
    <s v="18.20"/>
    <n v="150"/>
    <s v="NL2018"/>
    <m/>
    <n v="0"/>
    <n v="0"/>
    <x v="46"/>
    <n v="0"/>
    <x v="1"/>
    <x v="2"/>
    <d v="2019-09-29T00:00:00"/>
    <d v="2019-09-29T00:00:00"/>
    <s v="TẾT"/>
    <m/>
    <m/>
    <m/>
    <m/>
    <m/>
    <m/>
    <m/>
    <m/>
    <m/>
    <m/>
    <m/>
    <n v="0"/>
    <n v="0"/>
    <n v="0"/>
    <m/>
  </r>
  <r>
    <s v="15B/2019"/>
    <d v="2019-06-13T00:00:00"/>
    <s v="THANH THÚY"/>
    <s v="NT02"/>
    <x v="15"/>
    <x v="56"/>
    <s v="ALUSTA"/>
    <m/>
    <s v="14.16"/>
    <n v="300"/>
    <s v="NL2018"/>
    <m/>
    <n v="13"/>
    <n v="3900"/>
    <x v="45"/>
    <n v="15600000"/>
    <x v="3"/>
    <x v="28"/>
    <d v="2019-06-07T00:00:00"/>
    <d v="2019-06-07T00:00:00"/>
    <m/>
    <m/>
    <m/>
    <m/>
    <m/>
    <m/>
    <m/>
    <m/>
    <m/>
    <m/>
    <m/>
    <m/>
    <n v="0"/>
    <n v="3900"/>
    <n v="15600000"/>
    <m/>
  </r>
  <r>
    <s v="57A/2019"/>
    <d v="2019-02-20T00:00:00"/>
    <s v="KIỀU THY"/>
    <s v="VC02"/>
    <x v="16"/>
    <x v="66"/>
    <s v="TARRANGO"/>
    <m/>
    <s v="20.22"/>
    <n v="125"/>
    <s v="NL2018"/>
    <m/>
    <n v="40"/>
    <n v="5000"/>
    <x v="68"/>
    <n v="50500000"/>
    <x v="2"/>
    <x v="2"/>
    <d v="2019-09-29T00:00:00"/>
    <d v="2019-09-29T00:00:00"/>
    <s v="TẾT"/>
    <m/>
    <m/>
    <s v="R"/>
    <m/>
    <n v="0"/>
    <m/>
    <m/>
    <m/>
    <m/>
    <m/>
    <m/>
    <n v="0"/>
    <n v="5000"/>
    <n v="50500000"/>
    <m/>
  </r>
  <r>
    <s v="57A/2019"/>
    <d v="2019-02-20T00:00:00"/>
    <s v="KIỀU THY"/>
    <s v="VC02"/>
    <x v="16"/>
    <x v="75"/>
    <s v="SERANO"/>
    <m/>
    <s v="20.22"/>
    <n v="125"/>
    <s v="NL2018"/>
    <m/>
    <n v="40"/>
    <n v="5000"/>
    <x v="2"/>
    <n v="46500000"/>
    <x v="2"/>
    <x v="2"/>
    <d v="2019-09-29T00:00:00"/>
    <d v="2019-09-29T00:00:00"/>
    <s v="TẾT"/>
    <m/>
    <m/>
    <s v="R"/>
    <m/>
    <n v="0"/>
    <m/>
    <m/>
    <m/>
    <m/>
    <m/>
    <m/>
    <n v="0"/>
    <n v="5000"/>
    <n v="46500000"/>
    <m/>
  </r>
  <r>
    <s v="57A/2019"/>
    <d v="2019-02-20T00:00:00"/>
    <s v="KIỀU THY"/>
    <s v="VC02"/>
    <x v="16"/>
    <x v="39"/>
    <s v="PROFUNDO"/>
    <m/>
    <s v="20.22"/>
    <n v="125"/>
    <s v="NL2018"/>
    <m/>
    <n v="80"/>
    <n v="10000"/>
    <x v="47"/>
    <n v="130000000"/>
    <x v="2"/>
    <x v="2"/>
    <d v="2019-09-29T00:00:00"/>
    <d v="2019-09-29T00:00:00"/>
    <s v="TẾT"/>
    <m/>
    <m/>
    <s v="R"/>
    <m/>
    <n v="0"/>
    <m/>
    <m/>
    <m/>
    <m/>
    <m/>
    <m/>
    <n v="0"/>
    <n v="10000"/>
    <n v="130000000"/>
    <m/>
  </r>
  <r>
    <s v="57A/2019"/>
    <d v="2019-02-20T00:00:00"/>
    <s v="KIỀU THY"/>
    <s v="VC02"/>
    <x v="16"/>
    <x v="65"/>
    <s v="MANISSA"/>
    <m/>
    <s v="20.22"/>
    <n v="125"/>
    <s v="NL2018"/>
    <m/>
    <n v="80"/>
    <n v="10000"/>
    <x v="61"/>
    <n v="135000000"/>
    <x v="2"/>
    <x v="2"/>
    <d v="2019-09-29T00:00:00"/>
    <d v="2019-09-29T00:00:00"/>
    <s v="TẾT"/>
    <m/>
    <m/>
    <s v="R"/>
    <m/>
    <n v="0"/>
    <m/>
    <m/>
    <m/>
    <m/>
    <m/>
    <m/>
    <n v="0"/>
    <n v="10000"/>
    <n v="135000000"/>
    <m/>
  </r>
  <r>
    <s v="56A/2019"/>
    <d v="2019-04-25T00:00:00"/>
    <s v="KIỀU THY"/>
    <s v="VK03"/>
    <x v="17"/>
    <x v="66"/>
    <s v="TARRANGO"/>
    <m/>
    <s v="20.22"/>
    <n v="125"/>
    <s v="NL2018"/>
    <m/>
    <n v="16"/>
    <n v="2000"/>
    <x v="28"/>
    <n v="22000000"/>
    <x v="2"/>
    <x v="2"/>
    <d v="2019-09-29T00:00:00"/>
    <d v="2019-09-29T00:00:00"/>
    <m/>
    <m/>
    <m/>
    <m/>
    <m/>
    <m/>
    <m/>
    <m/>
    <m/>
    <m/>
    <m/>
    <m/>
    <n v="0"/>
    <n v="2000"/>
    <n v="22000000"/>
    <m/>
  </r>
  <r>
    <s v="56A/2019"/>
    <d v="2019-02-16T00:00:00"/>
    <s v="KIỀU THY"/>
    <s v="VK03"/>
    <x v="17"/>
    <x v="75"/>
    <s v="SERANO"/>
    <m/>
    <s v="20.22"/>
    <n v="125"/>
    <s v="NL2018"/>
    <m/>
    <n v="80"/>
    <n v="10000"/>
    <x v="2"/>
    <n v="93000000"/>
    <x v="2"/>
    <x v="2"/>
    <d v="2019-09-29T00:00:00"/>
    <d v="2019-09-29T00:00:00"/>
    <s v="TẾT"/>
    <m/>
    <m/>
    <s v="CUỐI T1, NHẮC KHÁCH"/>
    <m/>
    <n v="0"/>
    <m/>
    <m/>
    <m/>
    <m/>
    <m/>
    <m/>
    <n v="0"/>
    <n v="10000"/>
    <n v="93000000"/>
    <m/>
  </r>
  <r>
    <s v="56A/2019"/>
    <d v="2019-02-16T00:00:00"/>
    <s v="KIỀU THY"/>
    <s v="VK03"/>
    <x v="17"/>
    <x v="4"/>
    <s v="ROBINA"/>
    <m/>
    <n v="20.22"/>
    <n v="125"/>
    <s v="NL2018"/>
    <m/>
    <n v="40"/>
    <n v="5000"/>
    <x v="5"/>
    <n v="52500000"/>
    <x v="2"/>
    <x v="2"/>
    <d v="2019-09-29T00:00:00"/>
    <d v="2019-09-29T00:00:00"/>
    <s v="TẾT"/>
    <m/>
    <m/>
    <m/>
    <m/>
    <n v="0"/>
    <m/>
    <m/>
    <m/>
    <m/>
    <m/>
    <m/>
    <n v="0"/>
    <n v="5000"/>
    <n v="52500000"/>
    <m/>
  </r>
  <r>
    <s v="56A/2019"/>
    <d v="2019-02-16T00:00:00"/>
    <s v="KIỀU THY"/>
    <s v="VK03"/>
    <x v="17"/>
    <x v="39"/>
    <s v="PROFUNDO"/>
    <m/>
    <s v="20.22"/>
    <n v="125"/>
    <s v="NL2018"/>
    <m/>
    <n v="80"/>
    <n v="10000"/>
    <x v="47"/>
    <n v="130000000"/>
    <x v="2"/>
    <x v="2"/>
    <d v="2019-09-29T00:00:00"/>
    <d v="2019-09-29T00:00:00"/>
    <s v="TẾT"/>
    <m/>
    <m/>
    <s v="CUỐI T1, NHẮC KHÁCH"/>
    <m/>
    <n v="0"/>
    <m/>
    <m/>
    <m/>
    <m/>
    <m/>
    <m/>
    <n v="0"/>
    <n v="10000"/>
    <n v="130000000"/>
    <m/>
  </r>
  <r>
    <s v="56A/2019"/>
    <d v="2019-02-16T00:00:00"/>
    <s v="KIỀU THY"/>
    <s v="VK03"/>
    <x v="17"/>
    <x v="7"/>
    <s v="CONCADOR"/>
    <m/>
    <s v="20.22"/>
    <n v="125"/>
    <s v="NL2018"/>
    <m/>
    <n v="24"/>
    <n v="3000"/>
    <x v="5"/>
    <n v="31500000"/>
    <x v="2"/>
    <x v="2"/>
    <d v="2019-09-29T00:00:00"/>
    <d v="2019-09-29T00:00:00"/>
    <s v="TẾT"/>
    <m/>
    <m/>
    <s v="CUỐI T1, NHẮC KHÁCH"/>
    <m/>
    <n v="0"/>
    <m/>
    <m/>
    <m/>
    <m/>
    <m/>
    <m/>
    <n v="0"/>
    <n v="3000"/>
    <n v="31500000"/>
    <m/>
  </r>
  <r>
    <s v="72A/2019"/>
    <d v="2019-02-23T00:00:00"/>
    <s v="KIỀU THY"/>
    <s v="VT10"/>
    <x v="18"/>
    <x v="66"/>
    <s v="TARRANGO"/>
    <m/>
    <s v="20.22"/>
    <n v="125"/>
    <s v="NL2018"/>
    <m/>
    <n v="40"/>
    <n v="5000"/>
    <x v="68"/>
    <n v="50500000"/>
    <x v="2"/>
    <x v="2"/>
    <d v="2019-09-29T00:00:00"/>
    <d v="2019-09-29T00:00:00"/>
    <s v="TẾT"/>
    <m/>
    <m/>
    <m/>
    <m/>
    <n v="0"/>
    <m/>
    <m/>
    <m/>
    <m/>
    <m/>
    <m/>
    <n v="0"/>
    <n v="5000"/>
    <n v="50500000"/>
    <m/>
  </r>
  <r>
    <s v="72A/2019"/>
    <d v="2019-02-23T00:00:00"/>
    <s v="KIỀU THY"/>
    <s v="VT10"/>
    <x v="18"/>
    <x v="75"/>
    <s v="SERANO"/>
    <m/>
    <s v="20.22"/>
    <n v="125"/>
    <s v="NL2018"/>
    <m/>
    <n v="40"/>
    <n v="5000"/>
    <x v="2"/>
    <n v="46500000"/>
    <x v="2"/>
    <x v="2"/>
    <d v="2019-09-29T00:00:00"/>
    <d v="2019-09-29T00:00:00"/>
    <s v="TẾT"/>
    <m/>
    <m/>
    <m/>
    <m/>
    <n v="0"/>
    <m/>
    <m/>
    <m/>
    <m/>
    <m/>
    <m/>
    <n v="0"/>
    <n v="5000"/>
    <n v="46500000"/>
    <m/>
  </r>
  <r>
    <s v="72A/2019"/>
    <d v="2019-02-23T00:00:00"/>
    <s v="KIỀU THY"/>
    <s v="VT10"/>
    <x v="18"/>
    <x v="39"/>
    <s v="PROFUNDO"/>
    <m/>
    <s v="20.22"/>
    <n v="125"/>
    <s v="NL2018"/>
    <m/>
    <n v="40"/>
    <n v="5000"/>
    <x v="47"/>
    <n v="65000000"/>
    <x v="2"/>
    <x v="2"/>
    <d v="2019-09-29T00:00:00"/>
    <d v="2019-09-29T00:00:00"/>
    <s v="TẾT"/>
    <m/>
    <m/>
    <m/>
    <m/>
    <n v="0"/>
    <m/>
    <m/>
    <m/>
    <m/>
    <m/>
    <m/>
    <n v="0"/>
    <n v="5000"/>
    <n v="65000000"/>
    <m/>
  </r>
  <r>
    <s v="72A/2019"/>
    <d v="2019-02-23T00:00:00"/>
    <s v="KIỀU THY"/>
    <s v="VT10"/>
    <x v="18"/>
    <x v="41"/>
    <s v="PAVIA"/>
    <m/>
    <s v="12.14"/>
    <n v="400"/>
    <s v="NL2018"/>
    <m/>
    <n v="14"/>
    <n v="5600"/>
    <x v="37"/>
    <n v="15680000"/>
    <x v="0"/>
    <x v="0"/>
    <d v="2019-03-20T00:00:00"/>
    <d v="2019-03-20T00:00:00"/>
    <s v="15/2AL"/>
    <s v="CONT 9/2019"/>
    <d v="2019-03-17T00:00:00"/>
    <m/>
    <d v="2019-03-19T00:00:00"/>
    <n v="5600"/>
    <m/>
    <m/>
    <m/>
    <m/>
    <m/>
    <m/>
    <n v="5600"/>
    <n v="0"/>
    <n v="0"/>
    <m/>
  </r>
  <r>
    <s v="72A/2019"/>
    <d v="2019-02-23T00:00:00"/>
    <s v="KIỀU THY"/>
    <s v="VT10"/>
    <x v="18"/>
    <x v="76"/>
    <s v="NATALIA"/>
    <s v="RL"/>
    <s v="12.14"/>
    <n v="400"/>
    <s v="NL2018"/>
    <m/>
    <n v="1"/>
    <n v="400"/>
    <x v="9"/>
    <n v="3200000"/>
    <x v="0"/>
    <x v="30"/>
    <d v="2019-04-04T00:00:00"/>
    <d v="2019-04-04T00:00:00"/>
    <s v="30/2AL"/>
    <s v="CONT 17/2019"/>
    <d v="2019-03-31T00:00:00"/>
    <m/>
    <d v="2019-04-03T00:00:00"/>
    <n v="400"/>
    <m/>
    <m/>
    <m/>
    <m/>
    <m/>
    <m/>
    <n v="400"/>
    <n v="0"/>
    <n v="0"/>
    <m/>
  </r>
  <r>
    <s v="72A/2019"/>
    <d v="2019-02-23T00:00:00"/>
    <s v="KIỀU THY"/>
    <s v="VT10"/>
    <x v="18"/>
    <x v="67"/>
    <s v="MANISSA"/>
    <m/>
    <s v="22.24"/>
    <n v="100"/>
    <s v="NL2018"/>
    <m/>
    <n v="50"/>
    <n v="5000"/>
    <x v="15"/>
    <n v="76000000"/>
    <x v="2"/>
    <x v="2"/>
    <d v="2019-09-29T00:00:00"/>
    <d v="2019-09-29T00:00:00"/>
    <s v="TẾT"/>
    <m/>
    <m/>
    <m/>
    <m/>
    <n v="0"/>
    <m/>
    <m/>
    <m/>
    <m/>
    <m/>
    <m/>
    <n v="0"/>
    <n v="5000"/>
    <n v="76000000"/>
    <m/>
  </r>
  <r>
    <s v="72A/2019"/>
    <d v="2019-02-23T00:00:00"/>
    <s v="KIỀU THY"/>
    <s v="VT10"/>
    <x v="18"/>
    <x v="25"/>
    <s v="BACARDI"/>
    <m/>
    <s v="20.22"/>
    <n v="125"/>
    <s v="NL2018"/>
    <m/>
    <n v="40"/>
    <n v="5000"/>
    <x v="27"/>
    <n v="54000000"/>
    <x v="2"/>
    <x v="2"/>
    <d v="2019-09-29T00:00:00"/>
    <d v="2019-09-29T00:00:00"/>
    <s v="TẾT"/>
    <m/>
    <m/>
    <m/>
    <m/>
    <n v="0"/>
    <m/>
    <m/>
    <m/>
    <m/>
    <m/>
    <m/>
    <n v="0"/>
    <n v="5000"/>
    <n v="54000000"/>
    <m/>
  </r>
  <r>
    <s v="8A/2019"/>
    <d v="2019-01-01T00:00:00"/>
    <s v="KIỀU THY"/>
    <s v="VT09"/>
    <x v="19"/>
    <x v="0"/>
    <s v="YELLOWEEN"/>
    <m/>
    <s v="12.14"/>
    <n v="400"/>
    <s v="NL2018"/>
    <m/>
    <n v="100"/>
    <n v="40000"/>
    <x v="0"/>
    <n v="104000000"/>
    <x v="0"/>
    <x v="6"/>
    <d v="2019-02-19T00:00:00"/>
    <d v="2019-02-19T00:00:00"/>
    <s v="15/1AL"/>
    <m/>
    <m/>
    <m/>
    <d v="2019-02-19T00:00:00"/>
    <n v="40000"/>
    <m/>
    <m/>
    <m/>
    <m/>
    <m/>
    <m/>
    <n v="40000"/>
    <n v="0"/>
    <n v="0"/>
    <m/>
  </r>
  <r>
    <s v="8A/2019"/>
    <d v="2019-01-01T00:00:00"/>
    <s v="KIỀU THY"/>
    <s v="VT09"/>
    <x v="19"/>
    <x v="0"/>
    <s v="YELLOWEEN"/>
    <m/>
    <s v="12.14"/>
    <n v="400"/>
    <s v="NL2018"/>
    <m/>
    <n v="40"/>
    <n v="16000"/>
    <x v="0"/>
    <n v="41600000"/>
    <x v="0"/>
    <x v="5"/>
    <d v="2019-04-19T00:00:00"/>
    <d v="2019-04-19T00:00:00"/>
    <s v="15/3AL"/>
    <s v="CONT 24/2019"/>
    <d v="2019-04-14T00:00:00"/>
    <m/>
    <d v="2019-04-17T00:00:00"/>
    <n v="16000"/>
    <m/>
    <m/>
    <m/>
    <m/>
    <m/>
    <m/>
    <n v="16000"/>
    <n v="0"/>
    <n v="0"/>
    <m/>
  </r>
  <r>
    <s v="8A/2019"/>
    <d v="2019-01-01T00:00:00"/>
    <s v="KIỀU THY"/>
    <s v="VT09"/>
    <x v="19"/>
    <x v="77"/>
    <s v="YELLOWEEN"/>
    <s v="DN"/>
    <s v="16.18"/>
    <n v="200"/>
    <s v="NL2018"/>
    <m/>
    <n v="75"/>
    <n v="15000"/>
    <x v="10"/>
    <n v="82500000"/>
    <x v="0"/>
    <x v="1"/>
    <d v="2019-05-21T00:00:00"/>
    <d v="2019-05-21T00:00:00"/>
    <s v="10/4AL"/>
    <m/>
    <m/>
    <m/>
    <d v="2019-05-19T00:00:00"/>
    <n v="15000"/>
    <m/>
    <m/>
    <m/>
    <m/>
    <m/>
    <m/>
    <n v="15000"/>
    <n v="0"/>
    <n v="0"/>
    <m/>
  </r>
  <r>
    <s v="8A/2019"/>
    <d v="2019-06-13T00:00:00"/>
    <s v="KIỀU THY"/>
    <s v="VT09"/>
    <x v="19"/>
    <x v="78"/>
    <s v="YELLOWEEN"/>
    <m/>
    <s v="14.16"/>
    <n v="300"/>
    <s v="NL2018"/>
    <m/>
    <n v="30"/>
    <n v="9000"/>
    <x v="45"/>
    <n v="36000000"/>
    <x v="4"/>
    <x v="4"/>
    <d v="2019-07-17T00:00:00"/>
    <d v="2019-07-17T00:00:00"/>
    <s v="20/6AL"/>
    <m/>
    <m/>
    <m/>
    <m/>
    <m/>
    <m/>
    <m/>
    <m/>
    <m/>
    <m/>
    <m/>
    <n v="0"/>
    <n v="9000"/>
    <n v="36000000"/>
    <m/>
  </r>
  <r>
    <s v="8A/2019"/>
    <d v="2019-06-13T00:00:00"/>
    <s v="KIỀU THY"/>
    <s v="VT09"/>
    <x v="19"/>
    <x v="77"/>
    <s v="YELLOWEEN"/>
    <s v="DN"/>
    <s v="16.18"/>
    <n v="200"/>
    <s v="NL2018"/>
    <m/>
    <n v="30"/>
    <n v="6000"/>
    <x v="51"/>
    <n v="36000000"/>
    <x v="4"/>
    <x v="4"/>
    <d v="2019-07-17T00:00:00"/>
    <d v="2019-07-17T00:00:00"/>
    <s v="20/6AL"/>
    <m/>
    <m/>
    <m/>
    <m/>
    <m/>
    <m/>
    <m/>
    <m/>
    <m/>
    <m/>
    <m/>
    <n v="0"/>
    <n v="6000"/>
    <n v="36000000"/>
    <m/>
  </r>
  <r>
    <s v="8A/2019"/>
    <d v="2019-06-13T00:00:00"/>
    <s v="KIỀU THY"/>
    <s v="VT09"/>
    <x v="19"/>
    <x v="77"/>
    <s v="YELLOWEEN"/>
    <s v="DN"/>
    <s v="16.18"/>
    <n v="200"/>
    <s v="NL2018"/>
    <m/>
    <n v="30"/>
    <n v="6000"/>
    <x v="69"/>
    <n v="36540000"/>
    <x v="2"/>
    <x v="34"/>
    <d v="2019-08-01T00:00:00"/>
    <d v="2019-08-01T00:00:00"/>
    <m/>
    <m/>
    <m/>
    <m/>
    <m/>
    <m/>
    <m/>
    <m/>
    <m/>
    <m/>
    <m/>
    <m/>
    <n v="0"/>
    <n v="6000"/>
    <n v="36540000"/>
    <m/>
  </r>
  <r>
    <s v="8A/2019"/>
    <d v="2019-06-13T00:00:00"/>
    <s v="KIỀU THY"/>
    <s v="VT09"/>
    <x v="19"/>
    <x v="78"/>
    <s v="YELLOWEEN"/>
    <m/>
    <s v="14.16"/>
    <n v="300"/>
    <s v="NL2018"/>
    <m/>
    <n v="30"/>
    <n v="9000"/>
    <x v="45"/>
    <n v="36000000"/>
    <x v="2"/>
    <x v="34"/>
    <d v="2019-08-01T00:00:00"/>
    <d v="2019-08-01T00:00:00"/>
    <m/>
    <m/>
    <m/>
    <m/>
    <m/>
    <m/>
    <m/>
    <m/>
    <m/>
    <m/>
    <m/>
    <m/>
    <n v="0"/>
    <n v="9000"/>
    <n v="36000000"/>
    <m/>
  </r>
  <r>
    <s v="199A/2019"/>
    <d v="2019-02-21T00:00:00"/>
    <s v="KIỀU THY"/>
    <s v="VT09"/>
    <x v="19"/>
    <x v="66"/>
    <s v="TARRANGO"/>
    <m/>
    <s v="20.22"/>
    <n v="125"/>
    <s v="NL2018"/>
    <m/>
    <n v="64"/>
    <n v="8000"/>
    <x v="68"/>
    <n v="80800000"/>
    <x v="2"/>
    <x v="2"/>
    <d v="2019-09-29T00:00:00"/>
    <d v="2019-09-29T00:00:00"/>
    <s v="TẾT"/>
    <m/>
    <m/>
    <m/>
    <m/>
    <m/>
    <m/>
    <m/>
    <m/>
    <m/>
    <m/>
    <m/>
    <n v="0"/>
    <n v="8000"/>
    <n v="80800000"/>
    <m/>
  </r>
  <r>
    <s v="8A/2019"/>
    <d v="2019-01-01T00:00:00"/>
    <s v="KIỀU THY"/>
    <s v="VT09"/>
    <x v="19"/>
    <x v="35"/>
    <s v="TARRANGO"/>
    <m/>
    <s v="14.16"/>
    <n v="300"/>
    <s v="NL2018"/>
    <m/>
    <n v="20"/>
    <n v="6000"/>
    <x v="29"/>
    <n v="27600000"/>
    <x v="0"/>
    <x v="6"/>
    <d v="2019-02-19T00:00:00"/>
    <d v="2019-02-19T00:00:00"/>
    <s v="15/1AL"/>
    <m/>
    <m/>
    <m/>
    <d v="2019-02-19T00:00:00"/>
    <n v="6000"/>
    <m/>
    <m/>
    <m/>
    <m/>
    <m/>
    <m/>
    <n v="6000"/>
    <n v="0"/>
    <n v="0"/>
    <m/>
  </r>
  <r>
    <s v="8A/2019"/>
    <d v="2019-01-01T00:00:00"/>
    <s v="KIỀU THY"/>
    <s v="VT09"/>
    <x v="19"/>
    <x v="10"/>
    <s v="TARRANGO"/>
    <m/>
    <s v="16.18"/>
    <n v="200"/>
    <s v="NL2018"/>
    <m/>
    <n v="20"/>
    <n v="4000"/>
    <x v="10"/>
    <n v="22000000"/>
    <x v="0"/>
    <x v="6"/>
    <d v="2019-02-19T00:00:00"/>
    <d v="2019-02-19T00:00:00"/>
    <s v="15/1AL"/>
    <m/>
    <m/>
    <m/>
    <d v="2019-02-19T00:00:00"/>
    <n v="4000"/>
    <m/>
    <m/>
    <m/>
    <m/>
    <m/>
    <m/>
    <n v="4000"/>
    <n v="0"/>
    <n v="0"/>
    <m/>
  </r>
  <r>
    <s v="8A/2019"/>
    <d v="2019-01-01T00:00:00"/>
    <s v="KIỀU THY"/>
    <s v="VT09"/>
    <x v="19"/>
    <x v="35"/>
    <s v="TARRANGO"/>
    <m/>
    <s v="14.16"/>
    <n v="300"/>
    <s v="NL2018"/>
    <m/>
    <n v="20"/>
    <n v="6000"/>
    <x v="29"/>
    <n v="27600000"/>
    <x v="0"/>
    <x v="5"/>
    <d v="2019-04-19T00:00:00"/>
    <d v="2019-04-19T00:00:00"/>
    <s v="15/3AL"/>
    <s v="CONT 24/2019"/>
    <d v="2019-04-14T00:00:00"/>
    <m/>
    <d v="2019-04-17T00:00:00"/>
    <n v="6000"/>
    <m/>
    <m/>
    <m/>
    <m/>
    <m/>
    <m/>
    <n v="6000"/>
    <n v="0"/>
    <n v="0"/>
    <m/>
  </r>
  <r>
    <s v="8A/2019"/>
    <d v="2019-01-01T00:00:00"/>
    <s v="KIỀU THY"/>
    <s v="VT09"/>
    <x v="19"/>
    <x v="10"/>
    <s v="TARRANGO"/>
    <m/>
    <s v="16.18"/>
    <n v="200"/>
    <s v="NL2018"/>
    <m/>
    <n v="20"/>
    <n v="4000"/>
    <x v="10"/>
    <n v="22000000"/>
    <x v="0"/>
    <x v="5"/>
    <d v="2019-04-19T00:00:00"/>
    <d v="2019-04-19T00:00:00"/>
    <s v="15/3AL"/>
    <s v="CONT 26/2019"/>
    <d v="2019-04-14T00:00:00"/>
    <m/>
    <d v="2019-04-17T00:00:00"/>
    <n v="4000"/>
    <m/>
    <m/>
    <m/>
    <m/>
    <m/>
    <m/>
    <n v="4000"/>
    <n v="0"/>
    <n v="0"/>
    <m/>
  </r>
  <r>
    <s v="8A/2019"/>
    <d v="2019-01-01T00:00:00"/>
    <s v="KIỀU THY"/>
    <s v="VT09"/>
    <x v="19"/>
    <x v="35"/>
    <s v="TARRANGO"/>
    <m/>
    <s v="14.16"/>
    <n v="300"/>
    <s v="NL2018"/>
    <m/>
    <n v="20"/>
    <n v="6000"/>
    <x v="70"/>
    <n v="27900000"/>
    <x v="0"/>
    <x v="1"/>
    <d v="2019-05-21T00:00:00"/>
    <d v="2019-05-21T00:00:00"/>
    <s v="10/4AL"/>
    <m/>
    <m/>
    <m/>
    <d v="2019-05-19T00:00:00"/>
    <n v="6000"/>
    <m/>
    <m/>
    <m/>
    <m/>
    <m/>
    <m/>
    <n v="6000"/>
    <n v="0"/>
    <n v="0"/>
    <m/>
  </r>
  <r>
    <s v="8A/2019"/>
    <d v="2019-06-13T00:00:00"/>
    <s v="KIỀU THY"/>
    <s v="VT09"/>
    <x v="19"/>
    <x v="35"/>
    <s v="TARRANGO"/>
    <m/>
    <s v="14.16"/>
    <n v="300"/>
    <s v="NL2018"/>
    <m/>
    <n v="20"/>
    <n v="6000"/>
    <x v="8"/>
    <n v="30000000"/>
    <x v="4"/>
    <x v="4"/>
    <d v="2019-07-17T00:00:00"/>
    <d v="2019-07-17T00:00:00"/>
    <s v="20/6AL"/>
    <m/>
    <m/>
    <m/>
    <m/>
    <m/>
    <m/>
    <m/>
    <m/>
    <m/>
    <m/>
    <m/>
    <n v="0"/>
    <n v="6000"/>
    <n v="30000000"/>
    <m/>
  </r>
  <r>
    <s v="8A/2019"/>
    <d v="2019-06-13T00:00:00"/>
    <s v="KIỀU THY"/>
    <s v="VT09"/>
    <x v="19"/>
    <x v="35"/>
    <s v="TARRANGO"/>
    <m/>
    <s v="14.16"/>
    <n v="300"/>
    <s v="NL2018"/>
    <m/>
    <n v="30"/>
    <n v="9000"/>
    <x v="8"/>
    <n v="45000000"/>
    <x v="2"/>
    <x v="34"/>
    <d v="2019-08-01T00:00:00"/>
    <d v="2019-08-01T00:00:00"/>
    <m/>
    <m/>
    <m/>
    <m/>
    <m/>
    <m/>
    <m/>
    <m/>
    <m/>
    <m/>
    <m/>
    <m/>
    <n v="0"/>
    <n v="9000"/>
    <n v="45000000"/>
    <m/>
  </r>
  <r>
    <s v="199A/2019"/>
    <d v="2019-02-21T00:00:00"/>
    <s v="KIỀU THY"/>
    <s v="VT09"/>
    <x v="19"/>
    <x v="75"/>
    <s v="SERANO"/>
    <m/>
    <s v="20.22"/>
    <n v="125"/>
    <s v="NL2018"/>
    <m/>
    <n v="48"/>
    <n v="6000"/>
    <x v="2"/>
    <n v="55800000"/>
    <x v="2"/>
    <x v="2"/>
    <d v="2019-09-29T00:00:00"/>
    <d v="2019-09-29T00:00:00"/>
    <s v="TẾT"/>
    <m/>
    <m/>
    <m/>
    <m/>
    <m/>
    <m/>
    <m/>
    <m/>
    <m/>
    <m/>
    <m/>
    <n v="0"/>
    <n v="6000"/>
    <n v="55800000"/>
    <m/>
  </r>
  <r>
    <s v="199A/2019"/>
    <d v="2019-04-18T00:00:00"/>
    <s v="KIỀU THY"/>
    <s v="VT09"/>
    <x v="19"/>
    <x v="4"/>
    <s v="ROBINA"/>
    <m/>
    <s v="20.22"/>
    <n v="125"/>
    <s v="NL2018"/>
    <m/>
    <n v="24"/>
    <n v="3000"/>
    <x v="34"/>
    <n v="32100000"/>
    <x v="2"/>
    <x v="2"/>
    <d v="2019-09-29T00:00:00"/>
    <d v="2019-09-29T00:00:00"/>
    <s v="TẾT"/>
    <m/>
    <m/>
    <m/>
    <m/>
    <m/>
    <m/>
    <m/>
    <m/>
    <m/>
    <m/>
    <m/>
    <n v="0"/>
    <n v="3000"/>
    <n v="32100000"/>
    <m/>
  </r>
  <r>
    <s v="199A/2019"/>
    <d v="2019-02-21T00:00:00"/>
    <s v="KIỀU THY"/>
    <s v="VT09"/>
    <x v="19"/>
    <x v="39"/>
    <s v="PROFUNDO"/>
    <m/>
    <s v="20.22"/>
    <n v="125"/>
    <s v="NL2018"/>
    <m/>
    <n v="80"/>
    <n v="10000"/>
    <x v="47"/>
    <n v="130000000"/>
    <x v="2"/>
    <x v="2"/>
    <d v="2019-09-29T00:00:00"/>
    <d v="2019-09-29T00:00:00"/>
    <s v="TẾT"/>
    <m/>
    <m/>
    <m/>
    <m/>
    <m/>
    <m/>
    <m/>
    <m/>
    <m/>
    <m/>
    <m/>
    <n v="0"/>
    <n v="10000"/>
    <n v="130000000"/>
    <m/>
  </r>
  <r>
    <s v="8A/2019"/>
    <d v="2019-01-01T00:00:00"/>
    <s v="KIỀU THY"/>
    <s v="VT09"/>
    <x v="19"/>
    <x v="11"/>
    <s v="PROFUNDO"/>
    <m/>
    <s v="16.18"/>
    <n v="200"/>
    <s v="NL2018"/>
    <m/>
    <n v="40"/>
    <n v="8000"/>
    <x v="32"/>
    <n v="53600000"/>
    <x v="0"/>
    <x v="6"/>
    <d v="2019-02-19T00:00:00"/>
    <d v="2019-02-19T00:00:00"/>
    <s v="15/1AL"/>
    <m/>
    <m/>
    <m/>
    <d v="2019-02-19T00:00:00"/>
    <n v="8000"/>
    <m/>
    <m/>
    <m/>
    <m/>
    <m/>
    <m/>
    <n v="8000"/>
    <n v="0"/>
    <n v="0"/>
    <m/>
  </r>
  <r>
    <s v="8A/2019"/>
    <d v="2019-01-01T00:00:00"/>
    <s v="KIỀU THY"/>
    <s v="VT09"/>
    <x v="19"/>
    <x v="11"/>
    <s v="PROFUNDO"/>
    <m/>
    <s v="16.18"/>
    <n v="200"/>
    <s v="NL2018"/>
    <m/>
    <n v="30"/>
    <n v="6000"/>
    <x v="32"/>
    <n v="40200000"/>
    <x v="0"/>
    <x v="5"/>
    <d v="2019-04-19T00:00:00"/>
    <d v="2019-04-19T00:00:00"/>
    <s v="15/3AL"/>
    <s v="CONT 23/2019"/>
    <d v="2019-04-14T00:00:00"/>
    <m/>
    <d v="2019-04-17T00:00:00"/>
    <n v="6000"/>
    <m/>
    <m/>
    <m/>
    <m/>
    <m/>
    <m/>
    <n v="6000"/>
    <n v="0"/>
    <n v="0"/>
    <m/>
  </r>
  <r>
    <s v="8A/2019"/>
    <d v="2019-01-01T00:00:00"/>
    <s v="KIỀU THY"/>
    <s v="VT09"/>
    <x v="19"/>
    <x v="11"/>
    <s v="PROFUNDO"/>
    <m/>
    <s v="16.18"/>
    <n v="200"/>
    <s v="NL2018"/>
    <m/>
    <n v="25"/>
    <n v="5000"/>
    <x v="71"/>
    <n v="34000000"/>
    <x v="0"/>
    <x v="1"/>
    <d v="2019-05-21T00:00:00"/>
    <d v="2019-05-21T00:00:00"/>
    <s v="10/4AL"/>
    <m/>
    <m/>
    <m/>
    <d v="2019-05-19T00:00:00"/>
    <n v="5000"/>
    <m/>
    <m/>
    <m/>
    <m/>
    <m/>
    <m/>
    <n v="5000"/>
    <n v="0"/>
    <n v="0"/>
    <m/>
  </r>
  <r>
    <s v="8A/2019"/>
    <d v="2019-06-13T00:00:00"/>
    <s v="KIỀU THY"/>
    <s v="VT09"/>
    <x v="19"/>
    <x v="11"/>
    <s v="PROFUNDO"/>
    <m/>
    <s v="16.18"/>
    <n v="200"/>
    <s v="NL2018"/>
    <m/>
    <n v="40"/>
    <n v="8000"/>
    <x v="7"/>
    <n v="64800000"/>
    <x v="2"/>
    <x v="34"/>
    <d v="2019-08-01T00:00:00"/>
    <d v="2019-08-01T00:00:00"/>
    <m/>
    <m/>
    <m/>
    <m/>
    <m/>
    <m/>
    <m/>
    <m/>
    <m/>
    <m/>
    <m/>
    <m/>
    <n v="0"/>
    <n v="8000"/>
    <n v="64800000"/>
    <m/>
  </r>
  <r>
    <s v="8A/2019"/>
    <d v="2019-02-11T00:00:00"/>
    <s v="KIỀU THY"/>
    <s v="VT09"/>
    <x v="19"/>
    <x v="41"/>
    <s v="PAVIA"/>
    <m/>
    <s v="12.14"/>
    <n v="400"/>
    <s v="NL2018"/>
    <m/>
    <n v="20"/>
    <n v="8000"/>
    <x v="37"/>
    <n v="22400000"/>
    <x v="0"/>
    <x v="0"/>
    <d v="2019-03-20T00:00:00"/>
    <d v="2019-03-20T00:00:00"/>
    <s v="15/2AL"/>
    <s v="CONT 9/2019"/>
    <d v="2019-03-17T00:00:00"/>
    <m/>
    <d v="2019-03-19T00:00:00"/>
    <n v="8000"/>
    <m/>
    <m/>
    <m/>
    <m/>
    <m/>
    <m/>
    <n v="8000"/>
    <n v="0"/>
    <n v="0"/>
    <m/>
  </r>
  <r>
    <s v="8A/2019"/>
    <d v="2019-02-11T00:00:00"/>
    <s v="KIỀU THY"/>
    <s v="VT09"/>
    <x v="19"/>
    <x v="41"/>
    <s v="PAVIA"/>
    <m/>
    <s v="12.14"/>
    <n v="400"/>
    <s v="NL2018"/>
    <m/>
    <n v="0"/>
    <n v="0"/>
    <x v="37"/>
    <n v="0"/>
    <x v="1"/>
    <x v="5"/>
    <d v="2019-04-19T00:00:00"/>
    <d v="2019-04-19T00:00:00"/>
    <s v="15/3AL"/>
    <s v="CONT 20/2019"/>
    <d v="2019-04-14T00:00:00"/>
    <m/>
    <m/>
    <n v="0"/>
    <m/>
    <m/>
    <m/>
    <m/>
    <m/>
    <m/>
    <n v="0"/>
    <n v="0"/>
    <n v="0"/>
    <s v="check lai co bi trung"/>
  </r>
  <r>
    <s v="8A/2019"/>
    <d v="2019-06-13T00:00:00"/>
    <s v="KIỀU THY"/>
    <s v="VT09"/>
    <x v="19"/>
    <x v="41"/>
    <s v="PAVIA"/>
    <m/>
    <s v="12.14"/>
    <n v="400"/>
    <s v="NL2018"/>
    <m/>
    <n v="10"/>
    <n v="4000"/>
    <x v="26"/>
    <n v="12000000"/>
    <x v="4"/>
    <x v="4"/>
    <d v="2019-07-17T00:00:00"/>
    <d v="2019-07-17T00:00:00"/>
    <s v="20/6AL"/>
    <m/>
    <m/>
    <m/>
    <m/>
    <m/>
    <m/>
    <m/>
    <m/>
    <m/>
    <m/>
    <m/>
    <n v="0"/>
    <n v="4000"/>
    <n v="12000000"/>
    <m/>
  </r>
  <r>
    <s v="8A/2019"/>
    <d v="2019-02-21T00:00:00"/>
    <s v="KIỀU THY"/>
    <s v="VT09"/>
    <x v="19"/>
    <x v="44"/>
    <s v="NELLO "/>
    <m/>
    <s v="12.14"/>
    <n v="400"/>
    <s v="NL2018"/>
    <m/>
    <n v="0"/>
    <n v="0"/>
    <x v="26"/>
    <n v="0"/>
    <x v="1"/>
    <x v="35"/>
    <d v="2019-04-17T00:00:00"/>
    <d v="2019-04-17T00:00:00"/>
    <s v="15/3AL"/>
    <s v="CONT 20/2019"/>
    <d v="2019-04-14T00:00:00"/>
    <m/>
    <m/>
    <n v="0"/>
    <m/>
    <m/>
    <m/>
    <m/>
    <m/>
    <m/>
    <n v="0"/>
    <n v="0"/>
    <n v="0"/>
    <m/>
  </r>
  <r>
    <s v="199A/2019"/>
    <d v="2019-02-21T00:00:00"/>
    <s v="KIỀU THY"/>
    <s v="VT09"/>
    <x v="19"/>
    <x v="67"/>
    <s v="MANISSA"/>
    <m/>
    <s v="22.24"/>
    <n v="100"/>
    <s v="NL2018"/>
    <m/>
    <n v="70"/>
    <n v="7000"/>
    <x v="15"/>
    <n v="106400000"/>
    <x v="2"/>
    <x v="2"/>
    <d v="2019-09-29T00:00:00"/>
    <d v="2019-09-29T00:00:00"/>
    <s v="TẾT"/>
    <m/>
    <m/>
    <m/>
    <m/>
    <m/>
    <m/>
    <m/>
    <m/>
    <m/>
    <m/>
    <m/>
    <n v="0"/>
    <n v="7000"/>
    <n v="106400000"/>
    <m/>
  </r>
  <r>
    <s v="199A/2019"/>
    <d v="2019-02-21T00:00:00"/>
    <s v="KIỀU THY"/>
    <s v="VT09"/>
    <x v="19"/>
    <x v="65"/>
    <s v="MANISSA"/>
    <m/>
    <s v="20.22"/>
    <n v="125"/>
    <s v="NL2018"/>
    <m/>
    <n v="32"/>
    <n v="4000"/>
    <x v="61"/>
    <n v="54000000"/>
    <x v="2"/>
    <x v="2"/>
    <d v="2019-09-29T00:00:00"/>
    <d v="2019-09-29T00:00:00"/>
    <s v="TẾT"/>
    <m/>
    <m/>
    <m/>
    <m/>
    <m/>
    <m/>
    <m/>
    <m/>
    <m/>
    <m/>
    <m/>
    <n v="0"/>
    <n v="4000"/>
    <n v="54000000"/>
    <m/>
  </r>
  <r>
    <s v="8A/2019"/>
    <d v="2019-06-13T00:00:00"/>
    <s v="KIỀU THY"/>
    <s v="VT09"/>
    <x v="19"/>
    <x v="79"/>
    <s v="MANISSA"/>
    <m/>
    <s v="16.18"/>
    <n v="200"/>
    <s v="NL2018"/>
    <m/>
    <n v="30"/>
    <n v="6000"/>
    <x v="72"/>
    <n v="42600000"/>
    <x v="4"/>
    <x v="4"/>
    <d v="2019-07-17T00:00:00"/>
    <d v="2019-07-17T00:00:00"/>
    <s v="20/6AL"/>
    <m/>
    <m/>
    <m/>
    <m/>
    <m/>
    <m/>
    <m/>
    <m/>
    <m/>
    <m/>
    <m/>
    <n v="0"/>
    <n v="6000"/>
    <n v="42600000"/>
    <m/>
  </r>
  <r>
    <s v="8A/2019"/>
    <d v="2019-06-13T00:00:00"/>
    <s v="KIỀU THY"/>
    <s v="VT09"/>
    <x v="19"/>
    <x v="79"/>
    <s v="MANISSA"/>
    <m/>
    <s v="16.18"/>
    <n v="200"/>
    <s v="NL2018"/>
    <m/>
    <n v="40"/>
    <n v="8000"/>
    <x v="56"/>
    <n v="57600000"/>
    <x v="2"/>
    <x v="34"/>
    <d v="2019-08-01T00:00:00"/>
    <d v="2019-08-01T00:00:00"/>
    <m/>
    <m/>
    <m/>
    <m/>
    <m/>
    <m/>
    <m/>
    <m/>
    <m/>
    <m/>
    <m/>
    <m/>
    <n v="0"/>
    <n v="8000"/>
    <n v="57600000"/>
    <m/>
  </r>
  <r>
    <s v="8A/2019"/>
    <d v="2019-01-01T00:00:00"/>
    <s v="KIỀU THY"/>
    <s v="VT09"/>
    <x v="19"/>
    <x v="27"/>
    <s v="MALDANO"/>
    <m/>
    <s v="16.18"/>
    <n v="200"/>
    <s v="NL2018"/>
    <m/>
    <n v="20"/>
    <n v="4000"/>
    <x v="73"/>
    <n v="20800000"/>
    <x v="0"/>
    <x v="1"/>
    <d v="2019-05-21T00:00:00"/>
    <d v="2019-05-21T00:00:00"/>
    <s v="10/4AL"/>
    <m/>
    <m/>
    <m/>
    <d v="2019-05-19T00:00:00"/>
    <n v="4000"/>
    <m/>
    <m/>
    <m/>
    <m/>
    <m/>
    <m/>
    <n v="4000"/>
    <n v="0"/>
    <n v="0"/>
    <m/>
  </r>
  <r>
    <s v="8A/2019"/>
    <d v="2019-06-13T00:00:00"/>
    <s v="KIỀU THY"/>
    <s v="VT09"/>
    <x v="19"/>
    <x v="73"/>
    <s v="MALDANO"/>
    <m/>
    <s v="14.16"/>
    <n v="300"/>
    <s v="NL2018"/>
    <m/>
    <n v="20"/>
    <n v="6000"/>
    <x v="14"/>
    <n v="27000000"/>
    <x v="4"/>
    <x v="4"/>
    <d v="2019-07-17T00:00:00"/>
    <d v="2019-07-17T00:00:00"/>
    <s v="20/6AL"/>
    <m/>
    <m/>
    <m/>
    <m/>
    <m/>
    <m/>
    <m/>
    <m/>
    <m/>
    <m/>
    <m/>
    <n v="0"/>
    <n v="6000"/>
    <n v="27000000"/>
    <m/>
  </r>
  <r>
    <s v="199A/2019"/>
    <d v="2019-05-21T00:00:00"/>
    <s v="KIỀU THY"/>
    <s v="VT09"/>
    <x v="19"/>
    <x v="80"/>
    <s v="INDIANA"/>
    <m/>
    <s v="18.20"/>
    <n v="150"/>
    <s v="NL2018"/>
    <m/>
    <n v="20"/>
    <n v="3000"/>
    <x v="68"/>
    <n v="30300000"/>
    <x v="2"/>
    <x v="2"/>
    <d v="2019-09-29T00:00:00"/>
    <d v="2019-09-29T00:00:00"/>
    <s v="TẾT"/>
    <m/>
    <m/>
    <m/>
    <m/>
    <m/>
    <m/>
    <m/>
    <m/>
    <m/>
    <m/>
    <m/>
    <n v="0"/>
    <n v="3000"/>
    <n v="30300000"/>
    <m/>
  </r>
  <r>
    <s v="8A/2019"/>
    <d v="2019-06-13T00:00:00"/>
    <s v="KIỀU THY"/>
    <s v="VT09"/>
    <x v="19"/>
    <x v="24"/>
    <s v="DALIAN"/>
    <m/>
    <s v="14.16"/>
    <n v="300"/>
    <s v="NL2018"/>
    <m/>
    <n v="20"/>
    <n v="6000"/>
    <x v="55"/>
    <n v="33600000"/>
    <x v="4"/>
    <x v="4"/>
    <d v="2019-07-17T00:00:00"/>
    <d v="2019-07-17T00:00:00"/>
    <s v="20/6AL"/>
    <m/>
    <m/>
    <m/>
    <m/>
    <m/>
    <m/>
    <m/>
    <m/>
    <m/>
    <m/>
    <m/>
    <n v="0"/>
    <n v="6000"/>
    <n v="33600000"/>
    <m/>
  </r>
  <r>
    <s v="199A/2019"/>
    <d v="2019-02-21T00:00:00"/>
    <s v="KIỀU THY"/>
    <s v="VT09"/>
    <x v="19"/>
    <x v="7"/>
    <s v="CONCADOR"/>
    <m/>
    <s v="20.22"/>
    <n v="125"/>
    <s v="NL2018"/>
    <m/>
    <n v="64"/>
    <n v="8000"/>
    <x v="5"/>
    <n v="84000000"/>
    <x v="2"/>
    <x v="2"/>
    <d v="2019-09-29T00:00:00"/>
    <d v="2019-09-29T00:00:00"/>
    <s v="TẾT"/>
    <m/>
    <m/>
    <m/>
    <m/>
    <m/>
    <m/>
    <m/>
    <m/>
    <m/>
    <m/>
    <m/>
    <n v="0"/>
    <n v="8000"/>
    <n v="84000000"/>
    <m/>
  </r>
  <r>
    <s v="8A/2019"/>
    <d v="2019-01-01T00:00:00"/>
    <s v="KIỀU THY"/>
    <s v="VT09"/>
    <x v="19"/>
    <x v="6"/>
    <s v="CONCADOR"/>
    <m/>
    <s v="16.18"/>
    <n v="200"/>
    <s v="NL2018"/>
    <m/>
    <n v="35"/>
    <n v="7000"/>
    <x v="8"/>
    <n v="35000000"/>
    <x v="0"/>
    <x v="6"/>
    <d v="2019-02-19T00:00:00"/>
    <d v="2019-02-19T00:00:00"/>
    <s v="15/1AL"/>
    <m/>
    <m/>
    <m/>
    <d v="2019-02-19T00:00:00"/>
    <n v="7000"/>
    <m/>
    <m/>
    <m/>
    <m/>
    <m/>
    <m/>
    <n v="7000"/>
    <n v="0"/>
    <n v="0"/>
    <m/>
  </r>
  <r>
    <s v="8A/2019"/>
    <d v="2019-01-01T00:00:00"/>
    <s v="KIỀU THY"/>
    <s v="VT09"/>
    <x v="19"/>
    <x v="6"/>
    <s v="CONCADOR"/>
    <m/>
    <s v="16.18"/>
    <n v="200"/>
    <s v="NL2018"/>
    <m/>
    <n v="35"/>
    <n v="7000"/>
    <x v="8"/>
    <n v="35000000"/>
    <x v="0"/>
    <x v="5"/>
    <d v="2019-04-19T00:00:00"/>
    <d v="2019-04-19T00:00:00"/>
    <s v="15/3AL"/>
    <s v="CONT 22/2019"/>
    <d v="2019-04-14T00:00:00"/>
    <m/>
    <d v="2019-04-17T00:00:00"/>
    <n v="7000"/>
    <m/>
    <m/>
    <m/>
    <m/>
    <m/>
    <m/>
    <n v="7000"/>
    <n v="0"/>
    <n v="0"/>
    <m/>
  </r>
  <r>
    <s v="8A/2019"/>
    <d v="2019-01-01T00:00:00"/>
    <s v="KIỀU THY"/>
    <s v="VT09"/>
    <x v="19"/>
    <x v="6"/>
    <s v="CONCADOR"/>
    <m/>
    <s v="16.18"/>
    <n v="200"/>
    <s v="NL2018"/>
    <m/>
    <n v="25"/>
    <n v="5000"/>
    <x v="51"/>
    <n v="30000000"/>
    <x v="0"/>
    <x v="1"/>
    <d v="2019-05-21T00:00:00"/>
    <d v="2019-05-21T00:00:00"/>
    <s v="10/4AL"/>
    <m/>
    <m/>
    <m/>
    <d v="2019-05-19T00:00:00"/>
    <n v="5000"/>
    <m/>
    <m/>
    <m/>
    <m/>
    <m/>
    <m/>
    <n v="5000"/>
    <n v="0"/>
    <n v="0"/>
    <m/>
  </r>
  <r>
    <s v="199A/2019"/>
    <d v="2019-05-21T00:00:00"/>
    <s v="KIỀU THY"/>
    <s v="VT09"/>
    <x v="19"/>
    <x v="25"/>
    <s v="BACARDI"/>
    <m/>
    <s v="20.22"/>
    <n v="125"/>
    <s v="NL2018"/>
    <m/>
    <n v="24"/>
    <n v="3000"/>
    <x v="28"/>
    <n v="33000000"/>
    <x v="2"/>
    <x v="2"/>
    <d v="2019-09-29T00:00:00"/>
    <d v="2019-09-29T00:00:00"/>
    <s v="TẾT"/>
    <m/>
    <m/>
    <m/>
    <m/>
    <m/>
    <m/>
    <m/>
    <m/>
    <m/>
    <m/>
    <m/>
    <n v="0"/>
    <n v="3000"/>
    <n v="33000000"/>
    <m/>
  </r>
  <r>
    <s v="8A/2019"/>
    <d v="2019-02-11T00:00:00"/>
    <s v="KIỀU THY"/>
    <s v="VT09"/>
    <x v="19"/>
    <x v="13"/>
    <s v="BACARDI"/>
    <m/>
    <s v="15.16"/>
    <n v="300"/>
    <s v="NL2018"/>
    <m/>
    <n v="0"/>
    <n v="0"/>
    <x v="74"/>
    <n v="0"/>
    <x v="1"/>
    <x v="5"/>
    <d v="2019-04-19T00:00:00"/>
    <d v="2019-04-19T00:00:00"/>
    <s v="15/3AL"/>
    <s v="CONT 22/2019"/>
    <d v="2019-04-14T00:00:00"/>
    <m/>
    <m/>
    <n v="0"/>
    <m/>
    <m/>
    <m/>
    <m/>
    <m/>
    <m/>
    <n v="0"/>
    <n v="0"/>
    <n v="0"/>
    <m/>
  </r>
  <r>
    <s v="8A/2019"/>
    <d v="2019-02-11T00:00:00"/>
    <s v="KIỀU THY"/>
    <s v="VT09"/>
    <x v="19"/>
    <x v="81"/>
    <s v="BACARDI"/>
    <m/>
    <s v="16.18"/>
    <n v="200"/>
    <s v="NL2018"/>
    <m/>
    <n v="32"/>
    <n v="6400"/>
    <x v="75"/>
    <n v="40320000"/>
    <x v="0"/>
    <x v="5"/>
    <d v="2019-04-19T00:00:00"/>
    <d v="2019-04-19T00:00:00"/>
    <m/>
    <s v="CONT 20/2019"/>
    <d v="2019-04-14T00:00:00"/>
    <m/>
    <d v="2019-04-23T00:00:00"/>
    <n v="6400"/>
    <m/>
    <m/>
    <m/>
    <m/>
    <m/>
    <m/>
    <n v="6400"/>
    <n v="0"/>
    <n v="0"/>
    <m/>
  </r>
  <r>
    <s v="8A/2019"/>
    <d v="2019-02-11T00:00:00"/>
    <s v="KIỀU THY"/>
    <s v="VT09"/>
    <x v="19"/>
    <x v="53"/>
    <s v="AMATERAS"/>
    <m/>
    <s v="12.14"/>
    <n v="400"/>
    <s v="NL2018"/>
    <m/>
    <n v="20"/>
    <n v="8000"/>
    <x v="37"/>
    <n v="22400000"/>
    <x v="0"/>
    <x v="0"/>
    <d v="2019-03-20T00:00:00"/>
    <d v="2019-03-20T00:00:00"/>
    <s v="15/2AL"/>
    <s v="CONT 9/2019"/>
    <d v="2019-03-17T00:00:00"/>
    <m/>
    <d v="2019-03-19T00:00:00"/>
    <n v="8000"/>
    <m/>
    <m/>
    <m/>
    <m/>
    <m/>
    <m/>
    <n v="8000"/>
    <n v="0"/>
    <n v="0"/>
    <m/>
  </r>
  <r>
    <s v="8A/2019"/>
    <d v="2019-02-11T00:00:00"/>
    <s v="KIỀU THY"/>
    <s v="VT09"/>
    <x v="19"/>
    <x v="53"/>
    <s v="AMATERAS"/>
    <m/>
    <s v="12.14"/>
    <n v="400"/>
    <s v="NL2018"/>
    <m/>
    <n v="0"/>
    <n v="0"/>
    <x v="37"/>
    <n v="0"/>
    <x v="1"/>
    <x v="5"/>
    <d v="2019-04-19T00:00:00"/>
    <d v="2019-04-19T00:00:00"/>
    <s v="15/3AL"/>
    <s v="CONT 20/2019"/>
    <d v="2019-04-14T00:00:00"/>
    <m/>
    <m/>
    <n v="0"/>
    <m/>
    <m/>
    <m/>
    <m/>
    <m/>
    <m/>
    <n v="0"/>
    <n v="0"/>
    <n v="0"/>
    <s v="check lai don cua chu Tra co bi trung ko, nhập ve chi 3600"/>
  </r>
  <r>
    <s v="197A/2019"/>
    <d v="2019-02-21T00:00:00"/>
    <s v="KIỀU THY"/>
    <s v="VT09"/>
    <x v="20"/>
    <x v="75"/>
    <s v="SERANO"/>
    <m/>
    <s v="20.22"/>
    <n v="125"/>
    <s v="NL2018"/>
    <m/>
    <n v="16"/>
    <n v="2000"/>
    <x v="2"/>
    <n v="18600000"/>
    <x v="2"/>
    <x v="2"/>
    <d v="2019-09-29T00:00:00"/>
    <d v="2019-09-29T00:00:00"/>
    <s v="TẾT"/>
    <m/>
    <m/>
    <m/>
    <m/>
    <m/>
    <m/>
    <m/>
    <m/>
    <m/>
    <m/>
    <m/>
    <n v="0"/>
    <n v="2000"/>
    <n v="18600000"/>
    <m/>
  </r>
  <r>
    <s v="197A/2019"/>
    <d v="2019-04-24T00:00:00"/>
    <s v="KIỀU THY"/>
    <s v="VT09"/>
    <x v="20"/>
    <x v="75"/>
    <s v="SERANO"/>
    <m/>
    <s v="20.22"/>
    <n v="125"/>
    <s v="NL2018"/>
    <m/>
    <n v="8"/>
    <n v="1000"/>
    <x v="76"/>
    <n v="9600000"/>
    <x v="2"/>
    <x v="2"/>
    <d v="2019-09-29T00:00:00"/>
    <d v="2019-09-29T00:00:00"/>
    <s v="TẾT"/>
    <m/>
    <m/>
    <m/>
    <m/>
    <m/>
    <m/>
    <m/>
    <m/>
    <m/>
    <m/>
    <m/>
    <n v="0"/>
    <n v="1000"/>
    <n v="9600000"/>
    <m/>
  </r>
  <r>
    <s v="197A/2019"/>
    <d v="2019-02-21T00:00:00"/>
    <s v="KIỀU THY"/>
    <s v="VT09"/>
    <x v="20"/>
    <x v="4"/>
    <s v="ROBINA"/>
    <m/>
    <s v="20.22"/>
    <n v="125"/>
    <s v="NL2018"/>
    <m/>
    <n v="24"/>
    <n v="3000"/>
    <x v="34"/>
    <n v="32100000"/>
    <x v="2"/>
    <x v="2"/>
    <d v="2019-09-29T00:00:00"/>
    <d v="2019-09-29T00:00:00"/>
    <s v="TẾT"/>
    <m/>
    <m/>
    <m/>
    <m/>
    <m/>
    <m/>
    <m/>
    <m/>
    <m/>
    <m/>
    <m/>
    <n v="0"/>
    <n v="3000"/>
    <n v="32100000"/>
    <m/>
  </r>
  <r>
    <s v="197A/2019"/>
    <d v="2019-02-21T00:00:00"/>
    <s v="KIỀU THY"/>
    <s v="VT09"/>
    <x v="20"/>
    <x v="39"/>
    <s v="PROFUNDO"/>
    <m/>
    <s v="20.22"/>
    <n v="125"/>
    <s v="NL2018"/>
    <m/>
    <n v="56"/>
    <n v="7000"/>
    <x v="47"/>
    <n v="91000000"/>
    <x v="2"/>
    <x v="2"/>
    <d v="2019-09-29T00:00:00"/>
    <d v="2019-09-29T00:00:00"/>
    <s v="TẾT"/>
    <m/>
    <m/>
    <m/>
    <m/>
    <m/>
    <m/>
    <m/>
    <m/>
    <m/>
    <m/>
    <m/>
    <n v="0"/>
    <n v="7000"/>
    <n v="91000000"/>
    <m/>
  </r>
  <r>
    <s v="197A/2019"/>
    <d v="2019-02-21T00:00:00"/>
    <s v="KIỀU THY"/>
    <s v="VT09"/>
    <x v="20"/>
    <x v="65"/>
    <s v="MANISSA"/>
    <m/>
    <s v="20.22"/>
    <n v="125"/>
    <s v="NL2018"/>
    <m/>
    <n v="24"/>
    <n v="3000"/>
    <x v="61"/>
    <n v="40500000"/>
    <x v="2"/>
    <x v="2"/>
    <d v="2019-09-29T00:00:00"/>
    <d v="2019-09-29T00:00:00"/>
    <s v="TẾT"/>
    <m/>
    <m/>
    <m/>
    <m/>
    <m/>
    <m/>
    <m/>
    <m/>
    <m/>
    <m/>
    <m/>
    <n v="0"/>
    <n v="3000"/>
    <n v="40500000"/>
    <m/>
  </r>
  <r>
    <s v="197A/2019"/>
    <d v="2019-02-21T00:00:00"/>
    <s v="KIỀU THY"/>
    <s v="VT09"/>
    <x v="20"/>
    <x v="7"/>
    <s v="CONCADOR"/>
    <m/>
    <s v="20.22"/>
    <n v="125"/>
    <s v="NL2018"/>
    <m/>
    <n v="32"/>
    <n v="4000"/>
    <x v="35"/>
    <n v="42400000"/>
    <x v="2"/>
    <x v="2"/>
    <d v="2019-09-29T00:00:00"/>
    <d v="2019-09-29T00:00:00"/>
    <s v="TẾT"/>
    <m/>
    <m/>
    <m/>
    <m/>
    <m/>
    <m/>
    <m/>
    <m/>
    <m/>
    <m/>
    <m/>
    <n v="0"/>
    <n v="4000"/>
    <n v="42400000"/>
    <m/>
  </r>
  <r>
    <s v="198A/2019"/>
    <d v="2019-02-21T00:00:00"/>
    <s v="KIỀU THY"/>
    <s v="VT09"/>
    <x v="21"/>
    <x v="66"/>
    <s v="TARRANGO"/>
    <m/>
    <s v="20.22"/>
    <n v="125"/>
    <s v="NL2018"/>
    <m/>
    <n v="28"/>
    <n v="3500"/>
    <x v="68"/>
    <n v="35350000"/>
    <x v="2"/>
    <x v="2"/>
    <d v="2019-09-29T00:00:00"/>
    <d v="2019-09-29T00:00:00"/>
    <s v="TẾT"/>
    <m/>
    <m/>
    <m/>
    <m/>
    <m/>
    <m/>
    <m/>
    <m/>
    <m/>
    <m/>
    <m/>
    <n v="0"/>
    <n v="3500"/>
    <n v="35350000"/>
    <m/>
  </r>
  <r>
    <s v="198A/2019"/>
    <d v="2019-02-21T00:00:00"/>
    <s v="KIỀU THY"/>
    <s v="VT09"/>
    <x v="21"/>
    <x v="75"/>
    <s v="SERANO"/>
    <m/>
    <s v="20.22"/>
    <n v="125"/>
    <s v="NL2018"/>
    <m/>
    <n v="46"/>
    <n v="5750"/>
    <x v="2"/>
    <n v="53475000"/>
    <x v="2"/>
    <x v="2"/>
    <d v="2019-09-29T00:00:00"/>
    <d v="2019-09-29T00:00:00"/>
    <s v="TẾT"/>
    <m/>
    <m/>
    <m/>
    <m/>
    <m/>
    <m/>
    <m/>
    <m/>
    <m/>
    <m/>
    <m/>
    <n v="0"/>
    <n v="5750"/>
    <n v="53475000"/>
    <m/>
  </r>
  <r>
    <s v="198A/2019"/>
    <d v="2019-04-24T00:00:00"/>
    <s v="KIỀU THY"/>
    <s v="VT09"/>
    <x v="21"/>
    <x v="75"/>
    <s v="SERANO"/>
    <m/>
    <s v="20.22"/>
    <n v="125"/>
    <s v="NL2018"/>
    <m/>
    <n v="50"/>
    <n v="6250"/>
    <x v="76"/>
    <n v="60000000"/>
    <x v="2"/>
    <x v="2"/>
    <d v="2019-09-29T00:00:00"/>
    <d v="2019-09-29T00:00:00"/>
    <s v="TẾT"/>
    <m/>
    <m/>
    <m/>
    <m/>
    <m/>
    <m/>
    <m/>
    <m/>
    <m/>
    <m/>
    <m/>
    <n v="0"/>
    <n v="6250"/>
    <n v="60000000"/>
    <m/>
  </r>
  <r>
    <s v="198A/2019"/>
    <d v="2019-02-21T00:00:00"/>
    <s v="KIỀU THY"/>
    <s v="VT09"/>
    <x v="21"/>
    <x v="39"/>
    <s v="PROFUNDO"/>
    <m/>
    <s v="20.22"/>
    <n v="125"/>
    <s v="NL2018"/>
    <m/>
    <n v="84"/>
    <n v="10500"/>
    <x v="47"/>
    <n v="136500000"/>
    <x v="2"/>
    <x v="2"/>
    <d v="2019-09-29T00:00:00"/>
    <d v="2019-09-29T00:00:00"/>
    <s v="TẾT"/>
    <m/>
    <m/>
    <m/>
    <m/>
    <m/>
    <m/>
    <m/>
    <m/>
    <m/>
    <m/>
    <m/>
    <n v="0"/>
    <n v="10500"/>
    <n v="136500000"/>
    <m/>
  </r>
  <r>
    <s v="198A/2019"/>
    <d v="2019-02-21T00:00:00"/>
    <s v="KIỀU THY"/>
    <s v="VT09"/>
    <x v="21"/>
    <x v="7"/>
    <s v="CONCADOR"/>
    <m/>
    <s v="20.22"/>
    <n v="125"/>
    <s v="NL2018"/>
    <m/>
    <n v="6"/>
    <n v="750"/>
    <x v="5"/>
    <n v="7875000"/>
    <x v="2"/>
    <x v="2"/>
    <d v="2019-09-29T00:00:00"/>
    <d v="2019-09-29T00:00:00"/>
    <s v="TẾT"/>
    <m/>
    <m/>
    <m/>
    <m/>
    <m/>
    <m/>
    <m/>
    <m/>
    <m/>
    <m/>
    <m/>
    <n v="0"/>
    <n v="750"/>
    <n v="7875000"/>
    <m/>
  </r>
  <r>
    <s v="198A/2019"/>
    <d v="2019-02-21T00:00:00"/>
    <s v="KIỀU THY"/>
    <s v="VT09"/>
    <x v="21"/>
    <x v="7"/>
    <s v="CONCADOR"/>
    <m/>
    <s v="20.22"/>
    <n v="125"/>
    <s v="NL2018"/>
    <m/>
    <n v="10"/>
    <n v="1250"/>
    <x v="35"/>
    <n v="13250000"/>
    <x v="2"/>
    <x v="2"/>
    <d v="2019-09-29T00:00:00"/>
    <d v="2019-09-29T00:00:00"/>
    <s v="TẾT"/>
    <m/>
    <m/>
    <m/>
    <m/>
    <m/>
    <m/>
    <m/>
    <m/>
    <m/>
    <m/>
    <m/>
    <n v="0"/>
    <n v="1250"/>
    <n v="13250000"/>
    <m/>
  </r>
  <r>
    <s v="133A/2019"/>
    <d v="2019-02-03T00:00:00"/>
    <s v="KIỀU THY"/>
    <s v="HN01"/>
    <x v="22"/>
    <x v="57"/>
    <s v="YELLOWEEN"/>
    <m/>
    <s v="16.18"/>
    <n v="200"/>
    <s v="NL2018"/>
    <m/>
    <n v="25"/>
    <n v="5000"/>
    <x v="10"/>
    <n v="27500000"/>
    <x v="2"/>
    <x v="2"/>
    <d v="2019-09-29T00:00:00"/>
    <d v="2019-09-29T00:00:00"/>
    <s v="TẾT"/>
    <m/>
    <m/>
    <m/>
    <m/>
    <n v="0"/>
    <m/>
    <m/>
    <m/>
    <m/>
    <m/>
    <m/>
    <n v="0"/>
    <n v="5000"/>
    <n v="27500000"/>
    <m/>
  </r>
  <r>
    <s v="133A/2019"/>
    <d v="2019-02-03T00:00:00"/>
    <s v="KIỀU THY"/>
    <s v="HN01"/>
    <x v="22"/>
    <x v="5"/>
    <s v="ROBINA"/>
    <m/>
    <s v="18.20"/>
    <n v="150"/>
    <s v="NL2018"/>
    <m/>
    <n v="0"/>
    <n v="0"/>
    <x v="56"/>
    <n v="0"/>
    <x v="1"/>
    <x v="2"/>
    <d v="2019-09-29T00:00:00"/>
    <d v="2019-09-29T00:00:00"/>
    <s v="TẾT"/>
    <m/>
    <m/>
    <m/>
    <m/>
    <n v="0"/>
    <m/>
    <m/>
    <m/>
    <m/>
    <m/>
    <m/>
    <n v="0"/>
    <n v="0"/>
    <n v="0"/>
    <m/>
  </r>
  <r>
    <s v="133A/2019"/>
    <d v="2019-02-03T00:00:00"/>
    <s v="KIỀU THY"/>
    <s v="HN01"/>
    <x v="22"/>
    <x v="23"/>
    <s v="ROBINA"/>
    <m/>
    <s v="22.24"/>
    <n v="100"/>
    <s v="NL2018"/>
    <m/>
    <n v="0"/>
    <n v="0"/>
    <x v="25"/>
    <n v="0"/>
    <x v="1"/>
    <x v="2"/>
    <d v="2019-09-29T00:00:00"/>
    <d v="2019-09-29T00:00:00"/>
    <s v="TẾT"/>
    <m/>
    <m/>
    <m/>
    <m/>
    <n v="0"/>
    <m/>
    <m/>
    <m/>
    <m/>
    <m/>
    <m/>
    <n v="0"/>
    <n v="0"/>
    <n v="0"/>
    <m/>
  </r>
  <r>
    <s v="33A/2019"/>
    <d v="2019-02-03T00:00:00"/>
    <s v="KIỀU THY"/>
    <s v="HN01"/>
    <x v="22"/>
    <x v="3"/>
    <s v="ROBINA"/>
    <m/>
    <s v="16.18"/>
    <n v="200"/>
    <s v="NL2018"/>
    <m/>
    <n v="0"/>
    <n v="0"/>
    <x v="8"/>
    <n v="0"/>
    <x v="1"/>
    <x v="5"/>
    <d v="2019-04-19T00:00:00"/>
    <d v="2019-04-19T00:00:00"/>
    <s v="15/3AL"/>
    <s v="CONT 26/2019"/>
    <d v="2019-04-14T00:00:00"/>
    <s v="R"/>
    <m/>
    <n v="0"/>
    <m/>
    <m/>
    <m/>
    <m/>
    <m/>
    <m/>
    <n v="0"/>
    <n v="0"/>
    <n v="0"/>
    <s v="check lai gia"/>
  </r>
  <r>
    <s v="33A/2019"/>
    <d v="2019-02-03T00:00:00"/>
    <s v="KIỀU THY"/>
    <s v="HN01"/>
    <x v="22"/>
    <x v="5"/>
    <s v="ROBINA"/>
    <m/>
    <s v="18.20"/>
    <n v="150"/>
    <s v="NL2018"/>
    <m/>
    <n v="100"/>
    <n v="15000"/>
    <x v="75"/>
    <n v="94500000"/>
    <x v="0"/>
    <x v="5"/>
    <d v="2019-04-19T00:00:00"/>
    <d v="2019-04-19T00:00:00"/>
    <s v="15/3AL"/>
    <s v="CONT 25/2019"/>
    <d v="2019-04-14T00:00:00"/>
    <s v="R"/>
    <d v="2019-05-15T00:00:00"/>
    <n v="15000"/>
    <m/>
    <m/>
    <m/>
    <m/>
    <m/>
    <m/>
    <n v="15000"/>
    <n v="0"/>
    <n v="0"/>
    <m/>
  </r>
  <r>
    <s v="33A/2019"/>
    <d v="2019-02-03T00:00:00"/>
    <s v="KIỀU THY"/>
    <s v="HN01"/>
    <x v="22"/>
    <x v="3"/>
    <s v="ROBINA"/>
    <m/>
    <s v="16.18"/>
    <n v="200"/>
    <s v="NL2018"/>
    <m/>
    <n v="0"/>
    <n v="0"/>
    <x v="77"/>
    <n v="0"/>
    <x v="1"/>
    <x v="4"/>
    <d v="2019-07-17T00:00:00"/>
    <d v="2019-07-17T00:00:00"/>
    <s v="15/3AL"/>
    <m/>
    <m/>
    <m/>
    <m/>
    <m/>
    <m/>
    <m/>
    <m/>
    <m/>
    <m/>
    <m/>
    <n v="0"/>
    <n v="0"/>
    <n v="0"/>
    <m/>
  </r>
  <r>
    <s v="33A/2019"/>
    <d v="2019-02-03T00:00:00"/>
    <s v="KIỀU THY"/>
    <s v="HN01"/>
    <x v="22"/>
    <x v="3"/>
    <s v="ROBINA"/>
    <m/>
    <s v="16.18"/>
    <n v="200"/>
    <s v="NL2018"/>
    <m/>
    <n v="0"/>
    <n v="0"/>
    <x v="78"/>
    <n v="0"/>
    <x v="1"/>
    <x v="3"/>
    <d v="2019-06-20T00:00:00"/>
    <d v="2019-06-20T00:00:00"/>
    <m/>
    <m/>
    <m/>
    <m/>
    <m/>
    <m/>
    <m/>
    <m/>
    <m/>
    <m/>
    <m/>
    <m/>
    <n v="0"/>
    <n v="0"/>
    <n v="0"/>
    <m/>
  </r>
  <r>
    <s v="33A/2019"/>
    <d v="2019-02-03T00:00:00"/>
    <s v="KIỀU THY"/>
    <s v="HN01"/>
    <x v="22"/>
    <x v="3"/>
    <s v="ROBINA"/>
    <m/>
    <s v="16.18"/>
    <n v="200"/>
    <s v="NL2018"/>
    <m/>
    <n v="0"/>
    <n v="0"/>
    <x v="43"/>
    <n v="0"/>
    <x v="1"/>
    <x v="30"/>
    <d v="2019-04-04T00:00:00"/>
    <d v="2019-04-04T00:00:00"/>
    <s v="30/2AL"/>
    <s v="CONT 15/2019"/>
    <d v="2019-03-31T00:00:00"/>
    <s v="R"/>
    <m/>
    <n v="0"/>
    <m/>
    <m/>
    <m/>
    <m/>
    <m/>
    <m/>
    <n v="0"/>
    <n v="0"/>
    <n v="0"/>
    <m/>
  </r>
  <r>
    <s v="133A/2019"/>
    <d v="2019-02-03T00:00:00"/>
    <s v="KIỀU THY"/>
    <s v="HN01"/>
    <x v="22"/>
    <x v="39"/>
    <s v="PROFUNDO"/>
    <m/>
    <s v="20.22"/>
    <n v="125"/>
    <s v="NL2018"/>
    <m/>
    <n v="40"/>
    <n v="5000"/>
    <x v="47"/>
    <n v="65000000"/>
    <x v="2"/>
    <x v="2"/>
    <d v="2019-09-29T00:00:00"/>
    <d v="2019-09-29T00:00:00"/>
    <s v="TẾT"/>
    <m/>
    <m/>
    <m/>
    <m/>
    <n v="0"/>
    <m/>
    <m/>
    <m/>
    <m/>
    <m/>
    <m/>
    <n v="0"/>
    <n v="5000"/>
    <n v="65000000"/>
    <m/>
  </r>
  <r>
    <s v="33A/2019"/>
    <d v="2019-02-03T00:00:00"/>
    <s v="KIỀU THY"/>
    <s v="HN01"/>
    <x v="22"/>
    <x v="12"/>
    <s v="PROFUNDO"/>
    <m/>
    <s v="14.16"/>
    <n v="300"/>
    <s v="NL2018"/>
    <m/>
    <n v="34"/>
    <n v="10200"/>
    <x v="73"/>
    <n v="53040000"/>
    <x v="0"/>
    <x v="0"/>
    <d v="2019-03-20T00:00:00"/>
    <d v="2019-03-20T00:00:00"/>
    <s v="15/2AL"/>
    <s v="CONT 12/2019"/>
    <d v="2019-03-17T00:00:00"/>
    <s v="R"/>
    <d v="2019-03-19T00:00:00"/>
    <n v="10200"/>
    <m/>
    <m/>
    <m/>
    <m/>
    <m/>
    <m/>
    <n v="10200"/>
    <n v="0"/>
    <n v="0"/>
    <m/>
  </r>
  <r>
    <s v="33A/2019"/>
    <d v="2019-02-03T00:00:00"/>
    <s v="KIỀU THY"/>
    <s v="HN01"/>
    <x v="22"/>
    <x v="11"/>
    <s v="PROFUNDO"/>
    <m/>
    <s v="16.18"/>
    <n v="200"/>
    <s v="NL2018"/>
    <m/>
    <n v="100"/>
    <n v="20000"/>
    <x v="32"/>
    <n v="134000000"/>
    <x v="0"/>
    <x v="0"/>
    <d v="2019-03-20T00:00:00"/>
    <d v="2019-03-20T00:00:00"/>
    <s v="15/2AL"/>
    <s v="CONT 12/2019"/>
    <d v="2019-03-17T00:00:00"/>
    <s v="R"/>
    <d v="2019-04-03T00:00:00"/>
    <n v="5000"/>
    <d v="2019-04-15T00:00:00"/>
    <n v="5000"/>
    <d v="2019-04-26T00:00:00"/>
    <n v="10000"/>
    <m/>
    <m/>
    <n v="20000"/>
    <n v="0"/>
    <n v="0"/>
    <m/>
  </r>
  <r>
    <s v="33A/2019"/>
    <d v="2019-02-03T00:00:00"/>
    <s v="KIỀU THY"/>
    <s v="HN01"/>
    <x v="22"/>
    <x v="82"/>
    <s v="PROFUNDO"/>
    <m/>
    <s v="14.16"/>
    <n v="275"/>
    <s v="NL2018"/>
    <m/>
    <n v="15"/>
    <n v="4125"/>
    <x v="8"/>
    <n v="20625000"/>
    <x v="3"/>
    <x v="1"/>
    <d v="2019-05-21T00:00:00"/>
    <d v="2019-05-21T00:00:00"/>
    <s v="30/3AL"/>
    <m/>
    <m/>
    <m/>
    <m/>
    <m/>
    <m/>
    <m/>
    <m/>
    <m/>
    <m/>
    <m/>
    <n v="0"/>
    <n v="4125"/>
    <n v="20625000"/>
    <m/>
  </r>
  <r>
    <s v="33A/2019"/>
    <d v="2019-02-03T00:00:00"/>
    <s v="KIỀU THY"/>
    <s v="HN01"/>
    <x v="22"/>
    <x v="12"/>
    <s v="PROFUNDO"/>
    <m/>
    <s v="14.16"/>
    <n v="300"/>
    <s v="NL2018"/>
    <m/>
    <n v="20"/>
    <n v="6000"/>
    <x v="8"/>
    <n v="30000000"/>
    <x v="0"/>
    <x v="1"/>
    <d v="2019-05-21T00:00:00"/>
    <d v="2019-05-21T00:00:00"/>
    <m/>
    <m/>
    <m/>
    <m/>
    <d v="2019-06-17T00:00:00"/>
    <n v="6000"/>
    <m/>
    <m/>
    <m/>
    <m/>
    <m/>
    <m/>
    <n v="6000"/>
    <n v="0"/>
    <n v="0"/>
    <m/>
  </r>
  <r>
    <s v="33A/2019"/>
    <d v="2019-02-03T00:00:00"/>
    <s v="KIỀU THY"/>
    <s v="HN01"/>
    <x v="22"/>
    <x v="11"/>
    <s v="PROFUNDO"/>
    <m/>
    <s v="16.18"/>
    <n v="200"/>
    <s v="NL2018"/>
    <m/>
    <n v="0"/>
    <n v="0"/>
    <x v="32"/>
    <n v="0"/>
    <x v="1"/>
    <x v="28"/>
    <d v="2019-06-07T00:00:00"/>
    <d v="2019-06-07T00:00:00"/>
    <s v="15/3AL"/>
    <s v="CONT 23/2019"/>
    <d v="2019-04-14T00:00:00"/>
    <s v="R"/>
    <m/>
    <n v="0"/>
    <m/>
    <m/>
    <m/>
    <m/>
    <m/>
    <m/>
    <n v="0"/>
    <n v="0"/>
    <n v="0"/>
    <m/>
  </r>
  <r>
    <s v="33A/2019"/>
    <d v="2019-05-25T00:00:00"/>
    <s v="KIỀU THY"/>
    <s v="HN01"/>
    <x v="22"/>
    <x v="83"/>
    <s v="MANISSA"/>
    <m/>
    <s v="14.16"/>
    <n v="300"/>
    <s v="NL2018"/>
    <m/>
    <n v="17"/>
    <n v="5100"/>
    <x v="64"/>
    <n v="19380000"/>
    <x v="0"/>
    <x v="28"/>
    <d v="2019-06-07T00:00:00"/>
    <d v="2019-06-07T00:00:00"/>
    <m/>
    <m/>
    <m/>
    <m/>
    <d v="2019-06-17T00:00:00"/>
    <n v="5100"/>
    <m/>
    <m/>
    <m/>
    <m/>
    <m/>
    <m/>
    <n v="5100"/>
    <n v="0"/>
    <n v="0"/>
    <m/>
  </r>
  <r>
    <s v="133A/2019"/>
    <d v="2019-06-19T00:00:00"/>
    <s v="KIỀU THY"/>
    <s v="HN01"/>
    <x v="22"/>
    <x v="80"/>
    <s v="INDIANA"/>
    <m/>
    <s v="18.20"/>
    <n v="150"/>
    <s v="NL2018"/>
    <m/>
    <n v="67"/>
    <n v="10050"/>
    <x v="79"/>
    <n v="100500000"/>
    <x v="2"/>
    <x v="2"/>
    <d v="2019-09-29T00:00:00"/>
    <d v="2019-09-29T00:00:00"/>
    <s v="TẾT"/>
    <m/>
    <m/>
    <m/>
    <m/>
    <m/>
    <m/>
    <m/>
    <m/>
    <m/>
    <m/>
    <m/>
    <n v="0"/>
    <n v="10050"/>
    <n v="100500000"/>
    <m/>
  </r>
  <r>
    <s v="33A/2019"/>
    <d v="2019-02-03T00:00:00"/>
    <s v="KIỀU THY"/>
    <s v="HN01"/>
    <x v="22"/>
    <x v="84"/>
    <s v="INDIANA"/>
    <m/>
    <s v="14.16"/>
    <n v="300"/>
    <s v="NL2018"/>
    <m/>
    <n v="39"/>
    <n v="11700"/>
    <x v="12"/>
    <n v="54990000"/>
    <x v="0"/>
    <x v="30"/>
    <d v="2019-04-04T00:00:00"/>
    <d v="2019-04-04T00:00:00"/>
    <s v="30/2AL"/>
    <s v="CONT 14/2019"/>
    <d v="2019-03-31T00:00:00"/>
    <s v="R"/>
    <d v="2019-04-15T00:00:00"/>
    <n v="5100"/>
    <d v="2019-05-06T00:00:00"/>
    <n v="6600"/>
    <m/>
    <m/>
    <m/>
    <m/>
    <n v="11700"/>
    <n v="0"/>
    <n v="0"/>
    <m/>
  </r>
  <r>
    <s v="33A/2019"/>
    <d v="2019-02-03T00:00:00"/>
    <s v="KIỀU THY"/>
    <s v="HN01"/>
    <x v="22"/>
    <x v="24"/>
    <s v="DALIAN"/>
    <m/>
    <s v="14.16"/>
    <n v="300"/>
    <s v="NL2018"/>
    <m/>
    <n v="21"/>
    <n v="6300"/>
    <x v="80"/>
    <n v="34101900"/>
    <x v="0"/>
    <x v="36"/>
    <d v="2019-05-04T00:00:00"/>
    <d v="2019-05-04T00:00:00"/>
    <s v="15/3AL"/>
    <m/>
    <m/>
    <m/>
    <d v="2019-05-27T00:00:00"/>
    <n v="5100"/>
    <d v="2019-06-17T00:00:00"/>
    <n v="1200"/>
    <m/>
    <m/>
    <m/>
    <m/>
    <n v="6300"/>
    <n v="0"/>
    <n v="0"/>
    <m/>
  </r>
  <r>
    <s v="33A/2019"/>
    <d v="2019-02-03T00:00:00"/>
    <s v="KIỀU THY"/>
    <s v="HN01"/>
    <x v="22"/>
    <x v="24"/>
    <s v="DALIAN"/>
    <m/>
    <s v="14.16"/>
    <n v="300"/>
    <s v="NL2018"/>
    <m/>
    <n v="13"/>
    <n v="3900"/>
    <x v="80"/>
    <n v="21110700"/>
    <x v="0"/>
    <x v="1"/>
    <d v="2019-05-21T00:00:00"/>
    <d v="2019-05-21T00:00:00"/>
    <s v="15/3AL"/>
    <s v="CONT 23/2019"/>
    <d v="2019-04-14T00:00:00"/>
    <m/>
    <d v="2019-06-17T00:00:00"/>
    <n v="3900"/>
    <m/>
    <m/>
    <m/>
    <m/>
    <m/>
    <m/>
    <n v="3900"/>
    <n v="0"/>
    <n v="0"/>
    <m/>
  </r>
  <r>
    <s v="133A/2019"/>
    <d v="2019-02-03T00:00:00"/>
    <s v="KIỀU THY"/>
    <s v="HN01"/>
    <x v="22"/>
    <x v="85"/>
    <s v="CONCADOR NEWZELAND"/>
    <m/>
    <s v="20.22"/>
    <n v="125"/>
    <s v="NZ2019"/>
    <m/>
    <n v="8"/>
    <n v="1000"/>
    <x v="81"/>
    <n v="12000000"/>
    <x v="2"/>
    <x v="2"/>
    <s v=""/>
    <s v=""/>
    <s v="TẾT"/>
    <m/>
    <m/>
    <m/>
    <m/>
    <n v="0"/>
    <m/>
    <m/>
    <m/>
    <m/>
    <m/>
    <m/>
    <n v="0"/>
    <n v="1000"/>
    <n v="12000000"/>
    <m/>
  </r>
  <r>
    <s v="33A/2019"/>
    <d v="2019-02-03T00:00:00"/>
    <s v="KIỀU THY"/>
    <s v="HN01"/>
    <x v="22"/>
    <x v="86"/>
    <s v="CONCADOR FR"/>
    <m/>
    <s v="14.16"/>
    <n v="250"/>
    <s v="NL2018"/>
    <m/>
    <n v="80"/>
    <n v="20000"/>
    <x v="82"/>
    <n v="74000000"/>
    <x v="0"/>
    <x v="6"/>
    <d v="2019-02-19T00:00:00"/>
    <d v="2019-02-19T00:00:00"/>
    <s v="15/1AL"/>
    <m/>
    <m/>
    <s v="R"/>
    <d v="2019-02-19T00:00:00"/>
    <n v="10000"/>
    <d v="2019-03-04T00:00:00"/>
    <n v="10000"/>
    <m/>
    <m/>
    <m/>
    <m/>
    <n v="20000"/>
    <n v="0"/>
    <n v="0"/>
    <m/>
  </r>
  <r>
    <s v="133A/2019"/>
    <d v="2019-02-03T00:00:00"/>
    <s v="KIỀU THY"/>
    <s v="HN01"/>
    <x v="22"/>
    <x v="8"/>
    <s v="CONCADOR "/>
    <m/>
    <s v="18.20"/>
    <n v="150"/>
    <s v="NL2018"/>
    <m/>
    <n v="34"/>
    <n v="5100"/>
    <x v="56"/>
    <n v="36720000"/>
    <x v="2"/>
    <x v="2"/>
    <d v="2019-09-29T00:00:00"/>
    <d v="2019-09-29T00:00:00"/>
    <s v="TẾT"/>
    <m/>
    <m/>
    <m/>
    <m/>
    <n v="0"/>
    <m/>
    <m/>
    <m/>
    <m/>
    <m/>
    <m/>
    <n v="0"/>
    <n v="5100"/>
    <n v="36720000"/>
    <m/>
  </r>
  <r>
    <s v="133A/2019"/>
    <d v="2019-02-03T00:00:00"/>
    <s v="KIỀU THY"/>
    <s v="HN01"/>
    <x v="22"/>
    <x v="21"/>
    <s v="CONCADOR "/>
    <m/>
    <s v="22.24"/>
    <n v="100"/>
    <s v="NL2018"/>
    <m/>
    <n v="40"/>
    <n v="4000"/>
    <x v="25"/>
    <n v="50000000"/>
    <x v="2"/>
    <x v="2"/>
    <d v="2019-09-29T00:00:00"/>
    <d v="2019-09-29T00:00:00"/>
    <s v="TẾT"/>
    <m/>
    <m/>
    <m/>
    <m/>
    <n v="0"/>
    <m/>
    <m/>
    <m/>
    <m/>
    <m/>
    <m/>
    <n v="0"/>
    <n v="4000"/>
    <n v="50000000"/>
    <m/>
  </r>
  <r>
    <s v="33A/2019"/>
    <d v="2019-02-03T00:00:00"/>
    <s v="KIỀU THY"/>
    <s v="HN01"/>
    <x v="22"/>
    <x v="6"/>
    <s v="CONCADOR "/>
    <m/>
    <s v="16.18"/>
    <n v="200"/>
    <s v="NL2018"/>
    <m/>
    <n v="2"/>
    <n v="400"/>
    <x v="12"/>
    <n v="1880000"/>
    <x v="0"/>
    <x v="0"/>
    <d v="2019-03-20T00:00:00"/>
    <d v="2019-03-20T00:00:00"/>
    <s v="15/2AL"/>
    <s v="CONT 11/2019"/>
    <d v="2019-03-17T00:00:00"/>
    <s v="R"/>
    <d v="2019-03-19T00:00:00"/>
    <n v="400"/>
    <m/>
    <m/>
    <m/>
    <m/>
    <m/>
    <m/>
    <n v="400"/>
    <n v="0"/>
    <n v="0"/>
    <m/>
  </r>
  <r>
    <s v="33A/2019"/>
    <d v="2019-02-03T00:00:00"/>
    <s v="KIỀU THY"/>
    <s v="HN01"/>
    <x v="22"/>
    <x v="6"/>
    <s v="CONCADOR "/>
    <m/>
    <s v="16.18"/>
    <n v="200"/>
    <s v="NL2018"/>
    <m/>
    <n v="13"/>
    <n v="2600"/>
    <x v="12"/>
    <n v="12220000"/>
    <x v="0"/>
    <x v="0"/>
    <d v="2019-03-20T00:00:00"/>
    <d v="2019-03-20T00:00:00"/>
    <s v="15/2AL"/>
    <s v="CONT 10/2019"/>
    <d v="2019-03-17T00:00:00"/>
    <s v="R"/>
    <d v="2019-03-19T00:00:00"/>
    <n v="2600"/>
    <m/>
    <m/>
    <m/>
    <m/>
    <m/>
    <m/>
    <n v="2600"/>
    <n v="0"/>
    <n v="0"/>
    <m/>
  </r>
  <r>
    <s v="33A/2019"/>
    <d v="2019-02-03T00:00:00"/>
    <s v="KIỀU THY"/>
    <s v="HN01"/>
    <x v="22"/>
    <x v="6"/>
    <s v="CONCADOR "/>
    <m/>
    <s v="16.18"/>
    <n v="200"/>
    <s v="NL2018"/>
    <m/>
    <n v="50"/>
    <n v="10000"/>
    <x v="12"/>
    <n v="47000000"/>
    <x v="0"/>
    <x v="5"/>
    <d v="2019-04-19T00:00:00"/>
    <d v="2019-04-19T00:00:00"/>
    <s v="15/3AL"/>
    <s v="CONT 22/2019"/>
    <d v="2019-04-14T00:00:00"/>
    <s v="R"/>
    <d v="2019-04-03T00:00:00"/>
    <n v="5000"/>
    <d v="2019-04-15T00:00:00"/>
    <n v="5000"/>
    <m/>
    <m/>
    <m/>
    <m/>
    <n v="10000"/>
    <n v="0"/>
    <n v="0"/>
    <s v="check lai gia va sl"/>
  </r>
  <r>
    <s v="33A/2019"/>
    <d v="2019-02-03T00:00:00"/>
    <s v="KIỀU THY"/>
    <s v="HN01"/>
    <x v="22"/>
    <x v="6"/>
    <s v="CONCADOR "/>
    <m/>
    <s v="16.18"/>
    <n v="200"/>
    <s v="NL2018"/>
    <m/>
    <n v="50"/>
    <n v="10000"/>
    <x v="12"/>
    <n v="47000000"/>
    <x v="0"/>
    <x v="30"/>
    <d v="2019-04-04T00:00:00"/>
    <d v="2019-04-04T00:00:00"/>
    <s v="30/2AL"/>
    <s v="CONT 16/2019"/>
    <d v="2019-03-31T00:00:00"/>
    <s v="R"/>
    <d v="2019-04-26T00:00:00"/>
    <n v="5000"/>
    <d v="2019-05-06T00:00:00"/>
    <n v="5000"/>
    <m/>
    <m/>
    <m/>
    <m/>
    <n v="10000"/>
    <n v="0"/>
    <n v="0"/>
    <m/>
  </r>
  <r>
    <s v="33A/2019"/>
    <d v="2019-05-25T00:00:00"/>
    <s v="KIỀU THY"/>
    <s v="HN01"/>
    <x v="22"/>
    <x v="6"/>
    <s v="CONCADOR"/>
    <m/>
    <s v="16.18"/>
    <n v="200"/>
    <s v="NL2018"/>
    <m/>
    <n v="25"/>
    <n v="5000"/>
    <x v="8"/>
    <n v="25000000"/>
    <x v="0"/>
    <x v="1"/>
    <d v="2019-05-21T00:00:00"/>
    <d v="2019-05-21T00:00:00"/>
    <m/>
    <m/>
    <m/>
    <m/>
    <d v="2019-05-27T00:00:00"/>
    <n v="5000"/>
    <m/>
    <m/>
    <m/>
    <m/>
    <m/>
    <m/>
    <n v="5000"/>
    <n v="0"/>
    <n v="0"/>
    <m/>
  </r>
  <r>
    <s v="63B/2019"/>
    <d v="2019-02-20T00:00:00"/>
    <s v="THANH THÚY"/>
    <s v="TD03"/>
    <x v="23"/>
    <x v="78"/>
    <s v="YELLOWEEN"/>
    <m/>
    <s v="14.16"/>
    <n v="300"/>
    <s v="NL2018"/>
    <m/>
    <n v="27"/>
    <n v="8100"/>
    <x v="64"/>
    <n v="30780000"/>
    <x v="0"/>
    <x v="30"/>
    <d v="2019-04-04T00:00:00"/>
    <d v="2019-04-04T00:00:00"/>
    <s v="15/3AL"/>
    <s v="CONT 20/2019"/>
    <m/>
    <m/>
    <d v="2019-04-03T00:00:00"/>
    <n v="4200"/>
    <d v="2019-04-16T00:00:00"/>
    <n v="3900"/>
    <m/>
    <m/>
    <m/>
    <m/>
    <n v="8100"/>
    <n v="0"/>
    <n v="0"/>
    <m/>
  </r>
  <r>
    <s v="63B/2019"/>
    <d v="2019-05-18T00:00:00"/>
    <s v="THANH THÚY"/>
    <s v="TD03"/>
    <x v="23"/>
    <x v="77"/>
    <s v="YELLOWEEN"/>
    <s v="DN"/>
    <s v="16.18"/>
    <n v="200"/>
    <s v="NL2018"/>
    <m/>
    <n v="10"/>
    <n v="2000"/>
    <x v="10"/>
    <n v="11000000"/>
    <x v="0"/>
    <x v="1"/>
    <d v="2019-05-21T00:00:00"/>
    <d v="2019-05-21T00:00:00"/>
    <m/>
    <m/>
    <m/>
    <m/>
    <m/>
    <m/>
    <m/>
    <m/>
    <m/>
    <m/>
    <m/>
    <m/>
    <n v="0"/>
    <n v="2000"/>
    <n v="11000000"/>
    <m/>
  </r>
  <r>
    <s v="151B/2019"/>
    <d v="2019-04-03T00:00:00"/>
    <s v="THANH THÚY"/>
    <s v="TD03"/>
    <x v="23"/>
    <x v="78"/>
    <s v="YELLOWEEN"/>
    <m/>
    <s v="14.16"/>
    <n v="300"/>
    <s v="NL2018"/>
    <m/>
    <n v="34"/>
    <n v="10200"/>
    <x v="45"/>
    <n v="40800000"/>
    <x v="4"/>
    <x v="37"/>
    <d v="2019-06-30T00:00:00"/>
    <d v="2019-06-30T00:00:00"/>
    <s v="28/5AL"/>
    <m/>
    <m/>
    <m/>
    <m/>
    <m/>
    <m/>
    <m/>
    <m/>
    <m/>
    <m/>
    <m/>
    <n v="0"/>
    <n v="10200"/>
    <n v="40800000"/>
    <m/>
  </r>
  <r>
    <s v="150B/2019"/>
    <d v="2019-02-20T00:00:00"/>
    <s v="THANH THÚY"/>
    <s v="TD03"/>
    <x v="23"/>
    <x v="34"/>
    <s v="TEBALDI"/>
    <m/>
    <s v="16.18"/>
    <n v="200"/>
    <s v="NL2018"/>
    <m/>
    <n v="25"/>
    <n v="5000"/>
    <x v="42"/>
    <n v="30500000"/>
    <x v="2"/>
    <x v="2"/>
    <d v="2019-09-29T00:00:00"/>
    <d v="2019-09-29T00:00:00"/>
    <s v="TẾT"/>
    <m/>
    <m/>
    <m/>
    <m/>
    <n v="0"/>
    <m/>
    <m/>
    <m/>
    <m/>
    <m/>
    <m/>
    <n v="0"/>
    <n v="5000"/>
    <n v="30500000"/>
    <m/>
  </r>
  <r>
    <s v="151B/2019"/>
    <d v="2019-04-03T00:00:00"/>
    <s v="THANH THÚY"/>
    <s v="TD03"/>
    <x v="23"/>
    <x v="35"/>
    <s v="TARRANGO"/>
    <m/>
    <s v="14.16"/>
    <n v="300"/>
    <s v="NL2018"/>
    <m/>
    <n v="20"/>
    <n v="6000"/>
    <x v="43"/>
    <n v="28800000"/>
    <x v="4"/>
    <x v="37"/>
    <d v="2019-06-30T00:00:00"/>
    <d v="2019-06-30T00:00:00"/>
    <s v="28/5AL"/>
    <m/>
    <m/>
    <m/>
    <m/>
    <m/>
    <m/>
    <m/>
    <m/>
    <m/>
    <m/>
    <m/>
    <n v="0"/>
    <n v="6000"/>
    <n v="28800000"/>
    <m/>
  </r>
  <r>
    <s v="150B/2019"/>
    <d v="2019-02-20T00:00:00"/>
    <s v="THANH THÚY"/>
    <s v="TD03"/>
    <x v="23"/>
    <x v="66"/>
    <s v="TARRANGO"/>
    <m/>
    <s v="20.22"/>
    <n v="125"/>
    <s v="NL2018"/>
    <m/>
    <n v="40"/>
    <n v="5000"/>
    <x v="28"/>
    <n v="55000000"/>
    <x v="2"/>
    <x v="2"/>
    <d v="2019-09-29T00:00:00"/>
    <d v="2019-09-29T00:00:00"/>
    <s v="TẾT"/>
    <m/>
    <m/>
    <m/>
    <m/>
    <n v="0"/>
    <m/>
    <m/>
    <m/>
    <m/>
    <m/>
    <m/>
    <n v="0"/>
    <n v="5000"/>
    <n v="55000000"/>
    <d v="2020-01-06T00:00:00"/>
  </r>
  <r>
    <s v="63B/2019"/>
    <d v="2019-02-20T00:00:00"/>
    <s v="THANH THÚY"/>
    <s v="TD03"/>
    <x v="23"/>
    <x v="3"/>
    <s v="ROBINA"/>
    <m/>
    <s v="16.18"/>
    <n v="200"/>
    <s v="NL2018"/>
    <m/>
    <n v="50"/>
    <n v="10000"/>
    <x v="8"/>
    <n v="50000000"/>
    <x v="0"/>
    <x v="30"/>
    <d v="2019-04-04T00:00:00"/>
    <d v="2019-04-04T00:00:00"/>
    <s v="15/3AL"/>
    <s v="CONT 26/2019"/>
    <m/>
    <m/>
    <d v="2019-04-03T00:00:00"/>
    <n v="5000"/>
    <d v="2019-04-16T00:00:00"/>
    <n v="5000"/>
    <m/>
    <m/>
    <m/>
    <m/>
    <n v="10000"/>
    <n v="0"/>
    <n v="0"/>
    <d v="2020-01-05T00:00:00"/>
  </r>
  <r>
    <s v="151B/2019"/>
    <d v="2019-04-03T00:00:00"/>
    <s v="THANH THÚY"/>
    <s v="TD03"/>
    <x v="23"/>
    <x v="3"/>
    <s v="ROBINA"/>
    <m/>
    <s v="16.18"/>
    <n v="200"/>
    <s v="NL2018"/>
    <m/>
    <n v="0"/>
    <n v="0"/>
    <x v="6"/>
    <n v="0"/>
    <x v="1"/>
    <x v="37"/>
    <d v="2019-06-30T00:00:00"/>
    <d v="2019-06-30T00:00:00"/>
    <s v="28/5AL"/>
    <m/>
    <m/>
    <m/>
    <m/>
    <m/>
    <m/>
    <m/>
    <m/>
    <m/>
    <m/>
    <m/>
    <n v="0"/>
    <n v="0"/>
    <n v="0"/>
    <m/>
  </r>
  <r>
    <s v="150B/2019"/>
    <d v="2019-02-20T00:00:00"/>
    <s v="THANH THÚY"/>
    <s v="TD03"/>
    <x v="23"/>
    <x v="39"/>
    <s v="PROFUNDO"/>
    <m/>
    <s v="20.22"/>
    <n v="125"/>
    <s v="NL2018"/>
    <m/>
    <n v="80"/>
    <n v="10000"/>
    <x v="47"/>
    <n v="130000000"/>
    <x v="2"/>
    <x v="2"/>
    <d v="2019-09-29T00:00:00"/>
    <d v="2019-09-29T00:00:00"/>
    <s v="TẾT"/>
    <m/>
    <m/>
    <m/>
    <m/>
    <n v="0"/>
    <m/>
    <m/>
    <m/>
    <m/>
    <m/>
    <m/>
    <n v="0"/>
    <n v="10000"/>
    <n v="130000000"/>
    <d v="2020-01-06T00:00:00"/>
  </r>
  <r>
    <s v="63B/2019"/>
    <d v="2019-05-18T00:00:00"/>
    <s v="THANH THÚY"/>
    <s v="TD03"/>
    <x v="23"/>
    <x v="41"/>
    <s v="PAVIA"/>
    <m/>
    <s v="12.14"/>
    <n v="400"/>
    <s v="NL2018"/>
    <m/>
    <n v="5"/>
    <n v="2000"/>
    <x v="39"/>
    <n v="5800000"/>
    <x v="0"/>
    <x v="1"/>
    <d v="2019-05-21T00:00:00"/>
    <d v="2019-05-21T00:00:00"/>
    <m/>
    <m/>
    <m/>
    <m/>
    <d v="2019-06-03T00:00:00"/>
    <n v="2000"/>
    <m/>
    <m/>
    <m/>
    <m/>
    <m/>
    <m/>
    <n v="2000"/>
    <n v="0"/>
    <n v="0"/>
    <m/>
  </r>
  <r>
    <s v="63B/2019"/>
    <d v="2019-02-20T00:00:00"/>
    <s v="THANH THÚY"/>
    <s v="TD03"/>
    <x v="23"/>
    <x v="44"/>
    <s v="NELLO "/>
    <m/>
    <s v="12.14"/>
    <n v="400"/>
    <s v="NL2018"/>
    <m/>
    <n v="5"/>
    <n v="2000"/>
    <x v="26"/>
    <n v="6000000"/>
    <x v="0"/>
    <x v="5"/>
    <d v="2019-04-19T00:00:00"/>
    <d v="2019-04-19T00:00:00"/>
    <s v="15/3AL"/>
    <s v="CONT 20/2019"/>
    <m/>
    <m/>
    <d v="2019-04-23T00:00:00"/>
    <n v="2000"/>
    <m/>
    <m/>
    <m/>
    <m/>
    <m/>
    <m/>
    <n v="2000"/>
    <n v="0"/>
    <n v="0"/>
    <m/>
  </r>
  <r>
    <s v="63B/2019"/>
    <d v="2019-05-18T00:00:00"/>
    <s v="THANH THÚY"/>
    <s v="TD03"/>
    <x v="23"/>
    <x v="27"/>
    <s v="MALDANO"/>
    <m/>
    <s v="16.18"/>
    <n v="200"/>
    <s v="NL2018"/>
    <m/>
    <n v="20"/>
    <n v="4000"/>
    <x v="6"/>
    <n v="21600000"/>
    <x v="0"/>
    <x v="1"/>
    <d v="2019-05-21T00:00:00"/>
    <d v="2019-05-21T00:00:00"/>
    <m/>
    <m/>
    <m/>
    <m/>
    <d v="2019-05-19T00:00:00"/>
    <n v="4000"/>
    <m/>
    <m/>
    <m/>
    <m/>
    <m/>
    <m/>
    <n v="4000"/>
    <n v="0"/>
    <n v="0"/>
    <m/>
  </r>
  <r>
    <s v="151B/2019"/>
    <d v="2019-05-20T00:00:00"/>
    <s v="THANH THÚY"/>
    <s v="TD03"/>
    <x v="23"/>
    <x v="27"/>
    <s v="MALDANO"/>
    <m/>
    <s v="16.18"/>
    <n v="200"/>
    <s v="NL2018"/>
    <m/>
    <n v="50"/>
    <n v="10000"/>
    <x v="10"/>
    <n v="55000000"/>
    <x v="4"/>
    <x v="37"/>
    <d v="2019-06-30T00:00:00"/>
    <d v="2019-06-30T00:00:00"/>
    <s v="28/5AL"/>
    <m/>
    <m/>
    <m/>
    <m/>
    <m/>
    <m/>
    <m/>
    <m/>
    <m/>
    <m/>
    <m/>
    <n v="0"/>
    <n v="10000"/>
    <n v="55000000"/>
    <m/>
  </r>
  <r>
    <s v="151B/2019"/>
    <d v="2019-05-20T00:00:00"/>
    <s v="THANH THÚY"/>
    <s v="TD03"/>
    <x v="23"/>
    <x v="73"/>
    <s v="MALDANO"/>
    <m/>
    <s v="14.16"/>
    <s v="300"/>
    <s v="NL2018"/>
    <m/>
    <n v="14"/>
    <n v="4200"/>
    <x v="38"/>
    <n v="17220000"/>
    <x v="4"/>
    <x v="37"/>
    <d v="2019-06-30T00:00:00"/>
    <d v="2019-06-30T00:00:00"/>
    <s v="28/5AL"/>
    <m/>
    <m/>
    <m/>
    <m/>
    <m/>
    <m/>
    <m/>
    <m/>
    <m/>
    <m/>
    <m/>
    <n v="0"/>
    <n v="4200"/>
    <n v="17220000"/>
    <m/>
  </r>
  <r>
    <s v="63B/2019"/>
    <d v="2019-02-20T00:00:00"/>
    <s v="THANH THÚY"/>
    <s v="TD03"/>
    <x v="23"/>
    <x v="6"/>
    <s v="CONCADOR"/>
    <m/>
    <s v="16.18"/>
    <n v="200"/>
    <s v="NL2018"/>
    <m/>
    <n v="10"/>
    <n v="2000"/>
    <x v="12"/>
    <n v="9400000"/>
    <x v="0"/>
    <x v="30"/>
    <d v="2019-04-04T00:00:00"/>
    <d v="2019-04-04T00:00:00"/>
    <s v="15/3AL"/>
    <s v="CONT 21/2019"/>
    <m/>
    <m/>
    <d v="2019-04-03T00:00:00"/>
    <n v="2000"/>
    <m/>
    <m/>
    <m/>
    <m/>
    <m/>
    <m/>
    <n v="2000"/>
    <n v="0"/>
    <n v="0"/>
    <m/>
  </r>
  <r>
    <s v="63B/2019"/>
    <d v="2019-02-20T00:00:00"/>
    <s v="THANH THÚY"/>
    <s v="TD03"/>
    <x v="23"/>
    <x v="6"/>
    <s v="CONCADOR"/>
    <m/>
    <s v="16.18"/>
    <n v="200"/>
    <s v="NL2018"/>
    <m/>
    <n v="20"/>
    <n v="4000"/>
    <x v="12"/>
    <n v="18800000"/>
    <x v="0"/>
    <x v="30"/>
    <d v="2019-04-04T00:00:00"/>
    <d v="2019-04-04T00:00:00"/>
    <m/>
    <m/>
    <m/>
    <m/>
    <d v="2019-04-16T00:00:00"/>
    <n v="4000"/>
    <m/>
    <m/>
    <m/>
    <m/>
    <m/>
    <m/>
    <n v="4000"/>
    <n v="0"/>
    <n v="0"/>
    <m/>
  </r>
  <r>
    <s v="150B/2019"/>
    <d v="2019-02-20T00:00:00"/>
    <s v="THANH THÚY"/>
    <s v="TD03"/>
    <x v="23"/>
    <x v="21"/>
    <s v="CONCADOR"/>
    <m/>
    <s v="22.24"/>
    <n v="100"/>
    <s v="NL2018"/>
    <m/>
    <n v="50"/>
    <n v="5000"/>
    <x v="25"/>
    <n v="62500000"/>
    <x v="2"/>
    <x v="2"/>
    <d v="2019-09-29T00:00:00"/>
    <d v="2019-09-29T00:00:00"/>
    <s v="TẾT"/>
    <m/>
    <m/>
    <m/>
    <m/>
    <n v="0"/>
    <m/>
    <m/>
    <m/>
    <m/>
    <m/>
    <m/>
    <n v="0"/>
    <n v="5000"/>
    <n v="62500000"/>
    <m/>
  </r>
  <r>
    <s v="63B/2019"/>
    <d v="2019-02-20T00:00:00"/>
    <s v="THANH THÚY"/>
    <s v="TD03"/>
    <x v="23"/>
    <x v="63"/>
    <s v="BACARDI"/>
    <m/>
    <s v="15.16"/>
    <n v="250"/>
    <s v="NL2018"/>
    <m/>
    <n v="8"/>
    <n v="2000"/>
    <x v="14"/>
    <n v="9000000"/>
    <x v="0"/>
    <x v="5"/>
    <d v="2019-04-19T00:00:00"/>
    <d v="2019-04-19T00:00:00"/>
    <s v="15/3AL"/>
    <s v="CONT 20/2019"/>
    <m/>
    <m/>
    <d v="2019-04-23T00:00:00"/>
    <n v="2000"/>
    <m/>
    <m/>
    <m/>
    <m/>
    <m/>
    <m/>
    <n v="2000"/>
    <n v="0"/>
    <n v="0"/>
    <m/>
  </r>
  <r>
    <s v="206A/2019"/>
    <d v="2019-04-26T00:00:00"/>
    <s v="KIỀU THY"/>
    <s v="BH01"/>
    <x v="24"/>
    <x v="78"/>
    <s v="YELLOWEEN"/>
    <m/>
    <s v="14.16"/>
    <s v="300"/>
    <s v="NL2018"/>
    <m/>
    <n v="0"/>
    <n v="0"/>
    <x v="64"/>
    <n v="0"/>
    <x v="1"/>
    <x v="5"/>
    <d v="2019-04-19T00:00:00"/>
    <d v="2019-04-19T00:00:00"/>
    <s v="15/4AL XẢ "/>
    <m/>
    <m/>
    <m/>
    <m/>
    <m/>
    <m/>
    <m/>
    <m/>
    <m/>
    <m/>
    <m/>
    <n v="0"/>
    <n v="0"/>
    <n v="0"/>
    <m/>
  </r>
  <r>
    <s v="206A/2019"/>
    <d v="2019-04-26T00:00:00"/>
    <s v="KIỀU THY"/>
    <s v="BH01"/>
    <x v="24"/>
    <x v="78"/>
    <s v="YELLOWEEN"/>
    <m/>
    <s v="14.16"/>
    <s v="300"/>
    <s v="NL2018"/>
    <m/>
    <n v="0"/>
    <n v="0"/>
    <x v="64"/>
    <n v="0"/>
    <x v="1"/>
    <x v="1"/>
    <d v="2019-05-21T00:00:00"/>
    <d v="2019-05-21T00:00:00"/>
    <s v="23/4AL XẢ"/>
    <m/>
    <m/>
    <m/>
    <m/>
    <m/>
    <m/>
    <m/>
    <m/>
    <m/>
    <m/>
    <m/>
    <n v="0"/>
    <n v="0"/>
    <n v="0"/>
    <m/>
  </r>
  <r>
    <s v="206A/2019"/>
    <d v="2019-04-26T00:00:00"/>
    <s v="KIỀU THY"/>
    <s v="BH01"/>
    <x v="24"/>
    <x v="78"/>
    <s v="YELLOWEEN"/>
    <m/>
    <s v="14.16"/>
    <s v="300"/>
    <s v="NL2018"/>
    <m/>
    <n v="0"/>
    <n v="0"/>
    <x v="58"/>
    <n v="0"/>
    <x v="1"/>
    <x v="28"/>
    <d v="2019-06-07T00:00:00"/>
    <d v="2019-06-07T00:00:00"/>
    <s v="5/5AL XẢ 1/2+ 15/5 xả 1/2"/>
    <m/>
    <m/>
    <m/>
    <m/>
    <m/>
    <m/>
    <m/>
    <m/>
    <m/>
    <m/>
    <m/>
    <n v="0"/>
    <n v="0"/>
    <n v="0"/>
    <m/>
  </r>
  <r>
    <s v="206A/2019"/>
    <d v="2019-04-26T00:00:00"/>
    <s v="KIỀU THY"/>
    <s v="BH01"/>
    <x v="24"/>
    <x v="87"/>
    <s v="SERANO"/>
    <m/>
    <s v="16.18"/>
    <s v="200"/>
    <s v="NL2018"/>
    <m/>
    <n v="0"/>
    <n v="0"/>
    <x v="33"/>
    <n v="0"/>
    <x v="1"/>
    <x v="28"/>
    <d v="2019-06-07T00:00:00"/>
    <d v="2019-06-07T00:00:00"/>
    <s v="5/5AL XẢ 1/2+ 15/5 xả 1/2"/>
    <m/>
    <m/>
    <m/>
    <m/>
    <m/>
    <m/>
    <m/>
    <m/>
    <m/>
    <m/>
    <m/>
    <n v="0"/>
    <n v="0"/>
    <n v="0"/>
    <m/>
  </r>
  <r>
    <s v="206A/2019"/>
    <d v="2019-04-26T00:00:00"/>
    <s v="KIỀU THY"/>
    <s v="BH01"/>
    <x v="24"/>
    <x v="3"/>
    <s v="ROBINA"/>
    <m/>
    <s v="16.18"/>
    <s v="200"/>
    <s v="NL2018"/>
    <m/>
    <n v="0"/>
    <n v="0"/>
    <x v="10"/>
    <n v="0"/>
    <x v="1"/>
    <x v="28"/>
    <d v="2019-06-07T00:00:00"/>
    <d v="2019-06-07T00:00:00"/>
    <s v="5/5AL XẢ 1/2+ 15/5 xả 1/2"/>
    <m/>
    <m/>
    <m/>
    <m/>
    <m/>
    <m/>
    <m/>
    <m/>
    <m/>
    <m/>
    <m/>
    <n v="0"/>
    <n v="0"/>
    <n v="0"/>
    <m/>
  </r>
  <r>
    <s v="206A/2019"/>
    <d v="2019-04-26T00:00:00"/>
    <s v="KIỀU THY"/>
    <s v="BH01"/>
    <x v="24"/>
    <x v="88"/>
    <s v="PROFUNDO CHILE"/>
    <m/>
    <s v="20.22"/>
    <s v="125"/>
    <s v="CL2019"/>
    <m/>
    <n v="0"/>
    <n v="0"/>
    <x v="83"/>
    <m/>
    <x v="1"/>
    <x v="2"/>
    <d v="2019-09-29T00:00:00"/>
    <d v="2019-09-29T00:00:00"/>
    <s v="TẾT"/>
    <m/>
    <m/>
    <m/>
    <m/>
    <m/>
    <m/>
    <m/>
    <m/>
    <m/>
    <m/>
    <m/>
    <n v="0"/>
    <n v="0"/>
    <e v="#VALUE!"/>
    <m/>
  </r>
  <r>
    <s v="206A/2019"/>
    <d v="2019-04-26T00:00:00"/>
    <s v="KIỀU THY"/>
    <s v="BH01"/>
    <x v="24"/>
    <x v="11"/>
    <s v="PROFUNDO"/>
    <m/>
    <s v="16.18"/>
    <s v="200"/>
    <s v="NL2018"/>
    <m/>
    <n v="0"/>
    <n v="0"/>
    <x v="11"/>
    <n v="0"/>
    <x v="1"/>
    <x v="38"/>
    <d v="2019-05-09T00:00:00"/>
    <d v="2019-05-09T00:00:00"/>
    <s v="15/4AL XẢ "/>
    <m/>
    <m/>
    <m/>
    <m/>
    <m/>
    <m/>
    <m/>
    <m/>
    <m/>
    <m/>
    <m/>
    <n v="0"/>
    <n v="0"/>
    <n v="0"/>
    <m/>
  </r>
  <r>
    <s v="206A/2019"/>
    <d v="2019-04-26T00:00:00"/>
    <s v="KIỀU THY"/>
    <s v="BH01"/>
    <x v="24"/>
    <x v="11"/>
    <s v="PROFUNDO"/>
    <m/>
    <s v="16.18"/>
    <s v="200"/>
    <s v="NL2018"/>
    <m/>
    <n v="0"/>
    <n v="0"/>
    <x v="11"/>
    <n v="0"/>
    <x v="1"/>
    <x v="38"/>
    <d v="2019-05-09T00:00:00"/>
    <d v="2019-05-09T00:00:00"/>
    <s v="23/4AL XẢ"/>
    <m/>
    <m/>
    <m/>
    <m/>
    <m/>
    <m/>
    <m/>
    <m/>
    <m/>
    <m/>
    <m/>
    <n v="0"/>
    <n v="0"/>
    <n v="0"/>
    <m/>
  </r>
  <r>
    <s v="206A/2019"/>
    <d v="2019-04-26T00:00:00"/>
    <s v="KIỀU THY"/>
    <s v="BH01"/>
    <x v="24"/>
    <x v="89"/>
    <s v="PROFUNDO"/>
    <m/>
    <s v="18.20"/>
    <s v="150"/>
    <s v="NL2018"/>
    <m/>
    <n v="0"/>
    <n v="0"/>
    <x v="62"/>
    <n v="0"/>
    <x v="1"/>
    <x v="2"/>
    <d v="2019-09-29T00:00:00"/>
    <d v="2019-09-29T00:00:00"/>
    <s v="TẾT"/>
    <m/>
    <m/>
    <m/>
    <m/>
    <m/>
    <m/>
    <m/>
    <m/>
    <m/>
    <m/>
    <m/>
    <n v="0"/>
    <n v="0"/>
    <n v="0"/>
    <m/>
  </r>
  <r>
    <s v="206A/2019"/>
    <d v="2019-04-26T00:00:00"/>
    <s v="KIỀU THY"/>
    <s v="BH01"/>
    <x v="24"/>
    <x v="24"/>
    <s v="DALIAN"/>
    <m/>
    <s v="14.16"/>
    <s v="300"/>
    <s v="NL2018"/>
    <m/>
    <n v="0"/>
    <n v="0"/>
    <x v="6"/>
    <n v="0"/>
    <x v="1"/>
    <x v="38"/>
    <d v="2019-05-09T00:00:00"/>
    <d v="2019-05-09T00:00:00"/>
    <s v="15/4AL XẢ "/>
    <m/>
    <m/>
    <m/>
    <m/>
    <m/>
    <m/>
    <m/>
    <m/>
    <m/>
    <m/>
    <m/>
    <n v="0"/>
    <n v="0"/>
    <n v="0"/>
    <m/>
  </r>
  <r>
    <s v="206A/2019"/>
    <d v="2019-04-26T00:00:00"/>
    <s v="KIỀU THY"/>
    <s v="BH01"/>
    <x v="24"/>
    <x v="6"/>
    <s v="CONCADOR"/>
    <m/>
    <s v="16.18"/>
    <s v="200"/>
    <s v="NL2018"/>
    <m/>
    <n v="0"/>
    <n v="0"/>
    <x v="84"/>
    <n v="0"/>
    <x v="1"/>
    <x v="1"/>
    <d v="2019-05-21T00:00:00"/>
    <d v="2019-05-21T00:00:00"/>
    <s v="23/4AL XẢ"/>
    <m/>
    <m/>
    <m/>
    <m/>
    <m/>
    <m/>
    <m/>
    <m/>
    <m/>
    <m/>
    <m/>
    <n v="0"/>
    <n v="0"/>
    <n v="0"/>
    <m/>
  </r>
  <r>
    <s v="206A/2019"/>
    <d v="2019-04-26T00:00:00"/>
    <s v="KIỀU THY"/>
    <s v="BH01"/>
    <x v="24"/>
    <x v="7"/>
    <s v="CONCADOR"/>
    <m/>
    <s v="20.22"/>
    <s v="125"/>
    <s v="NL2018"/>
    <m/>
    <n v="0"/>
    <n v="0"/>
    <x v="35"/>
    <n v="0"/>
    <x v="1"/>
    <x v="2"/>
    <d v="2019-09-29T00:00:00"/>
    <d v="2019-09-29T00:00:00"/>
    <s v="TẾT"/>
    <m/>
    <m/>
    <m/>
    <m/>
    <m/>
    <m/>
    <m/>
    <m/>
    <m/>
    <m/>
    <m/>
    <n v="0"/>
    <n v="0"/>
    <n v="0"/>
    <m/>
  </r>
  <r>
    <s v="206A/2019"/>
    <d v="2019-04-26T00:00:00"/>
    <s v="KIỀU THY"/>
    <s v="BH01"/>
    <x v="24"/>
    <x v="14"/>
    <s v="CONCADOR"/>
    <m/>
    <s v="24.26"/>
    <s v="80"/>
    <s v="NL2018"/>
    <m/>
    <n v="0"/>
    <n v="0"/>
    <x v="15"/>
    <n v="0"/>
    <x v="1"/>
    <x v="2"/>
    <d v="2019-09-29T00:00:00"/>
    <d v="2019-09-29T00:00:00"/>
    <s v="TẾT"/>
    <m/>
    <m/>
    <m/>
    <m/>
    <m/>
    <m/>
    <m/>
    <m/>
    <m/>
    <m/>
    <m/>
    <n v="0"/>
    <n v="0"/>
    <n v="0"/>
    <m/>
  </r>
  <r>
    <s v="206A/2019"/>
    <d v="2019-04-26T00:00:00"/>
    <s v="KIỀU THY"/>
    <s v="BH01"/>
    <x v="24"/>
    <x v="9"/>
    <s v="ARVANDRUD"/>
    <m/>
    <s v="16.18"/>
    <s v="200"/>
    <s v="NL2018"/>
    <m/>
    <n v="0"/>
    <n v="0"/>
    <x v="85"/>
    <n v="0"/>
    <x v="1"/>
    <x v="1"/>
    <d v="2019-05-21T00:00:00"/>
    <d v="2019-05-21T00:00:00"/>
    <s v="23/4AL XẢ"/>
    <m/>
    <m/>
    <m/>
    <m/>
    <m/>
    <m/>
    <m/>
    <m/>
    <m/>
    <m/>
    <m/>
    <n v="0"/>
    <n v="0"/>
    <n v="0"/>
    <m/>
  </r>
  <r>
    <s v="206A/2019"/>
    <d v="2019-04-26T00:00:00"/>
    <s v="KIỀU THY"/>
    <s v="BH01"/>
    <x v="24"/>
    <x v="9"/>
    <s v="ARVANDRUD"/>
    <m/>
    <s v="16.18"/>
    <s v="200"/>
    <s v="NL2018"/>
    <m/>
    <n v="0"/>
    <n v="0"/>
    <x v="30"/>
    <n v="0"/>
    <x v="1"/>
    <x v="28"/>
    <d v="2019-06-07T00:00:00"/>
    <d v="2019-06-07T00:00:00"/>
    <s v="5/5AL XẢ 1/2+ 15/5 xả 1/2"/>
    <m/>
    <m/>
    <m/>
    <m/>
    <m/>
    <m/>
    <m/>
    <m/>
    <m/>
    <m/>
    <m/>
    <n v="0"/>
    <n v="0"/>
    <n v="0"/>
    <m/>
  </r>
  <r>
    <s v="185B/2019"/>
    <d v="2019-05-23T00:00:00"/>
    <s v="THANH THÚY"/>
    <s v="VH07"/>
    <x v="25"/>
    <x v="35"/>
    <s v="TARRANGO "/>
    <m/>
    <s v="14.16"/>
    <s v="300"/>
    <s v="NL2018"/>
    <m/>
    <n v="34"/>
    <n v="10200"/>
    <x v="43"/>
    <n v="48960000"/>
    <x v="0"/>
    <x v="39"/>
    <d v="2019-05-23T00:00:00"/>
    <d v="2019-05-23T00:00:00"/>
    <m/>
    <m/>
    <m/>
    <m/>
    <d v="2019-05-23T00:00:00"/>
    <n v="10200"/>
    <m/>
    <m/>
    <m/>
    <m/>
    <m/>
    <m/>
    <n v="10200"/>
    <n v="0"/>
    <n v="0"/>
    <m/>
  </r>
  <r>
    <s v="185B/2019"/>
    <d v="2019-05-23T00:00:00"/>
    <s v="THANH THÚY"/>
    <s v="VH07"/>
    <x v="25"/>
    <x v="41"/>
    <s v="PAVIA"/>
    <m/>
    <s v="12.14"/>
    <s v="400"/>
    <s v="NL2018"/>
    <m/>
    <n v="25"/>
    <n v="10000"/>
    <x v="39"/>
    <n v="29000000"/>
    <x v="0"/>
    <x v="39"/>
    <d v="2019-05-23T00:00:00"/>
    <d v="2019-05-23T00:00:00"/>
    <m/>
    <m/>
    <m/>
    <m/>
    <d v="2019-05-23T00:00:00"/>
    <n v="10000"/>
    <m/>
    <m/>
    <m/>
    <m/>
    <m/>
    <m/>
    <n v="10000"/>
    <n v="0"/>
    <n v="0"/>
    <m/>
  </r>
  <r>
    <s v="229/2019"/>
    <d v="2019-05-30T00:00:00"/>
    <s v="KIỀU THY"/>
    <s v="PD01"/>
    <x v="26"/>
    <x v="90"/>
    <s v="ROBINA NEW ZEALAND"/>
    <m/>
    <s v="20.22"/>
    <s v="125"/>
    <s v="NZ2019"/>
    <m/>
    <n v="40"/>
    <n v="5000"/>
    <x v="25"/>
    <n v="62500000"/>
    <x v="2"/>
    <x v="2"/>
    <d v="2019-09-29T00:00:00"/>
    <d v="2019-09-29T00:00:00"/>
    <m/>
    <m/>
    <m/>
    <m/>
    <m/>
    <m/>
    <m/>
    <m/>
    <m/>
    <m/>
    <m/>
    <m/>
    <n v="0"/>
    <n v="5000"/>
    <n v="62500000"/>
    <m/>
  </r>
  <r>
    <s v="229/2019"/>
    <d v="2019-05-30T00:00:00"/>
    <s v="KIỀU THY"/>
    <s v="PD01"/>
    <x v="26"/>
    <x v="4"/>
    <s v="ROBINA"/>
    <m/>
    <s v="20.22"/>
    <s v="125"/>
    <s v="NL2018"/>
    <m/>
    <n v="64"/>
    <n v="8000"/>
    <x v="34"/>
    <n v="85600000"/>
    <x v="2"/>
    <x v="2"/>
    <d v="2019-09-29T00:00:00"/>
    <d v="2019-09-29T00:00:00"/>
    <m/>
    <m/>
    <m/>
    <m/>
    <m/>
    <m/>
    <m/>
    <m/>
    <m/>
    <m/>
    <m/>
    <m/>
    <n v="0"/>
    <n v="8000"/>
    <n v="85600000"/>
    <m/>
  </r>
  <r>
    <s v="229/2019"/>
    <d v="2019-05-30T00:00:00"/>
    <s v="KIỀU THY"/>
    <s v="PD01"/>
    <x v="26"/>
    <x v="91"/>
    <s v="ROBINA"/>
    <m/>
    <s v="24+"/>
    <s v="75"/>
    <s v="NL2018"/>
    <m/>
    <n v="134"/>
    <n v="10050"/>
    <x v="86"/>
    <n v="153765000"/>
    <x v="2"/>
    <x v="2"/>
    <d v="2019-09-29T00:00:00"/>
    <d v="2019-09-29T00:00:00"/>
    <m/>
    <m/>
    <m/>
    <m/>
    <m/>
    <m/>
    <m/>
    <m/>
    <m/>
    <m/>
    <m/>
    <m/>
    <n v="0"/>
    <n v="10050"/>
    <n v="153765000"/>
    <m/>
  </r>
  <r>
    <s v="229/2019"/>
    <d v="2019-05-30T00:00:00"/>
    <s v="KIỀU THY"/>
    <s v="PD01"/>
    <x v="26"/>
    <x v="7"/>
    <s v="CONCADOR"/>
    <m/>
    <s v="20.22"/>
    <s v="125"/>
    <s v="NL2018"/>
    <m/>
    <n v="56"/>
    <n v="7000"/>
    <x v="35"/>
    <n v="74200000"/>
    <x v="2"/>
    <x v="2"/>
    <d v="2019-09-29T00:00:00"/>
    <d v="2019-09-29T00:00:00"/>
    <m/>
    <m/>
    <m/>
    <m/>
    <m/>
    <m/>
    <m/>
    <m/>
    <m/>
    <m/>
    <m/>
    <m/>
    <n v="0"/>
    <n v="7000"/>
    <n v="74200000"/>
    <m/>
  </r>
  <r>
    <s v="229/2019"/>
    <d v="2019-05-30T00:00:00"/>
    <s v="KIỀU THY"/>
    <s v="PD01"/>
    <x v="26"/>
    <x v="14"/>
    <s v="CONCADOR"/>
    <m/>
    <s v="24.26"/>
    <s v="80"/>
    <s v="NL2018"/>
    <m/>
    <n v="125"/>
    <n v="10000"/>
    <x v="15"/>
    <n v="152000000"/>
    <x v="2"/>
    <x v="2"/>
    <d v="2019-09-29T00:00:00"/>
    <d v="2019-09-29T00:00:00"/>
    <m/>
    <m/>
    <m/>
    <m/>
    <m/>
    <m/>
    <m/>
    <m/>
    <m/>
    <m/>
    <m/>
    <m/>
    <n v="0"/>
    <n v="10000"/>
    <n v="152000000"/>
    <m/>
  </r>
  <r>
    <s v="229/2019"/>
    <d v="2019-05-31T00:00:00"/>
    <s v="KIỀU THY"/>
    <s v="PD01"/>
    <x v="26"/>
    <x v="8"/>
    <s v="CONCADOR"/>
    <m/>
    <s v="18.20"/>
    <s v="150"/>
    <s v="NL2018"/>
    <m/>
    <n v="34"/>
    <n v="5100"/>
    <x v="9"/>
    <n v="40800000"/>
    <x v="2"/>
    <x v="2"/>
    <d v="2019-09-29T00:00:00"/>
    <d v="2019-09-29T00:00:00"/>
    <m/>
    <m/>
    <m/>
    <m/>
    <m/>
    <m/>
    <m/>
    <m/>
    <m/>
    <m/>
    <m/>
    <m/>
    <n v="0"/>
    <n v="5100"/>
    <n v="40800000"/>
    <m/>
  </r>
  <r>
    <s v="61B/2019"/>
    <d v="2019-06-18T00:00:00"/>
    <s v="THANH THÚY"/>
    <s v="DT01"/>
    <x v="27"/>
    <x v="78"/>
    <s v="YELLOWEEN VWS"/>
    <m/>
    <s v="14.16"/>
    <s v="300"/>
    <s v="NL2018"/>
    <m/>
    <n v="100"/>
    <n v="30000"/>
    <x v="45"/>
    <n v="120000000"/>
    <x v="2"/>
    <x v="4"/>
    <d v="2019-07-17T00:00:00"/>
    <d v="2019-07-17T00:00:00"/>
    <m/>
    <m/>
    <m/>
    <m/>
    <m/>
    <m/>
    <m/>
    <m/>
    <m/>
    <m/>
    <m/>
    <m/>
    <n v="0"/>
    <n v="30000"/>
    <n v="120000000"/>
    <m/>
  </r>
  <r>
    <s v="61B/2019"/>
    <d v="2019-02-19T00:00:00"/>
    <s v="THANH THÚY"/>
    <s v="DT01"/>
    <x v="27"/>
    <x v="92"/>
    <s v="VIRUNGA"/>
    <m/>
    <s v="18.20"/>
    <n v="150"/>
    <s v="NL2017"/>
    <m/>
    <n v="103"/>
    <n v="15450"/>
    <x v="45"/>
    <n v="61800000"/>
    <x v="0"/>
    <x v="16"/>
    <d v="2019-03-12T00:00:00"/>
    <d v="2019-03-12T00:00:00"/>
    <m/>
    <m/>
    <m/>
    <m/>
    <m/>
    <n v="0"/>
    <m/>
    <m/>
    <m/>
    <m/>
    <m/>
    <m/>
    <n v="0"/>
    <n v="15450"/>
    <n v="61800000"/>
    <m/>
  </r>
  <r>
    <s v="61B/2019"/>
    <d v="2019-02-19T00:00:00"/>
    <s v="THANH THÚY"/>
    <s v="DT01"/>
    <x v="27"/>
    <x v="93"/>
    <s v="VIRUNGA"/>
    <m/>
    <s v="20.22"/>
    <n v="125"/>
    <s v="NL2017"/>
    <m/>
    <n v="17"/>
    <n v="2125"/>
    <x v="45"/>
    <n v="8500000"/>
    <x v="0"/>
    <x v="16"/>
    <d v="2019-03-12T00:00:00"/>
    <d v="2019-03-12T00:00:00"/>
    <m/>
    <m/>
    <m/>
    <m/>
    <m/>
    <n v="0"/>
    <m/>
    <m/>
    <m/>
    <m/>
    <m/>
    <m/>
    <n v="0"/>
    <n v="2125"/>
    <n v="8500000"/>
    <d v="2020-01-06T00:00:00"/>
  </r>
  <r>
    <s v="61B/2019"/>
    <d v="2019-05-29T00:00:00"/>
    <s v="THANH THÚY"/>
    <s v="DT01"/>
    <x v="27"/>
    <x v="17"/>
    <s v="THALITA"/>
    <s v="RL"/>
    <s v="12.14"/>
    <n v="400"/>
    <s v="NL2018"/>
    <m/>
    <n v="0"/>
    <n v="0"/>
    <x v="17"/>
    <n v="0"/>
    <x v="1"/>
    <x v="11"/>
    <d v="2019-06-02T00:00:00"/>
    <d v="2019-06-02T00:00:00"/>
    <m/>
    <m/>
    <m/>
    <m/>
    <m/>
    <m/>
    <m/>
    <m/>
    <m/>
    <m/>
    <m/>
    <m/>
    <n v="0"/>
    <n v="0"/>
    <n v="0"/>
    <m/>
  </r>
  <r>
    <s v="61B/2019"/>
    <d v="2019-02-19T00:00:00"/>
    <s v="THANH THÚY"/>
    <s v="DT01"/>
    <x v="27"/>
    <x v="5"/>
    <s v="ROBINA"/>
    <m/>
    <s v="18.20"/>
    <n v="150"/>
    <s v="NL2018"/>
    <m/>
    <n v="200"/>
    <n v="30000"/>
    <x v="87"/>
    <n v="194100000"/>
    <x v="0"/>
    <x v="1"/>
    <d v="2019-05-21T00:00:00"/>
    <d v="2019-05-21T00:00:00"/>
    <s v="17/4AL"/>
    <m/>
    <m/>
    <m/>
    <d v="2019-05-19T00:00:00"/>
    <n v="15000"/>
    <d v="2019-06-08T00:00:00"/>
    <n v="15000"/>
    <m/>
    <m/>
    <m/>
    <m/>
    <n v="30000"/>
    <n v="0"/>
    <n v="0"/>
    <d v="2020-01-06T00:00:00"/>
  </r>
  <r>
    <s v="61B/2019"/>
    <d v="2019-02-19T00:00:00"/>
    <s v="THANH THÚY"/>
    <s v="DT01"/>
    <x v="27"/>
    <x v="5"/>
    <s v="ROBINA"/>
    <m/>
    <s v="18.20"/>
    <n v="150"/>
    <s v="NL2018"/>
    <m/>
    <n v="145"/>
    <n v="21750"/>
    <x v="88"/>
    <n v="142027500"/>
    <x v="3"/>
    <x v="11"/>
    <d v="2019-06-02T00:00:00"/>
    <d v="2019-06-02T00:00:00"/>
    <s v="29/4AL"/>
    <m/>
    <m/>
    <m/>
    <m/>
    <n v="0"/>
    <m/>
    <m/>
    <m/>
    <m/>
    <m/>
    <m/>
    <n v="0"/>
    <n v="21750"/>
    <n v="142027500"/>
    <d v="2020-01-06T00:00:00"/>
  </r>
  <r>
    <s v="61B/2019"/>
    <d v="2019-02-19T00:00:00"/>
    <s v="THANH THÚY"/>
    <s v="DT01"/>
    <x v="27"/>
    <x v="5"/>
    <s v="ROBINA"/>
    <m/>
    <s v="18.20"/>
    <n v="150"/>
    <s v="NL2018"/>
    <m/>
    <n v="55"/>
    <n v="8250"/>
    <x v="88"/>
    <n v="53872500"/>
    <x v="3"/>
    <x v="3"/>
    <d v="2019-06-20T00:00:00"/>
    <d v="2019-06-20T00:00:00"/>
    <s v="29/4AL"/>
    <m/>
    <m/>
    <m/>
    <m/>
    <m/>
    <m/>
    <m/>
    <m/>
    <m/>
    <m/>
    <m/>
    <n v="0"/>
    <n v="8250"/>
    <n v="53872500"/>
    <m/>
  </r>
  <r>
    <s v="61B/2019"/>
    <d v="2019-02-19T00:00:00"/>
    <s v="THANH THÚY"/>
    <s v="DT01"/>
    <x v="27"/>
    <x v="5"/>
    <s v="ROBINA"/>
    <m/>
    <s v="18.20"/>
    <n v="150"/>
    <s v="NL2018"/>
    <m/>
    <n v="134"/>
    <n v="20100"/>
    <x v="88"/>
    <n v="131253000"/>
    <x v="4"/>
    <x v="12"/>
    <d v="2019-07-01T00:00:00"/>
    <d v="2019-07-01T00:00:00"/>
    <s v="29/5AL"/>
    <m/>
    <m/>
    <m/>
    <m/>
    <n v="0"/>
    <m/>
    <m/>
    <m/>
    <m/>
    <m/>
    <m/>
    <n v="0"/>
    <n v="20100"/>
    <n v="131253000"/>
    <d v="2020-01-06T00:00:00"/>
  </r>
  <r>
    <s v="61B/2019"/>
    <d v="2019-02-19T00:00:00"/>
    <s v="THANH THÚY"/>
    <s v="DT01"/>
    <x v="27"/>
    <x v="3"/>
    <s v="ROBINA"/>
    <m/>
    <s v="16.18"/>
    <n v="200"/>
    <s v="NL2018"/>
    <m/>
    <n v="150"/>
    <n v="30000"/>
    <x v="43"/>
    <n v="144000000"/>
    <x v="0"/>
    <x v="30"/>
    <d v="2019-04-04T00:00:00"/>
    <d v="2019-04-04T00:00:00"/>
    <s v="30/2AL"/>
    <s v="CONT 18/2019"/>
    <m/>
    <m/>
    <d v="2019-04-03T00:00:00"/>
    <n v="15000"/>
    <d v="2019-04-12T00:00:00"/>
    <n v="15000"/>
    <m/>
    <m/>
    <m/>
    <m/>
    <n v="30000"/>
    <n v="0"/>
    <n v="0"/>
    <d v="2020-01-06T00:00:00"/>
  </r>
  <r>
    <s v="128A/2019"/>
    <d v="2019-03-20T00:00:00"/>
    <s v="THANH THÚY"/>
    <s v="DT01"/>
    <x v="27"/>
    <x v="4"/>
    <s v="ROBINA"/>
    <m/>
    <s v="20.22"/>
    <n v="125"/>
    <s v="NL2018"/>
    <m/>
    <n v="160"/>
    <n v="20000"/>
    <x v="5"/>
    <n v="210000000"/>
    <x v="2"/>
    <x v="2"/>
    <d v="2019-09-29T00:00:00"/>
    <d v="2019-09-29T00:00:00"/>
    <s v="TẾT"/>
    <m/>
    <m/>
    <m/>
    <m/>
    <m/>
    <m/>
    <m/>
    <m/>
    <m/>
    <m/>
    <m/>
    <n v="0"/>
    <n v="20000"/>
    <n v="210000000"/>
    <m/>
  </r>
  <r>
    <s v="61B/2019"/>
    <d v="2019-02-19T00:00:00"/>
    <s v="THANH THÚY"/>
    <s v="DT01"/>
    <x v="27"/>
    <x v="27"/>
    <s v="MALDANO"/>
    <m/>
    <s v="16.18"/>
    <n v="200"/>
    <s v="NL2018"/>
    <m/>
    <n v="100"/>
    <n v="20000"/>
    <x v="73"/>
    <n v="104000000"/>
    <x v="0"/>
    <x v="1"/>
    <d v="2019-05-21T00:00:00"/>
    <d v="2019-05-21T00:00:00"/>
    <s v="17/4AL"/>
    <m/>
    <m/>
    <m/>
    <d v="2019-06-01T00:00:00"/>
    <n v="10000"/>
    <d v="2019-06-21T00:00:00"/>
    <n v="10000"/>
    <m/>
    <m/>
    <m/>
    <m/>
    <n v="20000"/>
    <n v="0"/>
    <n v="0"/>
    <d v="2020-01-06T00:00:00"/>
  </r>
  <r>
    <s v="61B/2019"/>
    <d v="2019-02-19T00:00:00"/>
    <s v="THANH THÚY"/>
    <s v="DT01"/>
    <x v="27"/>
    <x v="27"/>
    <s v="MALDANO"/>
    <m/>
    <s v="16.18"/>
    <n v="200"/>
    <s v="NL2018"/>
    <m/>
    <n v="100"/>
    <n v="20000"/>
    <x v="33"/>
    <n v="106000000"/>
    <x v="3"/>
    <x v="11"/>
    <d v="2019-06-02T00:00:00"/>
    <d v="2019-06-02T00:00:00"/>
    <s v="29/4AL"/>
    <m/>
    <m/>
    <m/>
    <m/>
    <n v="0"/>
    <m/>
    <m/>
    <m/>
    <m/>
    <m/>
    <m/>
    <n v="0"/>
    <n v="20000"/>
    <n v="106000000"/>
    <d v="2020-01-06T00:00:00"/>
  </r>
  <r>
    <s v="61B/2019"/>
    <d v="2019-02-19T00:00:00"/>
    <s v="THANH THÚY"/>
    <s v="DT01"/>
    <x v="27"/>
    <x v="94"/>
    <s v="MALDANO"/>
    <m/>
    <s v="15.16"/>
    <n v="300"/>
    <s v="NL2018"/>
    <m/>
    <n v="0"/>
    <n v="0"/>
    <x v="58"/>
    <n v="0"/>
    <x v="1"/>
    <x v="30"/>
    <d v="2019-04-04T00:00:00"/>
    <d v="2019-04-04T00:00:00"/>
    <s v="30/2AL"/>
    <m/>
    <m/>
    <m/>
    <m/>
    <n v="0"/>
    <m/>
    <m/>
    <m/>
    <m/>
    <m/>
    <m/>
    <n v="0"/>
    <n v="0"/>
    <n v="0"/>
    <d v="2020-01-06T00:00:00"/>
  </r>
  <r>
    <s v="61B/2019"/>
    <d v="2019-02-19T00:00:00"/>
    <s v="THANH THÚY"/>
    <s v="DT01"/>
    <x v="27"/>
    <x v="6"/>
    <s v="CONCADOR "/>
    <m/>
    <s v="16.18"/>
    <n v="200"/>
    <s v="NL2018"/>
    <m/>
    <n v="150"/>
    <n v="30000"/>
    <x v="8"/>
    <n v="150000000"/>
    <x v="0"/>
    <x v="5"/>
    <d v="2019-04-19T00:00:00"/>
    <d v="2019-04-19T00:00:00"/>
    <s v="15/3AL"/>
    <s v="CONT 22/2019"/>
    <m/>
    <m/>
    <d v="2019-04-18T00:00:00"/>
    <n v="10000"/>
    <d v="2019-05-19T00:00:00"/>
    <n v="20000"/>
    <m/>
    <m/>
    <m/>
    <m/>
    <n v="30000"/>
    <n v="0"/>
    <n v="0"/>
    <d v="2020-01-06T00:00:00"/>
  </r>
  <r>
    <s v="128A/2019"/>
    <d v="2019-03-20T00:00:00"/>
    <s v="THANH THÚY"/>
    <s v="DT01"/>
    <x v="27"/>
    <x v="7"/>
    <s v="CONCADOR"/>
    <m/>
    <s v="20.22"/>
    <n v="125"/>
    <s v="NL2018"/>
    <m/>
    <n v="80"/>
    <n v="10000"/>
    <x v="5"/>
    <n v="105000000"/>
    <x v="2"/>
    <x v="2"/>
    <d v="2019-09-29T00:00:00"/>
    <d v="2019-09-29T00:00:00"/>
    <s v="TẾT"/>
    <m/>
    <m/>
    <m/>
    <m/>
    <m/>
    <m/>
    <m/>
    <m/>
    <m/>
    <m/>
    <m/>
    <n v="0"/>
    <n v="10000"/>
    <n v="105000000"/>
    <m/>
  </r>
  <r>
    <s v="128A/2019"/>
    <d v="2019-03-20T00:00:00"/>
    <s v="THANH THÚY"/>
    <s v="DT01"/>
    <x v="27"/>
    <x v="8"/>
    <s v="CONCADOR"/>
    <m/>
    <s v="18.20"/>
    <n v="150"/>
    <s v="NL2018"/>
    <m/>
    <n v="67"/>
    <n v="10050"/>
    <x v="31"/>
    <n v="75375000"/>
    <x v="2"/>
    <x v="2"/>
    <d v="2019-09-29T00:00:00"/>
    <d v="2019-09-29T00:00:00"/>
    <s v="TẾT"/>
    <m/>
    <m/>
    <m/>
    <m/>
    <m/>
    <m/>
    <m/>
    <m/>
    <m/>
    <m/>
    <m/>
    <n v="0"/>
    <n v="10050"/>
    <n v="75375000"/>
    <m/>
  </r>
  <r>
    <s v="61B/2019"/>
    <d v="2019-02-19T00:00:00"/>
    <s v="THANH THÚY"/>
    <s v="DT01"/>
    <x v="27"/>
    <x v="63"/>
    <s v="BACARDI"/>
    <m/>
    <s v="15.16"/>
    <n v="250"/>
    <s v="NL2018"/>
    <m/>
    <n v="0"/>
    <n v="0"/>
    <x v="74"/>
    <n v="0"/>
    <x v="1"/>
    <x v="5"/>
    <d v="2019-04-19T00:00:00"/>
    <d v="2019-04-19T00:00:00"/>
    <s v="15/3AL"/>
    <m/>
    <m/>
    <m/>
    <m/>
    <m/>
    <m/>
    <m/>
    <m/>
    <m/>
    <m/>
    <m/>
    <n v="0"/>
    <n v="0"/>
    <n v="0"/>
    <m/>
  </r>
  <r>
    <s v="61B/2019"/>
    <d v="2019-02-19T00:00:00"/>
    <s v="THANH THÚY"/>
    <s v="DT01"/>
    <x v="27"/>
    <x v="13"/>
    <s v="BACARDI"/>
    <m/>
    <s v="15.16"/>
    <n v="300"/>
    <s v="NL2018"/>
    <m/>
    <n v="34"/>
    <n v="10200"/>
    <x v="74"/>
    <n v="44574000"/>
    <x v="0"/>
    <x v="30"/>
    <d v="2019-04-04T00:00:00"/>
    <d v="2019-04-04T00:00:00"/>
    <s v="30/2AL"/>
    <s v="CONT 14/2019"/>
    <m/>
    <m/>
    <d v="2019-04-03T00:00:00"/>
    <n v="10200"/>
    <m/>
    <m/>
    <m/>
    <m/>
    <m/>
    <m/>
    <n v="10200"/>
    <n v="0"/>
    <n v="0"/>
    <m/>
  </r>
  <r>
    <s v="128A/2019"/>
    <d v="2019-03-20T00:00:00"/>
    <s v="THANH THÚY"/>
    <s v="DT01"/>
    <x v="27"/>
    <x v="25"/>
    <s v="BACARDI"/>
    <m/>
    <s v="20.22"/>
    <n v="125"/>
    <s v="NL2018"/>
    <m/>
    <n v="80"/>
    <n v="10000"/>
    <x v="27"/>
    <n v="108000000"/>
    <x v="2"/>
    <x v="2"/>
    <d v="2019-09-29T00:00:00"/>
    <d v="2019-09-29T00:00:00"/>
    <s v="TẾT"/>
    <m/>
    <m/>
    <m/>
    <m/>
    <m/>
    <m/>
    <m/>
    <m/>
    <m/>
    <m/>
    <m/>
    <n v="0"/>
    <n v="10000"/>
    <n v="108000000"/>
    <m/>
  </r>
  <r>
    <s v="61B/2019"/>
    <d v="2019-06-19T00:00:00"/>
    <s v="THANH THÚY"/>
    <s v="DT01"/>
    <x v="27"/>
    <x v="9"/>
    <s v="ARVANDRUD"/>
    <m/>
    <s v="16.18"/>
    <n v="200"/>
    <s v="NL2018"/>
    <m/>
    <n v="100"/>
    <n v="20000"/>
    <x v="33"/>
    <n v="106000000"/>
    <x v="2"/>
    <x v="20"/>
    <d v="2019-07-27T00:00:00"/>
    <d v="2019-07-27T00:00:00"/>
    <m/>
    <m/>
    <m/>
    <m/>
    <m/>
    <m/>
    <m/>
    <m/>
    <m/>
    <m/>
    <m/>
    <m/>
    <n v="0"/>
    <n v="20000"/>
    <n v="106000000"/>
    <m/>
  </r>
  <r>
    <s v="61B/2019"/>
    <d v="2019-06-19T00:00:00"/>
    <s v="THANH THÚY"/>
    <s v="DT01"/>
    <x v="27"/>
    <x v="9"/>
    <s v="ARVANDRUD"/>
    <m/>
    <s v="16.18"/>
    <n v="200"/>
    <s v="NL2018"/>
    <m/>
    <n v="150"/>
    <n v="30000"/>
    <x v="6"/>
    <n v="162000000"/>
    <x v="2"/>
    <x v="40"/>
    <d v="2019-08-15T00:00:00"/>
    <d v="2019-08-15T00:00:00"/>
    <m/>
    <m/>
    <m/>
    <m/>
    <m/>
    <m/>
    <m/>
    <m/>
    <m/>
    <m/>
    <m/>
    <m/>
    <n v="0"/>
    <n v="30000"/>
    <n v="162000000"/>
    <m/>
  </r>
  <r>
    <s v="61B/2019"/>
    <d v="2019-06-19T00:00:00"/>
    <s v="THANH THÚY"/>
    <s v="DT01"/>
    <x v="27"/>
    <x v="64"/>
    <s v="ARVANDRUD"/>
    <m/>
    <s v="18.20"/>
    <n v="150"/>
    <s v="NL2018"/>
    <m/>
    <n v="334"/>
    <n v="50100"/>
    <x v="89"/>
    <n v="380760000"/>
    <x v="2"/>
    <x v="40"/>
    <d v="2019-08-15T00:00:00"/>
    <d v="2019-08-15T00:00:00"/>
    <s v="KH lấy củ + Phí Kho lạnh"/>
    <m/>
    <m/>
    <m/>
    <m/>
    <m/>
    <m/>
    <m/>
    <m/>
    <m/>
    <m/>
    <m/>
    <n v="0"/>
    <n v="50100"/>
    <n v="380760000"/>
    <m/>
  </r>
  <r>
    <s v="179B/2019"/>
    <d v="2019-05-07T00:00:00"/>
    <s v="THANH THÚY"/>
    <s v="DT01"/>
    <x v="27"/>
    <x v="9"/>
    <s v="ARVANDRUD"/>
    <m/>
    <s v="16.18"/>
    <n v="200"/>
    <s v="NL2018"/>
    <m/>
    <n v="50"/>
    <n v="10000"/>
    <x v="55"/>
    <n v="56000000"/>
    <x v="0"/>
    <x v="26"/>
    <s v=""/>
    <s v=""/>
    <m/>
    <m/>
    <m/>
    <m/>
    <d v="2019-05-09T00:00:00"/>
    <n v="10000"/>
    <m/>
    <m/>
    <m/>
    <m/>
    <m/>
    <m/>
    <n v="10000"/>
    <n v="0"/>
    <n v="0"/>
    <d v="2020-01-06T00:00:00"/>
  </r>
  <r>
    <s v="134A/2019"/>
    <d v="2019-01-05T00:00:00"/>
    <s v="KIỀU THY"/>
    <s v="MH01"/>
    <x v="28"/>
    <x v="10"/>
    <s v="TARRANGO"/>
    <m/>
    <s v="16.18"/>
    <n v="200"/>
    <s v="NL2018"/>
    <m/>
    <n v="50"/>
    <n v="10000"/>
    <x v="90"/>
    <n v="57700000"/>
    <x v="3"/>
    <x v="41"/>
    <d v="2019-06-14T00:00:00"/>
    <d v="2019-06-14T00:00:00"/>
    <s v="T5/AL"/>
    <m/>
    <m/>
    <m/>
    <m/>
    <n v="0"/>
    <m/>
    <m/>
    <m/>
    <m/>
    <m/>
    <m/>
    <n v="0"/>
    <n v="10000"/>
    <n v="57700000"/>
    <m/>
  </r>
  <r>
    <s v="134A/2019"/>
    <d v="2019-01-05T00:00:00"/>
    <s v="KIỀU THY"/>
    <s v="MH01"/>
    <x v="28"/>
    <x v="10"/>
    <s v="TARRANGO"/>
    <m/>
    <s v="16.18"/>
    <n v="200"/>
    <s v="NL2018"/>
    <m/>
    <n v="50"/>
    <n v="10000"/>
    <x v="91"/>
    <n v="57550000"/>
    <x v="4"/>
    <x v="42"/>
    <d v="2019-07-10T00:00:00"/>
    <d v="2019-07-10T00:00:00"/>
    <s v="T6/AL"/>
    <m/>
    <m/>
    <m/>
    <m/>
    <n v="0"/>
    <m/>
    <m/>
    <m/>
    <m/>
    <m/>
    <m/>
    <n v="0"/>
    <n v="10000"/>
    <n v="57550000"/>
    <m/>
  </r>
  <r>
    <s v="134A/2019"/>
    <d v="2019-01-05T00:00:00"/>
    <s v="KIỀU THY"/>
    <s v="MH01"/>
    <x v="28"/>
    <x v="10"/>
    <s v="TARRANGO"/>
    <m/>
    <s v="16.18"/>
    <n v="200"/>
    <s v="NL2018"/>
    <m/>
    <n v="50"/>
    <n v="10000"/>
    <x v="92"/>
    <n v="58400000"/>
    <x v="2"/>
    <x v="43"/>
    <d v="2019-08-09T00:00:00"/>
    <d v="2019-08-09T00:00:00"/>
    <s v="T7/AL"/>
    <m/>
    <m/>
    <m/>
    <m/>
    <n v="0"/>
    <m/>
    <m/>
    <m/>
    <m/>
    <m/>
    <m/>
    <n v="0"/>
    <n v="10000"/>
    <n v="58400000"/>
    <m/>
  </r>
  <r>
    <s v="134A/2019"/>
    <d v="2019-01-05T00:00:00"/>
    <s v="KIỀU THY"/>
    <s v="MH01"/>
    <x v="28"/>
    <x v="10"/>
    <s v="TARRANGO"/>
    <m/>
    <s v="16.18"/>
    <n v="200"/>
    <s v="NL2018"/>
    <m/>
    <n v="50"/>
    <n v="10000"/>
    <x v="93"/>
    <n v="60100000"/>
    <x v="2"/>
    <x v="44"/>
    <d v="2019-10-08T00:00:00"/>
    <d v="2019-10-08T00:00:00"/>
    <s v="T9/AL"/>
    <m/>
    <m/>
    <m/>
    <m/>
    <n v="0"/>
    <m/>
    <m/>
    <m/>
    <m/>
    <m/>
    <m/>
    <n v="0"/>
    <n v="10000"/>
    <n v="60100000"/>
    <m/>
  </r>
  <r>
    <s v="18A/2019"/>
    <d v="2019-01-05T00:00:00"/>
    <s v="KIỀU THY"/>
    <s v="MH01"/>
    <x v="28"/>
    <x v="10"/>
    <s v="TARRANGO"/>
    <m/>
    <s v="16.18"/>
    <n v="200"/>
    <s v="NL2018"/>
    <m/>
    <n v="50"/>
    <n v="10000"/>
    <x v="10"/>
    <n v="55000000"/>
    <x v="0"/>
    <x v="6"/>
    <d v="2019-02-19T00:00:00"/>
    <d v="2019-02-19T00:00:00"/>
    <s v="15/1AL"/>
    <m/>
    <m/>
    <m/>
    <d v="2019-02-19T00:00:00"/>
    <n v="10000"/>
    <m/>
    <m/>
    <m/>
    <m/>
    <m/>
    <m/>
    <n v="10000"/>
    <n v="0"/>
    <n v="0"/>
    <m/>
  </r>
  <r>
    <s v="135A/2019"/>
    <d v="2019-01-05T00:00:00"/>
    <s v="KIỀU THY"/>
    <s v="MH01"/>
    <x v="28"/>
    <x v="1"/>
    <s v="TARRANGO"/>
    <m/>
    <s v="18.20"/>
    <n v="150"/>
    <s v="NL2018"/>
    <m/>
    <n v="34"/>
    <n v="5100"/>
    <x v="23"/>
    <n v="46410000"/>
    <x v="2"/>
    <x v="2"/>
    <d v="2019-09-29T00:00:00"/>
    <d v="2019-09-29T00:00:00"/>
    <s v="TẾT"/>
    <m/>
    <m/>
    <m/>
    <m/>
    <n v="0"/>
    <m/>
    <m/>
    <m/>
    <m/>
    <m/>
    <m/>
    <n v="0"/>
    <n v="5100"/>
    <n v="46410000"/>
    <m/>
  </r>
  <r>
    <s v="134A/2019"/>
    <d v="2019-05-11T00:00:00"/>
    <s v="KIỀU THY"/>
    <s v="MH01"/>
    <x v="28"/>
    <x v="5"/>
    <s v="ROBINA"/>
    <m/>
    <s v="18.20"/>
    <n v="150"/>
    <s v="NL2018"/>
    <s v="STEEN"/>
    <n v="134"/>
    <n v="20100"/>
    <x v="9"/>
    <n v="160800000"/>
    <x v="3"/>
    <x v="28"/>
    <d v="2019-06-07T00:00:00"/>
    <d v="2019-06-07T00:00:00"/>
    <s v="T5/AL"/>
    <m/>
    <m/>
    <m/>
    <d v="2019-06-08T00:00:00"/>
    <n v="10050"/>
    <m/>
    <m/>
    <m/>
    <m/>
    <m/>
    <m/>
    <n v="10050"/>
    <n v="10050"/>
    <n v="80400000"/>
    <m/>
  </r>
  <r>
    <s v="134A/2019"/>
    <d v="2019-01-05T00:00:00"/>
    <s v="KIỀU THY"/>
    <s v="MH01"/>
    <x v="28"/>
    <x v="5"/>
    <s v="ROBINA"/>
    <m/>
    <s v="18.20"/>
    <n v="150"/>
    <s v="NL2018"/>
    <m/>
    <n v="67"/>
    <n v="10050"/>
    <x v="94"/>
    <n v="66460650"/>
    <x v="0"/>
    <x v="28"/>
    <d v="2019-06-07T00:00:00"/>
    <d v="2019-06-07T00:00:00"/>
    <m/>
    <m/>
    <m/>
    <m/>
    <d v="2019-06-08T00:00:00"/>
    <n v="10050"/>
    <m/>
    <m/>
    <m/>
    <m/>
    <m/>
    <m/>
    <n v="10050"/>
    <n v="0"/>
    <n v="0"/>
    <m/>
  </r>
  <r>
    <s v="134A/2019"/>
    <d v="2019-01-05T00:00:00"/>
    <s v="KIỀU THY"/>
    <s v="MH01"/>
    <x v="28"/>
    <x v="5"/>
    <s v="ROBINA"/>
    <m/>
    <s v="18.20"/>
    <n v="150"/>
    <s v="NL2018"/>
    <m/>
    <n v="67"/>
    <n v="10050"/>
    <x v="95"/>
    <n v="66330000"/>
    <x v="4"/>
    <x v="42"/>
    <d v="2019-07-10T00:00:00"/>
    <d v="2019-07-10T00:00:00"/>
    <s v="T6/AL"/>
    <m/>
    <m/>
    <m/>
    <m/>
    <n v="0"/>
    <m/>
    <m/>
    <m/>
    <m/>
    <m/>
    <m/>
    <n v="0"/>
    <n v="10050"/>
    <n v="66330000"/>
    <m/>
  </r>
  <r>
    <s v="134A/2019"/>
    <d v="2019-01-05T00:00:00"/>
    <s v="KIỀU THY"/>
    <s v="MH01"/>
    <x v="28"/>
    <x v="5"/>
    <s v="ROBINA"/>
    <m/>
    <s v="18.20"/>
    <n v="150"/>
    <s v="NL2018"/>
    <m/>
    <n v="134"/>
    <n v="20100"/>
    <x v="32"/>
    <n v="134670000"/>
    <x v="2"/>
    <x v="43"/>
    <d v="2019-08-09T00:00:00"/>
    <d v="2019-08-09T00:00:00"/>
    <s v="T7/AL"/>
    <m/>
    <m/>
    <m/>
    <m/>
    <n v="0"/>
    <m/>
    <m/>
    <m/>
    <m/>
    <m/>
    <m/>
    <n v="0"/>
    <n v="20100"/>
    <n v="134670000"/>
    <m/>
  </r>
  <r>
    <s v="134A/2019"/>
    <d v="2019-01-05T00:00:00"/>
    <s v="KIỀU THY"/>
    <s v="MH01"/>
    <x v="28"/>
    <x v="5"/>
    <s v="ROBINA"/>
    <m/>
    <s v="18.20"/>
    <n v="150"/>
    <s v="NL2018"/>
    <m/>
    <n v="200"/>
    <n v="30000"/>
    <x v="71"/>
    <n v="204000000"/>
    <x v="2"/>
    <x v="45"/>
    <d v="2019-09-08T00:00:00"/>
    <d v="2019-09-08T00:00:00"/>
    <s v="T8/AL"/>
    <m/>
    <m/>
    <m/>
    <m/>
    <n v="0"/>
    <m/>
    <m/>
    <m/>
    <m/>
    <m/>
    <m/>
    <n v="0"/>
    <n v="30000"/>
    <n v="204000000"/>
    <m/>
  </r>
  <r>
    <s v="135A/2019"/>
    <d v="2019-01-05T00:00:00"/>
    <s v="KIỀU THY"/>
    <s v="MH01"/>
    <x v="28"/>
    <x v="4"/>
    <s v="ROBINA"/>
    <m/>
    <s v="20.22"/>
    <n v="125"/>
    <s v="NL2018"/>
    <m/>
    <n v="80"/>
    <n v="10000"/>
    <x v="5"/>
    <n v="105000000"/>
    <x v="2"/>
    <x v="2"/>
    <d v="2019-09-29T00:00:00"/>
    <d v="2019-09-29T00:00:00"/>
    <s v="TẾT"/>
    <m/>
    <m/>
    <m/>
    <m/>
    <n v="0"/>
    <m/>
    <m/>
    <m/>
    <m/>
    <m/>
    <m/>
    <n v="0"/>
    <n v="10000"/>
    <n v="105000000"/>
    <m/>
  </r>
  <r>
    <s v="18A/2019"/>
    <d v="2019-01-05T00:00:00"/>
    <s v="KIỀU THY"/>
    <s v="MH01"/>
    <x v="28"/>
    <x v="5"/>
    <s v="ROBINA"/>
    <m/>
    <s v="18.20"/>
    <n v="150"/>
    <s v="NL2018"/>
    <m/>
    <n v="67"/>
    <n v="10050"/>
    <x v="96"/>
    <n v="65606400"/>
    <x v="0"/>
    <x v="1"/>
    <d v="2019-05-21T00:00:00"/>
    <d v="2019-05-21T00:00:00"/>
    <s v="15/4AL"/>
    <m/>
    <m/>
    <m/>
    <m/>
    <n v="0"/>
    <d v="2019-05-27T00:00:00"/>
    <n v="10050"/>
    <m/>
    <m/>
    <m/>
    <m/>
    <n v="10050"/>
    <n v="0"/>
    <n v="0"/>
    <m/>
  </r>
  <r>
    <s v="18A/2019"/>
    <d v="2019-01-05T00:00:00"/>
    <s v="KIỀU THY"/>
    <s v="MH01"/>
    <x v="28"/>
    <x v="5"/>
    <s v="ROBINA"/>
    <m/>
    <s v="18.20"/>
    <n v="150"/>
    <s v="NL2018"/>
    <m/>
    <n v="67"/>
    <n v="10050"/>
    <x v="75"/>
    <n v="63315000"/>
    <x v="0"/>
    <x v="22"/>
    <d v="2019-02-27T00:00:00"/>
    <d v="2019-02-27T00:00:00"/>
    <s v="23/1AL"/>
    <m/>
    <m/>
    <m/>
    <d v="2019-02-27T00:00:00"/>
    <n v="10050"/>
    <m/>
    <m/>
    <m/>
    <m/>
    <m/>
    <m/>
    <n v="10050"/>
    <n v="0"/>
    <n v="0"/>
    <m/>
  </r>
  <r>
    <s v="18A/2019"/>
    <d v="2019-01-05T00:00:00"/>
    <s v="KIỀU THY"/>
    <s v="MH01"/>
    <x v="28"/>
    <x v="5"/>
    <s v="ROBINA"/>
    <m/>
    <s v="18.20"/>
    <n v="150"/>
    <s v="NL2018"/>
    <m/>
    <n v="15"/>
    <n v="2250"/>
    <x v="75"/>
    <n v="14175000"/>
    <x v="0"/>
    <x v="22"/>
    <d v="2019-02-27T00:00:00"/>
    <d v="2019-02-27T00:00:00"/>
    <s v="23/1AL"/>
    <m/>
    <m/>
    <m/>
    <d v="2019-03-19T00:00:00"/>
    <n v="2250"/>
    <m/>
    <m/>
    <m/>
    <m/>
    <m/>
    <m/>
    <n v="2250"/>
    <n v="0"/>
    <n v="0"/>
    <m/>
  </r>
  <r>
    <s v="18A/2019"/>
    <d v="2019-01-05T00:00:00"/>
    <s v="KIỀU THY"/>
    <s v="MH01"/>
    <x v="28"/>
    <x v="5"/>
    <s v="ROBINA"/>
    <m/>
    <s v="18.20"/>
    <n v="150"/>
    <s v="NL2018"/>
    <m/>
    <n v="60"/>
    <n v="9000"/>
    <x v="75"/>
    <n v="56700000"/>
    <x v="0"/>
    <x v="0"/>
    <d v="2019-03-20T00:00:00"/>
    <d v="2019-03-20T00:00:00"/>
    <s v="15/2AL"/>
    <s v="CONT 10/2019"/>
    <d v="2019-03-17T00:00:00"/>
    <m/>
    <d v="2019-03-19T00:00:00"/>
    <n v="9000"/>
    <m/>
    <m/>
    <m/>
    <m/>
    <m/>
    <m/>
    <n v="9000"/>
    <n v="0"/>
    <n v="0"/>
    <m/>
  </r>
  <r>
    <s v="18A/2019"/>
    <d v="2019-01-05T00:00:00"/>
    <s v="KIỀU THY"/>
    <s v="MH01"/>
    <x v="28"/>
    <x v="5"/>
    <s v="ROBINA"/>
    <m/>
    <s v="18.20"/>
    <n v="150"/>
    <s v="NL2018"/>
    <m/>
    <n v="167"/>
    <n v="25050"/>
    <x v="75"/>
    <n v="157815000"/>
    <x v="0"/>
    <x v="5"/>
    <d v="2019-04-19T00:00:00"/>
    <d v="2019-04-19T00:00:00"/>
    <s v="15/3AL"/>
    <s v="CONT 25/2019"/>
    <d v="2019-04-14T00:00:00"/>
    <m/>
    <d v="2019-04-23T00:00:00"/>
    <n v="12000"/>
    <d v="2019-05-04T00:00:00"/>
    <n v="13050"/>
    <m/>
    <m/>
    <m/>
    <m/>
    <n v="25050"/>
    <n v="0"/>
    <n v="0"/>
    <m/>
  </r>
  <r>
    <s v="182A/2019"/>
    <d v="2019-04-08T00:00:00"/>
    <s v="KIỀU THY"/>
    <s v="MH01"/>
    <x v="28"/>
    <x v="11"/>
    <s v="PROFUNDO"/>
    <m/>
    <s v="16.18"/>
    <n v="200"/>
    <s v="NL2018"/>
    <m/>
    <n v="25"/>
    <n v="5000"/>
    <x v="32"/>
    <n v="33500000"/>
    <x v="0"/>
    <x v="30"/>
    <d v="2019-04-04T00:00:00"/>
    <d v="2019-04-04T00:00:00"/>
    <s v="30/2AL"/>
    <m/>
    <m/>
    <m/>
    <d v="2019-04-12T00:00:00"/>
    <n v="5000"/>
    <m/>
    <m/>
    <m/>
    <m/>
    <m/>
    <m/>
    <n v="5000"/>
    <n v="0"/>
    <n v="0"/>
    <m/>
  </r>
  <r>
    <s v="18A/2019"/>
    <d v="2019-01-05T00:00:00"/>
    <s v="KIỀU THY"/>
    <s v="MH01"/>
    <x v="28"/>
    <x v="11"/>
    <s v="PROFUNDO"/>
    <m/>
    <s v="16.18"/>
    <n v="200"/>
    <s v="NL2018"/>
    <m/>
    <n v="35"/>
    <n v="7000"/>
    <x v="97"/>
    <n v="45500000"/>
    <x v="0"/>
    <x v="6"/>
    <d v="2019-02-19T00:00:00"/>
    <d v="2019-02-19T00:00:00"/>
    <s v="15/1AL"/>
    <m/>
    <m/>
    <m/>
    <d v="2019-02-19T00:00:00"/>
    <n v="7000"/>
    <m/>
    <m/>
    <m/>
    <m/>
    <m/>
    <m/>
    <n v="7000"/>
    <n v="0"/>
    <n v="0"/>
    <m/>
  </r>
  <r>
    <s v="18A/2019"/>
    <d v="2019-01-05T00:00:00"/>
    <s v="KIỀU THY"/>
    <s v="MH01"/>
    <x v="28"/>
    <x v="11"/>
    <s v="PROFUNDO"/>
    <m/>
    <s v="16.18"/>
    <n v="200"/>
    <s v="NL2018"/>
    <m/>
    <n v="50"/>
    <n v="10000"/>
    <x v="32"/>
    <n v="67000000"/>
    <x v="0"/>
    <x v="0"/>
    <d v="2019-03-20T00:00:00"/>
    <d v="2019-03-20T00:00:00"/>
    <s v="15/2AL"/>
    <s v="CONT 12/2019"/>
    <d v="2019-03-17T00:00:00"/>
    <m/>
    <d v="2019-03-19T00:00:00"/>
    <n v="10000"/>
    <m/>
    <m/>
    <m/>
    <m/>
    <m/>
    <m/>
    <n v="10000"/>
    <n v="0"/>
    <n v="0"/>
    <m/>
  </r>
  <r>
    <s v="134A/2019"/>
    <d v="2019-01-05T00:00:00"/>
    <s v="KIỀU THY"/>
    <s v="MH01"/>
    <x v="28"/>
    <x v="95"/>
    <s v="LAKE CAREY"/>
    <m/>
    <s v="16.18"/>
    <n v="200"/>
    <s v="NL2018"/>
    <m/>
    <n v="50"/>
    <n v="10000"/>
    <x v="98"/>
    <n v="56700000"/>
    <x v="3"/>
    <x v="41"/>
    <d v="2019-06-14T00:00:00"/>
    <d v="2019-06-14T00:00:00"/>
    <s v="T5/AL"/>
    <m/>
    <m/>
    <m/>
    <m/>
    <n v="0"/>
    <m/>
    <m/>
    <m/>
    <m/>
    <m/>
    <m/>
    <n v="0"/>
    <n v="10000"/>
    <n v="56700000"/>
    <m/>
  </r>
  <r>
    <s v="134A/2019"/>
    <d v="2019-01-05T00:00:00"/>
    <s v="KIỀU THY"/>
    <s v="MH01"/>
    <x v="28"/>
    <x v="95"/>
    <s v="LAKE CAREY"/>
    <m/>
    <s v="16.18"/>
    <n v="200"/>
    <s v="NL2018"/>
    <m/>
    <n v="150"/>
    <n v="30000"/>
    <x v="99"/>
    <n v="177750000"/>
    <x v="2"/>
    <x v="45"/>
    <d v="2019-09-08T00:00:00"/>
    <d v="2019-09-08T00:00:00"/>
    <s v="T8/AL"/>
    <m/>
    <m/>
    <m/>
    <m/>
    <n v="0"/>
    <m/>
    <m/>
    <m/>
    <m/>
    <m/>
    <m/>
    <n v="0"/>
    <n v="30000"/>
    <n v="177750000"/>
    <m/>
  </r>
  <r>
    <s v="18A/2019"/>
    <d v="2019-01-05T00:00:00"/>
    <s v="KIỀU THY"/>
    <s v="MH01"/>
    <x v="28"/>
    <x v="95"/>
    <s v="LAKE CAREY"/>
    <m/>
    <s v="16.18"/>
    <n v="200"/>
    <s v="NL2018"/>
    <m/>
    <n v="75"/>
    <n v="15000"/>
    <x v="10"/>
    <n v="82500000"/>
    <x v="0"/>
    <x v="30"/>
    <d v="2019-04-04T00:00:00"/>
    <d v="2019-04-04T00:00:00"/>
    <s v="30/2AL"/>
    <s v="CONT 14/2019"/>
    <d v="2019-03-31T00:00:00"/>
    <m/>
    <d v="2019-04-12T00:00:00"/>
    <n v="15000"/>
    <m/>
    <m/>
    <m/>
    <m/>
    <m/>
    <m/>
    <n v="15000"/>
    <n v="0"/>
    <n v="0"/>
    <m/>
  </r>
  <r>
    <s v="134A/2019"/>
    <d v="2019-01-05T00:00:00"/>
    <s v="KIỀU THY"/>
    <s v="MH01"/>
    <x v="28"/>
    <x v="6"/>
    <s v="CONCADOR "/>
    <m/>
    <s v="16.18"/>
    <n v="200"/>
    <s v="NL2018"/>
    <s v="STEEN"/>
    <n v="18"/>
    <n v="3600"/>
    <x v="100"/>
    <n v="21002400"/>
    <x v="3"/>
    <x v="28"/>
    <d v="2019-06-07T00:00:00"/>
    <d v="2019-06-07T00:00:00"/>
    <s v="T5/AL"/>
    <m/>
    <m/>
    <m/>
    <m/>
    <n v="0"/>
    <m/>
    <m/>
    <m/>
    <m/>
    <m/>
    <m/>
    <n v="0"/>
    <n v="3600"/>
    <n v="21002400"/>
    <m/>
  </r>
  <r>
    <s v="134A/2019"/>
    <d v="2019-01-05T00:00:00"/>
    <s v="KIỀU THY"/>
    <s v="MH01"/>
    <x v="28"/>
    <x v="6"/>
    <s v="CONCADOR "/>
    <m/>
    <s v="16.18"/>
    <n v="200"/>
    <s v="NL2018"/>
    <s v="STEEN"/>
    <n v="25"/>
    <n v="5000"/>
    <x v="101"/>
    <n v="29380000"/>
    <x v="3"/>
    <x v="3"/>
    <d v="2019-06-20T00:00:00"/>
    <d v="2019-06-20T00:00:00"/>
    <m/>
    <m/>
    <m/>
    <m/>
    <m/>
    <m/>
    <m/>
    <m/>
    <m/>
    <m/>
    <m/>
    <m/>
    <n v="0"/>
    <n v="5000"/>
    <n v="29380000"/>
    <m/>
  </r>
  <r>
    <s v="134A/2019"/>
    <d v="2019-01-05T00:00:00"/>
    <s v="KIỀU THY"/>
    <s v="MH01"/>
    <x v="28"/>
    <x v="6"/>
    <s v="CONCADOR "/>
    <m/>
    <s v="16.18"/>
    <n v="200"/>
    <s v="NL2018"/>
    <m/>
    <n v="0"/>
    <n v="0"/>
    <x v="4"/>
    <n v="0"/>
    <x v="1"/>
    <x v="28"/>
    <d v="2019-06-07T00:00:00"/>
    <d v="2019-06-07T00:00:00"/>
    <m/>
    <m/>
    <m/>
    <m/>
    <m/>
    <m/>
    <m/>
    <m/>
    <m/>
    <m/>
    <m/>
    <m/>
    <n v="0"/>
    <n v="0"/>
    <n v="0"/>
    <m/>
  </r>
  <r>
    <s v="134A/2019"/>
    <d v="2019-01-05T00:00:00"/>
    <s v="KIỀU THY"/>
    <s v="MH01"/>
    <x v="28"/>
    <x v="6"/>
    <s v="CONCADOR "/>
    <m/>
    <s v="16.18"/>
    <n v="200"/>
    <s v="NL2018"/>
    <m/>
    <n v="50"/>
    <n v="10000"/>
    <x v="102"/>
    <n v="52550000"/>
    <x v="4"/>
    <x v="42"/>
    <d v="2019-07-10T00:00:00"/>
    <d v="2019-07-10T00:00:00"/>
    <s v="T6/AL"/>
    <m/>
    <m/>
    <m/>
    <m/>
    <n v="0"/>
    <m/>
    <m/>
    <m/>
    <m/>
    <m/>
    <m/>
    <n v="0"/>
    <n v="10000"/>
    <n v="52550000"/>
    <m/>
  </r>
  <r>
    <s v="134A/2019"/>
    <d v="2019-01-05T00:00:00"/>
    <s v="KIỀU THY"/>
    <s v="MH01"/>
    <x v="28"/>
    <x v="6"/>
    <s v="CONCADOR "/>
    <m/>
    <s v="16.18"/>
    <n v="200"/>
    <s v="NL2018"/>
    <m/>
    <n v="100"/>
    <n v="20000"/>
    <x v="103"/>
    <n v="106800000"/>
    <x v="2"/>
    <x v="43"/>
    <d v="2019-08-09T00:00:00"/>
    <d v="2019-08-09T00:00:00"/>
    <s v="T7/AL"/>
    <m/>
    <m/>
    <m/>
    <m/>
    <n v="0"/>
    <m/>
    <m/>
    <m/>
    <m/>
    <m/>
    <m/>
    <n v="0"/>
    <n v="20000"/>
    <n v="106800000"/>
    <m/>
  </r>
  <r>
    <s v="18A/2019"/>
    <d v="2019-01-05T00:00:00"/>
    <s v="KIỀU THY"/>
    <s v="MH01"/>
    <x v="28"/>
    <x v="6"/>
    <s v="CONCADOR "/>
    <m/>
    <s v="16.18"/>
    <s v="200"/>
    <s v="NL2018"/>
    <m/>
    <n v="35"/>
    <n v="7000"/>
    <x v="104"/>
    <n v="35595000"/>
    <x v="0"/>
    <x v="5"/>
    <d v="2019-04-19T00:00:00"/>
    <d v="2019-04-19T00:00:00"/>
    <s v="15/3AL"/>
    <m/>
    <m/>
    <m/>
    <d v="2019-05-13T00:00:00"/>
    <n v="7000"/>
    <m/>
    <m/>
    <m/>
    <m/>
    <m/>
    <m/>
    <n v="7000"/>
    <n v="0"/>
    <n v="0"/>
    <m/>
  </r>
  <r>
    <s v="18A/2019"/>
    <d v="2019-01-05T00:00:00"/>
    <s v="KIỀU THY"/>
    <s v="MH01"/>
    <x v="28"/>
    <x v="6"/>
    <s v="CONCADOR "/>
    <m/>
    <s v="16.18"/>
    <n v="200"/>
    <s v="NL2018"/>
    <m/>
    <n v="65"/>
    <n v="13000"/>
    <x v="4"/>
    <n v="67210000"/>
    <x v="0"/>
    <x v="1"/>
    <d v="2019-05-21T00:00:00"/>
    <d v="2019-05-21T00:00:00"/>
    <s v="30/03AL"/>
    <m/>
    <m/>
    <m/>
    <d v="2019-05-23T00:00:00"/>
    <n v="2600"/>
    <d v="2019-05-27T00:00:00"/>
    <n v="10400"/>
    <m/>
    <m/>
    <m/>
    <m/>
    <n v="13000"/>
    <n v="0"/>
    <n v="0"/>
    <m/>
  </r>
  <r>
    <s v="18A/2019"/>
    <d v="2019-01-05T00:00:00"/>
    <s v="KIỀU THY"/>
    <s v="MH01"/>
    <x v="28"/>
    <x v="6"/>
    <s v="CONCADOR "/>
    <m/>
    <s v="16.18"/>
    <n v="200"/>
    <s v="NL2018"/>
    <m/>
    <n v="40"/>
    <n v="8000"/>
    <x v="29"/>
    <n v="36800000"/>
    <x v="0"/>
    <x v="6"/>
    <d v="2019-02-19T00:00:00"/>
    <d v="2019-02-19T00:00:00"/>
    <s v="15/1AL"/>
    <m/>
    <m/>
    <m/>
    <d v="2019-02-19T00:00:00"/>
    <n v="8000"/>
    <m/>
    <m/>
    <m/>
    <m/>
    <m/>
    <m/>
    <n v="8000"/>
    <n v="0"/>
    <n v="0"/>
    <m/>
  </r>
  <r>
    <s v="135A/2019"/>
    <d v="2019-01-05T00:00:00"/>
    <s v="KIỀU THY"/>
    <s v="MH01"/>
    <x v="28"/>
    <x v="8"/>
    <s v="CONCADOR"/>
    <m/>
    <s v="18.20"/>
    <n v="150"/>
    <s v="NL2018"/>
    <m/>
    <n v="134"/>
    <n v="20100"/>
    <x v="56"/>
    <n v="144720000"/>
    <x v="2"/>
    <x v="2"/>
    <d v="2019-09-29T00:00:00"/>
    <d v="2019-09-29T00:00:00"/>
    <s v="TẾT"/>
    <m/>
    <m/>
    <m/>
    <m/>
    <n v="0"/>
    <m/>
    <m/>
    <m/>
    <m/>
    <m/>
    <m/>
    <n v="0"/>
    <n v="20100"/>
    <n v="144720000"/>
    <m/>
  </r>
  <r>
    <s v="135A/2019"/>
    <d v="2019-01-05T00:00:00"/>
    <s v="KIỀU THY"/>
    <s v="MH01"/>
    <x v="28"/>
    <x v="7"/>
    <s v="CONCADOR"/>
    <m/>
    <s v="20.22"/>
    <n v="125"/>
    <s v="NL2018"/>
    <m/>
    <n v="24"/>
    <n v="3000"/>
    <x v="5"/>
    <n v="31500000"/>
    <x v="2"/>
    <x v="2"/>
    <d v="2019-09-29T00:00:00"/>
    <d v="2019-09-29T00:00:00"/>
    <s v="TẾT"/>
    <m/>
    <m/>
    <m/>
    <m/>
    <n v="0"/>
    <m/>
    <m/>
    <m/>
    <m/>
    <m/>
    <m/>
    <n v="0"/>
    <n v="3000"/>
    <n v="31500000"/>
    <m/>
  </r>
  <r>
    <s v="18A/2019"/>
    <d v="2019-01-05T00:00:00"/>
    <s v="KIỀU THY"/>
    <s v="MH01"/>
    <x v="28"/>
    <x v="6"/>
    <s v="CONCADOR"/>
    <m/>
    <s v="16.18"/>
    <n v="200"/>
    <s v="NL2018"/>
    <m/>
    <n v="50"/>
    <n v="10000"/>
    <x v="29"/>
    <n v="46000000"/>
    <x v="0"/>
    <x v="0"/>
    <d v="2019-03-20T00:00:00"/>
    <d v="2019-03-20T00:00:00"/>
    <s v="15/2AL"/>
    <s v="CONT 10/2019"/>
    <d v="2019-03-17T00:00:00"/>
    <m/>
    <d v="2019-03-19T00:00:00"/>
    <n v="10000"/>
    <m/>
    <m/>
    <m/>
    <m/>
    <m/>
    <m/>
    <n v="10000"/>
    <n v="0"/>
    <n v="0"/>
    <m/>
  </r>
  <r>
    <s v="73B/2019"/>
    <d v="2019-02-23T00:00:00"/>
    <s v="THANH THÚY"/>
    <s v="QH01"/>
    <x v="29"/>
    <x v="3"/>
    <s v="ROBINA"/>
    <m/>
    <s v="16.18"/>
    <n v="200"/>
    <s v="NL2018"/>
    <m/>
    <n v="100"/>
    <n v="20000"/>
    <x v="8"/>
    <n v="100000000"/>
    <x v="0"/>
    <x v="5"/>
    <d v="2019-04-19T00:00:00"/>
    <d v="2019-04-19T00:00:00"/>
    <s v="30/3AL"/>
    <m/>
    <m/>
    <m/>
    <d v="2019-05-14T00:00:00"/>
    <n v="20000"/>
    <m/>
    <m/>
    <m/>
    <m/>
    <m/>
    <m/>
    <n v="20000"/>
    <n v="0"/>
    <n v="0"/>
    <d v="2020-01-05T00:00:00"/>
  </r>
  <r>
    <s v="146B/2019"/>
    <d v="2019-03-26T00:00:00"/>
    <s v="THANH THÚY"/>
    <s v="QH01"/>
    <x v="29"/>
    <x v="4"/>
    <s v="ROBINA"/>
    <m/>
    <s v="20.22"/>
    <n v="125"/>
    <s v="NL2018"/>
    <m/>
    <n v="240"/>
    <n v="30000"/>
    <x v="5"/>
    <n v="315000000"/>
    <x v="2"/>
    <x v="2"/>
    <d v="2019-09-29T00:00:00"/>
    <d v="2019-09-29T00:00:00"/>
    <s v="TẾT"/>
    <m/>
    <m/>
    <m/>
    <m/>
    <n v="0"/>
    <m/>
    <m/>
    <m/>
    <m/>
    <m/>
    <m/>
    <n v="0"/>
    <n v="30000"/>
    <n v="315000000"/>
    <d v="2020-01-05T00:00:00"/>
  </r>
  <r>
    <s v="146B/2019"/>
    <d v="2019-03-26T00:00:00"/>
    <s v="THANH THÚY"/>
    <s v="QH01"/>
    <x v="29"/>
    <x v="8"/>
    <s v="CONCADOR"/>
    <m/>
    <s v="18.20"/>
    <n v="150"/>
    <s v="NL2018"/>
    <m/>
    <n v="400"/>
    <n v="60000"/>
    <x v="9"/>
    <n v="480000000"/>
    <x v="2"/>
    <x v="2"/>
    <d v="2019-09-29T00:00:00"/>
    <d v="2019-09-29T00:00:00"/>
    <s v="TẾT"/>
    <m/>
    <m/>
    <m/>
    <m/>
    <m/>
    <m/>
    <m/>
    <m/>
    <m/>
    <m/>
    <m/>
    <n v="0"/>
    <n v="60000"/>
    <n v="480000000"/>
    <m/>
  </r>
  <r>
    <s v="203A/2019"/>
    <d v="2019-04-22T00:00:00"/>
    <s v="KIỀU THY"/>
    <s v="XL01"/>
    <x v="30"/>
    <x v="96"/>
    <s v="ZAMBESSI"/>
    <m/>
    <s v="16.18"/>
    <n v="200"/>
    <s v="NL2018"/>
    <m/>
    <n v="20"/>
    <n v="4000"/>
    <x v="75"/>
    <n v="25200000"/>
    <x v="0"/>
    <x v="28"/>
    <d v="2019-06-07T00:00:00"/>
    <d v="2019-06-07T00:00:00"/>
    <s v="29/4AL"/>
    <m/>
    <m/>
    <m/>
    <d v="2019-06-13T00:00:00"/>
    <n v="4000"/>
    <m/>
    <m/>
    <m/>
    <m/>
    <m/>
    <m/>
    <n v="4000"/>
    <n v="0"/>
    <n v="0"/>
    <m/>
  </r>
  <r>
    <s v="203A/2019"/>
    <d v="2019-04-22T00:00:00"/>
    <s v="KIỀU THY"/>
    <s v="XL01"/>
    <x v="30"/>
    <x v="97"/>
    <s v="ZAMBESSI"/>
    <m/>
    <s v="18.20"/>
    <n v="150"/>
    <s v="NL2018"/>
    <m/>
    <n v="23"/>
    <n v="3450"/>
    <x v="56"/>
    <n v="24840000"/>
    <x v="0"/>
    <x v="28"/>
    <d v="2019-06-07T00:00:00"/>
    <d v="2019-06-07T00:00:00"/>
    <s v="29/4AL"/>
    <m/>
    <m/>
    <m/>
    <d v="2019-06-13T00:00:00"/>
    <n v="3450"/>
    <m/>
    <m/>
    <m/>
    <m/>
    <m/>
    <m/>
    <n v="3450"/>
    <n v="0"/>
    <n v="0"/>
    <m/>
  </r>
  <r>
    <s v="203A/2019"/>
    <d v="2019-06-10T00:00:00"/>
    <s v="KIỀU THY"/>
    <s v="XL01"/>
    <x v="30"/>
    <x v="0"/>
    <s v="YELLOWEEN"/>
    <m/>
    <s v="12.14"/>
    <n v="400"/>
    <s v="NL2018"/>
    <m/>
    <n v="23"/>
    <n v="9200"/>
    <x v="37"/>
    <n v="25760000"/>
    <x v="0"/>
    <x v="28"/>
    <d v="2019-06-07T00:00:00"/>
    <d v="2019-06-07T00:00:00"/>
    <m/>
    <m/>
    <m/>
    <m/>
    <d v="2019-06-13T00:00:00"/>
    <n v="9200"/>
    <m/>
    <m/>
    <m/>
    <m/>
    <m/>
    <m/>
    <n v="9200"/>
    <n v="0"/>
    <n v="0"/>
    <m/>
  </r>
  <r>
    <s v="203A/2019"/>
    <d v="2019-06-10T00:00:00"/>
    <s v="KIỀU THY"/>
    <s v="XL01"/>
    <x v="30"/>
    <x v="77"/>
    <s v="YELLOWEEN"/>
    <s v="DN"/>
    <s v="16.18"/>
    <n v="200"/>
    <s v="NL2018"/>
    <m/>
    <n v="15"/>
    <n v="3000"/>
    <x v="51"/>
    <n v="18000000"/>
    <x v="0"/>
    <x v="28"/>
    <d v="2019-06-07T00:00:00"/>
    <d v="2019-06-07T00:00:00"/>
    <m/>
    <m/>
    <m/>
    <m/>
    <d v="2019-06-13T00:00:00"/>
    <n v="3000"/>
    <m/>
    <m/>
    <m/>
    <m/>
    <m/>
    <m/>
    <n v="3000"/>
    <n v="0"/>
    <n v="0"/>
    <m/>
  </r>
  <r>
    <s v="240/2019"/>
    <d v="2019-06-12T00:00:00"/>
    <s v="KIỀU THY"/>
    <s v="XL01"/>
    <x v="30"/>
    <x v="78"/>
    <s v="YELLOWEEN"/>
    <m/>
    <s v="14.16"/>
    <n v="300"/>
    <s v="NL2018"/>
    <m/>
    <n v="34"/>
    <n v="10200"/>
    <x v="45"/>
    <n v="40800000"/>
    <x v="2"/>
    <x v="13"/>
    <d v="2019-07-31T00:00:00"/>
    <d v="2019-07-31T00:00:00"/>
    <m/>
    <m/>
    <m/>
    <m/>
    <m/>
    <m/>
    <m/>
    <m/>
    <m/>
    <m/>
    <m/>
    <m/>
    <n v="0"/>
    <n v="10200"/>
    <n v="40800000"/>
    <m/>
  </r>
  <r>
    <s v="240/2019"/>
    <d v="2019-06-14T00:00:00"/>
    <s v="KIỀU THY"/>
    <s v="XL01"/>
    <x v="30"/>
    <x v="0"/>
    <s v="YELLOWEEN"/>
    <m/>
    <s v="12.14"/>
    <n v="400"/>
    <s v="NL2018"/>
    <m/>
    <n v="50"/>
    <n v="20000"/>
    <x v="39"/>
    <n v="58000000"/>
    <x v="2"/>
    <x v="20"/>
    <d v="2019-07-27T00:00:00"/>
    <d v="2019-07-27T00:00:00"/>
    <m/>
    <m/>
    <m/>
    <m/>
    <m/>
    <m/>
    <m/>
    <m/>
    <m/>
    <m/>
    <m/>
    <m/>
    <n v="0"/>
    <n v="20000"/>
    <n v="58000000"/>
    <m/>
  </r>
  <r>
    <s v="203A/2019"/>
    <d v="2019-04-22T00:00:00"/>
    <s v="KIỀU THY"/>
    <s v="XL01"/>
    <x v="30"/>
    <x v="0"/>
    <s v="YELLOWEEN"/>
    <m/>
    <s v="12.14"/>
    <n v="400"/>
    <s v="NL2018"/>
    <m/>
    <n v="50"/>
    <n v="20000"/>
    <x v="37"/>
    <n v="56000000"/>
    <x v="4"/>
    <x v="23"/>
    <d v="2019-06-22T00:00:00"/>
    <d v="2019-06-22T00:00:00"/>
    <s v="15/5AL"/>
    <m/>
    <m/>
    <m/>
    <m/>
    <m/>
    <m/>
    <m/>
    <m/>
    <m/>
    <m/>
    <m/>
    <n v="0"/>
    <n v="20000"/>
    <n v="56000000"/>
    <m/>
  </r>
  <r>
    <s v="215A/2019"/>
    <d v="2019-05-03T00:00:00"/>
    <s v="KIỀU THY"/>
    <s v="XL01"/>
    <x v="30"/>
    <x v="78"/>
    <s v="YELLOWEEN"/>
    <m/>
    <s v="14.16"/>
    <n v="300"/>
    <s v="NL2018"/>
    <m/>
    <n v="34"/>
    <n v="10200"/>
    <x v="64"/>
    <n v="38760000"/>
    <x v="0"/>
    <x v="5"/>
    <d v="2019-04-19T00:00:00"/>
    <d v="2019-04-19T00:00:00"/>
    <m/>
    <m/>
    <m/>
    <m/>
    <d v="2019-04-20T00:00:00"/>
    <n v="10200"/>
    <m/>
    <m/>
    <m/>
    <m/>
    <m/>
    <m/>
    <n v="10200"/>
    <n v="0"/>
    <n v="0"/>
    <m/>
  </r>
  <r>
    <s v="69A/2019"/>
    <d v="2019-02-22T00:00:00"/>
    <s v="KIỀU THY"/>
    <s v="XL01"/>
    <x v="30"/>
    <x v="78"/>
    <s v="YELLOWEEN"/>
    <m/>
    <s v="14.16"/>
    <n v="300"/>
    <s v="NL2018"/>
    <m/>
    <n v="28"/>
    <n v="8400"/>
    <x v="64"/>
    <n v="31920000"/>
    <x v="0"/>
    <x v="30"/>
    <d v="2019-04-04T00:00:00"/>
    <d v="2019-04-04T00:00:00"/>
    <s v="30/2AL"/>
    <s v="CONT 14/2019"/>
    <d v="2019-03-31T00:00:00"/>
    <s v="R"/>
    <d v="2019-04-20T00:00:00"/>
    <n v="8400"/>
    <m/>
    <m/>
    <m/>
    <m/>
    <m/>
    <m/>
    <n v="8400"/>
    <n v="0"/>
    <n v="0"/>
    <s v="Check lai, dieu chinh sl cho chan khay"/>
  </r>
  <r>
    <s v="203A/2019"/>
    <d v="2019-05-03T00:00:00"/>
    <s v="KIỀU THY"/>
    <s v="XL01"/>
    <x v="30"/>
    <x v="35"/>
    <s v="TARRANGO"/>
    <m/>
    <s v="14.16"/>
    <n v="300"/>
    <s v="NL2018"/>
    <m/>
    <n v="33"/>
    <n v="9900"/>
    <x v="44"/>
    <n v="48510000"/>
    <x v="3"/>
    <x v="3"/>
    <d v="2019-06-20T00:00:00"/>
    <d v="2019-06-20T00:00:00"/>
    <s v="15/5AL"/>
    <m/>
    <m/>
    <m/>
    <m/>
    <m/>
    <m/>
    <m/>
    <m/>
    <m/>
    <m/>
    <m/>
    <n v="0"/>
    <n v="9900"/>
    <n v="48510000"/>
    <m/>
  </r>
  <r>
    <s v="69A/2019"/>
    <d v="2019-02-22T00:00:00"/>
    <s v="KIỀU THY"/>
    <s v="XL01"/>
    <x v="30"/>
    <x v="35"/>
    <s v="TARRANGO"/>
    <m/>
    <s v="14.16"/>
    <n v="300"/>
    <s v="NL2018"/>
    <m/>
    <n v="39"/>
    <n v="11700"/>
    <x v="29"/>
    <n v="53820000"/>
    <x v="0"/>
    <x v="0"/>
    <d v="2019-03-20T00:00:00"/>
    <d v="2019-03-20T00:00:00"/>
    <s v="15/2AL"/>
    <s v="CONT 10/2019"/>
    <d v="2019-03-17T00:00:00"/>
    <s v="R"/>
    <d v="2019-03-20T00:00:00"/>
    <n v="11700"/>
    <m/>
    <m/>
    <m/>
    <m/>
    <m/>
    <m/>
    <n v="11700"/>
    <n v="0"/>
    <n v="0"/>
    <m/>
  </r>
  <r>
    <s v="69A/2019"/>
    <d v="2019-02-22T00:00:00"/>
    <s v="KIỀU THY"/>
    <s v="XL01"/>
    <x v="30"/>
    <x v="35"/>
    <s v="TARRANGO"/>
    <m/>
    <s v="14.16"/>
    <n v="300"/>
    <s v="NL2018"/>
    <m/>
    <n v="17"/>
    <n v="5100"/>
    <x v="29"/>
    <n v="23460000"/>
    <x v="0"/>
    <x v="30"/>
    <d v="2019-04-04T00:00:00"/>
    <d v="2019-04-04T00:00:00"/>
    <s v="30/2AL"/>
    <s v="CONT 17/2019"/>
    <d v="2019-03-31T00:00:00"/>
    <s v="R"/>
    <d v="2019-04-20T00:00:00"/>
    <n v="5100"/>
    <m/>
    <m/>
    <m/>
    <m/>
    <m/>
    <m/>
    <n v="5100"/>
    <n v="0"/>
    <n v="0"/>
    <m/>
  </r>
  <r>
    <s v="203A/2019"/>
    <d v="2019-04-22T00:00:00"/>
    <s v="KIỀU THY"/>
    <s v="XL01"/>
    <x v="30"/>
    <x v="98"/>
    <s v="SORBONNE"/>
    <m/>
    <s v="16.18"/>
    <n v="200"/>
    <s v="NL2018"/>
    <m/>
    <n v="18"/>
    <n v="3600"/>
    <x v="105"/>
    <n v="26280000"/>
    <x v="0"/>
    <x v="28"/>
    <d v="2019-06-07T00:00:00"/>
    <d v="2019-06-07T00:00:00"/>
    <s v="29/4AL"/>
    <m/>
    <m/>
    <m/>
    <d v="2019-06-13T00:00:00"/>
    <n v="3600"/>
    <m/>
    <m/>
    <m/>
    <m/>
    <m/>
    <m/>
    <n v="3600"/>
    <n v="0"/>
    <n v="0"/>
    <m/>
  </r>
  <r>
    <s v="167A/2019"/>
    <d v="2019-02-22T00:00:00"/>
    <s v="KIỀU THY"/>
    <s v="XL01"/>
    <x v="30"/>
    <x v="4"/>
    <s v="ROBINA"/>
    <m/>
    <s v="20.22"/>
    <n v="125"/>
    <s v="NL2018"/>
    <m/>
    <n v="160"/>
    <n v="20000"/>
    <x v="5"/>
    <n v="210000000"/>
    <x v="2"/>
    <x v="2"/>
    <d v="2019-09-29T00:00:00"/>
    <d v="2019-09-29T00:00:00"/>
    <s v="TẾT"/>
    <m/>
    <m/>
    <s v="R"/>
    <m/>
    <n v="0"/>
    <m/>
    <m/>
    <m/>
    <m/>
    <m/>
    <m/>
    <n v="0"/>
    <n v="20000"/>
    <n v="210000000"/>
    <m/>
  </r>
  <r>
    <s v="240/2019"/>
    <d v="2019-06-12T00:00:00"/>
    <s v="KIỀU THY"/>
    <s v="XL01"/>
    <x v="30"/>
    <x v="99"/>
    <s v="ROBINA"/>
    <m/>
    <s v="14.16"/>
    <n v="300"/>
    <s v="NL2018"/>
    <m/>
    <n v="34"/>
    <n v="10200"/>
    <x v="64"/>
    <n v="38760000"/>
    <x v="2"/>
    <x v="13"/>
    <d v="2019-07-31T00:00:00"/>
    <d v="2019-07-31T00:00:00"/>
    <m/>
    <m/>
    <m/>
    <m/>
    <m/>
    <m/>
    <m/>
    <m/>
    <m/>
    <m/>
    <m/>
    <m/>
    <n v="0"/>
    <n v="10200"/>
    <n v="38760000"/>
    <m/>
  </r>
  <r>
    <s v="69A/2019"/>
    <d v="2019-02-22T00:00:00"/>
    <s v="KIỀU THY"/>
    <s v="XL01"/>
    <x v="30"/>
    <x v="12"/>
    <s v="PROFUNDO"/>
    <m/>
    <s v="14.16"/>
    <n v="300"/>
    <s v="NL2018"/>
    <m/>
    <n v="17"/>
    <n v="5100"/>
    <x v="43"/>
    <n v="24480000"/>
    <x v="0"/>
    <x v="30"/>
    <d v="2019-04-04T00:00:00"/>
    <d v="2019-04-04T00:00:00"/>
    <s v="30/2AL"/>
    <s v="CONT 15/2019"/>
    <d v="2019-03-31T00:00:00"/>
    <s v="R"/>
    <d v="2019-04-20T00:00:00"/>
    <n v="5100"/>
    <m/>
    <m/>
    <m/>
    <m/>
    <m/>
    <m/>
    <n v="5100"/>
    <n v="0"/>
    <n v="0"/>
    <m/>
  </r>
  <r>
    <s v="167A/2019"/>
    <d v="2019-02-22T00:00:00"/>
    <s v="KIỀU THY"/>
    <s v="XL01"/>
    <x v="30"/>
    <x v="65"/>
    <s v="MANISSA"/>
    <m/>
    <s v="20.22"/>
    <n v="125"/>
    <s v="NL2018"/>
    <m/>
    <n v="80"/>
    <n v="10000"/>
    <x v="61"/>
    <n v="135000000"/>
    <x v="2"/>
    <x v="2"/>
    <d v="2019-09-29T00:00:00"/>
    <d v="2019-09-29T00:00:00"/>
    <s v="TẾT"/>
    <m/>
    <m/>
    <s v="R"/>
    <m/>
    <n v="0"/>
    <m/>
    <m/>
    <m/>
    <m/>
    <m/>
    <m/>
    <n v="0"/>
    <n v="10000"/>
    <n v="135000000"/>
    <m/>
  </r>
  <r>
    <s v="203A/2019"/>
    <d v="2019-06-14T00:00:00"/>
    <s v="KIỀU THY"/>
    <s v="XL01"/>
    <x v="30"/>
    <x v="83"/>
    <s v="MANISSA"/>
    <m/>
    <s v="14.16"/>
    <n v="300"/>
    <s v="NL2018"/>
    <m/>
    <n v="7"/>
    <n v="2100"/>
    <x v="64"/>
    <n v="7980000"/>
    <x v="3"/>
    <x v="28"/>
    <d v="2019-06-07T00:00:00"/>
    <d v="2019-06-07T00:00:00"/>
    <m/>
    <m/>
    <m/>
    <m/>
    <m/>
    <m/>
    <m/>
    <m/>
    <m/>
    <m/>
    <m/>
    <m/>
    <n v="0"/>
    <n v="2100"/>
    <n v="7980000"/>
    <m/>
  </r>
  <r>
    <s v="203A/2019"/>
    <d v="2019-04-22T00:00:00"/>
    <s v="KIỀU THY"/>
    <s v="XL01"/>
    <x v="30"/>
    <x v="100"/>
    <s v="FERRERO"/>
    <m/>
    <s v="13.14"/>
    <n v="400"/>
    <s v="NL2018"/>
    <m/>
    <n v="25"/>
    <n v="10000"/>
    <x v="3"/>
    <n v="35000000"/>
    <x v="0"/>
    <x v="28"/>
    <d v="2019-06-07T00:00:00"/>
    <d v="2019-06-07T00:00:00"/>
    <s v="15/5AL"/>
    <m/>
    <m/>
    <m/>
    <d v="2019-06-13T00:00:00"/>
    <n v="10000"/>
    <m/>
    <m/>
    <m/>
    <m/>
    <m/>
    <m/>
    <n v="10000"/>
    <n v="0"/>
    <n v="0"/>
    <m/>
  </r>
  <r>
    <s v="240/2019"/>
    <d v="2019-06-12T00:00:00"/>
    <s v="KIỀU THY"/>
    <s v="XL01"/>
    <x v="30"/>
    <x v="101"/>
    <s v="DIGAME"/>
    <m/>
    <s v="16.18"/>
    <n v="200"/>
    <s v="NL2018"/>
    <m/>
    <n v="14"/>
    <n v="2800"/>
    <x v="95"/>
    <n v="18480000"/>
    <x v="4"/>
    <x v="4"/>
    <d v="2019-07-17T00:00:00"/>
    <d v="2019-07-17T00:00:00"/>
    <m/>
    <m/>
    <m/>
    <m/>
    <m/>
    <m/>
    <m/>
    <m/>
    <m/>
    <m/>
    <m/>
    <m/>
    <n v="0"/>
    <n v="2800"/>
    <n v="18480000"/>
    <m/>
  </r>
  <r>
    <s v="69A/2019"/>
    <d v="2019-02-22T00:00:00"/>
    <s v="KIỀU THY"/>
    <s v="XL01"/>
    <x v="30"/>
    <x v="24"/>
    <s v="DALIAN"/>
    <m/>
    <s v="14.16"/>
    <n v="300"/>
    <s v="NL2018"/>
    <m/>
    <n v="33"/>
    <n v="9900"/>
    <x v="33"/>
    <n v="52470000"/>
    <x v="0"/>
    <x v="30"/>
    <d v="2019-04-04T00:00:00"/>
    <d v="2019-04-04T00:00:00"/>
    <s v="30/2AL"/>
    <s v="CONT 17/2019"/>
    <d v="2019-03-31T00:00:00"/>
    <s v="R"/>
    <d v="2019-04-20T00:00:00"/>
    <n v="9900"/>
    <m/>
    <m/>
    <m/>
    <m/>
    <m/>
    <m/>
    <n v="9900"/>
    <n v="0"/>
    <n v="0"/>
    <s v="CHECK LAI SL"/>
  </r>
  <r>
    <s v="167A/2019"/>
    <d v="2019-02-22T00:00:00"/>
    <s v="KIỀU THY"/>
    <s v="XL01"/>
    <x v="30"/>
    <x v="8"/>
    <s v="CONCAD'OR"/>
    <m/>
    <s v="18.20"/>
    <n v="150"/>
    <s v="NL2018"/>
    <m/>
    <n v="208"/>
    <n v="31200"/>
    <x v="56"/>
    <n v="224640000"/>
    <x v="2"/>
    <x v="2"/>
    <d v="2019-09-29T00:00:00"/>
    <d v="2019-09-29T00:00:00"/>
    <s v="TẾT"/>
    <m/>
    <m/>
    <s v="R"/>
    <m/>
    <n v="0"/>
    <m/>
    <m/>
    <m/>
    <m/>
    <m/>
    <m/>
    <n v="0"/>
    <n v="31200"/>
    <n v="224640000"/>
    <m/>
  </r>
  <r>
    <s v="167A/2019"/>
    <d v="2019-02-22T00:00:00"/>
    <s v="KIỀU THY"/>
    <s v="XL01"/>
    <x v="30"/>
    <x v="8"/>
    <s v="CONCAD'OR"/>
    <m/>
    <s v="18.20"/>
    <n v="150"/>
    <s v="NL2018"/>
    <m/>
    <n v="40"/>
    <n v="6000"/>
    <x v="31"/>
    <n v="45000000"/>
    <x v="2"/>
    <x v="2"/>
    <d v="2019-09-29T00:00:00"/>
    <d v="2019-09-29T00:00:00"/>
    <s v="TẾT"/>
    <m/>
    <m/>
    <m/>
    <m/>
    <m/>
    <m/>
    <m/>
    <m/>
    <m/>
    <m/>
    <m/>
    <n v="0"/>
    <n v="6000"/>
    <n v="45000000"/>
    <m/>
  </r>
  <r>
    <s v="69A/2019"/>
    <d v="2019-02-22T00:00:00"/>
    <s v="KIỀU THY"/>
    <s v="XL01"/>
    <x v="30"/>
    <x v="6"/>
    <s v="CONCAD'OR"/>
    <m/>
    <s v="16.18"/>
    <n v="200"/>
    <s v="NL2018"/>
    <m/>
    <n v="50"/>
    <n v="10000"/>
    <x v="12"/>
    <n v="47000000"/>
    <x v="0"/>
    <x v="0"/>
    <d v="2019-03-20T00:00:00"/>
    <d v="2019-03-20T00:00:00"/>
    <s v="15/2AL"/>
    <s v="CONT 10/2019"/>
    <d v="2019-03-17T00:00:00"/>
    <s v="R"/>
    <d v="2019-03-20T00:00:00"/>
    <n v="10000"/>
    <m/>
    <m/>
    <m/>
    <m/>
    <m/>
    <m/>
    <n v="10000"/>
    <n v="0"/>
    <n v="0"/>
    <m/>
  </r>
  <r>
    <s v="131B/2019"/>
    <d v="2019-03-19T00:00:00"/>
    <s v="THANH THÚY"/>
    <s v="HL03"/>
    <x v="31"/>
    <x v="78"/>
    <s v="YELLOWEEN"/>
    <m/>
    <s v="14.16"/>
    <n v="300"/>
    <s v="NL2018"/>
    <m/>
    <n v="10"/>
    <n v="3000"/>
    <x v="64"/>
    <n v="11400000"/>
    <x v="0"/>
    <x v="5"/>
    <d v="2019-04-19T00:00:00"/>
    <d v="2019-04-19T00:00:00"/>
    <s v="15/3AL"/>
    <s v="CONT 20/2019"/>
    <m/>
    <m/>
    <d v="2019-05-03T00:00:00"/>
    <n v="3000"/>
    <m/>
    <m/>
    <m/>
    <m/>
    <m/>
    <m/>
    <n v="3000"/>
    <n v="0"/>
    <n v="0"/>
    <m/>
  </r>
  <r>
    <s v="131B/2019"/>
    <d v="2019-05-23T00:00:00"/>
    <s v="THANH THÚY"/>
    <s v="HL03"/>
    <x v="31"/>
    <x v="0"/>
    <s v="YELLOWEEN"/>
    <m/>
    <s v="12.14"/>
    <n v="400"/>
    <s v="NL2018"/>
    <m/>
    <n v="0"/>
    <n v="0"/>
    <x v="37"/>
    <n v="0"/>
    <x v="1"/>
    <x v="1"/>
    <d v="2019-05-21T00:00:00"/>
    <d v="2019-05-21T00:00:00"/>
    <m/>
    <m/>
    <m/>
    <m/>
    <m/>
    <m/>
    <m/>
    <m/>
    <m/>
    <m/>
    <m/>
    <m/>
    <n v="0"/>
    <n v="0"/>
    <n v="0"/>
    <m/>
  </r>
  <r>
    <s v="131B/2019"/>
    <d v="2019-03-19T00:00:00"/>
    <s v="THANH THÚY"/>
    <s v="HL03"/>
    <x v="31"/>
    <x v="3"/>
    <s v="ROBINA"/>
    <m/>
    <s v="16.18"/>
    <n v="200"/>
    <s v="NL2018"/>
    <m/>
    <n v="50"/>
    <n v="10000"/>
    <x v="8"/>
    <n v="50000000"/>
    <x v="0"/>
    <x v="5"/>
    <d v="2019-04-19T00:00:00"/>
    <d v="2019-04-19T00:00:00"/>
    <s v="15/3AL"/>
    <s v="CONT 20/2019"/>
    <m/>
    <m/>
    <d v="2019-05-03T00:00:00"/>
    <n v="10000"/>
    <m/>
    <m/>
    <m/>
    <m/>
    <m/>
    <m/>
    <n v="10000"/>
    <n v="0"/>
    <n v="0"/>
    <m/>
  </r>
  <r>
    <s v="131B/2019"/>
    <d v="2019-03-19T00:00:00"/>
    <s v="THANH THÚY"/>
    <s v="HL03"/>
    <x v="31"/>
    <x v="12"/>
    <s v="PROFUNDO"/>
    <m/>
    <s v="14.16"/>
    <n v="300"/>
    <s v="NL2018"/>
    <m/>
    <n v="0"/>
    <n v="0"/>
    <x v="8"/>
    <n v="0"/>
    <x v="1"/>
    <x v="5"/>
    <d v="2019-04-19T00:00:00"/>
    <d v="2019-04-19T00:00:00"/>
    <s v="15/3AL"/>
    <m/>
    <m/>
    <m/>
    <m/>
    <m/>
    <m/>
    <m/>
    <m/>
    <m/>
    <m/>
    <m/>
    <n v="0"/>
    <n v="0"/>
    <n v="0"/>
    <m/>
  </r>
  <r>
    <s v="131B/2019"/>
    <d v="2019-03-19T00:00:00"/>
    <s v="THANH THÚY"/>
    <s v="HL03"/>
    <x v="31"/>
    <x v="11"/>
    <s v="PROFUNDO"/>
    <m/>
    <s v="16.18"/>
    <n v="200"/>
    <s v="NL2018"/>
    <m/>
    <n v="0"/>
    <n v="0"/>
    <x v="31"/>
    <n v="0"/>
    <x v="1"/>
    <x v="5"/>
    <d v="2019-04-19T00:00:00"/>
    <d v="2019-04-19T00:00:00"/>
    <s v="15/3AL"/>
    <m/>
    <m/>
    <m/>
    <m/>
    <m/>
    <m/>
    <m/>
    <m/>
    <m/>
    <m/>
    <m/>
    <n v="0"/>
    <n v="0"/>
    <n v="0"/>
    <m/>
  </r>
  <r>
    <s v="64A/2019"/>
    <d v="2019-05-14T00:00:00"/>
    <s v="KIỀU THY"/>
    <s v="MP02"/>
    <x v="32"/>
    <x v="78"/>
    <s v="YELLOWEEN"/>
    <m/>
    <s v="14.16"/>
    <n v="300"/>
    <s v="NL2018"/>
    <m/>
    <n v="10"/>
    <n v="3000"/>
    <x v="45"/>
    <n v="12000000"/>
    <x v="2"/>
    <x v="13"/>
    <d v="2019-07-31T00:00:00"/>
    <d v="2019-07-31T00:00:00"/>
    <m/>
    <m/>
    <m/>
    <m/>
    <m/>
    <m/>
    <m/>
    <m/>
    <m/>
    <m/>
    <m/>
    <m/>
    <n v="0"/>
    <n v="3000"/>
    <n v="12000000"/>
    <m/>
  </r>
  <r>
    <s v="64A/2019"/>
    <d v="2019-05-14T00:00:00"/>
    <s v="KIỀU THY"/>
    <s v="MP02"/>
    <x v="32"/>
    <x v="78"/>
    <s v="YELLOWEEN"/>
    <m/>
    <s v="14.16"/>
    <n v="300"/>
    <s v="NL2018"/>
    <m/>
    <n v="10"/>
    <n v="3000"/>
    <x v="45"/>
    <n v="12000000"/>
    <x v="2"/>
    <x v="14"/>
    <d v="2019-08-29T00:00:00"/>
    <d v="2019-08-29T00:00:00"/>
    <m/>
    <m/>
    <m/>
    <m/>
    <m/>
    <m/>
    <m/>
    <m/>
    <m/>
    <m/>
    <m/>
    <m/>
    <n v="0"/>
    <n v="3000"/>
    <n v="12000000"/>
    <m/>
  </r>
  <r>
    <s v="64A/2019"/>
    <d v="2019-02-21T00:00:00"/>
    <s v="KIỀU THY"/>
    <s v="MP02"/>
    <x v="32"/>
    <x v="78"/>
    <s v="YELLOWEEN"/>
    <m/>
    <s v="14.16"/>
    <n v="300"/>
    <s v="NL2018"/>
    <m/>
    <n v="8"/>
    <n v="2400"/>
    <x v="64"/>
    <n v="9120000"/>
    <x v="0"/>
    <x v="30"/>
    <d v="2019-04-04T00:00:00"/>
    <d v="2019-04-04T00:00:00"/>
    <s v="30/2AL"/>
    <s v="CONT 14/2019"/>
    <d v="2019-03-31T00:00:00"/>
    <s v="R"/>
    <d v="2019-04-08T00:00:00"/>
    <n v="2400"/>
    <m/>
    <m/>
    <m/>
    <m/>
    <m/>
    <m/>
    <n v="2400"/>
    <n v="0"/>
    <n v="0"/>
    <m/>
  </r>
  <r>
    <s v="64A/2019"/>
    <m/>
    <m/>
    <s v="MP02"/>
    <x v="32"/>
    <x v="33"/>
    <s v="TEBALDI"/>
    <m/>
    <s v="14.16"/>
    <n v="300"/>
    <s v="NL2018"/>
    <m/>
    <n v="10"/>
    <n v="3000"/>
    <x v="41"/>
    <n v="12900000"/>
    <x v="0"/>
    <x v="28"/>
    <d v="2019-06-07T00:00:00"/>
    <d v="2019-06-07T00:00:00"/>
    <m/>
    <m/>
    <m/>
    <m/>
    <d v="2019-06-10T00:00:00"/>
    <n v="3000"/>
    <m/>
    <m/>
    <m/>
    <m/>
    <m/>
    <m/>
    <n v="3000"/>
    <n v="0"/>
    <n v="0"/>
    <m/>
  </r>
  <r>
    <s v="64A/2019"/>
    <d v="2019-05-14T00:00:00"/>
    <s v="KIỀU THY"/>
    <s v="MP02"/>
    <x v="32"/>
    <x v="33"/>
    <s v="TEBALDI"/>
    <m/>
    <s v="14.16"/>
    <n v="300"/>
    <s v="NL2018"/>
    <m/>
    <n v="0"/>
    <n v="0"/>
    <x v="50"/>
    <n v="0"/>
    <x v="1"/>
    <x v="13"/>
    <d v="2019-07-31T00:00:00"/>
    <d v="2019-07-31T00:00:00"/>
    <m/>
    <m/>
    <m/>
    <m/>
    <m/>
    <m/>
    <m/>
    <m/>
    <m/>
    <m/>
    <m/>
    <m/>
    <n v="0"/>
    <n v="0"/>
    <n v="0"/>
    <m/>
  </r>
  <r>
    <s v="64A/2019"/>
    <d v="2019-05-14T00:00:00"/>
    <s v="KIỀU THY"/>
    <s v="MP02"/>
    <x v="32"/>
    <x v="33"/>
    <s v="TEBALDI"/>
    <m/>
    <s v="14.16"/>
    <n v="300"/>
    <s v="NL2018"/>
    <m/>
    <n v="0"/>
    <n v="0"/>
    <x v="50"/>
    <n v="0"/>
    <x v="1"/>
    <x v="14"/>
    <d v="2019-08-29T00:00:00"/>
    <d v="2019-08-29T00:00:00"/>
    <m/>
    <m/>
    <m/>
    <m/>
    <m/>
    <m/>
    <m/>
    <m/>
    <m/>
    <m/>
    <m/>
    <m/>
    <n v="0"/>
    <n v="0"/>
    <n v="0"/>
    <m/>
  </r>
  <r>
    <s v="64A/2019"/>
    <d v="2019-02-21T00:00:00"/>
    <s v="KIỀU THY"/>
    <s v="MP02"/>
    <x v="32"/>
    <x v="33"/>
    <s v="TEBALDI"/>
    <m/>
    <s v="14.16"/>
    <n v="300"/>
    <s v="NL2018"/>
    <m/>
    <n v="9"/>
    <n v="2700"/>
    <x v="38"/>
    <n v="11070000"/>
    <x v="0"/>
    <x v="30"/>
    <d v="2019-04-04T00:00:00"/>
    <d v="2019-04-04T00:00:00"/>
    <s v="30/2AL"/>
    <s v="CONT 15/2019"/>
    <d v="2019-03-31T00:00:00"/>
    <s v="R"/>
    <d v="2019-04-08T00:00:00"/>
    <n v="2700"/>
    <m/>
    <m/>
    <m/>
    <m/>
    <m/>
    <m/>
    <n v="2700"/>
    <n v="0"/>
    <n v="0"/>
    <m/>
  </r>
  <r>
    <s v="64A/2019"/>
    <d v="2019-02-21T00:00:00"/>
    <s v="KIỀU THY"/>
    <s v="MP02"/>
    <x v="32"/>
    <x v="3"/>
    <s v="ROBINA"/>
    <m/>
    <s v="16.18"/>
    <n v="200"/>
    <s v="NL2018"/>
    <m/>
    <n v="13"/>
    <n v="2600"/>
    <x v="4"/>
    <n v="13442000"/>
    <x v="0"/>
    <x v="1"/>
    <d v="2019-05-21T00:00:00"/>
    <d v="2019-05-21T00:00:00"/>
    <s v="T4AL"/>
    <m/>
    <m/>
    <s v="R"/>
    <d v="2019-05-21T00:00:00"/>
    <n v="1400"/>
    <d v="2019-05-27T00:00:00"/>
    <n v="1200"/>
    <m/>
    <m/>
    <m/>
    <m/>
    <n v="2600"/>
    <n v="0"/>
    <n v="0"/>
    <m/>
  </r>
  <r>
    <s v="64A/2019"/>
    <d v="2019-05-14T00:00:00"/>
    <s v="KIỀU THY"/>
    <s v="MP02"/>
    <x v="32"/>
    <x v="44"/>
    <s v="NELLO "/>
    <m/>
    <s v="12.14"/>
    <n v="400"/>
    <s v="NL2018"/>
    <m/>
    <n v="0"/>
    <n v="0"/>
    <x v="52"/>
    <n v="0"/>
    <x v="1"/>
    <x v="46"/>
    <d v="2019-06-27T00:00:00"/>
    <d v="2019-06-27T00:00:00"/>
    <m/>
    <m/>
    <m/>
    <m/>
    <m/>
    <m/>
    <m/>
    <m/>
    <m/>
    <m/>
    <m/>
    <m/>
    <n v="0"/>
    <n v="0"/>
    <n v="0"/>
    <m/>
  </r>
  <r>
    <s v="64A/2019"/>
    <d v="2019-02-21T00:00:00"/>
    <s v="KIỀU THY"/>
    <s v="MP02"/>
    <x v="32"/>
    <x v="6"/>
    <s v="CONCADOR "/>
    <m/>
    <s v="16.18"/>
    <n v="200"/>
    <s v="NL2018"/>
    <m/>
    <n v="12"/>
    <n v="2400"/>
    <x v="4"/>
    <n v="12408000"/>
    <x v="0"/>
    <x v="1"/>
    <d v="2019-05-21T00:00:00"/>
    <d v="2019-05-21T00:00:00"/>
    <s v="T4AL"/>
    <m/>
    <m/>
    <s v="R"/>
    <d v="2019-05-21T00:00:00"/>
    <n v="1200"/>
    <d v="2019-05-27T00:00:00"/>
    <n v="1200"/>
    <m/>
    <m/>
    <m/>
    <m/>
    <n v="2400"/>
    <n v="0"/>
    <n v="0"/>
    <m/>
  </r>
  <r>
    <s v="66B/2019"/>
    <d v="2019-02-21T00:00:00"/>
    <s v="THANH THÚY"/>
    <s v="HS01"/>
    <x v="33"/>
    <x v="39"/>
    <s v="PROFUNDO"/>
    <m/>
    <s v="20.22"/>
    <n v="125"/>
    <s v="NL2018"/>
    <m/>
    <n v="48"/>
    <n v="6000"/>
    <x v="47"/>
    <n v="78000000"/>
    <x v="2"/>
    <x v="2"/>
    <d v="2019-09-29T00:00:00"/>
    <d v="2019-09-29T00:00:00"/>
    <s v="TẾT"/>
    <m/>
    <m/>
    <m/>
    <m/>
    <n v="0"/>
    <m/>
    <m/>
    <m/>
    <m/>
    <m/>
    <m/>
    <n v="0"/>
    <n v="6000"/>
    <n v="78000000"/>
    <d v="2020-01-05T00:00:00"/>
  </r>
  <r>
    <s v="66B/2019"/>
    <d v="2019-02-21T00:00:00"/>
    <s v="THANH THÚY"/>
    <s v="HS01"/>
    <x v="33"/>
    <x v="7"/>
    <s v="CONCADOR"/>
    <m/>
    <s v="20.22"/>
    <n v="125"/>
    <s v="NL2018"/>
    <m/>
    <n v="13"/>
    <n v="1625"/>
    <x v="106"/>
    <n v="0"/>
    <x v="2"/>
    <x v="2"/>
    <d v="2019-09-29T00:00:00"/>
    <d v="2019-09-29T00:00:00"/>
    <s v="TẾT.BÙ CỦ"/>
    <m/>
    <m/>
    <m/>
    <m/>
    <n v="0"/>
    <m/>
    <m/>
    <m/>
    <m/>
    <m/>
    <m/>
    <n v="0"/>
    <n v="1625"/>
    <n v="0"/>
    <d v="2020-01-05T00:00:00"/>
  </r>
  <r>
    <s v="66B/2019"/>
    <d v="2019-02-21T00:00:00"/>
    <s v="THANH THÚY"/>
    <s v="HS01"/>
    <x v="33"/>
    <x v="21"/>
    <s v="CONCADOR"/>
    <m/>
    <s v="22.24"/>
    <n v="100"/>
    <s v="NL2018"/>
    <m/>
    <n v="60"/>
    <n v="6000"/>
    <x v="25"/>
    <n v="75000000"/>
    <x v="2"/>
    <x v="2"/>
    <d v="2019-09-29T00:00:00"/>
    <d v="2019-09-29T00:00:00"/>
    <s v="TẾT"/>
    <m/>
    <m/>
    <m/>
    <m/>
    <n v="0"/>
    <m/>
    <m/>
    <m/>
    <m/>
    <m/>
    <m/>
    <n v="0"/>
    <n v="6000"/>
    <n v="75000000"/>
    <d v="2020-01-05T00:00:00"/>
  </r>
  <r>
    <s v="97B/2019"/>
    <d v="2019-03-08T00:00:00"/>
    <s v="THANH THÚY"/>
    <s v="PU01"/>
    <x v="34"/>
    <x v="57"/>
    <s v="YELLOWEEN"/>
    <m/>
    <s v="16.18"/>
    <n v="200"/>
    <s v="NL2018"/>
    <m/>
    <n v="25"/>
    <n v="5000"/>
    <x v="55"/>
    <n v="28000000"/>
    <x v="2"/>
    <x v="2"/>
    <d v="2019-09-29T00:00:00"/>
    <d v="2019-09-29T00:00:00"/>
    <s v="TẾT"/>
    <m/>
    <m/>
    <m/>
    <m/>
    <n v="0"/>
    <m/>
    <m/>
    <m/>
    <m/>
    <m/>
    <m/>
    <n v="0"/>
    <n v="5000"/>
    <n v="28000000"/>
    <m/>
  </r>
  <r>
    <s v="97B/2019"/>
    <d v="2019-03-08T00:00:00"/>
    <s v="THANH THÚY"/>
    <s v="PU01"/>
    <x v="34"/>
    <x v="5"/>
    <s v="ROBINA"/>
    <m/>
    <s v="18.20"/>
    <n v="150"/>
    <s v="NL2018"/>
    <m/>
    <n v="27"/>
    <n v="4050"/>
    <x v="56"/>
    <n v="29160000"/>
    <x v="2"/>
    <x v="2"/>
    <d v="2019-09-29T00:00:00"/>
    <d v="2019-09-29T00:00:00"/>
    <s v="TẾT"/>
    <m/>
    <m/>
    <m/>
    <m/>
    <n v="0"/>
    <m/>
    <m/>
    <m/>
    <m/>
    <m/>
    <m/>
    <n v="0"/>
    <n v="4050"/>
    <n v="29160000"/>
    <m/>
  </r>
  <r>
    <s v="97B/2019"/>
    <d v="2019-03-08T00:00:00"/>
    <s v="THANH THÚY"/>
    <s v="PU01"/>
    <x v="34"/>
    <x v="23"/>
    <s v="ROBINA"/>
    <m/>
    <s v="22.24"/>
    <n v="100"/>
    <s v="NL2018"/>
    <m/>
    <n v="60"/>
    <n v="6000"/>
    <x v="25"/>
    <n v="75000000"/>
    <x v="2"/>
    <x v="2"/>
    <d v="2019-09-29T00:00:00"/>
    <d v="2019-09-29T00:00:00"/>
    <s v="TẾT"/>
    <m/>
    <m/>
    <m/>
    <m/>
    <n v="0"/>
    <m/>
    <m/>
    <m/>
    <m/>
    <m/>
    <m/>
    <n v="0"/>
    <n v="6000"/>
    <n v="75000000"/>
    <m/>
  </r>
  <r>
    <s v="97B/2019"/>
    <d v="2019-03-08T00:00:00"/>
    <s v="THANH THÚY"/>
    <s v="PU01"/>
    <x v="34"/>
    <x v="7"/>
    <s v="CONCADOR"/>
    <m/>
    <s v="20.22"/>
    <n v="125"/>
    <s v="NL2018"/>
    <m/>
    <n v="48"/>
    <n v="6000"/>
    <x v="5"/>
    <n v="63000000"/>
    <x v="2"/>
    <x v="2"/>
    <d v="2019-09-29T00:00:00"/>
    <d v="2019-09-29T00:00:00"/>
    <s v="TẾT"/>
    <m/>
    <m/>
    <m/>
    <m/>
    <n v="0"/>
    <m/>
    <m/>
    <m/>
    <m/>
    <m/>
    <m/>
    <n v="0"/>
    <n v="6000"/>
    <n v="63000000"/>
    <m/>
  </r>
  <r>
    <s v="X"/>
    <m/>
    <s v="KIỀU THY"/>
    <s v="TT03"/>
    <x v="35"/>
    <x v="22"/>
    <s v="YELLOWEEN"/>
    <m/>
    <s v="14.16"/>
    <s v="300"/>
    <s v="NL2017"/>
    <m/>
    <n v="0"/>
    <n v="0"/>
    <x v="107"/>
    <n v="0"/>
    <x v="1"/>
    <x v="16"/>
    <d v="2019-03-12T00:00:00"/>
    <d v="2019-03-12T00:00:00"/>
    <s v="7/2AL"/>
    <s v="CONT 87/2018"/>
    <m/>
    <m/>
    <m/>
    <m/>
    <m/>
    <m/>
    <m/>
    <m/>
    <m/>
    <m/>
    <n v="0"/>
    <n v="0"/>
    <n v="0"/>
    <m/>
  </r>
  <r>
    <s v="151A/2019"/>
    <d v="2019-03-27T00:00:00"/>
    <s v="KIỀU THY"/>
    <s v="TT03"/>
    <x v="35"/>
    <x v="102"/>
    <s v="SERANO"/>
    <m/>
    <s v="14.16"/>
    <s v="300"/>
    <s v="NL2017"/>
    <m/>
    <n v="17"/>
    <n v="5100"/>
    <x v="108"/>
    <n v="18360000"/>
    <x v="0"/>
    <x v="26"/>
    <s v=""/>
    <s v=""/>
    <m/>
    <m/>
    <m/>
    <m/>
    <d v="2019-04-03T00:00:00"/>
    <n v="5100"/>
    <m/>
    <m/>
    <m/>
    <m/>
    <m/>
    <m/>
    <n v="5100"/>
    <n v="0"/>
    <n v="0"/>
    <m/>
  </r>
  <r>
    <s v="X"/>
    <m/>
    <s v="KIỀU THY"/>
    <s v="TT03"/>
    <x v="35"/>
    <x v="2"/>
    <s v="SERANO"/>
    <m/>
    <s v="14.16"/>
    <s v="300"/>
    <s v="NL2018"/>
    <m/>
    <n v="34"/>
    <n v="10200"/>
    <x v="108"/>
    <n v="36720000"/>
    <x v="0"/>
    <x v="0"/>
    <d v="2019-03-20T00:00:00"/>
    <d v="2019-03-20T00:00:00"/>
    <s v="15/2AL"/>
    <s v="CONT 10/2019"/>
    <d v="2019-03-17T00:00:00"/>
    <m/>
    <d v="2019-03-19T00:00:00"/>
    <n v="10200"/>
    <m/>
    <m/>
    <m/>
    <m/>
    <m/>
    <m/>
    <n v="10200"/>
    <n v="0"/>
    <n v="0"/>
    <m/>
  </r>
  <r>
    <s v="151A/2019"/>
    <d v="2019-03-27T00:00:00"/>
    <s v="KIỀU THY"/>
    <s v="TT03"/>
    <x v="35"/>
    <x v="103"/>
    <s v="INDIANA"/>
    <m/>
    <s v="14.16"/>
    <s v="300"/>
    <s v="NL2017"/>
    <m/>
    <n v="20"/>
    <n v="6000"/>
    <x v="12"/>
    <n v="28200000"/>
    <x v="0"/>
    <x v="47"/>
    <s v=""/>
    <s v=""/>
    <s v="15/2AL"/>
    <m/>
    <m/>
    <m/>
    <d v="2019-04-03T00:00:00"/>
    <n v="6000"/>
    <m/>
    <m/>
    <m/>
    <m/>
    <m/>
    <m/>
    <n v="6000"/>
    <n v="0"/>
    <n v="0"/>
    <m/>
  </r>
  <r>
    <s v="X"/>
    <m/>
    <s v="KIỀU THY"/>
    <s v="TT03"/>
    <x v="35"/>
    <x v="24"/>
    <s v="DALIAN"/>
    <m/>
    <s v="14.16"/>
    <n v="300"/>
    <s v="NL2018"/>
    <m/>
    <n v="7"/>
    <n v="2100"/>
    <x v="33"/>
    <n v="11130000"/>
    <x v="0"/>
    <x v="0"/>
    <d v="2019-03-20T00:00:00"/>
    <d v="2019-03-20T00:00:00"/>
    <s v="15/2AL"/>
    <s v="CONT 11/2019"/>
    <d v="2019-03-17T00:00:00"/>
    <m/>
    <d v="2019-03-19T00:00:00"/>
    <n v="2100"/>
    <m/>
    <m/>
    <m/>
    <m/>
    <m/>
    <m/>
    <n v="2100"/>
    <n v="0"/>
    <n v="0"/>
    <m/>
  </r>
  <r>
    <s v="151A/2019"/>
    <d v="2019-03-27T00:00:00"/>
    <s v="KIỀU THY"/>
    <s v="TT03"/>
    <x v="35"/>
    <x v="56"/>
    <s v="ALUSTA"/>
    <m/>
    <s v="14.16"/>
    <s v="300"/>
    <s v="NL2018"/>
    <m/>
    <n v="7"/>
    <n v="2100"/>
    <x v="45"/>
    <n v="8400000"/>
    <x v="0"/>
    <x v="47"/>
    <s v=""/>
    <s v=""/>
    <s v="15/2AL"/>
    <m/>
    <m/>
    <m/>
    <d v="2019-04-03T00:00:00"/>
    <n v="2100"/>
    <m/>
    <m/>
    <m/>
    <m/>
    <m/>
    <m/>
    <n v="2100"/>
    <n v="0"/>
    <n v="0"/>
    <m/>
  </r>
  <r>
    <s v="104A/2019"/>
    <d v="2019-03-11T00:00:00"/>
    <s v="KIỀU THY"/>
    <s v="XK01"/>
    <x v="36"/>
    <x v="78"/>
    <s v="YELLOWEEN"/>
    <m/>
    <s v="14.16"/>
    <n v="300"/>
    <s v="NL2018"/>
    <m/>
    <n v="17"/>
    <n v="5100"/>
    <x v="64"/>
    <n v="19380000"/>
    <x v="0"/>
    <x v="5"/>
    <d v="2019-04-19T00:00:00"/>
    <d v="2019-04-19T00:00:00"/>
    <s v="15/3AL"/>
    <s v="CONT 20/2019"/>
    <d v="2019-04-14T00:00:00"/>
    <m/>
    <d v="2019-04-26T00:00:00"/>
    <n v="5100"/>
    <m/>
    <m/>
    <m/>
    <m/>
    <m/>
    <m/>
    <n v="5100"/>
    <n v="0"/>
    <n v="0"/>
    <m/>
  </r>
  <r>
    <s v="104A/2019"/>
    <d v="2019-03-11T00:00:00"/>
    <s v="KIỀU THY"/>
    <s v="XK01"/>
    <x v="36"/>
    <x v="78"/>
    <s v="YELLOWEEN"/>
    <m/>
    <s v="14.16"/>
    <n v="300"/>
    <s v="NL2018"/>
    <m/>
    <n v="17"/>
    <n v="5100"/>
    <x v="64"/>
    <n v="19380000"/>
    <x v="0"/>
    <x v="5"/>
    <d v="2019-04-19T00:00:00"/>
    <d v="2019-04-19T00:00:00"/>
    <s v="17/4AL"/>
    <m/>
    <m/>
    <m/>
    <m/>
    <n v="5100"/>
    <m/>
    <m/>
    <m/>
    <m/>
    <m/>
    <m/>
    <n v="5100"/>
    <n v="0"/>
    <n v="0"/>
    <m/>
  </r>
  <r>
    <s v="30A/2019"/>
    <d v="2019-01-15T00:00:00"/>
    <s v="KIỀU THY"/>
    <s v="XK01"/>
    <x v="36"/>
    <x v="57"/>
    <s v="YELLOWEEN"/>
    <m/>
    <s v="16.18"/>
    <n v="200"/>
    <s v="NL2018"/>
    <m/>
    <n v="25"/>
    <n v="5000"/>
    <x v="8"/>
    <n v="25000000"/>
    <x v="0"/>
    <x v="6"/>
    <d v="2019-02-19T00:00:00"/>
    <d v="2019-02-19T00:00:00"/>
    <s v="15/1AL"/>
    <m/>
    <m/>
    <s v="R"/>
    <d v="2019-03-09T00:00:00"/>
    <n v="5000"/>
    <m/>
    <m/>
    <m/>
    <m/>
    <m/>
    <m/>
    <n v="5000"/>
    <n v="0"/>
    <n v="0"/>
    <m/>
  </r>
  <r>
    <s v="30A/2019"/>
    <d v="2019-01-15T00:00:00"/>
    <s v="KIỀU THY"/>
    <s v="XK01"/>
    <x v="36"/>
    <x v="69"/>
    <s v="YELLOWEEN"/>
    <m/>
    <s v="16.18"/>
    <n v="200"/>
    <s v="NL2017"/>
    <m/>
    <n v="25"/>
    <n v="5000"/>
    <x v="64"/>
    <n v="19000000"/>
    <x v="0"/>
    <x v="6"/>
    <d v="2019-02-19T00:00:00"/>
    <d v="2019-02-19T00:00:00"/>
    <s v="15/1AL"/>
    <m/>
    <m/>
    <m/>
    <d v="2019-03-09T00:00:00"/>
    <n v="5000"/>
    <m/>
    <m/>
    <m/>
    <m/>
    <m/>
    <m/>
    <n v="5000"/>
    <n v="0"/>
    <n v="0"/>
    <m/>
  </r>
  <r>
    <s v="30A/2019"/>
    <d v="2019-01-15T00:00:00"/>
    <s v="KIỀU THY"/>
    <s v="XK01"/>
    <x v="36"/>
    <x v="78"/>
    <s v="YELLOWEEN"/>
    <m/>
    <s v="14.16"/>
    <n v="300"/>
    <s v="NL2018"/>
    <m/>
    <n v="20"/>
    <n v="6000"/>
    <x v="64"/>
    <n v="22800000"/>
    <x v="0"/>
    <x v="0"/>
    <d v="2019-03-20T00:00:00"/>
    <d v="2019-03-20T00:00:00"/>
    <s v="15/2AL"/>
    <s v="CONT 10/2019"/>
    <d v="2019-03-17T00:00:00"/>
    <s v="R"/>
    <d v="2019-03-19T00:00:00"/>
    <n v="6000"/>
    <m/>
    <m/>
    <m/>
    <m/>
    <m/>
    <m/>
    <n v="6000"/>
    <n v="0"/>
    <n v="0"/>
    <m/>
  </r>
  <r>
    <s v="153A/2019"/>
    <d v="2019-04-23T00:00:00"/>
    <s v="KIỀU THY"/>
    <s v="XK01"/>
    <x v="36"/>
    <x v="35"/>
    <s v="TARRANGO"/>
    <m/>
    <s v="14.16"/>
    <n v="300"/>
    <s v="NL2018"/>
    <m/>
    <n v="34"/>
    <n v="10200"/>
    <x v="44"/>
    <n v="49980000"/>
    <x v="0"/>
    <x v="28"/>
    <d v="2019-06-07T00:00:00"/>
    <d v="2019-06-07T00:00:00"/>
    <s v="10/5AL"/>
    <m/>
    <m/>
    <m/>
    <d v="2019-06-08T00:00:00"/>
    <n v="10200"/>
    <m/>
    <m/>
    <m/>
    <m/>
    <m/>
    <m/>
    <n v="10200"/>
    <n v="0"/>
    <n v="0"/>
    <m/>
  </r>
  <r>
    <s v="153A/2019"/>
    <d v="2019-04-23T00:00:00"/>
    <s v="KIỀU THY"/>
    <s v="XK01"/>
    <x v="36"/>
    <x v="35"/>
    <s v="TARRANGO"/>
    <m/>
    <s v="14.16"/>
    <n v="300"/>
    <s v="NL2018"/>
    <m/>
    <n v="33"/>
    <n v="9900"/>
    <x v="44"/>
    <n v="48510000"/>
    <x v="3"/>
    <x v="3"/>
    <d v="2019-06-20T00:00:00"/>
    <d v="2019-06-20T00:00:00"/>
    <s v="25/5AL"/>
    <m/>
    <m/>
    <m/>
    <m/>
    <m/>
    <m/>
    <m/>
    <m/>
    <m/>
    <m/>
    <m/>
    <n v="0"/>
    <n v="9900"/>
    <n v="48510000"/>
    <m/>
  </r>
  <r>
    <s v="104A/2019"/>
    <d v="2019-03-11T00:00:00"/>
    <s v="KIỀU THY"/>
    <s v="XK01"/>
    <x v="36"/>
    <x v="2"/>
    <s v="SERANO"/>
    <m/>
    <s v="14.16"/>
    <n v="300"/>
    <s v="NL2018"/>
    <m/>
    <n v="17"/>
    <n v="5100"/>
    <x v="3"/>
    <n v="17850000"/>
    <x v="0"/>
    <x v="30"/>
    <d v="2019-04-04T00:00:00"/>
    <d v="2019-04-04T00:00:00"/>
    <s v="30/2AL"/>
    <s v="CONT 17/2019"/>
    <d v="2019-03-31T00:00:00"/>
    <m/>
    <d v="2019-04-16T00:00:00"/>
    <n v="5100"/>
    <m/>
    <m/>
    <m/>
    <m/>
    <m/>
    <m/>
    <n v="5100"/>
    <n v="0"/>
    <n v="0"/>
    <m/>
  </r>
  <r>
    <s v="153A/2019"/>
    <d v="2019-03-28T00:00:00"/>
    <s v="KIỀU THY"/>
    <s v="XK01"/>
    <x v="36"/>
    <x v="2"/>
    <s v="SERANO"/>
    <m/>
    <s v="14.16"/>
    <n v="300"/>
    <s v="NL2018"/>
    <m/>
    <n v="16"/>
    <n v="4800"/>
    <x v="82"/>
    <n v="17760000"/>
    <x v="0"/>
    <x v="1"/>
    <d v="2019-05-21T00:00:00"/>
    <d v="2019-05-21T00:00:00"/>
    <s v="17/4AL"/>
    <m/>
    <m/>
    <m/>
    <m/>
    <n v="5100"/>
    <m/>
    <m/>
    <m/>
    <m/>
    <m/>
    <m/>
    <n v="5100"/>
    <n v="-300"/>
    <n v="-1110000"/>
    <m/>
  </r>
  <r>
    <s v="153A/2019"/>
    <d v="2019-03-28T00:00:00"/>
    <s v="KIỀU THY"/>
    <s v="XK01"/>
    <x v="36"/>
    <x v="87"/>
    <s v="SERANO"/>
    <m/>
    <s v="16.18"/>
    <n v="200"/>
    <s v="NL2018"/>
    <m/>
    <n v="50"/>
    <n v="10000"/>
    <x v="73"/>
    <n v="52000000"/>
    <x v="3"/>
    <x v="28"/>
    <d v="2019-06-07T00:00:00"/>
    <d v="2019-06-07T00:00:00"/>
    <s v="10/5AL"/>
    <m/>
    <m/>
    <m/>
    <m/>
    <m/>
    <m/>
    <m/>
    <m/>
    <m/>
    <m/>
    <m/>
    <n v="0"/>
    <n v="10000"/>
    <n v="52000000"/>
    <m/>
  </r>
  <r>
    <s v="153A/2019"/>
    <d v="2019-04-23T00:00:00"/>
    <s v="KIỀU THY"/>
    <s v="XK01"/>
    <x v="36"/>
    <x v="87"/>
    <s v="SERANO"/>
    <m/>
    <s v="16.18"/>
    <n v="200"/>
    <s v="NL2018"/>
    <m/>
    <n v="50"/>
    <n v="10000"/>
    <x v="73"/>
    <n v="52000000"/>
    <x v="4"/>
    <x v="18"/>
    <d v="2019-07-02T00:00:00"/>
    <d v="2019-07-02T00:00:00"/>
    <s v="10/5AL"/>
    <m/>
    <m/>
    <m/>
    <m/>
    <m/>
    <m/>
    <m/>
    <m/>
    <m/>
    <m/>
    <m/>
    <n v="0"/>
    <n v="10000"/>
    <n v="52000000"/>
    <m/>
  </r>
  <r>
    <s v="153A/2019"/>
    <d v="2019-03-28T00:00:00"/>
    <s v="KIỀU THY"/>
    <s v="XK01"/>
    <x v="36"/>
    <x v="87"/>
    <s v="SERANO"/>
    <m/>
    <s v="16.18"/>
    <n v="200"/>
    <s v="NL2018"/>
    <m/>
    <n v="100"/>
    <n v="20000"/>
    <x v="33"/>
    <n v="106000000"/>
    <x v="2"/>
    <x v="13"/>
    <d v="2019-07-31T00:00:00"/>
    <d v="2019-07-31T00:00:00"/>
    <s v="10/6AL"/>
    <m/>
    <m/>
    <m/>
    <m/>
    <m/>
    <m/>
    <m/>
    <m/>
    <m/>
    <m/>
    <m/>
    <n v="0"/>
    <n v="20000"/>
    <n v="106000000"/>
    <m/>
  </r>
  <r>
    <s v="153A/2019"/>
    <d v="2019-05-06T00:00:00"/>
    <s v="KIỀU THY"/>
    <s v="XK01"/>
    <x v="36"/>
    <x v="87"/>
    <s v="SERANO"/>
    <m/>
    <s v="16.18"/>
    <n v="200"/>
    <s v="NL2018"/>
    <m/>
    <n v="125"/>
    <n v="25000"/>
    <x v="33"/>
    <n v="132500000"/>
    <x v="2"/>
    <x v="48"/>
    <d v="2019-08-20T00:00:00"/>
    <d v="2019-08-20T00:00:00"/>
    <s v="T6/AL"/>
    <m/>
    <m/>
    <m/>
    <m/>
    <m/>
    <m/>
    <m/>
    <m/>
    <m/>
    <m/>
    <m/>
    <n v="0"/>
    <n v="25000"/>
    <n v="132500000"/>
    <m/>
  </r>
  <r>
    <s v="153A/2019"/>
    <d v="2019-05-06T00:00:00"/>
    <s v="KIỀU THY"/>
    <s v="XK01"/>
    <x v="36"/>
    <x v="87"/>
    <s v="SERANO"/>
    <m/>
    <s v="16.18"/>
    <n v="200"/>
    <s v="NL2018"/>
    <m/>
    <n v="125"/>
    <n v="25000"/>
    <x v="6"/>
    <n v="135000000"/>
    <x v="2"/>
    <x v="45"/>
    <d v="2019-09-08T00:00:00"/>
    <d v="2019-09-08T00:00:00"/>
    <s v="T7/AL"/>
    <m/>
    <m/>
    <m/>
    <m/>
    <m/>
    <m/>
    <m/>
    <m/>
    <m/>
    <m/>
    <m/>
    <n v="0"/>
    <n v="25000"/>
    <n v="135000000"/>
    <m/>
  </r>
  <r>
    <s v="104A/2019"/>
    <d v="2019-03-11T00:00:00"/>
    <s v="KIỀU THY"/>
    <s v="XK01"/>
    <x v="36"/>
    <x v="3"/>
    <s v="ROBINA"/>
    <m/>
    <s v="16.18"/>
    <n v="200"/>
    <s v="NL2018"/>
    <m/>
    <n v="25"/>
    <n v="5000"/>
    <x v="8"/>
    <n v="25000000"/>
    <x v="0"/>
    <x v="5"/>
    <d v="2019-04-19T00:00:00"/>
    <d v="2019-04-19T00:00:00"/>
    <s v="15/3AL"/>
    <s v="CONT 26/2019"/>
    <d v="2019-04-14T00:00:00"/>
    <m/>
    <d v="2019-04-26T00:00:00"/>
    <n v="5000"/>
    <m/>
    <m/>
    <m/>
    <m/>
    <m/>
    <m/>
    <n v="5000"/>
    <n v="0"/>
    <n v="0"/>
    <m/>
  </r>
  <r>
    <s v="104A/2019"/>
    <d v="2019-03-11T00:00:00"/>
    <s v="KIỀU THY"/>
    <s v="XK01"/>
    <x v="36"/>
    <x v="5"/>
    <s v="ROBINA"/>
    <m/>
    <s v="18.20"/>
    <n v="150"/>
    <s v="NL2018"/>
    <m/>
    <n v="34"/>
    <n v="5100"/>
    <x v="75"/>
    <n v="32130000"/>
    <x v="0"/>
    <x v="5"/>
    <d v="2019-04-19T00:00:00"/>
    <d v="2019-04-19T00:00:00"/>
    <s v="15/3AL"/>
    <s v="CONT 25/2019"/>
    <d v="2019-04-14T00:00:00"/>
    <m/>
    <d v="2019-04-26T00:00:00"/>
    <n v="5100"/>
    <m/>
    <m/>
    <m/>
    <m/>
    <m/>
    <m/>
    <n v="5100"/>
    <n v="0"/>
    <n v="0"/>
    <m/>
  </r>
  <r>
    <s v="104A/2019"/>
    <d v="2019-03-11T00:00:00"/>
    <s v="KIỀU THY"/>
    <s v="XK01"/>
    <x v="36"/>
    <x v="3"/>
    <s v="ROBINA"/>
    <m/>
    <s v="16.18"/>
    <n v="200"/>
    <s v="NL2018"/>
    <m/>
    <n v="25"/>
    <n v="5000"/>
    <x v="33"/>
    <n v="26500000"/>
    <x v="0"/>
    <x v="5"/>
    <d v="2019-04-19T00:00:00"/>
    <d v="2019-04-19T00:00:00"/>
    <s v="17/4AL"/>
    <m/>
    <m/>
    <m/>
    <m/>
    <n v="5000"/>
    <m/>
    <m/>
    <m/>
    <m/>
    <m/>
    <m/>
    <n v="5000"/>
    <n v="0"/>
    <n v="0"/>
    <m/>
  </r>
  <r>
    <s v="104A/2019"/>
    <d v="2019-01-15T00:00:00"/>
    <s v="KIỀU THY"/>
    <s v="XK01"/>
    <x v="36"/>
    <x v="3"/>
    <s v="ROBINA"/>
    <m/>
    <s v="16.18"/>
    <n v="200"/>
    <s v="NL2018"/>
    <m/>
    <n v="40"/>
    <n v="8000"/>
    <x v="8"/>
    <n v="40000000"/>
    <x v="0"/>
    <x v="30"/>
    <d v="2019-04-04T00:00:00"/>
    <d v="2019-04-04T00:00:00"/>
    <s v="30/2AL"/>
    <s v="CONT 15/2019"/>
    <d v="2019-03-31T00:00:00"/>
    <s v="R"/>
    <d v="2019-04-06T00:00:00"/>
    <n v="8000"/>
    <m/>
    <m/>
    <m/>
    <m/>
    <m/>
    <m/>
    <n v="8000"/>
    <n v="0"/>
    <n v="0"/>
    <s v="check lai gia 4800 hay 5000"/>
  </r>
  <r>
    <s v="153A/2019"/>
    <d v="2019-03-28T00:00:00"/>
    <s v="KIỀU THY"/>
    <s v="XK01"/>
    <x v="36"/>
    <x v="5"/>
    <s v="ROBINA"/>
    <m/>
    <s v="18.20"/>
    <n v="150"/>
    <s v="NL2018"/>
    <m/>
    <n v="164"/>
    <n v="24600"/>
    <x v="56"/>
    <n v="177120000"/>
    <x v="3"/>
    <x v="28"/>
    <d v="2019-06-07T00:00:00"/>
    <d v="2019-06-07T00:00:00"/>
    <s v="10/5AL"/>
    <m/>
    <m/>
    <m/>
    <d v="2019-06-08T00:00:00"/>
    <n v="10050"/>
    <m/>
    <m/>
    <m/>
    <m/>
    <m/>
    <m/>
    <n v="10050"/>
    <n v="14550"/>
    <n v="104760000"/>
    <m/>
  </r>
  <r>
    <s v="153A/2019"/>
    <d v="2019-03-28T00:00:00"/>
    <s v="KIỀU THY"/>
    <s v="XK01"/>
    <x v="36"/>
    <x v="5"/>
    <s v="ROBINA"/>
    <m/>
    <s v="18.20"/>
    <n v="150"/>
    <s v="NL2018"/>
    <m/>
    <n v="168"/>
    <n v="25200"/>
    <x v="105"/>
    <n v="183960000"/>
    <x v="3"/>
    <x v="3"/>
    <d v="2019-06-20T00:00:00"/>
    <d v="2019-06-20T00:00:00"/>
    <s v="10/6AL"/>
    <m/>
    <m/>
    <m/>
    <m/>
    <m/>
    <m/>
    <m/>
    <m/>
    <m/>
    <m/>
    <m/>
    <n v="0"/>
    <n v="25200"/>
    <n v="183960000"/>
    <m/>
  </r>
  <r>
    <s v="30A/2019"/>
    <d v="2019-01-15T00:00:00"/>
    <s v="KIỀU THY"/>
    <s v="XK01"/>
    <x v="36"/>
    <x v="5"/>
    <s v="ROBINA"/>
    <m/>
    <s v="18.20"/>
    <n v="150"/>
    <s v="NL2018"/>
    <m/>
    <n v="34"/>
    <n v="5100"/>
    <x v="75"/>
    <n v="32130000"/>
    <x v="0"/>
    <x v="0"/>
    <d v="2019-03-20T00:00:00"/>
    <d v="2019-03-20T00:00:00"/>
    <s v="15/2AL"/>
    <s v="CONT 11/2019"/>
    <d v="2019-03-17T00:00:00"/>
    <m/>
    <d v="2019-03-19T00:00:00"/>
    <n v="5100"/>
    <m/>
    <m/>
    <m/>
    <m/>
    <m/>
    <m/>
    <n v="5100"/>
    <n v="0"/>
    <n v="0"/>
    <m/>
  </r>
  <r>
    <s v="104A/2019"/>
    <d v="2019-04-23T00:00:00"/>
    <s v="KIỀU THY"/>
    <s v="XK01"/>
    <x v="36"/>
    <x v="11"/>
    <s v="PROFUNDO"/>
    <m/>
    <s v="16.18"/>
    <n v="200"/>
    <s v="NL2018"/>
    <m/>
    <n v="15"/>
    <n v="3000"/>
    <x v="11"/>
    <n v="23100000"/>
    <x v="0"/>
    <x v="5"/>
    <d v="2019-04-19T00:00:00"/>
    <d v="2019-04-19T00:00:00"/>
    <s v="15/3AL"/>
    <m/>
    <m/>
    <m/>
    <d v="2019-04-26T00:00:00"/>
    <n v="3000"/>
    <m/>
    <m/>
    <m/>
    <m/>
    <m/>
    <m/>
    <n v="3000"/>
    <n v="0"/>
    <n v="0"/>
    <m/>
  </r>
  <r>
    <s v="104A/2019"/>
    <d v="2019-04-25T00:00:00"/>
    <s v="KIỀU THY"/>
    <s v="XK01"/>
    <x v="36"/>
    <x v="11"/>
    <s v="PROFUNDO"/>
    <m/>
    <s v="16.18"/>
    <n v="200"/>
    <s v="NL2018"/>
    <m/>
    <n v="5"/>
    <n v="1000"/>
    <x v="11"/>
    <n v="7700000"/>
    <x v="0"/>
    <x v="17"/>
    <d v="2019-04-02T00:00:00"/>
    <d v="2019-04-02T00:00:00"/>
    <s v="28/2AL"/>
    <m/>
    <m/>
    <m/>
    <d v="2019-04-26T00:00:00"/>
    <n v="1000"/>
    <m/>
    <m/>
    <m/>
    <m/>
    <m/>
    <m/>
    <n v="1000"/>
    <n v="0"/>
    <n v="0"/>
    <m/>
  </r>
  <r>
    <s v="30A/2019"/>
    <d v="2019-01-15T00:00:00"/>
    <s v="KIỀU THY"/>
    <s v="XK01"/>
    <x v="36"/>
    <x v="11"/>
    <s v="PROFUNDO"/>
    <m/>
    <s v="16.18"/>
    <n v="200"/>
    <s v="NL2018"/>
    <m/>
    <n v="25"/>
    <n v="5000"/>
    <x v="32"/>
    <n v="33500000"/>
    <x v="0"/>
    <x v="0"/>
    <d v="2019-03-20T00:00:00"/>
    <d v="2019-03-20T00:00:00"/>
    <s v="15/2AL"/>
    <s v="CONT 12/2019"/>
    <d v="2019-03-17T00:00:00"/>
    <m/>
    <d v="2019-03-19T00:00:00"/>
    <n v="5000"/>
    <m/>
    <m/>
    <m/>
    <m/>
    <m/>
    <m/>
    <n v="5000"/>
    <n v="0"/>
    <n v="0"/>
    <m/>
  </r>
  <r>
    <s v="30A/2019"/>
    <d v="2019-01-15T00:00:00"/>
    <s v="KIỀU THY"/>
    <s v="XK01"/>
    <x v="36"/>
    <x v="20"/>
    <s v="PROFUNDO"/>
    <m/>
    <s v="22.24"/>
    <n v="100"/>
    <s v="NL2018"/>
    <m/>
    <n v="50"/>
    <n v="5000"/>
    <x v="24"/>
    <n v="71000000"/>
    <x v="2"/>
    <x v="2"/>
    <d v="2019-09-29T00:00:00"/>
    <d v="2019-09-29T00:00:00"/>
    <s v="TẾT"/>
    <m/>
    <m/>
    <m/>
    <m/>
    <n v="0"/>
    <m/>
    <m/>
    <m/>
    <m/>
    <m/>
    <m/>
    <n v="0"/>
    <n v="5000"/>
    <n v="71000000"/>
    <m/>
  </r>
  <r>
    <s v="153A/2019"/>
    <d v="2019-04-23T00:00:00"/>
    <s v="KIỀU THY"/>
    <s v="XK01"/>
    <x v="36"/>
    <x v="27"/>
    <s v="MALDANO"/>
    <m/>
    <s v="16.18"/>
    <n v="200"/>
    <s v="NL2018"/>
    <m/>
    <n v="10"/>
    <n v="2000"/>
    <x v="33"/>
    <n v="10600000"/>
    <x v="0"/>
    <x v="1"/>
    <d v="2019-05-21T00:00:00"/>
    <d v="2019-05-21T00:00:00"/>
    <s v="17/4AL"/>
    <m/>
    <m/>
    <m/>
    <d v="2019-05-19T00:00:00"/>
    <n v="2000"/>
    <m/>
    <m/>
    <m/>
    <m/>
    <m/>
    <m/>
    <n v="2000"/>
    <n v="0"/>
    <n v="0"/>
    <m/>
  </r>
  <r>
    <s v="104A/2019"/>
    <d v="2019-03-11T00:00:00"/>
    <s v="KIỀU THY"/>
    <s v="XK01"/>
    <x v="36"/>
    <x v="24"/>
    <s v="DALIAN"/>
    <m/>
    <s v="14.16"/>
    <n v="300"/>
    <s v="NL2018"/>
    <m/>
    <n v="17"/>
    <n v="5100"/>
    <x v="33"/>
    <n v="27030000"/>
    <x v="0"/>
    <x v="36"/>
    <d v="2019-05-04T00:00:00"/>
    <d v="2019-05-04T00:00:00"/>
    <s v="17/4AL"/>
    <m/>
    <m/>
    <m/>
    <d v="2019-05-19T00:00:00"/>
    <n v="5100"/>
    <m/>
    <m/>
    <m/>
    <m/>
    <m/>
    <m/>
    <n v="5100"/>
    <n v="0"/>
    <n v="0"/>
    <m/>
  </r>
  <r>
    <s v="30A/2019"/>
    <d v="2019-01-15T00:00:00"/>
    <s v="KIỀU THY"/>
    <s v="XK01"/>
    <x v="36"/>
    <x v="62"/>
    <s v="DALIAN"/>
    <m/>
    <s v="20.22"/>
    <n v="125"/>
    <s v="NL2018"/>
    <m/>
    <n v="40"/>
    <n v="5000"/>
    <x v="24"/>
    <n v="71000000"/>
    <x v="2"/>
    <x v="2"/>
    <d v="2019-09-29T00:00:00"/>
    <d v="2019-09-29T00:00:00"/>
    <s v="TẾT"/>
    <m/>
    <m/>
    <m/>
    <m/>
    <n v="0"/>
    <m/>
    <m/>
    <m/>
    <m/>
    <m/>
    <m/>
    <n v="0"/>
    <n v="5000"/>
    <n v="71000000"/>
    <m/>
  </r>
  <r>
    <s v="104A/2019"/>
    <d v="2019-01-15T00:00:00"/>
    <s v="KIỀU THY"/>
    <s v="XK01"/>
    <x v="36"/>
    <x v="6"/>
    <s v="CONCADOR "/>
    <m/>
    <s v="16.18"/>
    <n v="200"/>
    <s v="NL2018"/>
    <m/>
    <n v="30"/>
    <n v="6000"/>
    <x v="12"/>
    <n v="28200000"/>
    <x v="0"/>
    <x v="30"/>
    <d v="2019-04-04T00:00:00"/>
    <d v="2019-04-04T00:00:00"/>
    <s v="30/2AL"/>
    <s v="CONT 17/2019"/>
    <d v="2019-03-31T00:00:00"/>
    <m/>
    <d v="2019-04-16T00:00:00"/>
    <n v="6000"/>
    <m/>
    <m/>
    <m/>
    <m/>
    <m/>
    <m/>
    <n v="6000"/>
    <n v="0"/>
    <n v="0"/>
    <m/>
  </r>
  <r>
    <s v="30A/2019"/>
    <d v="2019-01-15T00:00:00"/>
    <s v="KIỀU THY"/>
    <s v="XK01"/>
    <x v="36"/>
    <x v="6"/>
    <s v="CONCADOR "/>
    <m/>
    <s v="16.18"/>
    <n v="200"/>
    <s v="NL2018"/>
    <m/>
    <n v="30"/>
    <n v="6000"/>
    <x v="29"/>
    <n v="27600000"/>
    <x v="0"/>
    <x v="6"/>
    <d v="2019-02-19T00:00:00"/>
    <d v="2019-02-19T00:00:00"/>
    <s v="15/1AL"/>
    <m/>
    <m/>
    <s v="R"/>
    <d v="2019-03-02T00:00:00"/>
    <n v="6000"/>
    <m/>
    <m/>
    <m/>
    <m/>
    <m/>
    <m/>
    <n v="6000"/>
    <n v="0"/>
    <n v="0"/>
    <m/>
  </r>
  <r>
    <s v="104A/2019"/>
    <d v="2019-03-11T00:00:00"/>
    <s v="KIỀU THY"/>
    <s v="XK01"/>
    <x v="36"/>
    <x v="6"/>
    <s v="CONCADOR"/>
    <m/>
    <s v="16.18"/>
    <n v="200"/>
    <s v="NL2018"/>
    <m/>
    <n v="25"/>
    <n v="5000"/>
    <x v="8"/>
    <n v="25000000"/>
    <x v="0"/>
    <x v="5"/>
    <d v="2019-04-19T00:00:00"/>
    <d v="2019-04-19T00:00:00"/>
    <s v="15/3AL"/>
    <s v="CONT 21/2019"/>
    <d v="2019-04-14T00:00:00"/>
    <m/>
    <d v="2019-04-26T00:00:00"/>
    <n v="5000"/>
    <m/>
    <m/>
    <m/>
    <m/>
    <m/>
    <m/>
    <n v="5000"/>
    <n v="0"/>
    <n v="0"/>
    <m/>
  </r>
  <r>
    <s v="153A/2019"/>
    <d v="2019-03-28T00:00:00"/>
    <s v="KIỀU THY"/>
    <s v="XK01"/>
    <x v="36"/>
    <x v="6"/>
    <s v="CONCADOR"/>
    <m/>
    <s v="16.18"/>
    <n v="200"/>
    <s v="NL2018"/>
    <m/>
    <n v="26"/>
    <n v="5200"/>
    <x v="51"/>
    <n v="31200000"/>
    <x v="0"/>
    <x v="1"/>
    <d v="2019-05-21T00:00:00"/>
    <d v="2019-05-21T00:00:00"/>
    <s v="17/4AL"/>
    <m/>
    <m/>
    <m/>
    <d v="2019-05-19T00:00:00"/>
    <n v="5000"/>
    <m/>
    <m/>
    <m/>
    <m/>
    <m/>
    <m/>
    <n v="5000"/>
    <n v="200"/>
    <n v="1200000"/>
    <m/>
  </r>
  <r>
    <s v="30A/2019"/>
    <d v="2019-01-15T00:00:00"/>
    <s v="KIỀU THY"/>
    <s v="XK01"/>
    <x v="36"/>
    <x v="7"/>
    <s v="CONCADOR"/>
    <m/>
    <s v="20.22"/>
    <n v="125"/>
    <s v="NL2018"/>
    <m/>
    <n v="40"/>
    <n v="5000"/>
    <x v="5"/>
    <n v="52500000"/>
    <x v="2"/>
    <x v="2"/>
    <d v="2019-09-29T00:00:00"/>
    <d v="2019-09-29T00:00:00"/>
    <s v="TẾT"/>
    <m/>
    <m/>
    <m/>
    <m/>
    <n v="0"/>
    <m/>
    <m/>
    <m/>
    <m/>
    <m/>
    <m/>
    <n v="0"/>
    <n v="5000"/>
    <n v="52500000"/>
    <m/>
  </r>
  <r>
    <s v="30A/2019"/>
    <d v="2019-01-15T00:00:00"/>
    <s v="KIỀU THY"/>
    <s v="XK01"/>
    <x v="36"/>
    <x v="21"/>
    <s v="CONCADOR"/>
    <m/>
    <s v="22.24"/>
    <n v="100"/>
    <s v="NL2018"/>
    <m/>
    <n v="100"/>
    <n v="10000"/>
    <x v="25"/>
    <n v="125000000"/>
    <x v="2"/>
    <x v="2"/>
    <d v="2019-09-29T00:00:00"/>
    <d v="2019-09-29T00:00:00"/>
    <s v="TẾT"/>
    <m/>
    <m/>
    <m/>
    <m/>
    <n v="0"/>
    <m/>
    <m/>
    <m/>
    <m/>
    <m/>
    <m/>
    <n v="0"/>
    <n v="10000"/>
    <n v="125000000"/>
    <m/>
  </r>
  <r>
    <s v="104A/2019"/>
    <d v="2019-01-15T00:00:00"/>
    <s v="KIỀU THY"/>
    <s v="XK01"/>
    <x v="36"/>
    <x v="81"/>
    <s v="BACARDI"/>
    <m/>
    <s v="16.18"/>
    <n v="200"/>
    <s v="NL2018"/>
    <m/>
    <n v="20"/>
    <n v="4000"/>
    <x v="75"/>
    <n v="25200000"/>
    <x v="0"/>
    <x v="30"/>
    <d v="2019-04-04T00:00:00"/>
    <d v="2019-04-04T00:00:00"/>
    <s v="30/2AL"/>
    <s v="CONT 14/2019"/>
    <d v="2019-03-31T00:00:00"/>
    <m/>
    <d v="2019-04-16T00:00:00"/>
    <n v="4000"/>
    <m/>
    <m/>
    <m/>
    <m/>
    <m/>
    <m/>
    <n v="4000"/>
    <n v="0"/>
    <n v="0"/>
    <m/>
  </r>
  <r>
    <s v="30A/2019"/>
    <d v="2019-01-15T00:00:00"/>
    <s v="KIỀU THY"/>
    <s v="XK01"/>
    <x v="36"/>
    <x v="81"/>
    <s v="BACARDI"/>
    <m/>
    <s v="16.18"/>
    <n v="200"/>
    <s v="NL2018"/>
    <m/>
    <n v="20"/>
    <n v="4000"/>
    <x v="75"/>
    <n v="25200000"/>
    <x v="0"/>
    <x v="6"/>
    <d v="2019-02-19T00:00:00"/>
    <d v="2019-02-19T00:00:00"/>
    <s v="15/1AL"/>
    <m/>
    <m/>
    <s v="R"/>
    <d v="2019-03-09T00:00:00"/>
    <n v="4000"/>
    <m/>
    <m/>
    <m/>
    <m/>
    <m/>
    <m/>
    <n v="4000"/>
    <n v="0"/>
    <n v="0"/>
    <m/>
  </r>
  <r>
    <s v="30A/2019"/>
    <d v="2019-01-15T00:00:00"/>
    <s v="KIỀU THY"/>
    <s v="XK01"/>
    <x v="36"/>
    <x v="104"/>
    <s v="BACARDI"/>
    <m/>
    <s v="22.24"/>
    <n v="85"/>
    <s v="NL2018"/>
    <m/>
    <n v="59"/>
    <n v="5015"/>
    <x v="109"/>
    <n v="58174000"/>
    <x v="2"/>
    <x v="2"/>
    <d v="2019-09-29T00:00:00"/>
    <d v="2019-09-29T00:00:00"/>
    <s v="TẾT"/>
    <m/>
    <m/>
    <m/>
    <m/>
    <n v="0"/>
    <m/>
    <m/>
    <m/>
    <m/>
    <m/>
    <m/>
    <n v="0"/>
    <n v="5015"/>
    <n v="58174000"/>
    <m/>
  </r>
  <r>
    <s v="153A/2019"/>
    <d v="2019-03-28T00:00:00"/>
    <s v="KIỀU THY"/>
    <s v="XK01"/>
    <x v="36"/>
    <x v="9"/>
    <s v="ARVANDRUD"/>
    <m/>
    <s v="16.18"/>
    <n v="200"/>
    <s v="NL2018"/>
    <m/>
    <n v="25"/>
    <n v="5000"/>
    <x v="30"/>
    <n v="29000000"/>
    <x v="0"/>
    <x v="5"/>
    <d v="2019-04-19T00:00:00"/>
    <d v="2019-04-19T00:00:00"/>
    <s v="17/4AL"/>
    <m/>
    <m/>
    <m/>
    <d v="2019-05-23T00:00:00"/>
    <n v="5000"/>
    <m/>
    <m/>
    <m/>
    <m/>
    <m/>
    <m/>
    <n v="5000"/>
    <n v="0"/>
    <n v="0"/>
    <m/>
  </r>
  <r>
    <s v="114A/2019"/>
    <d v="2019-03-13T00:00:00"/>
    <s v="KIỀU THY"/>
    <s v="HT04"/>
    <x v="37"/>
    <x v="78"/>
    <s v="YELLOWEEN"/>
    <m/>
    <s v="14.16"/>
    <n v="300"/>
    <s v="NL2018"/>
    <m/>
    <n v="0"/>
    <n v="0"/>
    <x v="64"/>
    <n v="0"/>
    <x v="1"/>
    <x v="5"/>
    <d v="2019-04-19T00:00:00"/>
    <d v="2019-04-19T00:00:00"/>
    <s v="15/3AL"/>
    <s v="CONT 27/2019"/>
    <d v="2019-04-14T00:00:00"/>
    <m/>
    <m/>
    <m/>
    <m/>
    <m/>
    <m/>
    <m/>
    <m/>
    <m/>
    <n v="0"/>
    <n v="0"/>
    <n v="0"/>
    <m/>
  </r>
  <r>
    <s v="114A/2019"/>
    <d v="2019-03-13T00:00:00"/>
    <s v="KIỀU THY"/>
    <s v="HT04"/>
    <x v="37"/>
    <x v="0"/>
    <s v="YELLOWEEN"/>
    <m/>
    <s v="12.14"/>
    <s v="400"/>
    <s v="NL2018"/>
    <m/>
    <n v="0"/>
    <n v="0"/>
    <x v="0"/>
    <n v="0"/>
    <x v="1"/>
    <x v="30"/>
    <d v="2019-04-04T00:00:00"/>
    <d v="2019-04-04T00:00:00"/>
    <s v="9-16/4 KH LÊN THANH TOÁN VÀ GIAO HÀNG"/>
    <s v="CONT 18/2019"/>
    <d v="2019-03-31T00:00:00"/>
    <m/>
    <m/>
    <n v="0"/>
    <m/>
    <m/>
    <m/>
    <m/>
    <m/>
    <m/>
    <n v="0"/>
    <n v="0"/>
    <n v="0"/>
    <m/>
  </r>
  <r>
    <s v="185A/2019"/>
    <d v="2019-04-09T00:00:00"/>
    <s v="KIỀU THY"/>
    <s v="HT04"/>
    <x v="37"/>
    <x v="35"/>
    <s v="TARRANGO"/>
    <m/>
    <s v="14.16"/>
    <s v="300"/>
    <s v="NL2018"/>
    <m/>
    <n v="6"/>
    <n v="1800"/>
    <x v="12"/>
    <n v="8460000"/>
    <x v="0"/>
    <x v="30"/>
    <d v="2019-04-04T00:00:00"/>
    <d v="2019-04-04T00:00:00"/>
    <s v="9-16/4 KH LÊN THANH TOÁN VÀ GIAO HÀNG"/>
    <m/>
    <m/>
    <m/>
    <d v="2019-04-23T00:00:00"/>
    <n v="1800"/>
    <m/>
    <m/>
    <m/>
    <m/>
    <m/>
    <m/>
    <n v="1800"/>
    <n v="0"/>
    <n v="0"/>
    <m/>
  </r>
  <r>
    <s v="114A/2019"/>
    <d v="2019-03-13T00:00:00"/>
    <s v="KIỀU THY"/>
    <s v="HT04"/>
    <x v="37"/>
    <x v="9"/>
    <s v="ARVANDRUD"/>
    <m/>
    <s v="16.18"/>
    <s v="200"/>
    <s v="NL2018"/>
    <m/>
    <n v="25"/>
    <n v="5000"/>
    <x v="10"/>
    <n v="27500000"/>
    <x v="0"/>
    <x v="5"/>
    <d v="2019-04-19T00:00:00"/>
    <d v="2019-04-19T00:00:00"/>
    <s v="30/3AL"/>
    <m/>
    <m/>
    <m/>
    <d v="2019-05-24T00:00:00"/>
    <n v="5000"/>
    <m/>
    <m/>
    <m/>
    <m/>
    <m/>
    <m/>
    <n v="5000"/>
    <n v="0"/>
    <n v="0"/>
    <m/>
  </r>
  <r>
    <s v="223A/2019"/>
    <m/>
    <s v="KIỀU THY"/>
    <s v="VD03"/>
    <x v="38"/>
    <x v="2"/>
    <s v="SERANO"/>
    <m/>
    <s v="14.16"/>
    <s v="300"/>
    <s v="NL2018"/>
    <m/>
    <n v="0"/>
    <n v="0"/>
    <x v="82"/>
    <n v="0"/>
    <x v="1"/>
    <x v="0"/>
    <d v="2019-03-20T00:00:00"/>
    <d v="2019-03-20T00:00:00"/>
    <s v="15/2AL"/>
    <s v="CONT 10/2019"/>
    <d v="2019-03-17T00:00:00"/>
    <m/>
    <m/>
    <m/>
    <m/>
    <m/>
    <m/>
    <m/>
    <m/>
    <m/>
    <n v="0"/>
    <n v="0"/>
    <n v="0"/>
    <m/>
  </r>
  <r>
    <s v="223A/2019"/>
    <d v="2019-05-25T00:00:00"/>
    <s v="KIỀU THY"/>
    <s v="VD03"/>
    <x v="38"/>
    <x v="4"/>
    <s v="ROBINA"/>
    <m/>
    <s v="20.22"/>
    <s v="125"/>
    <s v="NL2018"/>
    <m/>
    <n v="80"/>
    <n v="10000"/>
    <x v="34"/>
    <n v="107000000"/>
    <x v="2"/>
    <x v="2"/>
    <d v="2019-09-29T00:00:00"/>
    <d v="2019-09-29T00:00:00"/>
    <m/>
    <m/>
    <m/>
    <m/>
    <m/>
    <m/>
    <m/>
    <m/>
    <m/>
    <m/>
    <m/>
    <m/>
    <n v="0"/>
    <n v="10000"/>
    <n v="107000000"/>
    <m/>
  </r>
  <r>
    <s v="223A/2019"/>
    <d v="2019-05-25T00:00:00"/>
    <s v="KIỀU THY"/>
    <s v="VD03"/>
    <x v="38"/>
    <x v="7"/>
    <s v="CONCADOR"/>
    <m/>
    <s v="20.22"/>
    <s v="125"/>
    <s v="NL2018"/>
    <m/>
    <n v="40"/>
    <n v="5000"/>
    <x v="35"/>
    <n v="53000000"/>
    <x v="2"/>
    <x v="2"/>
    <d v="2019-09-29T00:00:00"/>
    <d v="2019-09-29T00:00:00"/>
    <m/>
    <m/>
    <m/>
    <m/>
    <m/>
    <m/>
    <m/>
    <m/>
    <m/>
    <m/>
    <m/>
    <m/>
    <n v="0"/>
    <n v="5000"/>
    <n v="53000000"/>
    <m/>
  </r>
  <r>
    <s v="91B/2019"/>
    <d v="2019-06-01T00:00:00"/>
    <s v="THANH THÚY"/>
    <s v="VK01"/>
    <x v="39"/>
    <x v="78"/>
    <s v="YELLOWEEN"/>
    <m/>
    <n v="14.16"/>
    <n v="300"/>
    <s v="NL2018"/>
    <m/>
    <n v="20"/>
    <n v="6000"/>
    <x v="64"/>
    <n v="22800000"/>
    <x v="0"/>
    <x v="1"/>
    <d v="2019-05-21T00:00:00"/>
    <d v="2019-05-21T00:00:00"/>
    <m/>
    <m/>
    <m/>
    <m/>
    <d v="2019-06-01T00:00:00"/>
    <n v="6000"/>
    <m/>
    <m/>
    <m/>
    <m/>
    <m/>
    <m/>
    <n v="6000"/>
    <n v="0"/>
    <n v="0"/>
    <m/>
  </r>
  <r>
    <s v="91B/2019"/>
    <d v="2019-06-13T00:00:00"/>
    <s v="THANH THÚY"/>
    <s v="VK01"/>
    <x v="39"/>
    <x v="78"/>
    <s v="YELLOWEEN"/>
    <m/>
    <s v="14.16"/>
    <n v="300"/>
    <s v="NL2018"/>
    <m/>
    <n v="27"/>
    <n v="8100"/>
    <x v="45"/>
    <n v="32400000"/>
    <x v="2"/>
    <x v="49"/>
    <d v="2019-08-10T00:00:00"/>
    <d v="2019-08-10T00:00:00"/>
    <m/>
    <m/>
    <m/>
    <m/>
    <m/>
    <m/>
    <m/>
    <m/>
    <m/>
    <m/>
    <m/>
    <m/>
    <n v="0"/>
    <n v="8100"/>
    <n v="32400000"/>
    <m/>
  </r>
  <r>
    <s v="91B/2019"/>
    <d v="2019-03-07T00:00:00"/>
    <s v="THANH THÚY"/>
    <s v="VK01"/>
    <x v="39"/>
    <x v="35"/>
    <s v="TARRANGO"/>
    <m/>
    <s v="14.16"/>
    <n v="300"/>
    <s v="NL2018"/>
    <m/>
    <n v="10"/>
    <n v="3000"/>
    <x v="29"/>
    <n v="13800000"/>
    <x v="0"/>
    <x v="5"/>
    <d v="2019-04-19T00:00:00"/>
    <d v="2019-04-19T00:00:00"/>
    <s v="15/3AL"/>
    <s v="CONT 26/2019"/>
    <m/>
    <m/>
    <d v="2019-04-19T00:00:00"/>
    <n v="3000"/>
    <m/>
    <m/>
    <m/>
    <m/>
    <m/>
    <m/>
    <n v="3000"/>
    <n v="0"/>
    <n v="0"/>
    <d v="2020-01-05T00:00:00"/>
  </r>
  <r>
    <s v="155B/2019"/>
    <d v="2019-04-03T00:00:00"/>
    <s v="THANH THÚY"/>
    <s v="VK01"/>
    <x v="39"/>
    <x v="35"/>
    <s v="TARRANGO"/>
    <m/>
    <s v="14.16"/>
    <n v="300"/>
    <s v="NL2018"/>
    <m/>
    <n v="10"/>
    <n v="3000"/>
    <x v="29"/>
    <n v="13800000"/>
    <x v="0"/>
    <x v="5"/>
    <d v="2019-04-19T00:00:00"/>
    <d v="2019-04-19T00:00:00"/>
    <s v="15/3AL"/>
    <m/>
    <m/>
    <m/>
    <m/>
    <n v="3000"/>
    <m/>
    <m/>
    <m/>
    <m/>
    <m/>
    <m/>
    <n v="3000"/>
    <n v="0"/>
    <n v="0"/>
    <m/>
  </r>
  <r>
    <s v="155B/2019"/>
    <d v="2019-04-03T00:00:00"/>
    <s v="THANH THÚY"/>
    <s v="VK01"/>
    <x v="39"/>
    <x v="10"/>
    <s v="TARRANGO"/>
    <m/>
    <s v="16.18"/>
    <n v="200"/>
    <s v="NL2018"/>
    <m/>
    <n v="15"/>
    <n v="3000"/>
    <x v="10"/>
    <n v="16500000"/>
    <x v="0"/>
    <x v="5"/>
    <d v="2019-04-19T00:00:00"/>
    <d v="2019-04-19T00:00:00"/>
    <s v="15/3AL"/>
    <m/>
    <m/>
    <m/>
    <d v="2019-05-16T00:00:00"/>
    <n v="3000"/>
    <m/>
    <m/>
    <m/>
    <m/>
    <m/>
    <m/>
    <n v="3000"/>
    <n v="0"/>
    <n v="0"/>
    <m/>
  </r>
  <r>
    <s v="91B/2019"/>
    <d v="2019-03-07T00:00:00"/>
    <s v="THANH THÚY"/>
    <s v="VK01"/>
    <x v="39"/>
    <x v="3"/>
    <s v="ROBINA"/>
    <m/>
    <s v="16.18"/>
    <n v="200"/>
    <s v="NL2018"/>
    <m/>
    <n v="15"/>
    <n v="3000"/>
    <x v="8"/>
    <n v="15000000"/>
    <x v="0"/>
    <x v="5"/>
    <d v="2019-04-19T00:00:00"/>
    <d v="2019-04-19T00:00:00"/>
    <s v="15/3AL"/>
    <s v="CONT 26/2019"/>
    <m/>
    <m/>
    <d v="2019-06-05T00:00:00"/>
    <n v="0"/>
    <m/>
    <m/>
    <m/>
    <m/>
    <m/>
    <m/>
    <n v="0"/>
    <n v="3000"/>
    <n v="15000000"/>
    <d v="2020-01-05T00:00:00"/>
  </r>
  <r>
    <s v="91B/2019"/>
    <d v="2019-05-27T00:00:00"/>
    <s v="THANH THÚY"/>
    <s v="VK01"/>
    <x v="39"/>
    <x v="99"/>
    <s v="ROBINA"/>
    <m/>
    <n v="14.16"/>
    <n v="300"/>
    <s v="NL2018"/>
    <m/>
    <n v="17"/>
    <n v="5100"/>
    <x v="64"/>
    <n v="19380000"/>
    <x v="0"/>
    <x v="28"/>
    <d v="2019-06-07T00:00:00"/>
    <d v="2019-06-07T00:00:00"/>
    <m/>
    <m/>
    <m/>
    <m/>
    <d v="2019-06-15T00:00:00"/>
    <n v="5100"/>
    <m/>
    <m/>
    <m/>
    <m/>
    <m/>
    <m/>
    <n v="5100"/>
    <n v="0"/>
    <n v="0"/>
    <m/>
  </r>
  <r>
    <s v="91B/2019"/>
    <d v="2019-06-13T00:00:00"/>
    <s v="THANH THÚY"/>
    <s v="VK01"/>
    <x v="39"/>
    <x v="3"/>
    <s v="ROBINA"/>
    <m/>
    <s v="16.18"/>
    <n v="200"/>
    <s v="NL2018"/>
    <m/>
    <n v="25"/>
    <n v="5000"/>
    <x v="85"/>
    <n v="28500000"/>
    <x v="2"/>
    <x v="49"/>
    <d v="2019-08-10T00:00:00"/>
    <d v="2019-08-10T00:00:00"/>
    <m/>
    <m/>
    <m/>
    <m/>
    <m/>
    <m/>
    <m/>
    <m/>
    <m/>
    <m/>
    <m/>
    <m/>
    <n v="0"/>
    <n v="5000"/>
    <n v="28500000"/>
    <m/>
  </r>
  <r>
    <s v="155B/2019"/>
    <d v="2019-04-03T00:00:00"/>
    <s v="THANH THÚY"/>
    <s v="VK01"/>
    <x v="39"/>
    <x v="3"/>
    <s v="ROBINA"/>
    <m/>
    <s v="16.18"/>
    <n v="200"/>
    <s v="NL2018"/>
    <m/>
    <n v="0"/>
    <n v="0"/>
    <x v="6"/>
    <n v="0"/>
    <x v="1"/>
    <x v="1"/>
    <d v="2019-05-21T00:00:00"/>
    <d v="2019-05-21T00:00:00"/>
    <s v="10/4AL"/>
    <m/>
    <m/>
    <m/>
    <m/>
    <m/>
    <m/>
    <m/>
    <m/>
    <m/>
    <m/>
    <m/>
    <n v="0"/>
    <n v="0"/>
    <n v="0"/>
    <m/>
  </r>
  <r>
    <s v="154B/2019"/>
    <d v="2019-04-03T00:00:00"/>
    <s v="THANH THÚY"/>
    <s v="VK01"/>
    <x v="39"/>
    <x v="4"/>
    <s v="ROBINA"/>
    <m/>
    <s v="20.22"/>
    <n v="125"/>
    <s v="NL2018"/>
    <m/>
    <n v="80"/>
    <n v="10000"/>
    <x v="34"/>
    <n v="107000000"/>
    <x v="2"/>
    <x v="2"/>
    <d v="2019-09-29T00:00:00"/>
    <d v="2019-09-29T00:00:00"/>
    <s v="TẾT"/>
    <m/>
    <m/>
    <m/>
    <m/>
    <m/>
    <m/>
    <m/>
    <m/>
    <m/>
    <m/>
    <m/>
    <n v="0"/>
    <n v="10000"/>
    <n v="107000000"/>
    <m/>
  </r>
  <r>
    <s v="91B/2019"/>
    <d v="2019-06-07T00:00:00"/>
    <s v="THANH THÚY"/>
    <s v="VK01"/>
    <x v="39"/>
    <x v="12"/>
    <s v="PROFUNDO"/>
    <m/>
    <n v="14.16"/>
    <n v="300"/>
    <s v="NL2018"/>
    <m/>
    <n v="5"/>
    <n v="1500"/>
    <x v="110"/>
    <n v="7650000"/>
    <x v="0"/>
    <x v="28"/>
    <d v="2019-06-07T00:00:00"/>
    <d v="2019-06-07T00:00:00"/>
    <m/>
    <m/>
    <m/>
    <m/>
    <d v="2019-06-15T00:00:00"/>
    <n v="1500"/>
    <m/>
    <m/>
    <m/>
    <m/>
    <m/>
    <m/>
    <n v="1500"/>
    <n v="0"/>
    <n v="0"/>
    <m/>
  </r>
  <r>
    <s v="bi"/>
    <d v="2019-06-07T00:00:00"/>
    <s v="THANH THÚY"/>
    <s v="VK01"/>
    <x v="39"/>
    <x v="82"/>
    <s v="PROFUNDO"/>
    <m/>
    <n v="14.16"/>
    <n v="275"/>
    <s v="NL2018"/>
    <m/>
    <n v="17"/>
    <n v="4675"/>
    <x v="110"/>
    <n v="23842500"/>
    <x v="0"/>
    <x v="1"/>
    <d v="2019-05-21T00:00:00"/>
    <d v="2019-05-21T00:00:00"/>
    <m/>
    <m/>
    <m/>
    <m/>
    <d v="2019-06-15T00:00:00"/>
    <n v="4675"/>
    <m/>
    <m/>
    <m/>
    <m/>
    <m/>
    <m/>
    <n v="4675"/>
    <n v="0"/>
    <n v="0"/>
    <m/>
  </r>
  <r>
    <s v="91B/2019"/>
    <d v="2019-03-07T00:00:00"/>
    <s v="THANH THÚY"/>
    <s v="VK01"/>
    <x v="39"/>
    <x v="79"/>
    <s v="MANISSA"/>
    <m/>
    <s v="16.18"/>
    <n v="200"/>
    <s v="NL2018"/>
    <m/>
    <n v="25"/>
    <n v="5000"/>
    <x v="32"/>
    <n v="33500000"/>
    <x v="0"/>
    <x v="5"/>
    <d v="2019-04-19T00:00:00"/>
    <d v="2019-04-19T00:00:00"/>
    <s v="15/3AL"/>
    <s v="CONT 27/2019"/>
    <m/>
    <m/>
    <d v="2019-05-16T00:00:00"/>
    <n v="5000"/>
    <m/>
    <m/>
    <m/>
    <m/>
    <m/>
    <m/>
    <n v="5000"/>
    <n v="0"/>
    <n v="0"/>
    <d v="2020-01-05T00:00:00"/>
  </r>
  <r>
    <s v="155B/2019"/>
    <d v="2019-04-03T00:00:00"/>
    <s v="THANH THÚY"/>
    <s v="VK01"/>
    <x v="39"/>
    <x v="79"/>
    <s v="MANISSA"/>
    <m/>
    <s v="16.18"/>
    <n v="200"/>
    <s v="NL2018"/>
    <m/>
    <n v="25"/>
    <n v="5000"/>
    <x v="32"/>
    <n v="33500000"/>
    <x v="0"/>
    <x v="5"/>
    <d v="2019-04-19T00:00:00"/>
    <d v="2019-04-19T00:00:00"/>
    <s v="15/3AL"/>
    <m/>
    <m/>
    <m/>
    <d v="2019-05-16T00:00:00"/>
    <n v="5000"/>
    <m/>
    <m/>
    <m/>
    <m/>
    <m/>
    <m/>
    <n v="5000"/>
    <n v="0"/>
    <n v="0"/>
    <m/>
  </r>
  <r>
    <s v="154B/2019"/>
    <d v="2019-04-03T00:00:00"/>
    <s v="THANH THÚY"/>
    <s v="VK01"/>
    <x v="39"/>
    <x v="67"/>
    <s v="MANISSA"/>
    <m/>
    <s v="22.24"/>
    <n v="100"/>
    <s v="NL2018"/>
    <m/>
    <n v="100"/>
    <n v="10000"/>
    <x v="111"/>
    <n v="154000000"/>
    <x v="2"/>
    <x v="2"/>
    <d v="2019-09-29T00:00:00"/>
    <d v="2019-09-29T00:00:00"/>
    <s v="TẾT"/>
    <m/>
    <m/>
    <m/>
    <m/>
    <m/>
    <m/>
    <m/>
    <m/>
    <m/>
    <m/>
    <m/>
    <n v="0"/>
    <n v="10000"/>
    <n v="154000000"/>
    <m/>
  </r>
  <r>
    <s v="91B/2019"/>
    <d v="2019-06-13T00:00:00"/>
    <s v="THANH THÚY"/>
    <s v="VK01"/>
    <x v="39"/>
    <x v="73"/>
    <s v="MALDANO"/>
    <m/>
    <s v="14.16"/>
    <n v="300"/>
    <s v="NL2018"/>
    <m/>
    <n v="7"/>
    <n v="2100"/>
    <x v="14"/>
    <n v="9450000"/>
    <x v="0"/>
    <x v="28"/>
    <d v="2019-06-07T00:00:00"/>
    <d v="2019-06-07T00:00:00"/>
    <m/>
    <m/>
    <m/>
    <m/>
    <d v="2019-06-15T00:00:00"/>
    <n v="2100"/>
    <m/>
    <m/>
    <m/>
    <m/>
    <m/>
    <m/>
    <n v="2100"/>
    <n v="0"/>
    <n v="0"/>
    <m/>
  </r>
  <r>
    <s v="91B/2019"/>
    <d v="2019-06-13T00:00:00"/>
    <s v="THANH THÚY"/>
    <s v="VK01"/>
    <x v="39"/>
    <x v="73"/>
    <s v="MALDANO"/>
    <m/>
    <s v="14.16"/>
    <n v="300"/>
    <s v="NL2018"/>
    <m/>
    <n v="17"/>
    <n v="5100"/>
    <x v="29"/>
    <n v="23460000"/>
    <x v="2"/>
    <x v="49"/>
    <d v="2019-08-10T00:00:00"/>
    <d v="2019-08-10T00:00:00"/>
    <m/>
    <m/>
    <m/>
    <m/>
    <m/>
    <m/>
    <m/>
    <m/>
    <m/>
    <m/>
    <m/>
    <m/>
    <n v="0"/>
    <n v="5100"/>
    <n v="23460000"/>
    <m/>
  </r>
  <r>
    <s v="155B/2019"/>
    <d v="2019-05-19T00:00:00"/>
    <s v="THANH THÚY"/>
    <s v="VK01"/>
    <x v="39"/>
    <x v="27"/>
    <s v="MALDANO"/>
    <m/>
    <s v="16.18"/>
    <n v="200"/>
    <s v="NL2018"/>
    <m/>
    <n v="20"/>
    <n v="4000"/>
    <x v="6"/>
    <n v="21600000"/>
    <x v="0"/>
    <x v="27"/>
    <d v="2019-05-14T00:00:00"/>
    <d v="2019-05-14T00:00:00"/>
    <m/>
    <m/>
    <m/>
    <m/>
    <d v="2019-05-19T00:00:00"/>
    <n v="4000"/>
    <m/>
    <m/>
    <m/>
    <m/>
    <m/>
    <m/>
    <n v="4000"/>
    <n v="0"/>
    <n v="0"/>
    <m/>
  </r>
  <r>
    <s v="182B/2019"/>
    <d v="2019-05-18T00:00:00"/>
    <s v="THANH THÚY"/>
    <s v="VK01"/>
    <x v="39"/>
    <x v="27"/>
    <s v="MALDANO"/>
    <m/>
    <s v="16.18"/>
    <n v="200"/>
    <s v="NL2018"/>
    <m/>
    <n v="20"/>
    <n v="4000"/>
    <x v="6"/>
    <n v="21600000"/>
    <x v="0"/>
    <x v="50"/>
    <d v="2019-05-18T00:00:00"/>
    <d v="2019-05-18T00:00:00"/>
    <s v="10/4AL"/>
    <m/>
    <m/>
    <m/>
    <m/>
    <n v="4000"/>
    <m/>
    <m/>
    <m/>
    <m/>
    <m/>
    <m/>
    <n v="4000"/>
    <n v="0"/>
    <n v="0"/>
    <m/>
  </r>
  <r>
    <s v="154B/2019"/>
    <d v="2019-04-03T00:00:00"/>
    <s v="THANH THÚY"/>
    <s v="VK01"/>
    <x v="39"/>
    <x v="74"/>
    <s v="MALDANO"/>
    <m/>
    <s v="18.20"/>
    <n v="150"/>
    <s v="NL2018"/>
    <m/>
    <n v="34"/>
    <n v="5100"/>
    <x v="46"/>
    <n v="43350000"/>
    <x v="2"/>
    <x v="2"/>
    <d v="2019-09-29T00:00:00"/>
    <d v="2019-09-29T00:00:00"/>
    <s v="TẾT"/>
    <m/>
    <m/>
    <m/>
    <m/>
    <m/>
    <m/>
    <m/>
    <m/>
    <m/>
    <m/>
    <m/>
    <n v="0"/>
    <n v="5100"/>
    <n v="43350000"/>
    <m/>
  </r>
  <r>
    <s v="91B/2019"/>
    <d v="2019-03-07T00:00:00"/>
    <s v="THANH THÚY"/>
    <s v="VK01"/>
    <x v="39"/>
    <x v="24"/>
    <s v="DALIAN"/>
    <m/>
    <n v="14.16"/>
    <n v="300"/>
    <s v="NL2018"/>
    <m/>
    <n v="17"/>
    <n v="5100"/>
    <x v="33"/>
    <n v="27030000"/>
    <x v="0"/>
    <x v="1"/>
    <d v="2019-05-21T00:00:00"/>
    <d v="2019-05-21T00:00:00"/>
    <s v="30/3AL"/>
    <m/>
    <m/>
    <m/>
    <d v="2019-06-05T00:00:00"/>
    <n v="5100"/>
    <m/>
    <m/>
    <m/>
    <m/>
    <m/>
    <m/>
    <n v="5100"/>
    <n v="0"/>
    <n v="0"/>
    <d v="2020-01-05T00:00:00"/>
  </r>
  <r>
    <s v="91B/2019"/>
    <d v="2019-03-07T00:00:00"/>
    <s v="THANH THÚY"/>
    <s v="VK01"/>
    <x v="39"/>
    <x v="24"/>
    <s v="DALIAN"/>
    <m/>
    <n v="14.16"/>
    <n v="300"/>
    <s v="NL2018"/>
    <m/>
    <n v="0"/>
    <n v="0"/>
    <x v="112"/>
    <n v="0"/>
    <x v="1"/>
    <x v="1"/>
    <d v="2019-05-21T00:00:00"/>
    <d v="2019-05-21T00:00:00"/>
    <s v="17/4AL"/>
    <m/>
    <m/>
    <m/>
    <m/>
    <n v="0"/>
    <m/>
    <m/>
    <m/>
    <m/>
    <m/>
    <m/>
    <n v="0"/>
    <n v="0"/>
    <n v="0"/>
    <d v="2020-01-05T00:00:00"/>
  </r>
  <r>
    <s v="154B/2019"/>
    <d v="2019-04-03T00:00:00"/>
    <s v="THANH THÚY"/>
    <s v="VK01"/>
    <x v="39"/>
    <x v="7"/>
    <s v="CONCADOR"/>
    <m/>
    <s v="20.22"/>
    <n v="125"/>
    <s v="NL2018"/>
    <m/>
    <n v="80"/>
    <n v="10000"/>
    <x v="35"/>
    <n v="106000000"/>
    <x v="2"/>
    <x v="2"/>
    <d v="2019-09-29T00:00:00"/>
    <d v="2019-09-29T00:00:00"/>
    <s v="TẾT"/>
    <m/>
    <m/>
    <m/>
    <m/>
    <m/>
    <m/>
    <m/>
    <m/>
    <m/>
    <m/>
    <m/>
    <n v="0"/>
    <n v="10000"/>
    <n v="106000000"/>
    <m/>
  </r>
  <r>
    <s v="154B/2019"/>
    <d v="2019-04-03T00:00:00"/>
    <s v="THANH THÚY"/>
    <s v="VK01"/>
    <x v="39"/>
    <x v="25"/>
    <s v="BACARDI"/>
    <m/>
    <s v="20.22"/>
    <n v="125"/>
    <s v="NL2018"/>
    <m/>
    <n v="48"/>
    <n v="6000"/>
    <x v="28"/>
    <n v="66000000"/>
    <x v="2"/>
    <x v="2"/>
    <d v="2019-09-29T00:00:00"/>
    <d v="2019-09-29T00:00:00"/>
    <s v="TẾT"/>
    <m/>
    <m/>
    <m/>
    <m/>
    <m/>
    <m/>
    <m/>
    <m/>
    <m/>
    <m/>
    <m/>
    <n v="0"/>
    <n v="6000"/>
    <n v="66000000"/>
    <m/>
  </r>
  <r>
    <s v="91B/2019"/>
    <d v="2019-03-07T00:00:00"/>
    <s v="THANH THÚY"/>
    <s v="VK01"/>
    <x v="39"/>
    <x v="9"/>
    <s v="ARVANDRUD"/>
    <m/>
    <s v="16.18"/>
    <n v="200"/>
    <s v="NL2018"/>
    <m/>
    <n v="0"/>
    <n v="0"/>
    <x v="10"/>
    <n v="0"/>
    <x v="1"/>
    <x v="5"/>
    <d v="2019-04-19T00:00:00"/>
    <d v="2019-04-19T00:00:00"/>
    <s v="15/3AL"/>
    <s v="CONT 21/2019"/>
    <m/>
    <m/>
    <m/>
    <n v="0"/>
    <m/>
    <m/>
    <m/>
    <m/>
    <m/>
    <m/>
    <n v="0"/>
    <n v="0"/>
    <n v="0"/>
    <m/>
  </r>
  <r>
    <s v="91B/2019"/>
    <d v="2019-06-13T00:00:00"/>
    <s v="THANH THÚY"/>
    <s v="VK01"/>
    <x v="39"/>
    <x v="9"/>
    <s v="ARVANDRUD"/>
    <m/>
    <s v="16.18"/>
    <n v="200"/>
    <s v="NL2018"/>
    <m/>
    <n v="25"/>
    <n v="5000"/>
    <x v="55"/>
    <n v="28000000"/>
    <x v="2"/>
    <x v="49"/>
    <d v="2019-08-10T00:00:00"/>
    <d v="2019-08-10T00:00:00"/>
    <m/>
    <m/>
    <m/>
    <m/>
    <m/>
    <m/>
    <m/>
    <m/>
    <m/>
    <m/>
    <m/>
    <m/>
    <n v="0"/>
    <n v="5000"/>
    <n v="28000000"/>
    <m/>
  </r>
  <r>
    <s v="155B/2019"/>
    <d v="2019-05-19T00:00:00"/>
    <s v="THANH THÚY"/>
    <s v="VK01"/>
    <x v="39"/>
    <x v="9"/>
    <s v="ARVANDRUD"/>
    <m/>
    <s v="16.18"/>
    <n v="200"/>
    <s v="NL2018"/>
    <m/>
    <n v="25"/>
    <n v="5000"/>
    <x v="30"/>
    <n v="29000000"/>
    <x v="0"/>
    <x v="27"/>
    <d v="2019-05-14T00:00:00"/>
    <d v="2019-05-14T00:00:00"/>
    <m/>
    <m/>
    <m/>
    <m/>
    <d v="2019-05-02T00:00:00"/>
    <n v="5000"/>
    <m/>
    <m/>
    <m/>
    <m/>
    <m/>
    <m/>
    <n v="5000"/>
    <n v="0"/>
    <n v="0"/>
    <m/>
  </r>
  <r>
    <s v="155B/2019"/>
    <d v="2019-04-03T00:00:00"/>
    <s v="THANH THÚY"/>
    <s v="VK01"/>
    <x v="39"/>
    <x v="9"/>
    <s v="ARVANDRUD"/>
    <m/>
    <s v="16.18"/>
    <n v="200"/>
    <s v="NL2018"/>
    <m/>
    <n v="25"/>
    <n v="5000"/>
    <x v="30"/>
    <n v="29000000"/>
    <x v="0"/>
    <x v="27"/>
    <d v="2019-05-14T00:00:00"/>
    <d v="2019-05-14T00:00:00"/>
    <s v="10/4AL"/>
    <m/>
    <m/>
    <m/>
    <d v="2019-05-02T00:00:00"/>
    <n v="5000"/>
    <m/>
    <m/>
    <m/>
    <m/>
    <m/>
    <m/>
    <n v="5000"/>
    <n v="0"/>
    <n v="0"/>
    <m/>
  </r>
  <r>
    <s v="227A/2019"/>
    <d v="2019-05-29T00:00:00"/>
    <s v="KIỀU THY"/>
    <s v="VX02"/>
    <x v="40"/>
    <x v="35"/>
    <s v="TARRANGO"/>
    <m/>
    <s v="14.16"/>
    <s v="300"/>
    <s v="NL2018"/>
    <m/>
    <n v="14"/>
    <n v="4200"/>
    <x v="43"/>
    <n v="20160000"/>
    <x v="0"/>
    <x v="1"/>
    <d v="2019-05-21T00:00:00"/>
    <d v="2019-05-21T00:00:00"/>
    <m/>
    <m/>
    <m/>
    <m/>
    <d v="2019-05-29T00:00:00"/>
    <n v="4200"/>
    <m/>
    <m/>
    <m/>
    <m/>
    <m/>
    <m/>
    <n v="4200"/>
    <n v="0"/>
    <n v="0"/>
    <m/>
  </r>
  <r>
    <s v="237/2019"/>
    <d v="2019-06-01T00:00:00"/>
    <s v="KIỀU THY"/>
    <s v="VX02"/>
    <x v="40"/>
    <x v="66"/>
    <s v="TARRANGO"/>
    <m/>
    <s v="20.22"/>
    <s v="125"/>
    <s v="NL2018"/>
    <m/>
    <n v="48"/>
    <n v="6000"/>
    <x v="28"/>
    <n v="66000000"/>
    <x v="2"/>
    <x v="2"/>
    <d v="2019-09-29T00:00:00"/>
    <d v="2019-09-29T00:00:00"/>
    <m/>
    <m/>
    <m/>
    <m/>
    <m/>
    <m/>
    <m/>
    <m/>
    <m/>
    <m/>
    <m/>
    <m/>
    <n v="0"/>
    <n v="6000"/>
    <n v="66000000"/>
    <m/>
  </r>
  <r>
    <s v="237/2019"/>
    <d v="2019-06-01T00:00:00"/>
    <s v="KIỀU THY"/>
    <s v="VX02"/>
    <x v="40"/>
    <x v="4"/>
    <s v="ROBINA NEWZEALAND"/>
    <m/>
    <s v="20.22"/>
    <s v="125"/>
    <s v="NL2018"/>
    <m/>
    <n v="48"/>
    <n v="6000"/>
    <x v="25"/>
    <n v="75000000"/>
    <x v="2"/>
    <x v="2"/>
    <d v="2019-09-29T00:00:00"/>
    <d v="2019-09-29T00:00:00"/>
    <m/>
    <m/>
    <m/>
    <m/>
    <m/>
    <m/>
    <m/>
    <m/>
    <m/>
    <m/>
    <m/>
    <m/>
    <n v="0"/>
    <n v="6000"/>
    <n v="75000000"/>
    <m/>
  </r>
  <r>
    <s v="227A/2019"/>
    <d v="2019-06-01T00:00:00"/>
    <s v="KIỀU THY"/>
    <s v="VX02"/>
    <x v="40"/>
    <x v="61"/>
    <s v="NASHVILLE"/>
    <m/>
    <s v="14.16"/>
    <s v="300"/>
    <s v="NL2018"/>
    <m/>
    <n v="0"/>
    <n v="0"/>
    <x v="38"/>
    <n v="0"/>
    <x v="1"/>
    <x v="48"/>
    <d v="2019-08-20T00:00:00"/>
    <d v="2019-08-20T00:00:00"/>
    <m/>
    <m/>
    <m/>
    <m/>
    <m/>
    <m/>
    <m/>
    <m/>
    <m/>
    <m/>
    <m/>
    <m/>
    <n v="0"/>
    <n v="0"/>
    <n v="0"/>
    <m/>
  </r>
  <r>
    <s v="227A/2019"/>
    <d v="2019-06-04T00:00:00"/>
    <s v="KIỀU THY"/>
    <s v="VX02"/>
    <x v="40"/>
    <x v="24"/>
    <s v="DALIAN"/>
    <m/>
    <s v="14.16"/>
    <s v="300"/>
    <s v="NL2018"/>
    <m/>
    <n v="1"/>
    <n v="300"/>
    <x v="10"/>
    <n v="1650000"/>
    <x v="0"/>
    <x v="1"/>
    <d v="2019-05-21T00:00:00"/>
    <d v="2019-05-21T00:00:00"/>
    <m/>
    <m/>
    <m/>
    <m/>
    <d v="2019-06-04T00:00:00"/>
    <n v="300"/>
    <m/>
    <m/>
    <m/>
    <m/>
    <m/>
    <m/>
    <n v="300"/>
    <n v="0"/>
    <n v="0"/>
    <m/>
  </r>
  <r>
    <s v="237/2019"/>
    <d v="2019-06-01T00:00:00"/>
    <s v="KIỀU THY"/>
    <s v="VX02"/>
    <x v="40"/>
    <x v="7"/>
    <s v="CONCADOR NEWZELAND"/>
    <m/>
    <s v="20.22"/>
    <s v="125"/>
    <s v="NL2018"/>
    <m/>
    <n v="40"/>
    <n v="5000"/>
    <x v="81"/>
    <n v="60000000"/>
    <x v="2"/>
    <x v="2"/>
    <d v="2019-09-29T00:00:00"/>
    <d v="2019-09-29T00:00:00"/>
    <m/>
    <m/>
    <m/>
    <m/>
    <m/>
    <m/>
    <m/>
    <m/>
    <m/>
    <m/>
    <m/>
    <m/>
    <n v="0"/>
    <n v="5000"/>
    <n v="60000000"/>
    <m/>
  </r>
  <r>
    <s v="227A/2019"/>
    <d v="2019-06-01T00:00:00"/>
    <s v="KIỀU THY"/>
    <s v="VX02"/>
    <x v="40"/>
    <x v="54"/>
    <s v="AMATERAS"/>
    <m/>
    <s v="14.16"/>
    <s v="300"/>
    <s v="NL2018"/>
    <m/>
    <n v="0"/>
    <n v="0"/>
    <x v="29"/>
    <n v="0"/>
    <x v="1"/>
    <x v="48"/>
    <d v="2019-08-20T00:00:00"/>
    <d v="2019-08-20T00:00:00"/>
    <m/>
    <m/>
    <m/>
    <m/>
    <m/>
    <m/>
    <m/>
    <m/>
    <m/>
    <m/>
    <m/>
    <m/>
    <n v="0"/>
    <n v="0"/>
    <n v="0"/>
    <m/>
  </r>
  <r>
    <s v="100A/2019"/>
    <d v="2019-03-09T00:00:00"/>
    <s v="KIỀU THY"/>
    <s v="HD02"/>
    <x v="41"/>
    <x v="78"/>
    <s v="YELLOWEEN"/>
    <m/>
    <s v="14.16"/>
    <n v="300"/>
    <s v="NL2018"/>
    <m/>
    <n v="17"/>
    <n v="5100"/>
    <x v="64"/>
    <n v="19380000"/>
    <x v="0"/>
    <x v="1"/>
    <d v="2019-05-21T00:00:00"/>
    <d v="2019-05-21T00:00:00"/>
    <s v="30/3AL"/>
    <m/>
    <m/>
    <m/>
    <d v="2019-05-18T00:00:00"/>
    <n v="5100"/>
    <m/>
    <m/>
    <m/>
    <m/>
    <m/>
    <m/>
    <n v="5100"/>
    <n v="0"/>
    <n v="0"/>
    <m/>
  </r>
  <r>
    <s v="100A/2019"/>
    <d v="2019-05-13T00:00:00"/>
    <s v="KIỀU THY"/>
    <s v="HD02"/>
    <x v="41"/>
    <x v="78"/>
    <s v="YELLOWEEN"/>
    <m/>
    <s v="14.16"/>
    <n v="300"/>
    <s v="NL2018"/>
    <m/>
    <n v="0"/>
    <n v="0"/>
    <x v="58"/>
    <n v="0"/>
    <x v="1"/>
    <x v="28"/>
    <d v="2019-06-07T00:00:00"/>
    <d v="2019-06-07T00:00:00"/>
    <m/>
    <m/>
    <m/>
    <m/>
    <m/>
    <m/>
    <m/>
    <m/>
    <m/>
    <m/>
    <m/>
    <m/>
    <n v="0"/>
    <n v="0"/>
    <n v="0"/>
    <m/>
  </r>
  <r>
    <s v="100A/2019"/>
    <d v="2019-06-12T00:00:00"/>
    <s v="KIỀU THY"/>
    <s v="HD02"/>
    <x v="41"/>
    <x v="35"/>
    <s v="TARRANGO"/>
    <m/>
    <s v="14.16"/>
    <n v="300"/>
    <s v="NL2018"/>
    <m/>
    <n v="17"/>
    <n v="5100"/>
    <x v="44"/>
    <n v="24990000"/>
    <x v="3"/>
    <x v="1"/>
    <d v="2019-05-21T00:00:00"/>
    <d v="2019-05-21T00:00:00"/>
    <m/>
    <m/>
    <m/>
    <m/>
    <m/>
    <m/>
    <m/>
    <m/>
    <m/>
    <m/>
    <m/>
    <m/>
    <n v="0"/>
    <n v="5100"/>
    <n v="24990000"/>
    <m/>
  </r>
  <r>
    <s v="100A/2019"/>
    <d v="2019-06-12T00:00:00"/>
    <s v="KIỀU THY"/>
    <s v="HD02"/>
    <x v="41"/>
    <x v="35"/>
    <s v="TARRANGO"/>
    <m/>
    <s v="14.16"/>
    <n v="300"/>
    <s v="NL2018"/>
    <m/>
    <n v="8"/>
    <n v="2400"/>
    <x v="8"/>
    <n v="12000000"/>
    <x v="4"/>
    <x v="4"/>
    <d v="2019-07-17T00:00:00"/>
    <d v="2019-07-17T00:00:00"/>
    <m/>
    <m/>
    <m/>
    <m/>
    <m/>
    <m/>
    <m/>
    <m/>
    <m/>
    <m/>
    <m/>
    <m/>
    <n v="0"/>
    <n v="2400"/>
    <n v="12000000"/>
    <m/>
  </r>
  <r>
    <s v="100A/2019"/>
    <d v="2019-03-09T00:00:00"/>
    <s v="KIỀU THY"/>
    <s v="HD02"/>
    <x v="41"/>
    <x v="105"/>
    <s v="SEDONA"/>
    <m/>
    <s v="20.22"/>
    <n v="125"/>
    <s v="NL2018"/>
    <m/>
    <n v="24"/>
    <n v="3000"/>
    <x v="62"/>
    <n v="32700000"/>
    <x v="2"/>
    <x v="2"/>
    <d v="2019-09-29T00:00:00"/>
    <d v="2019-09-29T00:00:00"/>
    <s v="TẾT"/>
    <m/>
    <m/>
    <m/>
    <m/>
    <n v="0"/>
    <m/>
    <m/>
    <m/>
    <m/>
    <m/>
    <m/>
    <n v="0"/>
    <n v="3000"/>
    <n v="32700000"/>
    <m/>
  </r>
  <r>
    <s v="100A/2019"/>
    <d v="2019-03-09T00:00:00"/>
    <s v="KIỀU THY"/>
    <s v="HD02"/>
    <x v="41"/>
    <x v="4"/>
    <s v="ROBINA"/>
    <m/>
    <s v="20.22"/>
    <n v="125"/>
    <s v="NL2018"/>
    <m/>
    <n v="16"/>
    <n v="2000"/>
    <x v="5"/>
    <n v="21000000"/>
    <x v="2"/>
    <x v="2"/>
    <d v="2019-09-29T00:00:00"/>
    <d v="2019-09-29T00:00:00"/>
    <s v="TẾT"/>
    <m/>
    <m/>
    <m/>
    <m/>
    <n v="0"/>
    <m/>
    <m/>
    <m/>
    <m/>
    <m/>
    <m/>
    <n v="0"/>
    <n v="2000"/>
    <n v="21000000"/>
    <m/>
  </r>
  <r>
    <s v="100A/2019"/>
    <d v="2019-06-12T00:00:00"/>
    <s v="KIỀU THY"/>
    <s v="HD02"/>
    <x v="41"/>
    <x v="54"/>
    <s v="AMATERAS"/>
    <m/>
    <s v="14.16"/>
    <n v="300"/>
    <s v="NL2018"/>
    <m/>
    <n v="9"/>
    <n v="2700"/>
    <x v="29"/>
    <n v="12420000"/>
    <x v="4"/>
    <x v="4"/>
    <d v="2019-07-17T00:00:00"/>
    <d v="2019-07-17T00:00:00"/>
    <m/>
    <m/>
    <m/>
    <m/>
    <m/>
    <m/>
    <m/>
    <m/>
    <m/>
    <m/>
    <m/>
    <m/>
    <n v="0"/>
    <n v="2700"/>
    <n v="12420000"/>
    <m/>
  </r>
  <r>
    <s v="02A/2019"/>
    <d v="2019-03-18T00:00:00"/>
    <s v="KIỀU THY"/>
    <s v="MN01"/>
    <x v="42"/>
    <x v="23"/>
    <s v="ROBINA"/>
    <m/>
    <s v="22.24"/>
    <s v="100"/>
    <s v="NL2018"/>
    <m/>
    <n v="120"/>
    <n v="12000"/>
    <x v="25"/>
    <n v="150000000"/>
    <x v="2"/>
    <x v="2"/>
    <d v="2019-09-29T00:00:00"/>
    <d v="2019-09-29T00:00:00"/>
    <m/>
    <m/>
    <m/>
    <m/>
    <m/>
    <m/>
    <m/>
    <m/>
    <m/>
    <m/>
    <m/>
    <m/>
    <n v="0"/>
    <n v="12000"/>
    <n v="150000000"/>
    <m/>
  </r>
  <r>
    <s v="157A/2019"/>
    <d v="2019-03-30T00:00:00"/>
    <s v="KIỀU THY"/>
    <s v="MN01"/>
    <x v="42"/>
    <x v="4"/>
    <s v="ROBINA"/>
    <m/>
    <s v="20.22"/>
    <s v="125"/>
    <s v="NL2018"/>
    <m/>
    <n v="40"/>
    <n v="5000"/>
    <x v="34"/>
    <n v="53500000"/>
    <x v="2"/>
    <x v="2"/>
    <d v="2019-09-29T00:00:00"/>
    <d v="2019-09-29T00:00:00"/>
    <m/>
    <m/>
    <m/>
    <m/>
    <m/>
    <m/>
    <m/>
    <m/>
    <m/>
    <m/>
    <m/>
    <m/>
    <n v="0"/>
    <n v="5000"/>
    <n v="53500000"/>
    <m/>
  </r>
  <r>
    <s v="02A/2019"/>
    <d v="2019-03-18T00:00:00"/>
    <s v="KIỀU THY"/>
    <s v="MN01"/>
    <x v="42"/>
    <x v="59"/>
    <s v="NELLO "/>
    <m/>
    <s v="18.20"/>
    <s v="150"/>
    <s v="NL2018"/>
    <m/>
    <n v="34"/>
    <n v="5100"/>
    <x v="56"/>
    <n v="36720000"/>
    <x v="2"/>
    <x v="2"/>
    <d v="2019-09-29T00:00:00"/>
    <d v="2019-09-29T00:00:00"/>
    <m/>
    <m/>
    <m/>
    <m/>
    <m/>
    <m/>
    <m/>
    <m/>
    <m/>
    <m/>
    <m/>
    <m/>
    <n v="0"/>
    <n v="5100"/>
    <n v="36720000"/>
    <m/>
  </r>
  <r>
    <s v="157A/2019"/>
    <d v="2019-03-30T00:00:00"/>
    <s v="KIỀU THY"/>
    <s v="MN01"/>
    <x v="42"/>
    <x v="7"/>
    <s v="CONCADOR"/>
    <m/>
    <s v="20.22"/>
    <s v="125"/>
    <s v="NL2018"/>
    <m/>
    <n v="40"/>
    <n v="5000"/>
    <x v="35"/>
    <n v="53000000"/>
    <x v="2"/>
    <x v="2"/>
    <d v="2019-09-29T00:00:00"/>
    <d v="2019-09-29T00:00:00"/>
    <m/>
    <m/>
    <m/>
    <m/>
    <m/>
    <m/>
    <m/>
    <m/>
    <m/>
    <m/>
    <m/>
    <m/>
    <n v="0"/>
    <n v="5000"/>
    <n v="53000000"/>
    <m/>
  </r>
  <r>
    <s v="02A/2019"/>
    <d v="2019-03-18T00:00:00"/>
    <s v="KIỀU THY"/>
    <s v="MN01"/>
    <x v="42"/>
    <x v="7"/>
    <s v="CONCADOR"/>
    <m/>
    <s v="20.22"/>
    <s v="125"/>
    <s v="NL2018"/>
    <m/>
    <n v="64"/>
    <n v="8000"/>
    <x v="5"/>
    <n v="84000000"/>
    <x v="2"/>
    <x v="2"/>
    <d v="2019-09-29T00:00:00"/>
    <d v="2019-09-29T00:00:00"/>
    <m/>
    <m/>
    <m/>
    <m/>
    <m/>
    <m/>
    <m/>
    <m/>
    <m/>
    <m/>
    <m/>
    <m/>
    <n v="0"/>
    <n v="8000"/>
    <n v="84000000"/>
    <m/>
  </r>
  <r>
    <s v="183B/2019"/>
    <d v="2019-05-21T00:00:00"/>
    <s v="THANH THÚY"/>
    <s v="TH02"/>
    <x v="43"/>
    <x v="4"/>
    <s v="ROBINA"/>
    <m/>
    <s v="20.22"/>
    <s v="125"/>
    <s v="NL2018"/>
    <m/>
    <n v="0"/>
    <n v="0"/>
    <x v="34"/>
    <n v="0"/>
    <x v="1"/>
    <x v="2"/>
    <d v="2019-09-29T00:00:00"/>
    <d v="2019-09-29T00:00:00"/>
    <m/>
    <m/>
    <m/>
    <m/>
    <m/>
    <m/>
    <m/>
    <m/>
    <m/>
    <m/>
    <m/>
    <m/>
    <n v="0"/>
    <n v="0"/>
    <n v="0"/>
    <m/>
  </r>
  <r>
    <s v="183B/2019"/>
    <d v="2019-05-21T00:00:00"/>
    <s v="THANH THÚY"/>
    <s v="TH02"/>
    <x v="43"/>
    <x v="80"/>
    <s v="INDIANA"/>
    <m/>
    <s v="18.20"/>
    <s v="150"/>
    <s v="NL2018"/>
    <m/>
    <n v="134"/>
    <n v="20100"/>
    <x v="68"/>
    <n v="203010000"/>
    <x v="2"/>
    <x v="2"/>
    <d v="2019-09-29T00:00:00"/>
    <d v="2019-09-29T00:00:00"/>
    <m/>
    <m/>
    <m/>
    <m/>
    <m/>
    <m/>
    <m/>
    <m/>
    <m/>
    <m/>
    <m/>
    <m/>
    <n v="0"/>
    <n v="20100"/>
    <n v="203010000"/>
    <m/>
  </r>
  <r>
    <s v="183B/2019"/>
    <d v="2019-05-21T00:00:00"/>
    <s v="THANH THÚY"/>
    <s v="TH02"/>
    <x v="43"/>
    <x v="7"/>
    <s v="CONCADOR"/>
    <m/>
    <s v="20.22"/>
    <s v="125"/>
    <s v="NL2018"/>
    <m/>
    <n v="160"/>
    <n v="20000"/>
    <x v="35"/>
    <n v="212000000"/>
    <x v="2"/>
    <x v="2"/>
    <d v="2019-09-29T00:00:00"/>
    <d v="2019-09-29T00:00:00"/>
    <m/>
    <m/>
    <m/>
    <m/>
    <m/>
    <m/>
    <m/>
    <m/>
    <m/>
    <m/>
    <m/>
    <m/>
    <n v="0"/>
    <n v="20000"/>
    <n v="212000000"/>
    <m/>
  </r>
  <r>
    <s v="28A/2019"/>
    <d v="2019-01-15T00:00:00"/>
    <s v="KIỀU THY"/>
    <s v="VH05"/>
    <x v="44"/>
    <x v="22"/>
    <s v="YELLOWEEN"/>
    <m/>
    <s v="14.16"/>
    <n v="300"/>
    <s v="NL2017"/>
    <m/>
    <n v="18"/>
    <n v="5400"/>
    <x v="26"/>
    <n v="16200000"/>
    <x v="0"/>
    <x v="16"/>
    <d v="2019-03-12T00:00:00"/>
    <d v="2019-03-12T00:00:00"/>
    <m/>
    <s v="CONT 87/2018"/>
    <m/>
    <m/>
    <d v="2019-03-12T00:00:00"/>
    <n v="2100"/>
    <d v="2019-03-16T00:00:00"/>
    <n v="300"/>
    <d v="2019-03-25T00:00:00"/>
    <n v="3000"/>
    <m/>
    <m/>
    <n v="5400"/>
    <n v="0"/>
    <n v="0"/>
    <m/>
  </r>
  <r>
    <s v="155A/2019"/>
    <d v="2019-03-29T00:00:00"/>
    <s v="KIỀU THY"/>
    <s v="VH05"/>
    <x v="44"/>
    <x v="0"/>
    <s v="YELLOWEEN"/>
    <m/>
    <s v="12.14"/>
    <n v="400"/>
    <s v="NL2018"/>
    <m/>
    <n v="22"/>
    <n v="8800"/>
    <x v="1"/>
    <n v="23760000"/>
    <x v="0"/>
    <x v="5"/>
    <d v="2019-04-19T00:00:00"/>
    <d v="2019-04-19T00:00:00"/>
    <s v="Chia làm 3 cử"/>
    <m/>
    <m/>
    <m/>
    <d v="2019-04-26T00:00:00"/>
    <n v="4000"/>
    <d v="2019-05-02T00:00:00"/>
    <n v="1200"/>
    <d v="2019-05-27T00:00:00"/>
    <n v="3600"/>
    <m/>
    <m/>
    <n v="8800"/>
    <n v="0"/>
    <n v="0"/>
    <m/>
  </r>
  <r>
    <s v="28A/2019"/>
    <d v="2019-01-15T00:00:00"/>
    <s v="KIỀU THY"/>
    <s v="VH05"/>
    <x v="44"/>
    <x v="0"/>
    <s v="YELLOWEEN"/>
    <m/>
    <s v="12.14"/>
    <n v="400"/>
    <s v="NL2018"/>
    <m/>
    <n v="25"/>
    <n v="10000"/>
    <x v="0"/>
    <n v="26000000"/>
    <x v="0"/>
    <x v="10"/>
    <d v="2019-04-03T00:00:00"/>
    <d v="2019-04-03T00:00:00"/>
    <m/>
    <s v="CONT 18/2019"/>
    <d v="2019-03-31T00:00:00"/>
    <s v="R"/>
    <d v="2019-04-13T00:00:00"/>
    <n v="3200"/>
    <d v="2019-05-09T00:00:00"/>
    <n v="6800"/>
    <m/>
    <m/>
    <m/>
    <m/>
    <n v="10000"/>
    <n v="0"/>
    <n v="0"/>
    <m/>
  </r>
  <r>
    <s v="28A/2019"/>
    <d v="2019-01-15T00:00:00"/>
    <s v="KIỀU THY"/>
    <s v="VH05"/>
    <x v="44"/>
    <x v="69"/>
    <s v="YELLOWEEN"/>
    <m/>
    <s v="16.18"/>
    <n v="200"/>
    <s v="NL2017"/>
    <m/>
    <n v="10"/>
    <n v="2000"/>
    <x v="64"/>
    <n v="7600000"/>
    <x v="0"/>
    <x v="26"/>
    <s v=""/>
    <s v=""/>
    <m/>
    <m/>
    <m/>
    <m/>
    <d v="2019-03-02T00:00:00"/>
    <n v="1000"/>
    <d v="2019-03-12T00:00:00"/>
    <n v="1000"/>
    <m/>
    <m/>
    <m/>
    <m/>
    <n v="2000"/>
    <n v="0"/>
    <n v="0"/>
    <m/>
  </r>
  <r>
    <s v="155A/2019"/>
    <d v="2019-03-29T00:00:00"/>
    <s v="KIỀU THY"/>
    <s v="VH05"/>
    <x v="44"/>
    <x v="35"/>
    <s v="TARRANGO"/>
    <m/>
    <s v="14.16"/>
    <n v="300"/>
    <s v="NL2018"/>
    <m/>
    <n v="15"/>
    <n v="4500"/>
    <x v="43"/>
    <n v="21600000"/>
    <x v="0"/>
    <x v="1"/>
    <d v="2019-05-21T00:00:00"/>
    <d v="2019-05-21T00:00:00"/>
    <s v="10/4AL_MỖI CỬ VỀ 4.500/15 NGÀY"/>
    <m/>
    <m/>
    <m/>
    <d v="2019-06-04T00:00:00"/>
    <n v="3000"/>
    <m/>
    <m/>
    <m/>
    <m/>
    <m/>
    <m/>
    <n v="3000"/>
    <n v="1500"/>
    <n v="7200000"/>
    <m/>
  </r>
  <r>
    <s v="155A/2019"/>
    <d v="2019-03-29T00:00:00"/>
    <s v="KIỀU THY"/>
    <s v="VH05"/>
    <x v="44"/>
    <x v="35"/>
    <s v="TARRANGO"/>
    <m/>
    <s v="14.16"/>
    <n v="300"/>
    <s v="NL2018"/>
    <m/>
    <n v="29"/>
    <n v="8700"/>
    <x v="43"/>
    <n v="41760000"/>
    <x v="3"/>
    <x v="28"/>
    <d v="2019-06-07T00:00:00"/>
    <d v="2019-06-07T00:00:00"/>
    <m/>
    <m/>
    <m/>
    <m/>
    <m/>
    <m/>
    <d v="2019-06-20T00:00:00"/>
    <n v="4200"/>
    <m/>
    <m/>
    <m/>
    <m/>
    <n v="4200"/>
    <n v="4500"/>
    <n v="21600000"/>
    <m/>
  </r>
  <r>
    <s v="155A/2019"/>
    <d v="2019-03-29T00:00:00"/>
    <s v="KIỀU THY"/>
    <s v="VH05"/>
    <x v="44"/>
    <x v="35"/>
    <s v="TARRANGO"/>
    <m/>
    <s v="14.16"/>
    <n v="300"/>
    <s v="NL2018"/>
    <m/>
    <n v="15"/>
    <n v="4500"/>
    <x v="43"/>
    <n v="21600000"/>
    <x v="3"/>
    <x v="3"/>
    <d v="2019-06-20T00:00:00"/>
    <d v="2019-06-20T00:00:00"/>
    <m/>
    <m/>
    <m/>
    <m/>
    <m/>
    <m/>
    <m/>
    <m/>
    <m/>
    <m/>
    <m/>
    <m/>
    <n v="0"/>
    <n v="4500"/>
    <n v="21600000"/>
    <m/>
  </r>
  <r>
    <s v="155A/2019"/>
    <d v="2019-03-29T00:00:00"/>
    <s v="KIỀU THY"/>
    <s v="VH05"/>
    <x v="44"/>
    <x v="35"/>
    <s v="TARRANGO"/>
    <m/>
    <s v="14.16"/>
    <n v="300"/>
    <s v="NL2018"/>
    <m/>
    <n v="15"/>
    <n v="4500"/>
    <x v="43"/>
    <n v="21600000"/>
    <x v="4"/>
    <x v="18"/>
    <d v="2019-07-02T00:00:00"/>
    <d v="2019-07-02T00:00:00"/>
    <s v="T5/AL"/>
    <m/>
    <m/>
    <m/>
    <m/>
    <m/>
    <m/>
    <m/>
    <m/>
    <m/>
    <m/>
    <m/>
    <n v="0"/>
    <n v="4500"/>
    <n v="21600000"/>
    <m/>
  </r>
  <r>
    <s v="28A/2019"/>
    <d v="2019-01-15T00:00:00"/>
    <s v="KIỀU THY"/>
    <s v="VH05"/>
    <x v="44"/>
    <x v="2"/>
    <s v="SERANO"/>
    <m/>
    <s v="14.16"/>
    <n v="300"/>
    <s v="NL2018"/>
    <m/>
    <n v="10"/>
    <n v="3000"/>
    <x v="3"/>
    <n v="10500000"/>
    <x v="0"/>
    <x v="10"/>
    <d v="2019-04-03T00:00:00"/>
    <d v="2019-04-03T00:00:00"/>
    <m/>
    <s v="CONT 17/2019"/>
    <d v="2019-03-31T00:00:00"/>
    <s v="R"/>
    <d v="2019-04-20T00:00:00"/>
    <n v="3000"/>
    <m/>
    <m/>
    <m/>
    <m/>
    <m/>
    <m/>
    <n v="3000"/>
    <n v="0"/>
    <n v="0"/>
    <m/>
  </r>
  <r>
    <s v="28A/2019"/>
    <d v="2019-01-15T00:00:00"/>
    <s v="KIỀU THY"/>
    <s v="VH05"/>
    <x v="44"/>
    <x v="3"/>
    <s v="ROBINA"/>
    <m/>
    <s v="16.18"/>
    <n v="200"/>
    <s v="NL2018"/>
    <m/>
    <n v="50"/>
    <n v="10000"/>
    <x v="43"/>
    <n v="48000000"/>
    <x v="0"/>
    <x v="0"/>
    <d v="2019-03-20T00:00:00"/>
    <d v="2019-03-20T00:00:00"/>
    <m/>
    <s v="CONT 11/2019"/>
    <d v="2019-03-17T00:00:00"/>
    <s v="R"/>
    <d v="2019-03-19T00:00:00"/>
    <n v="5000"/>
    <d v="2019-04-02T00:00:00"/>
    <n v="5000"/>
    <m/>
    <m/>
    <m/>
    <m/>
    <n v="10000"/>
    <n v="0"/>
    <n v="0"/>
    <m/>
  </r>
  <r>
    <s v="155A/2019"/>
    <d v="2019-03-29T00:00:00"/>
    <s v="KIỀU THY"/>
    <s v="VH05"/>
    <x v="44"/>
    <x v="3"/>
    <s v="ROBINA"/>
    <m/>
    <s v="16.18"/>
    <n v="200"/>
    <s v="NL2018"/>
    <m/>
    <n v="70"/>
    <n v="14000"/>
    <x v="6"/>
    <n v="75600000"/>
    <x v="0"/>
    <x v="1"/>
    <d v="2019-05-21T00:00:00"/>
    <d v="2019-05-21T00:00:00"/>
    <s v="10/4AL_MỖI CỬ VỀ 7.000/15 NGÀY"/>
    <m/>
    <m/>
    <m/>
    <d v="2019-05-18T00:00:00"/>
    <n v="6000"/>
    <d v="2019-05-22T00:00:00"/>
    <n v="200"/>
    <d v="2019-06-04T00:00:00"/>
    <n v="7800"/>
    <m/>
    <m/>
    <n v="14000"/>
    <n v="0"/>
    <n v="0"/>
    <m/>
  </r>
  <r>
    <s v="155A/2019"/>
    <d v="2019-03-29T00:00:00"/>
    <s v="KIỀU THY"/>
    <s v="VH05"/>
    <x v="44"/>
    <x v="3"/>
    <s v="ROBINA"/>
    <m/>
    <s v="16.18"/>
    <n v="200"/>
    <s v="NL2018"/>
    <m/>
    <n v="35"/>
    <n v="7000"/>
    <x v="10"/>
    <n v="38500000"/>
    <x v="0"/>
    <x v="28"/>
    <d v="2019-06-07T00:00:00"/>
    <d v="2019-06-07T00:00:00"/>
    <m/>
    <m/>
    <m/>
    <m/>
    <d v="2019-06-22T00:00:00"/>
    <n v="7000"/>
    <m/>
    <m/>
    <m/>
    <m/>
    <m/>
    <m/>
    <n v="7000"/>
    <n v="0"/>
    <n v="0"/>
    <m/>
  </r>
  <r>
    <s v="155A/2019"/>
    <d v="2019-03-29T00:00:00"/>
    <s v="KIỀU THY"/>
    <s v="VH05"/>
    <x v="44"/>
    <x v="3"/>
    <s v="ROBINA"/>
    <m/>
    <s v="16.18"/>
    <n v="200"/>
    <s v="NL2018"/>
    <m/>
    <n v="35"/>
    <n v="7000"/>
    <x v="10"/>
    <n v="38500000"/>
    <x v="3"/>
    <x v="3"/>
    <d v="2019-06-20T00:00:00"/>
    <d v="2019-06-20T00:00:00"/>
    <m/>
    <m/>
    <m/>
    <m/>
    <m/>
    <m/>
    <m/>
    <m/>
    <m/>
    <m/>
    <m/>
    <m/>
    <n v="0"/>
    <n v="7000"/>
    <n v="38500000"/>
    <m/>
  </r>
  <r>
    <s v="155A/2019"/>
    <d v="2019-03-29T00:00:00"/>
    <s v="KIỀU THY"/>
    <s v="VH05"/>
    <x v="44"/>
    <x v="3"/>
    <s v="ROBINA"/>
    <m/>
    <s v="16.18"/>
    <n v="200"/>
    <s v="NL2018"/>
    <m/>
    <n v="35"/>
    <n v="7000"/>
    <x v="10"/>
    <n v="38500000"/>
    <x v="4"/>
    <x v="4"/>
    <d v="2019-07-17T00:00:00"/>
    <d v="2019-07-17T00:00:00"/>
    <m/>
    <m/>
    <m/>
    <m/>
    <m/>
    <m/>
    <m/>
    <m/>
    <m/>
    <m/>
    <m/>
    <m/>
    <n v="0"/>
    <n v="7000"/>
    <n v="38500000"/>
    <m/>
  </r>
  <r>
    <s v="155A/2019"/>
    <d v="2019-03-29T00:00:00"/>
    <s v="KIỀU THY"/>
    <s v="VH05"/>
    <x v="44"/>
    <x v="3"/>
    <s v="ROBINA"/>
    <m/>
    <s v="16.18"/>
    <n v="200"/>
    <s v="NL2018"/>
    <m/>
    <n v="35"/>
    <n v="7000"/>
    <x v="55"/>
    <n v="39200000"/>
    <x v="2"/>
    <x v="13"/>
    <d v="2019-07-31T00:00:00"/>
    <d v="2019-07-31T00:00:00"/>
    <m/>
    <m/>
    <m/>
    <m/>
    <m/>
    <m/>
    <m/>
    <m/>
    <m/>
    <m/>
    <m/>
    <m/>
    <n v="0"/>
    <n v="7000"/>
    <n v="39200000"/>
    <m/>
  </r>
  <r>
    <s v="155A/2019"/>
    <d v="2019-03-29T00:00:00"/>
    <s v="KIỀU THY"/>
    <s v="VH05"/>
    <x v="44"/>
    <x v="3"/>
    <s v="ROBINA"/>
    <m/>
    <s v="16.18"/>
    <n v="200"/>
    <s v="NL2018"/>
    <m/>
    <n v="290"/>
    <n v="58000"/>
    <x v="113"/>
    <m/>
    <x v="2"/>
    <x v="51"/>
    <d v="2019-08-30T00:00:00"/>
    <d v="2019-08-30T00:00:00"/>
    <s v="T5/AL TRỞ ĐI"/>
    <m/>
    <m/>
    <m/>
    <m/>
    <m/>
    <m/>
    <m/>
    <m/>
    <m/>
    <m/>
    <m/>
    <n v="0"/>
    <n v="58000"/>
    <e v="#VALUE!"/>
    <m/>
  </r>
  <r>
    <s v="158A/2019"/>
    <d v="2019-03-30T00:00:00"/>
    <s v="KIỀU THY"/>
    <s v="VH05"/>
    <x v="44"/>
    <x v="5"/>
    <s v="ROBINA"/>
    <m/>
    <s v="18.20"/>
    <n v="150"/>
    <s v="NL2018"/>
    <m/>
    <n v="40"/>
    <n v="6000"/>
    <x v="11"/>
    <n v="46200000"/>
    <x v="2"/>
    <x v="2"/>
    <d v="2019-09-29T00:00:00"/>
    <d v="2019-09-29T00:00:00"/>
    <s v="TẾT"/>
    <m/>
    <m/>
    <m/>
    <m/>
    <m/>
    <m/>
    <m/>
    <m/>
    <m/>
    <m/>
    <m/>
    <n v="0"/>
    <n v="6000"/>
    <n v="46200000"/>
    <m/>
  </r>
  <r>
    <s v="158A/2019"/>
    <d v="2019-03-30T00:00:00"/>
    <s v="KIỀU THY"/>
    <s v="VH05"/>
    <x v="44"/>
    <x v="4"/>
    <s v="ROBINA"/>
    <m/>
    <s v="20.22"/>
    <n v="125"/>
    <s v="NL2018"/>
    <m/>
    <n v="32"/>
    <n v="4000"/>
    <x v="34"/>
    <n v="42800000"/>
    <x v="2"/>
    <x v="2"/>
    <d v="2019-09-29T00:00:00"/>
    <d v="2019-09-29T00:00:00"/>
    <s v="TẾT"/>
    <m/>
    <m/>
    <m/>
    <m/>
    <m/>
    <m/>
    <m/>
    <m/>
    <m/>
    <m/>
    <m/>
    <n v="0"/>
    <n v="4000"/>
    <n v="42800000"/>
    <m/>
  </r>
  <r>
    <s v="28A/2019"/>
    <d v="2019-01-15T00:00:00"/>
    <s v="KIỀU THY"/>
    <s v="VH05"/>
    <x v="44"/>
    <x v="4"/>
    <s v="ROBINA"/>
    <m/>
    <s v="20.22"/>
    <n v="125"/>
    <s v="NL2018"/>
    <m/>
    <n v="72"/>
    <n v="9000"/>
    <x v="5"/>
    <n v="94500000"/>
    <x v="2"/>
    <x v="2"/>
    <d v="2019-09-29T00:00:00"/>
    <d v="2019-09-29T00:00:00"/>
    <s v="TẾT"/>
    <m/>
    <m/>
    <s v="R"/>
    <m/>
    <n v="0"/>
    <m/>
    <m/>
    <m/>
    <m/>
    <m/>
    <m/>
    <n v="0"/>
    <n v="9000"/>
    <n v="94500000"/>
    <m/>
  </r>
  <r>
    <s v="28A/2019"/>
    <d v="2019-01-15T00:00:00"/>
    <s v="KIỀU THY"/>
    <s v="VH05"/>
    <x v="44"/>
    <x v="23"/>
    <s v="ROBINA"/>
    <m/>
    <s v="22.24"/>
    <n v="100"/>
    <s v="NL2018"/>
    <m/>
    <n v="50"/>
    <n v="5000"/>
    <x v="25"/>
    <n v="62500000"/>
    <x v="2"/>
    <x v="2"/>
    <d v="2019-09-29T00:00:00"/>
    <d v="2019-09-29T00:00:00"/>
    <s v="TẾT"/>
    <m/>
    <m/>
    <s v="R"/>
    <m/>
    <n v="0"/>
    <m/>
    <m/>
    <m/>
    <m/>
    <m/>
    <m/>
    <n v="0"/>
    <n v="5000"/>
    <n v="62500000"/>
    <m/>
  </r>
  <r>
    <s v="28A/2019"/>
    <d v="2019-01-15T00:00:00"/>
    <s v="KIỀU THY"/>
    <s v="VH05"/>
    <x v="44"/>
    <x v="3"/>
    <s v="ROBINA"/>
    <m/>
    <s v="16.18"/>
    <n v="200"/>
    <s v="NL2018"/>
    <m/>
    <n v="95"/>
    <n v="19000"/>
    <x v="43"/>
    <n v="91200000"/>
    <x v="0"/>
    <x v="10"/>
    <d v="2019-04-03T00:00:00"/>
    <d v="2019-04-03T00:00:00"/>
    <s v="30/2AL"/>
    <s v="CONT 15/2019"/>
    <d v="2019-03-31T00:00:00"/>
    <s v="R"/>
    <d v="2019-04-02T00:00:00"/>
    <n v="2000"/>
    <d v="2019-04-20T00:00:00"/>
    <n v="10000"/>
    <d v="2019-05-03T00:00:00"/>
    <n v="7000"/>
    <m/>
    <m/>
    <n v="19000"/>
    <n v="0"/>
    <n v="0"/>
    <m/>
  </r>
  <r>
    <s v="158A/2019"/>
    <d v="2019-03-30T00:00:00"/>
    <s v="KIỀU THY"/>
    <s v="VH05"/>
    <x v="44"/>
    <x v="20"/>
    <s v="PROFUNDO"/>
    <m/>
    <s v="22.24"/>
    <n v="100"/>
    <s v="NL2018"/>
    <m/>
    <n v="30"/>
    <n v="3000"/>
    <x v="114"/>
    <n v="43800000"/>
    <x v="2"/>
    <x v="2"/>
    <d v="2019-09-29T00:00:00"/>
    <d v="2019-09-29T00:00:00"/>
    <s v="TẾT"/>
    <m/>
    <m/>
    <m/>
    <m/>
    <m/>
    <m/>
    <m/>
    <m/>
    <m/>
    <m/>
    <m/>
    <n v="0"/>
    <n v="3000"/>
    <n v="43800000"/>
    <m/>
  </r>
  <r>
    <s v="28A/2019"/>
    <d v="2019-01-15T00:00:00"/>
    <s v="KIỀU THY"/>
    <s v="VH05"/>
    <x v="44"/>
    <x v="76"/>
    <s v="NATALIA"/>
    <s v="RL"/>
    <s v="12.14"/>
    <n v="400"/>
    <s v="NL2018"/>
    <m/>
    <n v="1"/>
    <n v="400"/>
    <x v="9"/>
    <n v="3200000"/>
    <x v="0"/>
    <x v="10"/>
    <d v="2019-04-03T00:00:00"/>
    <d v="2019-04-03T00:00:00"/>
    <m/>
    <s v="CONT 17/2019"/>
    <d v="2019-03-31T00:00:00"/>
    <s v="R"/>
    <d v="2019-04-20T00:00:00"/>
    <n v="400"/>
    <m/>
    <m/>
    <m/>
    <m/>
    <m/>
    <m/>
    <n v="400"/>
    <n v="0"/>
    <n v="0"/>
    <m/>
  </r>
  <r>
    <s v="28A/2019"/>
    <d v="2019-01-15T00:00:00"/>
    <s v="KIỀU THY"/>
    <s v="VH05"/>
    <x v="44"/>
    <x v="65"/>
    <s v="MANISSA"/>
    <m/>
    <s v="20.22"/>
    <n v="125"/>
    <s v="NL2018"/>
    <m/>
    <n v="40"/>
    <n v="5000"/>
    <x v="61"/>
    <n v="67500000"/>
    <x v="2"/>
    <x v="2"/>
    <d v="2019-09-29T00:00:00"/>
    <d v="2019-09-29T00:00:00"/>
    <s v="TẾT"/>
    <m/>
    <m/>
    <s v="R"/>
    <m/>
    <n v="0"/>
    <m/>
    <m/>
    <m/>
    <m/>
    <m/>
    <m/>
    <n v="0"/>
    <n v="5000"/>
    <n v="67500000"/>
    <m/>
  </r>
  <r>
    <s v="28A/2019"/>
    <d v="2019-01-15T00:00:00"/>
    <s v="KIỀU THY"/>
    <s v="VH05"/>
    <x v="44"/>
    <x v="67"/>
    <s v="MANISSA"/>
    <m/>
    <s v="22.24"/>
    <n v="100"/>
    <s v="NL2018"/>
    <m/>
    <n v="30"/>
    <n v="3000"/>
    <x v="15"/>
    <n v="45600000"/>
    <x v="2"/>
    <x v="2"/>
    <d v="2019-09-29T00:00:00"/>
    <d v="2019-09-29T00:00:00"/>
    <s v="TẾT"/>
    <m/>
    <m/>
    <s v="R"/>
    <m/>
    <n v="0"/>
    <m/>
    <m/>
    <m/>
    <m/>
    <m/>
    <m/>
    <n v="0"/>
    <n v="3000"/>
    <n v="45600000"/>
    <m/>
  </r>
  <r>
    <s v="28A/2019"/>
    <d v="2019-01-15T00:00:00"/>
    <s v="KIỀU THY"/>
    <s v="VH05"/>
    <x v="44"/>
    <x v="60"/>
    <s v="MANISSA"/>
    <m/>
    <s v="24+"/>
    <n v="75"/>
    <s v="NL2018"/>
    <m/>
    <n v="54"/>
    <n v="4050"/>
    <x v="57"/>
    <n v="64800000"/>
    <x v="2"/>
    <x v="2"/>
    <d v="2019-09-29T00:00:00"/>
    <d v="2019-09-29T00:00:00"/>
    <s v="TẾT"/>
    <m/>
    <m/>
    <s v="R"/>
    <m/>
    <n v="0"/>
    <m/>
    <m/>
    <m/>
    <m/>
    <m/>
    <m/>
    <n v="0"/>
    <n v="4050"/>
    <n v="64800000"/>
    <m/>
  </r>
  <r>
    <s v="28A/2019"/>
    <d v="2019-01-15T00:00:00"/>
    <s v="KIỀU THY"/>
    <s v="VH05"/>
    <x v="44"/>
    <x v="79"/>
    <s v="MANISSA"/>
    <m/>
    <s v="16.18"/>
    <n v="200"/>
    <s v="NL2018"/>
    <m/>
    <n v="60"/>
    <n v="12000"/>
    <x v="32"/>
    <n v="80400000"/>
    <x v="0"/>
    <x v="10"/>
    <d v="2019-04-03T00:00:00"/>
    <d v="2019-04-03T00:00:00"/>
    <m/>
    <s v="CONT 16/2019"/>
    <d v="2019-03-31T00:00:00"/>
    <s v="R"/>
    <d v="2019-04-02T00:00:00"/>
    <n v="3000"/>
    <d v="2019-04-20T00:00:00"/>
    <n v="9000"/>
    <m/>
    <m/>
    <m/>
    <m/>
    <n v="12000"/>
    <n v="0"/>
    <n v="0"/>
    <m/>
  </r>
  <r>
    <s v="28A/2019"/>
    <d v="2019-01-15T00:00:00"/>
    <s v="KIỀU THY"/>
    <s v="VH05"/>
    <x v="44"/>
    <x v="106"/>
    <s v="MANISSA"/>
    <s v="PR"/>
    <s v="16.18"/>
    <n v="200"/>
    <s v="NL2018"/>
    <m/>
    <n v="15"/>
    <n v="3000"/>
    <x v="51"/>
    <n v="18000000"/>
    <x v="0"/>
    <x v="26"/>
    <s v=""/>
    <s v=""/>
    <m/>
    <m/>
    <m/>
    <m/>
    <d v="2019-04-02T00:00:00"/>
    <n v="3000"/>
    <m/>
    <m/>
    <m/>
    <m/>
    <m/>
    <m/>
    <n v="3000"/>
    <n v="0"/>
    <n v="0"/>
    <m/>
  </r>
  <r>
    <s v="28A/2019"/>
    <d v="2019-01-15T00:00:00"/>
    <s v="KIỀU THY"/>
    <s v="VH05"/>
    <x v="44"/>
    <x v="6"/>
    <s v="CONCADOR "/>
    <m/>
    <s v="16.18"/>
    <n v="200"/>
    <s v="NL2018"/>
    <m/>
    <n v="54"/>
    <n v="10800"/>
    <x v="12"/>
    <n v="50760000"/>
    <x v="0"/>
    <x v="6"/>
    <d v="2019-02-19T00:00:00"/>
    <d v="2019-02-19T00:00:00"/>
    <m/>
    <m/>
    <m/>
    <s v="R"/>
    <d v="2019-02-19T00:00:00"/>
    <n v="3000"/>
    <d v="2019-03-05T00:00:00"/>
    <n v="7800"/>
    <m/>
    <m/>
    <m/>
    <m/>
    <n v="10800"/>
    <n v="0"/>
    <n v="0"/>
    <m/>
  </r>
  <r>
    <s v="28A/2019"/>
    <d v="2019-01-15T00:00:00"/>
    <s v="KIỀU THY"/>
    <s v="VH05"/>
    <x v="44"/>
    <x v="6"/>
    <s v="CONCADOR "/>
    <m/>
    <s v="16.18"/>
    <n v="200"/>
    <s v="NL2018"/>
    <m/>
    <n v="25"/>
    <n v="5000"/>
    <x v="8"/>
    <n v="25000000"/>
    <x v="0"/>
    <x v="5"/>
    <d v="2019-04-19T00:00:00"/>
    <d v="2019-04-19T00:00:00"/>
    <m/>
    <s v="CONT 22/2019"/>
    <d v="2019-04-14T00:00:00"/>
    <s v="R"/>
    <d v="2019-04-26T00:00:00"/>
    <n v="2000"/>
    <d v="2019-05-09T00:00:00"/>
    <n v="3000"/>
    <m/>
    <m/>
    <m/>
    <m/>
    <n v="5000"/>
    <n v="0"/>
    <n v="0"/>
    <s v="check lai gia"/>
  </r>
  <r>
    <s v="28A/2019"/>
    <d v="2019-01-15T00:00:00"/>
    <s v="KIỀU THY"/>
    <s v="VH05"/>
    <x v="44"/>
    <x v="6"/>
    <s v="CONCADOR "/>
    <m/>
    <s v="16.18"/>
    <n v="200"/>
    <s v="NL2018"/>
    <m/>
    <n v="25"/>
    <n v="5000"/>
    <x v="12"/>
    <n v="23500000"/>
    <x v="0"/>
    <x v="10"/>
    <d v="2019-04-03T00:00:00"/>
    <d v="2019-04-03T00:00:00"/>
    <m/>
    <s v="CONT 17/2019"/>
    <d v="2019-03-31T00:00:00"/>
    <s v="R"/>
    <d v="2019-04-13T00:00:00"/>
    <n v="2000"/>
    <d v="2019-04-26T00:00:00"/>
    <n v="3000"/>
    <m/>
    <m/>
    <m/>
    <m/>
    <n v="5000"/>
    <n v="0"/>
    <n v="0"/>
    <m/>
  </r>
  <r>
    <s v="158A/2019"/>
    <d v="2019-03-30T00:00:00"/>
    <s v="KIỀU THY"/>
    <s v="VH05"/>
    <x v="44"/>
    <x v="8"/>
    <s v="CONCADOR"/>
    <m/>
    <s v="18.20"/>
    <n v="150"/>
    <s v="NL2018"/>
    <m/>
    <n v="60"/>
    <n v="9000"/>
    <x v="9"/>
    <n v="72000000"/>
    <x v="2"/>
    <x v="2"/>
    <d v="2019-09-29T00:00:00"/>
    <d v="2019-09-29T00:00:00"/>
    <s v="TẾT"/>
    <m/>
    <m/>
    <m/>
    <m/>
    <m/>
    <m/>
    <m/>
    <m/>
    <m/>
    <m/>
    <m/>
    <n v="0"/>
    <n v="9000"/>
    <n v="72000000"/>
    <m/>
  </r>
  <r>
    <s v="28A/2019"/>
    <d v="2019-01-15T00:00:00"/>
    <s v="KIỀU THY"/>
    <s v="VH05"/>
    <x v="44"/>
    <x v="7"/>
    <s v="CONCADOR"/>
    <m/>
    <s v="20.22"/>
    <n v="125"/>
    <s v="NL2018"/>
    <m/>
    <n v="128"/>
    <n v="16000"/>
    <x v="5"/>
    <n v="168000000"/>
    <x v="2"/>
    <x v="2"/>
    <d v="2019-09-29T00:00:00"/>
    <d v="2019-09-29T00:00:00"/>
    <s v="TẾT"/>
    <m/>
    <m/>
    <s v="R"/>
    <m/>
    <n v="0"/>
    <m/>
    <m/>
    <m/>
    <m/>
    <m/>
    <m/>
    <n v="0"/>
    <n v="16000"/>
    <n v="168000000"/>
    <m/>
  </r>
  <r>
    <s v="28A/2019"/>
    <d v="2019-01-15T00:00:00"/>
    <s v="KIỀU THY"/>
    <s v="VH05"/>
    <x v="44"/>
    <x v="21"/>
    <s v="CONCADOR"/>
    <m/>
    <s v="22.24"/>
    <n v="100"/>
    <s v="NL2018"/>
    <m/>
    <n v="50"/>
    <n v="5000"/>
    <x v="25"/>
    <n v="62500000"/>
    <x v="2"/>
    <x v="2"/>
    <d v="2019-09-29T00:00:00"/>
    <d v="2019-09-29T00:00:00"/>
    <s v="TẾT"/>
    <m/>
    <m/>
    <s v="R"/>
    <m/>
    <n v="0"/>
    <m/>
    <m/>
    <m/>
    <m/>
    <m/>
    <m/>
    <n v="0"/>
    <n v="5000"/>
    <n v="62500000"/>
    <m/>
  </r>
  <r>
    <s v="155A/2019"/>
    <d v="2019-05-19T00:00:00"/>
    <s v="KIỀU THY"/>
    <s v="VH05"/>
    <x v="44"/>
    <x v="81"/>
    <s v="BACARDI"/>
    <m/>
    <s v="16.18"/>
    <n v="200"/>
    <s v="NL2018"/>
    <m/>
    <n v="3"/>
    <n v="600"/>
    <x v="66"/>
    <n v="4200000"/>
    <x v="0"/>
    <x v="1"/>
    <d v="2019-05-21T00:00:00"/>
    <d v="2019-05-21T00:00:00"/>
    <m/>
    <m/>
    <m/>
    <m/>
    <d v="2019-06-04T00:00:00"/>
    <n v="600"/>
    <m/>
    <m/>
    <m/>
    <m/>
    <m/>
    <m/>
    <n v="600"/>
    <n v="0"/>
    <n v="0"/>
    <m/>
  </r>
  <r>
    <s v="155A/2019"/>
    <d v="2019-05-19T00:00:00"/>
    <s v="KIỀU THY"/>
    <s v="VH05"/>
    <x v="44"/>
    <x v="13"/>
    <s v="BACARDI"/>
    <m/>
    <s v="15.16"/>
    <n v="300"/>
    <s v="NL2018"/>
    <m/>
    <n v="8"/>
    <n v="2400"/>
    <x v="14"/>
    <n v="10800000"/>
    <x v="0"/>
    <x v="1"/>
    <d v="2019-05-21T00:00:00"/>
    <d v="2019-05-21T00:00:00"/>
    <m/>
    <m/>
    <m/>
    <m/>
    <d v="2019-06-04T00:00:00"/>
    <n v="300"/>
    <d v="2019-06-20T00:00:00"/>
    <n v="2100"/>
    <m/>
    <m/>
    <m/>
    <m/>
    <n v="2400"/>
    <n v="0"/>
    <n v="0"/>
    <m/>
  </r>
  <r>
    <s v="155A/2019"/>
    <d v="2019-05-19T00:00:00"/>
    <s v="KIỀU THY"/>
    <s v="VH05"/>
    <x v="44"/>
    <x v="63"/>
    <s v="BACARDI"/>
    <m/>
    <s v="15.16"/>
    <n v="250"/>
    <s v="NL2018"/>
    <m/>
    <n v="8"/>
    <n v="2000"/>
    <x v="14"/>
    <n v="9000000"/>
    <x v="0"/>
    <x v="5"/>
    <d v="2019-04-19T00:00:00"/>
    <d v="2019-04-19T00:00:00"/>
    <m/>
    <m/>
    <m/>
    <m/>
    <d v="2019-06-04T00:00:00"/>
    <n v="2000"/>
    <m/>
    <m/>
    <m/>
    <m/>
    <m/>
    <m/>
    <n v="2000"/>
    <n v="0"/>
    <n v="0"/>
    <m/>
  </r>
  <r>
    <s v="155A/2019"/>
    <d v="2019-05-19T00:00:00"/>
    <s v="KIỀU THY"/>
    <s v="VH05"/>
    <x v="44"/>
    <x v="19"/>
    <s v="BACARDI"/>
    <m/>
    <s v="18.20"/>
    <n v="150"/>
    <s v="NL2018"/>
    <m/>
    <n v="31"/>
    <n v="4650"/>
    <x v="22"/>
    <n v="41850000"/>
    <x v="2"/>
    <x v="52"/>
    <d v="2019-09-28T00:00:00"/>
    <d v="2019-09-28T00:00:00"/>
    <m/>
    <m/>
    <m/>
    <m/>
    <m/>
    <m/>
    <m/>
    <m/>
    <m/>
    <m/>
    <m/>
    <m/>
    <n v="0"/>
    <n v="4650"/>
    <n v="41850000"/>
    <m/>
  </r>
  <r>
    <s v="236/2019"/>
    <d v="2019-06-01T00:00:00"/>
    <s v="KIỀU THY"/>
    <s v="LB01"/>
    <x v="45"/>
    <x v="85"/>
    <s v="CONCADOR NEWZELAND"/>
    <m/>
    <s v="20.22"/>
    <s v="125"/>
    <s v="NZ2019"/>
    <m/>
    <n v="40"/>
    <n v="5000"/>
    <x v="81"/>
    <n v="60000000"/>
    <x v="2"/>
    <x v="2"/>
    <d v="2019-09-29T00:00:00"/>
    <d v="2019-09-29T00:00:00"/>
    <m/>
    <m/>
    <m/>
    <m/>
    <m/>
    <m/>
    <m/>
    <m/>
    <m/>
    <m/>
    <m/>
    <m/>
    <n v="0"/>
    <n v="5000"/>
    <n v="60000000"/>
    <m/>
  </r>
  <r>
    <s v="236/2019"/>
    <d v="2019-06-01T00:00:00"/>
    <s v="KIỀU THY"/>
    <s v="LB01"/>
    <x v="45"/>
    <x v="8"/>
    <s v="CONCADOR"/>
    <m/>
    <s v="18.20"/>
    <s v="150"/>
    <s v="NL2018"/>
    <m/>
    <n v="34"/>
    <n v="5100"/>
    <x v="9"/>
    <n v="40800000"/>
    <x v="2"/>
    <x v="2"/>
    <d v="2019-09-29T00:00:00"/>
    <d v="2019-09-29T00:00:00"/>
    <m/>
    <m/>
    <m/>
    <m/>
    <m/>
    <m/>
    <m/>
    <m/>
    <m/>
    <m/>
    <m/>
    <m/>
    <n v="0"/>
    <n v="5100"/>
    <n v="40800000"/>
    <m/>
  </r>
  <r>
    <s v="236/2019"/>
    <d v="2019-06-01T00:00:00"/>
    <s v="KIỀU THY"/>
    <s v="LB01"/>
    <x v="45"/>
    <x v="7"/>
    <s v="CONCADOR"/>
    <m/>
    <s v="20.22"/>
    <s v="125"/>
    <s v="NL2018"/>
    <m/>
    <n v="80"/>
    <n v="10000"/>
    <x v="35"/>
    <n v="106000000"/>
    <x v="2"/>
    <x v="2"/>
    <d v="2019-09-29T00:00:00"/>
    <d v="2019-09-29T00:00:00"/>
    <m/>
    <m/>
    <m/>
    <m/>
    <m/>
    <m/>
    <m/>
    <m/>
    <m/>
    <m/>
    <m/>
    <m/>
    <n v="0"/>
    <n v="10000"/>
    <n v="106000000"/>
    <m/>
  </r>
  <r>
    <s v="238/2019"/>
    <d v="2019-06-14T00:00:00"/>
    <s v="KIỀU THY"/>
    <s v="DH01"/>
    <x v="46"/>
    <x v="107"/>
    <s v="SERANO"/>
    <m/>
    <s v="18.20"/>
    <n v="150"/>
    <s v="NL2018"/>
    <m/>
    <n v="14"/>
    <n v="2100"/>
    <x v="11"/>
    <n v="16170000"/>
    <x v="2"/>
    <x v="2"/>
    <d v="2019-09-29T00:00:00"/>
    <d v="2019-09-29T00:00:00"/>
    <m/>
    <m/>
    <m/>
    <m/>
    <m/>
    <m/>
    <m/>
    <m/>
    <m/>
    <m/>
    <m/>
    <m/>
    <n v="0"/>
    <n v="2100"/>
    <n v="16170000"/>
    <m/>
  </r>
  <r>
    <s v="49A/2019"/>
    <d v="2019-02-14T00:00:00"/>
    <s v="KIỀU THY"/>
    <s v="DH01"/>
    <x v="46"/>
    <x v="5"/>
    <s v="ROBINA"/>
    <m/>
    <s v="18.20"/>
    <n v="150"/>
    <s v="NL2018"/>
    <m/>
    <n v="7"/>
    <n v="1050"/>
    <x v="75"/>
    <n v="6615000"/>
    <x v="0"/>
    <x v="0"/>
    <d v="2019-03-20T00:00:00"/>
    <d v="2019-03-20T00:00:00"/>
    <s v="15/2AL"/>
    <s v="CONT 10/2019"/>
    <d v="2019-03-17T00:00:00"/>
    <s v="R"/>
    <d v="2019-03-19T00:00:00"/>
    <n v="1050"/>
    <m/>
    <m/>
    <m/>
    <m/>
    <m/>
    <m/>
    <n v="1050"/>
    <n v="0"/>
    <n v="0"/>
    <m/>
  </r>
  <r>
    <s v="238/2019"/>
    <d v="2019-06-03T00:00:00"/>
    <s v="KIỀU THY"/>
    <s v="DH01"/>
    <x v="46"/>
    <x v="4"/>
    <s v="ROBINA"/>
    <m/>
    <s v="20.22"/>
    <n v="125"/>
    <s v="NL2018"/>
    <m/>
    <n v="8"/>
    <n v="1000"/>
    <x v="115"/>
    <n v="11700000"/>
    <x v="2"/>
    <x v="2"/>
    <d v="2019-09-29T00:00:00"/>
    <d v="2019-09-29T00:00:00"/>
    <m/>
    <m/>
    <m/>
    <m/>
    <m/>
    <m/>
    <m/>
    <m/>
    <m/>
    <m/>
    <m/>
    <m/>
    <n v="0"/>
    <n v="1000"/>
    <n v="11700000"/>
    <m/>
  </r>
  <r>
    <s v="238/2019"/>
    <d v="2019-06-03T00:00:00"/>
    <s v="KIỀU THY"/>
    <s v="DH01"/>
    <x v="46"/>
    <x v="65"/>
    <s v="MANISSA"/>
    <m/>
    <s v="20.22"/>
    <n v="125"/>
    <s v="NL2018"/>
    <m/>
    <n v="16"/>
    <n v="2000"/>
    <x v="114"/>
    <n v="29200000"/>
    <x v="2"/>
    <x v="2"/>
    <d v="2019-09-29T00:00:00"/>
    <d v="2019-09-29T00:00:00"/>
    <m/>
    <m/>
    <m/>
    <m/>
    <m/>
    <m/>
    <m/>
    <m/>
    <m/>
    <m/>
    <m/>
    <m/>
    <n v="0"/>
    <n v="2000"/>
    <n v="29200000"/>
    <m/>
  </r>
  <r>
    <s v="190A/2019"/>
    <d v="2019-04-12T00:00:00"/>
    <s v="KIỀU THY"/>
    <s v="DH01"/>
    <x v="46"/>
    <x v="108"/>
    <s v="FELINO"/>
    <m/>
    <s v="16.18"/>
    <n v="200"/>
    <s v="NL2018"/>
    <m/>
    <n v="8"/>
    <n v="1600"/>
    <x v="116"/>
    <n v="11840000"/>
    <x v="0"/>
    <x v="5"/>
    <d v="2019-04-19T00:00:00"/>
    <d v="2019-04-19T00:00:00"/>
    <s v="15/3AL"/>
    <m/>
    <m/>
    <m/>
    <d v="2019-04-20T00:00:00"/>
    <n v="800"/>
    <d v="2019-05-24T00:00:00"/>
    <n v="800"/>
    <m/>
    <m/>
    <m/>
    <m/>
    <n v="1600"/>
    <n v="0"/>
    <n v="0"/>
    <m/>
  </r>
  <r>
    <s v="231/2019"/>
    <d v="2019-05-30T00:00:00"/>
    <s v="KIỀU THY"/>
    <s v="LH01"/>
    <x v="47"/>
    <x v="90"/>
    <s v="ROBINA NEWZELAND"/>
    <m/>
    <s v="20.22"/>
    <s v="125"/>
    <s v="NZ2019"/>
    <m/>
    <n v="64"/>
    <n v="8000"/>
    <x v="25"/>
    <n v="100000000"/>
    <x v="2"/>
    <x v="2"/>
    <s v=""/>
    <s v=""/>
    <m/>
    <m/>
    <m/>
    <m/>
    <m/>
    <m/>
    <m/>
    <m/>
    <m/>
    <m/>
    <m/>
    <m/>
    <n v="0"/>
    <n v="8000"/>
    <n v="100000000"/>
    <m/>
  </r>
  <r>
    <s v="231/2019"/>
    <d v="2019-05-30T00:00:00"/>
    <s v="KIỀU THY"/>
    <s v="LH01"/>
    <x v="47"/>
    <x v="58"/>
    <s v="ROBINA NEWZELAND"/>
    <m/>
    <s v="22.24"/>
    <s v="100"/>
    <s v="NZ2019"/>
    <m/>
    <n v="70"/>
    <n v="7000"/>
    <x v="47"/>
    <n v="91000000"/>
    <x v="2"/>
    <x v="2"/>
    <s v=""/>
    <s v=""/>
    <m/>
    <m/>
    <m/>
    <m/>
    <m/>
    <m/>
    <m/>
    <m/>
    <m/>
    <m/>
    <m/>
    <m/>
    <n v="0"/>
    <n v="7000"/>
    <n v="91000000"/>
    <m/>
  </r>
  <r>
    <s v="231/2019"/>
    <d v="2019-05-30T00:00:00"/>
    <s v="KIỀU THY"/>
    <s v="LH01"/>
    <x v="47"/>
    <x v="4"/>
    <s v="ROBINA"/>
    <m/>
    <s v="20.22"/>
    <s v="125"/>
    <s v="NL2018"/>
    <m/>
    <n v="0"/>
    <n v="0"/>
    <x v="34"/>
    <n v="0"/>
    <x v="1"/>
    <x v="2"/>
    <s v=""/>
    <s v=""/>
    <m/>
    <m/>
    <m/>
    <m/>
    <m/>
    <m/>
    <m/>
    <m/>
    <m/>
    <m/>
    <m/>
    <m/>
    <n v="0"/>
    <n v="0"/>
    <n v="0"/>
    <m/>
  </r>
  <r>
    <s v="231/2019"/>
    <d v="2019-05-30T00:00:00"/>
    <s v="KIỀU THY"/>
    <s v="LH01"/>
    <x v="47"/>
    <x v="23"/>
    <s v="ROBINA"/>
    <m/>
    <s v="22.24"/>
    <s v="100"/>
    <s v="NL2018"/>
    <m/>
    <n v="0"/>
    <n v="0"/>
    <x v="25"/>
    <n v="0"/>
    <x v="1"/>
    <x v="2"/>
    <s v=""/>
    <s v=""/>
    <m/>
    <m/>
    <m/>
    <m/>
    <m/>
    <m/>
    <m/>
    <m/>
    <m/>
    <m/>
    <m/>
    <m/>
    <n v="0"/>
    <n v="0"/>
    <n v="0"/>
    <m/>
  </r>
  <r>
    <s v="231/2019"/>
    <d v="2019-05-30T00:00:00"/>
    <s v="KIỀU THY"/>
    <s v="LH01"/>
    <x v="47"/>
    <x v="7"/>
    <s v="CONCADOR"/>
    <m/>
    <s v="20.22"/>
    <s v="125"/>
    <s v="NL2018"/>
    <m/>
    <n v="0"/>
    <n v="0"/>
    <x v="35"/>
    <n v="0"/>
    <x v="1"/>
    <x v="2"/>
    <s v=""/>
    <s v=""/>
    <m/>
    <m/>
    <m/>
    <m/>
    <m/>
    <m/>
    <m/>
    <m/>
    <m/>
    <m/>
    <m/>
    <m/>
    <n v="0"/>
    <n v="0"/>
    <n v="0"/>
    <m/>
  </r>
  <r>
    <s v="231/2019"/>
    <d v="2019-05-30T00:00:00"/>
    <s v="KIỀU THY"/>
    <s v="LH01"/>
    <x v="47"/>
    <x v="21"/>
    <s v="CONCADOR"/>
    <m/>
    <s v="22.24"/>
    <s v="100"/>
    <s v="NL2018"/>
    <m/>
    <n v="0"/>
    <n v="0"/>
    <x v="25"/>
    <n v="0"/>
    <x v="1"/>
    <x v="2"/>
    <s v=""/>
    <s v=""/>
    <m/>
    <m/>
    <m/>
    <m/>
    <m/>
    <m/>
    <m/>
    <m/>
    <m/>
    <m/>
    <m/>
    <m/>
    <n v="0"/>
    <n v="0"/>
    <n v="0"/>
    <m/>
  </r>
  <r>
    <s v="231/2019"/>
    <d v="2019-06-03T00:00:00"/>
    <s v="KIỀU THY"/>
    <s v="LH01"/>
    <x v="47"/>
    <x v="8"/>
    <s v="CONCADOR"/>
    <m/>
    <s v="18.20"/>
    <s v="150"/>
    <s v="NL2018"/>
    <m/>
    <n v="34"/>
    <n v="5100"/>
    <x v="9"/>
    <n v="40800000"/>
    <x v="2"/>
    <x v="2"/>
    <s v=""/>
    <s v=""/>
    <m/>
    <m/>
    <m/>
    <m/>
    <m/>
    <m/>
    <m/>
    <m/>
    <m/>
    <m/>
    <m/>
    <m/>
    <n v="0"/>
    <n v="5100"/>
    <n v="40800000"/>
    <m/>
  </r>
  <r>
    <s v="231/2019"/>
    <d v="2019-06-03T00:00:00"/>
    <s v="KIỀU THY"/>
    <s v="LH01"/>
    <x v="47"/>
    <x v="85"/>
    <s v="CONCADOR"/>
    <m/>
    <s v="20.22"/>
    <s v="125"/>
    <s v="NZ2019"/>
    <m/>
    <n v="200"/>
    <n v="25000"/>
    <x v="81"/>
    <n v="300000000"/>
    <x v="2"/>
    <x v="2"/>
    <s v=""/>
    <s v=""/>
    <m/>
    <m/>
    <m/>
    <m/>
    <m/>
    <m/>
    <m/>
    <m/>
    <m/>
    <m/>
    <m/>
    <m/>
    <n v="0"/>
    <n v="25000"/>
    <n v="300000000"/>
    <m/>
  </r>
  <r>
    <s v="245/2019"/>
    <d v="2019-06-14T00:00:00"/>
    <s v="KIỀU THY"/>
    <s v="HN06"/>
    <x v="48"/>
    <x v="91"/>
    <s v="ROBINA"/>
    <m/>
    <s v="24+"/>
    <s v="75"/>
    <s v="NL2018"/>
    <m/>
    <n v="11"/>
    <n v="825"/>
    <x v="86"/>
    <n v="12622500"/>
    <x v="2"/>
    <x v="2"/>
    <d v="2019-09-29T00:00:00"/>
    <d v="2019-09-29T00:00:00"/>
    <m/>
    <m/>
    <m/>
    <m/>
    <m/>
    <m/>
    <m/>
    <m/>
    <m/>
    <m/>
    <m/>
    <m/>
    <n v="0"/>
    <n v="825"/>
    <n v="12622500"/>
    <m/>
  </r>
  <r>
    <s v="245/2019"/>
    <d v="2019-06-14T00:00:00"/>
    <s v="KIỀU THY"/>
    <s v="HN06"/>
    <x v="48"/>
    <x v="109"/>
    <s v="MANISSA"/>
    <m/>
    <s v="24.26"/>
    <s v="80"/>
    <s v="NL2018"/>
    <m/>
    <n v="5"/>
    <n v="400"/>
    <x v="117"/>
    <n v="6480000"/>
    <x v="2"/>
    <x v="2"/>
    <d v="2019-09-29T00:00:00"/>
    <d v="2019-09-29T00:00:00"/>
    <m/>
    <m/>
    <m/>
    <m/>
    <m/>
    <m/>
    <m/>
    <m/>
    <m/>
    <m/>
    <m/>
    <m/>
    <n v="0"/>
    <n v="400"/>
    <n v="6480000"/>
    <m/>
  </r>
  <r>
    <s v="88A/2019"/>
    <d v="2019-03-05T00:00:00"/>
    <s v="KIỀU THY"/>
    <s v="NH03"/>
    <x v="49"/>
    <x v="78"/>
    <s v="YELLOWEEN"/>
    <m/>
    <s v="14.16"/>
    <n v="300"/>
    <s v="NL2018"/>
    <m/>
    <n v="10"/>
    <n v="3000"/>
    <x v="64"/>
    <n v="11400000"/>
    <x v="0"/>
    <x v="5"/>
    <d v="2019-04-19T00:00:00"/>
    <d v="2019-04-19T00:00:00"/>
    <s v="15/3AL"/>
    <s v="CONT 20/2019"/>
    <d v="2019-04-14T00:00:00"/>
    <m/>
    <d v="2019-06-03T00:00:00"/>
    <n v="3000"/>
    <m/>
    <m/>
    <m/>
    <m/>
    <m/>
    <m/>
    <n v="3000"/>
    <n v="0"/>
    <n v="0"/>
    <m/>
  </r>
  <r>
    <s v="88A/2019"/>
    <d v="2019-03-05T00:00:00"/>
    <s v="KIỀU THY"/>
    <s v="NH03"/>
    <x v="49"/>
    <x v="78"/>
    <s v="YELLOWEEN"/>
    <m/>
    <s v="14.16"/>
    <n v="300"/>
    <s v="NL2018"/>
    <m/>
    <n v="10"/>
    <n v="3000"/>
    <x v="64"/>
    <n v="11400000"/>
    <x v="0"/>
    <x v="1"/>
    <d v="2019-05-21T00:00:00"/>
    <d v="2019-05-21T00:00:00"/>
    <s v="30/3AL"/>
    <m/>
    <m/>
    <m/>
    <d v="2019-04-29T00:00:00"/>
    <n v="3000"/>
    <m/>
    <m/>
    <m/>
    <m/>
    <m/>
    <m/>
    <n v="3000"/>
    <n v="0"/>
    <n v="0"/>
    <m/>
  </r>
  <r>
    <s v="137A/2019"/>
    <d v="2019-03-05T00:00:00"/>
    <s v="KIỀU THY"/>
    <s v="NH03"/>
    <x v="49"/>
    <x v="23"/>
    <s v="ROBINA"/>
    <m/>
    <s v="22.24"/>
    <n v="100"/>
    <s v="NL2018"/>
    <m/>
    <n v="0"/>
    <n v="0"/>
    <x v="25"/>
    <n v="0"/>
    <x v="1"/>
    <x v="2"/>
    <d v="2019-09-29T00:00:00"/>
    <d v="2019-09-29T00:00:00"/>
    <s v="TẾT"/>
    <m/>
    <m/>
    <m/>
    <m/>
    <m/>
    <m/>
    <m/>
    <m/>
    <m/>
    <m/>
    <m/>
    <n v="0"/>
    <n v="0"/>
    <n v="0"/>
    <m/>
  </r>
  <r>
    <s v="137A/2019"/>
    <d v="2019-03-05T00:00:00"/>
    <s v="KIỀU THY"/>
    <s v="NH03"/>
    <x v="49"/>
    <x v="7"/>
    <s v="CONCADOR"/>
    <m/>
    <s v="20.22"/>
    <n v="125"/>
    <s v="NL2018"/>
    <m/>
    <n v="0"/>
    <n v="0"/>
    <x v="5"/>
    <n v="0"/>
    <x v="1"/>
    <x v="2"/>
    <d v="2019-09-29T00:00:00"/>
    <d v="2019-09-29T00:00:00"/>
    <s v="TẾT"/>
    <m/>
    <m/>
    <m/>
    <m/>
    <m/>
    <m/>
    <m/>
    <m/>
    <m/>
    <m/>
    <m/>
    <n v="0"/>
    <n v="0"/>
    <n v="0"/>
    <m/>
  </r>
  <r>
    <s v="88A/2019"/>
    <d v="2019-03-05T00:00:00"/>
    <s v="KIỀU THY"/>
    <s v="NH03"/>
    <x v="49"/>
    <x v="6"/>
    <s v="CONCADOR"/>
    <m/>
    <s v="16.18"/>
    <n v="200"/>
    <s v="NL2018"/>
    <m/>
    <n v="25"/>
    <n v="5000"/>
    <x v="8"/>
    <n v="25000000"/>
    <x v="0"/>
    <x v="5"/>
    <d v="2019-04-19T00:00:00"/>
    <d v="2019-04-19T00:00:00"/>
    <s v="15/3AL"/>
    <s v="CONT 21/2019"/>
    <d v="2019-04-14T00:00:00"/>
    <m/>
    <d v="2019-04-22T00:00:00"/>
    <n v="5000"/>
    <m/>
    <m/>
    <m/>
    <m/>
    <m/>
    <m/>
    <n v="5000"/>
    <n v="0"/>
    <n v="0"/>
    <m/>
  </r>
  <r>
    <s v="88A/2019"/>
    <d v="2019-03-05T00:00:00"/>
    <s v="KIỀU THY"/>
    <s v="NH03"/>
    <x v="49"/>
    <x v="6"/>
    <s v="CONCADOR"/>
    <m/>
    <s v="16.18"/>
    <n v="200"/>
    <s v="NL2018"/>
    <m/>
    <n v="0"/>
    <n v="0"/>
    <x v="51"/>
    <n v="0"/>
    <x v="1"/>
    <x v="1"/>
    <d v="2019-05-21T00:00:00"/>
    <d v="2019-05-21T00:00:00"/>
    <s v="30/3AL"/>
    <m/>
    <m/>
    <m/>
    <m/>
    <m/>
    <m/>
    <m/>
    <m/>
    <m/>
    <m/>
    <m/>
    <n v="0"/>
    <n v="0"/>
    <n v="0"/>
    <m/>
  </r>
  <r>
    <s v="88A/2019"/>
    <d v="2019-03-05T00:00:00"/>
    <s v="KIỀU THY"/>
    <s v="NH03"/>
    <x v="49"/>
    <x v="9"/>
    <s v="ARVANDRUD"/>
    <m/>
    <s v="16.18"/>
    <n v="200"/>
    <s v="NL2018"/>
    <m/>
    <n v="10"/>
    <n v="2000"/>
    <x v="10"/>
    <n v="11000000"/>
    <x v="0"/>
    <x v="5"/>
    <d v="2019-04-19T00:00:00"/>
    <d v="2019-04-19T00:00:00"/>
    <s v="15/3AL"/>
    <s v="CONT 22/2019"/>
    <d v="2019-04-14T00:00:00"/>
    <m/>
    <d v="2019-04-29T00:00:00"/>
    <n v="2000"/>
    <m/>
    <m/>
    <m/>
    <m/>
    <m/>
    <m/>
    <n v="2000"/>
    <n v="0"/>
    <n v="0"/>
    <m/>
  </r>
  <r>
    <s v="88A/2019"/>
    <d v="2019-03-05T00:00:00"/>
    <s v="KIỀU THY"/>
    <s v="NH03"/>
    <x v="49"/>
    <x v="9"/>
    <s v="ARVANDRUD"/>
    <m/>
    <s v="16.18"/>
    <n v="200"/>
    <s v="NL2018"/>
    <m/>
    <n v="15"/>
    <n v="3000"/>
    <x v="10"/>
    <n v="16500000"/>
    <x v="0"/>
    <x v="1"/>
    <d v="2019-05-21T00:00:00"/>
    <d v="2019-05-21T00:00:00"/>
    <s v="30/3AL"/>
    <m/>
    <m/>
    <m/>
    <d v="2019-06-03T00:00:00"/>
    <n v="3000"/>
    <m/>
    <m/>
    <m/>
    <m/>
    <m/>
    <m/>
    <n v="3000"/>
    <n v="0"/>
    <n v="0"/>
    <m/>
  </r>
  <r>
    <s v="172B/2019"/>
    <d v="2019-04-20T00:00:00"/>
    <s v="THANH THÚY"/>
    <s v="TA05"/>
    <x v="50"/>
    <x v="110"/>
    <s v="THALITA"/>
    <s v="RL"/>
    <s v="14.16"/>
    <s v="300"/>
    <s v="NL2018"/>
    <m/>
    <n v="7"/>
    <n v="2100"/>
    <x v="118"/>
    <n v="29190000"/>
    <x v="2"/>
    <x v="2"/>
    <d v="2019-09-29T00:00:00"/>
    <d v="2019-09-29T00:00:00"/>
    <s v="TẾT"/>
    <m/>
    <m/>
    <m/>
    <m/>
    <m/>
    <m/>
    <m/>
    <m/>
    <m/>
    <m/>
    <m/>
    <n v="0"/>
    <n v="2100"/>
    <n v="29190000"/>
    <m/>
  </r>
  <r>
    <s v="171B/2019"/>
    <d v="2019-04-20T00:00:00"/>
    <s v="THANH THÚY"/>
    <s v="TA05"/>
    <x v="50"/>
    <x v="3"/>
    <s v="ROBINA"/>
    <m/>
    <s v="16.18"/>
    <s v="200"/>
    <s v="NL2018"/>
    <m/>
    <n v="50"/>
    <n v="10000"/>
    <x v="33"/>
    <n v="53000000"/>
    <x v="0"/>
    <x v="8"/>
    <d v="2019-04-22T00:00:00"/>
    <d v="2019-04-22T00:00:00"/>
    <m/>
    <m/>
    <m/>
    <m/>
    <d v="2019-04-23T00:00:00"/>
    <n v="10000"/>
    <m/>
    <m/>
    <m/>
    <m/>
    <m/>
    <m/>
    <n v="10000"/>
    <n v="0"/>
    <n v="0"/>
    <m/>
  </r>
  <r>
    <s v="171B/2019"/>
    <d v="2019-04-20T00:00:00"/>
    <s v="THANH THÚY"/>
    <s v="TA05"/>
    <x v="50"/>
    <x v="12"/>
    <s v="PROFUNDO"/>
    <m/>
    <s v="14.16"/>
    <s v="300"/>
    <s v="NL2018"/>
    <m/>
    <n v="34"/>
    <n v="10200"/>
    <x v="8"/>
    <n v="51000000"/>
    <x v="0"/>
    <x v="8"/>
    <d v="2019-04-22T00:00:00"/>
    <d v="2019-04-22T00:00:00"/>
    <m/>
    <m/>
    <m/>
    <m/>
    <d v="2019-05-13T00:00:00"/>
    <n v="10200"/>
    <m/>
    <m/>
    <m/>
    <m/>
    <m/>
    <m/>
    <n v="10200"/>
    <n v="0"/>
    <n v="0"/>
    <m/>
  </r>
  <r>
    <s v="171B/2019"/>
    <d v="2019-04-20T00:00:00"/>
    <s v="THANH THÚY"/>
    <s v="TA05"/>
    <x v="50"/>
    <x v="111"/>
    <s v="LODI"/>
    <m/>
    <s v="16.18"/>
    <s v="200"/>
    <s v="NL2018"/>
    <m/>
    <n v="24"/>
    <n v="4800"/>
    <x v="72"/>
    <n v="34080000"/>
    <x v="0"/>
    <x v="8"/>
    <d v="2019-04-22T00:00:00"/>
    <d v="2019-04-22T00:00:00"/>
    <m/>
    <m/>
    <m/>
    <m/>
    <d v="2019-04-22T00:00:00"/>
    <n v="4800"/>
    <m/>
    <m/>
    <m/>
    <m/>
    <m/>
    <m/>
    <n v="4800"/>
    <n v="0"/>
    <n v="0"/>
    <m/>
  </r>
  <r>
    <s v="171B/2019"/>
    <d v="2019-04-20T00:00:00"/>
    <s v="THANH THÚY"/>
    <s v="TA05"/>
    <x v="50"/>
    <x v="28"/>
    <s v="LARGO"/>
    <m/>
    <s v="16.18"/>
    <s v="200"/>
    <s v="NL2018"/>
    <m/>
    <n v="50"/>
    <n v="10000"/>
    <x v="30"/>
    <n v="58000000"/>
    <x v="3"/>
    <x v="11"/>
    <d v="2019-06-02T00:00:00"/>
    <d v="2019-06-02T00:00:00"/>
    <s v="29/4AL"/>
    <m/>
    <m/>
    <m/>
    <m/>
    <m/>
    <m/>
    <m/>
    <m/>
    <m/>
    <m/>
    <m/>
    <n v="0"/>
    <n v="10000"/>
    <n v="58000000"/>
    <m/>
  </r>
  <r>
    <s v="172B/2019"/>
    <d v="2019-04-20T00:00:00"/>
    <s v="THANH THÚY"/>
    <s v="TA05"/>
    <x v="50"/>
    <x v="68"/>
    <s v="LARGO"/>
    <m/>
    <s v="22.24"/>
    <s v="100"/>
    <s v="NL2018"/>
    <m/>
    <n v="200"/>
    <n v="20000"/>
    <x v="119"/>
    <n v="230000000"/>
    <x v="2"/>
    <x v="2"/>
    <d v="2019-09-29T00:00:00"/>
    <d v="2019-09-29T00:00:00"/>
    <s v="TẾT"/>
    <m/>
    <m/>
    <m/>
    <m/>
    <m/>
    <m/>
    <m/>
    <m/>
    <m/>
    <m/>
    <m/>
    <n v="0"/>
    <n v="20000"/>
    <n v="230000000"/>
    <m/>
  </r>
  <r>
    <s v="171B/2019"/>
    <d v="2019-05-20T00:00:00"/>
    <s v="THANH THÚY"/>
    <s v="TA05"/>
    <x v="50"/>
    <x v="24"/>
    <s v="DALIAN"/>
    <m/>
    <s v="14.16"/>
    <s v="300"/>
    <s v="NL2018"/>
    <m/>
    <n v="5"/>
    <n v="1500"/>
    <x v="10"/>
    <n v="8250000"/>
    <x v="0"/>
    <x v="1"/>
    <d v="2019-05-21T00:00:00"/>
    <d v="2019-05-21T00:00:00"/>
    <m/>
    <m/>
    <m/>
    <m/>
    <d v="2019-05-21T00:00:00"/>
    <n v="1500"/>
    <m/>
    <m/>
    <m/>
    <m/>
    <m/>
    <m/>
    <n v="1500"/>
    <n v="0"/>
    <n v="0"/>
    <m/>
  </r>
  <r>
    <s v="171B/2019"/>
    <d v="2019-06-14T00:00:00"/>
    <s v="THANH THÚY"/>
    <s v="TA05"/>
    <x v="50"/>
    <x v="24"/>
    <s v="DALIAN"/>
    <m/>
    <s v="14.16"/>
    <s v="300"/>
    <s v="NL2018"/>
    <m/>
    <n v="33"/>
    <n v="9900"/>
    <x v="10"/>
    <n v="54450000"/>
    <x v="0"/>
    <x v="26"/>
    <m/>
    <m/>
    <m/>
    <m/>
    <m/>
    <m/>
    <d v="2019-06-14T00:00:00"/>
    <n v="9900"/>
    <m/>
    <m/>
    <m/>
    <m/>
    <m/>
    <m/>
    <n v="9900"/>
    <n v="0"/>
    <n v="0"/>
    <m/>
  </r>
  <r>
    <s v="172B/2019"/>
    <d v="2019-04-20T00:00:00"/>
    <s v="THANH THÚY"/>
    <s v="TA05"/>
    <x v="50"/>
    <x v="112"/>
    <s v="CONCADOR"/>
    <m/>
    <s v="24+"/>
    <s v="75"/>
    <s v="NL2018"/>
    <m/>
    <n v="85"/>
    <n v="6375"/>
    <x v="15"/>
    <n v="96900000"/>
    <x v="2"/>
    <x v="2"/>
    <d v="2019-09-29T00:00:00"/>
    <d v="2019-09-29T00:00:00"/>
    <s v="TẾT"/>
    <m/>
    <m/>
    <m/>
    <m/>
    <m/>
    <m/>
    <m/>
    <m/>
    <m/>
    <m/>
    <m/>
    <n v="0"/>
    <n v="6375"/>
    <n v="96900000"/>
    <m/>
  </r>
  <r>
    <s v="172B/2019"/>
    <d v="2019-06-21T00:00:00"/>
    <s v="THANH THÚY"/>
    <s v="TA05"/>
    <x v="50"/>
    <x v="14"/>
    <s v="CONCADOR"/>
    <m/>
    <s v="24.26"/>
    <s v="80"/>
    <s v="NL2018"/>
    <m/>
    <n v="41"/>
    <n v="3280"/>
    <x v="15"/>
    <n v="49856000"/>
    <x v="2"/>
    <x v="2"/>
    <d v="2019-09-29T00:00:00"/>
    <d v="2019-09-29T00:00:00"/>
    <s v="TẾT"/>
    <m/>
    <m/>
    <m/>
    <m/>
    <m/>
    <m/>
    <m/>
    <m/>
    <m/>
    <m/>
    <m/>
    <n v="0"/>
    <n v="3280"/>
    <n v="49856000"/>
    <m/>
  </r>
  <r>
    <s v="171B/2019"/>
    <d v="2019-04-20T00:00:00"/>
    <s v="THANH THÚY"/>
    <s v="TA05"/>
    <x v="50"/>
    <x v="13"/>
    <s v="BACARDI"/>
    <m/>
    <s v="15.16"/>
    <s v="300"/>
    <s v="NL2018"/>
    <m/>
    <n v="0"/>
    <n v="0"/>
    <x v="14"/>
    <n v="0"/>
    <x v="1"/>
    <x v="8"/>
    <d v="2019-04-22T00:00:00"/>
    <d v="2019-04-22T00:00:00"/>
    <m/>
    <m/>
    <m/>
    <m/>
    <m/>
    <m/>
    <m/>
    <m/>
    <m/>
    <m/>
    <m/>
    <m/>
    <n v="0"/>
    <n v="0"/>
    <n v="0"/>
    <m/>
  </r>
  <r>
    <s v="171B/2019"/>
    <d v="2019-04-20T00:00:00"/>
    <s v="THANH THÚY"/>
    <s v="TA05"/>
    <x v="50"/>
    <x v="63"/>
    <s v="BACARDI"/>
    <m/>
    <s v="15.16"/>
    <s v="250"/>
    <s v="NL2018"/>
    <m/>
    <n v="0"/>
    <n v="0"/>
    <x v="14"/>
    <n v="0"/>
    <x v="1"/>
    <x v="8"/>
    <d v="2019-04-22T00:00:00"/>
    <d v="2019-04-22T00:00:00"/>
    <m/>
    <m/>
    <m/>
    <m/>
    <m/>
    <m/>
    <m/>
    <m/>
    <m/>
    <m/>
    <m/>
    <m/>
    <n v="0"/>
    <n v="0"/>
    <n v="0"/>
    <m/>
  </r>
  <r>
    <s v="71A/2019"/>
    <d v="2019-02-22T00:00:00"/>
    <s v="KIỀU THY"/>
    <s v="TT16"/>
    <x v="51"/>
    <x v="78"/>
    <s v="YELLOWEEN"/>
    <m/>
    <s v="14.16"/>
    <n v="300"/>
    <s v="NL2018"/>
    <m/>
    <n v="14"/>
    <n v="4200"/>
    <x v="64"/>
    <n v="15960000"/>
    <x v="0"/>
    <x v="5"/>
    <d v="2019-04-19T00:00:00"/>
    <d v="2019-04-19T00:00:00"/>
    <s v="15/3AL"/>
    <s v="CONT 20/2019"/>
    <d v="2019-04-14T00:00:00"/>
    <s v="R"/>
    <d v="2019-04-26T00:00:00"/>
    <n v="4200"/>
    <m/>
    <m/>
    <m/>
    <m/>
    <m/>
    <m/>
    <n v="4200"/>
    <n v="0"/>
    <n v="0"/>
    <m/>
  </r>
  <r>
    <s v="71A/2019"/>
    <d v="2019-02-22T00:00:00"/>
    <s v="KIỀU THY"/>
    <s v="TT16"/>
    <x v="51"/>
    <x v="57"/>
    <s v="YELLOWEEN"/>
    <m/>
    <s v="16.18"/>
    <n v="200"/>
    <s v="NL2018"/>
    <m/>
    <n v="0"/>
    <n v="0"/>
    <x v="54"/>
    <n v="0"/>
    <x v="1"/>
    <x v="53"/>
    <d v="2019-06-03T00:00:00"/>
    <d v="2019-06-03T00:00:00"/>
    <s v="1/5AL"/>
    <m/>
    <m/>
    <s v="R"/>
    <m/>
    <n v="0"/>
    <m/>
    <m/>
    <m/>
    <m/>
    <m/>
    <m/>
    <n v="0"/>
    <n v="0"/>
    <n v="0"/>
    <m/>
  </r>
  <r>
    <s v="71A/2019"/>
    <d v="2019-02-22T00:00:00"/>
    <s v="KIỀU THY"/>
    <s v="TT16"/>
    <x v="51"/>
    <x v="32"/>
    <s v="TEBALDI"/>
    <m/>
    <s v="12.14"/>
    <n v="400"/>
    <s v="NL2018"/>
    <m/>
    <n v="2"/>
    <n v="800"/>
    <x v="37"/>
    <n v="2240000"/>
    <x v="0"/>
    <x v="17"/>
    <d v="2019-04-02T00:00:00"/>
    <d v="2019-04-02T00:00:00"/>
    <s v="15/3AL"/>
    <s v="CONT 15/2019"/>
    <d v="2019-03-31T00:00:00"/>
    <s v="R"/>
    <d v="2019-04-26T00:00:00"/>
    <n v="800"/>
    <m/>
    <m/>
    <m/>
    <m/>
    <m/>
    <m/>
    <n v="800"/>
    <n v="0"/>
    <n v="0"/>
    <m/>
  </r>
  <r>
    <s v="168A/2019"/>
    <d v="2019-02-22T00:00:00"/>
    <s v="KIỀU THY"/>
    <s v="TT16"/>
    <x v="51"/>
    <x v="23"/>
    <s v="ROBINA"/>
    <m/>
    <s v="22.24"/>
    <n v="100"/>
    <s v="NL2018"/>
    <m/>
    <n v="55"/>
    <n v="5500"/>
    <x v="25"/>
    <n v="68750000"/>
    <x v="2"/>
    <x v="2"/>
    <d v="2019-09-29T00:00:00"/>
    <d v="2019-09-29T00:00:00"/>
    <s v="TẾT"/>
    <m/>
    <m/>
    <s v="R"/>
    <m/>
    <n v="0"/>
    <m/>
    <m/>
    <m/>
    <m/>
    <m/>
    <m/>
    <n v="0"/>
    <n v="5500"/>
    <n v="68750000"/>
    <m/>
  </r>
  <r>
    <s v="168A/2019"/>
    <d v="2019-02-22T00:00:00"/>
    <s v="KIỀU THY"/>
    <s v="TT16"/>
    <x v="51"/>
    <x v="39"/>
    <s v="PROFUNDO"/>
    <m/>
    <s v="20.22"/>
    <n v="125"/>
    <s v="NL2018"/>
    <m/>
    <n v="20"/>
    <n v="2500"/>
    <x v="47"/>
    <n v="32500000"/>
    <x v="2"/>
    <x v="2"/>
    <d v="2019-09-29T00:00:00"/>
    <d v="2019-09-29T00:00:00"/>
    <s v="TẾT"/>
    <m/>
    <m/>
    <s v="R"/>
    <m/>
    <n v="0"/>
    <m/>
    <m/>
    <m/>
    <m/>
    <m/>
    <m/>
    <n v="0"/>
    <n v="2500"/>
    <n v="32500000"/>
    <m/>
  </r>
  <r>
    <s v="168A/2019"/>
    <d v="2019-02-22T00:00:00"/>
    <s v="KIỀU THY"/>
    <s v="TT16"/>
    <x v="51"/>
    <x v="20"/>
    <s v="PROFUNDO"/>
    <m/>
    <s v="22.24"/>
    <n v="100"/>
    <s v="NL2018"/>
    <m/>
    <n v="25"/>
    <n v="2500"/>
    <x v="24"/>
    <n v="35500000"/>
    <x v="2"/>
    <x v="2"/>
    <d v="2019-09-29T00:00:00"/>
    <d v="2019-09-29T00:00:00"/>
    <s v="TẾT"/>
    <m/>
    <m/>
    <s v="R"/>
    <m/>
    <n v="0"/>
    <m/>
    <m/>
    <m/>
    <m/>
    <m/>
    <m/>
    <n v="0"/>
    <n v="2500"/>
    <n v="35500000"/>
    <m/>
  </r>
  <r>
    <s v="71A/2019"/>
    <d v="2019-02-22T00:00:00"/>
    <s v="KIỀU THY"/>
    <s v="TT16"/>
    <x v="51"/>
    <x v="11"/>
    <s v="PROFUNDO"/>
    <m/>
    <s v="16.18"/>
    <n v="200"/>
    <s v="NL2018"/>
    <m/>
    <n v="55"/>
    <n v="11000"/>
    <x v="32"/>
    <n v="73700000"/>
    <x v="0"/>
    <x v="5"/>
    <d v="2019-04-19T00:00:00"/>
    <d v="2019-04-19T00:00:00"/>
    <s v="15/3AL"/>
    <s v="CONT 23/2019"/>
    <d v="2019-04-14T00:00:00"/>
    <s v="R"/>
    <d v="2019-04-26T00:00:00"/>
    <n v="11000"/>
    <m/>
    <m/>
    <m/>
    <m/>
    <m/>
    <m/>
    <n v="11000"/>
    <n v="0"/>
    <n v="0"/>
    <m/>
  </r>
  <r>
    <s v="168A/2019"/>
    <d v="2019-02-22T00:00:00"/>
    <s v="KIỀU THY"/>
    <s v="TT16"/>
    <x v="51"/>
    <x v="21"/>
    <s v="CONCAD'OR"/>
    <m/>
    <s v="22.24"/>
    <n v="100"/>
    <s v="NL2018"/>
    <m/>
    <n v="80"/>
    <n v="8000"/>
    <x v="25"/>
    <n v="100000000"/>
    <x v="2"/>
    <x v="2"/>
    <d v="2019-09-29T00:00:00"/>
    <d v="2019-09-29T00:00:00"/>
    <s v="TẾT"/>
    <m/>
    <m/>
    <s v="R"/>
    <m/>
    <n v="0"/>
    <m/>
    <m/>
    <m/>
    <m/>
    <m/>
    <m/>
    <n v="0"/>
    <n v="8000"/>
    <n v="100000000"/>
    <m/>
  </r>
  <r>
    <s v="123A/2019"/>
    <d v="2019-03-14T00:00:00"/>
    <s v="KIỀU THY"/>
    <s v="DT06"/>
    <x v="52"/>
    <x v="32"/>
    <s v="TEBALDI"/>
    <m/>
    <s v="12.14"/>
    <s v="400"/>
    <s v="NL2018"/>
    <m/>
    <n v="8"/>
    <n v="3200"/>
    <x v="36"/>
    <n v="9920000"/>
    <x v="2"/>
    <x v="54"/>
    <d v="2019-08-25T00:00:00"/>
    <d v="2019-08-25T00:00:00"/>
    <s v="TRỒNG NGÀY 25/7 AL"/>
    <m/>
    <m/>
    <m/>
    <m/>
    <n v="0"/>
    <m/>
    <m/>
    <m/>
    <m/>
    <m/>
    <m/>
    <n v="0"/>
    <n v="3200"/>
    <n v="9920000"/>
    <m/>
  </r>
  <r>
    <s v="123A/2019"/>
    <d v="2019-03-14T00:00:00"/>
    <s v="KIỀU THY"/>
    <s v="DT06"/>
    <x v="52"/>
    <x v="33"/>
    <s v="TEBALDI"/>
    <m/>
    <s v="14.16"/>
    <s v="300"/>
    <s v="NL2018"/>
    <m/>
    <n v="44"/>
    <n v="13200"/>
    <x v="29"/>
    <n v="60720000"/>
    <x v="2"/>
    <x v="2"/>
    <d v="2019-09-29T00:00:00"/>
    <d v="2019-09-29T00:00:00"/>
    <s v="TẾT"/>
    <m/>
    <m/>
    <m/>
    <m/>
    <n v="0"/>
    <m/>
    <m/>
    <m/>
    <m/>
    <m/>
    <m/>
    <n v="0"/>
    <n v="13200"/>
    <n v="60720000"/>
    <m/>
  </r>
  <r>
    <s v="123A/2019"/>
    <d v="2019-03-14T00:00:00"/>
    <s v="KIỀU THY"/>
    <s v="DT06"/>
    <x v="52"/>
    <x v="4"/>
    <s v="ROBINA"/>
    <m/>
    <s v="20.22"/>
    <s v="125"/>
    <s v="NL2018"/>
    <m/>
    <n v="16"/>
    <n v="2000"/>
    <x v="5"/>
    <n v="21000000"/>
    <x v="2"/>
    <x v="2"/>
    <d v="2019-09-29T00:00:00"/>
    <d v="2019-09-29T00:00:00"/>
    <s v="TẾT"/>
    <m/>
    <m/>
    <m/>
    <m/>
    <n v="0"/>
    <m/>
    <m/>
    <m/>
    <m/>
    <m/>
    <m/>
    <n v="0"/>
    <n v="2000"/>
    <n v="21000000"/>
    <m/>
  </r>
  <r>
    <s v="165A/2019"/>
    <d v="2019-04-03T00:00:00"/>
    <s v="KIỀU THY"/>
    <s v="DT06"/>
    <x v="52"/>
    <x v="4"/>
    <s v="ROBINA"/>
    <m/>
    <s v="20.22"/>
    <s v="125"/>
    <s v="NL2018"/>
    <m/>
    <n v="16"/>
    <n v="2000"/>
    <x v="34"/>
    <n v="21400000"/>
    <x v="2"/>
    <x v="2"/>
    <d v="2019-09-29T00:00:00"/>
    <d v="2019-09-29T00:00:00"/>
    <s v="TẾT"/>
    <m/>
    <m/>
    <m/>
    <m/>
    <m/>
    <m/>
    <m/>
    <m/>
    <m/>
    <m/>
    <m/>
    <n v="0"/>
    <n v="2000"/>
    <n v="21400000"/>
    <m/>
  </r>
  <r>
    <s v="123A/2019"/>
    <d v="2019-03-14T00:00:00"/>
    <s v="KIỀU THY"/>
    <s v="DT06"/>
    <x v="52"/>
    <x v="113"/>
    <s v="REDDESIRE"/>
    <m/>
    <s v="18.20"/>
    <s v="150"/>
    <s v="NL2018"/>
    <m/>
    <n v="14"/>
    <n v="2100"/>
    <x v="5"/>
    <n v="22050000"/>
    <x v="2"/>
    <x v="2"/>
    <d v="2019-09-29T00:00:00"/>
    <d v="2019-09-29T00:00:00"/>
    <s v="TẾT"/>
    <m/>
    <m/>
    <m/>
    <m/>
    <n v="0"/>
    <m/>
    <m/>
    <m/>
    <m/>
    <m/>
    <m/>
    <n v="0"/>
    <n v="2100"/>
    <n v="22050000"/>
    <m/>
  </r>
  <r>
    <s v="165A/2019"/>
    <d v="2019-04-03T00:00:00"/>
    <s v="KIỀU THY"/>
    <s v="DT06"/>
    <x v="52"/>
    <x v="113"/>
    <s v="REDDESIRE"/>
    <m/>
    <s v="18.20"/>
    <s v="150"/>
    <s v="NL2018"/>
    <m/>
    <n v="14"/>
    <n v="2100"/>
    <x v="5"/>
    <n v="22050000"/>
    <x v="2"/>
    <x v="2"/>
    <d v="2019-09-29T00:00:00"/>
    <d v="2019-09-29T00:00:00"/>
    <s v="TẾT"/>
    <m/>
    <m/>
    <m/>
    <m/>
    <m/>
    <m/>
    <m/>
    <m/>
    <m/>
    <m/>
    <m/>
    <n v="0"/>
    <n v="2100"/>
    <n v="22050000"/>
    <m/>
  </r>
  <r>
    <s v="123A/2019"/>
    <d v="2019-03-14T00:00:00"/>
    <s v="KIỀU THY"/>
    <s v="DT06"/>
    <x v="52"/>
    <x v="89"/>
    <s v="PROFUNDO"/>
    <m/>
    <s v="18.20"/>
    <s v="150"/>
    <s v="NL2018"/>
    <m/>
    <n v="14"/>
    <n v="2100"/>
    <x v="27"/>
    <n v="22680000"/>
    <x v="2"/>
    <x v="2"/>
    <d v="2019-09-29T00:00:00"/>
    <d v="2019-09-29T00:00:00"/>
    <s v="TẾT"/>
    <m/>
    <m/>
    <m/>
    <m/>
    <n v="0"/>
    <m/>
    <m/>
    <m/>
    <m/>
    <m/>
    <m/>
    <n v="0"/>
    <n v="2100"/>
    <n v="22680000"/>
    <m/>
  </r>
  <r>
    <s v="123A/2019"/>
    <d v="2019-03-14T00:00:00"/>
    <s v="KIỀU THY"/>
    <s v="DT06"/>
    <x v="52"/>
    <x v="61"/>
    <s v="NASHVILLE"/>
    <m/>
    <s v="14.16"/>
    <s v="300"/>
    <s v="NL2018"/>
    <m/>
    <n v="10"/>
    <n v="3000"/>
    <x v="41"/>
    <n v="12900000"/>
    <x v="2"/>
    <x v="54"/>
    <d v="2019-08-25T00:00:00"/>
    <d v="2019-08-25T00:00:00"/>
    <s v="TRỒNG NGÀY 25/7 AL"/>
    <m/>
    <m/>
    <m/>
    <m/>
    <n v="0"/>
    <m/>
    <m/>
    <m/>
    <m/>
    <m/>
    <m/>
    <n v="0"/>
    <n v="3000"/>
    <n v="12900000"/>
    <m/>
  </r>
  <r>
    <s v="123A/2019"/>
    <d v="2019-03-14T00:00:00"/>
    <s v="KIỀU THY"/>
    <s v="DT06"/>
    <x v="52"/>
    <x v="65"/>
    <s v="MANISSA"/>
    <m/>
    <s v="20.22"/>
    <s v="125"/>
    <s v="NL2018"/>
    <m/>
    <n v="8"/>
    <n v="1000"/>
    <x v="61"/>
    <n v="13500000"/>
    <x v="2"/>
    <x v="2"/>
    <d v="2019-09-29T00:00:00"/>
    <d v="2019-09-29T00:00:00"/>
    <s v="TẾT"/>
    <m/>
    <m/>
    <m/>
    <m/>
    <n v="0"/>
    <m/>
    <m/>
    <m/>
    <m/>
    <m/>
    <m/>
    <n v="0"/>
    <n v="1000"/>
    <n v="13500000"/>
    <m/>
  </r>
  <r>
    <s v="165A/2019"/>
    <d v="2019-04-03T00:00:00"/>
    <s v="KIỀU THY"/>
    <s v="DT06"/>
    <x v="52"/>
    <x v="114"/>
    <s v="MANISSA"/>
    <m/>
    <s v="18.20"/>
    <s v="150"/>
    <s v="NL2018"/>
    <m/>
    <n v="14"/>
    <n v="2100"/>
    <x v="120"/>
    <n v="21630000"/>
    <x v="2"/>
    <x v="2"/>
    <d v="2019-09-29T00:00:00"/>
    <d v="2019-09-29T00:00:00"/>
    <s v="TẾT"/>
    <m/>
    <m/>
    <m/>
    <m/>
    <m/>
    <m/>
    <m/>
    <m/>
    <m/>
    <m/>
    <m/>
    <n v="0"/>
    <n v="2100"/>
    <n v="21630000"/>
    <m/>
  </r>
  <r>
    <s v="123A/2019"/>
    <d v="2019-03-14T00:00:00"/>
    <s v="KIỀU THY"/>
    <s v="DT06"/>
    <x v="52"/>
    <x v="7"/>
    <s v="CONCADOR"/>
    <m/>
    <s v="20.22"/>
    <s v="125"/>
    <s v="NL2018"/>
    <m/>
    <n v="40"/>
    <n v="5000"/>
    <x v="5"/>
    <n v="52500000"/>
    <x v="2"/>
    <x v="2"/>
    <d v="2019-09-29T00:00:00"/>
    <d v="2019-09-29T00:00:00"/>
    <s v="TẾT"/>
    <m/>
    <m/>
    <m/>
    <m/>
    <n v="0"/>
    <m/>
    <m/>
    <m/>
    <m/>
    <m/>
    <m/>
    <n v="0"/>
    <n v="5000"/>
    <n v="52500000"/>
    <m/>
  </r>
  <r>
    <s v="165A/2019"/>
    <d v="2019-04-03T00:00:00"/>
    <s v="KIỀU THY"/>
    <s v="DT06"/>
    <x v="52"/>
    <x v="7"/>
    <s v="CONCADOR"/>
    <m/>
    <s v="20.22"/>
    <s v="125"/>
    <s v="NL2018"/>
    <m/>
    <n v="8"/>
    <n v="1000"/>
    <x v="35"/>
    <n v="10600000"/>
    <x v="2"/>
    <x v="2"/>
    <d v="2019-09-29T00:00:00"/>
    <d v="2019-09-29T00:00:00"/>
    <s v="TẾT"/>
    <m/>
    <m/>
    <m/>
    <m/>
    <m/>
    <m/>
    <m/>
    <m/>
    <m/>
    <m/>
    <m/>
    <n v="0"/>
    <n v="1000"/>
    <n v="10600000"/>
    <m/>
  </r>
  <r>
    <s v="191A/2019"/>
    <d v="2019-04-12T00:00:00"/>
    <s v="KIỀU THY"/>
    <s v="HT05"/>
    <x v="53"/>
    <x v="2"/>
    <s v="SERANO"/>
    <m/>
    <s v="14.16"/>
    <s v="300"/>
    <s v="NL2018"/>
    <m/>
    <n v="0"/>
    <n v="0"/>
    <x v="82"/>
    <n v="0"/>
    <x v="1"/>
    <x v="1"/>
    <d v="2019-05-21T00:00:00"/>
    <d v="2019-05-21T00:00:00"/>
    <s v="17/4AL"/>
    <m/>
    <m/>
    <m/>
    <m/>
    <m/>
    <m/>
    <m/>
    <m/>
    <m/>
    <m/>
    <m/>
    <n v="0"/>
    <n v="0"/>
    <n v="0"/>
    <m/>
  </r>
  <r>
    <s v="191A/2019"/>
    <d v="2019-04-12T00:00:00"/>
    <s v="KIỀU THY"/>
    <s v="HT05"/>
    <x v="53"/>
    <x v="3"/>
    <s v="ROBINA"/>
    <m/>
    <s v="16.18"/>
    <s v="200"/>
    <s v="NL2018"/>
    <m/>
    <n v="0"/>
    <n v="0"/>
    <x v="33"/>
    <n v="0"/>
    <x v="1"/>
    <x v="1"/>
    <d v="2019-05-21T00:00:00"/>
    <d v="2019-05-21T00:00:00"/>
    <s v="17/4AL"/>
    <m/>
    <m/>
    <m/>
    <m/>
    <m/>
    <m/>
    <m/>
    <m/>
    <m/>
    <m/>
    <m/>
    <n v="0"/>
    <n v="0"/>
    <n v="0"/>
    <m/>
  </r>
  <r>
    <s v="191A/2019"/>
    <d v="2019-04-12T00:00:00"/>
    <s v="KIỀU THY"/>
    <s v="HT05"/>
    <x v="53"/>
    <x v="41"/>
    <s v="PAVIA"/>
    <m/>
    <s v="12.14"/>
    <s v="400"/>
    <s v="NL2018"/>
    <m/>
    <n v="0"/>
    <n v="0"/>
    <x v="26"/>
    <n v="0"/>
    <x v="1"/>
    <x v="1"/>
    <d v="2019-05-21T00:00:00"/>
    <d v="2019-05-21T00:00:00"/>
    <s v="17/4AL"/>
    <m/>
    <m/>
    <m/>
    <m/>
    <m/>
    <m/>
    <m/>
    <m/>
    <m/>
    <m/>
    <m/>
    <n v="0"/>
    <n v="0"/>
    <n v="0"/>
    <m/>
  </r>
  <r>
    <s v="191A/2019"/>
    <d v="2019-04-12T00:00:00"/>
    <s v="KIỀU THY"/>
    <s v="HT05"/>
    <x v="53"/>
    <x v="115"/>
    <s v="PARAGUAY"/>
    <m/>
    <s v="14.16"/>
    <s v="275"/>
    <s v="NL2018"/>
    <m/>
    <n v="18"/>
    <n v="4950"/>
    <x v="29"/>
    <n v="22770000"/>
    <x v="0"/>
    <x v="5"/>
    <d v="2019-04-19T00:00:00"/>
    <d v="2019-04-19T00:00:00"/>
    <s v="15/3AL"/>
    <m/>
    <m/>
    <m/>
    <d v="2019-04-17T00:00:00"/>
    <n v="4950"/>
    <m/>
    <m/>
    <m/>
    <m/>
    <m/>
    <m/>
    <n v="4950"/>
    <n v="0"/>
    <n v="0"/>
    <m/>
  </r>
  <r>
    <s v="202A/2019"/>
    <d v="2019-04-11T00:00:00"/>
    <s v="KIỀU THY"/>
    <s v="TS05"/>
    <x v="54"/>
    <x v="0"/>
    <s v="YELLOWEEN"/>
    <m/>
    <s v="12.14"/>
    <s v="400"/>
    <s v="NL2018"/>
    <m/>
    <n v="5"/>
    <n v="2000"/>
    <x v="1"/>
    <n v="5400000"/>
    <x v="0"/>
    <x v="5"/>
    <d v="2019-04-19T00:00:00"/>
    <d v="2019-04-19T00:00:00"/>
    <m/>
    <m/>
    <m/>
    <m/>
    <d v="2019-05-28T00:00:00"/>
    <n v="2000"/>
    <m/>
    <m/>
    <m/>
    <m/>
    <m/>
    <m/>
    <n v="2000"/>
    <n v="0"/>
    <n v="0"/>
    <m/>
  </r>
  <r>
    <s v="225A/2019"/>
    <d v="2019-05-28T00:00:00"/>
    <s v="KIỀU THY"/>
    <s v="TS05"/>
    <x v="54"/>
    <x v="116"/>
    <s v="TRESOR"/>
    <m/>
    <s v="16.18"/>
    <s v="200"/>
    <s v="NL2018"/>
    <m/>
    <n v="5"/>
    <n v="1000"/>
    <x v="66"/>
    <n v="7000000"/>
    <x v="2"/>
    <x v="2"/>
    <d v="2019-09-29T00:00:00"/>
    <d v="2019-09-29T00:00:00"/>
    <m/>
    <m/>
    <m/>
    <m/>
    <m/>
    <m/>
    <m/>
    <m/>
    <m/>
    <m/>
    <m/>
    <m/>
    <n v="0"/>
    <n v="1000"/>
    <n v="7000000"/>
    <m/>
  </r>
  <r>
    <s v="225A/2019"/>
    <d v="2019-05-28T00:00:00"/>
    <s v="KIỀU THY"/>
    <s v="TS05"/>
    <x v="54"/>
    <x v="117"/>
    <s v="SORBONNE"/>
    <m/>
    <s v="18.20"/>
    <s v="150"/>
    <s v="NL2018"/>
    <m/>
    <n v="13.333333333333334"/>
    <n v="2000"/>
    <x v="68"/>
    <n v="20200000"/>
    <x v="2"/>
    <x v="2"/>
    <d v="2019-09-29T00:00:00"/>
    <d v="2019-09-29T00:00:00"/>
    <m/>
    <m/>
    <m/>
    <m/>
    <m/>
    <m/>
    <m/>
    <m/>
    <m/>
    <m/>
    <m/>
    <m/>
    <n v="0"/>
    <n v="2000"/>
    <n v="20200000"/>
    <m/>
  </r>
  <r>
    <s v="202A/2019"/>
    <d v="2019-04-11T00:00:00"/>
    <s v="KIỀU THY"/>
    <s v="TS05"/>
    <x v="54"/>
    <x v="61"/>
    <s v="NASHVILLE"/>
    <m/>
    <s v="14.16"/>
    <s v="300"/>
    <s v="NL2018"/>
    <m/>
    <n v="0"/>
    <n v="0"/>
    <x v="58"/>
    <n v="0"/>
    <x v="1"/>
    <x v="18"/>
    <d v="2019-07-02T00:00:00"/>
    <d v="2019-07-02T00:00:00"/>
    <m/>
    <m/>
    <m/>
    <m/>
    <m/>
    <m/>
    <m/>
    <m/>
    <m/>
    <m/>
    <m/>
    <m/>
    <n v="0"/>
    <n v="0"/>
    <n v="0"/>
    <m/>
  </r>
  <r>
    <s v="225A/2019"/>
    <d v="2019-05-28T00:00:00"/>
    <s v="KIỀU THY"/>
    <s v="TS05"/>
    <x v="54"/>
    <x v="61"/>
    <s v="NASHVILLE"/>
    <m/>
    <s v="14.16"/>
    <s v="300"/>
    <s v="NL2018"/>
    <m/>
    <n v="4"/>
    <n v="1200"/>
    <x v="40"/>
    <n v="5040000"/>
    <x v="2"/>
    <x v="2"/>
    <d v="2019-09-29T00:00:00"/>
    <d v="2019-09-29T00:00:00"/>
    <m/>
    <m/>
    <m/>
    <m/>
    <m/>
    <m/>
    <m/>
    <m/>
    <m/>
    <m/>
    <m/>
    <m/>
    <n v="0"/>
    <n v="1200"/>
    <n v="5040000"/>
    <m/>
  </r>
  <r>
    <s v="202A/2019"/>
    <d v="2019-04-11T00:00:00"/>
    <s v="KIỀU THY"/>
    <s v="TS05"/>
    <x v="54"/>
    <x v="79"/>
    <s v="MANISSA"/>
    <m/>
    <s v="16.18"/>
    <s v="200"/>
    <s v="NL2018"/>
    <m/>
    <n v="14"/>
    <n v="2800"/>
    <x v="121"/>
    <n v="19432000"/>
    <x v="3"/>
    <x v="5"/>
    <d v="2019-04-19T00:00:00"/>
    <d v="2019-04-19T00:00:00"/>
    <m/>
    <m/>
    <m/>
    <m/>
    <d v="2019-05-28T00:00:00"/>
    <n v="1000"/>
    <m/>
    <m/>
    <m/>
    <m/>
    <m/>
    <m/>
    <n v="1000"/>
    <n v="1800"/>
    <n v="12492000"/>
    <m/>
  </r>
  <r>
    <s v="225A/2019"/>
    <d v="2019-05-28T00:00:00"/>
    <s v="KIỀU THY"/>
    <s v="TS05"/>
    <x v="54"/>
    <x v="114"/>
    <s v="MANISSA"/>
    <m/>
    <s v="18.20"/>
    <s v="150"/>
    <s v="NL2018"/>
    <m/>
    <n v="14"/>
    <n v="2100"/>
    <x v="120"/>
    <n v="21630000"/>
    <x v="2"/>
    <x v="2"/>
    <d v="2019-09-29T00:00:00"/>
    <d v="2019-09-29T00:00:00"/>
    <m/>
    <m/>
    <m/>
    <m/>
    <m/>
    <m/>
    <m/>
    <m/>
    <m/>
    <m/>
    <m/>
    <m/>
    <n v="0"/>
    <n v="2100"/>
    <n v="21630000"/>
    <m/>
  </r>
  <r>
    <s v="202A/2019"/>
    <d v="2019-06-04T00:00:00"/>
    <s v="KIỀU THY"/>
    <s v="TS05"/>
    <x v="54"/>
    <x v="73"/>
    <s v="MALDANO"/>
    <m/>
    <s v="14.16"/>
    <s v="300"/>
    <s v="NL2018"/>
    <m/>
    <n v="4"/>
    <n v="1200"/>
    <x v="45"/>
    <n v="4800000"/>
    <x v="0"/>
    <x v="28"/>
    <d v="2019-06-07T00:00:00"/>
    <d v="2019-06-07T00:00:00"/>
    <m/>
    <m/>
    <m/>
    <m/>
    <d v="2019-06-10T00:00:00"/>
    <n v="1200"/>
    <m/>
    <m/>
    <m/>
    <m/>
    <m/>
    <m/>
    <n v="1200"/>
    <n v="0"/>
    <n v="0"/>
    <m/>
  </r>
  <r>
    <s v="202A/2019"/>
    <d v="2019-04-11T00:00:00"/>
    <s v="KIỀU THY"/>
    <s v="TS05"/>
    <x v="54"/>
    <x v="28"/>
    <s v="LARGO"/>
    <m/>
    <s v="16.18"/>
    <s v="200"/>
    <s v="NL2018"/>
    <m/>
    <n v="10"/>
    <n v="2000"/>
    <x v="85"/>
    <n v="11400000"/>
    <x v="3"/>
    <x v="28"/>
    <d v="2019-06-07T00:00:00"/>
    <d v="2019-06-07T00:00:00"/>
    <m/>
    <m/>
    <m/>
    <m/>
    <d v="2019-06-10T00:00:00"/>
    <n v="1000"/>
    <m/>
    <m/>
    <m/>
    <m/>
    <m/>
    <m/>
    <n v="1000"/>
    <n v="1000"/>
    <n v="5700000"/>
    <m/>
  </r>
  <r>
    <s v="225A/2019"/>
    <d v="2019-05-28T00:00:00"/>
    <s v="KIỀU THY"/>
    <s v="TS05"/>
    <x v="54"/>
    <x v="28"/>
    <s v="LARGO"/>
    <m/>
    <s v="16.18"/>
    <s v="200"/>
    <s v="NL2018"/>
    <m/>
    <n v="5"/>
    <n v="1000"/>
    <x v="42"/>
    <n v="6100000"/>
    <x v="2"/>
    <x v="2"/>
    <d v="2019-09-29T00:00:00"/>
    <d v="2019-09-29T00:00:00"/>
    <m/>
    <m/>
    <m/>
    <m/>
    <m/>
    <m/>
    <m/>
    <m/>
    <m/>
    <m/>
    <m/>
    <m/>
    <n v="0"/>
    <n v="1000"/>
    <n v="6100000"/>
    <m/>
  </r>
  <r>
    <s v="225A/2019"/>
    <d v="2019-05-28T00:00:00"/>
    <s v="KIỀU THY"/>
    <s v="TS05"/>
    <x v="54"/>
    <x v="68"/>
    <s v="LARGO"/>
    <m/>
    <s v="22.24"/>
    <s v="100"/>
    <s v="NL2018"/>
    <m/>
    <n v="20"/>
    <n v="2000"/>
    <x v="63"/>
    <n v="22800000"/>
    <x v="2"/>
    <x v="2"/>
    <d v="2019-09-29T00:00:00"/>
    <d v="2019-09-29T00:00:00"/>
    <m/>
    <m/>
    <m/>
    <m/>
    <m/>
    <m/>
    <m/>
    <m/>
    <m/>
    <m/>
    <m/>
    <m/>
    <n v="0"/>
    <n v="2000"/>
    <n v="22800000"/>
    <m/>
  </r>
  <r>
    <s v="225A/2019"/>
    <d v="2019-05-28T00:00:00"/>
    <s v="KIỀU THY"/>
    <s v="TS05"/>
    <x v="54"/>
    <x v="7"/>
    <s v="CONCADOR"/>
    <m/>
    <s v="20.22"/>
    <s v="125"/>
    <s v="NL2018"/>
    <m/>
    <n v="16"/>
    <n v="2000"/>
    <x v="35"/>
    <n v="21200000"/>
    <x v="2"/>
    <x v="2"/>
    <d v="2019-09-29T00:00:00"/>
    <d v="2019-09-29T00:00:00"/>
    <m/>
    <m/>
    <m/>
    <m/>
    <m/>
    <m/>
    <m/>
    <m/>
    <m/>
    <m/>
    <m/>
    <m/>
    <n v="0"/>
    <n v="2000"/>
    <n v="21200000"/>
    <m/>
  </r>
  <r>
    <s v="225A/2019"/>
    <d v="2019-05-28T00:00:00"/>
    <s v="KIỀU THY"/>
    <s v="TS05"/>
    <x v="54"/>
    <x v="14"/>
    <s v="CONCADOR"/>
    <m/>
    <s v="24.26"/>
    <s v="80"/>
    <s v="NL2018"/>
    <m/>
    <n v="25"/>
    <n v="2000"/>
    <x v="15"/>
    <n v="30400000"/>
    <x v="2"/>
    <x v="2"/>
    <d v="2019-09-29T00:00:00"/>
    <d v="2019-09-29T00:00:00"/>
    <m/>
    <m/>
    <m/>
    <m/>
    <m/>
    <m/>
    <m/>
    <m/>
    <m/>
    <m/>
    <m/>
    <m/>
    <n v="0"/>
    <n v="2000"/>
    <n v="30400000"/>
    <m/>
  </r>
  <r>
    <s v="176B/2019"/>
    <d v="2019-04-24T00:00:00"/>
    <s v="THANH THÚY"/>
    <s v="TH15"/>
    <x v="55"/>
    <x v="3"/>
    <s v="ROBINA"/>
    <m/>
    <s v="16.18"/>
    <s v="200"/>
    <s v="NL2018"/>
    <m/>
    <n v="50"/>
    <n v="10000"/>
    <x v="10"/>
    <n v="55000000"/>
    <x v="3"/>
    <x v="3"/>
    <d v="2019-06-20T00:00:00"/>
    <d v="2019-06-20T00:00:00"/>
    <s v="02/5AL"/>
    <m/>
    <m/>
    <m/>
    <m/>
    <m/>
    <m/>
    <m/>
    <m/>
    <m/>
    <m/>
    <m/>
    <n v="0"/>
    <n v="10000"/>
    <n v="55000000"/>
    <m/>
  </r>
  <r>
    <s v="176B/2019"/>
    <d v="2019-04-24T00:00:00"/>
    <s v="THANH THÚY"/>
    <s v="TH15"/>
    <x v="55"/>
    <x v="5"/>
    <s v="ROBINA"/>
    <m/>
    <s v="18.20"/>
    <s v="150"/>
    <s v="NL2018"/>
    <m/>
    <n v="67"/>
    <n v="10050"/>
    <x v="105"/>
    <n v="73365000"/>
    <x v="3"/>
    <x v="11"/>
    <d v="2019-06-02T00:00:00"/>
    <d v="2019-06-02T00:00:00"/>
    <s v="29/4AL"/>
    <m/>
    <m/>
    <m/>
    <m/>
    <m/>
    <m/>
    <m/>
    <m/>
    <m/>
    <m/>
    <m/>
    <n v="0"/>
    <n v="10050"/>
    <n v="73365000"/>
    <m/>
  </r>
  <r>
    <s v="176B/2019"/>
    <d v="2019-04-24T00:00:00"/>
    <s v="THANH THÚY"/>
    <s v="TH15"/>
    <x v="55"/>
    <x v="13"/>
    <s v="BACARDI"/>
    <m/>
    <s v="15.16"/>
    <s v="300"/>
    <s v="NL2018"/>
    <m/>
    <n v="20"/>
    <n v="6000"/>
    <x v="14"/>
    <n v="27000000"/>
    <x v="0"/>
    <x v="5"/>
    <d v="2019-04-19T00:00:00"/>
    <d v="2019-04-19T00:00:00"/>
    <s v="15/3AL"/>
    <m/>
    <m/>
    <m/>
    <d v="2019-04-24T00:00:00"/>
    <n v="3000"/>
    <d v="2019-04-26T00:00:00"/>
    <s v="3000"/>
    <m/>
    <m/>
    <m/>
    <m/>
    <n v="6000"/>
    <n v="0"/>
    <n v="0"/>
    <m/>
  </r>
  <r>
    <s v="176B/2019"/>
    <d v="2019-04-24T00:00:00"/>
    <s v="THANH THÚY"/>
    <s v="TH15"/>
    <x v="55"/>
    <x v="63"/>
    <s v="BACARDI"/>
    <m/>
    <s v="15.16"/>
    <s v="250"/>
    <s v="NL2018"/>
    <m/>
    <n v="20"/>
    <n v="5000"/>
    <x v="14"/>
    <n v="22500000"/>
    <x v="0"/>
    <x v="5"/>
    <d v="2019-04-19T00:00:00"/>
    <d v="2019-04-19T00:00:00"/>
    <s v="15/3AL"/>
    <m/>
    <m/>
    <m/>
    <d v="2019-04-24T00:00:00"/>
    <n v="3000"/>
    <d v="2019-04-26T00:00:00"/>
    <s v="2000"/>
    <m/>
    <m/>
    <m/>
    <m/>
    <n v="5000"/>
    <n v="0"/>
    <n v="0"/>
    <m/>
  </r>
  <r>
    <s v="144B/2019"/>
    <d v="2019-05-04T00:00:00"/>
    <s v="THANH THÚY"/>
    <s v="TA01"/>
    <x v="56"/>
    <x v="78"/>
    <s v="YELLOWEEN"/>
    <m/>
    <s v="14.16"/>
    <n v="300"/>
    <s v="NL2018"/>
    <m/>
    <n v="5"/>
    <n v="1500"/>
    <x v="64"/>
    <n v="5700000"/>
    <x v="0"/>
    <x v="5"/>
    <s v=""/>
    <s v=""/>
    <m/>
    <m/>
    <m/>
    <m/>
    <d v="2019-05-04T00:00:00"/>
    <n v="1500"/>
    <m/>
    <m/>
    <m/>
    <m/>
    <m/>
    <m/>
    <n v="1500"/>
    <n v="0"/>
    <n v="0"/>
    <m/>
  </r>
  <r>
    <s v="144B/2019"/>
    <d v="2019-03-23T00:00:00"/>
    <s v="THANH THÚY"/>
    <s v="TA01"/>
    <x v="56"/>
    <x v="2"/>
    <s v="SERANO"/>
    <m/>
    <s v="14.16"/>
    <n v="300"/>
    <s v="NL2018"/>
    <m/>
    <n v="0"/>
    <n v="0"/>
    <x v="108"/>
    <n v="0"/>
    <x v="1"/>
    <x v="0"/>
    <s v=""/>
    <s v=""/>
    <s v="15/2AL"/>
    <m/>
    <m/>
    <m/>
    <m/>
    <m/>
    <m/>
    <m/>
    <m/>
    <m/>
    <m/>
    <m/>
    <n v="0"/>
    <n v="0"/>
    <n v="0"/>
    <m/>
  </r>
  <r>
    <s v="232/2019"/>
    <d v="2019-05-30T00:00:00"/>
    <s v="KIỀU THY"/>
    <s v="TA01"/>
    <x v="56"/>
    <x v="90"/>
    <s v="ROBINA NEWZELAND"/>
    <m/>
    <s v="20.22"/>
    <s v="125"/>
    <s v="NZ2019"/>
    <m/>
    <n v="16"/>
    <n v="2000"/>
    <x v="25"/>
    <n v="25000000"/>
    <x v="2"/>
    <x v="2"/>
    <s v=""/>
    <s v=""/>
    <m/>
    <m/>
    <m/>
    <m/>
    <m/>
    <m/>
    <m/>
    <m/>
    <m/>
    <m/>
    <m/>
    <m/>
    <n v="0"/>
    <n v="2000"/>
    <n v="25000000"/>
    <m/>
  </r>
  <r>
    <s v="232/2019"/>
    <d v="2019-05-30T00:00:00"/>
    <s v="KIỀU THY"/>
    <s v="TA01"/>
    <x v="56"/>
    <x v="58"/>
    <s v="ROBINA NEWZELAND"/>
    <m/>
    <s v="22.24"/>
    <s v="100"/>
    <s v="NZ2019"/>
    <m/>
    <n v="50"/>
    <n v="5000"/>
    <x v="47"/>
    <n v="65000000"/>
    <x v="2"/>
    <x v="2"/>
    <s v=""/>
    <s v=""/>
    <m/>
    <m/>
    <m/>
    <m/>
    <m/>
    <m/>
    <m/>
    <m/>
    <m/>
    <m/>
    <m/>
    <m/>
    <n v="0"/>
    <n v="5000"/>
    <n v="65000000"/>
    <m/>
  </r>
  <r>
    <s v="232/2019"/>
    <d v="2019-05-30T00:00:00"/>
    <s v="KIỀU THY"/>
    <s v="TA01"/>
    <x v="56"/>
    <x v="4"/>
    <s v="ROBINA"/>
    <m/>
    <s v="20.22"/>
    <s v="125"/>
    <s v="NL2018"/>
    <m/>
    <n v="0"/>
    <n v="0"/>
    <x v="34"/>
    <n v="0"/>
    <x v="1"/>
    <x v="2"/>
    <s v=""/>
    <s v=""/>
    <m/>
    <m/>
    <m/>
    <m/>
    <m/>
    <m/>
    <m/>
    <m/>
    <m/>
    <m/>
    <m/>
    <m/>
    <n v="0"/>
    <n v="0"/>
    <n v="0"/>
    <m/>
  </r>
  <r>
    <s v="232/2019"/>
    <d v="2019-05-30T00:00:00"/>
    <s v="KIỀU THY"/>
    <s v="TA01"/>
    <x v="56"/>
    <x v="85"/>
    <s v="CONCADOR NEWZELAND"/>
    <m/>
    <s v="20.22"/>
    <s v="125"/>
    <s v="NZ2019"/>
    <m/>
    <n v="144"/>
    <n v="18000"/>
    <x v="81"/>
    <n v="216000000"/>
    <x v="2"/>
    <x v="2"/>
    <s v=""/>
    <s v=""/>
    <m/>
    <m/>
    <m/>
    <m/>
    <m/>
    <m/>
    <m/>
    <m/>
    <m/>
    <m/>
    <m/>
    <m/>
    <n v="0"/>
    <n v="18000"/>
    <n v="216000000"/>
    <m/>
  </r>
  <r>
    <s v="232/2019"/>
    <d v="2019-05-30T00:00:00"/>
    <s v="KIỀU THY"/>
    <s v="TA01"/>
    <x v="56"/>
    <x v="7"/>
    <s v="CONCADOR"/>
    <m/>
    <s v="20.22"/>
    <s v="125"/>
    <s v="NL2018"/>
    <m/>
    <n v="0"/>
    <n v="0"/>
    <x v="35"/>
    <n v="0"/>
    <x v="1"/>
    <x v="2"/>
    <s v=""/>
    <s v=""/>
    <m/>
    <m/>
    <m/>
    <m/>
    <m/>
    <m/>
    <m/>
    <m/>
    <m/>
    <m/>
    <m/>
    <m/>
    <n v="0"/>
    <n v="0"/>
    <n v="0"/>
    <m/>
  </r>
  <r>
    <s v="41A/2019"/>
    <d v="2019-02-11T00:00:00"/>
    <s v="KIỀU THY"/>
    <s v="TV06"/>
    <x v="57"/>
    <x v="57"/>
    <s v="YELLOWEEN"/>
    <m/>
    <s v="16.18"/>
    <n v="200"/>
    <s v="NL2018"/>
    <m/>
    <n v="75"/>
    <n v="15000"/>
    <x v="8"/>
    <n v="75000000"/>
    <x v="0"/>
    <x v="6"/>
    <d v="2019-02-19T00:00:00"/>
    <d v="2019-02-19T00:00:00"/>
    <s v="15/1AL"/>
    <m/>
    <m/>
    <s v="R"/>
    <d v="2019-03-02T00:00:00"/>
    <n v="5000"/>
    <d v="2019-03-13T00:00:00"/>
    <n v="5000"/>
    <d v="2019-03-20T00:00:00"/>
    <n v="5000"/>
    <m/>
    <m/>
    <n v="15000"/>
    <n v="0"/>
    <n v="0"/>
    <m/>
  </r>
  <r>
    <s v="41A/2019"/>
    <d v="2019-02-11T00:00:00"/>
    <s v="KIỀU THY"/>
    <s v="TV06"/>
    <x v="57"/>
    <x v="78"/>
    <s v="YELLOWEEN"/>
    <m/>
    <s v="14.16"/>
    <n v="300"/>
    <s v="NL2018"/>
    <m/>
    <n v="34"/>
    <n v="10200"/>
    <x v="64"/>
    <n v="38760000"/>
    <x v="0"/>
    <x v="0"/>
    <d v="2019-03-20T00:00:00"/>
    <d v="2019-03-20T00:00:00"/>
    <s v="15/2AL"/>
    <s v="CONT 12/2019"/>
    <d v="2019-03-17T00:00:00"/>
    <s v="R"/>
    <d v="2019-04-05T00:00:00"/>
    <n v="10200"/>
    <m/>
    <m/>
    <m/>
    <m/>
    <m/>
    <m/>
    <n v="10200"/>
    <n v="0"/>
    <n v="0"/>
    <m/>
  </r>
  <r>
    <s v="41A/2019"/>
    <d v="2019-02-11T00:00:00"/>
    <s v="KIỀU THY"/>
    <s v="TV06"/>
    <x v="57"/>
    <x v="3"/>
    <s v="ROBINA"/>
    <m/>
    <s v="16.18"/>
    <n v="200"/>
    <s v="NL2018"/>
    <m/>
    <n v="50"/>
    <n v="10000"/>
    <x v="43"/>
    <n v="48000000"/>
    <x v="0"/>
    <x v="0"/>
    <d v="2019-03-20T00:00:00"/>
    <d v="2019-03-20T00:00:00"/>
    <s v="15/2AL"/>
    <s v="CONT 11/2019"/>
    <d v="2019-03-17T00:00:00"/>
    <s v="R"/>
    <d v="2019-04-03T00:00:00"/>
    <n v="5000"/>
    <d v="2019-04-26T00:00:00"/>
    <n v="5000"/>
    <m/>
    <m/>
    <m/>
    <m/>
    <n v="10000"/>
    <n v="0"/>
    <n v="0"/>
    <m/>
  </r>
  <r>
    <s v="41A/2019"/>
    <d v="2019-02-11T00:00:00"/>
    <s v="KIỀU THY"/>
    <s v="TV06"/>
    <x v="57"/>
    <x v="12"/>
    <s v="PROFUNDO"/>
    <m/>
    <s v="14.16"/>
    <n v="300"/>
    <s v="NL2018"/>
    <m/>
    <n v="34"/>
    <n v="10200"/>
    <x v="73"/>
    <n v="53040000"/>
    <x v="4"/>
    <x v="4"/>
    <d v="2019-07-17T00:00:00"/>
    <d v="2019-07-17T00:00:00"/>
    <s v="17/4AL"/>
    <m/>
    <m/>
    <s v="R"/>
    <m/>
    <n v="0"/>
    <m/>
    <m/>
    <m/>
    <m/>
    <m/>
    <m/>
    <n v="0"/>
    <n v="10200"/>
    <n v="53040000"/>
    <m/>
  </r>
  <r>
    <s v="41A/2019"/>
    <d v="2019-06-01T00:00:00"/>
    <s v="KIỀU THY"/>
    <s v="TV06"/>
    <x v="57"/>
    <x v="12"/>
    <s v="PROFUNDO"/>
    <m/>
    <s v="14.16"/>
    <n v="300"/>
    <s v="NL2018"/>
    <m/>
    <n v="34"/>
    <n v="10200"/>
    <x v="110"/>
    <n v="52020000"/>
    <x v="0"/>
    <x v="28"/>
    <d v="2019-06-07T00:00:00"/>
    <d v="2019-06-07T00:00:00"/>
    <m/>
    <m/>
    <m/>
    <m/>
    <d v="2019-06-14T00:00:00"/>
    <n v="10200"/>
    <m/>
    <m/>
    <m/>
    <m/>
    <m/>
    <m/>
    <n v="10200"/>
    <n v="0"/>
    <n v="0"/>
    <m/>
  </r>
  <r>
    <s v="41A/2019"/>
    <d v="2019-02-11T00:00:00"/>
    <s v="KIỀU THY"/>
    <s v="TV06"/>
    <x v="57"/>
    <x v="11"/>
    <s v="PROFUNDO"/>
    <m/>
    <s v="16.18"/>
    <n v="200"/>
    <s v="NL2018"/>
    <m/>
    <n v="0"/>
    <n v="0"/>
    <x v="32"/>
    <n v="0"/>
    <x v="1"/>
    <x v="1"/>
    <d v="2019-05-21T00:00:00"/>
    <d v="2019-05-21T00:00:00"/>
    <s v="17/4AL"/>
    <m/>
    <m/>
    <s v="R"/>
    <m/>
    <n v="0"/>
    <m/>
    <m/>
    <m/>
    <m/>
    <m/>
    <m/>
    <n v="0"/>
    <n v="0"/>
    <n v="0"/>
    <m/>
  </r>
  <r>
    <s v="41A/2019"/>
    <d v="2019-02-11T00:00:00"/>
    <s v="KIỀU THY"/>
    <s v="TV06"/>
    <x v="57"/>
    <x v="12"/>
    <s v="PROFUNDO"/>
    <m/>
    <s v="14.16"/>
    <n v="300"/>
    <s v="NL2018"/>
    <m/>
    <n v="17"/>
    <n v="5100"/>
    <x v="43"/>
    <n v="24480000"/>
    <x v="0"/>
    <x v="30"/>
    <d v="2019-04-04T00:00:00"/>
    <d v="2019-04-04T00:00:00"/>
    <s v="30/2AL"/>
    <s v="CONT 15/2019"/>
    <d v="2019-03-31T00:00:00"/>
    <s v="R"/>
    <d v="2019-04-19T00:00:00"/>
    <n v="5100"/>
    <m/>
    <m/>
    <m/>
    <m/>
    <m/>
    <m/>
    <n v="5100"/>
    <n v="0"/>
    <n v="0"/>
    <s v="check lai gia 4800 hay 5200"/>
  </r>
  <r>
    <s v="41A/2019"/>
    <d v="2019-02-11T00:00:00"/>
    <s v="KIỀU THY"/>
    <s v="TV06"/>
    <x v="57"/>
    <x v="11"/>
    <s v="PROFUNDO"/>
    <m/>
    <s v="16.18"/>
    <n v="200"/>
    <s v="NL2018"/>
    <m/>
    <n v="25"/>
    <n v="5000"/>
    <x v="32"/>
    <n v="33500000"/>
    <x v="0"/>
    <x v="30"/>
    <d v="2019-04-04T00:00:00"/>
    <d v="2019-04-04T00:00:00"/>
    <s v="30/2AL"/>
    <s v="CONT 17/2019"/>
    <d v="2019-03-31T00:00:00"/>
    <s v="R"/>
    <d v="2019-04-05T00:00:00"/>
    <n v="5000"/>
    <m/>
    <m/>
    <m/>
    <m/>
    <m/>
    <m/>
    <n v="5000"/>
    <n v="0"/>
    <n v="0"/>
    <m/>
  </r>
  <r>
    <s v="169A/2019"/>
    <d v="2019-02-11T00:00:00"/>
    <s v="KIỀU THY"/>
    <s v="TV06"/>
    <x v="57"/>
    <x v="67"/>
    <s v="MANISSA"/>
    <m/>
    <s v="22.24"/>
    <n v="100"/>
    <s v="NL2018"/>
    <m/>
    <n v="100"/>
    <n v="10000"/>
    <x v="15"/>
    <n v="152000000"/>
    <x v="2"/>
    <x v="2"/>
    <d v="2019-09-29T00:00:00"/>
    <d v="2019-09-29T00:00:00"/>
    <s v="TẾT"/>
    <m/>
    <m/>
    <m/>
    <m/>
    <n v="0"/>
    <m/>
    <m/>
    <m/>
    <m/>
    <m/>
    <m/>
    <n v="0"/>
    <n v="10000"/>
    <n v="152000000"/>
    <m/>
  </r>
  <r>
    <s v="41A/2019"/>
    <d v="2019-02-11T00:00:00"/>
    <s v="KIỀU THY"/>
    <s v="TV06"/>
    <x v="57"/>
    <x v="6"/>
    <s v="CONCADOR "/>
    <m/>
    <s v="16.18"/>
    <n v="200"/>
    <s v="NL2018"/>
    <m/>
    <n v="10"/>
    <n v="2000"/>
    <x v="12"/>
    <n v="9400000"/>
    <x v="0"/>
    <x v="5"/>
    <d v="2019-04-19T00:00:00"/>
    <d v="2019-04-19T00:00:00"/>
    <s v="15/3AL"/>
    <m/>
    <m/>
    <m/>
    <d v="2019-04-19T00:00:00"/>
    <n v="2000"/>
    <m/>
    <m/>
    <m/>
    <m/>
    <m/>
    <m/>
    <n v="2000"/>
    <n v="0"/>
    <n v="0"/>
    <m/>
  </r>
  <r>
    <s v="41A/2019"/>
    <d v="2019-02-11T00:00:00"/>
    <s v="KIỀU THY"/>
    <s v="TV06"/>
    <x v="57"/>
    <x v="6"/>
    <s v="CONCADOR "/>
    <m/>
    <s v="16.18"/>
    <n v="200"/>
    <s v="NL2018"/>
    <m/>
    <n v="40"/>
    <n v="8000"/>
    <x v="12"/>
    <n v="37600000"/>
    <x v="0"/>
    <x v="30"/>
    <d v="2019-04-04T00:00:00"/>
    <d v="2019-04-04T00:00:00"/>
    <s v="30/2AL"/>
    <s v="CONT 17/2019"/>
    <d v="2019-03-31T00:00:00"/>
    <s v="R"/>
    <d v="2019-04-12T00:00:00"/>
    <n v="8000"/>
    <m/>
    <m/>
    <m/>
    <m/>
    <m/>
    <m/>
    <n v="8000"/>
    <n v="0"/>
    <n v="0"/>
    <m/>
  </r>
  <r>
    <s v="92B/2019"/>
    <d v="2019-04-16T00:00:00"/>
    <s v="KIỀU THY"/>
    <s v="VD07"/>
    <x v="58"/>
    <x v="0"/>
    <s v="YELLOWEEN"/>
    <m/>
    <s v="12.14"/>
    <n v="400"/>
    <s v="NL2018"/>
    <m/>
    <n v="20"/>
    <n v="8000"/>
    <x v="1"/>
    <n v="21600000"/>
    <x v="0"/>
    <x v="5"/>
    <d v="2019-04-19T00:00:00"/>
    <d v="2019-04-19T00:00:00"/>
    <s v="15/3AL"/>
    <m/>
    <m/>
    <m/>
    <d v="2019-04-17T00:00:00"/>
    <n v="8000"/>
    <m/>
    <m/>
    <m/>
    <m/>
    <m/>
    <m/>
    <n v="8000"/>
    <n v="0"/>
    <n v="0"/>
    <m/>
  </r>
  <r>
    <s v="92B/2019"/>
    <d v="2019-04-29T00:00:00"/>
    <s v="KIỀU THY"/>
    <s v="VD07"/>
    <x v="58"/>
    <x v="0"/>
    <s v="YELLOWEEN"/>
    <m/>
    <s v="12.14"/>
    <n v="400"/>
    <s v="NL2018"/>
    <m/>
    <n v="25"/>
    <n v="10000"/>
    <x v="1"/>
    <n v="27000000"/>
    <x v="0"/>
    <x v="5"/>
    <d v="2019-04-19T00:00:00"/>
    <d v="2019-04-19T00:00:00"/>
    <s v="15/3AL"/>
    <m/>
    <m/>
    <m/>
    <d v="2019-04-29T00:00:00"/>
    <n v="10000"/>
    <m/>
    <m/>
    <m/>
    <m/>
    <m/>
    <m/>
    <n v="10000"/>
    <n v="0"/>
    <n v="0"/>
    <m/>
  </r>
  <r>
    <s v="154A/2019"/>
    <d v="2019-03-07T00:00:00"/>
    <s v="KIỀU THY"/>
    <s v="VD07"/>
    <x v="58"/>
    <x v="33"/>
    <s v="TEBALDI"/>
    <m/>
    <s v="14.16"/>
    <n v="300"/>
    <s v="NL2018"/>
    <m/>
    <n v="53"/>
    <n v="15900"/>
    <x v="122"/>
    <n v="70437000"/>
    <x v="0"/>
    <x v="28"/>
    <d v="2019-06-07T00:00:00"/>
    <d v="2019-06-07T00:00:00"/>
    <s v="1/5AL"/>
    <m/>
    <m/>
    <m/>
    <d v="2019-06-08T00:00:00"/>
    <n v="15000"/>
    <d v="2019-06-22T00:00:00"/>
    <n v="900"/>
    <m/>
    <m/>
    <m/>
    <m/>
    <n v="15900"/>
    <n v="0"/>
    <n v="0"/>
    <m/>
  </r>
  <r>
    <s v="154A/2019"/>
    <d v="2019-03-07T00:00:00"/>
    <s v="KIỀU THY"/>
    <s v="VD07"/>
    <x v="58"/>
    <x v="33"/>
    <s v="TEBALDI"/>
    <m/>
    <s v="14.16"/>
    <n v="300"/>
    <s v="NL2018"/>
    <m/>
    <n v="67"/>
    <n v="20100"/>
    <x v="50"/>
    <n v="88440000"/>
    <x v="0"/>
    <x v="1"/>
    <d v="2019-05-21T00:00:00"/>
    <d v="2019-05-21T00:00:00"/>
    <s v="10/4AL"/>
    <m/>
    <m/>
    <m/>
    <d v="2019-05-27T00:00:00"/>
    <n v="20100"/>
    <m/>
    <m/>
    <m/>
    <m/>
    <m/>
    <m/>
    <n v="20100"/>
    <n v="0"/>
    <n v="0"/>
    <m/>
  </r>
  <r>
    <s v="92B/2019"/>
    <d v="2019-03-07T00:00:00"/>
    <s v="KIỀU THY"/>
    <s v="VD07"/>
    <x v="58"/>
    <x v="33"/>
    <s v="TEBALDI"/>
    <m/>
    <s v="14.16"/>
    <n v="300"/>
    <s v="NL2018"/>
    <m/>
    <n v="51"/>
    <n v="15300"/>
    <x v="38"/>
    <n v="62730000"/>
    <x v="0"/>
    <x v="5"/>
    <d v="2019-04-19T00:00:00"/>
    <d v="2019-04-19T00:00:00"/>
    <s v="15/3AL"/>
    <s v="CONT 23/2019"/>
    <d v="2019-04-14T00:00:00"/>
    <s v="R"/>
    <d v="2019-04-17T00:00:00"/>
    <n v="15300"/>
    <m/>
    <m/>
    <m/>
    <m/>
    <m/>
    <m/>
    <n v="15300"/>
    <n v="0"/>
    <n v="0"/>
    <m/>
  </r>
  <r>
    <s v="92B/2019"/>
    <d v="2019-03-07T00:00:00"/>
    <s v="KIỀU THY"/>
    <s v="VD07"/>
    <x v="58"/>
    <x v="33"/>
    <s v="TEBALDI"/>
    <m/>
    <s v="14.16"/>
    <n v="300"/>
    <s v="NL2018"/>
    <m/>
    <n v="56"/>
    <n v="16800"/>
    <x v="38"/>
    <n v="68880000"/>
    <x v="0"/>
    <x v="10"/>
    <d v="2019-04-03T00:00:00"/>
    <d v="2019-04-03T00:00:00"/>
    <s v="30/2AL"/>
    <s v="CONT 15/2019"/>
    <d v="2019-03-31T00:00:00"/>
    <s v="R"/>
    <d v="2019-04-03T00:00:00"/>
    <n v="16800"/>
    <m/>
    <m/>
    <m/>
    <m/>
    <m/>
    <m/>
    <n v="16800"/>
    <n v="0"/>
    <n v="0"/>
    <m/>
  </r>
  <r>
    <s v="146B/2019"/>
    <d v="2019-03-26T00:00:00"/>
    <s v="KIỀU THY"/>
    <s v="VD07"/>
    <x v="58"/>
    <x v="66"/>
    <s v="TARRANGO"/>
    <m/>
    <s v="20.22"/>
    <n v="125"/>
    <s v="NL2018"/>
    <s v="VWS"/>
    <n v="96"/>
    <n v="12000"/>
    <x v="27"/>
    <n v="129600000"/>
    <x v="2"/>
    <x v="2"/>
    <d v="2019-09-29T00:00:00"/>
    <d v="2019-09-29T00:00:00"/>
    <s v="TẾT"/>
    <m/>
    <m/>
    <m/>
    <m/>
    <n v="0"/>
    <m/>
    <m/>
    <m/>
    <m/>
    <m/>
    <m/>
    <n v="0"/>
    <n v="12000"/>
    <n v="129600000"/>
    <m/>
  </r>
  <r>
    <s v="146B/2019"/>
    <d v="2019-03-26T00:00:00"/>
    <s v="KIỀU THY"/>
    <s v="VD07"/>
    <x v="58"/>
    <x v="4"/>
    <s v="ROBINA"/>
    <m/>
    <s v="20.22"/>
    <n v="125"/>
    <s v="NL2018"/>
    <s v="DLW"/>
    <n v="96"/>
    <n v="12000"/>
    <x v="5"/>
    <n v="126000000"/>
    <x v="2"/>
    <x v="2"/>
    <d v="2019-09-29T00:00:00"/>
    <d v="2019-09-29T00:00:00"/>
    <s v="TẾT"/>
    <m/>
    <m/>
    <m/>
    <m/>
    <n v="0"/>
    <m/>
    <m/>
    <m/>
    <m/>
    <m/>
    <m/>
    <n v="0"/>
    <n v="12000"/>
    <n v="126000000"/>
    <m/>
  </r>
  <r>
    <s v="154A/2019"/>
    <d v="2019-03-07T00:00:00"/>
    <s v="KIỀU THY"/>
    <s v="VD07"/>
    <x v="58"/>
    <x v="42"/>
    <s v="PAVIA"/>
    <m/>
    <s v="14.16"/>
    <n v="300"/>
    <s v="NL2018"/>
    <m/>
    <n v="67"/>
    <n v="20100"/>
    <x v="122"/>
    <n v="89043000"/>
    <x v="0"/>
    <x v="28"/>
    <d v="2019-06-07T00:00:00"/>
    <d v="2019-06-07T00:00:00"/>
    <s v="1/5AL"/>
    <m/>
    <m/>
    <m/>
    <d v="2019-06-22T00:00:00"/>
    <n v="20100"/>
    <m/>
    <m/>
    <m/>
    <m/>
    <m/>
    <m/>
    <n v="20100"/>
    <n v="0"/>
    <n v="0"/>
    <m/>
  </r>
  <r>
    <s v="154A/2019"/>
    <d v="2019-06-14T00:00:00"/>
    <s v="KIỀU THY"/>
    <s v="VD07"/>
    <x v="58"/>
    <x v="41"/>
    <s v="PAVIA"/>
    <m/>
    <s v="12.14"/>
    <n v="400"/>
    <s v="NL2018"/>
    <m/>
    <n v="50"/>
    <n v="20000"/>
    <x v="26"/>
    <n v="60000000"/>
    <x v="4"/>
    <x v="4"/>
    <d v="2019-07-17T00:00:00"/>
    <d v="2019-07-17T00:00:00"/>
    <m/>
    <m/>
    <m/>
    <m/>
    <m/>
    <m/>
    <m/>
    <m/>
    <m/>
    <m/>
    <m/>
    <m/>
    <n v="0"/>
    <n v="20000"/>
    <n v="60000000"/>
    <m/>
  </r>
  <r>
    <s v="154A/2019"/>
    <d v="2019-06-22T00:00:00"/>
    <s v="KIỀU THY"/>
    <s v="VD07"/>
    <x v="58"/>
    <x v="42"/>
    <s v="PAVIA"/>
    <m/>
    <s v="14.16"/>
    <n v="300"/>
    <s v="NL2018"/>
    <m/>
    <n v="34"/>
    <n v="10200"/>
    <x v="14"/>
    <n v="45900000"/>
    <x v="2"/>
    <x v="34"/>
    <d v="2019-08-01T00:00:00"/>
    <d v="2019-08-01T00:00:00"/>
    <m/>
    <m/>
    <m/>
    <m/>
    <m/>
    <m/>
    <m/>
    <m/>
    <m/>
    <m/>
    <m/>
    <m/>
    <n v="0"/>
    <n v="10200"/>
    <n v="45900000"/>
    <m/>
  </r>
  <r>
    <s v="154A/2019"/>
    <d v="2019-03-07T00:00:00"/>
    <s v="KIỀU THY"/>
    <s v="VD07"/>
    <x v="58"/>
    <x v="42"/>
    <s v="PAVIA"/>
    <m/>
    <s v="14.16"/>
    <n v="300"/>
    <s v="NL2018"/>
    <m/>
    <n v="100"/>
    <n v="30000"/>
    <x v="50"/>
    <n v="132000000"/>
    <x v="0"/>
    <x v="1"/>
    <d v="2019-05-21T00:00:00"/>
    <d v="2019-05-21T00:00:00"/>
    <s v="10/4AL"/>
    <m/>
    <m/>
    <m/>
    <d v="2019-05-27T00:00:00"/>
    <n v="30000"/>
    <m/>
    <m/>
    <m/>
    <m/>
    <m/>
    <m/>
    <n v="30000"/>
    <n v="0"/>
    <n v="0"/>
    <m/>
  </r>
  <r>
    <s v="154A/2019"/>
    <d v="2019-05-07T00:00:00"/>
    <s v="KIỀU THY"/>
    <s v="VD07"/>
    <x v="58"/>
    <x v="41"/>
    <s v="PAVIA"/>
    <m/>
    <s v="12.14"/>
    <n v="400"/>
    <s v="NL2018"/>
    <m/>
    <n v="25"/>
    <n v="10000"/>
    <x v="39"/>
    <n v="29000000"/>
    <x v="0"/>
    <x v="1"/>
    <d v="2019-05-21T00:00:00"/>
    <d v="2019-05-21T00:00:00"/>
    <s v="10/4AL"/>
    <m/>
    <m/>
    <m/>
    <d v="2019-05-27T00:00:00"/>
    <n v="10000"/>
    <m/>
    <m/>
    <m/>
    <m/>
    <m/>
    <m/>
    <n v="10000"/>
    <n v="0"/>
    <n v="0"/>
    <m/>
  </r>
  <r>
    <s v="146B/2019"/>
    <d v="2019-03-26T00:00:00"/>
    <s v="KIỀU THY"/>
    <s v="VD07"/>
    <x v="58"/>
    <x v="42"/>
    <s v="PAVIA"/>
    <m/>
    <s v="14.16"/>
    <n v="300"/>
    <s v="NL2018"/>
    <m/>
    <n v="50"/>
    <n v="15000"/>
    <x v="29"/>
    <n v="69000000"/>
    <x v="2"/>
    <x v="2"/>
    <d v="2019-09-29T00:00:00"/>
    <d v="2019-09-29T00:00:00"/>
    <s v="TẾT"/>
    <m/>
    <m/>
    <m/>
    <m/>
    <n v="0"/>
    <m/>
    <m/>
    <m/>
    <m/>
    <m/>
    <m/>
    <n v="0"/>
    <n v="15000"/>
    <n v="69000000"/>
    <m/>
  </r>
  <r>
    <s v="179A/2019"/>
    <d v="2019-04-08T00:00:00"/>
    <s v="KIỀU THY"/>
    <s v="VD07"/>
    <x v="58"/>
    <x v="40"/>
    <s v="PAVIA"/>
    <m/>
    <s v="12.14"/>
    <n v="400"/>
    <s v="NL2017"/>
    <m/>
    <n v="75"/>
    <n v="30000"/>
    <x v="48"/>
    <n v="60000000"/>
    <x v="0"/>
    <x v="0"/>
    <d v="2019-03-20T00:00:00"/>
    <d v="2019-03-20T00:00:00"/>
    <s v="15/2AL"/>
    <m/>
    <m/>
    <m/>
    <d v="2019-04-09T00:00:00"/>
    <n v="30000"/>
    <m/>
    <m/>
    <m/>
    <m/>
    <m/>
    <m/>
    <n v="30000"/>
    <n v="0"/>
    <n v="0"/>
    <m/>
  </r>
  <r>
    <s v="92B/2019"/>
    <d v="2019-03-07T00:00:00"/>
    <s v="KIỀU THY"/>
    <s v="VD07"/>
    <x v="58"/>
    <x v="40"/>
    <s v="PAVIA"/>
    <m/>
    <s v="12.14"/>
    <n v="400"/>
    <s v="NL2017"/>
    <m/>
    <n v="25"/>
    <n v="10000"/>
    <x v="48"/>
    <n v="20000000"/>
    <x v="0"/>
    <x v="0"/>
    <d v="2019-03-20T00:00:00"/>
    <d v="2019-03-20T00:00:00"/>
    <s v="15/2AL"/>
    <s v="CONT 9/2019"/>
    <d v="2019-03-19T00:00:00"/>
    <s v="R"/>
    <d v="2019-03-19T00:00:00"/>
    <n v="10000"/>
    <m/>
    <m/>
    <m/>
    <m/>
    <m/>
    <m/>
    <n v="10000"/>
    <n v="0"/>
    <n v="0"/>
    <m/>
  </r>
  <r>
    <s v="92B/2019"/>
    <d v="2019-03-07T00:00:00"/>
    <s v="KIỀU THY"/>
    <s v="VD07"/>
    <x v="58"/>
    <x v="42"/>
    <s v="PAVIA"/>
    <m/>
    <s v="14.16"/>
    <n v="300"/>
    <s v="NL2018"/>
    <m/>
    <n v="20"/>
    <n v="6000"/>
    <x v="40"/>
    <n v="25200000"/>
    <x v="0"/>
    <x v="0"/>
    <d v="2019-03-20T00:00:00"/>
    <d v="2019-03-20T00:00:00"/>
    <s v="15/2AL"/>
    <s v="CONT 10/2019"/>
    <d v="2019-03-19T00:00:00"/>
    <s v="R"/>
    <d v="2019-03-19T00:00:00"/>
    <n v="6000"/>
    <m/>
    <m/>
    <m/>
    <m/>
    <m/>
    <m/>
    <n v="6000"/>
    <n v="0"/>
    <n v="0"/>
    <m/>
  </r>
  <r>
    <s v="92B/2019"/>
    <d v="2019-03-07T00:00:00"/>
    <s v="KIỀU THY"/>
    <s v="VD07"/>
    <x v="58"/>
    <x v="42"/>
    <s v="PAVIA"/>
    <m/>
    <s v="14.16"/>
    <n v="300"/>
    <s v="NL2018"/>
    <m/>
    <n v="67"/>
    <n v="20100"/>
    <x v="40"/>
    <n v="84420000"/>
    <x v="0"/>
    <x v="5"/>
    <d v="2019-04-19T00:00:00"/>
    <d v="2019-04-19T00:00:00"/>
    <s v="15/3AL"/>
    <s v="CONT 23/2019"/>
    <d v="2019-04-14T00:00:00"/>
    <s v="R"/>
    <d v="2019-04-17T00:00:00"/>
    <n v="20100"/>
    <m/>
    <m/>
    <m/>
    <m/>
    <m/>
    <m/>
    <n v="20100"/>
    <n v="0"/>
    <n v="0"/>
    <m/>
  </r>
  <r>
    <s v="92B/2019"/>
    <d v="2019-03-07T00:00:00"/>
    <s v="KIỀU THY"/>
    <s v="VD07"/>
    <x v="58"/>
    <x v="41"/>
    <s v="PAVIA"/>
    <m/>
    <s v="12.14"/>
    <n v="400"/>
    <s v="NL2018"/>
    <m/>
    <n v="31"/>
    <n v="12400"/>
    <x v="37"/>
    <n v="34720000"/>
    <x v="0"/>
    <x v="10"/>
    <d v="2019-04-03T00:00:00"/>
    <d v="2019-04-03T00:00:00"/>
    <s v="30/2AL"/>
    <s v="CONT 14/2019"/>
    <d v="2019-03-31T00:00:00"/>
    <s v="R"/>
    <d v="2019-04-03T00:00:00"/>
    <n v="12400"/>
    <m/>
    <m/>
    <m/>
    <m/>
    <m/>
    <m/>
    <n v="12400"/>
    <n v="0"/>
    <n v="0"/>
    <m/>
  </r>
  <r>
    <s v="146B/2019"/>
    <d v="2019-03-26T00:00:00"/>
    <s v="KIỀU THY"/>
    <s v="VD07"/>
    <x v="58"/>
    <x v="59"/>
    <s v="NELLO "/>
    <m/>
    <s v="18.20"/>
    <n v="150"/>
    <s v="NL2018"/>
    <m/>
    <n v="100"/>
    <n v="15000"/>
    <x v="56"/>
    <n v="108000000"/>
    <x v="2"/>
    <x v="2"/>
    <d v="2019-09-29T00:00:00"/>
    <d v="2019-09-29T00:00:00"/>
    <s v="TẾT"/>
    <m/>
    <m/>
    <m/>
    <m/>
    <n v="0"/>
    <m/>
    <m/>
    <m/>
    <m/>
    <m/>
    <m/>
    <n v="0"/>
    <n v="15000"/>
    <n v="108000000"/>
    <m/>
  </r>
  <r>
    <s v="154A/2019"/>
    <d v="2019-06-03T00:00:00"/>
    <s v="KIỀU THY"/>
    <s v="VD07"/>
    <x v="58"/>
    <x v="61"/>
    <s v="NASHVILLE"/>
    <m/>
    <s v="14.16"/>
    <n v="300"/>
    <s v="NL2018"/>
    <m/>
    <n v="7"/>
    <n v="2100"/>
    <x v="58"/>
    <n v="8190000"/>
    <x v="0"/>
    <x v="1"/>
    <d v="2019-05-21T00:00:00"/>
    <d v="2019-05-21T00:00:00"/>
    <m/>
    <m/>
    <m/>
    <m/>
    <d v="2019-06-05T00:00:00"/>
    <n v="2100"/>
    <m/>
    <m/>
    <m/>
    <m/>
    <m/>
    <m/>
    <n v="2100"/>
    <n v="0"/>
    <n v="0"/>
    <m/>
  </r>
  <r>
    <s v="154A/2019"/>
    <d v="2019-06-13T00:00:00"/>
    <s v="KIỀU THY"/>
    <s v="VD07"/>
    <x v="58"/>
    <x v="61"/>
    <s v="NASHVILLE"/>
    <m/>
    <s v="14.16"/>
    <n v="300"/>
    <s v="NL2018"/>
    <m/>
    <n v="0"/>
    <n v="0"/>
    <x v="38"/>
    <n v="0"/>
    <x v="1"/>
    <x v="4"/>
    <d v="2019-07-17T00:00:00"/>
    <d v="2019-07-17T00:00:00"/>
    <m/>
    <m/>
    <m/>
    <m/>
    <m/>
    <m/>
    <m/>
    <m/>
    <m/>
    <m/>
    <m/>
    <m/>
    <n v="0"/>
    <n v="0"/>
    <n v="0"/>
    <m/>
  </r>
  <r>
    <s v="146B/2019"/>
    <d v="2019-03-26T00:00:00"/>
    <s v="KIỀU THY"/>
    <s v="VD07"/>
    <x v="58"/>
    <x v="65"/>
    <s v="MANISSA"/>
    <m/>
    <s v="20.22"/>
    <n v="125"/>
    <s v="NL2018"/>
    <s v="DLW"/>
    <n v="96"/>
    <n v="12000"/>
    <x v="61"/>
    <n v="162000000"/>
    <x v="2"/>
    <x v="2"/>
    <d v="2019-09-29T00:00:00"/>
    <d v="2019-09-29T00:00:00"/>
    <s v="TẾT"/>
    <m/>
    <m/>
    <m/>
    <m/>
    <n v="0"/>
    <m/>
    <m/>
    <m/>
    <m/>
    <m/>
    <m/>
    <n v="0"/>
    <n v="12000"/>
    <n v="162000000"/>
    <m/>
  </r>
  <r>
    <s v="92B/2019"/>
    <d v="2019-03-07T00:00:00"/>
    <s v="KIỀU THY"/>
    <s v="VD07"/>
    <x v="58"/>
    <x v="46"/>
    <s v="HONESTY"/>
    <m/>
    <s v="16.18"/>
    <n v="200"/>
    <s v="NL2017"/>
    <m/>
    <n v="50"/>
    <n v="10000"/>
    <x v="49"/>
    <n v="33000000"/>
    <x v="0"/>
    <x v="16"/>
    <d v="2019-03-12T00:00:00"/>
    <d v="2019-03-12T00:00:00"/>
    <s v="07/2AL"/>
    <m/>
    <m/>
    <s v="R"/>
    <d v="2019-03-12T00:00:00"/>
    <n v="10000"/>
    <m/>
    <m/>
    <m/>
    <m/>
    <m/>
    <m/>
    <n v="10000"/>
    <n v="0"/>
    <n v="0"/>
    <m/>
  </r>
  <r>
    <s v="154A/2019"/>
    <d v="2019-03-07T00:00:00"/>
    <s v="KIỀU THY"/>
    <s v="VD07"/>
    <x v="58"/>
    <x v="50"/>
    <s v="EREMO"/>
    <m/>
    <s v="14.16"/>
    <n v="300"/>
    <s v="NL2018"/>
    <m/>
    <n v="44"/>
    <n v="13200"/>
    <x v="123"/>
    <n v="55836000"/>
    <x v="0"/>
    <x v="28"/>
    <d v="2019-06-07T00:00:00"/>
    <d v="2019-06-07T00:00:00"/>
    <s v="1/5AL"/>
    <m/>
    <m/>
    <m/>
    <d v="2019-06-22T00:00:00"/>
    <n v="13200"/>
    <m/>
    <m/>
    <m/>
    <m/>
    <m/>
    <m/>
    <n v="13200"/>
    <n v="0"/>
    <n v="0"/>
    <m/>
  </r>
  <r>
    <s v="154A/2019"/>
    <d v="2019-05-28T00:00:00"/>
    <s v="KIỀU THY"/>
    <s v="VD07"/>
    <x v="58"/>
    <x v="50"/>
    <s v="EREMO"/>
    <m/>
    <s v="14.16"/>
    <n v="300"/>
    <s v="NL2018"/>
    <m/>
    <n v="0"/>
    <n v="0"/>
    <x v="41"/>
    <n v="0"/>
    <x v="1"/>
    <x v="3"/>
    <d v="2019-06-20T00:00:00"/>
    <d v="2019-06-20T00:00:00"/>
    <m/>
    <m/>
    <m/>
    <m/>
    <m/>
    <m/>
    <m/>
    <m/>
    <m/>
    <m/>
    <m/>
    <m/>
    <n v="0"/>
    <n v="0"/>
    <n v="0"/>
    <m/>
  </r>
  <r>
    <s v="154A/2019"/>
    <d v="2019-06-13T00:00:00"/>
    <s v="KIỀU THY"/>
    <s v="VD07"/>
    <x v="58"/>
    <x v="50"/>
    <s v="EREMO"/>
    <m/>
    <s v="14.16"/>
    <n v="300"/>
    <s v="NL2018"/>
    <m/>
    <n v="3"/>
    <n v="900"/>
    <x v="50"/>
    <n v="3960000"/>
    <x v="4"/>
    <x v="4"/>
    <d v="2019-07-17T00:00:00"/>
    <d v="2019-07-17T00:00:00"/>
    <m/>
    <m/>
    <m/>
    <m/>
    <m/>
    <m/>
    <m/>
    <m/>
    <m/>
    <m/>
    <m/>
    <m/>
    <n v="0"/>
    <n v="900"/>
    <n v="3960000"/>
    <m/>
  </r>
  <r>
    <s v="92B/2019"/>
    <d v="2019-03-07T00:00:00"/>
    <s v="KIỀU THY"/>
    <s v="VD07"/>
    <x v="58"/>
    <x v="50"/>
    <s v="EREMO"/>
    <m/>
    <s v="14.16"/>
    <n v="300"/>
    <s v="NL2018"/>
    <m/>
    <n v="50"/>
    <n v="15000"/>
    <x v="45"/>
    <n v="60000000"/>
    <x v="0"/>
    <x v="5"/>
    <d v="2019-04-19T00:00:00"/>
    <d v="2019-04-19T00:00:00"/>
    <s v="15/3AL"/>
    <s v="CONT 21/2019"/>
    <d v="2019-04-14T00:00:00"/>
    <s v="R"/>
    <d v="2019-04-17T00:00:00"/>
    <n v="15000"/>
    <m/>
    <m/>
    <m/>
    <m/>
    <m/>
    <m/>
    <n v="15000"/>
    <n v="0"/>
    <n v="0"/>
    <m/>
  </r>
  <r>
    <s v="146B/2019"/>
    <d v="2019-04-16T00:00:00"/>
    <s v="KIỀU THY"/>
    <s v="VD07"/>
    <x v="58"/>
    <x v="118"/>
    <s v="AMIGA"/>
    <m/>
    <s v="14.16"/>
    <n v="300"/>
    <s v="NL2018"/>
    <m/>
    <n v="49.666666666666664"/>
    <n v="14900"/>
    <x v="43"/>
    <n v="71520000"/>
    <x v="2"/>
    <x v="2"/>
    <d v="2019-09-29T00:00:00"/>
    <d v="2019-09-29T00:00:00"/>
    <s v="TẾT"/>
    <m/>
    <m/>
    <m/>
    <m/>
    <m/>
    <m/>
    <m/>
    <m/>
    <m/>
    <m/>
    <m/>
    <n v="0"/>
    <n v="14900"/>
    <n v="71520000"/>
    <m/>
  </r>
  <r>
    <s v="146B/2019"/>
    <d v="2019-04-16T00:00:00"/>
    <s v="KIỀU THY"/>
    <s v="VD07"/>
    <x v="58"/>
    <x v="119"/>
    <s v="AMIGA"/>
    <m/>
    <s v="16.18"/>
    <n v="200"/>
    <s v="NL2018"/>
    <m/>
    <n v="51"/>
    <n v="10200"/>
    <x v="84"/>
    <n v="65280000"/>
    <x v="2"/>
    <x v="2"/>
    <d v="2019-09-29T00:00:00"/>
    <d v="2019-09-29T00:00:00"/>
    <s v="TẾT"/>
    <m/>
    <m/>
    <m/>
    <m/>
    <m/>
    <m/>
    <m/>
    <m/>
    <m/>
    <m/>
    <m/>
    <n v="0"/>
    <n v="10200"/>
    <n v="65280000"/>
    <m/>
  </r>
  <r>
    <s v="154A/2019"/>
    <d v="2019-05-10T00:00:00"/>
    <s v="KIỀU THY"/>
    <s v="VD07"/>
    <x v="58"/>
    <x v="54"/>
    <s v="AMATERAS"/>
    <m/>
    <s v="14.16"/>
    <n v="300"/>
    <s v="NL2018"/>
    <m/>
    <n v="40"/>
    <n v="12000"/>
    <x v="122"/>
    <n v="53160000"/>
    <x v="0"/>
    <x v="28"/>
    <d v="2019-06-07T00:00:00"/>
    <d v="2019-06-07T00:00:00"/>
    <m/>
    <m/>
    <m/>
    <m/>
    <d v="2019-06-22T00:00:00"/>
    <n v="12000"/>
    <m/>
    <m/>
    <m/>
    <m/>
    <m/>
    <m/>
    <n v="12000"/>
    <n v="0"/>
    <n v="0"/>
    <m/>
  </r>
  <r>
    <s v="154A/2019"/>
    <d v="2019-06-03T00:00:00"/>
    <s v="KIỀU THY"/>
    <s v="VD07"/>
    <x v="58"/>
    <x v="54"/>
    <s v="AMATERAS"/>
    <m/>
    <s v="14.16"/>
    <n v="300"/>
    <s v="NL2018"/>
    <m/>
    <n v="16"/>
    <n v="4800"/>
    <x v="122"/>
    <n v="21264000"/>
    <x v="0"/>
    <x v="28"/>
    <d v="2019-06-07T00:00:00"/>
    <d v="2019-06-07T00:00:00"/>
    <m/>
    <m/>
    <m/>
    <m/>
    <d v="2019-06-22T00:00:00"/>
    <n v="4800"/>
    <m/>
    <m/>
    <m/>
    <m/>
    <m/>
    <m/>
    <n v="4800"/>
    <n v="0"/>
    <n v="0"/>
    <m/>
  </r>
  <r>
    <s v="154A/2019"/>
    <d v="2019-05-28T00:00:00"/>
    <s v="KIỀU THY"/>
    <s v="VD07"/>
    <x v="58"/>
    <x v="54"/>
    <s v="AMATERAS"/>
    <m/>
    <s v="14.16"/>
    <n v="300"/>
    <s v="NL2018"/>
    <m/>
    <n v="69"/>
    <n v="20700"/>
    <x v="29"/>
    <n v="95220000"/>
    <x v="4"/>
    <x v="4"/>
    <d v="2019-07-17T00:00:00"/>
    <d v="2019-07-17T00:00:00"/>
    <m/>
    <m/>
    <m/>
    <m/>
    <m/>
    <m/>
    <m/>
    <m/>
    <m/>
    <m/>
    <m/>
    <m/>
    <n v="0"/>
    <n v="20700"/>
    <n v="95220000"/>
    <m/>
  </r>
  <r>
    <s v="70A/2019"/>
    <d v="2019-02-22T00:00:00"/>
    <s v="KIỀU THY"/>
    <s v="VS06"/>
    <x v="59"/>
    <x v="10"/>
    <s v="TARRANGO"/>
    <m/>
    <s v="16.18"/>
    <n v="200"/>
    <s v="NL2018"/>
    <m/>
    <n v="25"/>
    <n v="5000"/>
    <x v="10"/>
    <n v="27500000"/>
    <x v="0"/>
    <x v="5"/>
    <d v="2019-04-19T00:00:00"/>
    <d v="2019-04-19T00:00:00"/>
    <s v="15/3AL"/>
    <s v="CONT 26/2019"/>
    <d v="2019-04-14T00:00:00"/>
    <s v="R"/>
    <d v="2019-04-17T00:00:00"/>
    <n v="5000"/>
    <m/>
    <m/>
    <m/>
    <m/>
    <m/>
    <m/>
    <n v="5000"/>
    <n v="0"/>
    <n v="0"/>
    <m/>
  </r>
  <r>
    <s v="70A/2019"/>
    <d v="2019-02-22T00:00:00"/>
    <s v="KIỀU THY"/>
    <s v="VS06"/>
    <x v="59"/>
    <x v="6"/>
    <s v="CONCAD'OR"/>
    <m/>
    <s v="16.18"/>
    <n v="200"/>
    <s v="NL2018"/>
    <m/>
    <n v="25"/>
    <n v="5000"/>
    <x v="8"/>
    <n v="25000000"/>
    <x v="0"/>
    <x v="5"/>
    <d v="2019-04-19T00:00:00"/>
    <d v="2019-04-19T00:00:00"/>
    <s v="15/3AL"/>
    <s v="CONT 22/2019"/>
    <d v="2019-04-14T00:00:00"/>
    <s v="R"/>
    <d v="2019-04-17T00:00:00"/>
    <n v="5000"/>
    <m/>
    <m/>
    <m/>
    <m/>
    <m/>
    <m/>
    <n v="5000"/>
    <n v="0"/>
    <n v="0"/>
    <m/>
  </r>
  <r>
    <s v="162A/2019"/>
    <d v="2019-04-02T00:00:00"/>
    <s v="KIỀU THY"/>
    <s v="VT17"/>
    <x v="60"/>
    <x v="0"/>
    <s v="YELLOWEEN"/>
    <m/>
    <s v="12.14"/>
    <s v="400"/>
    <s v="NL2018"/>
    <m/>
    <n v="0"/>
    <n v="0"/>
    <x v="1"/>
    <n v="0"/>
    <x v="1"/>
    <x v="1"/>
    <d v="2019-05-21T00:00:00"/>
    <d v="2019-05-21T00:00:00"/>
    <s v="10/4AL"/>
    <m/>
    <m/>
    <m/>
    <m/>
    <m/>
    <m/>
    <m/>
    <m/>
    <m/>
    <m/>
    <m/>
    <n v="0"/>
    <n v="0"/>
    <n v="0"/>
    <m/>
  </r>
  <r>
    <s v="162A/2019"/>
    <d v="2019-04-02T00:00:00"/>
    <s v="KIỀU THY"/>
    <s v="VT17"/>
    <x v="60"/>
    <x v="78"/>
    <s v="YELLOWEEN"/>
    <m/>
    <s v="14.16"/>
    <s v="300"/>
    <s v="NL2018"/>
    <m/>
    <n v="0"/>
    <n v="0"/>
    <x v="64"/>
    <n v="0"/>
    <x v="1"/>
    <x v="1"/>
    <d v="2019-05-21T00:00:00"/>
    <d v="2019-05-21T00:00:00"/>
    <s v="10/4AL"/>
    <m/>
    <m/>
    <m/>
    <m/>
    <m/>
    <m/>
    <m/>
    <m/>
    <m/>
    <m/>
    <m/>
    <n v="0"/>
    <n v="0"/>
    <n v="0"/>
    <m/>
  </r>
  <r>
    <n v="3"/>
    <d v="2019-04-02T00:00:00"/>
    <s v="KIỀU THY"/>
    <s v="VT17"/>
    <x v="60"/>
    <x v="35"/>
    <s v="TARRANGO"/>
    <m/>
    <s v="14.16"/>
    <s v="300"/>
    <s v="NL2018"/>
    <m/>
    <n v="34"/>
    <n v="10200"/>
    <x v="29"/>
    <n v="46920000"/>
    <x v="0"/>
    <x v="1"/>
    <d v="2019-05-21T00:00:00"/>
    <d v="2019-05-21T00:00:00"/>
    <s v="10/4AL"/>
    <m/>
    <m/>
    <m/>
    <d v="2019-06-18T00:00:00"/>
    <n v="10200"/>
    <m/>
    <m/>
    <m/>
    <m/>
    <m/>
    <m/>
    <n v="10200"/>
    <n v="0"/>
    <n v="0"/>
    <m/>
  </r>
  <r>
    <s v="163A/2019"/>
    <d v="2019-04-02T00:00:00"/>
    <s v="KIỀU THY"/>
    <s v="VT17"/>
    <x v="60"/>
    <x v="66"/>
    <s v="TARRANGO"/>
    <m/>
    <s v="20.22"/>
    <s v="125"/>
    <s v="NL2018"/>
    <m/>
    <n v="0"/>
    <n v="0"/>
    <x v="28"/>
    <n v="0"/>
    <x v="1"/>
    <x v="2"/>
    <d v="2019-09-29T00:00:00"/>
    <d v="2019-09-29T00:00:00"/>
    <s v="TẾT, KH nhờ bán hộ"/>
    <m/>
    <m/>
    <m/>
    <m/>
    <m/>
    <m/>
    <m/>
    <m/>
    <m/>
    <m/>
    <m/>
    <n v="0"/>
    <n v="0"/>
    <n v="0"/>
    <m/>
  </r>
  <r>
    <s v="162A/2019"/>
    <d v="2019-04-02T00:00:00"/>
    <s v="KIỀU THY"/>
    <s v="VT17"/>
    <x v="60"/>
    <x v="115"/>
    <s v="PARAGUAY"/>
    <m/>
    <s v="14.16"/>
    <s v="275"/>
    <s v="NL2018"/>
    <m/>
    <n v="31"/>
    <n v="8525"/>
    <x v="43"/>
    <n v="40920000"/>
    <x v="0"/>
    <x v="5"/>
    <d v="2019-04-19T00:00:00"/>
    <d v="2019-04-19T00:00:00"/>
    <s v="15/3AL"/>
    <m/>
    <m/>
    <m/>
    <d v="2019-04-24T00:00:00"/>
    <n v="8525"/>
    <m/>
    <m/>
    <m/>
    <m/>
    <m/>
    <m/>
    <n v="8525"/>
    <n v="0"/>
    <n v="0"/>
    <m/>
  </r>
  <r>
    <s v="163A/2019"/>
    <d v="2019-04-02T00:00:00"/>
    <s v="KIỀU THY"/>
    <s v="VT17"/>
    <x v="60"/>
    <x v="60"/>
    <s v="MANISSA"/>
    <m/>
    <s v="24+"/>
    <s v="75"/>
    <s v="NL2018"/>
    <m/>
    <n v="0"/>
    <n v="0"/>
    <x v="57"/>
    <n v="0"/>
    <x v="1"/>
    <x v="2"/>
    <d v="2019-09-29T00:00:00"/>
    <d v="2019-09-29T00:00:00"/>
    <s v="TẾT, KH nhờ bán hộ"/>
    <m/>
    <m/>
    <m/>
    <m/>
    <m/>
    <m/>
    <m/>
    <m/>
    <m/>
    <m/>
    <m/>
    <n v="0"/>
    <n v="0"/>
    <n v="0"/>
    <m/>
  </r>
  <r>
    <s v="162A/2019"/>
    <d v="2019-05-02T00:00:00"/>
    <s v="KIỀU THY"/>
    <s v="VT17"/>
    <x v="60"/>
    <x v="120"/>
    <s v="FELINO"/>
    <m/>
    <n v="15.16"/>
    <s v="250"/>
    <s v="NL2018"/>
    <m/>
    <n v="2"/>
    <n v="500"/>
    <x v="85"/>
    <n v="2850000"/>
    <x v="0"/>
    <x v="5"/>
    <d v="2019-04-19T00:00:00"/>
    <d v="2019-04-19T00:00:00"/>
    <s v="15/3AL"/>
    <m/>
    <m/>
    <m/>
    <d v="2019-05-03T00:00:00"/>
    <n v="500"/>
    <m/>
    <m/>
    <m/>
    <m/>
    <m/>
    <m/>
    <n v="500"/>
    <n v="0"/>
    <n v="0"/>
    <m/>
  </r>
  <r>
    <s v="162A/2019"/>
    <d v="2019-04-02T00:00:00"/>
    <s v="KIỀU THY"/>
    <s v="VT17"/>
    <x v="60"/>
    <x v="24"/>
    <s v="DALIAN"/>
    <m/>
    <s v="14.16"/>
    <s v="300"/>
    <s v="NL2018"/>
    <m/>
    <n v="26"/>
    <n v="7800"/>
    <x v="6"/>
    <n v="42120000"/>
    <x v="0"/>
    <x v="36"/>
    <d v="2019-05-04T00:00:00"/>
    <d v="2019-05-04T00:00:00"/>
    <s v="30/3AL"/>
    <m/>
    <m/>
    <m/>
    <d v="2019-05-22T00:00:00"/>
    <n v="7800"/>
    <m/>
    <m/>
    <m/>
    <m/>
    <m/>
    <m/>
    <n v="7800"/>
    <n v="0"/>
    <n v="0"/>
    <m/>
  </r>
  <r>
    <s v="74A/2019"/>
    <d v="2019-02-23T00:00:00"/>
    <s v="KIỀU THY"/>
    <s v="VH06"/>
    <x v="61"/>
    <x v="23"/>
    <s v="ROBINA"/>
    <m/>
    <s v="22.24"/>
    <n v="100"/>
    <s v="NL2018"/>
    <m/>
    <n v="210"/>
    <n v="21000"/>
    <x v="25"/>
    <n v="262500000"/>
    <x v="2"/>
    <x v="2"/>
    <d v="2019-09-29T00:00:00"/>
    <d v="2019-09-29T00:00:00"/>
    <s v="TẾT"/>
    <m/>
    <m/>
    <s v="R"/>
    <m/>
    <n v="0"/>
    <m/>
    <m/>
    <m/>
    <m/>
    <m/>
    <m/>
    <n v="0"/>
    <n v="21000"/>
    <n v="262500000"/>
    <m/>
  </r>
  <r>
    <s v="74A/2019"/>
    <d v="2019-02-23T00:00:00"/>
    <s v="KIỀU THY"/>
    <s v="VH06"/>
    <x v="61"/>
    <x v="21"/>
    <s v="CONCAD'OR"/>
    <m/>
    <s v="22.24"/>
    <n v="100"/>
    <s v="NL2018"/>
    <m/>
    <n v="350"/>
    <n v="35000"/>
    <x v="25"/>
    <n v="437500000"/>
    <x v="2"/>
    <x v="2"/>
    <d v="2019-09-29T00:00:00"/>
    <d v="2019-09-29T00:00:00"/>
    <s v="TẾT"/>
    <m/>
    <m/>
    <s v="R"/>
    <m/>
    <m/>
    <m/>
    <m/>
    <m/>
    <m/>
    <m/>
    <m/>
    <n v="0"/>
    <n v="35000"/>
    <n v="437500000"/>
    <m/>
  </r>
  <r>
    <s v="76A/2019"/>
    <d v="2019-02-25T00:00:00"/>
    <s v="KIỀU THY"/>
    <s v="VV03"/>
    <x v="62"/>
    <x v="23"/>
    <s v="ROBINA"/>
    <m/>
    <s v="22.24"/>
    <n v="100"/>
    <s v="NL2018"/>
    <m/>
    <n v="120"/>
    <n v="12000"/>
    <x v="25"/>
    <n v="150000000"/>
    <x v="2"/>
    <x v="2"/>
    <d v="2019-09-29T00:00:00"/>
    <d v="2019-09-29T00:00:00"/>
    <s v="TẾT"/>
    <m/>
    <m/>
    <s v="R"/>
    <m/>
    <n v="0"/>
    <m/>
    <m/>
    <m/>
    <m/>
    <m/>
    <m/>
    <n v="0"/>
    <n v="12000"/>
    <n v="150000000"/>
    <m/>
  </r>
  <r>
    <s v="76A/2019"/>
    <d v="2019-02-25T00:00:00"/>
    <s v="KIỀU THY"/>
    <s v="VV03"/>
    <x v="62"/>
    <x v="109"/>
    <s v="MANISSA"/>
    <m/>
    <s v="24.26"/>
    <n v="80"/>
    <s v="NL2018"/>
    <m/>
    <n v="63"/>
    <n v="5040"/>
    <x v="57"/>
    <n v="80640000"/>
    <x v="2"/>
    <x v="2"/>
    <d v="2019-09-29T00:00:00"/>
    <d v="2019-09-29T00:00:00"/>
    <s v="TẾT"/>
    <m/>
    <m/>
    <s v="R"/>
    <m/>
    <n v="0"/>
    <m/>
    <m/>
    <m/>
    <m/>
    <m/>
    <m/>
    <n v="0"/>
    <n v="5040"/>
    <n v="80640000"/>
    <m/>
  </r>
  <r>
    <s v="76A/2019"/>
    <d v="2019-02-25T00:00:00"/>
    <s v="KIỀU THY"/>
    <s v="VV03"/>
    <x v="62"/>
    <x v="21"/>
    <s v="CONCAD'OR"/>
    <m/>
    <s v="22.24"/>
    <n v="100"/>
    <s v="NL2018"/>
    <m/>
    <n v="150"/>
    <n v="15000"/>
    <x v="25"/>
    <n v="187500000"/>
    <x v="2"/>
    <x v="2"/>
    <d v="2019-09-29T00:00:00"/>
    <d v="2019-09-29T00:00:00"/>
    <s v="TẾT"/>
    <m/>
    <m/>
    <s v="R"/>
    <m/>
    <n v="0"/>
    <m/>
    <m/>
    <m/>
    <m/>
    <m/>
    <m/>
    <n v="0"/>
    <n v="15000"/>
    <n v="187500000"/>
    <m/>
  </r>
  <r>
    <s v="166B/2019"/>
    <d v="2019-04-18T00:00:00"/>
    <s v="THANH THÚY"/>
    <s v="TH14"/>
    <x v="63"/>
    <x v="2"/>
    <s v="SERANO"/>
    <m/>
    <s v="14.16"/>
    <s v="300"/>
    <s v="NL2018"/>
    <m/>
    <n v="8"/>
    <n v="2400"/>
    <x v="108"/>
    <n v="8640000"/>
    <x v="0"/>
    <x v="1"/>
    <d v="2019-05-21T00:00:00"/>
    <d v="2019-05-21T00:00:00"/>
    <s v="17/4AL"/>
    <m/>
    <m/>
    <m/>
    <d v="2019-04-18T00:00:00"/>
    <n v="2400"/>
    <m/>
    <m/>
    <m/>
    <m/>
    <m/>
    <m/>
    <n v="2400"/>
    <n v="0"/>
    <n v="0"/>
    <m/>
  </r>
  <r>
    <s v="166B/2019"/>
    <d v="2019-04-18T00:00:00"/>
    <s v="THANH THÚY"/>
    <s v="TH14"/>
    <x v="63"/>
    <x v="2"/>
    <s v="SERANO"/>
    <m/>
    <s v="14.16"/>
    <s v="300"/>
    <s v="NL2018"/>
    <m/>
    <n v="22"/>
    <n v="6600"/>
    <x v="108"/>
    <n v="23760000"/>
    <x v="0"/>
    <x v="1"/>
    <d v="2019-05-21T00:00:00"/>
    <d v="2019-05-21T00:00:00"/>
    <s v="17/4AL"/>
    <m/>
    <m/>
    <m/>
    <d v="2019-05-20T00:00:00"/>
    <n v="2400"/>
    <d v="2019-06-06T00:00:00"/>
    <s v="3000"/>
    <s v="20 JUN"/>
    <s v="1200"/>
    <m/>
    <m/>
    <n v="6600"/>
    <n v="0"/>
    <n v="0"/>
    <m/>
  </r>
  <r>
    <s v="166B/2019"/>
    <d v="2019-04-18T00:00:00"/>
    <s v="THANH THÚY"/>
    <s v="TH14"/>
    <x v="63"/>
    <x v="2"/>
    <s v="SERANO"/>
    <m/>
    <s v="14.16"/>
    <s v="300"/>
    <s v="NL2018"/>
    <m/>
    <n v="9"/>
    <n v="2700"/>
    <x v="108"/>
    <n v="9720000"/>
    <x v="0"/>
    <x v="41"/>
    <d v="2019-06-14T00:00:00"/>
    <d v="2019-06-14T00:00:00"/>
    <s v="12/5AL"/>
    <m/>
    <m/>
    <m/>
    <d v="2019-06-20T00:00:00"/>
    <n v="2700"/>
    <m/>
    <m/>
    <m/>
    <m/>
    <m/>
    <m/>
    <n v="2700"/>
    <n v="0"/>
    <n v="0"/>
    <m/>
  </r>
  <r>
    <s v="166B/2019"/>
    <d v="2019-06-15T00:00:00"/>
    <s v="THANH THÚY"/>
    <s v="TH14"/>
    <x v="63"/>
    <x v="2"/>
    <s v="SERANO"/>
    <m/>
    <s v="14.16"/>
    <s v="300"/>
    <s v="NL2018"/>
    <m/>
    <n v="17"/>
    <n v="5100"/>
    <x v="64"/>
    <n v="19380000"/>
    <x v="4"/>
    <x v="4"/>
    <d v="2019-07-17T00:00:00"/>
    <d v="2019-07-17T00:00:00"/>
    <m/>
    <m/>
    <m/>
    <m/>
    <m/>
    <m/>
    <m/>
    <m/>
    <m/>
    <m/>
    <m/>
    <m/>
    <n v="0"/>
    <n v="5100"/>
    <n v="19380000"/>
    <m/>
  </r>
  <r>
    <s v="167B/2019"/>
    <d v="2019-04-18T00:00:00"/>
    <s v="THANH THÚY"/>
    <s v="TH14"/>
    <x v="63"/>
    <x v="90"/>
    <s v="ROBINA NEW ZEALAND"/>
    <m/>
    <s v="20.22"/>
    <s v="125"/>
    <s v="NZ2019"/>
    <m/>
    <n v="24"/>
    <n v="3000"/>
    <x v="25"/>
    <n v="37500000"/>
    <x v="2"/>
    <x v="2"/>
    <d v="2019-09-29T00:00:00"/>
    <d v="2019-09-29T00:00:00"/>
    <s v="TẾT"/>
    <m/>
    <m/>
    <m/>
    <m/>
    <n v="0"/>
    <m/>
    <m/>
    <m/>
    <m/>
    <m/>
    <m/>
    <n v="0"/>
    <n v="3000"/>
    <n v="37500000"/>
    <m/>
  </r>
  <r>
    <s v="166B/2019"/>
    <d v="2019-04-18T00:00:00"/>
    <s v="THANH THÚY"/>
    <s v="TH14"/>
    <x v="63"/>
    <x v="99"/>
    <s v="ROBINA"/>
    <m/>
    <s v="14.16"/>
    <s v="300"/>
    <s v="NL2018"/>
    <m/>
    <n v="17"/>
    <n v="5100"/>
    <x v="64"/>
    <n v="19380000"/>
    <x v="4"/>
    <x v="4"/>
    <d v="2019-07-17T00:00:00"/>
    <d v="2019-07-17T00:00:00"/>
    <s v="15/6AL"/>
    <m/>
    <m/>
    <m/>
    <m/>
    <m/>
    <m/>
    <m/>
    <m/>
    <m/>
    <m/>
    <m/>
    <n v="0"/>
    <n v="5100"/>
    <n v="19380000"/>
    <m/>
  </r>
  <r>
    <s v="166B/2019"/>
    <d v="2019-06-15T00:00:00"/>
    <s v="THANH THÚY"/>
    <s v="TH14"/>
    <x v="63"/>
    <x v="3"/>
    <s v="ROBINA"/>
    <m/>
    <s v="16.18"/>
    <n v="200"/>
    <s v="NL2018"/>
    <m/>
    <n v="20"/>
    <n v="4000"/>
    <x v="82"/>
    <n v="14800000"/>
    <x v="4"/>
    <x v="4"/>
    <d v="2019-07-17T00:00:00"/>
    <d v="2019-07-17T00:00:00"/>
    <m/>
    <m/>
    <m/>
    <m/>
    <m/>
    <m/>
    <m/>
    <m/>
    <m/>
    <m/>
    <m/>
    <m/>
    <n v="0"/>
    <n v="4000"/>
    <n v="14800000"/>
    <m/>
  </r>
  <r>
    <s v="167B/2019"/>
    <d v="2019-04-18T00:00:00"/>
    <s v="THANH THÚY"/>
    <s v="TH14"/>
    <x v="63"/>
    <x v="4"/>
    <s v="ROBINA"/>
    <m/>
    <s v="20.22"/>
    <s v="125"/>
    <s v="NL2018"/>
    <m/>
    <n v="56"/>
    <n v="7000"/>
    <x v="34"/>
    <n v="74900000"/>
    <x v="2"/>
    <x v="2"/>
    <d v="2019-09-29T00:00:00"/>
    <d v="2019-09-29T00:00:00"/>
    <s v="TẾT"/>
    <m/>
    <m/>
    <m/>
    <m/>
    <n v="0"/>
    <m/>
    <m/>
    <m/>
    <m/>
    <m/>
    <m/>
    <n v="0"/>
    <n v="7000"/>
    <n v="74900000"/>
    <m/>
  </r>
  <r>
    <s v="166B/2019"/>
    <d v="2019-04-18T00:00:00"/>
    <s v="THANH THÚY"/>
    <s v="TH14"/>
    <x v="63"/>
    <x v="79"/>
    <s v="MANISSA"/>
    <m/>
    <s v="16.18"/>
    <n v="200"/>
    <s v="NL2018"/>
    <m/>
    <n v="0"/>
    <n v="0"/>
    <x v="66"/>
    <n v="0"/>
    <x v="1"/>
    <x v="4"/>
    <d v="2019-07-17T00:00:00"/>
    <d v="2019-07-17T00:00:00"/>
    <s v="15/6AL"/>
    <m/>
    <m/>
    <m/>
    <m/>
    <m/>
    <m/>
    <m/>
    <m/>
    <m/>
    <m/>
    <m/>
    <n v="0"/>
    <n v="0"/>
    <n v="0"/>
    <m/>
  </r>
  <r>
    <s v="166B/2019"/>
    <d v="2019-06-15T00:00:00"/>
    <s v="THANH THÚY"/>
    <s v="TH14"/>
    <x v="63"/>
    <x v="79"/>
    <s v="MANISSA"/>
    <m/>
    <s v="16.18"/>
    <n v="200"/>
    <s v="NL2018"/>
    <m/>
    <n v="50"/>
    <n v="10000"/>
    <x v="66"/>
    <n v="70000000"/>
    <x v="3"/>
    <x v="3"/>
    <d v="2019-06-20T00:00:00"/>
    <d v="2019-06-20T00:00:00"/>
    <m/>
    <m/>
    <m/>
    <m/>
    <m/>
    <m/>
    <m/>
    <m/>
    <m/>
    <m/>
    <m/>
    <m/>
    <n v="0"/>
    <n v="10000"/>
    <n v="70000000"/>
    <m/>
  </r>
  <r>
    <s v="166B/2019"/>
    <d v="2019-05-19T00:00:00"/>
    <s v="THANH THÚY"/>
    <s v="TH14"/>
    <x v="63"/>
    <x v="24"/>
    <s v="DALIAN"/>
    <m/>
    <s v="14.16"/>
    <s v="300"/>
    <s v="NL2018"/>
    <m/>
    <n v="18"/>
    <n v="5400"/>
    <x v="6"/>
    <n v="29160000"/>
    <x v="0"/>
    <x v="1"/>
    <d v="2019-05-21T00:00:00"/>
    <d v="2019-05-21T00:00:00"/>
    <s v="17/4AL"/>
    <m/>
    <m/>
    <m/>
    <d v="2019-06-20T00:00:00"/>
    <n v="5400"/>
    <m/>
    <m/>
    <m/>
    <m/>
    <m/>
    <m/>
    <n v="5400"/>
    <n v="0"/>
    <n v="0"/>
    <m/>
  </r>
  <r>
    <s v="166B/2019"/>
    <d v="2019-04-18T00:00:00"/>
    <s v="THANH THÚY"/>
    <s v="TH14"/>
    <x v="63"/>
    <x v="24"/>
    <s v="DALIAN"/>
    <m/>
    <s v="14.16"/>
    <s v="300"/>
    <s v="NL2018"/>
    <m/>
    <n v="17"/>
    <n v="5100"/>
    <x v="6"/>
    <n v="27540000"/>
    <x v="4"/>
    <x v="4"/>
    <d v="2019-07-17T00:00:00"/>
    <d v="2019-07-17T00:00:00"/>
    <s v="15/6AL"/>
    <m/>
    <m/>
    <m/>
    <m/>
    <m/>
    <m/>
    <m/>
    <m/>
    <m/>
    <m/>
    <m/>
    <n v="0"/>
    <n v="5100"/>
    <n v="27540000"/>
    <m/>
  </r>
  <r>
    <s v="166B/2019"/>
    <d v="2019-06-15T00:00:00"/>
    <s v="THANH THÚY"/>
    <s v="TH14"/>
    <x v="63"/>
    <x v="24"/>
    <s v="DALIAN"/>
    <m/>
    <s v="14.16"/>
    <s v="300"/>
    <s v="NL2018"/>
    <m/>
    <n v="17"/>
    <n v="5100"/>
    <x v="55"/>
    <n v="28560000"/>
    <x v="2"/>
    <x v="20"/>
    <d v="2019-07-27T00:00:00"/>
    <d v="2019-07-27T00:00:00"/>
    <m/>
    <m/>
    <m/>
    <m/>
    <m/>
    <m/>
    <m/>
    <m/>
    <m/>
    <m/>
    <m/>
    <m/>
    <n v="0"/>
    <n v="5100"/>
    <n v="28560000"/>
    <m/>
  </r>
  <r>
    <s v="167B/2019"/>
    <d v="2019-04-18T00:00:00"/>
    <s v="THANH THÚY"/>
    <s v="TH14"/>
    <x v="63"/>
    <x v="62"/>
    <s v="DALIAN"/>
    <m/>
    <s v="20.22"/>
    <s v="125"/>
    <s v="NL2018"/>
    <m/>
    <n v="40"/>
    <n v="5000"/>
    <x v="124"/>
    <n v="71500000"/>
    <x v="2"/>
    <x v="2"/>
    <d v="2019-09-29T00:00:00"/>
    <d v="2019-09-29T00:00:00"/>
    <s v="TẾT"/>
    <m/>
    <m/>
    <m/>
    <m/>
    <n v="0"/>
    <m/>
    <m/>
    <m/>
    <m/>
    <m/>
    <m/>
    <n v="0"/>
    <n v="5000"/>
    <n v="71500000"/>
    <m/>
  </r>
  <r>
    <s v="167B/2019"/>
    <d v="2019-04-18T00:00:00"/>
    <s v="THANH THÚY"/>
    <s v="TH14"/>
    <x v="63"/>
    <x v="8"/>
    <s v="CONCADOR"/>
    <m/>
    <s v="18.20"/>
    <s v="150"/>
    <s v="NL2018"/>
    <m/>
    <n v="0"/>
    <n v="0"/>
    <x v="9"/>
    <n v="0"/>
    <x v="1"/>
    <x v="2"/>
    <d v="2019-09-29T00:00:00"/>
    <d v="2019-09-29T00:00:00"/>
    <s v="TẾT"/>
    <m/>
    <m/>
    <m/>
    <m/>
    <n v="0"/>
    <m/>
    <m/>
    <m/>
    <m/>
    <m/>
    <m/>
    <n v="0"/>
    <n v="0"/>
    <n v="0"/>
    <m/>
  </r>
  <r>
    <s v="167B/2019"/>
    <d v="2019-04-18T00:00:00"/>
    <s v="THANH THÚY"/>
    <s v="TH14"/>
    <x v="63"/>
    <x v="7"/>
    <s v="CONCADOR"/>
    <m/>
    <s v="20.22"/>
    <s v="125"/>
    <s v="NL2018"/>
    <m/>
    <n v="104"/>
    <n v="13000"/>
    <x v="35"/>
    <n v="137800000"/>
    <x v="2"/>
    <x v="2"/>
    <d v="2019-09-29T00:00:00"/>
    <d v="2019-09-29T00:00:00"/>
    <s v="TẾT"/>
    <m/>
    <m/>
    <m/>
    <m/>
    <n v="0"/>
    <m/>
    <m/>
    <m/>
    <m/>
    <m/>
    <m/>
    <n v="0"/>
    <n v="13000"/>
    <n v="137800000"/>
    <m/>
  </r>
  <r>
    <s v="166B/2019"/>
    <d v="2019-04-18T00:00:00"/>
    <s v="THANH THÚY"/>
    <s v="TH14"/>
    <x v="63"/>
    <x v="13"/>
    <s v="BACARDI"/>
    <m/>
    <s v="15.16"/>
    <s v="300"/>
    <s v="NL2018"/>
    <m/>
    <n v="34"/>
    <n v="10200"/>
    <x v="14"/>
    <n v="45900000"/>
    <x v="3"/>
    <x v="1"/>
    <d v="2019-05-21T00:00:00"/>
    <d v="2019-05-21T00:00:00"/>
    <s v="17/4AL"/>
    <m/>
    <m/>
    <m/>
    <d v="2019-05-20T00:00:00"/>
    <n v="3900"/>
    <d v="2019-06-15T00:00:00"/>
    <s v="4200"/>
    <m/>
    <m/>
    <m/>
    <m/>
    <n v="8100"/>
    <n v="2100"/>
    <n v="9450000"/>
    <m/>
  </r>
  <r>
    <s v="166B/2019"/>
    <d v="2019-04-18T00:00:00"/>
    <s v="THANH THÚY"/>
    <s v="TH14"/>
    <x v="63"/>
    <x v="13"/>
    <s v="BACARDI"/>
    <m/>
    <s v="15.16"/>
    <s v="300"/>
    <s v="NL2018"/>
    <m/>
    <n v="0"/>
    <n v="0"/>
    <x v="14"/>
    <n v="0"/>
    <x v="1"/>
    <x v="5"/>
    <d v="2019-04-19T00:00:00"/>
    <d v="2019-04-19T00:00:00"/>
    <s v="15/3AL"/>
    <m/>
    <m/>
    <m/>
    <m/>
    <n v="0"/>
    <m/>
    <m/>
    <m/>
    <m/>
    <m/>
    <m/>
    <n v="0"/>
    <n v="0"/>
    <n v="0"/>
    <m/>
  </r>
  <r>
    <s v="166B/2019"/>
    <d v="2019-04-18T00:00:00"/>
    <s v="THANH THÚY"/>
    <s v="TH14"/>
    <x v="63"/>
    <x v="56"/>
    <s v="ALUSTA"/>
    <m/>
    <s v="14.16"/>
    <s v="300"/>
    <s v="NL2018"/>
    <m/>
    <n v="2"/>
    <n v="600"/>
    <x v="45"/>
    <n v="2400000"/>
    <x v="0"/>
    <x v="26"/>
    <s v=""/>
    <s v=""/>
    <m/>
    <m/>
    <m/>
    <m/>
    <d v="2019-04-18T00:00:00"/>
    <n v="600"/>
    <m/>
    <m/>
    <m/>
    <m/>
    <m/>
    <m/>
    <n v="600"/>
    <n v="0"/>
    <n v="0"/>
    <m/>
  </r>
  <r>
    <s v="44B/2019"/>
    <d v="2019-02-12T00:00:00"/>
    <s v="THANH THÚY"/>
    <s v="VD04"/>
    <x v="64"/>
    <x v="69"/>
    <s v="YELLOWEEN"/>
    <m/>
    <s v="16.18"/>
    <n v="200"/>
    <s v="NL2017"/>
    <m/>
    <n v="25"/>
    <n v="5000"/>
    <x v="64"/>
    <n v="19000000"/>
    <x v="0"/>
    <x v="55"/>
    <d v="2019-03-07T00:00:00"/>
    <d v="2019-03-07T00:00:00"/>
    <s v="28/1AL"/>
    <m/>
    <m/>
    <m/>
    <d v="2019-03-06T00:00:00"/>
    <n v="5000"/>
    <m/>
    <m/>
    <m/>
    <m/>
    <m/>
    <m/>
    <n v="5000"/>
    <n v="0"/>
    <n v="0"/>
    <d v="2020-01-05T00:00:00"/>
  </r>
  <r>
    <s v="137B/2019"/>
    <d v="2019-06-15T00:00:00"/>
    <s v="THANH THÚY"/>
    <s v="VD04"/>
    <x v="64"/>
    <x v="78"/>
    <s v="YELLOWEEN"/>
    <m/>
    <s v="14.16"/>
    <n v="300"/>
    <s v="NL2018"/>
    <m/>
    <n v="67"/>
    <n v="20100"/>
    <x v="45"/>
    <n v="80400000"/>
    <x v="4"/>
    <x v="4"/>
    <d v="2019-07-17T00:00:00"/>
    <d v="2019-07-17T00:00:00"/>
    <m/>
    <m/>
    <m/>
    <m/>
    <m/>
    <m/>
    <m/>
    <m/>
    <m/>
    <m/>
    <m/>
    <m/>
    <n v="0"/>
    <n v="20100"/>
    <n v="80400000"/>
    <m/>
  </r>
  <r>
    <s v="137B/2019"/>
    <d v="2019-06-15T00:00:00"/>
    <s v="THANH THÚY"/>
    <s v="VD04"/>
    <x v="64"/>
    <x v="78"/>
    <s v="YELLOWEEN"/>
    <m/>
    <s v="14.16"/>
    <n v="300"/>
    <s v="NL2018"/>
    <m/>
    <n v="67"/>
    <n v="20100"/>
    <x v="45"/>
    <n v="80400000"/>
    <x v="2"/>
    <x v="40"/>
    <d v="2019-08-15T00:00:00"/>
    <d v="2019-08-15T00:00:00"/>
    <m/>
    <m/>
    <m/>
    <m/>
    <m/>
    <m/>
    <m/>
    <m/>
    <m/>
    <m/>
    <m/>
    <m/>
    <n v="0"/>
    <n v="20100"/>
    <n v="80400000"/>
    <m/>
  </r>
  <r>
    <s v="137B/2019"/>
    <d v="2019-06-15T00:00:00"/>
    <s v="THANH THÚY"/>
    <s v="VD04"/>
    <x v="64"/>
    <x v="78"/>
    <s v="YELLOWEEN"/>
    <m/>
    <s v="14.16"/>
    <n v="300"/>
    <s v="NL2018"/>
    <m/>
    <n v="67"/>
    <n v="20100"/>
    <x v="38"/>
    <n v="82410000"/>
    <x v="2"/>
    <x v="56"/>
    <d v="2019-09-13T00:00:00"/>
    <d v="2019-09-13T00:00:00"/>
    <m/>
    <m/>
    <m/>
    <m/>
    <m/>
    <m/>
    <m/>
    <m/>
    <m/>
    <m/>
    <m/>
    <m/>
    <n v="0"/>
    <n v="20100"/>
    <n v="82410000"/>
    <m/>
  </r>
  <r>
    <s v="137B/2019"/>
    <d v="2019-03-30T00:00:00"/>
    <s v="THANH THÚY"/>
    <s v="VD04"/>
    <x v="64"/>
    <x v="35"/>
    <s v="TARRANGO"/>
    <m/>
    <s v="14.16"/>
    <n v="300"/>
    <s v="NL2018"/>
    <m/>
    <n v="33"/>
    <n v="9900"/>
    <x v="29"/>
    <n v="45540000"/>
    <x v="0"/>
    <x v="5"/>
    <d v="2019-04-19T00:00:00"/>
    <d v="2019-04-19T00:00:00"/>
    <s v="15/3AL"/>
    <m/>
    <m/>
    <m/>
    <d v="2019-05-17T00:00:00"/>
    <n v="9900"/>
    <m/>
    <m/>
    <m/>
    <m/>
    <m/>
    <m/>
    <n v="9900"/>
    <n v="0"/>
    <n v="0"/>
    <d v="2020-01-05T00:00:00"/>
  </r>
  <r>
    <s v="44B/2019"/>
    <d v="2019-02-12T00:00:00"/>
    <s v="THANH THÚY"/>
    <s v="VD04"/>
    <x v="64"/>
    <x v="51"/>
    <s v="COMPETITION"/>
    <m/>
    <s v="16.18"/>
    <n v="200"/>
    <s v="NL2018"/>
    <m/>
    <n v="100"/>
    <n v="20000"/>
    <x v="32"/>
    <n v="134000000"/>
    <x v="0"/>
    <x v="0"/>
    <d v="2019-03-20T00:00:00"/>
    <d v="2019-03-20T00:00:00"/>
    <s v="15/2AL"/>
    <s v="CONT 9/2019"/>
    <m/>
    <m/>
    <d v="2019-03-19T00:00:00"/>
    <n v="5000"/>
    <d v="2019-03-28T00:00:00"/>
    <n v="15000"/>
    <m/>
    <m/>
    <m/>
    <m/>
    <n v="20000"/>
    <n v="0"/>
    <n v="0"/>
    <d v="2020-01-05T00:00:00"/>
  </r>
  <r>
    <s v="210A/2019"/>
    <d v="2019-05-09T00:00:00"/>
    <s v="KIỀU THY"/>
    <s v="AT05"/>
    <x v="65"/>
    <x v="17"/>
    <s v="THALITA"/>
    <s v="RL"/>
    <s v="12.14"/>
    <s v="400"/>
    <s v="NL2018"/>
    <m/>
    <n v="0"/>
    <n v="0"/>
    <x v="21"/>
    <n v="0"/>
    <x v="1"/>
    <x v="57"/>
    <d v="2019-12-20T00:00:00"/>
    <d v="2019-12-20T00:00:00"/>
    <m/>
    <m/>
    <m/>
    <m/>
    <m/>
    <m/>
    <m/>
    <m/>
    <m/>
    <m/>
    <m/>
    <m/>
    <n v="0"/>
    <n v="0"/>
    <n v="0"/>
    <m/>
  </r>
  <r>
    <s v="212A/2019"/>
    <d v="2019-05-02T00:00:00"/>
    <s v="KIỀU THY"/>
    <s v="AT05"/>
    <x v="65"/>
    <x v="121"/>
    <s v="TATSJANA"/>
    <s v="RL"/>
    <s v="14.16"/>
    <s v="300"/>
    <s v="NL2018"/>
    <m/>
    <n v="0"/>
    <n v="0"/>
    <x v="118"/>
    <n v="0"/>
    <x v="1"/>
    <x v="2"/>
    <d v="2019-09-29T00:00:00"/>
    <d v="2019-09-29T00:00:00"/>
    <s v="TẾT"/>
    <m/>
    <m/>
    <m/>
    <m/>
    <m/>
    <m/>
    <m/>
    <m/>
    <m/>
    <m/>
    <m/>
    <n v="0"/>
    <n v="0"/>
    <n v="0"/>
    <m/>
  </r>
  <r>
    <s v="210A/2019"/>
    <d v="2019-05-02T00:00:00"/>
    <s v="KIỀU THY"/>
    <s v="AT05"/>
    <x v="65"/>
    <x v="3"/>
    <s v="ROBINA"/>
    <m/>
    <s v="16.18"/>
    <s v="200"/>
    <s v="NL2018"/>
    <m/>
    <n v="70"/>
    <n v="14000"/>
    <x v="10"/>
    <n v="77000000"/>
    <x v="3"/>
    <x v="3"/>
    <d v="2019-06-20T00:00:00"/>
    <d v="2019-06-20T00:00:00"/>
    <s v="5/5AL_1 lần trồng 8.000 cách nhau 15 ngay"/>
    <m/>
    <m/>
    <m/>
    <m/>
    <m/>
    <m/>
    <m/>
    <m/>
    <m/>
    <m/>
    <m/>
    <n v="0"/>
    <n v="14000"/>
    <n v="77000000"/>
    <m/>
  </r>
  <r>
    <s v="210A/2019"/>
    <d v="2019-05-02T00:00:00"/>
    <s v="KIỀU THY"/>
    <s v="AT05"/>
    <x v="65"/>
    <x v="3"/>
    <s v="ROBINA"/>
    <m/>
    <s v="16.18"/>
    <s v="200"/>
    <s v="NL2018"/>
    <m/>
    <n v="70"/>
    <n v="14000"/>
    <x v="55"/>
    <n v="78400000"/>
    <x v="4"/>
    <x v="4"/>
    <d v="2019-07-17T00:00:00"/>
    <d v="2019-07-17T00:00:00"/>
    <m/>
    <m/>
    <m/>
    <m/>
    <m/>
    <m/>
    <m/>
    <m/>
    <m/>
    <m/>
    <m/>
    <m/>
    <n v="0"/>
    <n v="14000"/>
    <n v="78400000"/>
    <m/>
  </r>
  <r>
    <s v="210A/2019"/>
    <d v="2019-05-02T00:00:00"/>
    <s v="KIỀU THY"/>
    <s v="AT05"/>
    <x v="65"/>
    <x v="3"/>
    <s v="ROBINA"/>
    <m/>
    <s v="16.18"/>
    <s v="200"/>
    <s v="NL2018"/>
    <m/>
    <n v="35"/>
    <n v="7000"/>
    <x v="55"/>
    <n v="39200000"/>
    <x v="2"/>
    <x v="49"/>
    <d v="2019-08-10T00:00:00"/>
    <d v="2019-08-10T00:00:00"/>
    <m/>
    <m/>
    <m/>
    <m/>
    <m/>
    <m/>
    <m/>
    <m/>
    <m/>
    <m/>
    <m/>
    <m/>
    <n v="0"/>
    <n v="7000"/>
    <n v="39200000"/>
    <m/>
  </r>
  <r>
    <s v="210A/2019"/>
    <d v="2019-05-09T00:00:00"/>
    <s v="KIỀU THY"/>
    <s v="AT05"/>
    <x v="65"/>
    <x v="3"/>
    <s v="ROBINA"/>
    <m/>
    <s v="16.18"/>
    <s v="200"/>
    <s v="NL2018"/>
    <m/>
    <n v="50"/>
    <n v="10000"/>
    <x v="51"/>
    <n v="60000000"/>
    <x v="2"/>
    <x v="57"/>
    <d v="2019-12-20T00:00:00"/>
    <d v="2019-12-20T00:00:00"/>
    <m/>
    <m/>
    <m/>
    <m/>
    <m/>
    <m/>
    <m/>
    <m/>
    <m/>
    <m/>
    <m/>
    <m/>
    <n v="0"/>
    <n v="10000"/>
    <n v="60000000"/>
    <m/>
  </r>
  <r>
    <s v="212A/2019"/>
    <d v="2019-05-02T00:00:00"/>
    <s v="KIỀU THY"/>
    <s v="AT05"/>
    <x v="65"/>
    <x v="4"/>
    <s v="ROBINA"/>
    <m/>
    <s v="20.22"/>
    <s v="125"/>
    <s v="NL2018"/>
    <m/>
    <n v="80"/>
    <n v="10000"/>
    <x v="34"/>
    <n v="107000000"/>
    <x v="2"/>
    <x v="2"/>
    <d v="2019-09-29T00:00:00"/>
    <d v="2019-09-29T00:00:00"/>
    <s v="TẾT"/>
    <m/>
    <m/>
    <m/>
    <m/>
    <m/>
    <m/>
    <m/>
    <m/>
    <m/>
    <m/>
    <m/>
    <n v="0"/>
    <n v="10000"/>
    <n v="107000000"/>
    <m/>
  </r>
  <r>
    <s v="212A/2019"/>
    <d v="2019-05-02T00:00:00"/>
    <s v="KIỀU THY"/>
    <s v="AT05"/>
    <x v="65"/>
    <x v="89"/>
    <s v="PROFUNDO"/>
    <m/>
    <s v="18.20"/>
    <s v="150"/>
    <s v="NL2018"/>
    <m/>
    <n v="34"/>
    <n v="5100"/>
    <x v="62"/>
    <n v="55590000"/>
    <x v="2"/>
    <x v="2"/>
    <d v="2019-09-29T00:00:00"/>
    <d v="2019-09-29T00:00:00"/>
    <s v="TẾT"/>
    <m/>
    <m/>
    <m/>
    <m/>
    <m/>
    <m/>
    <m/>
    <m/>
    <m/>
    <m/>
    <m/>
    <n v="0"/>
    <n v="5100"/>
    <n v="55590000"/>
    <m/>
  </r>
  <r>
    <s v="210A/2019"/>
    <d v="2019-05-02T00:00:00"/>
    <s v="KIỀU THY"/>
    <s v="AT05"/>
    <x v="65"/>
    <x v="76"/>
    <s v="NATALIA"/>
    <s v="RL"/>
    <n v="12.14"/>
    <s v="400"/>
    <s v="NL2018"/>
    <m/>
    <n v="1"/>
    <n v="400"/>
    <x v="16"/>
    <n v="3440000"/>
    <x v="3"/>
    <x v="3"/>
    <d v="2019-06-20T00:00:00"/>
    <d v="2019-06-20T00:00:00"/>
    <s v="5/5AL_1 lần trồng 8.000 cách nhau 15 ngay"/>
    <m/>
    <m/>
    <m/>
    <m/>
    <m/>
    <m/>
    <m/>
    <m/>
    <m/>
    <m/>
    <m/>
    <n v="0"/>
    <n v="400"/>
    <n v="3440000"/>
    <m/>
  </r>
  <r>
    <s v="210A/2019"/>
    <d v="2019-05-02T00:00:00"/>
    <s v="KIỀU THY"/>
    <s v="AT05"/>
    <x v="65"/>
    <x v="76"/>
    <s v="NATALIA"/>
    <s v="RL"/>
    <n v="12.14"/>
    <s v="400"/>
    <s v="NL2018"/>
    <m/>
    <n v="0"/>
    <n v="0"/>
    <x v="17"/>
    <n v="0"/>
    <x v="1"/>
    <x v="4"/>
    <d v="2019-07-17T00:00:00"/>
    <d v="2019-07-17T00:00:00"/>
    <m/>
    <m/>
    <m/>
    <m/>
    <m/>
    <m/>
    <m/>
    <m/>
    <m/>
    <m/>
    <m/>
    <m/>
    <n v="0"/>
    <n v="0"/>
    <n v="0"/>
    <m/>
  </r>
  <r>
    <s v="210A/2019"/>
    <d v="2019-05-02T00:00:00"/>
    <s v="KIỀU THY"/>
    <s v="AT05"/>
    <x v="65"/>
    <x v="76"/>
    <s v="NATALIA"/>
    <s v="RL"/>
    <n v="12.14"/>
    <s v="400"/>
    <s v="NL2018"/>
    <m/>
    <n v="0"/>
    <n v="0"/>
    <x v="17"/>
    <n v="0"/>
    <x v="1"/>
    <x v="49"/>
    <d v="2019-08-10T00:00:00"/>
    <d v="2019-08-10T00:00:00"/>
    <m/>
    <m/>
    <m/>
    <m/>
    <m/>
    <m/>
    <m/>
    <m/>
    <m/>
    <m/>
    <m/>
    <m/>
    <n v="0"/>
    <n v="0"/>
    <n v="0"/>
    <m/>
  </r>
  <r>
    <s v="212A/2019"/>
    <d v="2019-05-02T00:00:00"/>
    <s v="KIỀU THY"/>
    <s v="AT05"/>
    <x v="65"/>
    <x v="76"/>
    <s v="NATALIA"/>
    <s v="RL"/>
    <s v="12.14"/>
    <s v="400"/>
    <s v="NL2018"/>
    <m/>
    <n v="0"/>
    <n v="0"/>
    <x v="20"/>
    <n v="0"/>
    <x v="1"/>
    <x v="2"/>
    <d v="2019-09-29T00:00:00"/>
    <d v="2019-09-29T00:00:00"/>
    <s v="TẾT"/>
    <m/>
    <m/>
    <m/>
    <m/>
    <m/>
    <m/>
    <m/>
    <m/>
    <m/>
    <m/>
    <m/>
    <n v="0"/>
    <n v="0"/>
    <n v="0"/>
    <m/>
  </r>
  <r>
    <s v="36A/2019"/>
    <d v="2019-02-09T00:00:00"/>
    <s v="KIỀU THY"/>
    <s v="NB01"/>
    <x v="66"/>
    <x v="0"/>
    <s v="YELLOWEEN"/>
    <m/>
    <s v="12.14"/>
    <n v="400"/>
    <s v="NL2018"/>
    <m/>
    <n v="15"/>
    <n v="6000"/>
    <x v="0"/>
    <n v="15600000"/>
    <x v="0"/>
    <x v="29"/>
    <d v="2019-02-20T00:00:00"/>
    <d v="2019-02-20T00:00:00"/>
    <s v="16/1AL"/>
    <m/>
    <m/>
    <s v="R"/>
    <d v="2019-02-20T00:00:00"/>
    <n v="6000"/>
    <m/>
    <m/>
    <m/>
    <m/>
    <m/>
    <m/>
    <n v="6000"/>
    <n v="0"/>
    <n v="0"/>
    <m/>
  </r>
  <r>
    <s v="36A/2019"/>
    <d v="2019-02-09T00:00:00"/>
    <s v="KIỀU THY"/>
    <s v="NB01"/>
    <x v="66"/>
    <x v="0"/>
    <s v="YELLOWEEN"/>
    <m/>
    <s v="12.14"/>
    <n v="400"/>
    <s v="NL2018"/>
    <m/>
    <n v="15"/>
    <n v="6000"/>
    <x v="0"/>
    <n v="15600000"/>
    <x v="0"/>
    <x v="58"/>
    <d v="2019-03-04T00:00:00"/>
    <d v="2019-03-04T00:00:00"/>
    <s v="28/1AL"/>
    <m/>
    <m/>
    <s v="R"/>
    <d v="2019-03-04T00:00:00"/>
    <n v="6000"/>
    <m/>
    <m/>
    <m/>
    <m/>
    <m/>
    <m/>
    <n v="6000"/>
    <n v="0"/>
    <n v="0"/>
    <m/>
  </r>
  <r>
    <s v="36A/2019"/>
    <d v="2019-02-09T00:00:00"/>
    <s v="KIỀU THY"/>
    <s v="NB01"/>
    <x v="66"/>
    <x v="0"/>
    <s v="YELLOWEEN"/>
    <m/>
    <s v="12.14"/>
    <n v="400"/>
    <s v="NL2018"/>
    <m/>
    <n v="8"/>
    <n v="3200"/>
    <x v="0"/>
    <n v="8320000"/>
    <x v="0"/>
    <x v="0"/>
    <d v="2019-03-20T00:00:00"/>
    <d v="2019-03-20T00:00:00"/>
    <s v="15/02AL"/>
    <s v="CONT 12/2019"/>
    <d v="2019-03-17T00:00:00"/>
    <m/>
    <d v="2019-05-02T00:00:00"/>
    <n v="3200"/>
    <m/>
    <m/>
    <m/>
    <m/>
    <m/>
    <m/>
    <n v="3200"/>
    <n v="0"/>
    <n v="0"/>
    <m/>
  </r>
  <r>
    <s v="36A/2019"/>
    <d v="2019-02-09T00:00:00"/>
    <s v="KIỀU THY"/>
    <s v="NB01"/>
    <x v="66"/>
    <x v="0"/>
    <s v="YELLOWEEN"/>
    <m/>
    <s v="12.14"/>
    <n v="400"/>
    <s v="NL2018"/>
    <m/>
    <n v="15"/>
    <n v="6000"/>
    <x v="0"/>
    <n v="15600000"/>
    <x v="0"/>
    <x v="17"/>
    <d v="2019-04-02T00:00:00"/>
    <d v="2019-04-02T00:00:00"/>
    <s v="28/2AL"/>
    <s v="CONT 18/2019"/>
    <d v="2019-03-31T00:00:00"/>
    <s v="R"/>
    <d v="2019-04-17T00:00:00"/>
    <n v="6000"/>
    <m/>
    <m/>
    <m/>
    <m/>
    <m/>
    <m/>
    <n v="6000"/>
    <n v="0"/>
    <n v="0"/>
    <s v="CHECK LAI SL"/>
  </r>
  <r>
    <s v="36A/2019"/>
    <d v="2019-02-09T00:00:00"/>
    <s v="KIỀU THY"/>
    <s v="NB01"/>
    <x v="66"/>
    <x v="0"/>
    <s v="YELLOWEEN"/>
    <m/>
    <s v="12.14"/>
    <n v="400"/>
    <s v="NL2018"/>
    <m/>
    <n v="15"/>
    <n v="6000"/>
    <x v="0"/>
    <n v="15600000"/>
    <x v="0"/>
    <x v="5"/>
    <d v="2019-04-19T00:00:00"/>
    <d v="2019-04-19T00:00:00"/>
    <s v="15/3AL"/>
    <s v="CONT 24/2019"/>
    <d v="2019-04-14T00:00:00"/>
    <s v="R"/>
    <d v="2019-04-03T00:00:00"/>
    <n v="6000"/>
    <m/>
    <m/>
    <m/>
    <m/>
    <m/>
    <m/>
    <n v="6000"/>
    <n v="0"/>
    <n v="0"/>
    <s v="CHECK LAI SL"/>
  </r>
  <r>
    <s v="36A/2019"/>
    <d v="2019-02-09T00:00:00"/>
    <s v="KIỀU THY"/>
    <s v="NB01"/>
    <x v="66"/>
    <x v="0"/>
    <s v="YELLOWEEN"/>
    <m/>
    <s v="12.14"/>
    <n v="400"/>
    <s v="NL2018"/>
    <m/>
    <n v="8"/>
    <n v="3200"/>
    <x v="0"/>
    <n v="8320000"/>
    <x v="0"/>
    <x v="5"/>
    <d v="2019-04-19T00:00:00"/>
    <d v="2019-04-19T00:00:00"/>
    <s v="15/3AL"/>
    <s v="CONT 24/2019"/>
    <d v="2019-04-14T00:00:00"/>
    <s v="R"/>
    <d v="2019-03-20T00:00:00"/>
    <n v="3200"/>
    <m/>
    <m/>
    <m/>
    <m/>
    <m/>
    <m/>
    <n v="3200"/>
    <n v="0"/>
    <n v="0"/>
    <m/>
  </r>
  <r>
    <s v="36A/2019"/>
    <d v="2019-04-25T00:00:00"/>
    <s v="KIỀU THY"/>
    <s v="NB01"/>
    <x v="66"/>
    <x v="0"/>
    <s v="YELLOWEEN"/>
    <m/>
    <s v="12.14"/>
    <n v="400"/>
    <s v="NL2018"/>
    <m/>
    <n v="25"/>
    <n v="10000"/>
    <x v="37"/>
    <n v="28000000"/>
    <x v="0"/>
    <x v="5"/>
    <d v="2019-04-19T00:00:00"/>
    <d v="2019-04-19T00:00:00"/>
    <s v="15/3AL"/>
    <m/>
    <m/>
    <m/>
    <d v="2019-05-02T00:00:00"/>
    <n v="3200"/>
    <d v="2019-06-03T00:00:00"/>
    <n v="6800"/>
    <m/>
    <m/>
    <m/>
    <m/>
    <n v="10000"/>
    <n v="0"/>
    <n v="0"/>
    <m/>
  </r>
  <r>
    <s v="36A/2019"/>
    <d v="2019-05-06T00:00:00"/>
    <s v="KIỀU THY"/>
    <s v="NB01"/>
    <x v="66"/>
    <x v="0"/>
    <s v="YELLOWEEN"/>
    <m/>
    <s v="12.14"/>
    <n v="400"/>
    <s v="NL2018"/>
    <m/>
    <n v="13"/>
    <n v="5200"/>
    <x v="37"/>
    <n v="14560000"/>
    <x v="0"/>
    <x v="1"/>
    <d v="2019-05-21T00:00:00"/>
    <d v="2019-05-21T00:00:00"/>
    <m/>
    <m/>
    <m/>
    <m/>
    <d v="2019-05-17T00:00:00"/>
    <n v="5200"/>
    <m/>
    <m/>
    <m/>
    <m/>
    <m/>
    <m/>
    <n v="5200"/>
    <n v="0"/>
    <n v="0"/>
    <m/>
  </r>
  <r>
    <s v="36A/2019"/>
    <d v="2019-06-17T00:00:00"/>
    <s v="KIỀU THY"/>
    <s v="NB01"/>
    <x v="66"/>
    <x v="0"/>
    <s v="YELLOWEEN"/>
    <m/>
    <s v="12.14"/>
    <n v="400"/>
    <s v="NL2018"/>
    <m/>
    <n v="13"/>
    <n v="5200"/>
    <x v="37"/>
    <n v="14560000"/>
    <x v="0"/>
    <x v="21"/>
    <d v="2019-07-19T00:00:00"/>
    <d v="2019-07-19T00:00:00"/>
    <m/>
    <m/>
    <m/>
    <m/>
    <d v="2019-06-17T00:00:00"/>
    <n v="5200"/>
    <m/>
    <m/>
    <m/>
    <m/>
    <m/>
    <m/>
    <n v="5200"/>
    <n v="0"/>
    <n v="0"/>
    <m/>
  </r>
  <r>
    <s v="36A/2019"/>
    <d v="2019-05-06T00:00:00"/>
    <s v="KIỀU THY"/>
    <s v="NB01"/>
    <x v="66"/>
    <x v="0"/>
    <s v="YELLOWEEN"/>
    <m/>
    <s v="12.14"/>
    <n v="400"/>
    <s v="NL2018"/>
    <m/>
    <n v="25"/>
    <n v="10000"/>
    <x v="37"/>
    <n v="28000000"/>
    <x v="4"/>
    <x v="4"/>
    <d v="2019-07-17T00:00:00"/>
    <d v="2019-07-17T00:00:00"/>
    <m/>
    <m/>
    <m/>
    <m/>
    <m/>
    <m/>
    <m/>
    <m/>
    <m/>
    <m/>
    <m/>
    <m/>
    <n v="0"/>
    <n v="10000"/>
    <n v="28000000"/>
    <m/>
  </r>
  <r>
    <s v="36A/2019"/>
    <d v="2019-06-18T00:00:00"/>
    <s v="KIỀU THY"/>
    <s v="NB01"/>
    <x v="66"/>
    <x v="78"/>
    <s v="YELLOWEEN"/>
    <m/>
    <s v="14.16"/>
    <n v="300"/>
    <s v="NL2018"/>
    <m/>
    <n v="27"/>
    <n v="8100"/>
    <x v="45"/>
    <n v="32400000"/>
    <x v="2"/>
    <x v="40"/>
    <d v="2019-08-15T00:00:00"/>
    <d v="2019-08-15T00:00:00"/>
    <m/>
    <m/>
    <m/>
    <m/>
    <m/>
    <m/>
    <m/>
    <m/>
    <m/>
    <m/>
    <m/>
    <m/>
    <n v="0"/>
    <n v="8100"/>
    <n v="32400000"/>
    <m/>
  </r>
  <r>
    <s v="36A/2019"/>
    <d v="2019-06-18T00:00:00"/>
    <s v="KIỀU THY"/>
    <s v="NB01"/>
    <x v="66"/>
    <x v="78"/>
    <s v="YELLOWEEN"/>
    <m/>
    <s v="14.16"/>
    <n v="300"/>
    <s v="NL2018"/>
    <m/>
    <n v="20"/>
    <n v="6000"/>
    <x v="45"/>
    <n v="24000000"/>
    <x v="2"/>
    <x v="59"/>
    <s v=""/>
    <s v=""/>
    <m/>
    <m/>
    <m/>
    <m/>
    <m/>
    <m/>
    <m/>
    <m/>
    <m/>
    <m/>
    <m/>
    <m/>
    <n v="0"/>
    <n v="6000"/>
    <n v="24000000"/>
    <m/>
  </r>
  <r>
    <s v="36A/2019"/>
    <d v="2019-06-18T00:00:00"/>
    <s v="KIỀU THY"/>
    <s v="NB01"/>
    <x v="66"/>
    <x v="78"/>
    <s v="YELLOWEEN"/>
    <m/>
    <s v="14.16"/>
    <n v="300"/>
    <s v="NL2018"/>
    <m/>
    <n v="34"/>
    <n v="10200"/>
    <x v="45"/>
    <n v="40800000"/>
    <x v="2"/>
    <x v="60"/>
    <s v=""/>
    <s v=""/>
    <m/>
    <m/>
    <m/>
    <m/>
    <m/>
    <m/>
    <m/>
    <m/>
    <m/>
    <m/>
    <m/>
    <m/>
    <n v="0"/>
    <n v="10200"/>
    <n v="40800000"/>
    <m/>
  </r>
  <r>
    <s v="36A/2019"/>
    <d v="2019-06-18T00:00:00"/>
    <s v="KIỀU THY"/>
    <s v="NB01"/>
    <x v="66"/>
    <x v="0"/>
    <s v="YELLOWEEN"/>
    <m/>
    <s v="12.14"/>
    <n v="400"/>
    <s v="NL2018"/>
    <m/>
    <n v="6"/>
    <n v="2400"/>
    <x v="37"/>
    <n v="6720000"/>
    <x v="0"/>
    <x v="61"/>
    <d v="2019-07-20T00:00:00"/>
    <d v="2019-07-20T00:00:00"/>
    <m/>
    <m/>
    <m/>
    <m/>
    <d v="2019-06-18T00:00:00"/>
    <n v="2400"/>
    <m/>
    <m/>
    <m/>
    <m/>
    <m/>
    <m/>
    <n v="2400"/>
    <n v="0"/>
    <n v="0"/>
    <m/>
  </r>
  <r>
    <s v="36A/2019"/>
    <d v="2019-06-18T00:00:00"/>
    <s v="KIỀU THY"/>
    <s v="NB01"/>
    <x v="66"/>
    <x v="78"/>
    <s v="YELLOWEEN"/>
    <m/>
    <s v="14.16"/>
    <n v="300"/>
    <s v="NL2018"/>
    <m/>
    <n v="8"/>
    <n v="2400"/>
    <x v="58"/>
    <n v="9360000"/>
    <x v="0"/>
    <x v="61"/>
    <d v="2019-07-20T00:00:00"/>
    <d v="2019-07-20T00:00:00"/>
    <m/>
    <m/>
    <m/>
    <m/>
    <d v="2019-06-18T00:00:00"/>
    <n v="2400"/>
    <m/>
    <m/>
    <m/>
    <m/>
    <m/>
    <m/>
    <n v="2400"/>
    <n v="0"/>
    <n v="0"/>
    <m/>
  </r>
  <r>
    <s v="136A/2019"/>
    <d v="2019-02-09T00:00:00"/>
    <s v="KIỀU THY"/>
    <s v="NB01"/>
    <x v="66"/>
    <x v="23"/>
    <s v="ROBINA"/>
    <m/>
    <s v="22.24"/>
    <n v="100"/>
    <s v="NL2018"/>
    <m/>
    <n v="100"/>
    <n v="10000"/>
    <x v="25"/>
    <n v="125000000"/>
    <x v="2"/>
    <x v="2"/>
    <d v="2019-09-29T00:00:00"/>
    <d v="2019-09-29T00:00:00"/>
    <s v="TẾT"/>
    <m/>
    <m/>
    <s v="R"/>
    <m/>
    <n v="0"/>
    <m/>
    <m/>
    <m/>
    <m/>
    <m/>
    <m/>
    <n v="0"/>
    <n v="10000"/>
    <n v="125000000"/>
    <m/>
  </r>
  <r>
    <s v="36A/2019"/>
    <d v="2019-02-09T00:00:00"/>
    <s v="KIỀU THY"/>
    <s v="NB01"/>
    <x v="66"/>
    <x v="3"/>
    <s v="ROBINA"/>
    <m/>
    <s v="16.18"/>
    <n v="200"/>
    <s v="NL2018"/>
    <m/>
    <n v="15"/>
    <n v="3000"/>
    <x v="8"/>
    <n v="15000000"/>
    <x v="0"/>
    <x v="0"/>
    <d v="2019-03-20T00:00:00"/>
    <d v="2019-03-20T00:00:00"/>
    <s v="15/02AL"/>
    <s v="CONT 11/2019"/>
    <d v="2019-03-17T00:00:00"/>
    <m/>
    <d v="2019-03-27T00:00:00"/>
    <n v="3000"/>
    <m/>
    <m/>
    <m/>
    <m/>
    <m/>
    <m/>
    <n v="3000"/>
    <n v="0"/>
    <n v="0"/>
    <m/>
  </r>
  <r>
    <s v="36A/2019"/>
    <d v="2019-02-09T00:00:00"/>
    <s v="KIỀU THY"/>
    <s v="NB01"/>
    <x v="66"/>
    <x v="3"/>
    <s v="ROBINA"/>
    <m/>
    <s v="16.18"/>
    <n v="200"/>
    <s v="NL2018"/>
    <m/>
    <n v="15"/>
    <n v="3000"/>
    <x v="8"/>
    <n v="15000000"/>
    <x v="0"/>
    <x v="17"/>
    <d v="2019-04-02T00:00:00"/>
    <d v="2019-04-02T00:00:00"/>
    <s v="28/2AL"/>
    <s v="CONT 18/2019"/>
    <d v="2019-03-31T00:00:00"/>
    <s v="R"/>
    <d v="2019-04-12T00:00:00"/>
    <n v="3000"/>
    <m/>
    <m/>
    <m/>
    <m/>
    <m/>
    <m/>
    <n v="3000"/>
    <n v="0"/>
    <n v="0"/>
    <m/>
  </r>
  <r>
    <s v="36A/2019"/>
    <d v="2019-02-09T00:00:00"/>
    <s v="KIỀU THY"/>
    <s v="NB01"/>
    <x v="66"/>
    <x v="3"/>
    <s v="ROBINA"/>
    <m/>
    <s v="16.18"/>
    <n v="200"/>
    <s v="NL2018"/>
    <m/>
    <n v="15"/>
    <n v="3000"/>
    <x v="8"/>
    <n v="15000000"/>
    <x v="0"/>
    <x v="5"/>
    <d v="2019-04-19T00:00:00"/>
    <d v="2019-04-19T00:00:00"/>
    <s v="15/3AL"/>
    <s v="CONT 26/2019"/>
    <d v="2019-04-14T00:00:00"/>
    <s v="R"/>
    <d v="2019-03-20T00:00:00"/>
    <n v="3000"/>
    <m/>
    <m/>
    <m/>
    <m/>
    <m/>
    <m/>
    <n v="3000"/>
    <n v="0"/>
    <n v="0"/>
    <s v="sai sl, 9k hay 3k"/>
  </r>
  <r>
    <s v="36A/2019"/>
    <d v="2019-02-09T00:00:00"/>
    <s v="KIỀU THY"/>
    <s v="NB01"/>
    <x v="66"/>
    <x v="3"/>
    <s v="ROBINA"/>
    <m/>
    <s v="16.18"/>
    <n v="200"/>
    <s v="NL2018"/>
    <m/>
    <n v="0"/>
    <n v="0"/>
    <x v="4"/>
    <n v="0"/>
    <x v="1"/>
    <x v="1"/>
    <d v="2019-05-21T00:00:00"/>
    <d v="2019-05-21T00:00:00"/>
    <s v="30/3AL"/>
    <m/>
    <m/>
    <s v="R"/>
    <m/>
    <n v="0"/>
    <m/>
    <m/>
    <m/>
    <m/>
    <m/>
    <m/>
    <n v="0"/>
    <n v="0"/>
    <n v="0"/>
    <m/>
  </r>
  <r>
    <s v="36A/2019"/>
    <d v="2019-05-29T00:00:00"/>
    <s v="KIỀU THY"/>
    <s v="NB01"/>
    <x v="66"/>
    <x v="3"/>
    <s v="ROBINA"/>
    <m/>
    <s v="16.18"/>
    <n v="200"/>
    <s v="NL2018"/>
    <m/>
    <n v="0"/>
    <n v="0"/>
    <x v="10"/>
    <n v="0"/>
    <x v="1"/>
    <x v="23"/>
    <d v="2019-06-22T00:00:00"/>
    <d v="2019-06-22T00:00:00"/>
    <m/>
    <m/>
    <m/>
    <m/>
    <m/>
    <m/>
    <m/>
    <m/>
    <m/>
    <m/>
    <m/>
    <m/>
    <n v="0"/>
    <n v="0"/>
    <n v="0"/>
    <m/>
  </r>
  <r>
    <s v="136A/2019"/>
    <d v="2019-02-09T00:00:00"/>
    <s v="KIỀU THY"/>
    <s v="NB01"/>
    <x v="66"/>
    <x v="67"/>
    <s v="MANISSA"/>
    <m/>
    <s v="22.24"/>
    <n v="100"/>
    <s v="NL2018"/>
    <m/>
    <n v="50"/>
    <n v="5000"/>
    <x v="15"/>
    <n v="76000000"/>
    <x v="2"/>
    <x v="2"/>
    <d v="2019-09-29T00:00:00"/>
    <d v="2019-09-29T00:00:00"/>
    <s v="TẾT"/>
    <m/>
    <m/>
    <s v="R"/>
    <m/>
    <n v="0"/>
    <m/>
    <m/>
    <m/>
    <m/>
    <m/>
    <m/>
    <n v="0"/>
    <n v="5000"/>
    <n v="76000000"/>
    <m/>
  </r>
  <r>
    <s v="36A/2019"/>
    <d v="2019-05-13T00:00:00"/>
    <s v="KIỀU THY"/>
    <s v="NB01"/>
    <x v="66"/>
    <x v="24"/>
    <s v="DALIAN"/>
    <m/>
    <s v="14.16"/>
    <n v="300"/>
    <s v="NL2018"/>
    <m/>
    <n v="10"/>
    <n v="3000"/>
    <x v="10"/>
    <n v="16500000"/>
    <x v="0"/>
    <x v="1"/>
    <d v="2019-05-21T00:00:00"/>
    <d v="2019-05-21T00:00:00"/>
    <m/>
    <m/>
    <m/>
    <m/>
    <d v="2019-05-17T00:00:00"/>
    <n v="3000"/>
    <m/>
    <m/>
    <m/>
    <m/>
    <m/>
    <m/>
    <n v="3000"/>
    <n v="0"/>
    <n v="0"/>
    <m/>
  </r>
  <r>
    <s v="136A/2019"/>
    <d v="2019-02-09T00:00:00"/>
    <s v="KIỀU THY"/>
    <s v="NB01"/>
    <x v="66"/>
    <x v="8"/>
    <s v="CONCADOR"/>
    <m/>
    <s v="18.20"/>
    <n v="150"/>
    <s v="NL2018"/>
    <m/>
    <n v="34"/>
    <n v="5100"/>
    <x v="56"/>
    <n v="36720000"/>
    <x v="2"/>
    <x v="2"/>
    <d v="2019-09-29T00:00:00"/>
    <d v="2019-09-29T00:00:00"/>
    <s v="TẾT"/>
    <m/>
    <m/>
    <s v="R"/>
    <m/>
    <n v="0"/>
    <m/>
    <m/>
    <m/>
    <m/>
    <m/>
    <m/>
    <n v="0"/>
    <n v="5100"/>
    <n v="36720000"/>
    <m/>
  </r>
  <r>
    <s v="189A/2019"/>
    <d v="2019-06-14T00:00:00"/>
    <s v="KIỀU THY"/>
    <s v="CT02"/>
    <x v="67"/>
    <x v="77"/>
    <s v="YELLOWEEN"/>
    <s v="DN"/>
    <n v="16.18"/>
    <s v="200"/>
    <s v="NL2018"/>
    <m/>
    <n v="20"/>
    <n v="4000"/>
    <x v="51"/>
    <n v="24000000"/>
    <x v="4"/>
    <x v="4"/>
    <d v="2019-07-17T00:00:00"/>
    <d v="2019-07-17T00:00:00"/>
    <m/>
    <m/>
    <m/>
    <m/>
    <m/>
    <m/>
    <m/>
    <m/>
    <m/>
    <m/>
    <m/>
    <m/>
    <n v="0"/>
    <n v="4000"/>
    <n v="24000000"/>
    <m/>
  </r>
  <r>
    <s v="189A/2019"/>
    <d v="2019-06-14T00:00:00"/>
    <s v="KIỀU THY"/>
    <s v="CT02"/>
    <x v="67"/>
    <x v="78"/>
    <s v="YELLOWEEN"/>
    <m/>
    <s v="14.16"/>
    <s v="300"/>
    <s v="NL2018"/>
    <m/>
    <n v="67"/>
    <n v="20100"/>
    <x v="45"/>
    <n v="80400000"/>
    <x v="4"/>
    <x v="4"/>
    <d v="2019-07-17T00:00:00"/>
    <d v="2019-07-17T00:00:00"/>
    <m/>
    <m/>
    <m/>
    <m/>
    <m/>
    <m/>
    <m/>
    <m/>
    <m/>
    <m/>
    <m/>
    <m/>
    <n v="0"/>
    <n v="20100"/>
    <n v="80400000"/>
    <m/>
  </r>
  <r>
    <s v="189A/2019"/>
    <d v="2019-05-04T00:00:00"/>
    <s v="KIỀU THY"/>
    <s v="CT02"/>
    <x v="67"/>
    <x v="87"/>
    <s v="SERANO"/>
    <m/>
    <n v="16.18"/>
    <s v="200"/>
    <s v="NL2018"/>
    <m/>
    <n v="50"/>
    <n v="10000"/>
    <x v="73"/>
    <n v="52000000"/>
    <x v="4"/>
    <x v="23"/>
    <d v="2019-06-22T00:00:00"/>
    <d v="2019-06-22T00:00:00"/>
    <m/>
    <m/>
    <m/>
    <m/>
    <m/>
    <m/>
    <m/>
    <m/>
    <m/>
    <m/>
    <m/>
    <m/>
    <n v="0"/>
    <n v="10000"/>
    <n v="52000000"/>
    <m/>
  </r>
  <r>
    <s v="189A/2019"/>
    <d v="2019-06-14T00:00:00"/>
    <s v="KIỀU THY"/>
    <s v="CT02"/>
    <x v="67"/>
    <x v="87"/>
    <s v="SERANO"/>
    <m/>
    <n v="16.18"/>
    <s v="200"/>
    <s v="NL2018"/>
    <m/>
    <n v="30"/>
    <n v="6000"/>
    <x v="33"/>
    <n v="31800000"/>
    <x v="4"/>
    <x v="4"/>
    <d v="2019-07-17T00:00:00"/>
    <d v="2019-07-17T00:00:00"/>
    <m/>
    <m/>
    <m/>
    <m/>
    <m/>
    <m/>
    <m/>
    <m/>
    <m/>
    <m/>
    <m/>
    <m/>
    <n v="0"/>
    <n v="6000"/>
    <n v="31800000"/>
    <m/>
  </r>
  <r>
    <s v="189A/2019"/>
    <d v="2019-04-12T00:00:00"/>
    <s v="KIỀU THY"/>
    <s v="CT02"/>
    <x v="67"/>
    <x v="83"/>
    <s v="MANISSA"/>
    <m/>
    <s v="14.16"/>
    <s v="300"/>
    <s v="NL2018"/>
    <m/>
    <n v="46"/>
    <n v="13800"/>
    <x v="82"/>
    <n v="51060000"/>
    <x v="0"/>
    <x v="5"/>
    <d v="2019-04-19T00:00:00"/>
    <d v="2019-04-19T00:00:00"/>
    <s v="15/3AL"/>
    <m/>
    <m/>
    <m/>
    <d v="2019-04-25T00:00:00"/>
    <n v="13800"/>
    <m/>
    <m/>
    <m/>
    <m/>
    <m/>
    <m/>
    <n v="13800"/>
    <n v="0"/>
    <n v="0"/>
    <m/>
  </r>
  <r>
    <s v="189A/2019"/>
    <d v="2019-06-14T00:00:00"/>
    <s v="KIỀU THY"/>
    <s v="CT02"/>
    <x v="67"/>
    <x v="84"/>
    <s v="INDIANA"/>
    <m/>
    <s v="14.16"/>
    <s v="300"/>
    <s v="NL2018"/>
    <m/>
    <n v="36"/>
    <n v="10800"/>
    <x v="8"/>
    <n v="54000000"/>
    <x v="4"/>
    <x v="4"/>
    <d v="2019-07-17T00:00:00"/>
    <d v="2019-07-17T00:00:00"/>
    <m/>
    <m/>
    <m/>
    <m/>
    <m/>
    <m/>
    <m/>
    <m/>
    <m/>
    <m/>
    <m/>
    <m/>
    <n v="0"/>
    <n v="10800"/>
    <n v="54000000"/>
    <m/>
  </r>
  <r>
    <s v="189A/2019"/>
    <d v="2019-04-12T00:00:00"/>
    <s v="KIỀU THY"/>
    <s v="CT02"/>
    <x v="67"/>
    <x v="108"/>
    <s v="FELINO"/>
    <m/>
    <s v="16.18"/>
    <s v="200"/>
    <s v="NL2018"/>
    <m/>
    <n v="42"/>
    <n v="8400"/>
    <x v="84"/>
    <n v="53760000"/>
    <x v="0"/>
    <x v="5"/>
    <d v="2019-04-19T00:00:00"/>
    <d v="2019-04-19T00:00:00"/>
    <s v="15/3AL"/>
    <m/>
    <m/>
    <m/>
    <d v="2019-04-25T00:00:00"/>
    <n v="8400"/>
    <m/>
    <m/>
    <m/>
    <m/>
    <m/>
    <m/>
    <n v="8400"/>
    <n v="0"/>
    <n v="0"/>
    <m/>
  </r>
  <r>
    <s v="189A/2019"/>
    <d v="2019-04-12T00:00:00"/>
    <s v="KIỀU THY"/>
    <s v="CT02"/>
    <x v="67"/>
    <x v="56"/>
    <s v="ALUSTA"/>
    <m/>
    <s v="14.16"/>
    <s v="300"/>
    <s v="NL2018"/>
    <m/>
    <n v="23"/>
    <n v="6900"/>
    <x v="45"/>
    <n v="27600000"/>
    <x v="0"/>
    <x v="17"/>
    <d v="2019-04-02T00:00:00"/>
    <d v="2019-04-02T00:00:00"/>
    <s v="30/2AL"/>
    <m/>
    <m/>
    <m/>
    <d v="2019-04-12T00:00:00"/>
    <n v="6900"/>
    <m/>
    <m/>
    <m/>
    <m/>
    <m/>
    <m/>
    <n v="6900"/>
    <n v="0"/>
    <n v="0"/>
    <m/>
  </r>
  <r>
    <s v="7A/2019"/>
    <d v="2019-05-10T00:00:00"/>
    <s v="KIỀU THY"/>
    <s v="CD01"/>
    <x v="68"/>
    <x v="96"/>
    <s v="ZAMBESSI"/>
    <m/>
    <s v="16.18"/>
    <n v="200"/>
    <s v="NL2018"/>
    <m/>
    <n v="1"/>
    <n v="200"/>
    <x v="75"/>
    <n v="1260000"/>
    <x v="3"/>
    <x v="28"/>
    <d v="2019-06-07T00:00:00"/>
    <d v="2019-06-07T00:00:00"/>
    <m/>
    <m/>
    <m/>
    <m/>
    <m/>
    <m/>
    <m/>
    <m/>
    <m/>
    <m/>
    <m/>
    <m/>
    <n v="0"/>
    <n v="200"/>
    <n v="1260000"/>
    <m/>
  </r>
  <r>
    <s v="235/2019"/>
    <d v="2019-05-31T00:00:00"/>
    <s v="KIỀU THY"/>
    <s v="CD01"/>
    <x v="68"/>
    <x v="96"/>
    <s v="ZAMBESSI"/>
    <m/>
    <s v="16.18"/>
    <n v="200"/>
    <s v="NL2018"/>
    <m/>
    <n v="1"/>
    <n v="200"/>
    <x v="84"/>
    <n v="1280000"/>
    <x v="4"/>
    <x v="62"/>
    <d v="2019-07-07T00:00:00"/>
    <d v="2019-07-07T00:00:00"/>
    <m/>
    <m/>
    <m/>
    <m/>
    <m/>
    <m/>
    <m/>
    <m/>
    <m/>
    <m/>
    <m/>
    <m/>
    <n v="0"/>
    <n v="200"/>
    <n v="1280000"/>
    <m/>
  </r>
  <r>
    <s v="235/2019"/>
    <d v="2019-05-31T00:00:00"/>
    <s v="KIỀU THY"/>
    <s v="CD01"/>
    <x v="68"/>
    <x v="96"/>
    <s v="ZAMBESSI"/>
    <m/>
    <s v="16.18"/>
    <n v="200"/>
    <s v="NL2018"/>
    <m/>
    <n v="1"/>
    <n v="200"/>
    <x v="97"/>
    <n v="1300000"/>
    <x v="2"/>
    <x v="63"/>
    <d v="2019-08-05T00:00:00"/>
    <d v="2019-08-05T00:00:00"/>
    <m/>
    <m/>
    <m/>
    <m/>
    <m/>
    <m/>
    <m/>
    <m/>
    <m/>
    <m/>
    <m/>
    <m/>
    <n v="0"/>
    <n v="200"/>
    <n v="1300000"/>
    <m/>
  </r>
  <r>
    <s v="178A/2019"/>
    <d v="2019-05-31T00:00:00"/>
    <s v="KIỀU THY"/>
    <s v="CD01"/>
    <x v="68"/>
    <x v="96"/>
    <s v="ZAMBESSI"/>
    <m/>
    <s v="16.18"/>
    <n v="200"/>
    <s v="NL2018"/>
    <m/>
    <n v="5"/>
    <n v="1000"/>
    <x v="125"/>
    <m/>
    <x v="2"/>
    <x v="26"/>
    <m/>
    <m/>
    <s v="Chừa hàng"/>
    <m/>
    <m/>
    <m/>
    <m/>
    <m/>
    <m/>
    <m/>
    <m/>
    <m/>
    <m/>
    <m/>
    <n v="0"/>
    <n v="1000"/>
    <e v="#VALUE!"/>
    <m/>
  </r>
  <r>
    <s v="178A/2019"/>
    <d v="2019-04-08T00:00:00"/>
    <s v="KIỀU THY"/>
    <s v="CD01"/>
    <x v="68"/>
    <x v="78"/>
    <s v="YELLOWEEN"/>
    <m/>
    <s v="14.16"/>
    <n v="300"/>
    <s v="NL2018"/>
    <m/>
    <n v="7"/>
    <n v="2100"/>
    <x v="64"/>
    <n v="7980000"/>
    <x v="0"/>
    <x v="30"/>
    <d v="2019-04-04T00:00:00"/>
    <d v="2019-04-04T00:00:00"/>
    <s v="30/2AL"/>
    <m/>
    <m/>
    <m/>
    <m/>
    <n v="2100"/>
    <m/>
    <m/>
    <m/>
    <m/>
    <m/>
    <m/>
    <n v="2100"/>
    <n v="0"/>
    <n v="0"/>
    <m/>
  </r>
  <r>
    <s v="178A/2019"/>
    <d v="2019-06-06T00:00:00"/>
    <s v="KIỀU THY"/>
    <s v="CD01"/>
    <x v="68"/>
    <x v="78"/>
    <s v="YELLOWEEN"/>
    <m/>
    <s v="14.16"/>
    <n v="300"/>
    <s v="NL2018"/>
    <m/>
    <n v="10"/>
    <n v="3000"/>
    <x v="58"/>
    <n v="11700000"/>
    <x v="3"/>
    <x v="28"/>
    <d v="2019-06-07T00:00:00"/>
    <d v="2019-06-07T00:00:00"/>
    <m/>
    <m/>
    <m/>
    <m/>
    <d v="2019-06-06T00:00:00"/>
    <n v="300"/>
    <d v="2019-06-15T00:00:00"/>
    <n v="300"/>
    <m/>
    <m/>
    <m/>
    <m/>
    <n v="600"/>
    <n v="2400"/>
    <n v="9360000"/>
    <m/>
  </r>
  <r>
    <s v="7A/2019"/>
    <d v="2019-05-31T00:00:00"/>
    <s v="KIỀU THY"/>
    <s v="CD01"/>
    <x v="68"/>
    <x v="17"/>
    <s v="THALITA"/>
    <s v="RL"/>
    <s v="12.14"/>
    <n v="400"/>
    <s v="NL2018"/>
    <m/>
    <n v="1"/>
    <n v="400"/>
    <x v="16"/>
    <n v="3440000"/>
    <x v="0"/>
    <x v="0"/>
    <d v="2019-03-20T00:00:00"/>
    <d v="2019-03-20T00:00:00"/>
    <m/>
    <m/>
    <m/>
    <m/>
    <m/>
    <m/>
    <m/>
    <m/>
    <m/>
    <m/>
    <m/>
    <m/>
    <n v="0"/>
    <n v="400"/>
    <n v="3440000"/>
    <m/>
  </r>
  <r>
    <s v="7A/2019"/>
    <d v="2019-04-23T00:00:00"/>
    <s v="KIỀU THY"/>
    <s v="CD01"/>
    <x v="68"/>
    <x v="17"/>
    <s v="THALITA"/>
    <s v="RL"/>
    <s v="12.14"/>
    <n v="400"/>
    <s v="NL2018"/>
    <m/>
    <n v="2"/>
    <n v="800"/>
    <x v="17"/>
    <n v="6960000"/>
    <x v="3"/>
    <x v="28"/>
    <d v="2019-06-07T00:00:00"/>
    <d v="2019-06-07T00:00:00"/>
    <m/>
    <m/>
    <m/>
    <m/>
    <m/>
    <m/>
    <m/>
    <m/>
    <m/>
    <m/>
    <m/>
    <m/>
    <n v="0"/>
    <n v="800"/>
    <n v="6960000"/>
    <m/>
  </r>
  <r>
    <s v="235/2019"/>
    <d v="2019-05-31T00:00:00"/>
    <s v="KIỀU THY"/>
    <s v="CD01"/>
    <x v="68"/>
    <x v="17"/>
    <s v="THALITA"/>
    <s v="RL"/>
    <s v="12.14"/>
    <n v="400"/>
    <s v="NL2018"/>
    <m/>
    <n v="2"/>
    <n v="800"/>
    <x v="17"/>
    <n v="6960000"/>
    <x v="4"/>
    <x v="62"/>
    <d v="2019-07-07T00:00:00"/>
    <d v="2019-07-07T00:00:00"/>
    <m/>
    <m/>
    <m/>
    <m/>
    <m/>
    <m/>
    <m/>
    <m/>
    <m/>
    <m/>
    <m/>
    <m/>
    <n v="0"/>
    <n v="800"/>
    <n v="6960000"/>
    <m/>
  </r>
  <r>
    <s v="235/2019"/>
    <d v="2019-05-31T00:00:00"/>
    <s v="KIỀU THY"/>
    <s v="CD01"/>
    <x v="68"/>
    <x v="17"/>
    <s v="THALITA"/>
    <s v="RL"/>
    <s v="12.14"/>
    <n v="400"/>
    <s v="NL2018"/>
    <m/>
    <n v="2"/>
    <n v="800"/>
    <x v="17"/>
    <n v="6960000"/>
    <x v="2"/>
    <x v="63"/>
    <d v="2019-08-05T00:00:00"/>
    <d v="2019-08-05T00:00:00"/>
    <m/>
    <m/>
    <m/>
    <m/>
    <m/>
    <m/>
    <m/>
    <m/>
    <m/>
    <m/>
    <m/>
    <m/>
    <n v="0"/>
    <n v="800"/>
    <n v="6960000"/>
    <m/>
  </r>
  <r>
    <s v="178A/2019"/>
    <d v="2019-05-31T00:00:00"/>
    <s v="KIỀU THY"/>
    <s v="CD01"/>
    <x v="68"/>
    <x v="17"/>
    <s v="THALITA"/>
    <s v="RL"/>
    <s v="12.14"/>
    <n v="400"/>
    <s v="NL2018"/>
    <m/>
    <n v="10"/>
    <n v="4000"/>
    <x v="126"/>
    <m/>
    <x v="2"/>
    <x v="26"/>
    <m/>
    <m/>
    <s v="Chừa hàng"/>
    <m/>
    <m/>
    <m/>
    <m/>
    <m/>
    <m/>
    <m/>
    <m/>
    <m/>
    <m/>
    <m/>
    <n v="0"/>
    <n v="4000"/>
    <e v="#VALUE!"/>
    <m/>
  </r>
  <r>
    <s v="7A/2019"/>
    <d v="2019-04-23T00:00:00"/>
    <s v="KIỀU THY"/>
    <s v="CD01"/>
    <x v="68"/>
    <x v="18"/>
    <s v="TATSJANA"/>
    <s v="RL"/>
    <s v="12.14"/>
    <n v="350"/>
    <s v="NL2018"/>
    <m/>
    <n v="2"/>
    <n v="700"/>
    <x v="17"/>
    <n v="6090000"/>
    <x v="3"/>
    <x v="28"/>
    <d v="2019-06-07T00:00:00"/>
    <d v="2019-06-07T00:00:00"/>
    <m/>
    <m/>
    <m/>
    <m/>
    <m/>
    <m/>
    <m/>
    <m/>
    <m/>
    <m/>
    <m/>
    <m/>
    <n v="0"/>
    <n v="700"/>
    <n v="6090000"/>
    <m/>
  </r>
  <r>
    <s v="235/2019"/>
    <d v="2019-05-31T00:00:00"/>
    <s v="KIỀU THY"/>
    <s v="CD01"/>
    <x v="68"/>
    <x v="18"/>
    <s v="TATSJANA"/>
    <s v="RL"/>
    <s v="12.14"/>
    <n v="350"/>
    <s v="NL2018"/>
    <m/>
    <n v="2"/>
    <n v="700"/>
    <x v="17"/>
    <n v="6090000"/>
    <x v="4"/>
    <x v="62"/>
    <d v="2019-07-07T00:00:00"/>
    <d v="2019-07-07T00:00:00"/>
    <m/>
    <m/>
    <m/>
    <m/>
    <m/>
    <m/>
    <m/>
    <m/>
    <m/>
    <m/>
    <m/>
    <m/>
    <n v="0"/>
    <n v="700"/>
    <n v="6090000"/>
    <m/>
  </r>
  <r>
    <s v="235/2019"/>
    <d v="2019-05-31T00:00:00"/>
    <s v="KIỀU THY"/>
    <s v="CD01"/>
    <x v="68"/>
    <x v="18"/>
    <s v="TATSJANA"/>
    <s v="RL"/>
    <s v="12.14"/>
    <n v="350"/>
    <s v="NL2018"/>
    <m/>
    <n v="2"/>
    <n v="700"/>
    <x v="17"/>
    <n v="6090000"/>
    <x v="2"/>
    <x v="63"/>
    <d v="2019-08-05T00:00:00"/>
    <d v="2019-08-05T00:00:00"/>
    <m/>
    <m/>
    <m/>
    <m/>
    <m/>
    <m/>
    <m/>
    <m/>
    <m/>
    <m/>
    <m/>
    <m/>
    <n v="0"/>
    <n v="700"/>
    <n v="6090000"/>
    <m/>
  </r>
  <r>
    <s v="178A/2019"/>
    <d v="2019-05-31T00:00:00"/>
    <s v="KIỀU THY"/>
    <s v="CD01"/>
    <x v="68"/>
    <x v="18"/>
    <s v="TATSJANA"/>
    <s v="RL"/>
    <s v="12.14"/>
    <n v="350"/>
    <s v="NL2018"/>
    <m/>
    <n v="0"/>
    <n v="0"/>
    <x v="126"/>
    <m/>
    <x v="1"/>
    <x v="26"/>
    <m/>
    <m/>
    <m/>
    <m/>
    <m/>
    <m/>
    <m/>
    <m/>
    <m/>
    <m/>
    <m/>
    <m/>
    <m/>
    <m/>
    <n v="0"/>
    <n v="0"/>
    <e v="#VALUE!"/>
    <m/>
  </r>
  <r>
    <s v="7A/2019"/>
    <d v="2019-02-03T00:00:00"/>
    <s v="KIỀU THY"/>
    <s v="CD01"/>
    <x v="68"/>
    <x v="35"/>
    <s v="TARRANGO"/>
    <m/>
    <s v="14.16"/>
    <n v="300"/>
    <s v="NL2018"/>
    <m/>
    <n v="0"/>
    <n v="0"/>
    <x v="29"/>
    <n v="0"/>
    <x v="1"/>
    <x v="5"/>
    <d v="2019-04-19T00:00:00"/>
    <d v="2019-04-19T00:00:00"/>
    <s v="15/3AL"/>
    <m/>
    <m/>
    <m/>
    <m/>
    <n v="0"/>
    <m/>
    <m/>
    <m/>
    <m/>
    <m/>
    <m/>
    <n v="0"/>
    <n v="0"/>
    <n v="0"/>
    <m/>
  </r>
  <r>
    <s v="7A/2019"/>
    <d v="2018-12-27T00:00:00"/>
    <s v="KIỀU THY"/>
    <s v="CD01"/>
    <x v="68"/>
    <x v="10"/>
    <s v="TARRANGO"/>
    <m/>
    <s v="16.18"/>
    <n v="200"/>
    <s v="NL2018"/>
    <m/>
    <n v="0"/>
    <n v="0"/>
    <x v="10"/>
    <n v="0"/>
    <x v="1"/>
    <x v="5"/>
    <d v="2019-04-19T00:00:00"/>
    <d v="2019-04-19T00:00:00"/>
    <s v="15/3AL"/>
    <m/>
    <m/>
    <m/>
    <m/>
    <m/>
    <m/>
    <m/>
    <m/>
    <m/>
    <m/>
    <m/>
    <n v="0"/>
    <n v="0"/>
    <n v="0"/>
    <m/>
  </r>
  <r>
    <s v="7A/2019"/>
    <d v="2018-12-27T00:00:00"/>
    <s v="KIỀU THY"/>
    <s v="CD01"/>
    <x v="68"/>
    <x v="10"/>
    <s v="TARRANGO"/>
    <m/>
    <s v="16.18"/>
    <n v="200"/>
    <s v="NL2018"/>
    <m/>
    <n v="0"/>
    <n v="0"/>
    <x v="10"/>
    <n v="0"/>
    <x v="1"/>
    <x v="64"/>
    <d v="2019-05-29T00:00:00"/>
    <d v="2019-05-29T00:00:00"/>
    <s v="T4 AL onwards, not including cooling cost"/>
    <m/>
    <m/>
    <m/>
    <m/>
    <n v="0"/>
    <m/>
    <m/>
    <m/>
    <m/>
    <m/>
    <m/>
    <n v="0"/>
    <n v="0"/>
    <n v="0"/>
    <m/>
  </r>
  <r>
    <s v="7A/2019"/>
    <d v="2019-02-03T00:00:00"/>
    <s v="KIỀU THY"/>
    <s v="CD01"/>
    <x v="68"/>
    <x v="5"/>
    <s v="ROBINA"/>
    <m/>
    <s v="18.20"/>
    <n v="150"/>
    <s v="NL2018"/>
    <m/>
    <n v="54"/>
    <n v="8100"/>
    <x v="75"/>
    <n v="51030000"/>
    <x v="0"/>
    <x v="5"/>
    <d v="2019-04-19T00:00:00"/>
    <d v="2019-04-19T00:00:00"/>
    <s v="15/3AL"/>
    <m/>
    <m/>
    <m/>
    <d v="2019-05-11T00:00:00"/>
    <n v="4050"/>
    <d v="2019-05-21T00:00:00"/>
    <n v="4050"/>
    <m/>
    <m/>
    <m/>
    <m/>
    <n v="8100"/>
    <n v="0"/>
    <n v="0"/>
    <m/>
  </r>
  <r>
    <s v="7A/2019"/>
    <d v="2019-04-17T00:00:00"/>
    <s v="KIỀU THY"/>
    <s v="CD01"/>
    <x v="68"/>
    <x v="5"/>
    <s v="ROBINA"/>
    <m/>
    <s v="18.20"/>
    <n v="150"/>
    <s v="NL2018"/>
    <m/>
    <n v="67"/>
    <n v="10050"/>
    <x v="96"/>
    <n v="65606400"/>
    <x v="3"/>
    <x v="1"/>
    <d v="2019-05-21T00:00:00"/>
    <d v="2019-05-21T00:00:00"/>
    <s v="10/4AL"/>
    <m/>
    <m/>
    <m/>
    <m/>
    <m/>
    <m/>
    <m/>
    <m/>
    <m/>
    <m/>
    <m/>
    <n v="0"/>
    <n v="10050"/>
    <n v="65606400"/>
    <m/>
  </r>
  <r>
    <s v="7A/2019"/>
    <d v="2019-04-23T00:00:00"/>
    <s v="KIỀU THY"/>
    <s v="CD01"/>
    <x v="68"/>
    <x v="5"/>
    <s v="ROBINA"/>
    <m/>
    <s v="18.20"/>
    <n v="150"/>
    <s v="NL2018"/>
    <m/>
    <n v="67"/>
    <n v="10050"/>
    <x v="127"/>
    <n v="67324950"/>
    <x v="3"/>
    <x v="28"/>
    <d v="2019-06-07T00:00:00"/>
    <d v="2019-06-07T00:00:00"/>
    <s v="5/5AL"/>
    <m/>
    <m/>
    <m/>
    <d v="2019-06-15T00:00:00"/>
    <n v="8100"/>
    <d v="2019-06-17T00:00:00"/>
    <n v="1050"/>
    <m/>
    <m/>
    <m/>
    <m/>
    <n v="9150"/>
    <n v="900"/>
    <n v="6029100"/>
    <m/>
  </r>
  <r>
    <s v="7A/2019"/>
    <d v="2019-02-03T00:00:00"/>
    <s v="KIỀU THY"/>
    <s v="CD01"/>
    <x v="68"/>
    <x v="122"/>
    <s v="REDDESIRE"/>
    <m/>
    <s v="16.18"/>
    <n v="200"/>
    <s v="NL2018"/>
    <m/>
    <n v="35"/>
    <n v="7000"/>
    <x v="128"/>
    <n v="48097000"/>
    <x v="3"/>
    <x v="1"/>
    <d v="2019-05-21T00:00:00"/>
    <d v="2019-05-21T00:00:00"/>
    <s v="30/3AL"/>
    <m/>
    <m/>
    <m/>
    <d v="2019-05-24T00:00:00"/>
    <n v="5000"/>
    <m/>
    <m/>
    <m/>
    <m/>
    <m/>
    <m/>
    <n v="5000"/>
    <n v="2000"/>
    <n v="13742000"/>
    <m/>
  </r>
  <r>
    <s v="235/2019"/>
    <d v="2019-05-31T00:00:00"/>
    <s v="KIỀU THY"/>
    <s v="CD01"/>
    <x v="68"/>
    <x v="122"/>
    <s v="REDDESIRE"/>
    <m/>
    <s v="16.18"/>
    <n v="200"/>
    <s v="NL2018"/>
    <m/>
    <n v="75"/>
    <n v="15000"/>
    <x v="129"/>
    <m/>
    <x v="4"/>
    <x v="62"/>
    <d v="2019-07-07T00:00:00"/>
    <d v="2019-07-07T00:00:00"/>
    <m/>
    <m/>
    <m/>
    <m/>
    <m/>
    <m/>
    <m/>
    <m/>
    <m/>
    <m/>
    <m/>
    <m/>
    <n v="0"/>
    <n v="15000"/>
    <e v="#VALUE!"/>
    <m/>
  </r>
  <r>
    <s v="178A/2019"/>
    <d v="2019-02-03T00:00:00"/>
    <s v="KIỀU THY"/>
    <s v="CD01"/>
    <x v="68"/>
    <x v="122"/>
    <s v="REDDESIRE"/>
    <m/>
    <s v="16.18"/>
    <n v="200"/>
    <s v="NL2018"/>
    <m/>
    <n v="65"/>
    <n v="13000"/>
    <x v="32"/>
    <n v="87100000"/>
    <x v="2"/>
    <x v="51"/>
    <d v="2019-08-30T00:00:00"/>
    <d v="2019-08-30T00:00:00"/>
    <s v="T4 AL onwards, not including cooling cost"/>
    <m/>
    <m/>
    <s v="R"/>
    <m/>
    <n v="0"/>
    <m/>
    <m/>
    <m/>
    <m/>
    <m/>
    <m/>
    <n v="0"/>
    <n v="13000"/>
    <n v="87100000"/>
    <m/>
  </r>
  <r>
    <s v="235/2019"/>
    <d v="2019-05-31T00:00:00"/>
    <s v="KIỀU THY"/>
    <s v="CD01"/>
    <x v="68"/>
    <x v="122"/>
    <s v="REDDESIRE"/>
    <m/>
    <s v="16.18"/>
    <n v="200"/>
    <s v="NL2018"/>
    <m/>
    <n v="50"/>
    <n v="10000"/>
    <x v="129"/>
    <m/>
    <x v="2"/>
    <x v="63"/>
    <d v="2019-08-05T00:00:00"/>
    <d v="2019-08-05T00:00:00"/>
    <m/>
    <m/>
    <m/>
    <m/>
    <m/>
    <m/>
    <m/>
    <m/>
    <m/>
    <m/>
    <m/>
    <m/>
    <n v="0"/>
    <n v="10000"/>
    <e v="#VALUE!"/>
    <m/>
  </r>
  <r>
    <s v="7A/2019"/>
    <d v="2019-05-20T00:00:00"/>
    <s v="KIỀU THY"/>
    <s v="CD01"/>
    <x v="68"/>
    <x v="11"/>
    <s v="PROFUNDO"/>
    <m/>
    <s v="16.18"/>
    <n v="200"/>
    <s v="NL2018"/>
    <m/>
    <n v="24"/>
    <n v="4800"/>
    <x v="130"/>
    <n v="32976000"/>
    <x v="3"/>
    <x v="1"/>
    <d v="2019-05-21T00:00:00"/>
    <d v="2019-05-21T00:00:00"/>
    <m/>
    <m/>
    <m/>
    <m/>
    <m/>
    <m/>
    <m/>
    <m/>
    <m/>
    <m/>
    <m/>
    <m/>
    <n v="0"/>
    <n v="4800"/>
    <n v="32976000"/>
    <m/>
  </r>
  <r>
    <s v="7A/2019"/>
    <d v="2019-02-03T00:00:00"/>
    <s v="KIỀU THY"/>
    <s v="CD01"/>
    <x v="68"/>
    <x v="11"/>
    <s v="PROFUNDO"/>
    <m/>
    <s v="16.18"/>
    <n v="200"/>
    <s v="NL2018"/>
    <m/>
    <n v="122"/>
    <n v="24400"/>
    <x v="32"/>
    <n v="163480000"/>
    <x v="0"/>
    <x v="5"/>
    <d v="2019-04-19T00:00:00"/>
    <d v="2019-04-19T00:00:00"/>
    <s v="15/3AL"/>
    <s v="CONT 23/2019"/>
    <d v="2019-04-14T00:00:00"/>
    <m/>
    <d v="2019-05-03T00:00:00"/>
    <n v="6000"/>
    <d v="2019-05-22T00:00:00"/>
    <n v="4000"/>
    <d v="2019-05-29T00:00:00"/>
    <n v="14400"/>
    <m/>
    <m/>
    <n v="24400"/>
    <n v="0"/>
    <n v="0"/>
    <m/>
  </r>
  <r>
    <s v="7A/2019"/>
    <d v="2018-12-27T00:00:00"/>
    <s v="KIỀU THY"/>
    <s v="CD01"/>
    <x v="68"/>
    <x v="11"/>
    <s v="PROFUNDO"/>
    <m/>
    <s v="16.18"/>
    <n v="200"/>
    <s v="NL2018"/>
    <m/>
    <n v="70"/>
    <n v="14000"/>
    <x v="97"/>
    <n v="91000000"/>
    <x v="0"/>
    <x v="6"/>
    <d v="2019-02-19T00:00:00"/>
    <d v="2019-02-19T00:00:00"/>
    <s v="15/1AL"/>
    <m/>
    <m/>
    <m/>
    <d v="2019-02-19T00:00:00"/>
    <n v="14000"/>
    <m/>
    <m/>
    <m/>
    <m/>
    <m/>
    <m/>
    <n v="14000"/>
    <n v="0"/>
    <n v="0"/>
    <m/>
  </r>
  <r>
    <s v="7A/2019"/>
    <d v="2018-12-27T00:00:00"/>
    <s v="KIỀU THY"/>
    <s v="CD01"/>
    <x v="68"/>
    <x v="11"/>
    <s v="PROFUNDO"/>
    <m/>
    <s v="16.18"/>
    <n v="200"/>
    <s v="NL2018"/>
    <m/>
    <n v="70"/>
    <n v="14000"/>
    <x v="97"/>
    <n v="91000000"/>
    <x v="0"/>
    <x v="6"/>
    <d v="2019-02-19T00:00:00"/>
    <d v="2019-02-19T00:00:00"/>
    <s v="15/1AL"/>
    <m/>
    <m/>
    <m/>
    <d v="2019-03-11T00:00:00"/>
    <n v="14000"/>
    <m/>
    <m/>
    <m/>
    <m/>
    <m/>
    <m/>
    <n v="14000"/>
    <n v="0"/>
    <n v="0"/>
    <m/>
  </r>
  <r>
    <s v="7A/2019"/>
    <d v="2018-12-27T00:00:00"/>
    <s v="KIỀU THY"/>
    <s v="CD01"/>
    <x v="68"/>
    <x v="11"/>
    <s v="PROFUNDO"/>
    <m/>
    <s v="16.18"/>
    <n v="200"/>
    <s v="NL2018"/>
    <m/>
    <n v="45"/>
    <n v="9000"/>
    <x v="32"/>
    <n v="60300000"/>
    <x v="0"/>
    <x v="0"/>
    <d v="2019-03-20T00:00:00"/>
    <d v="2019-03-20T00:00:00"/>
    <s v="15/2AL"/>
    <s v="CONT 12/2019"/>
    <d v="2019-03-17T00:00:00"/>
    <m/>
    <d v="2019-03-26T00:00:00"/>
    <n v="3000"/>
    <d v="2019-04-25T00:00:00"/>
    <n v="6000"/>
    <m/>
    <m/>
    <m/>
    <m/>
    <n v="9000"/>
    <n v="0"/>
    <n v="0"/>
    <m/>
  </r>
  <r>
    <s v="7A/2019"/>
    <d v="2019-04-23T00:00:00"/>
    <s v="KIỀU THY"/>
    <s v="CD01"/>
    <x v="68"/>
    <x v="11"/>
    <s v="PROFUNDO"/>
    <m/>
    <s v="16.18"/>
    <n v="200"/>
    <s v="NL2018"/>
    <m/>
    <n v="50"/>
    <n v="10000"/>
    <x v="131"/>
    <n v="69990000"/>
    <x v="3"/>
    <x v="28"/>
    <d v="2019-06-07T00:00:00"/>
    <d v="2019-06-07T00:00:00"/>
    <s v="5/5AL"/>
    <m/>
    <m/>
    <m/>
    <d v="2019-06-15T00:00:00"/>
    <n v="4800"/>
    <m/>
    <m/>
    <m/>
    <m/>
    <m/>
    <m/>
    <n v="4800"/>
    <n v="5200"/>
    <n v="36394800"/>
    <m/>
  </r>
  <r>
    <s v="235/2019"/>
    <d v="2019-05-31T00:00:00"/>
    <s v="KIỀU THY"/>
    <s v="CD01"/>
    <x v="68"/>
    <x v="11"/>
    <s v="PROFUNDO"/>
    <m/>
    <s v="16.18"/>
    <n v="200"/>
    <s v="NL2018"/>
    <m/>
    <n v="100"/>
    <n v="20000"/>
    <x v="132"/>
    <m/>
    <x v="4"/>
    <x v="62"/>
    <d v="2019-07-07T00:00:00"/>
    <d v="2019-07-07T00:00:00"/>
    <m/>
    <m/>
    <m/>
    <m/>
    <m/>
    <m/>
    <m/>
    <m/>
    <m/>
    <m/>
    <m/>
    <m/>
    <n v="0"/>
    <n v="20000"/>
    <e v="#VALUE!"/>
    <m/>
  </r>
  <r>
    <s v="178A/2019"/>
    <d v="2018-12-27T00:00:00"/>
    <s v="KIỀU THY"/>
    <s v="CD01"/>
    <x v="68"/>
    <x v="11"/>
    <s v="PROFUNDO"/>
    <m/>
    <s v="16.18"/>
    <n v="200"/>
    <s v="NL2018"/>
    <m/>
    <n v="204"/>
    <n v="40800"/>
    <x v="97"/>
    <n v="265200000"/>
    <x v="2"/>
    <x v="51"/>
    <d v="2019-08-30T00:00:00"/>
    <d v="2019-08-30T00:00:00"/>
    <s v="T4 AL onwards, not including cooling cost"/>
    <m/>
    <m/>
    <s v="R"/>
    <m/>
    <n v="0"/>
    <m/>
    <m/>
    <m/>
    <m/>
    <m/>
    <m/>
    <n v="0"/>
    <n v="40800"/>
    <n v="265200000"/>
    <m/>
  </r>
  <r>
    <s v="235/2019"/>
    <d v="2019-05-31T00:00:00"/>
    <s v="KIỀU THY"/>
    <s v="CD01"/>
    <x v="68"/>
    <x v="11"/>
    <s v="PROFUNDO"/>
    <m/>
    <s v="16.18"/>
    <n v="200"/>
    <s v="NL2018"/>
    <m/>
    <n v="100"/>
    <n v="20000"/>
    <x v="132"/>
    <m/>
    <x v="2"/>
    <x v="63"/>
    <d v="2019-08-05T00:00:00"/>
    <d v="2019-08-05T00:00:00"/>
    <m/>
    <m/>
    <m/>
    <m/>
    <m/>
    <m/>
    <m/>
    <m/>
    <m/>
    <m/>
    <m/>
    <m/>
    <n v="0"/>
    <n v="20000"/>
    <e v="#VALUE!"/>
    <m/>
  </r>
  <r>
    <s v="119A/2019"/>
    <d v="2019-03-14T00:00:00"/>
    <s v="KIỀU THY"/>
    <s v="CD01"/>
    <x v="68"/>
    <x v="89"/>
    <s v="PROFUNDO"/>
    <m/>
    <s v="18.20"/>
    <n v="150"/>
    <s v="NL2018"/>
    <m/>
    <n v="67"/>
    <n v="10050"/>
    <x v="27"/>
    <n v="108540000"/>
    <x v="2"/>
    <x v="2"/>
    <d v="2019-09-29T00:00:00"/>
    <d v="2019-09-29T00:00:00"/>
    <s v="TẾT."/>
    <m/>
    <m/>
    <m/>
    <m/>
    <n v="0"/>
    <m/>
    <m/>
    <m/>
    <m/>
    <m/>
    <m/>
    <n v="0"/>
    <n v="10050"/>
    <n v="108540000"/>
    <m/>
  </r>
  <r>
    <s v="7A/2019"/>
    <d v="2019-04-23T00:00:00"/>
    <s v="KIỀU THY"/>
    <s v="CD01"/>
    <x v="68"/>
    <x v="123"/>
    <s v="PATRICIA"/>
    <s v="RL"/>
    <s v="12.14"/>
    <n v="400"/>
    <s v="NL2018"/>
    <m/>
    <n v="1"/>
    <n v="400"/>
    <x v="16"/>
    <n v="3440000"/>
    <x v="0"/>
    <x v="1"/>
    <d v="2019-05-21T00:00:00"/>
    <d v="2019-05-21T00:00:00"/>
    <m/>
    <m/>
    <m/>
    <m/>
    <m/>
    <m/>
    <m/>
    <m/>
    <m/>
    <m/>
    <m/>
    <m/>
    <n v="0"/>
    <n v="400"/>
    <n v="3440000"/>
    <m/>
  </r>
  <r>
    <s v="7A/2019"/>
    <d v="2019-04-23T00:00:00"/>
    <s v="KIỀU THY"/>
    <s v="CD01"/>
    <x v="68"/>
    <x v="76"/>
    <s v="NATALIA"/>
    <s v="RL"/>
    <s v="12.14"/>
    <n v="400"/>
    <s v="NL2018"/>
    <m/>
    <n v="0"/>
    <n v="0"/>
    <x v="16"/>
    <n v="0"/>
    <x v="1"/>
    <x v="1"/>
    <d v="2019-05-21T00:00:00"/>
    <d v="2019-05-21T00:00:00"/>
    <m/>
    <m/>
    <m/>
    <m/>
    <m/>
    <m/>
    <m/>
    <m/>
    <m/>
    <m/>
    <m/>
    <m/>
    <n v="0"/>
    <n v="0"/>
    <n v="0"/>
    <m/>
  </r>
  <r>
    <s v="7A/2019"/>
    <d v="2019-04-23T00:00:00"/>
    <s v="KIỀU THY"/>
    <s v="CD01"/>
    <x v="68"/>
    <x v="76"/>
    <s v="NATALIA"/>
    <s v="RL"/>
    <s v="12.14"/>
    <n v="400"/>
    <s v="NL2018"/>
    <m/>
    <n v="2"/>
    <n v="800"/>
    <x v="17"/>
    <n v="6960000"/>
    <x v="3"/>
    <x v="28"/>
    <d v="2019-06-07T00:00:00"/>
    <d v="2019-06-07T00:00:00"/>
    <m/>
    <m/>
    <m/>
    <m/>
    <m/>
    <m/>
    <m/>
    <m/>
    <m/>
    <m/>
    <m/>
    <m/>
    <n v="0"/>
    <n v="800"/>
    <n v="6960000"/>
    <m/>
  </r>
  <r>
    <s v="235/2019"/>
    <d v="2019-05-31T00:00:00"/>
    <s v="KIỀU THY"/>
    <s v="CD01"/>
    <x v="68"/>
    <x v="76"/>
    <s v="NATALIA"/>
    <s v="RL"/>
    <s v="12.14"/>
    <n v="400"/>
    <s v="NL2018"/>
    <m/>
    <n v="2"/>
    <n v="800"/>
    <x v="17"/>
    <n v="6960000"/>
    <x v="4"/>
    <x v="62"/>
    <d v="2019-07-07T00:00:00"/>
    <d v="2019-07-07T00:00:00"/>
    <m/>
    <m/>
    <m/>
    <m/>
    <m/>
    <m/>
    <m/>
    <m/>
    <m/>
    <m/>
    <m/>
    <m/>
    <n v="0"/>
    <n v="800"/>
    <n v="6960000"/>
    <m/>
  </r>
  <r>
    <s v="235/2019"/>
    <d v="2019-05-31T00:00:00"/>
    <s v="KIỀU THY"/>
    <s v="CD01"/>
    <x v="68"/>
    <x v="76"/>
    <s v="NATALIA"/>
    <s v="RL"/>
    <s v="12.14"/>
    <n v="400"/>
    <s v="NL2018"/>
    <m/>
    <n v="2"/>
    <n v="800"/>
    <x v="17"/>
    <n v="6960000"/>
    <x v="2"/>
    <x v="63"/>
    <d v="2019-08-05T00:00:00"/>
    <d v="2019-08-05T00:00:00"/>
    <m/>
    <m/>
    <m/>
    <m/>
    <m/>
    <m/>
    <m/>
    <m/>
    <m/>
    <m/>
    <m/>
    <m/>
    <n v="0"/>
    <n v="800"/>
    <n v="6960000"/>
    <m/>
  </r>
  <r>
    <s v="178A/2019"/>
    <d v="2019-05-31T00:00:00"/>
    <s v="KIỀU THY"/>
    <s v="CD01"/>
    <x v="68"/>
    <x v="76"/>
    <s v="NATALIA"/>
    <s v="RL"/>
    <s v="12.14"/>
    <n v="400"/>
    <s v="NL2018"/>
    <m/>
    <n v="10"/>
    <n v="4000"/>
    <x v="126"/>
    <m/>
    <x v="2"/>
    <x v="26"/>
    <m/>
    <m/>
    <s v="Chừa hàng"/>
    <m/>
    <m/>
    <m/>
    <m/>
    <m/>
    <m/>
    <m/>
    <m/>
    <m/>
    <m/>
    <m/>
    <n v="0"/>
    <n v="4000"/>
    <e v="#VALUE!"/>
    <m/>
  </r>
  <r>
    <s v="7A/2019"/>
    <d v="2019-04-23T00:00:00"/>
    <s v="KIỀU THY"/>
    <s v="CD01"/>
    <x v="68"/>
    <x v="72"/>
    <s v="MONTEZUMA"/>
    <m/>
    <s v="16.18"/>
    <n v="200"/>
    <s v="NL2018"/>
    <m/>
    <n v="9"/>
    <n v="1800"/>
    <x v="133"/>
    <n v="11467800"/>
    <x v="3"/>
    <x v="28"/>
    <d v="2019-06-07T00:00:00"/>
    <d v="2019-06-07T00:00:00"/>
    <s v="5/5AL"/>
    <s v="CONT 27/2019"/>
    <d v="2019-04-14T00:00:00"/>
    <m/>
    <m/>
    <n v="0"/>
    <m/>
    <m/>
    <m/>
    <m/>
    <m/>
    <m/>
    <n v="0"/>
    <n v="1800"/>
    <n v="11467800"/>
    <m/>
  </r>
  <r>
    <s v="178A/2019"/>
    <d v="2018-12-27T00:00:00"/>
    <s v="KIỀU THY"/>
    <s v="CD01"/>
    <x v="68"/>
    <x v="45"/>
    <s v="MARENGO"/>
    <m/>
    <s v="16.18"/>
    <n v="200"/>
    <s v="NL2018"/>
    <m/>
    <n v="35"/>
    <n v="7000"/>
    <x v="134"/>
    <n v="44541000"/>
    <x v="4"/>
    <x v="4"/>
    <d v="2019-07-17T00:00:00"/>
    <d v="2019-07-17T00:00:00"/>
    <s v="T4 AL onwards, not including cooling cost"/>
    <m/>
    <m/>
    <m/>
    <m/>
    <n v="0"/>
    <m/>
    <m/>
    <m/>
    <m/>
    <m/>
    <m/>
    <n v="0"/>
    <n v="7000"/>
    <n v="44541000"/>
    <m/>
  </r>
  <r>
    <s v="7A/2019"/>
    <d v="2019-02-03T00:00:00"/>
    <s v="KIỀU THY"/>
    <s v="CD01"/>
    <x v="68"/>
    <x v="45"/>
    <s v="MARENGO"/>
    <m/>
    <s v="16.18"/>
    <n v="200"/>
    <s v="NL2018"/>
    <m/>
    <n v="15"/>
    <n v="3000"/>
    <x v="51"/>
    <n v="18000000"/>
    <x v="0"/>
    <x v="30"/>
    <d v="2019-04-04T00:00:00"/>
    <d v="2019-04-04T00:00:00"/>
    <s v="30/2AL"/>
    <s v="CONT 17/2019"/>
    <d v="2019-03-31T00:00:00"/>
    <m/>
    <d v="2019-04-08T00:00:00"/>
    <n v="3000"/>
    <m/>
    <m/>
    <m/>
    <m/>
    <m/>
    <m/>
    <n v="3000"/>
    <n v="0"/>
    <n v="0"/>
    <m/>
  </r>
  <r>
    <s v="7A/2019"/>
    <d v="2019-05-20T00:00:00"/>
    <s v="KIỀU THY"/>
    <s v="CD01"/>
    <x v="68"/>
    <x v="27"/>
    <s v="MALDANO"/>
    <m/>
    <s v="16.18"/>
    <n v="200"/>
    <s v="NL2018"/>
    <m/>
    <n v="1"/>
    <n v="200"/>
    <x v="33"/>
    <n v="1060000"/>
    <x v="0"/>
    <x v="1"/>
    <d v="2019-05-21T00:00:00"/>
    <d v="2019-05-21T00:00:00"/>
    <m/>
    <m/>
    <m/>
    <m/>
    <d v="2019-05-21T00:00:00"/>
    <n v="200"/>
    <m/>
    <m/>
    <m/>
    <m/>
    <m/>
    <m/>
    <n v="200"/>
    <n v="0"/>
    <n v="0"/>
    <m/>
  </r>
  <r>
    <s v="7A/2019"/>
    <d v="2019-02-03T00:00:00"/>
    <s v="KIỀU THY"/>
    <s v="CD01"/>
    <x v="68"/>
    <x v="124"/>
    <s v="LAKE CAREY"/>
    <m/>
    <s v="14.16"/>
    <n v="300"/>
    <s v="NL2018"/>
    <m/>
    <n v="17"/>
    <n v="5100"/>
    <x v="135"/>
    <n v="19961400"/>
    <x v="0"/>
    <x v="1"/>
    <d v="2019-05-21T00:00:00"/>
    <d v="2019-05-21T00:00:00"/>
    <s v="30/3AL"/>
    <m/>
    <m/>
    <m/>
    <d v="2019-06-01T00:00:00"/>
    <n v="1200"/>
    <d v="2019-06-06T00:00:00"/>
    <n v="2100"/>
    <d v="2019-06-11T00:00:00"/>
    <n v="1800"/>
    <m/>
    <m/>
    <n v="5100"/>
    <n v="0"/>
    <n v="0"/>
    <m/>
  </r>
  <r>
    <s v="7A/2019"/>
    <d v="2019-04-23T00:00:00"/>
    <s v="KIỀU THY"/>
    <s v="CD01"/>
    <x v="68"/>
    <x v="124"/>
    <s v="LAKE CAREY"/>
    <m/>
    <s v="14.16"/>
    <n v="300"/>
    <s v="NL2018"/>
    <m/>
    <n v="17"/>
    <n v="5100"/>
    <x v="136"/>
    <n v="20394900"/>
    <x v="3"/>
    <x v="41"/>
    <d v="2019-06-14T00:00:00"/>
    <d v="2019-06-14T00:00:00"/>
    <s v="5/5AL"/>
    <m/>
    <m/>
    <m/>
    <m/>
    <m/>
    <m/>
    <m/>
    <m/>
    <m/>
    <m/>
    <m/>
    <n v="0"/>
    <n v="5100"/>
    <n v="20394900"/>
    <m/>
  </r>
  <r>
    <s v="235/2019"/>
    <d v="2019-05-31T00:00:00"/>
    <s v="KIỀU THY"/>
    <s v="CD01"/>
    <x v="68"/>
    <x v="124"/>
    <s v="LAKE CAREY"/>
    <m/>
    <s v="14.16"/>
    <n v="300"/>
    <s v="NL2018"/>
    <m/>
    <n v="17"/>
    <n v="5100"/>
    <x v="137"/>
    <m/>
    <x v="4"/>
    <x v="62"/>
    <d v="2019-07-07T00:00:00"/>
    <d v="2019-07-07T00:00:00"/>
    <m/>
    <m/>
    <m/>
    <m/>
    <m/>
    <m/>
    <m/>
    <m/>
    <m/>
    <m/>
    <m/>
    <m/>
    <n v="0"/>
    <n v="5100"/>
    <e v="#VALUE!"/>
    <m/>
  </r>
  <r>
    <s v="178A/2019"/>
    <d v="2018-12-27T00:00:00"/>
    <s v="KIỀU THY"/>
    <s v="CD01"/>
    <x v="68"/>
    <x v="124"/>
    <s v="LAKE CAREY"/>
    <m/>
    <s v="14.16"/>
    <n v="300"/>
    <s v="NL2018"/>
    <m/>
    <n v="15"/>
    <n v="4500"/>
    <x v="64"/>
    <n v="17100000"/>
    <x v="2"/>
    <x v="51"/>
    <d v="2019-08-30T00:00:00"/>
    <d v="2019-08-30T00:00:00"/>
    <s v="T4 AL onwards, not including cooling cost"/>
    <m/>
    <m/>
    <m/>
    <m/>
    <n v="0"/>
    <m/>
    <m/>
    <m/>
    <m/>
    <m/>
    <m/>
    <n v="0"/>
    <n v="4500"/>
    <n v="17100000"/>
    <m/>
  </r>
  <r>
    <s v="235/2019"/>
    <d v="2019-05-31T00:00:00"/>
    <s v="KIỀU THY"/>
    <s v="CD01"/>
    <x v="68"/>
    <x v="124"/>
    <s v="LAKE CAREY"/>
    <m/>
    <s v="14.16"/>
    <n v="300"/>
    <s v="NL2018"/>
    <m/>
    <n v="17"/>
    <n v="5100"/>
    <x v="137"/>
    <m/>
    <x v="2"/>
    <x v="63"/>
    <d v="2019-08-05T00:00:00"/>
    <d v="2019-08-05T00:00:00"/>
    <m/>
    <m/>
    <m/>
    <m/>
    <m/>
    <m/>
    <m/>
    <m/>
    <m/>
    <m/>
    <m/>
    <m/>
    <n v="0"/>
    <n v="5100"/>
    <e v="#VALUE!"/>
    <m/>
  </r>
  <r>
    <s v="119A/2019"/>
    <d v="2019-03-14T00:00:00"/>
    <s v="KIỀU THY"/>
    <s v="CD01"/>
    <x v="68"/>
    <x v="95"/>
    <s v="LAKE CAREY"/>
    <m/>
    <s v="16.18"/>
    <n v="200"/>
    <s v="NL2018"/>
    <m/>
    <n v="25"/>
    <n v="5000"/>
    <x v="42"/>
    <n v="30500000"/>
    <x v="2"/>
    <x v="2"/>
    <d v="2019-09-29T00:00:00"/>
    <d v="2019-09-29T00:00:00"/>
    <s v="TẾT"/>
    <m/>
    <m/>
    <m/>
    <m/>
    <n v="0"/>
    <m/>
    <m/>
    <m/>
    <m/>
    <m/>
    <m/>
    <n v="0"/>
    <n v="5000"/>
    <n v="30500000"/>
    <m/>
  </r>
  <r>
    <s v="235/2019"/>
    <d v="2019-05-31T00:00:00"/>
    <s v="KIỀU THY"/>
    <s v="CD01"/>
    <x v="68"/>
    <x v="101"/>
    <s v="DIGAME"/>
    <m/>
    <s v="16.18"/>
    <n v="200"/>
    <s v="NL2018"/>
    <m/>
    <n v="1"/>
    <n v="200"/>
    <x v="32"/>
    <n v="1340000"/>
    <x v="4"/>
    <x v="4"/>
    <d v="2019-07-17T00:00:00"/>
    <d v="2019-07-17T00:00:00"/>
    <m/>
    <m/>
    <m/>
    <m/>
    <m/>
    <m/>
    <m/>
    <m/>
    <m/>
    <m/>
    <m/>
    <m/>
    <n v="0"/>
    <n v="200"/>
    <n v="1340000"/>
    <m/>
  </r>
  <r>
    <s v="7A/2019"/>
    <d v="2018-12-27T00:00:00"/>
    <s v="KIỀU THY"/>
    <s v="CD01"/>
    <x v="68"/>
    <x v="24"/>
    <s v="DALIAN"/>
    <m/>
    <s v="14.16"/>
    <n v="300"/>
    <s v="NL2018"/>
    <m/>
    <n v="10"/>
    <n v="3000"/>
    <x v="138"/>
    <n v="16242000"/>
    <x v="0"/>
    <x v="1"/>
    <d v="2019-05-21T00:00:00"/>
    <d v="2019-05-21T00:00:00"/>
    <s v="30/3AL"/>
    <m/>
    <m/>
    <m/>
    <d v="2019-06-01T00:00:00"/>
    <n v="3000"/>
    <m/>
    <m/>
    <m/>
    <m/>
    <m/>
    <m/>
    <n v="3000"/>
    <n v="0"/>
    <n v="0"/>
    <m/>
  </r>
  <r>
    <s v="7A/2019"/>
    <d v="2019-03-14T00:00:00"/>
    <s v="KIỀU THY"/>
    <s v="CD01"/>
    <x v="68"/>
    <x v="125"/>
    <s v="DALIAN"/>
    <m/>
    <s v="16.18"/>
    <n v="200"/>
    <s v="NL2018"/>
    <m/>
    <n v="50"/>
    <n v="10000"/>
    <x v="32"/>
    <n v="67000000"/>
    <x v="0"/>
    <x v="0"/>
    <d v="2019-03-20T00:00:00"/>
    <d v="2019-03-20T00:00:00"/>
    <s v="15/2AL"/>
    <s v="CONT 11/2019"/>
    <d v="2019-03-17T00:00:00"/>
    <m/>
    <d v="2019-03-21T00:00:00"/>
    <n v="4000"/>
    <d v="2019-04-22T00:00:00"/>
    <n v="6000"/>
    <m/>
    <m/>
    <m/>
    <m/>
    <n v="10000"/>
    <n v="0"/>
    <n v="0"/>
    <m/>
  </r>
  <r>
    <s v="119A/2019"/>
    <d v="2019-03-14T00:00:00"/>
    <s v="KIỀU THY"/>
    <s v="CD01"/>
    <x v="68"/>
    <x v="126"/>
    <s v="DALIAN"/>
    <m/>
    <s v="18.20"/>
    <n v="150"/>
    <s v="NL2018"/>
    <m/>
    <n v="52"/>
    <n v="7800"/>
    <x v="139"/>
    <n v="92820000"/>
    <x v="2"/>
    <x v="2"/>
    <d v="2019-09-29T00:00:00"/>
    <d v="2019-09-29T00:00:00"/>
    <s v="TẾT. Hoặc competition"/>
    <m/>
    <m/>
    <m/>
    <m/>
    <n v="0"/>
    <m/>
    <m/>
    <m/>
    <m/>
    <m/>
    <m/>
    <n v="0"/>
    <n v="7800"/>
    <n v="92820000"/>
    <m/>
  </r>
  <r>
    <s v="7A/2019"/>
    <d v="2018-12-27T00:00:00"/>
    <s v="KIỀU THY"/>
    <s v="CD01"/>
    <x v="68"/>
    <x v="6"/>
    <s v="CONCADOR "/>
    <m/>
    <s v="16.18"/>
    <n v="200"/>
    <s v="NL2018"/>
    <m/>
    <n v="25"/>
    <n v="5000"/>
    <x v="51"/>
    <n v="30000000"/>
    <x v="0"/>
    <x v="1"/>
    <d v="2019-05-21T00:00:00"/>
    <d v="2019-05-21T00:00:00"/>
    <s v="10/4AL"/>
    <m/>
    <m/>
    <m/>
    <d v="2019-06-03T00:00:00"/>
    <n v="5000"/>
    <m/>
    <m/>
    <m/>
    <m/>
    <m/>
    <m/>
    <n v="5000"/>
    <n v="0"/>
    <n v="0"/>
    <m/>
  </r>
  <r>
    <s v="7A/2019"/>
    <d v="2018-12-27T00:00:00"/>
    <s v="KIỀU THY"/>
    <s v="CD01"/>
    <x v="68"/>
    <x v="6"/>
    <s v="CONCADOR "/>
    <m/>
    <s v="16.18"/>
    <n v="200"/>
    <s v="NL2018"/>
    <m/>
    <n v="25"/>
    <n v="5000"/>
    <x v="29"/>
    <n v="23000000"/>
    <x v="0"/>
    <x v="6"/>
    <d v="2019-02-19T00:00:00"/>
    <d v="2019-02-19T00:00:00"/>
    <s v="15/1AL"/>
    <m/>
    <m/>
    <m/>
    <d v="2019-03-04T00:00:00"/>
    <n v="5000"/>
    <m/>
    <m/>
    <m/>
    <m/>
    <m/>
    <m/>
    <n v="5000"/>
    <n v="0"/>
    <n v="0"/>
    <m/>
  </r>
  <r>
    <s v="7A/2019"/>
    <d v="2018-12-27T00:00:00"/>
    <s v="KIỀU THY"/>
    <s v="CD01"/>
    <x v="68"/>
    <x v="6"/>
    <s v="CONCADOR "/>
    <m/>
    <s v="16.18"/>
    <n v="200"/>
    <s v="NL2018"/>
    <m/>
    <n v="25"/>
    <n v="5000"/>
    <x v="51"/>
    <n v="30000000"/>
    <x v="0"/>
    <x v="5"/>
    <d v="2019-04-19T00:00:00"/>
    <d v="2019-04-19T00:00:00"/>
    <m/>
    <m/>
    <m/>
    <m/>
    <d v="2019-05-14T00:00:00"/>
    <n v="5000"/>
    <m/>
    <m/>
    <m/>
    <m/>
    <m/>
    <m/>
    <n v="5000"/>
    <n v="0"/>
    <n v="0"/>
    <m/>
  </r>
  <r>
    <s v="7A/2019"/>
    <d v="2019-04-23T00:00:00"/>
    <s v="KIỀU THY"/>
    <s v="CD01"/>
    <x v="68"/>
    <x v="6"/>
    <s v="CONCADOR "/>
    <m/>
    <s v="16.18"/>
    <n v="200"/>
    <s v="NL2018"/>
    <m/>
    <n v="50"/>
    <n v="10000"/>
    <x v="140"/>
    <n v="65840000"/>
    <x v="4"/>
    <x v="62"/>
    <d v="2019-07-07T00:00:00"/>
    <d v="2019-07-07T00:00:00"/>
    <s v="05/6AL"/>
    <m/>
    <m/>
    <m/>
    <m/>
    <n v="0"/>
    <m/>
    <m/>
    <m/>
    <m/>
    <m/>
    <m/>
    <n v="0"/>
    <n v="10000"/>
    <n v="65840000"/>
    <m/>
  </r>
  <r>
    <s v="7A/2019"/>
    <d v="2019-04-23T00:00:00"/>
    <s v="KIỀU THY"/>
    <s v="CD01"/>
    <x v="68"/>
    <x v="6"/>
    <s v="CONCADOR "/>
    <m/>
    <s v="16.18"/>
    <n v="200"/>
    <s v="NL2018"/>
    <m/>
    <n v="50"/>
    <n v="10000"/>
    <x v="141"/>
    <n v="66690000"/>
    <x v="2"/>
    <x v="63"/>
    <d v="2019-08-05T00:00:00"/>
    <d v="2019-08-05T00:00:00"/>
    <s v="05/7AL"/>
    <m/>
    <m/>
    <m/>
    <m/>
    <n v="0"/>
    <m/>
    <m/>
    <m/>
    <m/>
    <m/>
    <m/>
    <n v="0"/>
    <n v="10000"/>
    <n v="66690000"/>
    <m/>
  </r>
  <r>
    <s v="7A/2019"/>
    <d v="2019-04-23T00:00:00"/>
    <s v="KIỀU THY"/>
    <s v="CD01"/>
    <x v="68"/>
    <x v="6"/>
    <s v="CONCADOR "/>
    <m/>
    <s v="16.18"/>
    <n v="200"/>
    <s v="NL2018"/>
    <m/>
    <n v="50"/>
    <n v="10000"/>
    <x v="142"/>
    <n v="67540000"/>
    <x v="2"/>
    <x v="65"/>
    <d v="2019-09-03T00:00:00"/>
    <d v="2019-09-03T00:00:00"/>
    <s v="05/8AL"/>
    <m/>
    <m/>
    <m/>
    <m/>
    <n v="0"/>
    <m/>
    <m/>
    <m/>
    <m/>
    <m/>
    <m/>
    <n v="0"/>
    <n v="10000"/>
    <n v="67540000"/>
    <m/>
  </r>
  <r>
    <s v="7A/2019"/>
    <d v="2019-04-23T00:00:00"/>
    <s v="KIỀU THY"/>
    <s v="CD01"/>
    <x v="68"/>
    <x v="6"/>
    <s v="CONCADOR "/>
    <m/>
    <s v="16.18"/>
    <n v="200"/>
    <s v="NL2018"/>
    <m/>
    <n v="50"/>
    <n v="10000"/>
    <x v="143"/>
    <n v="68390000"/>
    <x v="2"/>
    <x v="66"/>
    <d v="2019-10-03T00:00:00"/>
    <d v="2019-10-03T00:00:00"/>
    <s v="05/9AL"/>
    <m/>
    <m/>
    <m/>
    <m/>
    <n v="0"/>
    <m/>
    <m/>
    <m/>
    <m/>
    <m/>
    <m/>
    <n v="0"/>
    <n v="10000"/>
    <n v="68390000"/>
    <m/>
  </r>
  <r>
    <s v="7A/2019"/>
    <d v="2018-12-27T00:00:00"/>
    <s v="KIỀU THY"/>
    <s v="CD01"/>
    <x v="68"/>
    <x v="6"/>
    <s v="CONCADOR"/>
    <m/>
    <s v="16.18"/>
    <n v="200"/>
    <s v="NL2018"/>
    <m/>
    <n v="45"/>
    <n v="9000"/>
    <x v="29"/>
    <n v="41400000"/>
    <x v="0"/>
    <x v="0"/>
    <d v="2019-03-20T00:00:00"/>
    <d v="2019-03-20T00:00:00"/>
    <s v="15/2AL"/>
    <s v="CONT 10/2019"/>
    <d v="2019-03-17T00:00:00"/>
    <m/>
    <d v="2019-03-04T00:00:00"/>
    <n v="5000"/>
    <d v="2019-03-19T00:00:00"/>
    <n v="4000"/>
    <m/>
    <m/>
    <m/>
    <m/>
    <n v="9000"/>
    <n v="0"/>
    <n v="0"/>
    <m/>
  </r>
  <r>
    <s v="7A/2019"/>
    <d v="2019-02-03T00:00:00"/>
    <s v="KIỀU THY"/>
    <s v="CD01"/>
    <x v="68"/>
    <x v="6"/>
    <s v="CONCADOR"/>
    <m/>
    <s v="16.18"/>
    <n v="200"/>
    <s v="NL2018"/>
    <m/>
    <n v="20"/>
    <n v="4000"/>
    <x v="8"/>
    <n v="20000000"/>
    <x v="0"/>
    <x v="5"/>
    <d v="2019-04-19T00:00:00"/>
    <d v="2019-04-19T00:00:00"/>
    <s v="15/3AL"/>
    <m/>
    <m/>
    <m/>
    <d v="2019-05-03T00:00:00"/>
    <n v="4000"/>
    <m/>
    <m/>
    <m/>
    <m/>
    <m/>
    <m/>
    <n v="4000"/>
    <n v="0"/>
    <n v="0"/>
    <m/>
  </r>
  <r>
    <s v="7A/2019"/>
    <d v="2019-04-23T00:00:00"/>
    <s v="KIỀU THY"/>
    <s v="CD01"/>
    <x v="68"/>
    <x v="6"/>
    <s v="CONCADOR"/>
    <m/>
    <s v="16.18"/>
    <n v="200"/>
    <s v="NL2018"/>
    <m/>
    <n v="50"/>
    <n v="10000"/>
    <x v="144"/>
    <n v="64990000"/>
    <x v="3"/>
    <x v="28"/>
    <d v="2019-06-07T00:00:00"/>
    <d v="2019-06-07T00:00:00"/>
    <s v="5/5AL"/>
    <m/>
    <m/>
    <m/>
    <d v="2019-06-15T00:00:00"/>
    <n v="5000"/>
    <m/>
    <m/>
    <m/>
    <m/>
    <m/>
    <m/>
    <n v="5000"/>
    <n v="5000"/>
    <n v="32495000"/>
    <m/>
  </r>
  <r>
    <s v="119A/2019"/>
    <d v="2019-03-14T00:00:00"/>
    <s v="KIỀU THY"/>
    <s v="CD01"/>
    <x v="68"/>
    <x v="8"/>
    <s v="CONCADOR"/>
    <m/>
    <s v="18.20"/>
    <n v="150"/>
    <s v="NL2018"/>
    <m/>
    <n v="87"/>
    <n v="13050"/>
    <x v="31"/>
    <n v="97875000"/>
    <x v="2"/>
    <x v="2"/>
    <d v="2019-09-29T00:00:00"/>
    <d v="2019-09-29T00:00:00"/>
    <s v="TẾT."/>
    <m/>
    <m/>
    <m/>
    <m/>
    <n v="0"/>
    <m/>
    <m/>
    <m/>
    <m/>
    <m/>
    <m/>
    <n v="0"/>
    <n v="13050"/>
    <n v="97875000"/>
    <m/>
  </r>
  <r>
    <s v="7A/2019"/>
    <d v="2018-12-27T00:00:00"/>
    <s v="KIỀU THY"/>
    <s v="CD01"/>
    <x v="68"/>
    <x v="6"/>
    <s v="CONCADOR"/>
    <m/>
    <s v="16.18"/>
    <n v="200"/>
    <s v="NL2018"/>
    <m/>
    <n v="25"/>
    <n v="5000"/>
    <x v="29"/>
    <n v="23000000"/>
    <x v="0"/>
    <x v="30"/>
    <d v="2019-04-04T00:00:00"/>
    <d v="2019-04-04T00:00:00"/>
    <s v="30/2AL"/>
    <s v="CONT 17/2019"/>
    <d v="2019-03-31T00:00:00"/>
    <m/>
    <d v="2019-04-15T00:00:00"/>
    <n v="5000"/>
    <m/>
    <m/>
    <m/>
    <m/>
    <m/>
    <m/>
    <n v="5000"/>
    <n v="0"/>
    <n v="0"/>
    <m/>
  </r>
  <r>
    <s v="7A/2019"/>
    <d v="2018-12-27T00:00:00"/>
    <s v="KIỀU THY"/>
    <s v="CD01"/>
    <x v="68"/>
    <x v="51"/>
    <s v="COMPETITION"/>
    <m/>
    <s v="16.18"/>
    <n v="200"/>
    <s v="NL2018"/>
    <m/>
    <n v="90"/>
    <n v="18000"/>
    <x v="32"/>
    <n v="120600000"/>
    <x v="0"/>
    <x v="0"/>
    <d v="2019-03-20T00:00:00"/>
    <d v="2019-03-20T00:00:00"/>
    <s v="15/2AL"/>
    <s v="CONT 9/2019"/>
    <d v="2019-03-17T00:00:00"/>
    <m/>
    <d v="2019-03-21T00:00:00"/>
    <n v="3000"/>
    <d v="2019-03-28T00:00:00"/>
    <n v="3000"/>
    <d v="2019-04-08T00:00:00"/>
    <n v="12000"/>
    <m/>
    <m/>
    <n v="18000"/>
    <n v="0"/>
    <n v="0"/>
    <m/>
  </r>
  <r>
    <s v="7A/2019"/>
    <d v="2019-05-10T00:00:00"/>
    <s v="KIỀU THY"/>
    <s v="CD01"/>
    <x v="68"/>
    <x v="51"/>
    <s v="COMPETITION"/>
    <m/>
    <s v="16.18"/>
    <n v="200"/>
    <s v="NL2018"/>
    <m/>
    <n v="15"/>
    <n v="3000"/>
    <x v="72"/>
    <n v="21300000"/>
    <x v="3"/>
    <x v="28"/>
    <d v="2019-06-07T00:00:00"/>
    <d v="2019-06-07T00:00:00"/>
    <m/>
    <m/>
    <m/>
    <m/>
    <m/>
    <m/>
    <m/>
    <m/>
    <m/>
    <m/>
    <m/>
    <m/>
    <n v="0"/>
    <n v="3000"/>
    <n v="21300000"/>
    <m/>
  </r>
  <r>
    <s v="7A/2019"/>
    <d v="2018-12-27T00:00:00"/>
    <s v="KIỀU THY"/>
    <s v="CD01"/>
    <x v="68"/>
    <x v="127"/>
    <s v="CARBONERO"/>
    <m/>
    <s v="16.18"/>
    <n v="200"/>
    <s v="NL2018"/>
    <m/>
    <n v="25"/>
    <n v="5000"/>
    <x v="145"/>
    <n v="30855000"/>
    <x v="3"/>
    <x v="1"/>
    <d v="2019-05-21T00:00:00"/>
    <d v="2019-05-21T00:00:00"/>
    <s v="30/3AL"/>
    <m/>
    <m/>
    <m/>
    <d v="2019-06-11T00:00:00"/>
    <n v="3000"/>
    <m/>
    <m/>
    <m/>
    <m/>
    <m/>
    <m/>
    <n v="3000"/>
    <n v="2000"/>
    <n v="12342000"/>
    <m/>
  </r>
  <r>
    <s v="7A/2019"/>
    <d v="2019-04-23T00:00:00"/>
    <s v="KIỀU THY"/>
    <s v="CD01"/>
    <x v="68"/>
    <x v="127"/>
    <s v="CARBONERO"/>
    <m/>
    <s v="16.18"/>
    <n v="200"/>
    <s v="NL2018"/>
    <m/>
    <n v="25"/>
    <n v="5000"/>
    <x v="146"/>
    <n v="31495000"/>
    <x v="3"/>
    <x v="28"/>
    <d v="2019-06-07T00:00:00"/>
    <d v="2019-06-07T00:00:00"/>
    <s v="5/5AL"/>
    <m/>
    <m/>
    <m/>
    <m/>
    <m/>
    <m/>
    <m/>
    <m/>
    <m/>
    <m/>
    <m/>
    <n v="0"/>
    <n v="5000"/>
    <n v="31495000"/>
    <m/>
  </r>
  <r>
    <s v="178A/2019"/>
    <d v="2018-12-27T00:00:00"/>
    <s v="KIỀU THY"/>
    <s v="CD01"/>
    <x v="68"/>
    <x v="127"/>
    <s v="CARBONERO"/>
    <m/>
    <s v="16.18"/>
    <n v="200"/>
    <s v="NL2018"/>
    <m/>
    <n v="0"/>
    <n v="0"/>
    <x v="51"/>
    <n v="0"/>
    <x v="1"/>
    <x v="34"/>
    <d v="2019-08-01T00:00:00"/>
    <d v="2019-08-01T00:00:00"/>
    <s v="T5 AL onwards, not including cooling cost"/>
    <m/>
    <m/>
    <m/>
    <m/>
    <n v="0"/>
    <m/>
    <m/>
    <m/>
    <m/>
    <m/>
    <m/>
    <n v="0"/>
    <n v="0"/>
    <n v="0"/>
    <m/>
  </r>
  <r>
    <s v="7A/2019"/>
    <d v="2018-12-27T00:00:00"/>
    <s v="KIỀU THY"/>
    <s v="CD01"/>
    <x v="68"/>
    <x v="128"/>
    <s v="BORRELLO"/>
    <m/>
    <s v="18.20"/>
    <n v="150"/>
    <s v="NL2018"/>
    <m/>
    <n v="20"/>
    <n v="3000"/>
    <x v="13"/>
    <n v="18600000"/>
    <x v="0"/>
    <x v="0"/>
    <d v="2019-03-20T00:00:00"/>
    <d v="2019-03-20T00:00:00"/>
    <s v="15/2AL"/>
    <s v="CONT 12/2019"/>
    <d v="2019-03-17T00:00:00"/>
    <m/>
    <d v="2019-03-28T00:00:00"/>
    <n v="3000"/>
    <m/>
    <m/>
    <m/>
    <m/>
    <m/>
    <m/>
    <n v="3000"/>
    <n v="0"/>
    <n v="0"/>
    <m/>
  </r>
  <r>
    <s v="7A/2019"/>
    <d v="2019-04-23T00:00:00"/>
    <s v="KIỀU THY"/>
    <s v="CD01"/>
    <x v="68"/>
    <x v="128"/>
    <s v="BORRELLO"/>
    <m/>
    <s v="18.20"/>
    <n v="150"/>
    <s v="NL2018"/>
    <m/>
    <n v="47"/>
    <n v="7050"/>
    <x v="147"/>
    <n v="45317400"/>
    <x v="3"/>
    <x v="28"/>
    <d v="2019-06-07T00:00:00"/>
    <d v="2019-06-07T00:00:00"/>
    <s v="5/5AL"/>
    <m/>
    <m/>
    <m/>
    <m/>
    <n v="0"/>
    <m/>
    <m/>
    <m/>
    <m/>
    <m/>
    <m/>
    <n v="0"/>
    <n v="7050"/>
    <n v="45317400"/>
    <m/>
  </r>
  <r>
    <s v="172A/2019"/>
    <d v="2019-02-03T00:00:00"/>
    <s v="KIỀU THY"/>
    <s v="CH01"/>
    <x v="69"/>
    <x v="4"/>
    <s v="ROBINA ZABO"/>
    <m/>
    <s v="20.22"/>
    <n v="125"/>
    <s v="NL2018"/>
    <s v="ZABO"/>
    <n v="80"/>
    <n v="10000"/>
    <x v="5"/>
    <n v="105000000"/>
    <x v="2"/>
    <x v="2"/>
    <d v="2019-09-29T00:00:00"/>
    <d v="2019-09-29T00:00:00"/>
    <s v="TẾT"/>
    <m/>
    <m/>
    <m/>
    <m/>
    <n v="0"/>
    <m/>
    <m/>
    <m/>
    <m/>
    <m/>
    <m/>
    <n v="0"/>
    <n v="10000"/>
    <n v="105000000"/>
    <m/>
  </r>
  <r>
    <s v="172A/2019"/>
    <d v="2019-02-03T00:00:00"/>
    <s v="KIỀU THY"/>
    <s v="CH01"/>
    <x v="69"/>
    <x v="5"/>
    <s v="ROBINA DLW"/>
    <m/>
    <s v="18.20"/>
    <n v="150"/>
    <s v="NL2018"/>
    <s v="DLW"/>
    <n v="67"/>
    <n v="10050"/>
    <x v="56"/>
    <n v="72360000"/>
    <x v="2"/>
    <x v="2"/>
    <d v="2019-09-29T00:00:00"/>
    <d v="2019-09-29T00:00:00"/>
    <s v="TẾT"/>
    <m/>
    <m/>
    <m/>
    <m/>
    <n v="0"/>
    <m/>
    <m/>
    <m/>
    <m/>
    <m/>
    <m/>
    <n v="0"/>
    <n v="10050"/>
    <n v="72360000"/>
    <m/>
  </r>
  <r>
    <s v="19A/2019"/>
    <d v="2019-02-03T00:00:00"/>
    <s v="KIỀU THY"/>
    <s v="CH01"/>
    <x v="69"/>
    <x v="5"/>
    <s v="ROBINA"/>
    <m/>
    <s v="18.20"/>
    <n v="150"/>
    <s v="NL2018"/>
    <s v="DLW"/>
    <n v="267"/>
    <n v="40050"/>
    <x v="96"/>
    <n v="261446400"/>
    <x v="3"/>
    <x v="1"/>
    <d v="2019-05-21T00:00:00"/>
    <d v="2019-05-21T00:00:00"/>
    <s v="17/4AL"/>
    <m/>
    <m/>
    <m/>
    <d v="2019-06-22T00:00:00"/>
    <n v="5100"/>
    <m/>
    <m/>
    <m/>
    <m/>
    <m/>
    <m/>
    <n v="5100"/>
    <n v="34950"/>
    <n v="228153600"/>
    <m/>
  </r>
  <r>
    <s v="19A/2019"/>
    <d v="2019-02-03T00:00:00"/>
    <s v="KIỀU THY"/>
    <s v="CH01"/>
    <x v="69"/>
    <x v="5"/>
    <s v="ROBINA"/>
    <m/>
    <s v="18.20"/>
    <n v="150"/>
    <s v="NL2018"/>
    <m/>
    <n v="200"/>
    <n v="30000"/>
    <x v="148"/>
    <n v="208650000"/>
    <x v="2"/>
    <x v="51"/>
    <d v="2019-08-30T00:00:00"/>
    <d v="2019-08-30T00:00:00"/>
    <s v="T8/AL"/>
    <m/>
    <m/>
    <m/>
    <m/>
    <n v="0"/>
    <m/>
    <m/>
    <m/>
    <m/>
    <m/>
    <m/>
    <n v="0"/>
    <n v="30000"/>
    <n v="208650000"/>
    <m/>
  </r>
  <r>
    <s v="19A/2019"/>
    <d v="2019-02-03T00:00:00"/>
    <s v="KIỀU THY"/>
    <s v="CH01"/>
    <x v="69"/>
    <x v="5"/>
    <s v="ROBINA"/>
    <m/>
    <s v="18.20"/>
    <n v="150"/>
    <s v="NL2018"/>
    <m/>
    <n v="33"/>
    <n v="4950"/>
    <x v="75"/>
    <n v="31185000"/>
    <x v="0"/>
    <x v="30"/>
    <d v="2019-04-04T00:00:00"/>
    <d v="2019-04-04T00:00:00"/>
    <s v="30/2AL"/>
    <s v="CONT 18/2019"/>
    <d v="2019-03-31T00:00:00"/>
    <m/>
    <d v="2019-05-03T00:00:00"/>
    <n v="300"/>
    <d v="2019-05-24T00:00:00"/>
    <n v="4650"/>
    <m/>
    <m/>
    <m/>
    <m/>
    <n v="4950"/>
    <n v="0"/>
    <n v="0"/>
    <m/>
  </r>
  <r>
    <s v="19A/2019"/>
    <d v="2019-02-03T00:00:00"/>
    <s v="KIỀU THY"/>
    <s v="CH01"/>
    <x v="69"/>
    <x v="11"/>
    <s v="PROFUNDO"/>
    <m/>
    <s v="16.18"/>
    <n v="200"/>
    <s v="NL2018"/>
    <m/>
    <n v="64"/>
    <n v="12800"/>
    <x v="32"/>
    <n v="85760000"/>
    <x v="0"/>
    <x v="0"/>
    <d v="2019-03-20T00:00:00"/>
    <d v="2019-03-20T00:00:00"/>
    <s v="15/2AL"/>
    <s v="CONT 12/2019"/>
    <d v="2019-03-17T00:00:00"/>
    <m/>
    <d v="2019-03-19T00:00:00"/>
    <n v="7800"/>
    <d v="2019-04-09T00:00:00"/>
    <n v="5000"/>
    <m/>
    <m/>
    <m/>
    <m/>
    <n v="12800"/>
    <n v="0"/>
    <n v="0"/>
    <m/>
  </r>
  <r>
    <s v="19A/2019"/>
    <d v="2019-02-03T00:00:00"/>
    <s v="KIỀU THY"/>
    <s v="CH01"/>
    <x v="69"/>
    <x v="125"/>
    <s v="DALIAN"/>
    <m/>
    <s v="16.18"/>
    <n v="200"/>
    <s v="NL2018"/>
    <m/>
    <n v="25"/>
    <n v="5000"/>
    <x v="32"/>
    <n v="33500000"/>
    <x v="0"/>
    <x v="0"/>
    <d v="2019-03-20T00:00:00"/>
    <d v="2019-03-20T00:00:00"/>
    <s v="15/2AL"/>
    <s v="CONT 11/2019"/>
    <d v="2019-03-17T00:00:00"/>
    <s v="R"/>
    <d v="2019-03-19T00:00:00"/>
    <n v="5000"/>
    <m/>
    <m/>
    <m/>
    <m/>
    <m/>
    <m/>
    <n v="5000"/>
    <n v="0"/>
    <n v="0"/>
    <m/>
  </r>
  <r>
    <s v="172A/2019"/>
    <d v="2019-02-03T00:00:00"/>
    <s v="KIỀU THY"/>
    <s v="CH01"/>
    <x v="69"/>
    <x v="8"/>
    <s v="CONCADOR STEEN"/>
    <m/>
    <s v="18.20"/>
    <n v="150"/>
    <s v="NL2018"/>
    <s v="STEEN"/>
    <n v="134"/>
    <n v="20100"/>
    <x v="9"/>
    <n v="160800000"/>
    <x v="2"/>
    <x v="2"/>
    <d v="2019-09-29T00:00:00"/>
    <d v="2019-09-29T00:00:00"/>
    <s v="TẾT"/>
    <m/>
    <m/>
    <m/>
    <m/>
    <n v="0"/>
    <m/>
    <m/>
    <m/>
    <m/>
    <m/>
    <m/>
    <n v="0"/>
    <n v="20100"/>
    <n v="160800000"/>
    <m/>
  </r>
  <r>
    <s v="19A/2019"/>
    <d v="2019-01-05T00:00:00"/>
    <s v="KIỀU THY"/>
    <s v="CH01"/>
    <x v="69"/>
    <x v="6"/>
    <s v="CONCADOR "/>
    <m/>
    <s v="16.18"/>
    <n v="200"/>
    <s v="NL2018"/>
    <m/>
    <n v="75"/>
    <n v="15000"/>
    <x v="8"/>
    <n v="75000000"/>
    <x v="3"/>
    <x v="5"/>
    <d v="2019-04-19T00:00:00"/>
    <d v="2019-04-19T00:00:00"/>
    <s v="15/3AL"/>
    <m/>
    <m/>
    <m/>
    <d v="2019-05-24T00:00:00"/>
    <n v="5000"/>
    <d v="2019-06-22T00:00:00"/>
    <n v="3000"/>
    <m/>
    <m/>
    <m/>
    <m/>
    <n v="8000"/>
    <n v="7000"/>
    <n v="35000000"/>
    <m/>
  </r>
  <r>
    <s v="19A/2019"/>
    <d v="2019-01-05T00:00:00"/>
    <s v="KIỀU THY"/>
    <s v="CH01"/>
    <x v="69"/>
    <x v="6"/>
    <s v="CONCADOR "/>
    <m/>
    <s v="16.18"/>
    <n v="200"/>
    <s v="NL2018"/>
    <m/>
    <n v="100"/>
    <n v="20000"/>
    <x v="29"/>
    <n v="92000000"/>
    <x v="0"/>
    <x v="6"/>
    <d v="2019-02-19T00:00:00"/>
    <d v="2019-02-19T00:00:00"/>
    <s v="15/1AL"/>
    <m/>
    <m/>
    <s v="R"/>
    <d v="2019-02-25T00:00:00"/>
    <n v="6600"/>
    <d v="2019-03-02T00:00:00"/>
    <n v="13400"/>
    <m/>
    <m/>
    <m/>
    <m/>
    <n v="20000"/>
    <n v="0"/>
    <n v="0"/>
    <m/>
  </r>
  <r>
    <s v="19A/2019"/>
    <d v="2019-01-05T00:00:00"/>
    <s v="KIỀU THY"/>
    <s v="CH01"/>
    <x v="69"/>
    <x v="6"/>
    <s v="CONCADOR "/>
    <m/>
    <s v="16.18"/>
    <n v="200"/>
    <s v="NL2018"/>
    <m/>
    <n v="50"/>
    <n v="10000"/>
    <x v="29"/>
    <n v="46000000"/>
    <x v="0"/>
    <x v="22"/>
    <d v="2019-02-27T00:00:00"/>
    <d v="2019-02-27T00:00:00"/>
    <s v="23/1AL"/>
    <m/>
    <m/>
    <m/>
    <d v="2019-03-14T00:00:00"/>
    <n v="6800"/>
    <d v="2019-03-19T00:00:00"/>
    <n v="3200"/>
    <m/>
    <m/>
    <m/>
    <m/>
    <n v="10000"/>
    <n v="0"/>
    <n v="0"/>
    <m/>
  </r>
  <r>
    <s v="19A/2019"/>
    <d v="2019-01-05T00:00:00"/>
    <s v="KIỀU THY"/>
    <s v="CH01"/>
    <x v="69"/>
    <x v="6"/>
    <s v="CONCADOR "/>
    <m/>
    <s v="16.18"/>
    <n v="200"/>
    <s v="NL2018"/>
    <m/>
    <n v="0"/>
    <n v="0"/>
    <x v="8"/>
    <n v="0"/>
    <x v="1"/>
    <x v="5"/>
    <d v="2019-04-19T00:00:00"/>
    <d v="2019-04-19T00:00:00"/>
    <s v="15/3AL"/>
    <m/>
    <m/>
    <m/>
    <m/>
    <m/>
    <m/>
    <m/>
    <m/>
    <m/>
    <m/>
    <m/>
    <n v="0"/>
    <n v="0"/>
    <n v="0"/>
    <m/>
  </r>
  <r>
    <s v="19A/2019"/>
    <d v="2019-01-05T00:00:00"/>
    <s v="KIỀU THY"/>
    <s v="CH01"/>
    <x v="69"/>
    <x v="6"/>
    <s v="CONCADOR "/>
    <m/>
    <s v="16.18"/>
    <n v="200"/>
    <s v="NL2018"/>
    <m/>
    <n v="0"/>
    <n v="0"/>
    <x v="54"/>
    <n v="0"/>
    <x v="1"/>
    <x v="26"/>
    <s v=""/>
    <s v=""/>
    <s v="5/5AL"/>
    <m/>
    <m/>
    <m/>
    <m/>
    <n v="0"/>
    <m/>
    <m/>
    <m/>
    <m/>
    <m/>
    <m/>
    <n v="0"/>
    <n v="0"/>
    <n v="0"/>
    <m/>
  </r>
  <r>
    <s v="19A/2019"/>
    <d v="2019-04-23T00:00:00"/>
    <s v="KIỀU THY"/>
    <s v="CH01"/>
    <x v="69"/>
    <x v="129"/>
    <s v="CARBONERO"/>
    <m/>
    <s v="18.20"/>
    <n v="150"/>
    <s v="NL2018"/>
    <m/>
    <n v="67"/>
    <n v="10050"/>
    <x v="149"/>
    <n v="83415000"/>
    <x v="2"/>
    <x v="51"/>
    <d v="2019-08-30T00:00:00"/>
    <d v="2019-08-30T00:00:00"/>
    <m/>
    <m/>
    <m/>
    <m/>
    <m/>
    <m/>
    <m/>
    <m/>
    <m/>
    <m/>
    <m/>
    <m/>
    <n v="0"/>
    <n v="10050"/>
    <n v="83415000"/>
    <m/>
  </r>
  <r>
    <s v="19A/2019"/>
    <d v="2019-01-05T00:00:00"/>
    <s v="KIỀU THY"/>
    <s v="CH01"/>
    <x v="69"/>
    <x v="81"/>
    <s v="BACARDI"/>
    <m/>
    <s v="16.18"/>
    <n v="200"/>
    <s v="NL2018"/>
    <m/>
    <n v="50"/>
    <n v="10000"/>
    <x v="75"/>
    <n v="63000000"/>
    <x v="0"/>
    <x v="6"/>
    <d v="2019-02-19T00:00:00"/>
    <d v="2019-02-19T00:00:00"/>
    <s v="15/1AL"/>
    <m/>
    <m/>
    <s v="R"/>
    <d v="2019-02-25T00:00:00"/>
    <n v="6000"/>
    <d v="2019-03-02T00:00:00"/>
    <n v="4000"/>
    <m/>
    <m/>
    <m/>
    <m/>
    <n v="10000"/>
    <n v="0"/>
    <n v="0"/>
    <m/>
  </r>
  <r>
    <s v="180A/2019"/>
    <d v="2019-04-08T00:00:00"/>
    <s v="KIỀU THY"/>
    <s v="CL03"/>
    <x v="70"/>
    <x v="78"/>
    <s v="YELLOWEEN"/>
    <m/>
    <s v="14.16"/>
    <s v="300"/>
    <s v="NL2018"/>
    <m/>
    <n v="1"/>
    <n v="300"/>
    <x v="43"/>
    <n v="1440000"/>
    <x v="0"/>
    <x v="17"/>
    <d v="2019-04-02T00:00:00"/>
    <d v="2019-04-02T00:00:00"/>
    <s v="30/2AL"/>
    <m/>
    <m/>
    <m/>
    <d v="2019-04-23T00:00:00"/>
    <n v="300"/>
    <m/>
    <m/>
    <m/>
    <m/>
    <m/>
    <m/>
    <n v="300"/>
    <n v="0"/>
    <n v="0"/>
    <m/>
  </r>
  <r>
    <s v="180A/2019"/>
    <d v="2019-04-08T00:00:00"/>
    <s v="KIỀU THY"/>
    <s v="CL03"/>
    <x v="70"/>
    <x v="35"/>
    <s v="TARRANGO"/>
    <m/>
    <s v="14.16"/>
    <s v="300"/>
    <s v="NL2018"/>
    <m/>
    <n v="1"/>
    <n v="300"/>
    <x v="55"/>
    <n v="1680000"/>
    <x v="0"/>
    <x v="17"/>
    <d v="2019-04-02T00:00:00"/>
    <d v="2019-04-02T00:00:00"/>
    <s v="30/2AL"/>
    <m/>
    <m/>
    <m/>
    <d v="2019-04-23T00:00:00"/>
    <n v="300"/>
    <m/>
    <m/>
    <m/>
    <m/>
    <m/>
    <m/>
    <n v="300"/>
    <n v="0"/>
    <n v="0"/>
    <m/>
  </r>
  <r>
    <s v="180A/2019"/>
    <d v="2019-04-08T00:00:00"/>
    <s v="KIỀU THY"/>
    <s v="CL03"/>
    <x v="70"/>
    <x v="12"/>
    <s v="PROFUNDO"/>
    <m/>
    <s v="14.16"/>
    <s v="300"/>
    <s v="NL2018"/>
    <m/>
    <n v="1"/>
    <n v="300"/>
    <x v="51"/>
    <n v="1800000"/>
    <x v="0"/>
    <x v="5"/>
    <d v="2019-04-19T00:00:00"/>
    <d v="2019-04-19T00:00:00"/>
    <s v="15/3AL"/>
    <m/>
    <m/>
    <m/>
    <d v="2019-04-23T00:00:00"/>
    <n v="300"/>
    <m/>
    <m/>
    <m/>
    <m/>
    <m/>
    <m/>
    <n v="300"/>
    <n v="0"/>
    <n v="0"/>
    <m/>
  </r>
  <r>
    <s v="180A/2019"/>
    <d v="2019-04-08T00:00:00"/>
    <s v="KIỀU THY"/>
    <s v="CL03"/>
    <x v="70"/>
    <x v="115"/>
    <s v="PARAGUAY"/>
    <m/>
    <s v="14.16"/>
    <s v="275"/>
    <s v="NL2018"/>
    <m/>
    <n v="1"/>
    <n v="275"/>
    <x v="55"/>
    <n v="1540000"/>
    <x v="0"/>
    <x v="5"/>
    <d v="2019-04-19T00:00:00"/>
    <d v="2019-04-19T00:00:00"/>
    <s v="15/3AL"/>
    <m/>
    <m/>
    <m/>
    <d v="2019-04-23T00:00:00"/>
    <n v="275"/>
    <m/>
    <m/>
    <m/>
    <m/>
    <m/>
    <m/>
    <n v="275"/>
    <n v="0"/>
    <n v="0"/>
    <m/>
  </r>
  <r>
    <s v="180A/2019"/>
    <d v="2019-04-08T00:00:00"/>
    <s v="KIỀU THY"/>
    <s v="CL03"/>
    <x v="70"/>
    <x v="79"/>
    <s v="MANISSA"/>
    <m/>
    <s v="16.18"/>
    <s v="200"/>
    <s v="NL2018"/>
    <m/>
    <n v="1"/>
    <n v="200"/>
    <x v="9"/>
    <n v="1600000"/>
    <x v="0"/>
    <x v="5"/>
    <d v="2019-04-19T00:00:00"/>
    <d v="2019-04-19T00:00:00"/>
    <s v="15/3AL"/>
    <m/>
    <m/>
    <m/>
    <d v="2019-04-23T00:00:00"/>
    <n v="200"/>
    <m/>
    <m/>
    <m/>
    <m/>
    <m/>
    <m/>
    <n v="200"/>
    <n v="0"/>
    <n v="0"/>
    <m/>
  </r>
  <r>
    <s v="180A/2019"/>
    <d v="2019-04-08T00:00:00"/>
    <s v="KIỀU THY"/>
    <s v="CL03"/>
    <x v="70"/>
    <x v="111"/>
    <s v="LODI"/>
    <m/>
    <s v="16.18"/>
    <s v="200"/>
    <s v="NL2018"/>
    <m/>
    <n v="1"/>
    <n v="200"/>
    <x v="67"/>
    <n v="1640000"/>
    <x v="0"/>
    <x v="5"/>
    <d v="2019-04-19T00:00:00"/>
    <d v="2019-04-19T00:00:00"/>
    <s v="15/3AL"/>
    <m/>
    <m/>
    <m/>
    <d v="2019-04-23T00:00:00"/>
    <n v="200"/>
    <m/>
    <m/>
    <m/>
    <m/>
    <m/>
    <m/>
    <n v="200"/>
    <n v="0"/>
    <n v="0"/>
    <m/>
  </r>
  <r>
    <s v="180A/2019"/>
    <d v="2019-04-08T00:00:00"/>
    <s v="KIỀU THY"/>
    <s v="CL03"/>
    <x v="70"/>
    <x v="56"/>
    <s v="ALUSTA"/>
    <m/>
    <s v="14.16"/>
    <s v="300"/>
    <s v="NL2018"/>
    <m/>
    <n v="1"/>
    <n v="300"/>
    <x v="8"/>
    <n v="1500000"/>
    <x v="0"/>
    <x v="17"/>
    <d v="2019-04-02T00:00:00"/>
    <d v="2019-04-02T00:00:00"/>
    <s v="30/2AL"/>
    <m/>
    <m/>
    <m/>
    <d v="2019-04-23T00:00:00"/>
    <n v="300"/>
    <m/>
    <m/>
    <m/>
    <m/>
    <m/>
    <m/>
    <n v="300"/>
    <n v="0"/>
    <n v="0"/>
    <m/>
  </r>
  <r>
    <s v="148A/2019"/>
    <d v="2019-03-26T00:00:00"/>
    <s v="KIỀU THY"/>
    <s v="DT02"/>
    <x v="71"/>
    <x v="23"/>
    <s v="ROBINA"/>
    <m/>
    <s v="22.24"/>
    <s v="100"/>
    <s v="NL2018"/>
    <m/>
    <n v="60"/>
    <n v="6000"/>
    <x v="25"/>
    <n v="75000000"/>
    <x v="2"/>
    <x v="2"/>
    <d v="2019-09-29T00:00:00"/>
    <d v="2019-09-29T00:00:00"/>
    <s v="TẾT"/>
    <m/>
    <m/>
    <m/>
    <m/>
    <m/>
    <m/>
    <m/>
    <m/>
    <m/>
    <m/>
    <m/>
    <n v="0"/>
    <n v="6000"/>
    <n v="75000000"/>
    <m/>
  </r>
  <r>
    <s v="148A/2019"/>
    <d v="2019-03-26T00:00:00"/>
    <s v="KIỀU THY"/>
    <s v="DT02"/>
    <x v="71"/>
    <x v="7"/>
    <s v="CONCADOR"/>
    <m/>
    <s v="20.22"/>
    <s v="125"/>
    <s v="NL2018"/>
    <m/>
    <n v="80"/>
    <n v="10000"/>
    <x v="5"/>
    <n v="105000000"/>
    <x v="2"/>
    <x v="2"/>
    <d v="2019-09-29T00:00:00"/>
    <d v="2019-09-29T00:00:00"/>
    <s v="TẾT"/>
    <m/>
    <m/>
    <m/>
    <m/>
    <m/>
    <m/>
    <m/>
    <m/>
    <m/>
    <m/>
    <m/>
    <n v="0"/>
    <n v="10000"/>
    <n v="105000000"/>
    <m/>
  </r>
  <r>
    <s v="83B/2019"/>
    <d v="2019-03-02T00:00:00"/>
    <s v="THANH THÚY"/>
    <s v="LC01"/>
    <x v="72"/>
    <x v="0"/>
    <s v="YELLOWEEN"/>
    <m/>
    <s v="12.14"/>
    <n v="400"/>
    <s v="NL2018"/>
    <m/>
    <n v="0"/>
    <n v="0"/>
    <x v="0"/>
    <n v="0"/>
    <x v="1"/>
    <x v="67"/>
    <d v="2019-03-13T00:00:00"/>
    <d v="2019-03-13T00:00:00"/>
    <s v="giao anh Kin 08/02AL_5.200"/>
    <m/>
    <m/>
    <m/>
    <m/>
    <n v="0"/>
    <m/>
    <m/>
    <m/>
    <m/>
    <m/>
    <m/>
    <n v="0"/>
    <n v="0"/>
    <n v="0"/>
    <d v="2020-12-22T00:00:00"/>
  </r>
  <r>
    <s v="121B/2019"/>
    <d v="2019-03-14T00:00:00"/>
    <s v="THANH THÚY"/>
    <s v="LC01"/>
    <x v="72"/>
    <x v="78"/>
    <s v="YELLOWEEN"/>
    <m/>
    <s v="14.16"/>
    <n v="300"/>
    <s v="NL2018"/>
    <m/>
    <n v="34"/>
    <n v="10200"/>
    <x v="64"/>
    <n v="38760000"/>
    <x v="0"/>
    <x v="5"/>
    <d v="2019-04-19T00:00:00"/>
    <d v="2019-04-19T00:00:00"/>
    <s v="15/3AL"/>
    <s v="CONT 20/2019"/>
    <m/>
    <m/>
    <d v="2019-04-23T00:00:00"/>
    <n v="10200"/>
    <m/>
    <m/>
    <m/>
    <m/>
    <m/>
    <m/>
    <n v="10200"/>
    <n v="0"/>
    <n v="0"/>
    <m/>
  </r>
  <r>
    <s v="121B/2019"/>
    <d v="2019-03-14T00:00:00"/>
    <s v="THANH THÚY"/>
    <s v="LC01"/>
    <x v="72"/>
    <x v="78"/>
    <s v="YELLOWEEN"/>
    <m/>
    <s v="14.16"/>
    <n v="300"/>
    <s v="NL2018"/>
    <m/>
    <n v="32"/>
    <n v="9600"/>
    <x v="64"/>
    <n v="36480000"/>
    <x v="0"/>
    <x v="1"/>
    <d v="2019-05-21T00:00:00"/>
    <d v="2019-05-21T00:00:00"/>
    <s v="17/4AL"/>
    <m/>
    <m/>
    <m/>
    <d v="2019-05-24T00:00:00"/>
    <n v="9600"/>
    <m/>
    <m/>
    <m/>
    <m/>
    <m/>
    <m/>
    <n v="9600"/>
    <n v="0"/>
    <n v="0"/>
    <m/>
  </r>
  <r>
    <s v="181B/2019"/>
    <d v="2019-05-15T00:00:00"/>
    <s v="THANH THÚY"/>
    <s v="LC01"/>
    <x v="72"/>
    <x v="78"/>
    <s v="YELLOWEEN"/>
    <m/>
    <s v="14.16"/>
    <n v="300"/>
    <s v="NL2018"/>
    <m/>
    <n v="34"/>
    <n v="10200"/>
    <x v="64"/>
    <n v="38760000"/>
    <x v="0"/>
    <x v="28"/>
    <d v="2019-06-07T00:00:00"/>
    <d v="2019-06-07T00:00:00"/>
    <s v="05/5AL"/>
    <m/>
    <m/>
    <m/>
    <d v="2019-06-10T00:00:00"/>
    <n v="10200"/>
    <m/>
    <m/>
    <m/>
    <m/>
    <m/>
    <m/>
    <n v="10200"/>
    <n v="0"/>
    <n v="0"/>
    <m/>
  </r>
  <r>
    <s v="181B/2019"/>
    <d v="2019-05-29T00:00:00"/>
    <s v="THANH THÚY"/>
    <s v="LC01"/>
    <x v="72"/>
    <x v="78"/>
    <s v="YELLOWEEN"/>
    <m/>
    <s v="14.16"/>
    <n v="300"/>
    <s v="NL2018"/>
    <m/>
    <n v="10"/>
    <n v="3000"/>
    <x v="58"/>
    <n v="11700000"/>
    <x v="3"/>
    <x v="28"/>
    <d v="2019-06-07T00:00:00"/>
    <d v="2019-06-07T00:00:00"/>
    <m/>
    <s v="Giao cử 30/5"/>
    <m/>
    <m/>
    <m/>
    <m/>
    <m/>
    <m/>
    <m/>
    <m/>
    <m/>
    <m/>
    <n v="0"/>
    <n v="3000"/>
    <n v="11700000"/>
    <m/>
  </r>
  <r>
    <s v="181B/2019"/>
    <d v="2019-05-29T00:00:00"/>
    <s v="THANH THÚY"/>
    <s v="LC01"/>
    <x v="72"/>
    <x v="78"/>
    <s v="YELLOWEEN"/>
    <m/>
    <s v="14.16"/>
    <n v="300"/>
    <s v="NL2018"/>
    <m/>
    <n v="24"/>
    <n v="7200"/>
    <x v="58"/>
    <n v="28080000"/>
    <x v="3"/>
    <x v="3"/>
    <d v="2019-06-20T00:00:00"/>
    <d v="2019-06-20T00:00:00"/>
    <m/>
    <s v="Giao cử 30/5"/>
    <m/>
    <m/>
    <m/>
    <m/>
    <m/>
    <m/>
    <m/>
    <m/>
    <m/>
    <m/>
    <n v="0"/>
    <n v="7200"/>
    <n v="28080000"/>
    <m/>
  </r>
  <r>
    <s v="181B/2019"/>
    <d v="2019-05-15T00:00:00"/>
    <s v="THANH THÚY"/>
    <s v="LC01"/>
    <x v="72"/>
    <x v="78"/>
    <s v="YELLOWEEN"/>
    <m/>
    <s v="14.16"/>
    <n v="300"/>
    <s v="NL2018"/>
    <m/>
    <n v="34"/>
    <n v="10200"/>
    <x v="45"/>
    <n v="40800000"/>
    <x v="4"/>
    <x v="4"/>
    <d v="2019-07-17T00:00:00"/>
    <d v="2019-07-17T00:00:00"/>
    <s v="05/5AL"/>
    <m/>
    <m/>
    <m/>
    <m/>
    <m/>
    <m/>
    <m/>
    <m/>
    <m/>
    <m/>
    <m/>
    <n v="0"/>
    <n v="10200"/>
    <n v="40800000"/>
    <m/>
  </r>
  <r>
    <s v="181B/2019"/>
    <d v="2019-06-22T00:00:00"/>
    <s v="THANH THÚY"/>
    <s v="LC01"/>
    <x v="72"/>
    <x v="24"/>
    <s v="DALIAN"/>
    <m/>
    <s v="14.16"/>
    <n v="300"/>
    <s v="NL2018"/>
    <m/>
    <n v="17"/>
    <n v="5100"/>
    <x v="55"/>
    <n v="28560000"/>
    <x v="2"/>
    <x v="60"/>
    <s v=""/>
    <s v=""/>
    <m/>
    <m/>
    <m/>
    <m/>
    <m/>
    <m/>
    <m/>
    <m/>
    <m/>
    <m/>
    <m/>
    <m/>
    <n v="0"/>
    <n v="5100"/>
    <n v="28560000"/>
    <m/>
  </r>
  <r>
    <s v="181B/2019"/>
    <d v="2019-06-22T00:00:00"/>
    <s v="THANH THÚY"/>
    <s v="LC01"/>
    <x v="72"/>
    <x v="101"/>
    <s v="DIGAME"/>
    <m/>
    <n v="16.18"/>
    <s v="200"/>
    <s v="NL2018"/>
    <m/>
    <n v="25"/>
    <n v="5000"/>
    <x v="95"/>
    <n v="33000000"/>
    <x v="2"/>
    <x v="60"/>
    <s v=""/>
    <s v=""/>
    <m/>
    <m/>
    <m/>
    <m/>
    <m/>
    <m/>
    <m/>
    <m/>
    <m/>
    <m/>
    <m/>
    <m/>
    <n v="0"/>
    <n v="5000"/>
    <n v="33000000"/>
    <m/>
  </r>
  <r>
    <s v="181B/2019"/>
    <d v="2019-05-29T00:00:00"/>
    <s v="THANH THÚY"/>
    <s v="LC01"/>
    <x v="72"/>
    <x v="78"/>
    <s v="YELLOWEEN"/>
    <m/>
    <s v="14.16"/>
    <n v="300"/>
    <s v="NL2018"/>
    <m/>
    <n v="34"/>
    <n v="10200"/>
    <x v="45"/>
    <n v="40800000"/>
    <x v="2"/>
    <x v="13"/>
    <d v="2019-07-31T00:00:00"/>
    <d v="2019-07-31T00:00:00"/>
    <m/>
    <m/>
    <m/>
    <m/>
    <m/>
    <m/>
    <m/>
    <m/>
    <m/>
    <m/>
    <m/>
    <m/>
    <n v="0"/>
    <n v="10200"/>
    <n v="40800000"/>
    <m/>
  </r>
  <r>
    <s v="181B/2019"/>
    <d v="2019-05-29T00:00:00"/>
    <s v="THANH THÚY"/>
    <s v="LC01"/>
    <x v="72"/>
    <x v="78"/>
    <s v="YELLOWEEN"/>
    <m/>
    <s v="14.16"/>
    <n v="300"/>
    <s v="NL2018"/>
    <m/>
    <n v="34"/>
    <n v="10200"/>
    <x v="45"/>
    <n v="40800000"/>
    <x v="2"/>
    <x v="40"/>
    <d v="2019-08-15T00:00:00"/>
    <d v="2019-08-15T00:00:00"/>
    <m/>
    <m/>
    <m/>
    <m/>
    <m/>
    <m/>
    <m/>
    <m/>
    <m/>
    <m/>
    <m/>
    <m/>
    <n v="0"/>
    <n v="10200"/>
    <n v="40800000"/>
    <m/>
  </r>
  <r>
    <s v="121B/2019"/>
    <d v="2019-03-14T00:00:00"/>
    <s v="THANH THÚY"/>
    <s v="LC01"/>
    <x v="72"/>
    <x v="35"/>
    <s v="TARRANGO"/>
    <m/>
    <s v="14.16"/>
    <n v="300"/>
    <s v="NL2018"/>
    <m/>
    <n v="35"/>
    <n v="10500"/>
    <x v="29"/>
    <n v="48300000"/>
    <x v="0"/>
    <x v="5"/>
    <d v="2019-04-19T00:00:00"/>
    <d v="2019-04-19T00:00:00"/>
    <s v="15/3AL"/>
    <s v="CONT 24/2019"/>
    <m/>
    <m/>
    <d v="2019-04-19T00:00:00"/>
    <n v="10500"/>
    <m/>
    <m/>
    <m/>
    <m/>
    <m/>
    <m/>
    <n v="10500"/>
    <n v="0"/>
    <n v="0"/>
    <d v="2020-01-15T00:00:00"/>
  </r>
  <r>
    <s v="181B/2019"/>
    <d v="2019-05-29T00:00:00"/>
    <s v="THANH THÚY"/>
    <s v="LC01"/>
    <x v="72"/>
    <x v="35"/>
    <s v="TARRANGO"/>
    <m/>
    <s v="14.16"/>
    <n v="300"/>
    <s v="NL2018"/>
    <m/>
    <n v="50"/>
    <n v="15000"/>
    <x v="43"/>
    <n v="72000000"/>
    <x v="0"/>
    <x v="28"/>
    <d v="2019-06-07T00:00:00"/>
    <d v="2019-06-07T00:00:00"/>
    <s v="05/5AL"/>
    <m/>
    <m/>
    <m/>
    <d v="2019-06-10T00:00:00"/>
    <n v="5100"/>
    <d v="2019-06-18T00:00:00"/>
    <n v="9900"/>
    <m/>
    <m/>
    <m/>
    <m/>
    <n v="15000"/>
    <n v="0"/>
    <n v="0"/>
    <m/>
  </r>
  <r>
    <s v="121B/2019"/>
    <d v="2019-03-14T00:00:00"/>
    <s v="THANH THÚY"/>
    <s v="LC01"/>
    <x v="72"/>
    <x v="2"/>
    <s v="SERANO"/>
    <m/>
    <s v="14.16"/>
    <n v="300"/>
    <s v="NL2018"/>
    <m/>
    <n v="17"/>
    <n v="5100"/>
    <x v="108"/>
    <n v="18360000"/>
    <x v="0"/>
    <x v="10"/>
    <d v="2019-04-03T00:00:00"/>
    <d v="2019-04-03T00:00:00"/>
    <s v="28/2AL"/>
    <m/>
    <m/>
    <m/>
    <d v="2019-04-03T00:00:00"/>
    <n v="5100"/>
    <m/>
    <m/>
    <m/>
    <m/>
    <m/>
    <m/>
    <n v="5100"/>
    <n v="0"/>
    <n v="0"/>
    <d v="2020-01-15T00:00:00"/>
  </r>
  <r>
    <s v="121B/2019"/>
    <d v="2019-03-14T00:00:00"/>
    <s v="THANH THÚY"/>
    <s v="LC01"/>
    <x v="72"/>
    <x v="87"/>
    <s v="SERANO"/>
    <m/>
    <s v="16.18"/>
    <n v="200"/>
    <s v="NL2018"/>
    <m/>
    <n v="0"/>
    <n v="0"/>
    <x v="73"/>
    <n v="0"/>
    <x v="1"/>
    <x v="11"/>
    <d v="2019-06-02T00:00:00"/>
    <d v="2019-06-02T00:00:00"/>
    <s v="29/4AL"/>
    <m/>
    <m/>
    <m/>
    <m/>
    <m/>
    <m/>
    <m/>
    <m/>
    <m/>
    <m/>
    <m/>
    <n v="0"/>
    <n v="0"/>
    <n v="0"/>
    <m/>
  </r>
  <r>
    <s v="83B/2019"/>
    <d v="2019-03-02T00:00:00"/>
    <s v="THANH THÚY"/>
    <s v="LC01"/>
    <x v="72"/>
    <x v="5"/>
    <s v="ROBINA"/>
    <m/>
    <s v="18.20"/>
    <n v="150"/>
    <s v="NL2018"/>
    <m/>
    <n v="67"/>
    <n v="10050"/>
    <x v="75"/>
    <n v="63315000"/>
    <x v="0"/>
    <x v="68"/>
    <d v="2019-03-30T00:00:00"/>
    <d v="2019-03-30T00:00:00"/>
    <s v="xả mát, giao anh Kin 20/02AL"/>
    <s v="CONT 10/2019"/>
    <m/>
    <m/>
    <d v="2019-03-30T00:00:00"/>
    <n v="10050"/>
    <m/>
    <m/>
    <m/>
    <m/>
    <m/>
    <m/>
    <n v="10050"/>
    <n v="0"/>
    <n v="0"/>
    <d v="2020-12-22T00:00:00"/>
  </r>
  <r>
    <s v="121B/2019"/>
    <d v="2019-03-14T00:00:00"/>
    <s v="THANH THÚY"/>
    <s v="LC01"/>
    <x v="72"/>
    <x v="3"/>
    <s v="ROBINA"/>
    <m/>
    <s v="16.18"/>
    <n v="200"/>
    <s v="NL2018"/>
    <m/>
    <n v="30"/>
    <n v="6000"/>
    <x v="8"/>
    <n v="30000000"/>
    <x v="0"/>
    <x v="10"/>
    <d v="2019-04-03T00:00:00"/>
    <d v="2019-04-03T00:00:00"/>
    <s v="28/2AL"/>
    <m/>
    <m/>
    <m/>
    <d v="2019-04-03T00:00:00"/>
    <n v="6000"/>
    <m/>
    <m/>
    <m/>
    <m/>
    <m/>
    <m/>
    <n v="6000"/>
    <n v="0"/>
    <n v="0"/>
    <d v="2020-01-15T00:00:00"/>
  </r>
  <r>
    <s v="121B/2019"/>
    <d v="2019-03-14T00:00:00"/>
    <s v="THANH THÚY"/>
    <s v="LC01"/>
    <x v="72"/>
    <x v="5"/>
    <s v="ROBINA"/>
    <m/>
    <s v="18.20"/>
    <n v="150"/>
    <s v="NL2018"/>
    <m/>
    <n v="67"/>
    <n v="10050"/>
    <x v="150"/>
    <n v="65304900"/>
    <x v="0"/>
    <x v="1"/>
    <d v="2019-05-21T00:00:00"/>
    <d v="2019-05-21T00:00:00"/>
    <s v="30/3AL"/>
    <m/>
    <m/>
    <m/>
    <d v="2019-05-24T00:00:00"/>
    <n v="10050"/>
    <m/>
    <m/>
    <m/>
    <m/>
    <m/>
    <m/>
    <n v="10050"/>
    <n v="0"/>
    <n v="0"/>
    <d v="2020-01-15T00:00:00"/>
  </r>
  <r>
    <s v="153B/2019"/>
    <d v="2019-04-03T00:00:00"/>
    <s v="THANH THÚY"/>
    <s v="LC01"/>
    <x v="72"/>
    <x v="4"/>
    <s v="ROBINA"/>
    <m/>
    <s v="20.22"/>
    <n v="125"/>
    <s v="NL2018"/>
    <m/>
    <n v="80"/>
    <n v="10000"/>
    <x v="5"/>
    <n v="105000000"/>
    <x v="2"/>
    <x v="2"/>
    <d v="2019-09-29T00:00:00"/>
    <d v="2019-09-29T00:00:00"/>
    <s v="TẾT"/>
    <m/>
    <m/>
    <m/>
    <m/>
    <n v="0"/>
    <m/>
    <m/>
    <m/>
    <m/>
    <m/>
    <m/>
    <n v="0"/>
    <n v="10000"/>
    <n v="105000000"/>
    <d v="2020-01-15T00:00:00"/>
  </r>
  <r>
    <s v="121B/2019"/>
    <d v="2019-03-14T00:00:00"/>
    <s v="THANH THÚY"/>
    <s v="LC01"/>
    <x v="72"/>
    <x v="27"/>
    <s v="MALDANO"/>
    <m/>
    <s v="16.18"/>
    <n v="200"/>
    <s v="NL2018"/>
    <m/>
    <n v="10"/>
    <n v="2000"/>
    <x v="33"/>
    <n v="10600000"/>
    <x v="0"/>
    <x v="1"/>
    <d v="2019-05-21T00:00:00"/>
    <d v="2019-05-21T00:00:00"/>
    <s v="17/4AL"/>
    <m/>
    <m/>
    <m/>
    <d v="2019-05-24T00:00:00"/>
    <n v="2000"/>
    <m/>
    <m/>
    <m/>
    <m/>
    <m/>
    <m/>
    <n v="2000"/>
    <n v="0"/>
    <n v="0"/>
    <m/>
  </r>
  <r>
    <s v="181B/2019"/>
    <d v="2019-05-15T00:00:00"/>
    <s v="THANH THÚY"/>
    <s v="LC01"/>
    <x v="72"/>
    <x v="84"/>
    <s v="INDIANA"/>
    <m/>
    <s v="14.16"/>
    <n v="300"/>
    <s v="NL2018"/>
    <m/>
    <n v="0"/>
    <n v="0"/>
    <x v="44"/>
    <n v="0"/>
    <x v="1"/>
    <x v="4"/>
    <d v="2019-07-17T00:00:00"/>
    <d v="2019-07-17T00:00:00"/>
    <s v="05/5AL"/>
    <m/>
    <m/>
    <m/>
    <m/>
    <m/>
    <m/>
    <m/>
    <m/>
    <m/>
    <m/>
    <m/>
    <n v="0"/>
    <n v="0"/>
    <n v="0"/>
    <m/>
  </r>
  <r>
    <s v="181B/2019"/>
    <d v="2019-05-24T00:00:00"/>
    <s v="THANH THÚY"/>
    <s v="LC01"/>
    <x v="72"/>
    <x v="24"/>
    <s v="DALIAN"/>
    <m/>
    <s v="14.16"/>
    <n v="300"/>
    <s v="NL2018"/>
    <m/>
    <n v="0"/>
    <n v="0"/>
    <x v="10"/>
    <n v="0"/>
    <x v="1"/>
    <x v="28"/>
    <d v="2019-06-07T00:00:00"/>
    <d v="2019-06-07T00:00:00"/>
    <m/>
    <s v="Giao cử 30/5"/>
    <m/>
    <m/>
    <m/>
    <m/>
    <m/>
    <m/>
    <m/>
    <m/>
    <m/>
    <m/>
    <n v="0"/>
    <n v="0"/>
    <n v="0"/>
    <m/>
  </r>
  <r>
    <s v="83B/2019"/>
    <d v="2019-03-02T00:00:00"/>
    <s v="THANH THÚY"/>
    <s v="LC01"/>
    <x v="72"/>
    <x v="86"/>
    <s v="CONCADOR"/>
    <m/>
    <s v="14.16"/>
    <n v="250"/>
    <s v="NL2018"/>
    <m/>
    <n v="20"/>
    <n v="5000"/>
    <x v="82"/>
    <n v="18500000"/>
    <x v="0"/>
    <x v="67"/>
    <d v="2019-03-13T00:00:00"/>
    <d v="2019-03-13T00:00:00"/>
    <s v="giao anh Kin 08/02AL"/>
    <m/>
    <m/>
    <m/>
    <d v="2019-03-14T00:00:00"/>
    <n v="5000"/>
    <m/>
    <m/>
    <m/>
    <m/>
    <m/>
    <m/>
    <n v="5000"/>
    <n v="0"/>
    <n v="0"/>
    <d v="2020-12-22T00:00:00"/>
  </r>
  <r>
    <s v="83B/2019"/>
    <d v="2019-03-02T00:00:00"/>
    <s v="THANH THÚY"/>
    <s v="LC01"/>
    <x v="72"/>
    <x v="6"/>
    <s v="CONCADOR"/>
    <m/>
    <s v="16.18"/>
    <n v="200"/>
    <s v="NL2018"/>
    <m/>
    <n v="40"/>
    <n v="8000"/>
    <x v="12"/>
    <n v="37600000"/>
    <x v="0"/>
    <x v="68"/>
    <d v="2019-03-30T00:00:00"/>
    <d v="2019-03-30T00:00:00"/>
    <s v="xả mát, giao anh Kin 20/02AL"/>
    <s v="CONT 10/2019"/>
    <m/>
    <m/>
    <d v="2019-03-25T00:00:00"/>
    <n v="8000"/>
    <m/>
    <m/>
    <m/>
    <m/>
    <m/>
    <m/>
    <n v="8000"/>
    <n v="0"/>
    <n v="0"/>
    <d v="2020-01-15T00:00:00"/>
  </r>
  <r>
    <s v="153B/2019"/>
    <d v="2019-04-03T00:00:00"/>
    <s v="THANH THÚY"/>
    <s v="LC01"/>
    <x v="72"/>
    <x v="7"/>
    <s v="CONCADOR"/>
    <m/>
    <s v="20.22"/>
    <n v="125"/>
    <s v="NL2018"/>
    <m/>
    <n v="80"/>
    <n v="10000"/>
    <x v="5"/>
    <n v="105000000"/>
    <x v="2"/>
    <x v="2"/>
    <d v="2019-09-29T00:00:00"/>
    <d v="2019-09-29T00:00:00"/>
    <s v="TẾT"/>
    <m/>
    <m/>
    <m/>
    <m/>
    <n v="0"/>
    <m/>
    <m/>
    <m/>
    <m/>
    <m/>
    <m/>
    <n v="0"/>
    <n v="10000"/>
    <n v="105000000"/>
    <d v="2020-01-15T00:00:00"/>
  </r>
  <r>
    <s v="83B/2019"/>
    <d v="2019-03-02T00:00:00"/>
    <s v="THANH THÚY"/>
    <s v="LC01"/>
    <x v="72"/>
    <x v="13"/>
    <s v="BACARDI"/>
    <m/>
    <s v="15.16"/>
    <n v="300"/>
    <s v="NL2018"/>
    <m/>
    <n v="17"/>
    <n v="5100"/>
    <x v="74"/>
    <n v="22287000"/>
    <x v="0"/>
    <x v="67"/>
    <d v="2019-03-13T00:00:00"/>
    <d v="2019-03-13T00:00:00"/>
    <s v="giao anh Kin 08/02AL"/>
    <m/>
    <m/>
    <m/>
    <d v="2019-03-14T00:00:00"/>
    <n v="5100"/>
    <m/>
    <m/>
    <m/>
    <m/>
    <m/>
    <m/>
    <n v="5100"/>
    <n v="0"/>
    <n v="0"/>
    <d v="2020-12-22T00:00:00"/>
  </r>
  <r>
    <s v="83B/2019"/>
    <d v="2019-03-02T00:00:00"/>
    <s v="THANH THÚY"/>
    <s v="LC01"/>
    <x v="72"/>
    <x v="81"/>
    <s v="BACARDI"/>
    <m/>
    <s v="16.18"/>
    <n v="200"/>
    <s v="NL2018"/>
    <m/>
    <n v="25"/>
    <n v="5000"/>
    <x v="75"/>
    <n v="31500000"/>
    <x v="0"/>
    <x v="67"/>
    <d v="2019-03-13T00:00:00"/>
    <d v="2019-03-13T00:00:00"/>
    <s v="giao anh Kin 08/02AL"/>
    <m/>
    <m/>
    <m/>
    <d v="2019-03-14T00:00:00"/>
    <n v="5000"/>
    <m/>
    <m/>
    <m/>
    <m/>
    <m/>
    <m/>
    <n v="5000"/>
    <n v="0"/>
    <n v="0"/>
    <d v="2020-12-22T00:00:00"/>
  </r>
  <r>
    <s v="121B/2019"/>
    <d v="2019-03-14T00:00:00"/>
    <s v="THANH THÚY"/>
    <s v="LC01"/>
    <x v="72"/>
    <x v="13"/>
    <s v="BACARDI"/>
    <m/>
    <s v="15.16"/>
    <n v="300"/>
    <s v="NL2018"/>
    <m/>
    <n v="0"/>
    <n v="0"/>
    <x v="14"/>
    <n v="0"/>
    <x v="1"/>
    <x v="5"/>
    <d v="2019-04-19T00:00:00"/>
    <d v="2019-04-19T00:00:00"/>
    <s v="15/3AL"/>
    <m/>
    <m/>
    <m/>
    <m/>
    <m/>
    <m/>
    <m/>
    <m/>
    <m/>
    <m/>
    <m/>
    <n v="0"/>
    <n v="0"/>
    <n v="0"/>
    <m/>
  </r>
  <r>
    <s v="132A/2019"/>
    <d v="2019-02-26T00:00:00"/>
    <s v="KIỀU THY"/>
    <s v="HC01"/>
    <x v="73"/>
    <x v="130"/>
    <s v="YELLOWEEN"/>
    <m/>
    <s v="18.20"/>
    <n v="150"/>
    <s v="NL2018"/>
    <m/>
    <n v="20"/>
    <n v="3000"/>
    <x v="151"/>
    <n v="25200000"/>
    <x v="2"/>
    <x v="2"/>
    <d v="2019-09-29T00:00:00"/>
    <d v="2019-09-29T00:00:00"/>
    <s v="TẾT"/>
    <m/>
    <m/>
    <m/>
    <m/>
    <n v="0"/>
    <m/>
    <m/>
    <m/>
    <m/>
    <m/>
    <m/>
    <n v="0"/>
    <n v="3000"/>
    <n v="25200000"/>
    <m/>
  </r>
  <r>
    <s v="79A/2019"/>
    <d v="2019-02-26T00:00:00"/>
    <s v="KIỀU THY"/>
    <s v="HC01"/>
    <x v="73"/>
    <x v="0"/>
    <s v="YELLOWEEN"/>
    <m/>
    <s v="12.14"/>
    <n v="400"/>
    <s v="NL2018"/>
    <m/>
    <n v="13"/>
    <n v="5200"/>
    <x v="0"/>
    <n v="13520000"/>
    <x v="0"/>
    <x v="5"/>
    <d v="2019-04-19T00:00:00"/>
    <d v="2019-04-19T00:00:00"/>
    <s v="15/3AL"/>
    <s v="CONT 24/2019"/>
    <d v="2019-04-14T00:00:00"/>
    <m/>
    <d v="2019-04-17T00:00:00"/>
    <n v="5200"/>
    <m/>
    <m/>
    <m/>
    <m/>
    <m/>
    <m/>
    <n v="5200"/>
    <n v="0"/>
    <n v="0"/>
    <m/>
  </r>
  <r>
    <s v="79A/2019"/>
    <d v="2019-02-26T00:00:00"/>
    <s v="KIỀU THY"/>
    <s v="HC01"/>
    <x v="73"/>
    <x v="78"/>
    <s v="YELLOWEEN"/>
    <m/>
    <s v="14.16"/>
    <n v="300"/>
    <s v="NL2018"/>
    <m/>
    <n v="17"/>
    <n v="5100"/>
    <x v="64"/>
    <n v="19380000"/>
    <x v="0"/>
    <x v="5"/>
    <d v="2019-04-19T00:00:00"/>
    <d v="2019-04-19T00:00:00"/>
    <s v="15/3AL"/>
    <s v="CONT 27/2019"/>
    <d v="2019-04-14T00:00:00"/>
    <m/>
    <d v="2019-04-23T00:00:00"/>
    <n v="5100"/>
    <m/>
    <m/>
    <m/>
    <m/>
    <m/>
    <m/>
    <n v="5100"/>
    <n v="0"/>
    <n v="0"/>
    <m/>
  </r>
  <r>
    <s v="79A/2019"/>
    <d v="2019-06-17T00:00:00"/>
    <s v="KIỀU THY"/>
    <s v="HC01"/>
    <x v="73"/>
    <x v="0"/>
    <s v="YELLOWEEN"/>
    <m/>
    <s v="12.14"/>
    <n v="400"/>
    <s v="NL2018"/>
    <m/>
    <n v="10"/>
    <n v="4000"/>
    <x v="39"/>
    <n v="11600000"/>
    <x v="4"/>
    <x v="4"/>
    <d v="2019-07-17T00:00:00"/>
    <d v="2019-07-17T00:00:00"/>
    <m/>
    <m/>
    <m/>
    <m/>
    <m/>
    <m/>
    <m/>
    <m/>
    <m/>
    <m/>
    <m/>
    <m/>
    <n v="0"/>
    <n v="4000"/>
    <n v="11600000"/>
    <m/>
  </r>
  <r>
    <s v="79A/2019"/>
    <d v="2019-02-26T00:00:00"/>
    <s v="KIỀU THY"/>
    <s v="HC01"/>
    <x v="73"/>
    <x v="32"/>
    <s v="TEBALDI"/>
    <m/>
    <s v="12.14"/>
    <n v="400"/>
    <s v="NL2018"/>
    <m/>
    <n v="8"/>
    <n v="3200"/>
    <x v="37"/>
    <n v="8960000"/>
    <x v="0"/>
    <x v="30"/>
    <d v="2019-04-04T00:00:00"/>
    <d v="2019-04-04T00:00:00"/>
    <s v="30/2AL"/>
    <s v="CONT 15/2019"/>
    <d v="2019-03-31T00:00:00"/>
    <m/>
    <d v="2019-04-03T00:00:00"/>
    <n v="3200"/>
    <m/>
    <m/>
    <m/>
    <m/>
    <m/>
    <m/>
    <n v="3200"/>
    <n v="0"/>
    <n v="0"/>
    <m/>
  </r>
  <r>
    <s v="132A/2019"/>
    <d v="2019-02-26T00:00:00"/>
    <s v="KIỀU THY"/>
    <s v="HC01"/>
    <x v="73"/>
    <x v="66"/>
    <s v="TARRANGO"/>
    <m/>
    <s v="20.22"/>
    <n v="125"/>
    <s v="NL2018"/>
    <s v="V.W.S"/>
    <n v="80"/>
    <n v="10000"/>
    <x v="79"/>
    <n v="100000000"/>
    <x v="2"/>
    <x v="2"/>
    <d v="2019-09-29T00:00:00"/>
    <d v="2019-09-29T00:00:00"/>
    <s v="TẾT/V.W.S"/>
    <m/>
    <m/>
    <m/>
    <m/>
    <n v="0"/>
    <m/>
    <m/>
    <m/>
    <m/>
    <m/>
    <m/>
    <n v="0"/>
    <n v="10000"/>
    <n v="100000000"/>
    <m/>
  </r>
  <r>
    <s v="79A/2019"/>
    <d v="2019-02-26T00:00:00"/>
    <s v="KIỀU THY"/>
    <s v="HC01"/>
    <x v="73"/>
    <x v="10"/>
    <s v="TARRANGO"/>
    <m/>
    <s v="16.18"/>
    <n v="200"/>
    <s v="NL2018"/>
    <m/>
    <n v="15"/>
    <n v="3000"/>
    <x v="10"/>
    <n v="16500000"/>
    <x v="0"/>
    <x v="5"/>
    <d v="2019-04-19T00:00:00"/>
    <d v="2019-04-19T00:00:00"/>
    <s v="15/3AL"/>
    <s v="CONT 26/2019"/>
    <d v="2019-04-14T00:00:00"/>
    <m/>
    <d v="2019-04-17T00:00:00"/>
    <n v="3000"/>
    <m/>
    <m/>
    <m/>
    <m/>
    <m/>
    <m/>
    <n v="3000"/>
    <n v="0"/>
    <n v="0"/>
    <m/>
  </r>
  <r>
    <s v="79A/2019"/>
    <d v="2019-06-17T00:00:00"/>
    <s v="KIỀU THY"/>
    <s v="HC01"/>
    <x v="73"/>
    <x v="35"/>
    <s v="TARRANGO"/>
    <m/>
    <s v="14.16"/>
    <n v="300"/>
    <s v="NL2018"/>
    <m/>
    <n v="15"/>
    <n v="4500"/>
    <x v="8"/>
    <n v="22500000"/>
    <x v="4"/>
    <x v="4"/>
    <d v="2019-07-17T00:00:00"/>
    <d v="2019-07-17T00:00:00"/>
    <m/>
    <m/>
    <m/>
    <m/>
    <m/>
    <m/>
    <m/>
    <m/>
    <m/>
    <m/>
    <m/>
    <m/>
    <n v="0"/>
    <n v="4500"/>
    <n v="22500000"/>
    <m/>
  </r>
  <r>
    <s v="132A/2019"/>
    <d v="2019-02-26T00:00:00"/>
    <s v="KIỀU THY"/>
    <s v="HC01"/>
    <x v="73"/>
    <x v="39"/>
    <s v="PROFUNDO"/>
    <m/>
    <s v="20.22"/>
    <n v="125"/>
    <s v="NL2018"/>
    <s v="ON"/>
    <n v="80"/>
    <n v="10000"/>
    <x v="47"/>
    <n v="130000000"/>
    <x v="2"/>
    <x v="2"/>
    <d v="2019-09-29T00:00:00"/>
    <d v="2019-09-29T00:00:00"/>
    <s v="TẾT/ON"/>
    <m/>
    <m/>
    <m/>
    <m/>
    <n v="0"/>
    <m/>
    <m/>
    <m/>
    <m/>
    <m/>
    <m/>
    <n v="0"/>
    <n v="10000"/>
    <n v="130000000"/>
    <m/>
  </r>
  <r>
    <s v="194A/2019"/>
    <d v="2019-04-13T00:00:00"/>
    <s v="KIỀU THY"/>
    <s v="HC01"/>
    <x v="73"/>
    <x v="12"/>
    <s v="PROFUNDO"/>
    <m/>
    <s v="14.16"/>
    <n v="300"/>
    <s v="NL2018"/>
    <m/>
    <n v="10"/>
    <n v="3000"/>
    <x v="8"/>
    <n v="15000000"/>
    <x v="0"/>
    <x v="1"/>
    <d v="2019-05-21T00:00:00"/>
    <d v="2019-05-21T00:00:00"/>
    <s v="17/4AL"/>
    <m/>
    <m/>
    <m/>
    <d v="2019-05-20T00:00:00"/>
    <n v="3000"/>
    <m/>
    <m/>
    <m/>
    <m/>
    <m/>
    <m/>
    <n v="3000"/>
    <n v="0"/>
    <n v="0"/>
    <m/>
  </r>
  <r>
    <s v="79A/2019"/>
    <d v="2019-02-26T00:00:00"/>
    <s v="KIỀU THY"/>
    <s v="HC01"/>
    <x v="73"/>
    <x v="12"/>
    <s v="PROFUNDO"/>
    <m/>
    <s v="14.16"/>
    <n v="300"/>
    <s v="NL2018"/>
    <m/>
    <n v="10"/>
    <n v="3000"/>
    <x v="73"/>
    <n v="15600000"/>
    <x v="0"/>
    <x v="0"/>
    <d v="2019-03-20T00:00:00"/>
    <d v="2019-03-20T00:00:00"/>
    <s v="15/2AL"/>
    <s v="CONT 12/2019"/>
    <d v="2019-03-17T00:00:00"/>
    <m/>
    <d v="2019-03-19T00:00:00"/>
    <n v="3000"/>
    <m/>
    <m/>
    <m/>
    <m/>
    <m/>
    <m/>
    <n v="3000"/>
    <n v="0"/>
    <n v="0"/>
    <m/>
  </r>
  <r>
    <s v="79A/2019"/>
    <d v="2019-02-26T00:00:00"/>
    <s v="KIỀU THY"/>
    <s v="HC01"/>
    <x v="73"/>
    <x v="11"/>
    <s v="PROFUNDO"/>
    <m/>
    <s v="16.18"/>
    <n v="200"/>
    <s v="NL2018"/>
    <m/>
    <n v="15"/>
    <n v="3000"/>
    <x v="32"/>
    <n v="20100000"/>
    <x v="0"/>
    <x v="5"/>
    <d v="2019-04-19T00:00:00"/>
    <d v="2019-04-19T00:00:00"/>
    <s v="15/3AL"/>
    <s v="CONT 23/2019"/>
    <d v="2019-04-14T00:00:00"/>
    <m/>
    <d v="2019-04-17T00:00:00"/>
    <n v="3000"/>
    <m/>
    <m/>
    <m/>
    <m/>
    <m/>
    <m/>
    <n v="3000"/>
    <n v="0"/>
    <n v="0"/>
    <m/>
  </r>
  <r>
    <s v="79A/2019"/>
    <d v="2019-06-17T00:00:00"/>
    <s v="KIỀU THY"/>
    <s v="HC01"/>
    <x v="73"/>
    <x v="11"/>
    <s v="PROFUNDO"/>
    <m/>
    <s v="16.18"/>
    <n v="200"/>
    <s v="NL2018"/>
    <m/>
    <n v="15"/>
    <n v="3000"/>
    <x v="11"/>
    <n v="23100000"/>
    <x v="4"/>
    <x v="4"/>
    <d v="2019-07-17T00:00:00"/>
    <d v="2019-07-17T00:00:00"/>
    <m/>
    <m/>
    <m/>
    <m/>
    <m/>
    <m/>
    <m/>
    <m/>
    <m/>
    <m/>
    <m/>
    <m/>
    <n v="0"/>
    <n v="3000"/>
    <n v="23100000"/>
    <m/>
  </r>
  <r>
    <s v="132A/2019"/>
    <d v="2019-02-26T00:00:00"/>
    <s v="KIỀU THY"/>
    <s v="HC01"/>
    <x v="73"/>
    <x v="43"/>
    <s v="PAVIA"/>
    <m/>
    <s v="16.18"/>
    <n v="200"/>
    <s v="NL2018"/>
    <m/>
    <n v="15"/>
    <n v="3000"/>
    <x v="42"/>
    <n v="18300000"/>
    <x v="2"/>
    <x v="2"/>
    <d v="2019-09-29T00:00:00"/>
    <d v="2019-09-29T00:00:00"/>
    <s v="TẾT"/>
    <m/>
    <m/>
    <m/>
    <m/>
    <n v="0"/>
    <m/>
    <m/>
    <m/>
    <m/>
    <m/>
    <m/>
    <n v="0"/>
    <n v="3000"/>
    <n v="18300000"/>
    <m/>
  </r>
  <r>
    <s v="79A/2019"/>
    <d v="2019-02-26T00:00:00"/>
    <s v="KIỀU THY"/>
    <s v="HC01"/>
    <x v="73"/>
    <x v="42"/>
    <s v="PAVIA"/>
    <m/>
    <s v="14.16"/>
    <n v="300"/>
    <s v="NL2018"/>
    <m/>
    <n v="10"/>
    <n v="3000"/>
    <x v="40"/>
    <n v="12600000"/>
    <x v="0"/>
    <x v="0"/>
    <d v="2019-03-20T00:00:00"/>
    <d v="2019-03-20T00:00:00"/>
    <s v="15/2AL"/>
    <s v="CONT 10/2019"/>
    <d v="2019-03-17T00:00:00"/>
    <m/>
    <d v="2019-03-19T00:00:00"/>
    <n v="3000"/>
    <m/>
    <m/>
    <m/>
    <m/>
    <m/>
    <m/>
    <n v="3000"/>
    <n v="0"/>
    <n v="0"/>
    <m/>
  </r>
  <r>
    <s v="79A/2019"/>
    <d v="2019-02-26T00:00:00"/>
    <s v="KIỀU THY"/>
    <s v="HC01"/>
    <x v="73"/>
    <x v="41"/>
    <s v="PAVIA"/>
    <m/>
    <s v="12.14"/>
    <n v="400"/>
    <s v="NL2018"/>
    <m/>
    <n v="25"/>
    <n v="10000"/>
    <x v="37"/>
    <n v="28000000"/>
    <x v="0"/>
    <x v="30"/>
    <d v="2019-04-04T00:00:00"/>
    <d v="2019-04-04T00:00:00"/>
    <s v="30/2AL"/>
    <s v="CONT 14/2019"/>
    <d v="2019-03-31T00:00:00"/>
    <m/>
    <d v="2019-04-03T00:00:00"/>
    <n v="10000"/>
    <m/>
    <m/>
    <m/>
    <m/>
    <m/>
    <m/>
    <n v="10000"/>
    <n v="0"/>
    <n v="0"/>
    <m/>
  </r>
  <r>
    <s v="79A/2019"/>
    <d v="2019-06-17T00:00:00"/>
    <s v="KIỀU THY"/>
    <s v="HC01"/>
    <x v="73"/>
    <x v="41"/>
    <s v="PAVIA"/>
    <m/>
    <s v="12.14"/>
    <n v="400"/>
    <s v="NL2018"/>
    <m/>
    <n v="12"/>
    <n v="4800"/>
    <x v="26"/>
    <n v="14400000"/>
    <x v="4"/>
    <x v="4"/>
    <d v="2019-07-17T00:00:00"/>
    <d v="2019-07-17T00:00:00"/>
    <m/>
    <m/>
    <m/>
    <m/>
    <m/>
    <m/>
    <m/>
    <m/>
    <m/>
    <m/>
    <m/>
    <m/>
    <n v="0"/>
    <n v="4800"/>
    <n v="14400000"/>
    <m/>
  </r>
  <r>
    <s v="132A/2019"/>
    <d v="2019-02-26T00:00:00"/>
    <s v="KIỀU THY"/>
    <s v="HC01"/>
    <x v="73"/>
    <x v="59"/>
    <s v="NELLO "/>
    <m/>
    <s v="18.20"/>
    <n v="150"/>
    <s v="NL2018"/>
    <s v="DLW"/>
    <n v="34"/>
    <n v="5100"/>
    <x v="56"/>
    <n v="36720000"/>
    <x v="2"/>
    <x v="2"/>
    <d v="2019-09-29T00:00:00"/>
    <d v="2019-09-29T00:00:00"/>
    <s v="TẾT/DL"/>
    <m/>
    <m/>
    <m/>
    <m/>
    <n v="0"/>
    <m/>
    <m/>
    <m/>
    <m/>
    <m/>
    <m/>
    <n v="0"/>
    <n v="5100"/>
    <n v="36720000"/>
    <m/>
  </r>
  <r>
    <s v="79A/2019"/>
    <d v="2019-02-26T00:00:00"/>
    <s v="KIỀU THY"/>
    <s v="HC01"/>
    <x v="73"/>
    <x v="44"/>
    <s v="NELLO "/>
    <m/>
    <s v="12.14"/>
    <n v="400"/>
    <s v="NL2018"/>
    <m/>
    <n v="18"/>
    <n v="7200"/>
    <x v="26"/>
    <n v="21600000"/>
    <x v="0"/>
    <x v="5"/>
    <d v="2019-04-19T00:00:00"/>
    <d v="2019-04-19T00:00:00"/>
    <s v="15/3AL"/>
    <s v="CONT 20/2019"/>
    <d v="2019-04-14T00:00:00"/>
    <m/>
    <d v="2019-04-23T00:00:00"/>
    <n v="7200"/>
    <m/>
    <m/>
    <m/>
    <m/>
    <m/>
    <m/>
    <n v="7200"/>
    <n v="0"/>
    <n v="0"/>
    <m/>
  </r>
  <r>
    <s v="194A/2019"/>
    <d v="2019-04-13T00:00:00"/>
    <s v="KIỀU THY"/>
    <s v="HC01"/>
    <x v="73"/>
    <x v="61"/>
    <s v="NASHVILLE"/>
    <m/>
    <s v="14.16"/>
    <n v="300"/>
    <s v="NL2018"/>
    <m/>
    <n v="10"/>
    <n v="3000"/>
    <x v="58"/>
    <n v="11700000"/>
    <x v="0"/>
    <x v="1"/>
    <d v="2019-05-21T00:00:00"/>
    <d v="2019-05-21T00:00:00"/>
    <s v="17/4AL"/>
    <m/>
    <m/>
    <m/>
    <d v="2019-05-20T00:00:00"/>
    <n v="3000"/>
    <m/>
    <m/>
    <m/>
    <m/>
    <m/>
    <m/>
    <n v="3000"/>
    <n v="0"/>
    <n v="0"/>
    <m/>
  </r>
  <r>
    <s v="132A/2019"/>
    <d v="2019-02-26T00:00:00"/>
    <s v="KIỀU THY"/>
    <s v="HC01"/>
    <x v="73"/>
    <x v="114"/>
    <s v="MANISSA"/>
    <m/>
    <s v="18.20"/>
    <n v="150"/>
    <s v="NL2018"/>
    <s v="VZT"/>
    <n v="34"/>
    <n v="5100"/>
    <x v="34"/>
    <n v="54570000"/>
    <x v="2"/>
    <x v="2"/>
    <d v="2019-09-29T00:00:00"/>
    <d v="2019-09-29T00:00:00"/>
    <s v="TẾT"/>
    <m/>
    <m/>
    <m/>
    <m/>
    <n v="0"/>
    <m/>
    <m/>
    <m/>
    <m/>
    <m/>
    <m/>
    <n v="0"/>
    <n v="5100"/>
    <n v="54570000"/>
    <m/>
  </r>
  <r>
    <s v="132A/2019"/>
    <d v="2019-02-26T00:00:00"/>
    <s v="KIỀU THY"/>
    <s v="HC01"/>
    <x v="73"/>
    <x v="65"/>
    <s v="MANISSA"/>
    <m/>
    <s v="20.22"/>
    <n v="125"/>
    <s v="NL2018"/>
    <s v="DLW"/>
    <n v="80"/>
    <n v="10000"/>
    <x v="61"/>
    <n v="135000000"/>
    <x v="2"/>
    <x v="2"/>
    <d v="2019-09-29T00:00:00"/>
    <d v="2019-09-29T00:00:00"/>
    <s v="TẾT/DL"/>
    <m/>
    <m/>
    <m/>
    <m/>
    <n v="0"/>
    <m/>
    <m/>
    <m/>
    <m/>
    <m/>
    <m/>
    <n v="0"/>
    <n v="10000"/>
    <n v="135000000"/>
    <m/>
  </r>
  <r>
    <s v="79A/2019"/>
    <d v="2019-02-26T00:00:00"/>
    <s v="KIỀU THY"/>
    <s v="HC01"/>
    <x v="73"/>
    <x v="131"/>
    <s v="HYDE PARK"/>
    <m/>
    <s v="14.16"/>
    <n v="300"/>
    <s v="NL2018"/>
    <m/>
    <n v="7"/>
    <n v="2100"/>
    <x v="45"/>
    <n v="8400000"/>
    <x v="0"/>
    <x v="0"/>
    <d v="2019-03-20T00:00:00"/>
    <d v="2019-03-20T00:00:00"/>
    <s v="15/2AL"/>
    <s v="CONT 10/2019"/>
    <d v="2019-03-17T00:00:00"/>
    <m/>
    <d v="2019-03-19T00:00:00"/>
    <n v="2100"/>
    <m/>
    <m/>
    <m/>
    <m/>
    <m/>
    <m/>
    <n v="2100"/>
    <n v="0"/>
    <n v="0"/>
    <m/>
  </r>
  <r>
    <s v="79A/2019"/>
    <d v="2019-06-04T00:00:00"/>
    <s v="KIỀU THY"/>
    <s v="HC01"/>
    <x v="73"/>
    <x v="100"/>
    <s v="FERRERO"/>
    <m/>
    <s v="13.14"/>
    <n v="400"/>
    <s v="NL2018"/>
    <m/>
    <n v="5"/>
    <n v="2000"/>
    <x v="14"/>
    <n v="9000000"/>
    <x v="0"/>
    <x v="28"/>
    <d v="2019-06-07T00:00:00"/>
    <d v="2019-06-07T00:00:00"/>
    <m/>
    <m/>
    <m/>
    <m/>
    <d v="2019-06-17T00:00:00"/>
    <n v="2000"/>
    <m/>
    <m/>
    <m/>
    <m/>
    <m/>
    <m/>
    <n v="2000"/>
    <n v="0"/>
    <n v="0"/>
    <m/>
  </r>
  <r>
    <s v="194A/2019"/>
    <d v="2019-04-13T00:00:00"/>
    <s v="KIỀU THY"/>
    <s v="HC01"/>
    <x v="73"/>
    <x v="24"/>
    <s v="DALIAN"/>
    <m/>
    <s v="14.16"/>
    <n v="300"/>
    <s v="NL2018"/>
    <m/>
    <n v="7"/>
    <n v="2100"/>
    <x v="10"/>
    <n v="11550000"/>
    <x v="0"/>
    <x v="1"/>
    <d v="2019-05-21T00:00:00"/>
    <d v="2019-05-21T00:00:00"/>
    <s v="17/4AL"/>
    <m/>
    <m/>
    <m/>
    <d v="2019-05-20T00:00:00"/>
    <n v="2100"/>
    <m/>
    <m/>
    <m/>
    <m/>
    <m/>
    <m/>
    <n v="2100"/>
    <n v="0"/>
    <n v="0"/>
    <m/>
  </r>
  <r>
    <s v="132A/2019"/>
    <d v="2019-02-26T00:00:00"/>
    <s v="KIỀU THY"/>
    <s v="HC01"/>
    <x v="73"/>
    <x v="7"/>
    <s v="CONCAD'OR"/>
    <m/>
    <s v="20.22"/>
    <n v="125"/>
    <s v="NL2018"/>
    <m/>
    <n v="24"/>
    <n v="3000"/>
    <x v="5"/>
    <n v="31500000"/>
    <x v="2"/>
    <x v="2"/>
    <d v="2019-09-29T00:00:00"/>
    <d v="2019-09-29T00:00:00"/>
    <s v="TẾT"/>
    <m/>
    <m/>
    <m/>
    <m/>
    <n v="0"/>
    <m/>
    <m/>
    <m/>
    <m/>
    <m/>
    <m/>
    <n v="0"/>
    <n v="3000"/>
    <n v="31500000"/>
    <m/>
  </r>
  <r>
    <s v="79A/2019"/>
    <d v="2019-02-26T00:00:00"/>
    <s v="KIỀU THY"/>
    <s v="HC01"/>
    <x v="73"/>
    <x v="6"/>
    <s v="CONCADOR"/>
    <m/>
    <s v="16.18"/>
    <n v="200"/>
    <s v="NL2018"/>
    <m/>
    <n v="15"/>
    <n v="3000"/>
    <x v="8"/>
    <n v="15000000"/>
    <x v="0"/>
    <x v="5"/>
    <d v="2019-04-19T00:00:00"/>
    <d v="2019-04-19T00:00:00"/>
    <s v="15/3AL"/>
    <s v="CONT 22/2019"/>
    <d v="2019-04-14T00:00:00"/>
    <m/>
    <d v="2019-04-17T00:00:00"/>
    <n v="3000"/>
    <m/>
    <m/>
    <m/>
    <m/>
    <m/>
    <m/>
    <n v="3000"/>
    <n v="0"/>
    <n v="0"/>
    <m/>
  </r>
  <r>
    <s v="38A/2019"/>
    <d v="2019-02-11T00:00:00"/>
    <s v="KIỀU THY"/>
    <s v="HC03"/>
    <x v="74"/>
    <x v="78"/>
    <s v="YELLOWEEN"/>
    <m/>
    <s v="14.16"/>
    <n v="300"/>
    <s v="NL2018"/>
    <m/>
    <n v="67"/>
    <n v="20100"/>
    <x v="135"/>
    <n v="78671400"/>
    <x v="0"/>
    <x v="1"/>
    <d v="2019-05-21T00:00:00"/>
    <d v="2019-05-21T00:00:00"/>
    <s v="30/3AL"/>
    <m/>
    <m/>
    <m/>
    <m/>
    <n v="20100"/>
    <m/>
    <m/>
    <m/>
    <m/>
    <m/>
    <m/>
    <n v="20100"/>
    <n v="0"/>
    <n v="0"/>
    <m/>
  </r>
  <r>
    <s v="38A/2019"/>
    <d v="2019-02-11T00:00:00"/>
    <s v="KIỀU THY"/>
    <s v="HC03"/>
    <x v="74"/>
    <x v="57"/>
    <s v="YELLOWEEN"/>
    <m/>
    <s v="16.18"/>
    <n v="200"/>
    <s v="NL2018"/>
    <m/>
    <n v="150"/>
    <n v="30000"/>
    <x v="8"/>
    <n v="150000000"/>
    <x v="0"/>
    <x v="6"/>
    <d v="2019-02-19T00:00:00"/>
    <d v="2019-02-19T00:00:00"/>
    <s v="15/1AL"/>
    <m/>
    <m/>
    <s v="R"/>
    <d v="2019-02-20T00:00:00"/>
    <n v="30000"/>
    <m/>
    <m/>
    <m/>
    <m/>
    <m/>
    <m/>
    <n v="30000"/>
    <n v="0"/>
    <n v="0"/>
    <m/>
  </r>
  <r>
    <s v="38A/2019"/>
    <d v="2019-06-21T00:00:00"/>
    <s v="KIỀU THY"/>
    <s v="HC03"/>
    <x v="74"/>
    <x v="57"/>
    <s v="YELLOWEEN"/>
    <m/>
    <s v="16.18"/>
    <n v="200"/>
    <s v="NL2018"/>
    <m/>
    <n v="50"/>
    <n v="10000"/>
    <x v="33"/>
    <n v="53000000"/>
    <x v="4"/>
    <x v="69"/>
    <d v="2019-06-26T00:00:00"/>
    <d v="2019-06-26T00:00:00"/>
    <m/>
    <m/>
    <m/>
    <m/>
    <m/>
    <m/>
    <m/>
    <m/>
    <m/>
    <m/>
    <m/>
    <m/>
    <n v="0"/>
    <n v="10000"/>
    <n v="53000000"/>
    <m/>
  </r>
  <r>
    <s v="38A/2019"/>
    <d v="2019-06-04T00:00:00"/>
    <s v="KIỀU THY"/>
    <s v="HC03"/>
    <x v="74"/>
    <x v="78"/>
    <s v="YELLOWEEN"/>
    <m/>
    <n v="14.16"/>
    <n v="300"/>
    <s v="NL2018"/>
    <m/>
    <n v="34"/>
    <n v="10200"/>
    <x v="58"/>
    <n v="39780000"/>
    <x v="0"/>
    <x v="28"/>
    <d v="2019-06-07T00:00:00"/>
    <d v="2019-06-07T00:00:00"/>
    <m/>
    <m/>
    <m/>
    <m/>
    <d v="2019-06-08T00:00:00"/>
    <n v="10200"/>
    <m/>
    <m/>
    <m/>
    <m/>
    <m/>
    <m/>
    <n v="10200"/>
    <n v="0"/>
    <n v="0"/>
    <m/>
  </r>
  <r>
    <s v="204A/2019"/>
    <d v="2019-04-22T00:00:00"/>
    <s v="KIỀU THY"/>
    <s v="HC03"/>
    <x v="74"/>
    <x v="132"/>
    <s v="ROBINA Newzeland"/>
    <m/>
    <s v="18.20"/>
    <n v="150"/>
    <s v="NZ2019"/>
    <m/>
    <n v="134"/>
    <n v="20100"/>
    <x v="152"/>
    <n v="190950000"/>
    <x v="2"/>
    <x v="51"/>
    <d v="2019-08-30T00:00:00"/>
    <d v="2019-08-30T00:00:00"/>
    <s v="1/8AL"/>
    <m/>
    <m/>
    <m/>
    <m/>
    <m/>
    <m/>
    <m/>
    <m/>
    <m/>
    <m/>
    <m/>
    <n v="0"/>
    <n v="20100"/>
    <n v="190950000"/>
    <m/>
  </r>
  <r>
    <s v="38A/2019"/>
    <d v="2019-02-11T00:00:00"/>
    <s v="KIỀU THY"/>
    <s v="HC03"/>
    <x v="74"/>
    <x v="5"/>
    <s v="ROBINA"/>
    <m/>
    <s v="18.20"/>
    <n v="150"/>
    <s v="NL2018"/>
    <m/>
    <n v="133"/>
    <n v="19950"/>
    <x v="96"/>
    <n v="130233600"/>
    <x v="0"/>
    <x v="1"/>
    <d v="2019-05-21T00:00:00"/>
    <d v="2019-05-21T00:00:00"/>
    <s v="30/3AL"/>
    <m/>
    <m/>
    <m/>
    <m/>
    <n v="19950"/>
    <m/>
    <m/>
    <m/>
    <m/>
    <m/>
    <m/>
    <n v="19950"/>
    <n v="0"/>
    <n v="0"/>
    <m/>
  </r>
  <r>
    <s v="38A/2019"/>
    <d v="2019-05-13T00:00:00"/>
    <s v="KIỀU THY"/>
    <s v="HC03"/>
    <x v="74"/>
    <x v="5"/>
    <s v="ROBINA"/>
    <m/>
    <s v="18.20"/>
    <n v="150"/>
    <s v="NL2018"/>
    <m/>
    <n v="66"/>
    <n v="9900"/>
    <x v="153"/>
    <n v="78210000"/>
    <x v="0"/>
    <x v="1"/>
    <d v="2019-05-21T00:00:00"/>
    <d v="2019-05-21T00:00:00"/>
    <s v="30/3AL"/>
    <m/>
    <m/>
    <m/>
    <m/>
    <n v="9900"/>
    <m/>
    <m/>
    <m/>
    <m/>
    <m/>
    <m/>
    <n v="9900"/>
    <n v="0"/>
    <n v="0"/>
    <m/>
  </r>
  <r>
    <s v="38A/2019"/>
    <d v="2019-02-11T00:00:00"/>
    <s v="KIỀU THY"/>
    <s v="HC03"/>
    <x v="74"/>
    <x v="133"/>
    <s v="ROBINA"/>
    <m/>
    <s v="20.22"/>
    <n v="125"/>
    <s v="NL2017"/>
    <m/>
    <n v="96"/>
    <n v="12000"/>
    <x v="51"/>
    <n v="72000000"/>
    <x v="0"/>
    <x v="16"/>
    <d v="2019-03-12T00:00:00"/>
    <d v="2019-03-12T00:00:00"/>
    <s v="07/2AL"/>
    <s v="CONT 87/2018"/>
    <m/>
    <s v="R"/>
    <d v="2019-03-20T00:00:00"/>
    <n v="12000"/>
    <m/>
    <m/>
    <m/>
    <m/>
    <m/>
    <m/>
    <n v="12000"/>
    <n v="0"/>
    <n v="0"/>
    <m/>
  </r>
  <r>
    <s v="38A/2019"/>
    <d v="2019-02-11T00:00:00"/>
    <s v="KIỀU THY"/>
    <s v="HC03"/>
    <x v="74"/>
    <x v="5"/>
    <s v="ROBINA"/>
    <m/>
    <s v="18.20"/>
    <n v="150"/>
    <s v="NL2018"/>
    <m/>
    <n v="134"/>
    <n v="20100"/>
    <x v="9"/>
    <n v="160800000"/>
    <x v="3"/>
    <x v="3"/>
    <d v="2019-06-20T00:00:00"/>
    <d v="2019-06-20T00:00:00"/>
    <s v="25/5AL"/>
    <m/>
    <m/>
    <m/>
    <m/>
    <m/>
    <m/>
    <m/>
    <m/>
    <m/>
    <m/>
    <m/>
    <n v="0"/>
    <n v="20100"/>
    <n v="160800000"/>
    <m/>
  </r>
  <r>
    <s v="38A/2019"/>
    <d v="2019-02-11T00:00:00"/>
    <s v="KIỀU THY"/>
    <s v="HC03"/>
    <x v="74"/>
    <x v="5"/>
    <s v="ROBINA"/>
    <m/>
    <s v="18.20"/>
    <n v="150"/>
    <s v="NL2018"/>
    <m/>
    <n v="67"/>
    <n v="10050"/>
    <x v="96"/>
    <n v="65606400"/>
    <x v="0"/>
    <x v="1"/>
    <d v="2019-05-21T00:00:00"/>
    <d v="2019-05-21T00:00:00"/>
    <s v="30/3AL"/>
    <m/>
    <m/>
    <m/>
    <d v="2019-05-06T00:00:00"/>
    <n v="10050"/>
    <m/>
    <m/>
    <m/>
    <m/>
    <m/>
    <m/>
    <n v="10050"/>
    <n v="0"/>
    <n v="0"/>
    <m/>
  </r>
  <r>
    <s v="38A/2019"/>
    <d v="2019-05-29T00:00:00"/>
    <s v="KIỀU THY"/>
    <s v="HC03"/>
    <x v="74"/>
    <x v="5"/>
    <s v="ROBINA"/>
    <m/>
    <s v="18.20"/>
    <n v="150"/>
    <s v="NL2018"/>
    <m/>
    <n v="0"/>
    <n v="0"/>
    <x v="153"/>
    <n v="0"/>
    <x v="1"/>
    <x v="1"/>
    <d v="2019-05-21T00:00:00"/>
    <d v="2019-05-21T00:00:00"/>
    <s v="30/3AL"/>
    <m/>
    <m/>
    <m/>
    <m/>
    <m/>
    <m/>
    <m/>
    <m/>
    <m/>
    <m/>
    <m/>
    <n v="0"/>
    <n v="0"/>
    <n v="0"/>
    <m/>
  </r>
  <r>
    <s v="204A/2019"/>
    <d v="2019-04-22T00:00:00"/>
    <s v="KIỀU THY"/>
    <s v="HC03"/>
    <x v="74"/>
    <x v="4"/>
    <s v="ROBINA"/>
    <m/>
    <s v="20.22"/>
    <n v="125"/>
    <s v="NL2018"/>
    <m/>
    <n v="240"/>
    <n v="30000"/>
    <x v="34"/>
    <n v="321000000"/>
    <x v="2"/>
    <x v="2"/>
    <d v="2019-09-29T00:00:00"/>
    <d v="2019-09-29T00:00:00"/>
    <s v="TẾT"/>
    <m/>
    <m/>
    <m/>
    <m/>
    <m/>
    <m/>
    <m/>
    <m/>
    <m/>
    <m/>
    <m/>
    <n v="0"/>
    <n v="30000"/>
    <n v="321000000"/>
    <m/>
  </r>
  <r>
    <s v="38A/2019"/>
    <d v="2019-02-11T00:00:00"/>
    <s v="KIỀU THY"/>
    <s v="HC03"/>
    <x v="74"/>
    <x v="134"/>
    <s v="MANISSA ÍT RỄ"/>
    <s v="PR"/>
    <s v="20.22"/>
    <n v="125"/>
    <s v="NL2018"/>
    <m/>
    <n v="153"/>
    <n v="19125"/>
    <x v="17"/>
    <n v="166387500"/>
    <x v="0"/>
    <x v="17"/>
    <d v="2019-04-02T00:00:00"/>
    <d v="2019-04-02T00:00:00"/>
    <s v="28/2AL"/>
    <s v="CONT 16/2019"/>
    <d v="2019-03-31T00:00:00"/>
    <s v="R"/>
    <d v="2019-04-02T00:00:00"/>
    <n v="19125"/>
    <m/>
    <m/>
    <m/>
    <m/>
    <m/>
    <m/>
    <n v="19125"/>
    <n v="0"/>
    <n v="0"/>
    <m/>
  </r>
  <r>
    <s v="204A/2019"/>
    <d v="2019-04-22T00:00:00"/>
    <s v="KIỀU THY"/>
    <s v="HC03"/>
    <x v="74"/>
    <x v="8"/>
    <s v="CONCADOR"/>
    <m/>
    <s v="18.20"/>
    <n v="150"/>
    <s v="NL2018"/>
    <m/>
    <n v="67"/>
    <n v="10050"/>
    <x v="9"/>
    <n v="80400000"/>
    <x v="2"/>
    <x v="2"/>
    <d v="2019-09-29T00:00:00"/>
    <d v="2019-09-29T00:00:00"/>
    <s v="TẾT"/>
    <m/>
    <m/>
    <m/>
    <m/>
    <m/>
    <m/>
    <m/>
    <m/>
    <m/>
    <m/>
    <m/>
    <n v="0"/>
    <n v="10050"/>
    <n v="80400000"/>
    <m/>
  </r>
  <r>
    <s v="244/2019"/>
    <d v="2019-06-14T00:00:00"/>
    <s v="THANH THÚY"/>
    <s v="HT01"/>
    <x v="75"/>
    <x v="116"/>
    <s v="TRESOR"/>
    <m/>
    <s v="16.18"/>
    <s v="200"/>
    <s v="NL2018"/>
    <m/>
    <n v="10"/>
    <n v="2000"/>
    <x v="66"/>
    <n v="14000000"/>
    <x v="2"/>
    <x v="2"/>
    <d v="2019-09-29T00:00:00"/>
    <d v="2019-09-29T00:00:00"/>
    <m/>
    <m/>
    <m/>
    <m/>
    <m/>
    <m/>
    <m/>
    <m/>
    <m/>
    <m/>
    <m/>
    <m/>
    <n v="0"/>
    <n v="2000"/>
    <n v="14000000"/>
    <m/>
  </r>
  <r>
    <s v="244/2019"/>
    <d v="2019-06-14T00:00:00"/>
    <s v="THANH THÚY"/>
    <s v="HT01"/>
    <x v="75"/>
    <x v="90"/>
    <s v="ROBINA Newzeland"/>
    <m/>
    <s v="20.22"/>
    <s v="125"/>
    <s v="NZ2019"/>
    <m/>
    <n v="48"/>
    <n v="6000"/>
    <x v="25"/>
    <n v="75000000"/>
    <x v="2"/>
    <x v="2"/>
    <d v="2019-09-29T00:00:00"/>
    <d v="2019-09-29T00:00:00"/>
    <m/>
    <m/>
    <m/>
    <m/>
    <m/>
    <m/>
    <m/>
    <m/>
    <m/>
    <m/>
    <m/>
    <m/>
    <n v="0"/>
    <n v="6000"/>
    <n v="75000000"/>
    <m/>
  </r>
  <r>
    <s v="244/2019"/>
    <d v="2019-06-14T00:00:00"/>
    <s v="THANH THÚY"/>
    <s v="HT01"/>
    <x v="75"/>
    <x v="85"/>
    <s v="CONCADOR NEWZELAND"/>
    <m/>
    <s v="20.22"/>
    <s v="125"/>
    <s v="NZ2019"/>
    <m/>
    <n v="88"/>
    <n v="11000"/>
    <x v="81"/>
    <n v="132000000"/>
    <x v="2"/>
    <x v="2"/>
    <d v="2019-09-29T00:00:00"/>
    <d v="2019-09-29T00:00:00"/>
    <m/>
    <m/>
    <m/>
    <m/>
    <m/>
    <m/>
    <m/>
    <m/>
    <m/>
    <m/>
    <m/>
    <m/>
    <n v="0"/>
    <n v="11000"/>
    <n v="132000000"/>
    <m/>
  </r>
  <r>
    <s v="176A/2019"/>
    <d v="2019-06-05T00:00:00"/>
    <s v="KIỀU THY"/>
    <s v="HT03"/>
    <x v="76"/>
    <x v="77"/>
    <s v="YELLOWEEN"/>
    <s v="DN"/>
    <s v="16.18"/>
    <n v="200"/>
    <s v="NL2018"/>
    <m/>
    <n v="1"/>
    <n v="200"/>
    <x v="51"/>
    <n v="1200000"/>
    <x v="0"/>
    <x v="1"/>
    <d v="2019-05-21T00:00:00"/>
    <d v="2019-05-21T00:00:00"/>
    <m/>
    <m/>
    <m/>
    <m/>
    <d v="2019-06-05T00:00:00"/>
    <n v="200"/>
    <m/>
    <m/>
    <m/>
    <m/>
    <m/>
    <m/>
    <n v="200"/>
    <n v="0"/>
    <n v="0"/>
    <m/>
  </r>
  <r>
    <s v="176A/2019"/>
    <d v="2019-02-27T00:00:00"/>
    <s v="KIỀU THY"/>
    <s v="HT03"/>
    <x v="76"/>
    <x v="35"/>
    <s v="TARRANGO"/>
    <m/>
    <s v="14.16"/>
    <n v="300"/>
    <s v="NL2018"/>
    <m/>
    <n v="20"/>
    <n v="6000"/>
    <x v="44"/>
    <n v="29400000"/>
    <x v="3"/>
    <x v="3"/>
    <d v="2019-06-20T00:00:00"/>
    <d v="2019-06-20T00:00:00"/>
    <m/>
    <m/>
    <m/>
    <m/>
    <m/>
    <m/>
    <m/>
    <m/>
    <m/>
    <m/>
    <m/>
    <m/>
    <n v="0"/>
    <n v="6000"/>
    <n v="29400000"/>
    <m/>
  </r>
  <r>
    <s v="176A/2019"/>
    <d v="2019-02-27T00:00:00"/>
    <s v="KIỀU THY"/>
    <s v="HT03"/>
    <x v="76"/>
    <x v="87"/>
    <s v="SERANO"/>
    <m/>
    <s v="16.18"/>
    <n v="200"/>
    <s v="NL2018"/>
    <m/>
    <n v="50"/>
    <n v="10000"/>
    <x v="154"/>
    <n v="52700000"/>
    <x v="0"/>
    <x v="1"/>
    <d v="2019-05-21T00:00:00"/>
    <d v="2019-05-21T00:00:00"/>
    <s v="10/4AL"/>
    <m/>
    <m/>
    <m/>
    <d v="2019-05-22T00:00:00"/>
    <n v="8000"/>
    <d v="2019-06-20T00:00:00"/>
    <n v="2000"/>
    <m/>
    <m/>
    <m/>
    <m/>
    <n v="10000"/>
    <n v="0"/>
    <n v="0"/>
    <m/>
  </r>
  <r>
    <s v="177A/2019"/>
    <d v="2019-04-09T00:00:00"/>
    <s v="KIỀU THY"/>
    <s v="HT03"/>
    <x v="76"/>
    <x v="88"/>
    <s v="PROFUNDO CHILE"/>
    <m/>
    <s v="20.22"/>
    <n v="125"/>
    <s v="CL2019"/>
    <m/>
    <n v="80"/>
    <n v="10000"/>
    <x v="61"/>
    <n v="135000000"/>
    <x v="2"/>
    <x v="2"/>
    <d v="2019-09-29T00:00:00"/>
    <d v="2019-09-29T00:00:00"/>
    <s v="TẾT"/>
    <m/>
    <m/>
    <m/>
    <m/>
    <m/>
    <m/>
    <m/>
    <m/>
    <m/>
    <m/>
    <m/>
    <n v="0"/>
    <n v="10000"/>
    <n v="135000000"/>
    <m/>
  </r>
  <r>
    <s v="176A/2019"/>
    <d v="2019-06-14T00:00:00"/>
    <s v="KIỀU THY"/>
    <s v="HT03"/>
    <x v="76"/>
    <x v="41"/>
    <s v="PAVIA"/>
    <m/>
    <s v="12.14"/>
    <n v="400"/>
    <s v="NL2018"/>
    <m/>
    <n v="15"/>
    <n v="6000"/>
    <x v="26"/>
    <n v="18000000"/>
    <x v="2"/>
    <x v="40"/>
    <d v="2019-08-15T00:00:00"/>
    <d v="2019-08-15T00:00:00"/>
    <m/>
    <m/>
    <m/>
    <m/>
    <m/>
    <m/>
    <m/>
    <m/>
    <m/>
    <m/>
    <m/>
    <m/>
    <n v="0"/>
    <n v="6000"/>
    <n v="18000000"/>
    <m/>
  </r>
  <r>
    <s v="177A/2019"/>
    <d v="2019-04-09T00:00:00"/>
    <s v="KIỀU THY"/>
    <s v="HT03"/>
    <x v="76"/>
    <x v="60"/>
    <s v="MANISSA"/>
    <m/>
    <s v="24+"/>
    <n v="75"/>
    <s v="NL2018"/>
    <s v="DLW"/>
    <n v="160"/>
    <n v="12000"/>
    <x v="57"/>
    <n v="192000000"/>
    <x v="2"/>
    <x v="2"/>
    <d v="2019-09-29T00:00:00"/>
    <d v="2019-09-29T00:00:00"/>
    <s v="TẾT"/>
    <m/>
    <m/>
    <m/>
    <m/>
    <m/>
    <m/>
    <m/>
    <m/>
    <m/>
    <m/>
    <m/>
    <n v="0"/>
    <n v="12000"/>
    <n v="192000000"/>
    <m/>
  </r>
  <r>
    <s v="177A/2019"/>
    <d v="2019-04-09T00:00:00"/>
    <s v="KIỀU THY"/>
    <s v="HT03"/>
    <x v="76"/>
    <x v="60"/>
    <s v="MANISSA"/>
    <m/>
    <s v="24+"/>
    <n v="75"/>
    <s v="NL2018"/>
    <s v="DLW"/>
    <n v="100"/>
    <n v="7500"/>
    <x v="117"/>
    <n v="121500000"/>
    <x v="2"/>
    <x v="2"/>
    <d v="2019-09-29T00:00:00"/>
    <d v="2019-09-29T00:00:00"/>
    <s v="TẾT"/>
    <m/>
    <m/>
    <m/>
    <m/>
    <m/>
    <m/>
    <m/>
    <m/>
    <m/>
    <m/>
    <m/>
    <n v="0"/>
    <n v="7500"/>
    <n v="121500000"/>
    <m/>
  </r>
  <r>
    <s v="177A/2019"/>
    <d v="2019-04-09T00:00:00"/>
    <s v="KIỀU THY"/>
    <s v="HT03"/>
    <x v="76"/>
    <x v="67"/>
    <s v="MANISSA"/>
    <m/>
    <s v="22.24"/>
    <n v="100"/>
    <s v="NL2018"/>
    <m/>
    <n v="0"/>
    <n v="0"/>
    <x v="111"/>
    <n v="0"/>
    <x v="1"/>
    <x v="2"/>
    <d v="2019-09-29T00:00:00"/>
    <d v="2019-09-29T00:00:00"/>
    <s v="TẾT"/>
    <m/>
    <m/>
    <m/>
    <m/>
    <m/>
    <m/>
    <m/>
    <m/>
    <m/>
    <m/>
    <m/>
    <n v="0"/>
    <n v="0"/>
    <n v="0"/>
    <m/>
  </r>
  <r>
    <s v="176A/2019"/>
    <d v="2019-05-13T00:00:00"/>
    <s v="KIỀU THY"/>
    <s v="HT03"/>
    <x v="76"/>
    <x v="27"/>
    <s v="MALDANO"/>
    <m/>
    <s v="16.18"/>
    <n v="200"/>
    <s v="NL2018"/>
    <m/>
    <n v="10"/>
    <n v="2000"/>
    <x v="6"/>
    <n v="10800000"/>
    <x v="0"/>
    <x v="1"/>
    <d v="2019-05-21T00:00:00"/>
    <d v="2019-05-21T00:00:00"/>
    <m/>
    <m/>
    <m/>
    <m/>
    <d v="2019-06-20T00:00:00"/>
    <n v="2000"/>
    <m/>
    <m/>
    <m/>
    <m/>
    <m/>
    <m/>
    <n v="2000"/>
    <n v="0"/>
    <n v="0"/>
    <m/>
  </r>
  <r>
    <s v="176A/2019"/>
    <d v="2019-06-14T00:00:00"/>
    <s v="KIỀU THY"/>
    <s v="HT03"/>
    <x v="76"/>
    <x v="73"/>
    <s v="MALDANO"/>
    <m/>
    <s v="14.16"/>
    <n v="300"/>
    <s v="NL2018"/>
    <m/>
    <n v="20"/>
    <n v="6000"/>
    <x v="29"/>
    <n v="27600000"/>
    <x v="2"/>
    <x v="56"/>
    <d v="2019-09-13T00:00:00"/>
    <d v="2019-09-13T00:00:00"/>
    <m/>
    <m/>
    <m/>
    <m/>
    <m/>
    <m/>
    <m/>
    <m/>
    <m/>
    <m/>
    <m/>
    <m/>
    <n v="0"/>
    <n v="6000"/>
    <n v="27600000"/>
    <m/>
  </r>
  <r>
    <s v="176A/2019"/>
    <d v="2019-05-13T00:00:00"/>
    <s v="KIỀU THY"/>
    <s v="HT03"/>
    <x v="76"/>
    <x v="28"/>
    <s v="LARGO"/>
    <m/>
    <s v="16.18"/>
    <n v="200"/>
    <s v="NL2018"/>
    <m/>
    <n v="30"/>
    <n v="6000"/>
    <x v="30"/>
    <n v="34800000"/>
    <x v="0"/>
    <x v="28"/>
    <d v="2019-06-07T00:00:00"/>
    <d v="2019-06-07T00:00:00"/>
    <m/>
    <m/>
    <m/>
    <m/>
    <d v="2019-06-20T00:00:00"/>
    <n v="6000"/>
    <m/>
    <m/>
    <m/>
    <m/>
    <m/>
    <m/>
    <n v="6000"/>
    <n v="0"/>
    <n v="0"/>
    <m/>
  </r>
  <r>
    <s v="176A/2019"/>
    <d v="2019-06-14T00:00:00"/>
    <s v="KIỀU THY"/>
    <s v="HT03"/>
    <x v="76"/>
    <x v="108"/>
    <s v="FELINO"/>
    <m/>
    <s v="16.18"/>
    <n v="200"/>
    <s v="NL2018"/>
    <m/>
    <n v="25"/>
    <n v="5000"/>
    <x v="71"/>
    <n v="34000000"/>
    <x v="2"/>
    <x v="56"/>
    <d v="2019-09-13T00:00:00"/>
    <d v="2019-09-13T00:00:00"/>
    <m/>
    <m/>
    <m/>
    <m/>
    <m/>
    <m/>
    <m/>
    <m/>
    <m/>
    <m/>
    <m/>
    <m/>
    <n v="0"/>
    <n v="5000"/>
    <n v="34000000"/>
    <m/>
  </r>
  <r>
    <s v="176A/2019"/>
    <d v="2019-02-27T00:00:00"/>
    <s v="KIỀU THY"/>
    <s v="HT03"/>
    <x v="76"/>
    <x v="24"/>
    <s v="DALIAN"/>
    <m/>
    <s v="14.16"/>
    <n v="300"/>
    <s v="NL2018"/>
    <m/>
    <n v="34"/>
    <n v="10200"/>
    <x v="6"/>
    <n v="55080000"/>
    <x v="0"/>
    <x v="1"/>
    <d v="2019-05-21T00:00:00"/>
    <d v="2019-05-21T00:00:00"/>
    <s v="10/4AL"/>
    <m/>
    <m/>
    <m/>
    <d v="2019-05-24T00:00:00"/>
    <n v="10200"/>
    <m/>
    <m/>
    <m/>
    <m/>
    <m/>
    <m/>
    <n v="10200"/>
    <n v="0"/>
    <n v="0"/>
    <m/>
  </r>
  <r>
    <s v="80A/2019"/>
    <d v="2019-02-27T00:00:00"/>
    <s v="KIỀU THY"/>
    <s v="HT03"/>
    <x v="76"/>
    <x v="81"/>
    <s v="BACARDI"/>
    <m/>
    <s v="16.18"/>
    <n v="200"/>
    <s v="NL2018"/>
    <m/>
    <n v="25"/>
    <n v="5000"/>
    <x v="75"/>
    <n v="31500000"/>
    <x v="0"/>
    <x v="30"/>
    <d v="2019-04-04T00:00:00"/>
    <d v="2019-04-04T00:00:00"/>
    <s v="30/2AL"/>
    <s v="CONT 14/2019"/>
    <d v="2019-03-31T00:00:00"/>
    <s v="R"/>
    <d v="2019-04-03T00:00:00"/>
    <n v="5000"/>
    <m/>
    <m/>
    <m/>
    <m/>
    <m/>
    <m/>
    <n v="5000"/>
    <n v="0"/>
    <n v="0"/>
    <m/>
  </r>
  <r>
    <s v="80A/2019"/>
    <d v="2019-02-27T00:00:00"/>
    <s v="KIỀU THY"/>
    <s v="HT03"/>
    <x v="76"/>
    <x v="13"/>
    <s v="BACARDI"/>
    <m/>
    <s v="15.16"/>
    <n v="300"/>
    <s v="NL2018"/>
    <m/>
    <n v="5"/>
    <n v="1500"/>
    <x v="50"/>
    <n v="6600000"/>
    <x v="0"/>
    <x v="30"/>
    <d v="2019-04-04T00:00:00"/>
    <d v="2019-04-04T00:00:00"/>
    <s v="30/2AL"/>
    <m/>
    <m/>
    <m/>
    <d v="2019-04-03T00:00:00"/>
    <n v="1500"/>
    <m/>
    <m/>
    <m/>
    <m/>
    <m/>
    <m/>
    <n v="1500"/>
    <n v="0"/>
    <n v="0"/>
    <m/>
  </r>
  <r>
    <s v="176A/2019"/>
    <d v="2019-06-14T00:00:00"/>
    <s v="KIỀU THY"/>
    <s v="HT03"/>
    <x v="76"/>
    <x v="118"/>
    <s v="AMIGA"/>
    <m/>
    <s v="14.16"/>
    <n v="300"/>
    <s v="NL2018"/>
    <m/>
    <n v="17"/>
    <n v="5100"/>
    <x v="44"/>
    <n v="24990000"/>
    <x v="2"/>
    <x v="40"/>
    <d v="2019-08-15T00:00:00"/>
    <d v="2019-08-15T00:00:00"/>
    <m/>
    <m/>
    <m/>
    <m/>
    <m/>
    <m/>
    <m/>
    <m/>
    <m/>
    <m/>
    <m/>
    <m/>
    <n v="0"/>
    <n v="5100"/>
    <n v="24990000"/>
    <m/>
  </r>
  <r>
    <s v="31A/2019"/>
    <d v="2019-02-13T00:00:00"/>
    <s v="KIỀU THY"/>
    <s v="NP01"/>
    <x v="77"/>
    <x v="78"/>
    <s v="YELLOWEEN"/>
    <m/>
    <s v="14.16"/>
    <n v="300"/>
    <s v="NL2018"/>
    <m/>
    <n v="65"/>
    <n v="19500"/>
    <x v="64"/>
    <n v="74100000"/>
    <x v="0"/>
    <x v="0"/>
    <d v="2019-03-20T00:00:00"/>
    <d v="2019-03-20T00:00:00"/>
    <s v="15/2AL"/>
    <s v="CONT 12/2019"/>
    <d v="2019-03-17T00:00:00"/>
    <m/>
    <d v="2019-03-23T00:00:00"/>
    <n v="10200"/>
    <d v="2019-04-18T00:00:00"/>
    <n v="9300"/>
    <m/>
    <m/>
    <m/>
    <m/>
    <n v="19500"/>
    <n v="0"/>
    <n v="0"/>
    <s v="check lai gia 3800 hay 3700"/>
  </r>
  <r>
    <s v="31A/2019"/>
    <d v="2019-02-13T00:00:00"/>
    <s v="KIỀU THY"/>
    <s v="NP01"/>
    <x v="77"/>
    <x v="78"/>
    <s v="YELLOWEEN"/>
    <m/>
    <s v="14.16"/>
    <n v="300"/>
    <s v="NL2018"/>
    <m/>
    <n v="0"/>
    <n v="0"/>
    <x v="64"/>
    <n v="0"/>
    <x v="1"/>
    <x v="5"/>
    <d v="2019-04-19T00:00:00"/>
    <d v="2019-04-19T00:00:00"/>
    <s v="15/3AL"/>
    <s v="CONT 27/2019"/>
    <d v="2019-04-14T00:00:00"/>
    <m/>
    <m/>
    <n v="0"/>
    <m/>
    <m/>
    <m/>
    <m/>
    <m/>
    <m/>
    <n v="0"/>
    <n v="0"/>
    <n v="0"/>
    <s v="check lai gia 3800 hay 3700"/>
  </r>
  <r>
    <s v="138A/2019"/>
    <d v="2019-02-13T00:00:00"/>
    <s v="KIỀU THY"/>
    <s v="NP01"/>
    <x v="77"/>
    <x v="135"/>
    <s v="TARRANGO CHILE"/>
    <m/>
    <s v="18.20"/>
    <n v="150"/>
    <s v="CL2019"/>
    <m/>
    <n v="100"/>
    <n v="15000"/>
    <x v="28"/>
    <n v="165000000"/>
    <x v="2"/>
    <x v="2"/>
    <d v="2019-09-29T00:00:00"/>
    <d v="2019-09-29T00:00:00"/>
    <s v="TẾT"/>
    <m/>
    <m/>
    <m/>
    <m/>
    <n v="0"/>
    <m/>
    <m/>
    <m/>
    <m/>
    <m/>
    <m/>
    <n v="0"/>
    <n v="15000"/>
    <n v="165000000"/>
    <m/>
  </r>
  <r>
    <s v="31A/2019"/>
    <d v="2019-02-13T00:00:00"/>
    <s v="KIỀU THY"/>
    <s v="NP01"/>
    <x v="77"/>
    <x v="35"/>
    <s v="TARRANGO"/>
    <m/>
    <s v="14.16"/>
    <n v="300"/>
    <s v="NL2018"/>
    <m/>
    <n v="33"/>
    <n v="9900"/>
    <x v="29"/>
    <n v="45540000"/>
    <x v="0"/>
    <x v="0"/>
    <d v="2019-03-20T00:00:00"/>
    <d v="2019-03-20T00:00:00"/>
    <s v="15/2AL"/>
    <s v="CONT 10/2019"/>
    <d v="2019-03-17T00:00:00"/>
    <m/>
    <d v="2019-03-24T00:00:00"/>
    <n v="9900"/>
    <m/>
    <m/>
    <m/>
    <m/>
    <m/>
    <m/>
    <n v="9900"/>
    <n v="0"/>
    <n v="0"/>
    <m/>
  </r>
  <r>
    <s v="31A/2019"/>
    <d v="2019-02-13T00:00:00"/>
    <s v="KIỀU THY"/>
    <s v="NP01"/>
    <x v="77"/>
    <x v="10"/>
    <s v="TARRANGO"/>
    <m/>
    <s v="16.18"/>
    <n v="200"/>
    <s v="NL2018"/>
    <m/>
    <n v="50"/>
    <n v="10000"/>
    <x v="10"/>
    <n v="55000000"/>
    <x v="0"/>
    <x v="0"/>
    <d v="2019-03-20T00:00:00"/>
    <d v="2019-03-20T00:00:00"/>
    <s v="15/2AL"/>
    <s v="CONT 12/2019"/>
    <d v="2019-03-17T00:00:00"/>
    <m/>
    <d v="2019-03-24T00:00:00"/>
    <n v="10000"/>
    <m/>
    <m/>
    <m/>
    <m/>
    <m/>
    <m/>
    <n v="10000"/>
    <n v="0"/>
    <n v="0"/>
    <m/>
  </r>
  <r>
    <s v="31A/2019"/>
    <d v="2019-05-07T00:00:00"/>
    <s v="KIỀU THY"/>
    <s v="NP01"/>
    <x v="77"/>
    <x v="35"/>
    <s v="TARRANGO"/>
    <m/>
    <s v="14.16"/>
    <n v="300"/>
    <s v="NL2018"/>
    <m/>
    <n v="0"/>
    <n v="0"/>
    <x v="44"/>
    <n v="0"/>
    <x v="1"/>
    <x v="11"/>
    <d v="2019-06-02T00:00:00"/>
    <d v="2019-06-02T00:00:00"/>
    <m/>
    <m/>
    <m/>
    <m/>
    <m/>
    <m/>
    <m/>
    <m/>
    <m/>
    <m/>
    <m/>
    <m/>
    <n v="0"/>
    <n v="0"/>
    <n v="0"/>
    <m/>
  </r>
  <r>
    <s v="31A/2019"/>
    <d v="2019-02-13T00:00:00"/>
    <s v="KIỀU THY"/>
    <s v="NP01"/>
    <x v="77"/>
    <x v="10"/>
    <s v="TARRANGO"/>
    <m/>
    <s v="16.18"/>
    <n v="200"/>
    <s v="NL2018"/>
    <m/>
    <n v="0"/>
    <n v="0"/>
    <x v="10"/>
    <n v="0"/>
    <x v="1"/>
    <x v="26"/>
    <s v=""/>
    <s v=""/>
    <m/>
    <m/>
    <m/>
    <m/>
    <m/>
    <n v="0"/>
    <m/>
    <m/>
    <m/>
    <m/>
    <m/>
    <m/>
    <n v="0"/>
    <n v="0"/>
    <n v="0"/>
    <m/>
  </r>
  <r>
    <s v="31A/2019"/>
    <d v="2019-05-25T00:00:00"/>
    <s v="KIỀU THY"/>
    <s v="NP01"/>
    <x v="77"/>
    <x v="2"/>
    <s v="SERANO"/>
    <m/>
    <s v="14.16"/>
    <n v="300"/>
    <s v="NL2018"/>
    <m/>
    <n v="29"/>
    <n v="8700"/>
    <x v="108"/>
    <n v="31320000"/>
    <x v="0"/>
    <x v="1"/>
    <d v="2019-05-21T00:00:00"/>
    <d v="2019-05-21T00:00:00"/>
    <m/>
    <m/>
    <m/>
    <m/>
    <d v="2019-06-11T00:00:00"/>
    <n v="8700"/>
    <m/>
    <m/>
    <m/>
    <m/>
    <m/>
    <m/>
    <n v="8700"/>
    <n v="0"/>
    <n v="0"/>
    <m/>
  </r>
  <r>
    <s v="31A/2019"/>
    <d v="2019-06-01T00:00:00"/>
    <s v="KIỀU THY"/>
    <s v="NP01"/>
    <x v="77"/>
    <x v="2"/>
    <s v="SERANO"/>
    <m/>
    <s v="14.16"/>
    <n v="300"/>
    <s v="NL2018"/>
    <m/>
    <n v="27"/>
    <n v="8100"/>
    <x v="82"/>
    <n v="29970000"/>
    <x v="3"/>
    <x v="41"/>
    <d v="2019-06-14T00:00:00"/>
    <d v="2019-06-14T00:00:00"/>
    <s v="12/5 AL"/>
    <m/>
    <m/>
    <m/>
    <d v="2019-06-11T00:00:00"/>
    <n v="3000"/>
    <d v="2019-06-24T00:00:00"/>
    <n v="3000"/>
    <m/>
    <m/>
    <m/>
    <m/>
    <n v="6000"/>
    <n v="2100"/>
    <n v="7770000"/>
    <m/>
  </r>
  <r>
    <s v="31A/2019"/>
    <d v="2019-05-08T00:00:00"/>
    <s v="KIỀU THY"/>
    <s v="NP01"/>
    <x v="77"/>
    <x v="87"/>
    <s v="SERANO"/>
    <m/>
    <s v="16.18"/>
    <n v="200"/>
    <s v="NL2018"/>
    <m/>
    <n v="55"/>
    <n v="11000"/>
    <x v="73"/>
    <n v="57200000"/>
    <x v="0"/>
    <x v="11"/>
    <d v="2019-06-02T00:00:00"/>
    <d v="2019-06-02T00:00:00"/>
    <m/>
    <m/>
    <m/>
    <m/>
    <d v="2019-06-24T00:00:00"/>
    <n v="11000"/>
    <m/>
    <m/>
    <m/>
    <m/>
    <m/>
    <m/>
    <n v="11000"/>
    <n v="0"/>
    <n v="0"/>
    <m/>
  </r>
  <r>
    <s v="31A/2019"/>
    <d v="2019-05-15T00:00:00"/>
    <s v="KIỀU THY"/>
    <s v="NP01"/>
    <x v="77"/>
    <x v="2"/>
    <s v="SERANO"/>
    <m/>
    <s v="14.16"/>
    <n v="300"/>
    <s v="NL2018"/>
    <m/>
    <n v="34"/>
    <n v="10200"/>
    <x v="82"/>
    <n v="37740000"/>
    <x v="4"/>
    <x v="4"/>
    <d v="2019-07-17T00:00:00"/>
    <d v="2019-07-17T00:00:00"/>
    <m/>
    <m/>
    <m/>
    <m/>
    <m/>
    <m/>
    <m/>
    <m/>
    <m/>
    <m/>
    <m/>
    <m/>
    <n v="0"/>
    <n v="10200"/>
    <n v="37740000"/>
    <m/>
  </r>
  <r>
    <s v="31A/2019"/>
    <d v="2019-05-29T00:00:00"/>
    <s v="KIỀU THY"/>
    <s v="NP01"/>
    <x v="77"/>
    <x v="2"/>
    <s v="SERANO"/>
    <m/>
    <s v="14.16"/>
    <n v="300"/>
    <s v="NL2018"/>
    <m/>
    <n v="32"/>
    <n v="9600"/>
    <x v="82"/>
    <n v="35520000"/>
    <x v="2"/>
    <x v="20"/>
    <d v="2019-07-27T00:00:00"/>
    <d v="2019-07-27T00:00:00"/>
    <m/>
    <m/>
    <m/>
    <m/>
    <m/>
    <m/>
    <m/>
    <m/>
    <m/>
    <m/>
    <m/>
    <m/>
    <n v="0"/>
    <n v="9600"/>
    <n v="35520000"/>
    <m/>
  </r>
  <r>
    <s v="31A/2019"/>
    <d v="2019-05-07T00:00:00"/>
    <s v="KIỀU THY"/>
    <s v="NP01"/>
    <x v="77"/>
    <x v="87"/>
    <s v="SERANO"/>
    <m/>
    <s v="16.18"/>
    <n v="200"/>
    <s v="NL2018"/>
    <m/>
    <n v="0"/>
    <n v="0"/>
    <x v="73"/>
    <n v="0"/>
    <x v="1"/>
    <x v="26"/>
    <s v=""/>
    <s v=""/>
    <m/>
    <m/>
    <m/>
    <m/>
    <m/>
    <m/>
    <m/>
    <m/>
    <m/>
    <m/>
    <m/>
    <m/>
    <n v="0"/>
    <n v="0"/>
    <n v="0"/>
    <m/>
  </r>
  <r>
    <s v="31A/2019"/>
    <d v="2019-02-13T00:00:00"/>
    <s v="KIỀU THY"/>
    <s v="NP01"/>
    <x v="77"/>
    <x v="3"/>
    <s v="ROBINA"/>
    <m/>
    <s v="16.18"/>
    <n v="200"/>
    <s v="NL2018"/>
    <m/>
    <n v="50"/>
    <n v="10000"/>
    <x v="6"/>
    <n v="54000000"/>
    <x v="0"/>
    <x v="5"/>
    <d v="2019-04-19T00:00:00"/>
    <d v="2019-04-19T00:00:00"/>
    <s v="15/3AL"/>
    <s v="CONT 26/2019"/>
    <d v="2019-04-14T00:00:00"/>
    <m/>
    <d v="2019-05-20T00:00:00"/>
    <n v="1000"/>
    <d v="2019-06-05T00:00:00"/>
    <n v="9000"/>
    <m/>
    <m/>
    <m/>
    <m/>
    <n v="10000"/>
    <n v="0"/>
    <n v="0"/>
    <s v="sai sl check lai 5k hay 2k"/>
  </r>
  <r>
    <s v="31A/2019"/>
    <d v="2019-05-07T00:00:00"/>
    <s v="KIỀU THY"/>
    <s v="NP01"/>
    <x v="77"/>
    <x v="3"/>
    <s v="ROBINA"/>
    <m/>
    <s v="16.18"/>
    <n v="200"/>
    <s v="NL2018"/>
    <m/>
    <n v="141"/>
    <n v="28200"/>
    <x v="6"/>
    <n v="152280000"/>
    <x v="0"/>
    <x v="1"/>
    <d v="2019-05-21T00:00:00"/>
    <d v="2019-05-21T00:00:00"/>
    <m/>
    <m/>
    <m/>
    <m/>
    <d v="2019-05-18T00:00:00"/>
    <n v="20000"/>
    <d v="2019-06-05T00:00:00"/>
    <n v="8200"/>
    <m/>
    <m/>
    <m/>
    <m/>
    <n v="28200"/>
    <n v="0"/>
    <n v="0"/>
    <m/>
  </r>
  <r>
    <s v="31A/2019"/>
    <d v="2019-05-07T00:00:00"/>
    <s v="KIỀU THY"/>
    <s v="NP01"/>
    <x v="77"/>
    <x v="3"/>
    <s v="ROBINA"/>
    <m/>
    <s v="16.18"/>
    <n v="200"/>
    <s v="NL2018"/>
    <m/>
    <n v="0"/>
    <n v="0"/>
    <x v="10"/>
    <n v="0"/>
    <x v="1"/>
    <x v="11"/>
    <d v="2019-06-02T00:00:00"/>
    <d v="2019-06-02T00:00:00"/>
    <m/>
    <m/>
    <m/>
    <m/>
    <m/>
    <m/>
    <m/>
    <m/>
    <m/>
    <m/>
    <m/>
    <m/>
    <n v="0"/>
    <n v="0"/>
    <n v="0"/>
    <m/>
  </r>
  <r>
    <s v="31A/2019"/>
    <d v="2019-02-13T00:00:00"/>
    <s v="KIỀU THY"/>
    <s v="NP01"/>
    <x v="77"/>
    <x v="3"/>
    <s v="ROBINA"/>
    <m/>
    <s v="16.18"/>
    <n v="200"/>
    <s v="NL2018"/>
    <m/>
    <n v="35"/>
    <n v="7000"/>
    <x v="43"/>
    <n v="33600000"/>
    <x v="0"/>
    <x v="0"/>
    <d v="2019-03-20T00:00:00"/>
    <d v="2019-03-20T00:00:00"/>
    <s v="15/2AL"/>
    <s v="CONT 11/2019"/>
    <d v="2019-03-17T00:00:00"/>
    <m/>
    <d v="2019-03-23T00:00:00"/>
    <n v="7000"/>
    <m/>
    <m/>
    <m/>
    <m/>
    <m/>
    <m/>
    <n v="7000"/>
    <n v="0"/>
    <n v="0"/>
    <m/>
  </r>
  <r>
    <s v="31A/2019"/>
    <d v="2019-05-08T00:00:00"/>
    <s v="KIỀU THY"/>
    <s v="NP01"/>
    <x v="77"/>
    <x v="3"/>
    <s v="ROBINA"/>
    <m/>
    <s v="16.18"/>
    <n v="200"/>
    <s v="NL2018"/>
    <m/>
    <n v="78"/>
    <n v="15600"/>
    <x v="10"/>
    <n v="85800000"/>
    <x v="3"/>
    <x v="3"/>
    <d v="2019-06-20T00:00:00"/>
    <d v="2019-06-20T00:00:00"/>
    <m/>
    <m/>
    <m/>
    <m/>
    <m/>
    <m/>
    <m/>
    <m/>
    <m/>
    <m/>
    <m/>
    <m/>
    <n v="0"/>
    <n v="15600"/>
    <n v="85800000"/>
    <m/>
  </r>
  <r>
    <s v="31A/2019"/>
    <d v="2019-06-14T00:00:00"/>
    <s v="KIỀU THY"/>
    <s v="NP01"/>
    <x v="77"/>
    <x v="3"/>
    <s v="ROBINA"/>
    <m/>
    <s v="16.18"/>
    <n v="200"/>
    <s v="NL2018"/>
    <m/>
    <n v="50"/>
    <n v="10000"/>
    <x v="55"/>
    <n v="56000000"/>
    <x v="4"/>
    <x v="4"/>
    <d v="2019-07-17T00:00:00"/>
    <d v="2019-07-17T00:00:00"/>
    <m/>
    <m/>
    <m/>
    <m/>
    <m/>
    <m/>
    <m/>
    <m/>
    <m/>
    <m/>
    <m/>
    <m/>
    <n v="0"/>
    <n v="10000"/>
    <n v="56000000"/>
    <m/>
  </r>
  <r>
    <s v="138A/2019"/>
    <d v="2019-02-13T00:00:00"/>
    <s v="KIỀU THY"/>
    <s v="NP01"/>
    <x v="77"/>
    <x v="23"/>
    <s v="ROBINA"/>
    <m/>
    <s v="22.24"/>
    <n v="100"/>
    <s v="NL2018"/>
    <m/>
    <n v="100"/>
    <n v="10000"/>
    <x v="25"/>
    <n v="125000000"/>
    <x v="2"/>
    <x v="2"/>
    <d v="2019-09-29T00:00:00"/>
    <d v="2019-09-29T00:00:00"/>
    <s v="TẾT"/>
    <m/>
    <m/>
    <m/>
    <m/>
    <n v="0"/>
    <m/>
    <m/>
    <m/>
    <m/>
    <m/>
    <m/>
    <n v="0"/>
    <n v="10000"/>
    <n v="125000000"/>
    <m/>
  </r>
  <r>
    <s v="31A/2019"/>
    <d v="2019-06-13T00:00:00"/>
    <s v="KIỀU THY"/>
    <s v="NP01"/>
    <x v="77"/>
    <x v="3"/>
    <s v="ROBINA"/>
    <m/>
    <s v="16.18"/>
    <n v="200"/>
    <s v="NL2018"/>
    <m/>
    <n v="49"/>
    <n v="9800"/>
    <x v="10"/>
    <n v="53900000"/>
    <x v="0"/>
    <x v="18"/>
    <d v="2019-07-02T00:00:00"/>
    <d v="2019-07-02T00:00:00"/>
    <m/>
    <m/>
    <m/>
    <m/>
    <d v="2019-06-17T00:00:00"/>
    <n v="9800"/>
    <m/>
    <m/>
    <m/>
    <m/>
    <m/>
    <m/>
    <n v="9800"/>
    <n v="0"/>
    <n v="0"/>
    <m/>
  </r>
  <r>
    <s v="31A/2019"/>
    <d v="2019-05-15T00:00:00"/>
    <s v="KIỀU THY"/>
    <s v="NP01"/>
    <x v="77"/>
    <x v="82"/>
    <s v="PROFUNDO"/>
    <m/>
    <s v="14.16"/>
    <n v="275"/>
    <s v="NL2018"/>
    <m/>
    <n v="19"/>
    <n v="5225"/>
    <x v="8"/>
    <n v="26125000"/>
    <x v="0"/>
    <x v="1"/>
    <d v="2019-05-21T00:00:00"/>
    <d v="2019-05-21T00:00:00"/>
    <m/>
    <m/>
    <m/>
    <m/>
    <d v="2019-06-11T00:00:00"/>
    <n v="2475"/>
    <d v="2019-06-12T00:00:00"/>
    <n v="550"/>
    <d v="2019-06-13T00:00:00"/>
    <n v="275"/>
    <d v="2019-06-24T00:00:00"/>
    <n v="1925"/>
    <n v="5225"/>
    <n v="0"/>
    <n v="0"/>
    <m/>
  </r>
  <r>
    <s v="31A/2019"/>
    <d v="2019-02-13T00:00:00"/>
    <s v="KIỀU THY"/>
    <s v="NP01"/>
    <x v="77"/>
    <x v="11"/>
    <s v="PROFUNDO"/>
    <m/>
    <s v="16.18"/>
    <n v="200"/>
    <s v="NL2018"/>
    <m/>
    <n v="56"/>
    <n v="11200"/>
    <x v="32"/>
    <n v="75040000"/>
    <x v="0"/>
    <x v="0"/>
    <d v="2019-03-20T00:00:00"/>
    <d v="2019-03-20T00:00:00"/>
    <s v="15/2AL"/>
    <s v="CONT 12/2019"/>
    <d v="2019-03-17T00:00:00"/>
    <m/>
    <d v="2019-03-23T00:00:00"/>
    <n v="11200"/>
    <m/>
    <m/>
    <m/>
    <m/>
    <m/>
    <m/>
    <n v="11200"/>
    <n v="0"/>
    <n v="0"/>
    <m/>
  </r>
  <r>
    <s v="31A/2019"/>
    <d v="2019-06-18T00:00:00"/>
    <s v="KIỀU THY"/>
    <s v="NP01"/>
    <x v="77"/>
    <x v="11"/>
    <s v="PROFUNDO"/>
    <m/>
    <s v="16.18"/>
    <n v="200"/>
    <s v="NL2018"/>
    <m/>
    <n v="100"/>
    <n v="20000"/>
    <x v="11"/>
    <n v="154000000"/>
    <x v="4"/>
    <x v="18"/>
    <d v="2019-07-02T00:00:00"/>
    <d v="2019-07-02T00:00:00"/>
    <s v="Hà Nội chuyển vô"/>
    <m/>
    <m/>
    <m/>
    <m/>
    <m/>
    <m/>
    <m/>
    <m/>
    <m/>
    <m/>
    <m/>
    <n v="0"/>
    <n v="20000"/>
    <n v="154000000"/>
    <m/>
  </r>
  <r>
    <s v="31A/2019"/>
    <d v="2019-06-13T00:00:00"/>
    <s v="KIỀU THY"/>
    <s v="NP01"/>
    <x v="77"/>
    <x v="115"/>
    <s v="PARAGUAY"/>
    <m/>
    <s v="14.16"/>
    <n v="275"/>
    <s v="NL2018"/>
    <m/>
    <n v="30"/>
    <n v="8250"/>
    <x v="12"/>
    <n v="38775000"/>
    <x v="3"/>
    <x v="18"/>
    <d v="2019-07-02T00:00:00"/>
    <d v="2019-07-02T00:00:00"/>
    <m/>
    <m/>
    <m/>
    <m/>
    <m/>
    <m/>
    <m/>
    <m/>
    <m/>
    <m/>
    <m/>
    <m/>
    <n v="0"/>
    <n v="8250"/>
    <n v="38775000"/>
    <m/>
  </r>
  <r>
    <s v="31A/2019"/>
    <d v="2019-06-13T00:00:00"/>
    <s v="KIỀU THY"/>
    <s v="NP01"/>
    <x v="77"/>
    <x v="136"/>
    <s v="PARAGUAY"/>
    <m/>
    <s v="16.18"/>
    <n v="175"/>
    <s v="NL2018"/>
    <m/>
    <n v="5"/>
    <n v="875"/>
    <x v="13"/>
    <n v="5425000"/>
    <x v="3"/>
    <x v="18"/>
    <d v="2019-07-02T00:00:00"/>
    <d v="2019-07-02T00:00:00"/>
    <m/>
    <m/>
    <m/>
    <m/>
    <m/>
    <m/>
    <m/>
    <m/>
    <m/>
    <m/>
    <m/>
    <m/>
    <n v="0"/>
    <n v="875"/>
    <n v="5425000"/>
    <m/>
  </r>
  <r>
    <s v="31A/2019"/>
    <d v="2019-06-13T00:00:00"/>
    <s v="KIỀU THY"/>
    <s v="NP01"/>
    <x v="77"/>
    <x v="79"/>
    <s v="MANISSA"/>
    <m/>
    <s v="16.18"/>
    <n v="200"/>
    <s v="NL2018"/>
    <m/>
    <n v="75"/>
    <n v="15000"/>
    <x v="66"/>
    <n v="105000000"/>
    <x v="3"/>
    <x v="3"/>
    <d v="2019-06-20T00:00:00"/>
    <d v="2019-06-20T00:00:00"/>
    <m/>
    <m/>
    <m/>
    <m/>
    <m/>
    <m/>
    <m/>
    <m/>
    <m/>
    <m/>
    <m/>
    <m/>
    <n v="0"/>
    <n v="15000"/>
    <n v="105000000"/>
    <m/>
  </r>
  <r>
    <s v="31A/2019"/>
    <d v="2019-06-14T00:00:00"/>
    <s v="KIỀU THY"/>
    <s v="NP01"/>
    <x v="77"/>
    <x v="73"/>
    <s v="MALDANO"/>
    <m/>
    <s v="14.16"/>
    <n v="300"/>
    <s v="NL2018"/>
    <m/>
    <n v="32"/>
    <n v="9600"/>
    <x v="14"/>
    <n v="43200000"/>
    <x v="4"/>
    <x v="4"/>
    <d v="2019-07-17T00:00:00"/>
    <d v="2019-07-17T00:00:00"/>
    <m/>
    <m/>
    <m/>
    <m/>
    <m/>
    <m/>
    <m/>
    <m/>
    <m/>
    <m/>
    <m/>
    <m/>
    <n v="0"/>
    <n v="9600"/>
    <n v="43200000"/>
    <m/>
  </r>
  <r>
    <s v="31A/2019"/>
    <d v="2019-05-07T00:00:00"/>
    <s v="KIỀU THY"/>
    <s v="NP01"/>
    <x v="77"/>
    <x v="27"/>
    <s v="MALDANO"/>
    <m/>
    <s v="16.18"/>
    <n v="200"/>
    <s v="NL2018"/>
    <m/>
    <n v="55"/>
    <n v="11000"/>
    <x v="33"/>
    <n v="58300000"/>
    <x v="0"/>
    <x v="1"/>
    <d v="2019-05-21T00:00:00"/>
    <d v="2019-05-21T00:00:00"/>
    <m/>
    <m/>
    <m/>
    <m/>
    <d v="2019-05-18T00:00:00"/>
    <n v="11000"/>
    <m/>
    <m/>
    <m/>
    <m/>
    <m/>
    <m/>
    <n v="11000"/>
    <n v="0"/>
    <n v="0"/>
    <m/>
  </r>
  <r>
    <s v="31A/2019"/>
    <d v="2019-05-19T00:00:00"/>
    <s v="KIỀU THY"/>
    <s v="NP01"/>
    <x v="77"/>
    <x v="28"/>
    <s v="LARGO"/>
    <m/>
    <s v="16.18"/>
    <n v="200"/>
    <s v="NL2018"/>
    <m/>
    <n v="10"/>
    <n v="2000"/>
    <x v="55"/>
    <n v="11200000"/>
    <x v="0"/>
    <x v="1"/>
    <d v="2019-05-21T00:00:00"/>
    <d v="2019-05-21T00:00:00"/>
    <m/>
    <m/>
    <m/>
    <m/>
    <d v="2019-05-18T00:00:00"/>
    <n v="2000"/>
    <m/>
    <m/>
    <m/>
    <m/>
    <m/>
    <m/>
    <n v="2000"/>
    <n v="0"/>
    <n v="0"/>
    <m/>
  </r>
  <r>
    <s v="31A/2019"/>
    <d v="2019-02-13T00:00:00"/>
    <s v="KIỀU THY"/>
    <s v="NP01"/>
    <x v="77"/>
    <x v="28"/>
    <s v="LARGO"/>
    <m/>
    <s v="16.18"/>
    <n v="200"/>
    <s v="NL2018"/>
    <m/>
    <n v="0"/>
    <n v="0"/>
    <x v="10"/>
    <n v="0"/>
    <x v="1"/>
    <x v="26"/>
    <s v=""/>
    <s v=""/>
    <s v="note lại sau"/>
    <m/>
    <m/>
    <m/>
    <m/>
    <n v="0"/>
    <m/>
    <m/>
    <m/>
    <m/>
    <m/>
    <m/>
    <n v="0"/>
    <n v="0"/>
    <n v="0"/>
    <m/>
  </r>
  <r>
    <s v="31A/2019"/>
    <d v="2019-05-02T00:00:00"/>
    <s v="KIỀU THY"/>
    <s v="NP01"/>
    <x v="77"/>
    <x v="24"/>
    <s v="DALIAN"/>
    <m/>
    <s v="14.16"/>
    <n v="300"/>
    <s v="NL2018"/>
    <m/>
    <n v="28"/>
    <n v="8400"/>
    <x v="6"/>
    <n v="45360000"/>
    <x v="0"/>
    <x v="36"/>
    <d v="2019-05-04T00:00:00"/>
    <d v="2019-05-04T00:00:00"/>
    <m/>
    <m/>
    <m/>
    <m/>
    <d v="2019-05-18T00:00:00"/>
    <n v="3000"/>
    <d v="2019-06-05T00:00:00"/>
    <n v="5400"/>
    <m/>
    <m/>
    <m/>
    <m/>
    <n v="8400"/>
    <n v="0"/>
    <n v="0"/>
    <m/>
  </r>
  <r>
    <s v="31A/2019"/>
    <d v="2019-06-03T00:00:00"/>
    <s v="KIỀU THY"/>
    <s v="NP01"/>
    <x v="77"/>
    <x v="24"/>
    <s v="DALIAN"/>
    <m/>
    <s v="14.16"/>
    <n v="300"/>
    <s v="NL2018"/>
    <m/>
    <n v="21"/>
    <n v="6300"/>
    <x v="6"/>
    <n v="34020000"/>
    <x v="0"/>
    <x v="1"/>
    <d v="2019-05-21T00:00:00"/>
    <d v="2019-05-21T00:00:00"/>
    <m/>
    <m/>
    <m/>
    <m/>
    <d v="2019-06-05T00:00:00"/>
    <n v="5100"/>
    <d v="2019-06-08T00:00:00"/>
    <n v="1200"/>
    <m/>
    <m/>
    <m/>
    <m/>
    <n v="6300"/>
    <n v="0"/>
    <n v="0"/>
    <m/>
  </r>
  <r>
    <s v="31A/2019"/>
    <d v="2019-02-13T00:00:00"/>
    <s v="KIỀU THY"/>
    <s v="NP01"/>
    <x v="77"/>
    <x v="24"/>
    <s v="DALIAN"/>
    <m/>
    <s v="14.16"/>
    <n v="300"/>
    <s v="NL2018"/>
    <m/>
    <n v="101.66666666666667"/>
    <n v="30500"/>
    <x v="10"/>
    <n v="167750000"/>
    <x v="0"/>
    <x v="0"/>
    <d v="2019-03-20T00:00:00"/>
    <d v="2019-03-20T00:00:00"/>
    <s v="15/2AL"/>
    <s v="CONT 11/2019"/>
    <d v="2019-03-17T00:00:00"/>
    <m/>
    <d v="2019-03-23T00:00:00"/>
    <n v="12000"/>
    <d v="2019-04-05T00:00:00"/>
    <n v="8100"/>
    <d v="2019-04-18T00:00:00"/>
    <n v="10400"/>
    <m/>
    <m/>
    <n v="30500"/>
    <n v="0"/>
    <n v="0"/>
    <m/>
  </r>
  <r>
    <s v="31A/2019"/>
    <d v="2019-02-13T00:00:00"/>
    <s v="KIỀU THY"/>
    <s v="NP01"/>
    <x v="77"/>
    <x v="125"/>
    <s v="DALIAN"/>
    <m/>
    <s v="16.18"/>
    <n v="200"/>
    <s v="NL2018"/>
    <m/>
    <n v="25"/>
    <n v="5000"/>
    <x v="32"/>
    <n v="33500000"/>
    <x v="0"/>
    <x v="0"/>
    <d v="2019-03-20T00:00:00"/>
    <d v="2019-03-20T00:00:00"/>
    <s v="15/2AL"/>
    <s v="CONT 11/2019"/>
    <d v="2019-03-17T00:00:00"/>
    <m/>
    <d v="2019-04-05T00:00:00"/>
    <n v="5000"/>
    <m/>
    <m/>
    <m/>
    <m/>
    <m/>
    <m/>
    <n v="5000"/>
    <n v="0"/>
    <n v="0"/>
    <m/>
  </r>
  <r>
    <s v="31A/2019"/>
    <d v="2019-02-13T00:00:00"/>
    <s v="KIỀU THY"/>
    <s v="NP01"/>
    <x v="77"/>
    <x v="24"/>
    <s v="DALIAN"/>
    <m/>
    <s v="14.16"/>
    <n v="300"/>
    <s v="NL2018"/>
    <m/>
    <n v="36"/>
    <n v="10800"/>
    <x v="6"/>
    <n v="58320000"/>
    <x v="0"/>
    <x v="5"/>
    <d v="2019-04-19T00:00:00"/>
    <d v="2019-04-19T00:00:00"/>
    <s v="15/3AL"/>
    <m/>
    <m/>
    <m/>
    <d v="2019-05-06T00:00:00"/>
    <n v="10800"/>
    <m/>
    <m/>
    <m/>
    <m/>
    <m/>
    <m/>
    <n v="10800"/>
    <n v="0"/>
    <n v="0"/>
    <m/>
  </r>
  <r>
    <s v="31A/2019"/>
    <d v="2019-06-14T00:00:00"/>
    <s v="KIỀU THY"/>
    <s v="NP01"/>
    <x v="77"/>
    <x v="24"/>
    <s v="DALIAN"/>
    <m/>
    <s v="14.16"/>
    <n v="300"/>
    <s v="NL2018"/>
    <m/>
    <n v="32"/>
    <n v="9600"/>
    <x v="55"/>
    <n v="53760000"/>
    <x v="4"/>
    <x v="4"/>
    <d v="2019-07-17T00:00:00"/>
    <d v="2019-07-17T00:00:00"/>
    <m/>
    <m/>
    <m/>
    <m/>
    <m/>
    <m/>
    <m/>
    <m/>
    <m/>
    <m/>
    <m/>
    <m/>
    <n v="0"/>
    <n v="9600"/>
    <n v="53760000"/>
    <m/>
  </r>
  <r>
    <s v="31A/2019"/>
    <d v="2019-06-13T00:00:00"/>
    <s v="KIỀU THY"/>
    <s v="NP01"/>
    <x v="77"/>
    <x v="24"/>
    <s v="DALIAN"/>
    <m/>
    <s v="14.16"/>
    <n v="300"/>
    <s v="NL2018"/>
    <m/>
    <n v="50"/>
    <n v="15000"/>
    <x v="10"/>
    <n v="82500000"/>
    <x v="0"/>
    <x v="18"/>
    <d v="2019-07-02T00:00:00"/>
    <d v="2019-07-02T00:00:00"/>
    <m/>
    <m/>
    <m/>
    <m/>
    <d v="2019-04-17T00:00:00"/>
    <n v="15000"/>
    <m/>
    <m/>
    <m/>
    <m/>
    <m/>
    <m/>
    <n v="15000"/>
    <n v="0"/>
    <n v="0"/>
    <m/>
  </r>
  <r>
    <s v="31A/2019"/>
    <d v="2019-05-07T00:00:00"/>
    <s v="KIỀU THY"/>
    <s v="NP01"/>
    <x v="77"/>
    <x v="24"/>
    <s v="DALIAN"/>
    <m/>
    <s v="14.16"/>
    <n v="300"/>
    <s v="NL2018"/>
    <m/>
    <n v="34"/>
    <n v="10200"/>
    <x v="6"/>
    <n v="55080000"/>
    <x v="0"/>
    <x v="1"/>
    <d v="2019-05-21T00:00:00"/>
    <d v="2019-05-21T00:00:00"/>
    <m/>
    <m/>
    <m/>
    <m/>
    <d v="2019-05-18T00:00:00"/>
    <n v="10200"/>
    <m/>
    <m/>
    <m/>
    <m/>
    <m/>
    <m/>
    <n v="10200"/>
    <n v="0"/>
    <n v="0"/>
    <m/>
  </r>
  <r>
    <s v="138A/2019"/>
    <d v="2019-02-13T00:00:00"/>
    <s v="KIỀU THY"/>
    <s v="NP01"/>
    <x v="77"/>
    <x v="62"/>
    <s v="DALIAN"/>
    <m/>
    <s v="20.22"/>
    <n v="125"/>
    <s v="NL2018"/>
    <m/>
    <n v="120"/>
    <n v="15000"/>
    <x v="24"/>
    <n v="213000000"/>
    <x v="2"/>
    <x v="2"/>
    <d v="2019-09-29T00:00:00"/>
    <d v="2019-09-29T00:00:00"/>
    <s v="TẾT"/>
    <m/>
    <m/>
    <m/>
    <m/>
    <n v="0"/>
    <m/>
    <m/>
    <m/>
    <m/>
    <m/>
    <m/>
    <n v="0"/>
    <n v="15000"/>
    <n v="213000000"/>
    <m/>
  </r>
  <r>
    <s v="31A/2019"/>
    <d v="2019-06-13T00:00:00"/>
    <s v="KIỀU THY"/>
    <s v="NP01"/>
    <x v="77"/>
    <x v="24"/>
    <s v="DALIAN"/>
    <m/>
    <s v="14.16"/>
    <n v="300"/>
    <s v="NL2018"/>
    <m/>
    <n v="34"/>
    <n v="10200"/>
    <x v="10"/>
    <n v="56100000"/>
    <x v="3"/>
    <x v="18"/>
    <d v="2019-07-02T00:00:00"/>
    <d v="2019-07-02T00:00:00"/>
    <m/>
    <m/>
    <m/>
    <m/>
    <m/>
    <m/>
    <m/>
    <m/>
    <m/>
    <m/>
    <m/>
    <m/>
    <n v="0"/>
    <n v="10200"/>
    <n v="56100000"/>
    <m/>
  </r>
  <r>
    <s v="31A/2019"/>
    <d v="2019-02-13T00:00:00"/>
    <s v="KIỀU THY"/>
    <s v="NP01"/>
    <x v="77"/>
    <x v="6"/>
    <s v="CONCADOR"/>
    <m/>
    <s v="16.18"/>
    <n v="200"/>
    <s v="NL2018"/>
    <m/>
    <n v="50"/>
    <n v="10000"/>
    <x v="8"/>
    <n v="50000000"/>
    <x v="0"/>
    <x v="5"/>
    <d v="2019-04-19T00:00:00"/>
    <d v="2019-04-19T00:00:00"/>
    <s v="15/3AL"/>
    <s v="CONT 21/2019"/>
    <d v="2019-04-14T00:00:00"/>
    <m/>
    <d v="2019-05-03T00:00:00"/>
    <n v="10000"/>
    <m/>
    <m/>
    <m/>
    <m/>
    <m/>
    <m/>
    <n v="10000"/>
    <n v="0"/>
    <n v="0"/>
    <m/>
  </r>
  <r>
    <s v="138A/2019"/>
    <d v="2019-02-13T00:00:00"/>
    <s v="KIỀU THY"/>
    <s v="NP01"/>
    <x v="77"/>
    <x v="8"/>
    <s v="CONCADOR"/>
    <m/>
    <s v="18.20"/>
    <n v="150"/>
    <s v="NL2018"/>
    <m/>
    <n v="267"/>
    <n v="40050"/>
    <x v="56"/>
    <n v="288360000"/>
    <x v="2"/>
    <x v="2"/>
    <d v="2019-09-29T00:00:00"/>
    <d v="2019-09-29T00:00:00"/>
    <s v="TẾT"/>
    <m/>
    <m/>
    <m/>
    <m/>
    <n v="0"/>
    <m/>
    <m/>
    <m/>
    <m/>
    <m/>
    <m/>
    <n v="0"/>
    <n v="40050"/>
    <n v="288360000"/>
    <m/>
  </r>
  <r>
    <s v="138A/2019"/>
    <d v="2019-02-13T00:00:00"/>
    <s v="KIỀU THY"/>
    <s v="NP01"/>
    <x v="77"/>
    <x v="7"/>
    <s v="CONCADOR"/>
    <m/>
    <s v="20.22"/>
    <n v="125"/>
    <s v="NL2018"/>
    <m/>
    <n v="200"/>
    <n v="25000"/>
    <x v="35"/>
    <n v="265000000"/>
    <x v="2"/>
    <x v="2"/>
    <d v="2019-09-29T00:00:00"/>
    <d v="2019-09-29T00:00:00"/>
    <s v="TẾT"/>
    <m/>
    <m/>
    <m/>
    <m/>
    <m/>
    <m/>
    <m/>
    <m/>
    <m/>
    <m/>
    <m/>
    <n v="0"/>
    <n v="25000"/>
    <n v="265000000"/>
    <m/>
  </r>
  <r>
    <s v="138A/2019"/>
    <d v="2019-02-13T00:00:00"/>
    <s v="KIỀU THY"/>
    <s v="NP01"/>
    <x v="77"/>
    <x v="21"/>
    <s v="CONCADOR"/>
    <m/>
    <s v="22.24"/>
    <n v="100"/>
    <s v="NL2018"/>
    <m/>
    <n v="100"/>
    <n v="10000"/>
    <x v="25"/>
    <n v="125000000"/>
    <x v="2"/>
    <x v="2"/>
    <d v="2019-09-29T00:00:00"/>
    <d v="2019-09-29T00:00:00"/>
    <s v="TẾT"/>
    <m/>
    <m/>
    <m/>
    <m/>
    <n v="0"/>
    <m/>
    <m/>
    <m/>
    <m/>
    <m/>
    <m/>
    <n v="0"/>
    <n v="10000"/>
    <n v="125000000"/>
    <m/>
  </r>
  <r>
    <s v="138A/2019"/>
    <d v="2019-02-13T00:00:00"/>
    <s v="KIỀU THY"/>
    <s v="NP01"/>
    <x v="77"/>
    <x v="137"/>
    <s v="BACARDI CHILE"/>
    <m/>
    <s v="20.22"/>
    <n v="125"/>
    <s v="CL2019"/>
    <m/>
    <n v="80"/>
    <n v="10000"/>
    <x v="47"/>
    <n v="130000000"/>
    <x v="2"/>
    <x v="2"/>
    <d v="2019-09-29T00:00:00"/>
    <d v="2019-09-29T00:00:00"/>
    <s v="TẾT"/>
    <m/>
    <m/>
    <m/>
    <m/>
    <n v="0"/>
    <m/>
    <m/>
    <m/>
    <m/>
    <m/>
    <m/>
    <n v="0"/>
    <n v="10000"/>
    <n v="130000000"/>
    <m/>
  </r>
  <r>
    <s v="31A/2019"/>
    <d v="2019-02-13T00:00:00"/>
    <s v="KIỀU THY"/>
    <s v="NP01"/>
    <x v="77"/>
    <x v="138"/>
    <s v="AMAROSSI"/>
    <m/>
    <s v="16.18"/>
    <n v="200"/>
    <s v="NL2018"/>
    <m/>
    <n v="180"/>
    <n v="36000"/>
    <x v="8"/>
    <n v="180000000"/>
    <x v="0"/>
    <x v="30"/>
    <d v="2019-04-04T00:00:00"/>
    <d v="2019-04-04T00:00:00"/>
    <s v="30/2AL"/>
    <s v="CONT 14/2019"/>
    <d v="2019-03-31T00:00:00"/>
    <m/>
    <d v="2019-04-05T00:00:00"/>
    <n v="13000"/>
    <d v="2019-04-18T00:00:00"/>
    <n v="8000"/>
    <d v="2019-05-06T00:00:00"/>
    <n v="15000"/>
    <m/>
    <m/>
    <n v="36000"/>
    <n v="0"/>
    <n v="0"/>
    <m/>
  </r>
  <r>
    <s v="75A/2019"/>
    <d v="2019-02-25T00:00:00"/>
    <s v="KIỀU THY"/>
    <s v="PA01"/>
    <x v="78"/>
    <x v="0"/>
    <s v="YELLOWEEN"/>
    <m/>
    <s v="12.14"/>
    <n v="400"/>
    <s v="NL2018"/>
    <m/>
    <n v="0"/>
    <n v="0"/>
    <x v="0"/>
    <n v="0"/>
    <x v="1"/>
    <x v="10"/>
    <d v="2019-04-03T00:00:00"/>
    <d v="2019-04-03T00:00:00"/>
    <s v="6.000 củ / 5 ngày"/>
    <s v="CONT 18/2019"/>
    <d v="2019-03-31T00:00:00"/>
    <m/>
    <m/>
    <n v="0"/>
    <m/>
    <m/>
    <m/>
    <m/>
    <m/>
    <m/>
    <n v="0"/>
    <n v="0"/>
    <n v="0"/>
    <m/>
  </r>
  <r>
    <s v="75A/2019"/>
    <d v="2019-02-25T00:00:00"/>
    <s v="KIỀU THY"/>
    <s v="PA01"/>
    <x v="78"/>
    <x v="0"/>
    <s v="YELLOWEEN"/>
    <m/>
    <s v="12.14"/>
    <n v="400"/>
    <s v="NL2018"/>
    <m/>
    <n v="0"/>
    <n v="0"/>
    <x v="0"/>
    <n v="0"/>
    <x v="1"/>
    <x v="10"/>
    <d v="2019-04-03T00:00:00"/>
    <d v="2019-04-03T00:00:00"/>
    <s v="6.000 củ / 5 ngày"/>
    <s v="CONT 18/2019"/>
    <d v="2019-03-31T00:00:00"/>
    <m/>
    <m/>
    <n v="0"/>
    <m/>
    <m/>
    <m/>
    <m/>
    <m/>
    <m/>
    <n v="0"/>
    <n v="0"/>
    <n v="0"/>
    <m/>
  </r>
  <r>
    <s v="75A/2019"/>
    <d v="2019-02-25T00:00:00"/>
    <s v="KIỀU THY"/>
    <s v="PA01"/>
    <x v="78"/>
    <x v="0"/>
    <s v="YELLOWEEN"/>
    <m/>
    <s v="12.14"/>
    <n v="400"/>
    <s v="NL2018"/>
    <m/>
    <n v="0"/>
    <n v="0"/>
    <x v="0"/>
    <n v="0"/>
    <x v="1"/>
    <x v="5"/>
    <d v="2019-04-19T00:00:00"/>
    <d v="2019-04-19T00:00:00"/>
    <s v="6.000 củ / 5 ngày"/>
    <s v="CONT 26/2019"/>
    <d v="2019-04-14T00:00:00"/>
    <m/>
    <m/>
    <n v="0"/>
    <m/>
    <m/>
    <m/>
    <m/>
    <m/>
    <m/>
    <n v="0"/>
    <n v="0"/>
    <n v="0"/>
    <m/>
  </r>
  <r>
    <s v="75A/2019"/>
    <d v="2019-02-25T00:00:00"/>
    <s v="KIỀU THY"/>
    <s v="PA01"/>
    <x v="78"/>
    <x v="63"/>
    <s v="BACARDI"/>
    <m/>
    <s v="15.16"/>
    <n v="250"/>
    <s v="NL2018"/>
    <m/>
    <n v="0"/>
    <n v="0"/>
    <x v="155"/>
    <n v="0"/>
    <x v="1"/>
    <x v="5"/>
    <d v="2019-04-19T00:00:00"/>
    <d v="2019-04-19T00:00:00"/>
    <m/>
    <s v="CONT 22/2019"/>
    <d v="2019-04-14T00:00:00"/>
    <m/>
    <m/>
    <n v="0"/>
    <m/>
    <m/>
    <m/>
    <m/>
    <m/>
    <m/>
    <n v="0"/>
    <n v="0"/>
    <n v="0"/>
    <s v="check lai"/>
  </r>
  <r>
    <s v="35A/2019"/>
    <d v="2019-02-09T00:00:00"/>
    <s v="THANH THÚY"/>
    <s v="QT01"/>
    <x v="79"/>
    <x v="0"/>
    <s v="YELLOWEEN"/>
    <m/>
    <s v="12.14"/>
    <n v="400"/>
    <s v="NL2018"/>
    <m/>
    <n v="13"/>
    <n v="5200"/>
    <x v="0"/>
    <n v="13520000"/>
    <x v="0"/>
    <x v="6"/>
    <d v="2019-02-19T00:00:00"/>
    <d v="2019-02-19T00:00:00"/>
    <s v="15/1AL"/>
    <m/>
    <m/>
    <m/>
    <d v="2019-02-20T00:00:00"/>
    <n v="5200"/>
    <m/>
    <m/>
    <m/>
    <m/>
    <m/>
    <m/>
    <n v="5200"/>
    <n v="0"/>
    <n v="0"/>
    <m/>
  </r>
  <r>
    <s v="35A/2019"/>
    <d v="2019-02-09T00:00:00"/>
    <s v="THANH THÚY"/>
    <s v="QT01"/>
    <x v="79"/>
    <x v="0"/>
    <s v="YELLOWEEN"/>
    <m/>
    <s v="12.14"/>
    <n v="400"/>
    <s v="NL2018"/>
    <m/>
    <n v="25"/>
    <n v="10000"/>
    <x v="0"/>
    <n v="26000000"/>
    <x v="0"/>
    <x v="0"/>
    <d v="2019-03-20T00:00:00"/>
    <d v="2019-03-20T00:00:00"/>
    <s v="15/2AL"/>
    <s v="CONT 12/2019"/>
    <m/>
    <m/>
    <d v="2019-03-19T00:00:00"/>
    <n v="10000"/>
    <m/>
    <m/>
    <m/>
    <m/>
    <m/>
    <m/>
    <n v="10000"/>
    <n v="0"/>
    <n v="0"/>
    <m/>
  </r>
  <r>
    <s v="35A/2019"/>
    <d v="2019-02-09T00:00:00"/>
    <s v="THANH THÚY"/>
    <s v="QT01"/>
    <x v="79"/>
    <x v="78"/>
    <s v="YELLOWEEN"/>
    <m/>
    <s v="14.16"/>
    <n v="300"/>
    <s v="NL2018"/>
    <m/>
    <n v="34"/>
    <n v="10200"/>
    <x v="64"/>
    <n v="38760000"/>
    <x v="0"/>
    <x v="30"/>
    <d v="2019-04-04T00:00:00"/>
    <d v="2019-04-04T00:00:00"/>
    <s v="30/2AL"/>
    <s v="CONT 14/2019"/>
    <m/>
    <m/>
    <d v="2019-04-03T00:00:00"/>
    <n v="10200"/>
    <m/>
    <m/>
    <m/>
    <m/>
    <m/>
    <m/>
    <n v="10200"/>
    <n v="0"/>
    <n v="0"/>
    <d v="2020-02-04T00:00:00"/>
  </r>
  <r>
    <s v="35A/2019"/>
    <d v="2019-02-09T00:00:00"/>
    <s v="THANH THÚY"/>
    <s v="QT01"/>
    <x v="79"/>
    <x v="0"/>
    <s v="YELLOWEEN"/>
    <m/>
    <s v="12.14"/>
    <n v="400"/>
    <s v="NL2018"/>
    <m/>
    <n v="0"/>
    <n v="0"/>
    <x v="1"/>
    <n v="0"/>
    <x v="1"/>
    <x v="33"/>
    <d v="2019-05-19T00:00:00"/>
    <d v="2019-05-19T00:00:00"/>
    <s v="15/4AL"/>
    <m/>
    <m/>
    <m/>
    <m/>
    <n v="0"/>
    <m/>
    <m/>
    <m/>
    <m/>
    <m/>
    <m/>
    <n v="0"/>
    <n v="0"/>
    <n v="0"/>
    <m/>
  </r>
  <r>
    <s v="35A/2019"/>
    <d v="2019-02-09T00:00:00"/>
    <s v="THANH THÚY"/>
    <s v="QT01"/>
    <x v="79"/>
    <x v="78"/>
    <s v="YELLOWEEN"/>
    <m/>
    <s v="14.16"/>
    <n v="300"/>
    <s v="NL2018"/>
    <m/>
    <n v="34"/>
    <n v="10200"/>
    <x v="64"/>
    <n v="38760000"/>
    <x v="0"/>
    <x v="33"/>
    <d v="2019-05-19T00:00:00"/>
    <d v="2019-05-19T00:00:00"/>
    <s v="15/4AL"/>
    <m/>
    <m/>
    <m/>
    <d v="2019-05-20T00:00:00"/>
    <n v="10200"/>
    <m/>
    <m/>
    <m/>
    <m/>
    <m/>
    <m/>
    <n v="10200"/>
    <n v="0"/>
    <n v="0"/>
    <m/>
  </r>
  <r>
    <s v="35A/2019"/>
    <d v="2019-02-09T00:00:00"/>
    <s v="THANH THÚY"/>
    <s v="QT01"/>
    <x v="79"/>
    <x v="0"/>
    <s v="YELLOWEEN"/>
    <m/>
    <s v="12.14"/>
    <n v="400"/>
    <s v="NL2018"/>
    <m/>
    <n v="13"/>
    <n v="5200"/>
    <x v="156"/>
    <n v="13728000"/>
    <x v="0"/>
    <x v="5"/>
    <d v="2019-04-19T00:00:00"/>
    <d v="2019-04-19T00:00:00"/>
    <s v="15/3AL"/>
    <s v="CONT 24/2019"/>
    <m/>
    <m/>
    <d v="2019-05-02T00:00:00"/>
    <n v="5200"/>
    <m/>
    <m/>
    <m/>
    <m/>
    <m/>
    <m/>
    <n v="5200"/>
    <n v="0"/>
    <n v="0"/>
    <d v="2020-02-03T00:00:00"/>
  </r>
  <r>
    <s v="35A/2019"/>
    <d v="2019-02-09T00:00:00"/>
    <s v="THANH THÚY"/>
    <s v="QT01"/>
    <x v="79"/>
    <x v="78"/>
    <s v="YELLOWEEN"/>
    <m/>
    <s v="14.16"/>
    <n v="300"/>
    <s v="NL2018"/>
    <m/>
    <n v="17"/>
    <n v="5100"/>
    <x v="64"/>
    <n v="19380000"/>
    <x v="0"/>
    <x v="5"/>
    <d v="2019-04-19T00:00:00"/>
    <d v="2019-04-19T00:00:00"/>
    <s v="15/3AL"/>
    <s v="CONT 24/2019"/>
    <m/>
    <m/>
    <d v="2019-05-02T00:00:00"/>
    <n v="5100"/>
    <m/>
    <m/>
    <m/>
    <m/>
    <m/>
    <m/>
    <n v="5100"/>
    <n v="0"/>
    <n v="0"/>
    <d v="2020-02-03T00:00:00"/>
  </r>
  <r>
    <s v="35A/2019"/>
    <d v="2019-06-04T00:00:00"/>
    <s v="THANH THÚY"/>
    <s v="QT01"/>
    <x v="79"/>
    <x v="78"/>
    <s v="YELLOWEEN"/>
    <m/>
    <s v="14.16"/>
    <n v="300"/>
    <s v="NL2018"/>
    <m/>
    <n v="22"/>
    <n v="6600"/>
    <x v="58"/>
    <n v="25740000"/>
    <x v="0"/>
    <x v="1"/>
    <d v="2019-05-21T00:00:00"/>
    <d v="2019-05-21T00:00:00"/>
    <m/>
    <m/>
    <m/>
    <m/>
    <d v="2019-06-22T00:00:00"/>
    <n v="6600"/>
    <m/>
    <m/>
    <m/>
    <m/>
    <m/>
    <m/>
    <n v="6600"/>
    <n v="0"/>
    <n v="0"/>
    <m/>
  </r>
  <r>
    <s v="35A/2019"/>
    <d v="2019-06-04T00:00:00"/>
    <s v="THANH THÚY"/>
    <s v="QT01"/>
    <x v="79"/>
    <x v="78"/>
    <s v="YELLOWEEN"/>
    <m/>
    <s v="14.16"/>
    <n v="300"/>
    <s v="NL2018"/>
    <m/>
    <n v="12"/>
    <n v="3600"/>
    <x v="58"/>
    <n v="14040000"/>
    <x v="0"/>
    <x v="11"/>
    <d v="2019-06-02T00:00:00"/>
    <d v="2019-06-02T00:00:00"/>
    <m/>
    <m/>
    <m/>
    <m/>
    <d v="2019-06-22T00:00:00"/>
    <n v="3600"/>
    <m/>
    <m/>
    <m/>
    <m/>
    <m/>
    <m/>
    <n v="3600"/>
    <n v="0"/>
    <n v="0"/>
    <m/>
  </r>
  <r>
    <s v="35A/2019"/>
    <d v="2019-06-14T00:00:00"/>
    <s v="THANH THÚY"/>
    <s v="QT01"/>
    <x v="79"/>
    <x v="0"/>
    <s v="YELLOWEEN"/>
    <m/>
    <s v="12.14"/>
    <n v="400"/>
    <s v="NL2018"/>
    <m/>
    <n v="50"/>
    <n v="20000"/>
    <x v="39"/>
    <n v="58000000"/>
    <x v="4"/>
    <x v="4"/>
    <d v="2019-07-17T00:00:00"/>
    <d v="2019-07-17T00:00:00"/>
    <m/>
    <m/>
    <m/>
    <m/>
    <m/>
    <m/>
    <m/>
    <m/>
    <m/>
    <m/>
    <m/>
    <m/>
    <n v="0"/>
    <n v="20000"/>
    <n v="58000000"/>
    <m/>
  </r>
  <r>
    <s v="141A/2019"/>
    <d v="2019-02-09T00:00:00"/>
    <s v="THANH THÚY"/>
    <s v="QT01"/>
    <x v="79"/>
    <x v="57"/>
    <s v="YELLOWEEN"/>
    <m/>
    <s v="16.18"/>
    <n v="200"/>
    <s v="NL2018"/>
    <m/>
    <n v="50"/>
    <n v="10000"/>
    <x v="51"/>
    <n v="60000000"/>
    <x v="2"/>
    <x v="2"/>
    <d v="2019-09-29T00:00:00"/>
    <d v="2019-09-29T00:00:00"/>
    <s v="TẾT"/>
    <m/>
    <m/>
    <m/>
    <m/>
    <n v="0"/>
    <m/>
    <m/>
    <m/>
    <m/>
    <m/>
    <m/>
    <n v="0"/>
    <n v="10000"/>
    <n v="60000000"/>
    <d v="2020-02-09T00:00:00"/>
  </r>
  <r>
    <s v="35A/2019"/>
    <d v="2019-02-09T00:00:00"/>
    <s v="THANH THÚY"/>
    <s v="QT01"/>
    <x v="79"/>
    <x v="78"/>
    <s v="YELLOWEEN"/>
    <m/>
    <s v="14.16"/>
    <n v="300"/>
    <s v="NL2018"/>
    <m/>
    <n v="267"/>
    <n v="80100"/>
    <x v="64"/>
    <n v="304380000"/>
    <x v="2"/>
    <x v="26"/>
    <s v=""/>
    <s v=""/>
    <m/>
    <m/>
    <m/>
    <m/>
    <m/>
    <n v="0"/>
    <m/>
    <m/>
    <m/>
    <m/>
    <m/>
    <m/>
    <n v="0"/>
    <n v="80100"/>
    <n v="304380000"/>
    <m/>
  </r>
  <r>
    <s v="35A/2019"/>
    <d v="2019-02-09T00:00:00"/>
    <s v="THANH THÚY"/>
    <s v="QT01"/>
    <x v="79"/>
    <x v="35"/>
    <s v="TARRANGO VWS"/>
    <m/>
    <s v="14.16"/>
    <n v="300"/>
    <s v="NL2018"/>
    <s v="VWS"/>
    <n v="34"/>
    <n v="10200"/>
    <x v="29"/>
    <n v="46920000"/>
    <x v="0"/>
    <x v="33"/>
    <d v="2019-05-19T00:00:00"/>
    <d v="2019-05-19T00:00:00"/>
    <s v="15/4AL"/>
    <m/>
    <m/>
    <m/>
    <d v="2019-05-20T00:00:00"/>
    <n v="10200"/>
    <m/>
    <m/>
    <m/>
    <m/>
    <m/>
    <m/>
    <n v="10200"/>
    <n v="0"/>
    <n v="0"/>
    <m/>
  </r>
  <r>
    <s v="35A/2019"/>
    <d v="2019-02-09T00:00:00"/>
    <s v="THANH THÚY"/>
    <s v="QT01"/>
    <x v="79"/>
    <x v="35"/>
    <s v="TARRANGO VWS"/>
    <m/>
    <s v="14.16"/>
    <n v="300"/>
    <s v="NL2018"/>
    <s v="VWS"/>
    <n v="34"/>
    <n v="10200"/>
    <x v="29"/>
    <n v="46920000"/>
    <x v="4"/>
    <x v="4"/>
    <d v="2019-07-17T00:00:00"/>
    <d v="2019-07-17T00:00:00"/>
    <m/>
    <m/>
    <m/>
    <m/>
    <m/>
    <m/>
    <m/>
    <m/>
    <m/>
    <m/>
    <m/>
    <m/>
    <n v="0"/>
    <n v="10200"/>
    <n v="46920000"/>
    <m/>
  </r>
  <r>
    <s v="35A/2019"/>
    <d v="2019-02-09T00:00:00"/>
    <s v="THANH THÚY"/>
    <s v="QT01"/>
    <x v="79"/>
    <x v="35"/>
    <s v="TARRANGO VWS"/>
    <m/>
    <s v="14.16"/>
    <n v="300"/>
    <s v="NL2018"/>
    <s v="VWS"/>
    <n v="100"/>
    <n v="30000"/>
    <x v="29"/>
    <n v="138000000"/>
    <x v="2"/>
    <x v="26"/>
    <s v=""/>
    <s v=""/>
    <m/>
    <m/>
    <m/>
    <m/>
    <m/>
    <m/>
    <m/>
    <m/>
    <m/>
    <m/>
    <m/>
    <m/>
    <n v="0"/>
    <n v="30000"/>
    <n v="138000000"/>
    <m/>
  </r>
  <r>
    <s v="35A/2019"/>
    <d v="2019-02-09T00:00:00"/>
    <s v="THANH THÚY"/>
    <s v="QT01"/>
    <x v="79"/>
    <x v="35"/>
    <s v="TARRANGO "/>
    <m/>
    <s v="14.16"/>
    <n v="300"/>
    <s v="NL2018"/>
    <s v="ZABO"/>
    <n v="34"/>
    <n v="10200"/>
    <x v="12"/>
    <n v="47940000"/>
    <x v="0"/>
    <x v="11"/>
    <d v="2019-06-02T00:00:00"/>
    <d v="2019-06-02T00:00:00"/>
    <s v="29/4AL"/>
    <m/>
    <m/>
    <m/>
    <d v="2019-06-22T00:00:00"/>
    <n v="10200"/>
    <m/>
    <m/>
    <m/>
    <m/>
    <m/>
    <m/>
    <n v="10200"/>
    <n v="0"/>
    <n v="0"/>
    <m/>
  </r>
  <r>
    <s v="35A/2019"/>
    <d v="2019-02-09T00:00:00"/>
    <s v="THANH THÚY"/>
    <s v="QT01"/>
    <x v="79"/>
    <x v="35"/>
    <s v="TARRANGO"/>
    <m/>
    <s v="14.16"/>
    <n v="300"/>
    <s v="NL2018"/>
    <m/>
    <n v="17"/>
    <n v="5100"/>
    <x v="14"/>
    <n v="22950000"/>
    <x v="0"/>
    <x v="0"/>
    <d v="2019-03-20T00:00:00"/>
    <d v="2019-03-20T00:00:00"/>
    <s v="15/2AL"/>
    <s v="CONT 10/2019"/>
    <m/>
    <m/>
    <d v="2019-03-19T00:00:00"/>
    <n v="5100"/>
    <m/>
    <m/>
    <m/>
    <m/>
    <m/>
    <m/>
    <n v="5100"/>
    <n v="0"/>
    <n v="0"/>
    <d v="2020-02-03T00:00:00"/>
  </r>
  <r>
    <s v="35A/2019"/>
    <d v="2019-02-09T00:00:00"/>
    <s v="THANH THÚY"/>
    <s v="QT01"/>
    <x v="79"/>
    <x v="10"/>
    <s v="TARRANGO"/>
    <m/>
    <s v="16.18"/>
    <n v="200"/>
    <s v="NL2018"/>
    <m/>
    <n v="50"/>
    <n v="10000"/>
    <x v="10"/>
    <n v="55000000"/>
    <x v="0"/>
    <x v="0"/>
    <d v="2019-03-20T00:00:00"/>
    <d v="2019-03-20T00:00:00"/>
    <s v="15/2AL"/>
    <s v="CONT 12/2019"/>
    <m/>
    <m/>
    <d v="2019-03-19T00:00:00"/>
    <n v="10000"/>
    <m/>
    <m/>
    <m/>
    <m/>
    <m/>
    <m/>
    <n v="10000"/>
    <n v="0"/>
    <n v="0"/>
    <d v="2020-02-03T00:00:00"/>
  </r>
  <r>
    <s v="35A/2019"/>
    <d v="2019-02-09T00:00:00"/>
    <s v="THANH THÚY"/>
    <s v="QT01"/>
    <x v="79"/>
    <x v="10"/>
    <s v="TARRANGO"/>
    <m/>
    <s v="16.18"/>
    <n v="200"/>
    <s v="NL2018"/>
    <m/>
    <n v="50"/>
    <n v="10000"/>
    <x v="10"/>
    <n v="55000000"/>
    <x v="0"/>
    <x v="30"/>
    <d v="2019-04-04T00:00:00"/>
    <d v="2019-04-04T00:00:00"/>
    <s v="30/2AL"/>
    <s v="CONT 14/2019"/>
    <m/>
    <m/>
    <d v="2019-04-02T00:00:00"/>
    <n v="10000"/>
    <m/>
    <m/>
    <m/>
    <m/>
    <m/>
    <m/>
    <n v="10000"/>
    <n v="0"/>
    <n v="0"/>
    <d v="2020-02-03T00:00:00"/>
  </r>
  <r>
    <s v="35A/2019"/>
    <d v="2019-02-09T00:00:00"/>
    <s v="THANH THÚY"/>
    <s v="QT01"/>
    <x v="79"/>
    <x v="35"/>
    <s v="TARRANGO"/>
    <m/>
    <s v="14.16"/>
    <n v="300"/>
    <s v="NL2018"/>
    <m/>
    <n v="18"/>
    <n v="5400"/>
    <x v="29"/>
    <n v="24840000"/>
    <x v="0"/>
    <x v="30"/>
    <d v="2019-04-04T00:00:00"/>
    <d v="2019-04-04T00:00:00"/>
    <s v="30/2AL"/>
    <s v="CONT 14/2019"/>
    <m/>
    <m/>
    <d v="2019-04-02T00:00:00"/>
    <n v="5400"/>
    <m/>
    <m/>
    <m/>
    <m/>
    <m/>
    <m/>
    <n v="5400"/>
    <n v="0"/>
    <n v="0"/>
    <d v="2020-02-03T00:00:00"/>
  </r>
  <r>
    <s v="35A/2019"/>
    <d v="2019-02-09T00:00:00"/>
    <s v="THANH THÚY"/>
    <s v="QT01"/>
    <x v="79"/>
    <x v="35"/>
    <s v="TARRANGO"/>
    <m/>
    <s v="14.16"/>
    <n v="300"/>
    <s v="NL2018"/>
    <m/>
    <n v="20"/>
    <n v="6000"/>
    <x v="29"/>
    <n v="27600000"/>
    <x v="0"/>
    <x v="5"/>
    <d v="2019-04-19T00:00:00"/>
    <d v="2019-04-19T00:00:00"/>
    <s v="15/3AL"/>
    <s v="CONT 23/2019"/>
    <m/>
    <m/>
    <d v="2019-04-24T00:00:00"/>
    <n v="6000"/>
    <m/>
    <m/>
    <m/>
    <m/>
    <m/>
    <m/>
    <n v="6000"/>
    <n v="0"/>
    <n v="0"/>
    <d v="2020-02-03T00:00:00"/>
  </r>
  <r>
    <s v="141A/2019"/>
    <d v="2019-02-09T00:00:00"/>
    <s v="THANH THÚY"/>
    <s v="QT01"/>
    <x v="79"/>
    <x v="66"/>
    <s v="TARRANGO"/>
    <m/>
    <s v="20.22"/>
    <n v="125"/>
    <s v="NL2018"/>
    <m/>
    <n v="80"/>
    <n v="10000"/>
    <x v="68"/>
    <n v="101000000"/>
    <x v="2"/>
    <x v="2"/>
    <d v="2019-09-29T00:00:00"/>
    <d v="2019-09-29T00:00:00"/>
    <s v="TẾT"/>
    <m/>
    <m/>
    <m/>
    <m/>
    <n v="0"/>
    <m/>
    <m/>
    <m/>
    <m/>
    <m/>
    <m/>
    <n v="0"/>
    <n v="10000"/>
    <n v="101000000"/>
    <d v="2020-02-09T00:00:00"/>
  </r>
  <r>
    <s v="141A/2019"/>
    <d v="2019-02-09T00:00:00"/>
    <s v="THANH THÚY"/>
    <s v="QT01"/>
    <x v="79"/>
    <x v="1"/>
    <s v="TARRANGO"/>
    <m/>
    <s v="18.20"/>
    <n v="150"/>
    <s v="NL2018"/>
    <m/>
    <n v="67"/>
    <n v="10050"/>
    <x v="23"/>
    <n v="91455000"/>
    <x v="2"/>
    <x v="2"/>
    <d v="2019-09-29T00:00:00"/>
    <d v="2019-09-29T00:00:00"/>
    <s v="TẾT"/>
    <m/>
    <m/>
    <m/>
    <m/>
    <n v="0"/>
    <m/>
    <m/>
    <m/>
    <m/>
    <m/>
    <m/>
    <n v="0"/>
    <n v="10050"/>
    <n v="91455000"/>
    <d v="2020-02-09T00:00:00"/>
  </r>
  <r>
    <s v="35A/2019"/>
    <d v="2019-02-09T00:00:00"/>
    <s v="THANH THÚY"/>
    <s v="QT01"/>
    <x v="79"/>
    <x v="5"/>
    <s v="ROBINA"/>
    <m/>
    <s v="18.20"/>
    <n v="150"/>
    <s v="NL2018"/>
    <m/>
    <n v="67"/>
    <n v="10050"/>
    <x v="75"/>
    <n v="63315000"/>
    <x v="0"/>
    <x v="0"/>
    <d v="2019-03-20T00:00:00"/>
    <d v="2019-03-20T00:00:00"/>
    <s v="15/2AL"/>
    <s v="CONT 11/2019"/>
    <m/>
    <m/>
    <d v="2019-03-19T00:00:00"/>
    <n v="10050"/>
    <m/>
    <m/>
    <m/>
    <m/>
    <m/>
    <m/>
    <n v="10050"/>
    <n v="0"/>
    <n v="0"/>
    <d v="2020-02-03T00:00:00"/>
  </r>
  <r>
    <s v="35A/2019"/>
    <d v="2019-02-09T00:00:00"/>
    <s v="THANH THÚY"/>
    <s v="QT01"/>
    <x v="79"/>
    <x v="5"/>
    <s v="ROBINA"/>
    <m/>
    <s v="18.20"/>
    <n v="150"/>
    <s v="NL2018"/>
    <m/>
    <n v="67"/>
    <n v="10050"/>
    <x v="75"/>
    <n v="63315000"/>
    <x v="0"/>
    <x v="30"/>
    <d v="2019-04-04T00:00:00"/>
    <d v="2019-04-04T00:00:00"/>
    <s v="30/2AL"/>
    <s v="CONT 18/2019"/>
    <m/>
    <m/>
    <d v="2019-04-02T00:00:00"/>
    <n v="10050"/>
    <m/>
    <m/>
    <m/>
    <m/>
    <m/>
    <m/>
    <n v="10050"/>
    <n v="0"/>
    <n v="0"/>
    <d v="2020-02-04T00:00:00"/>
  </r>
  <r>
    <s v="35A/2019"/>
    <d v="2019-02-09T00:00:00"/>
    <s v="THANH THÚY"/>
    <s v="QT01"/>
    <x v="79"/>
    <x v="5"/>
    <s v="ROBINA"/>
    <m/>
    <s v="18.20"/>
    <n v="150"/>
    <s v="NL2018"/>
    <m/>
    <n v="67"/>
    <n v="10050"/>
    <x v="150"/>
    <n v="65304900"/>
    <x v="0"/>
    <x v="33"/>
    <d v="2019-05-19T00:00:00"/>
    <d v="2019-05-19T00:00:00"/>
    <s v="15/4AL"/>
    <m/>
    <m/>
    <m/>
    <d v="2019-05-20T00:00:00"/>
    <n v="10050"/>
    <m/>
    <m/>
    <m/>
    <m/>
    <m/>
    <m/>
    <n v="10050"/>
    <n v="0"/>
    <n v="0"/>
    <d v="2020-02-09T00:00:00"/>
  </r>
  <r>
    <s v="35A/2019"/>
    <d v="2019-02-09T00:00:00"/>
    <s v="THANH THÚY"/>
    <s v="QT01"/>
    <x v="79"/>
    <x v="5"/>
    <s v="ROBINA"/>
    <m/>
    <s v="18.20"/>
    <n v="150"/>
    <s v="NL2018"/>
    <m/>
    <n v="0"/>
    <n v="0"/>
    <x v="157"/>
    <n v="0"/>
    <x v="1"/>
    <x v="9"/>
    <d v="2019-06-04T00:00:00"/>
    <d v="2019-06-04T00:00:00"/>
    <s v="02/5AL"/>
    <m/>
    <m/>
    <m/>
    <m/>
    <n v="0"/>
    <m/>
    <m/>
    <m/>
    <m/>
    <m/>
    <m/>
    <n v="0"/>
    <n v="0"/>
    <n v="0"/>
    <d v="2020-02-09T00:00:00"/>
  </r>
  <r>
    <s v="35A/2019"/>
    <d v="2019-02-09T00:00:00"/>
    <s v="THANH THÚY"/>
    <s v="QT01"/>
    <x v="79"/>
    <x v="5"/>
    <s v="ROBINA"/>
    <m/>
    <s v="18.20"/>
    <n v="150"/>
    <s v="NL2018"/>
    <m/>
    <n v="67"/>
    <n v="10050"/>
    <x v="158"/>
    <n v="67716900"/>
    <x v="4"/>
    <x v="4"/>
    <d v="2019-07-17T00:00:00"/>
    <d v="2019-07-17T00:00:00"/>
    <s v="02/6AL"/>
    <m/>
    <m/>
    <m/>
    <m/>
    <n v="0"/>
    <m/>
    <m/>
    <m/>
    <m/>
    <m/>
    <m/>
    <n v="0"/>
    <n v="10050"/>
    <n v="67716900"/>
    <d v="2020-02-09T00:00:00"/>
  </r>
  <r>
    <s v="35A/2019"/>
    <d v="2019-02-09T00:00:00"/>
    <s v="THANH THÚY"/>
    <s v="QT01"/>
    <x v="79"/>
    <x v="5"/>
    <s v="ROBINA"/>
    <m/>
    <s v="18.20"/>
    <n v="150"/>
    <s v="NL2018"/>
    <m/>
    <n v="134"/>
    <n v="20100"/>
    <x v="159"/>
    <n v="137845800"/>
    <x v="2"/>
    <x v="70"/>
    <d v="2019-08-02T00:00:00"/>
    <d v="2019-08-02T00:00:00"/>
    <s v="02/7AL"/>
    <m/>
    <m/>
    <m/>
    <m/>
    <n v="0"/>
    <m/>
    <m/>
    <m/>
    <m/>
    <m/>
    <m/>
    <n v="0"/>
    <n v="20100"/>
    <n v="137845800"/>
    <d v="2020-02-09T00:00:00"/>
  </r>
  <r>
    <s v="141A/2019"/>
    <d v="2019-02-09T00:00:00"/>
    <s v="THANH THÚY"/>
    <s v="QT01"/>
    <x v="79"/>
    <x v="5"/>
    <s v="ROBINA"/>
    <m/>
    <s v="18.20"/>
    <n v="150"/>
    <s v="NL2018"/>
    <m/>
    <n v="34"/>
    <n v="5100"/>
    <x v="56"/>
    <n v="36720000"/>
    <x v="2"/>
    <x v="2"/>
    <d v="2019-09-29T00:00:00"/>
    <d v="2019-09-29T00:00:00"/>
    <s v="TẾT"/>
    <m/>
    <m/>
    <m/>
    <m/>
    <n v="0"/>
    <m/>
    <m/>
    <m/>
    <m/>
    <m/>
    <m/>
    <n v="0"/>
    <n v="5100"/>
    <n v="36720000"/>
    <d v="2020-02-09T00:00:00"/>
  </r>
  <r>
    <s v="141A/2019"/>
    <d v="2019-02-09T00:00:00"/>
    <s v="THANH THÚY"/>
    <s v="QT01"/>
    <x v="79"/>
    <x v="4"/>
    <s v="ROBINA"/>
    <m/>
    <s v="20.22"/>
    <n v="125"/>
    <s v="NL2018"/>
    <m/>
    <n v="40"/>
    <n v="5000"/>
    <x v="5"/>
    <n v="52500000"/>
    <x v="2"/>
    <x v="2"/>
    <d v="2019-09-29T00:00:00"/>
    <d v="2019-09-29T00:00:00"/>
    <s v="TẾT"/>
    <m/>
    <m/>
    <m/>
    <m/>
    <n v="0"/>
    <m/>
    <m/>
    <m/>
    <m/>
    <m/>
    <m/>
    <n v="0"/>
    <n v="5000"/>
    <n v="52500000"/>
    <d v="2020-02-09T00:00:00"/>
  </r>
  <r>
    <s v="35A/2019"/>
    <d v="2019-02-09T00:00:00"/>
    <s v="THANH THÚY"/>
    <s v="QT01"/>
    <x v="79"/>
    <x v="41"/>
    <s v="PAVIA"/>
    <m/>
    <s v="12.14"/>
    <n v="400"/>
    <s v="NL2018"/>
    <m/>
    <n v="13"/>
    <n v="5200"/>
    <x v="37"/>
    <n v="14560000"/>
    <x v="0"/>
    <x v="6"/>
    <d v="2019-02-19T00:00:00"/>
    <d v="2019-02-19T00:00:00"/>
    <s v="15/1AL"/>
    <m/>
    <m/>
    <m/>
    <d v="2019-02-20T00:00:00"/>
    <n v="5200"/>
    <m/>
    <m/>
    <m/>
    <m/>
    <m/>
    <m/>
    <n v="5200"/>
    <n v="0"/>
    <n v="0"/>
    <m/>
  </r>
  <r>
    <s v="35A/2019"/>
    <d v="2019-02-09T00:00:00"/>
    <s v="THANH THÚY"/>
    <s v="QT01"/>
    <x v="79"/>
    <x v="41"/>
    <s v="PAVIA"/>
    <m/>
    <s v="12.14"/>
    <n v="400"/>
    <s v="NL2018"/>
    <m/>
    <n v="50"/>
    <n v="20000"/>
    <x v="37"/>
    <n v="56000000"/>
    <x v="0"/>
    <x v="0"/>
    <d v="2019-03-20T00:00:00"/>
    <d v="2019-03-20T00:00:00"/>
    <s v="15/2AL"/>
    <s v="CONT 9/2019"/>
    <m/>
    <m/>
    <d v="2019-03-19T00:00:00"/>
    <n v="20000"/>
    <m/>
    <m/>
    <m/>
    <m/>
    <m/>
    <m/>
    <n v="20000"/>
    <n v="0"/>
    <n v="0"/>
    <d v="2020-02-03T00:00:00"/>
  </r>
  <r>
    <s v="35A/2019"/>
    <d v="2019-02-09T00:00:00"/>
    <s v="THANH THÚY"/>
    <s v="QT01"/>
    <x v="79"/>
    <x v="41"/>
    <s v="PAVIA"/>
    <m/>
    <s v="12.14"/>
    <n v="400"/>
    <s v="NL2018"/>
    <m/>
    <n v="38"/>
    <n v="15200"/>
    <x v="39"/>
    <n v="44080000"/>
    <x v="0"/>
    <x v="33"/>
    <d v="2019-05-19T00:00:00"/>
    <d v="2019-05-19T00:00:00"/>
    <s v="15/4AL"/>
    <m/>
    <m/>
    <m/>
    <d v="2019-05-20T00:00:00"/>
    <n v="15200"/>
    <m/>
    <m/>
    <m/>
    <m/>
    <m/>
    <m/>
    <n v="15200"/>
    <n v="0"/>
    <n v="0"/>
    <m/>
  </r>
  <r>
    <s v="141A/2019"/>
    <d v="2019-02-09T00:00:00"/>
    <s v="THANH THÚY"/>
    <s v="QT01"/>
    <x v="79"/>
    <x v="59"/>
    <s v="NELLO "/>
    <m/>
    <s v="18.20"/>
    <n v="150"/>
    <s v="NL2018"/>
    <m/>
    <n v="67"/>
    <n v="10050"/>
    <x v="72"/>
    <n v="71355000"/>
    <x v="2"/>
    <x v="2"/>
    <d v="2019-09-29T00:00:00"/>
    <d v="2019-09-29T00:00:00"/>
    <s v="TẾT"/>
    <m/>
    <m/>
    <m/>
    <m/>
    <n v="0"/>
    <m/>
    <m/>
    <m/>
    <m/>
    <m/>
    <m/>
    <n v="0"/>
    <n v="10050"/>
    <n v="71355000"/>
    <d v="2020-02-09T00:00:00"/>
  </r>
  <r>
    <s v="35A/2019"/>
    <d v="2019-02-09T00:00:00"/>
    <s v="THANH THÚY"/>
    <s v="QT01"/>
    <x v="79"/>
    <x v="114"/>
    <s v="MANISSA"/>
    <m/>
    <s v="18.20"/>
    <n v="150"/>
    <s v="NL2018"/>
    <m/>
    <n v="134"/>
    <n v="20100"/>
    <x v="160"/>
    <n v="184920000"/>
    <x v="4"/>
    <x v="4"/>
    <d v="2019-07-17T00:00:00"/>
    <d v="2019-07-17T00:00:00"/>
    <s v="15/4AL"/>
    <m/>
    <m/>
    <m/>
    <m/>
    <m/>
    <m/>
    <m/>
    <m/>
    <m/>
    <m/>
    <m/>
    <n v="0"/>
    <n v="20100"/>
    <n v="184920000"/>
    <m/>
  </r>
  <r>
    <s v="35A/2019"/>
    <d v="2019-02-09T00:00:00"/>
    <s v="THANH THÚY"/>
    <s v="QT01"/>
    <x v="79"/>
    <x v="114"/>
    <s v="MANISSA"/>
    <m/>
    <s v="18.20"/>
    <n v="150"/>
    <s v="NL2018"/>
    <m/>
    <n v="67"/>
    <n v="10050"/>
    <x v="23"/>
    <n v="91455000"/>
    <x v="0"/>
    <x v="11"/>
    <d v="2019-06-02T00:00:00"/>
    <d v="2019-06-02T00:00:00"/>
    <s v="29/4AL"/>
    <m/>
    <m/>
    <m/>
    <d v="2019-06-10T00:00:00"/>
    <n v="10050"/>
    <m/>
    <m/>
    <m/>
    <m/>
    <m/>
    <m/>
    <n v="10050"/>
    <n v="0"/>
    <n v="0"/>
    <m/>
  </r>
  <r>
    <s v="35A/2019"/>
    <d v="2019-02-09T00:00:00"/>
    <s v="THANH THÚY"/>
    <s v="QT01"/>
    <x v="79"/>
    <x v="114"/>
    <s v="MANISSA"/>
    <m/>
    <s v="18.20"/>
    <n v="150"/>
    <s v="NL2018"/>
    <m/>
    <n v="267"/>
    <n v="40050"/>
    <x v="22"/>
    <n v="360450000"/>
    <x v="2"/>
    <x v="71"/>
    <d v="2019-08-08T00:00:00"/>
    <d v="2019-08-08T00:00:00"/>
    <s v="chưa tính phí lạnh"/>
    <m/>
    <m/>
    <m/>
    <m/>
    <m/>
    <m/>
    <m/>
    <m/>
    <m/>
    <m/>
    <m/>
    <n v="0"/>
    <n v="40050"/>
    <n v="360450000"/>
    <m/>
  </r>
  <r>
    <s v="141A/2019"/>
    <d v="2019-02-09T00:00:00"/>
    <s v="THANH THÚY"/>
    <s v="QT01"/>
    <x v="79"/>
    <x v="114"/>
    <s v="MANISSA"/>
    <m/>
    <s v="18.20"/>
    <n v="150"/>
    <s v="NL2018"/>
    <m/>
    <n v="67"/>
    <n v="10050"/>
    <x v="161"/>
    <n v="97485000"/>
    <x v="2"/>
    <x v="2"/>
    <d v="2019-09-29T00:00:00"/>
    <d v="2019-09-29T00:00:00"/>
    <s v="TẾT"/>
    <m/>
    <m/>
    <m/>
    <m/>
    <n v="0"/>
    <m/>
    <m/>
    <m/>
    <m/>
    <m/>
    <m/>
    <n v="0"/>
    <n v="10050"/>
    <n v="97485000"/>
    <d v="2020-02-09T00:00:00"/>
  </r>
  <r>
    <s v="141A/2019"/>
    <d v="2019-02-09T00:00:00"/>
    <s v="THANH THÚY"/>
    <s v="QT01"/>
    <x v="79"/>
    <x v="67"/>
    <s v="MANISSA"/>
    <m/>
    <s v="22.24"/>
    <n v="100"/>
    <s v="NL2018"/>
    <m/>
    <n v="100"/>
    <n v="10000"/>
    <x v="15"/>
    <n v="152000000"/>
    <x v="2"/>
    <x v="2"/>
    <d v="2019-09-29T00:00:00"/>
    <d v="2019-09-29T00:00:00"/>
    <s v="TẾT"/>
    <m/>
    <m/>
    <m/>
    <m/>
    <n v="0"/>
    <m/>
    <m/>
    <m/>
    <m/>
    <m/>
    <m/>
    <n v="0"/>
    <n v="10000"/>
    <n v="152000000"/>
    <d v="2020-02-09T00:00:00"/>
  </r>
  <r>
    <s v="35A/2019"/>
    <d v="2019-02-09T00:00:00"/>
    <s v="THANH THÚY"/>
    <s v="QT01"/>
    <x v="79"/>
    <x v="111"/>
    <s v="LODI"/>
    <m/>
    <s v="16.18"/>
    <n v="200"/>
    <s v="NL2018"/>
    <m/>
    <n v="50"/>
    <n v="10000"/>
    <x v="72"/>
    <n v="71000000"/>
    <x v="0"/>
    <x v="33"/>
    <d v="2019-05-19T00:00:00"/>
    <d v="2019-05-19T00:00:00"/>
    <s v="15/4AL"/>
    <m/>
    <m/>
    <m/>
    <d v="2019-05-20T00:00:00"/>
    <n v="10000"/>
    <m/>
    <m/>
    <m/>
    <m/>
    <m/>
    <m/>
    <n v="10000"/>
    <n v="0"/>
    <n v="0"/>
    <d v="2020-02-09T00:00:00"/>
  </r>
  <r>
    <s v="35A/2019"/>
    <d v="2019-02-09T00:00:00"/>
    <s v="THANH THÚY"/>
    <s v="QT01"/>
    <x v="79"/>
    <x v="111"/>
    <s v="LODI"/>
    <m/>
    <s v="16.18"/>
    <n v="200"/>
    <s v="NL2018"/>
    <m/>
    <n v="50"/>
    <n v="10000"/>
    <x v="66"/>
    <n v="70000000"/>
    <x v="0"/>
    <x v="5"/>
    <d v="2019-04-19T00:00:00"/>
    <d v="2019-04-19T00:00:00"/>
    <s v="15/3AL"/>
    <s v="CONT 23/2019"/>
    <m/>
    <m/>
    <d v="2019-04-24T00:00:00"/>
    <n v="10000"/>
    <m/>
    <m/>
    <m/>
    <m/>
    <m/>
    <m/>
    <n v="10000"/>
    <n v="0"/>
    <n v="0"/>
    <d v="2020-02-03T00:00:00"/>
  </r>
  <r>
    <s v="141A/2019"/>
    <d v="2019-02-09T00:00:00"/>
    <s v="THANH THÚY"/>
    <s v="QT01"/>
    <x v="79"/>
    <x v="139"/>
    <s v="LODI"/>
    <m/>
    <s v="18.20"/>
    <n v="150"/>
    <s v="NL2018"/>
    <m/>
    <n v="67"/>
    <n v="10050"/>
    <x v="160"/>
    <n v="92460000"/>
    <x v="2"/>
    <x v="2"/>
    <d v="2019-09-29T00:00:00"/>
    <d v="2019-09-29T00:00:00"/>
    <s v="TẾT"/>
    <m/>
    <m/>
    <m/>
    <m/>
    <n v="0"/>
    <m/>
    <m/>
    <m/>
    <m/>
    <m/>
    <m/>
    <n v="0"/>
    <n v="10050"/>
    <n v="92460000"/>
    <d v="2020-02-09T00:00:00"/>
  </r>
  <r>
    <s v="35A/2019"/>
    <d v="2019-02-09T00:00:00"/>
    <s v="THANH THÚY"/>
    <s v="QT01"/>
    <x v="79"/>
    <x v="111"/>
    <s v="LODI"/>
    <m/>
    <s v="16.18"/>
    <n v="200"/>
    <s v="NL2018"/>
    <m/>
    <n v="50"/>
    <n v="10000"/>
    <x v="66"/>
    <n v="70000000"/>
    <x v="4"/>
    <x v="4"/>
    <d v="2019-07-17T00:00:00"/>
    <d v="2019-07-17T00:00:00"/>
    <m/>
    <m/>
    <m/>
    <m/>
    <m/>
    <n v="0"/>
    <m/>
    <m/>
    <m/>
    <m/>
    <m/>
    <m/>
    <n v="0"/>
    <n v="10000"/>
    <n v="70000000"/>
    <d v="2020-02-09T00:00:00"/>
  </r>
  <r>
    <s v="35A/2019"/>
    <d v="2019-02-09T00:00:00"/>
    <s v="THANH THÚY"/>
    <s v="QT01"/>
    <x v="79"/>
    <x v="111"/>
    <s v="LODI"/>
    <m/>
    <s v="16.18"/>
    <n v="200"/>
    <s v="NL2018"/>
    <m/>
    <n v="100"/>
    <n v="20000"/>
    <x v="66"/>
    <n v="140000000"/>
    <x v="2"/>
    <x v="26"/>
    <s v=""/>
    <s v=""/>
    <m/>
    <m/>
    <m/>
    <m/>
    <m/>
    <m/>
    <m/>
    <m/>
    <m/>
    <m/>
    <m/>
    <m/>
    <n v="0"/>
    <n v="20000"/>
    <n v="140000000"/>
    <m/>
  </r>
  <r>
    <s v="35A/2019"/>
    <d v="2019-02-09T00:00:00"/>
    <s v="THANH THÚY"/>
    <s v="QT01"/>
    <x v="79"/>
    <x v="28"/>
    <s v="LARGO"/>
    <m/>
    <s v="16.18"/>
    <n v="200"/>
    <s v="NL2018"/>
    <m/>
    <n v="50"/>
    <n v="10000"/>
    <x v="162"/>
    <n v="55850000"/>
    <x v="0"/>
    <x v="5"/>
    <d v="2019-04-19T00:00:00"/>
    <d v="2019-04-19T00:00:00"/>
    <s v="15/3AL"/>
    <s v="CONT 27/2019"/>
    <m/>
    <m/>
    <d v="2019-05-02T00:00:00"/>
    <n v="10000"/>
    <m/>
    <m/>
    <m/>
    <m/>
    <m/>
    <m/>
    <n v="10000"/>
    <n v="0"/>
    <n v="0"/>
    <d v="2020-02-03T00:00:00"/>
  </r>
  <r>
    <s v="35A/2019"/>
    <d v="2019-02-09T00:00:00"/>
    <s v="THANH THÚY"/>
    <s v="QT01"/>
    <x v="79"/>
    <x v="28"/>
    <s v="LARGO"/>
    <m/>
    <s v="16.18"/>
    <n v="200"/>
    <s v="NL2018"/>
    <m/>
    <n v="50"/>
    <n v="10000"/>
    <x v="163"/>
    <n v="56480000"/>
    <x v="0"/>
    <x v="11"/>
    <d v="2019-06-02T00:00:00"/>
    <d v="2019-06-02T00:00:00"/>
    <s v="29/4AL"/>
    <m/>
    <m/>
    <m/>
    <d v="2019-06-10T00:00:00"/>
    <n v="10000"/>
    <m/>
    <m/>
    <m/>
    <m/>
    <m/>
    <m/>
    <n v="10000"/>
    <n v="0"/>
    <n v="0"/>
    <m/>
  </r>
  <r>
    <s v="141A/2019"/>
    <d v="2019-02-09T00:00:00"/>
    <s v="THANH THÚY"/>
    <s v="QT01"/>
    <x v="79"/>
    <x v="140"/>
    <s v="LARGO"/>
    <m/>
    <s v="20.22"/>
    <n v="125"/>
    <s v="NL2018"/>
    <m/>
    <n v="62"/>
    <n v="7750"/>
    <x v="35"/>
    <n v="82150000"/>
    <x v="2"/>
    <x v="2"/>
    <d v="2019-09-29T00:00:00"/>
    <d v="2019-09-29T00:00:00"/>
    <s v="TẾT"/>
    <m/>
    <m/>
    <m/>
    <m/>
    <n v="0"/>
    <m/>
    <m/>
    <m/>
    <m/>
    <m/>
    <m/>
    <n v="0"/>
    <n v="7750"/>
    <n v="82150000"/>
    <d v="2020-02-09T00:00:00"/>
  </r>
  <r>
    <s v="141A/2019"/>
    <d v="2019-02-09T00:00:00"/>
    <s v="THANH THÚY"/>
    <s v="QT01"/>
    <x v="79"/>
    <x v="68"/>
    <s v="LARGO"/>
    <m/>
    <s v="22.24"/>
    <n v="100"/>
    <s v="NL2018"/>
    <m/>
    <n v="23"/>
    <n v="2300"/>
    <x v="139"/>
    <n v="27370000"/>
    <x v="2"/>
    <x v="2"/>
    <d v="2019-09-29T00:00:00"/>
    <d v="2019-09-29T00:00:00"/>
    <s v="TẾT"/>
    <m/>
    <m/>
    <m/>
    <m/>
    <n v="0"/>
    <m/>
    <m/>
    <m/>
    <m/>
    <m/>
    <m/>
    <n v="0"/>
    <n v="2300"/>
    <n v="27370000"/>
    <d v="2020-02-09T00:00:00"/>
  </r>
  <r>
    <s v="141A/2019"/>
    <d v="2019-06-14T00:00:00"/>
    <s v="THANH THÚY"/>
    <s v="QT01"/>
    <x v="79"/>
    <x v="80"/>
    <s v="INDIANA"/>
    <m/>
    <s v="18.20"/>
    <n v="150"/>
    <s v="NL2018"/>
    <m/>
    <n v="67"/>
    <n v="10050"/>
    <x v="79"/>
    <n v="100500000"/>
    <x v="2"/>
    <x v="2"/>
    <d v="2019-09-29T00:00:00"/>
    <d v="2019-09-29T00:00:00"/>
    <s v="TẾT"/>
    <m/>
    <m/>
    <m/>
    <m/>
    <m/>
    <m/>
    <m/>
    <m/>
    <m/>
    <m/>
    <m/>
    <n v="0"/>
    <n v="10050"/>
    <n v="100500000"/>
    <m/>
  </r>
  <r>
    <s v="141A/2019"/>
    <d v="2019-06-14T00:00:00"/>
    <s v="THANH THÚY"/>
    <s v="QT01"/>
    <x v="79"/>
    <x v="29"/>
    <s v="INDIANA"/>
    <m/>
    <s v="16.18"/>
    <n v="200"/>
    <s v="NL2018"/>
    <m/>
    <n v="50"/>
    <n v="10000"/>
    <x v="32"/>
    <n v="67000000"/>
    <x v="2"/>
    <x v="20"/>
    <d v="2019-07-27T00:00:00"/>
    <d v="2019-07-27T00:00:00"/>
    <m/>
    <m/>
    <m/>
    <m/>
    <m/>
    <m/>
    <m/>
    <m/>
    <m/>
    <m/>
    <m/>
    <m/>
    <n v="0"/>
    <n v="10000"/>
    <n v="67000000"/>
    <m/>
  </r>
  <r>
    <s v="141A/2019"/>
    <d v="2019-06-14T00:00:00"/>
    <s v="THANH THÚY"/>
    <s v="QT01"/>
    <x v="79"/>
    <x v="29"/>
    <s v="INDIANA"/>
    <m/>
    <s v="16.18"/>
    <n v="200"/>
    <s v="NL2018"/>
    <m/>
    <n v="50"/>
    <n v="10000"/>
    <x v="71"/>
    <n v="68000000"/>
    <x v="2"/>
    <x v="40"/>
    <d v="2019-08-15T00:00:00"/>
    <d v="2019-08-15T00:00:00"/>
    <m/>
    <m/>
    <m/>
    <m/>
    <m/>
    <m/>
    <m/>
    <m/>
    <m/>
    <m/>
    <m/>
    <m/>
    <n v="0"/>
    <n v="10000"/>
    <n v="68000000"/>
    <m/>
  </r>
  <r>
    <s v="141A/2019"/>
    <d v="2019-06-14T00:00:00"/>
    <s v="THANH THÚY"/>
    <s v="QT01"/>
    <x v="79"/>
    <x v="29"/>
    <s v="INDIANA"/>
    <m/>
    <s v="16.18"/>
    <n v="200"/>
    <s v="NL2018"/>
    <m/>
    <n v="50"/>
    <n v="10000"/>
    <x v="164"/>
    <n v="69000000"/>
    <x v="2"/>
    <x v="56"/>
    <d v="2019-09-13T00:00:00"/>
    <d v="2019-09-13T00:00:00"/>
    <m/>
    <m/>
    <m/>
    <m/>
    <m/>
    <m/>
    <m/>
    <m/>
    <m/>
    <m/>
    <m/>
    <m/>
    <n v="0"/>
    <n v="10000"/>
    <n v="69000000"/>
    <m/>
  </r>
  <r>
    <s v="35A/2019"/>
    <d v="2019-02-09T00:00:00"/>
    <s v="THANH THÚY"/>
    <s v="QT01"/>
    <x v="79"/>
    <x v="6"/>
    <s v="CONCADOR "/>
    <m/>
    <s v="16.18"/>
    <n v="200"/>
    <s v="NL2018"/>
    <m/>
    <n v="0"/>
    <n v="0"/>
    <x v="12"/>
    <n v="0"/>
    <x v="1"/>
    <x v="5"/>
    <d v="2019-04-19T00:00:00"/>
    <d v="2019-04-19T00:00:00"/>
    <s v="15/3AL"/>
    <m/>
    <m/>
    <m/>
    <m/>
    <m/>
    <m/>
    <m/>
    <m/>
    <m/>
    <m/>
    <m/>
    <n v="0"/>
    <n v="0"/>
    <n v="0"/>
    <m/>
  </r>
  <r>
    <s v="35A/2019"/>
    <d v="2019-02-09T00:00:00"/>
    <s v="THANH THÚY"/>
    <s v="QT01"/>
    <x v="79"/>
    <x v="6"/>
    <s v="CONCADOR "/>
    <m/>
    <s v="16.18"/>
    <n v="200"/>
    <s v="NL2018"/>
    <m/>
    <n v="75"/>
    <n v="15000"/>
    <x v="12"/>
    <n v="70500000"/>
    <x v="0"/>
    <x v="30"/>
    <d v="2019-04-04T00:00:00"/>
    <d v="2019-04-04T00:00:00"/>
    <s v="30/2AL"/>
    <s v="CONT 16/2019"/>
    <m/>
    <m/>
    <d v="2019-04-02T00:00:00"/>
    <n v="15000"/>
    <m/>
    <m/>
    <m/>
    <m/>
    <m/>
    <m/>
    <n v="15000"/>
    <n v="0"/>
    <n v="0"/>
    <d v="2020-02-03T00:00:00"/>
  </r>
  <r>
    <s v="141A/2019"/>
    <d v="2019-02-09T00:00:00"/>
    <s v="THANH THÚY"/>
    <s v="QT01"/>
    <x v="79"/>
    <x v="7"/>
    <s v="CONCADOR"/>
    <m/>
    <s v="20.22"/>
    <n v="125"/>
    <s v="NL2018"/>
    <m/>
    <n v="80"/>
    <n v="10000"/>
    <x v="5"/>
    <n v="105000000"/>
    <x v="2"/>
    <x v="2"/>
    <d v="2019-09-29T00:00:00"/>
    <d v="2019-09-29T00:00:00"/>
    <s v="TẾT"/>
    <m/>
    <m/>
    <m/>
    <m/>
    <n v="0"/>
    <m/>
    <m/>
    <m/>
    <m/>
    <m/>
    <m/>
    <n v="0"/>
    <n v="10000"/>
    <n v="105000000"/>
    <m/>
  </r>
  <r>
    <s v="35A/2019"/>
    <d v="2019-02-09T00:00:00"/>
    <s v="THANH THÚY"/>
    <s v="QT01"/>
    <x v="79"/>
    <x v="81"/>
    <s v="BACARDI"/>
    <m/>
    <s v="16.18"/>
    <n v="200"/>
    <s v="NL2018"/>
    <m/>
    <n v="50"/>
    <n v="10000"/>
    <x v="75"/>
    <n v="63000000"/>
    <x v="0"/>
    <x v="0"/>
    <d v="2019-03-20T00:00:00"/>
    <d v="2019-03-20T00:00:00"/>
    <s v="15/2AL"/>
    <s v="CONT 11/2019"/>
    <m/>
    <m/>
    <d v="2019-03-19T00:00:00"/>
    <n v="10000"/>
    <m/>
    <m/>
    <m/>
    <m/>
    <m/>
    <m/>
    <n v="10000"/>
    <n v="0"/>
    <n v="0"/>
    <d v="2020-02-03T00:00:00"/>
  </r>
  <r>
    <s v="35A/2019"/>
    <d v="2019-02-09T00:00:00"/>
    <s v="THANH THÚY"/>
    <s v="QT01"/>
    <x v="79"/>
    <x v="81"/>
    <s v="BACARDI"/>
    <m/>
    <s v="16.18"/>
    <n v="200"/>
    <s v="NL2018"/>
    <m/>
    <n v="50"/>
    <n v="10000"/>
    <x v="75"/>
    <n v="63000000"/>
    <x v="0"/>
    <x v="30"/>
    <d v="2019-04-04T00:00:00"/>
    <d v="2019-04-04T00:00:00"/>
    <s v="30/2AL"/>
    <s v="CONT 18/2019"/>
    <m/>
    <m/>
    <d v="2019-04-03T00:00:00"/>
    <n v="10000"/>
    <m/>
    <m/>
    <m/>
    <m/>
    <m/>
    <m/>
    <n v="10000"/>
    <n v="0"/>
    <n v="0"/>
    <d v="2020-02-04T00:00:00"/>
  </r>
  <r>
    <s v="35A/2019"/>
    <d v="2019-02-09T00:00:00"/>
    <s v="THANH THÚY"/>
    <s v="QT01"/>
    <x v="79"/>
    <x v="81"/>
    <s v="BACARDI"/>
    <m/>
    <s v="16.18"/>
    <n v="200"/>
    <s v="NL2018"/>
    <m/>
    <n v="50"/>
    <n v="10000"/>
    <x v="165"/>
    <n v="64130000"/>
    <x v="0"/>
    <x v="5"/>
    <d v="2019-04-19T00:00:00"/>
    <d v="2019-04-19T00:00:00"/>
    <s v="15/3AL"/>
    <s v="CONT 20/2019"/>
    <m/>
    <m/>
    <d v="2019-04-24T00:00:00"/>
    <n v="10000"/>
    <m/>
    <m/>
    <m/>
    <m/>
    <m/>
    <m/>
    <n v="10000"/>
    <n v="0"/>
    <n v="0"/>
    <d v="2020-02-04T00:00:00"/>
  </r>
  <r>
    <s v="141A/2019"/>
    <d v="2019-02-09T00:00:00"/>
    <s v="THANH THÚY"/>
    <s v="QT01"/>
    <x v="79"/>
    <x v="25"/>
    <s v="BACARDI"/>
    <m/>
    <s v="20.22"/>
    <n v="125"/>
    <s v="NL2018"/>
    <m/>
    <n v="80"/>
    <n v="10000"/>
    <x v="27"/>
    <n v="108000000"/>
    <x v="2"/>
    <x v="2"/>
    <d v="2019-09-29T00:00:00"/>
    <d v="2019-09-29T00:00:00"/>
    <s v="TẾT"/>
    <m/>
    <m/>
    <m/>
    <m/>
    <n v="0"/>
    <m/>
    <m/>
    <m/>
    <m/>
    <m/>
    <m/>
    <n v="0"/>
    <n v="10000"/>
    <n v="108000000"/>
    <d v="2020-02-09T00:00:00"/>
  </r>
  <r>
    <s v="35A/2019"/>
    <d v="2019-02-09T00:00:00"/>
    <s v="THANH THÚY"/>
    <s v="QT01"/>
    <x v="79"/>
    <x v="54"/>
    <s v="AMATERAS"/>
    <m/>
    <s v="14.16"/>
    <n v="300"/>
    <s v="NL2018"/>
    <m/>
    <n v="17"/>
    <n v="5100"/>
    <x v="40"/>
    <n v="21420000"/>
    <x v="0"/>
    <x v="0"/>
    <d v="2019-03-20T00:00:00"/>
    <d v="2019-03-20T00:00:00"/>
    <s v="15/2AL"/>
    <s v="CONT 9/2019"/>
    <m/>
    <m/>
    <d v="2019-03-19T00:00:00"/>
    <n v="5100"/>
    <m/>
    <m/>
    <m/>
    <m/>
    <m/>
    <m/>
    <n v="5100"/>
    <n v="0"/>
    <n v="0"/>
    <d v="2020-02-03T00:00:00"/>
  </r>
  <r>
    <s v="35A/2019"/>
    <d v="2019-02-09T00:00:00"/>
    <s v="THANH THÚY"/>
    <s v="QT01"/>
    <x v="79"/>
    <x v="56"/>
    <s v="ALUSTA"/>
    <m/>
    <s v="14.16"/>
    <n v="300"/>
    <s v="NL2018"/>
    <m/>
    <n v="17"/>
    <n v="5100"/>
    <x v="45"/>
    <n v="20400000"/>
    <x v="0"/>
    <x v="30"/>
    <d v="2019-04-04T00:00:00"/>
    <d v="2019-04-04T00:00:00"/>
    <s v="30/2AL"/>
    <s v="CONT 15/2019"/>
    <m/>
    <m/>
    <d v="2019-04-02T00:00:00"/>
    <n v="5100"/>
    <m/>
    <m/>
    <m/>
    <m/>
    <m/>
    <m/>
    <n v="5100"/>
    <n v="0"/>
    <n v="0"/>
    <d v="2020-02-03T00:00:00"/>
  </r>
  <r>
    <s v="55B/2019"/>
    <d v="2019-02-16T00:00:00"/>
    <s v="THANH THÚY"/>
    <s v="QT03"/>
    <x v="80"/>
    <x v="23"/>
    <s v="ROBINA"/>
    <m/>
    <s v="22.24"/>
    <n v="100"/>
    <s v="NL2018"/>
    <m/>
    <n v="0"/>
    <n v="0"/>
    <x v="25"/>
    <n v="0"/>
    <x v="1"/>
    <x v="2"/>
    <d v="2019-09-29T00:00:00"/>
    <d v="2019-09-29T00:00:00"/>
    <s v="TẾT"/>
    <m/>
    <m/>
    <m/>
    <m/>
    <n v="0"/>
    <m/>
    <m/>
    <m/>
    <m/>
    <m/>
    <m/>
    <n v="0"/>
    <n v="0"/>
    <n v="0"/>
    <d v="2020-02-09T00:00:00"/>
  </r>
  <r>
    <s v="55B/2019"/>
    <d v="2019-02-16T00:00:00"/>
    <s v="THANH THÚY"/>
    <s v="QT03"/>
    <x v="80"/>
    <x v="109"/>
    <s v="MANISSA"/>
    <m/>
    <s v="24.26"/>
    <n v="80"/>
    <s v="NL2018"/>
    <m/>
    <n v="0"/>
    <n v="0"/>
    <x v="57"/>
    <n v="0"/>
    <x v="1"/>
    <x v="2"/>
    <d v="2019-09-29T00:00:00"/>
    <d v="2019-09-29T00:00:00"/>
    <s v="TẾT"/>
    <m/>
    <m/>
    <m/>
    <m/>
    <n v="0"/>
    <m/>
    <m/>
    <m/>
    <m/>
    <m/>
    <m/>
    <n v="0"/>
    <n v="0"/>
    <n v="0"/>
    <m/>
  </r>
  <r>
    <s v="55B/2019"/>
    <d v="2019-02-16T00:00:00"/>
    <s v="THANH THÚY"/>
    <s v="QT03"/>
    <x v="80"/>
    <x v="21"/>
    <s v="CONCAD'OR"/>
    <m/>
    <s v="22.24"/>
    <n v="100"/>
    <s v="NL2018"/>
    <m/>
    <n v="0"/>
    <n v="0"/>
    <x v="25"/>
    <n v="0"/>
    <x v="1"/>
    <x v="2"/>
    <d v="2019-09-29T00:00:00"/>
    <d v="2019-09-29T00:00:00"/>
    <s v="TẾT"/>
    <m/>
    <m/>
    <m/>
    <m/>
    <n v="0"/>
    <m/>
    <m/>
    <m/>
    <m/>
    <m/>
    <m/>
    <n v="0"/>
    <n v="0"/>
    <n v="0"/>
    <d v="2020-02-09T00:00:00"/>
  </r>
  <r>
    <s v="78B/2019"/>
    <d v="2019-02-25T00:00:00"/>
    <s v="THANH THÚY"/>
    <s v="NT08"/>
    <x v="81"/>
    <x v="0"/>
    <s v="YELLOWEEN"/>
    <m/>
    <s v="12.14"/>
    <n v="400"/>
    <s v="NL2018"/>
    <m/>
    <n v="63"/>
    <n v="25200"/>
    <x v="0"/>
    <n v="65520000"/>
    <x v="0"/>
    <x v="5"/>
    <d v="2019-04-19T00:00:00"/>
    <d v="2019-04-19T00:00:00"/>
    <s v="15/3AL"/>
    <s v="CONT 24/2019"/>
    <m/>
    <m/>
    <d v="2019-04-25T00:00:00"/>
    <n v="15600"/>
    <d v="2019-05-27T00:00:00"/>
    <n v="4800"/>
    <d v="2019-06-04T00:00:00"/>
    <n v="4800"/>
    <m/>
    <m/>
    <n v="25200"/>
    <n v="0"/>
    <n v="0"/>
    <d v="2020-02-09T00:00:00"/>
  </r>
  <r>
    <s v="78B/2019"/>
    <d v="2019-02-25T00:00:00"/>
    <s v="THANH THÚY"/>
    <s v="NT08"/>
    <x v="81"/>
    <x v="78"/>
    <s v="YELLOWEEN"/>
    <m/>
    <s v="14.16"/>
    <n v="300"/>
    <s v="NL2018"/>
    <m/>
    <n v="84"/>
    <n v="25200"/>
    <x v="108"/>
    <n v="90720000"/>
    <x v="0"/>
    <x v="5"/>
    <d v="2019-04-19T00:00:00"/>
    <d v="2019-04-19T00:00:00"/>
    <s v="15/3AL"/>
    <s v="CONT 20/2019"/>
    <m/>
    <m/>
    <d v="2019-04-25T00:00:00"/>
    <n v="15300"/>
    <d v="2019-05-27T00:00:00"/>
    <n v="5100"/>
    <d v="2019-06-04T00:00:00"/>
    <n v="4800"/>
    <m/>
    <m/>
    <n v="25200"/>
    <n v="0"/>
    <n v="0"/>
    <d v="2020-02-09T00:00:00"/>
  </r>
  <r>
    <s v="78B/2019"/>
    <d v="2019-04-25T00:00:00"/>
    <s v="THANH THÚY"/>
    <s v="NT08"/>
    <x v="81"/>
    <x v="78"/>
    <s v="YELLOWEEN"/>
    <m/>
    <s v="14.16"/>
    <n v="300"/>
    <s v="NL2018"/>
    <m/>
    <n v="83"/>
    <n v="24900"/>
    <x v="64"/>
    <n v="94620000"/>
    <x v="3"/>
    <x v="9"/>
    <d v="2019-06-04T00:00:00"/>
    <d v="2019-06-04T00:00:00"/>
    <s v="02/5AL"/>
    <m/>
    <m/>
    <m/>
    <d v="2019-06-17T00:00:00"/>
    <n v="15000"/>
    <m/>
    <m/>
    <m/>
    <m/>
    <m/>
    <m/>
    <n v="15000"/>
    <n v="9900"/>
    <n v="37620000"/>
    <m/>
  </r>
  <r>
    <s v="78B/2019"/>
    <d v="2019-04-25T00:00:00"/>
    <s v="THANH THÚY"/>
    <s v="NT08"/>
    <x v="81"/>
    <x v="78"/>
    <s v="YELLOWEEN"/>
    <m/>
    <s v="14.16"/>
    <n v="300"/>
    <s v="NL2018"/>
    <m/>
    <n v="17"/>
    <n v="5100"/>
    <x v="64"/>
    <n v="19380000"/>
    <x v="3"/>
    <x v="3"/>
    <d v="2019-06-20T00:00:00"/>
    <d v="2019-06-20T00:00:00"/>
    <m/>
    <m/>
    <m/>
    <m/>
    <m/>
    <m/>
    <m/>
    <m/>
    <m/>
    <m/>
    <m/>
    <m/>
    <n v="0"/>
    <n v="5100"/>
    <n v="19380000"/>
    <m/>
  </r>
  <r>
    <s v="78B/2019"/>
    <d v="2019-06-11T00:00:00"/>
    <s v="THANH THÚY"/>
    <s v="NT08"/>
    <x v="81"/>
    <x v="78"/>
    <s v="YELLOWEEN"/>
    <m/>
    <s v="14.16"/>
    <n v="300"/>
    <s v="NL2018"/>
    <m/>
    <n v="84"/>
    <n v="25200"/>
    <x v="166"/>
    <n v="98784000"/>
    <x v="2"/>
    <x v="13"/>
    <d v="2019-07-31T00:00:00"/>
    <d v="2019-07-31T00:00:00"/>
    <m/>
    <m/>
    <m/>
    <m/>
    <m/>
    <m/>
    <m/>
    <m/>
    <m/>
    <m/>
    <m/>
    <m/>
    <n v="0"/>
    <n v="25200"/>
    <n v="98784000"/>
    <m/>
  </r>
  <r>
    <s v="78B/2019"/>
    <d v="2019-06-11T00:00:00"/>
    <s v="THANH THÚY"/>
    <s v="NT08"/>
    <x v="81"/>
    <x v="78"/>
    <s v="YELLOWEEN"/>
    <m/>
    <s v="14.16"/>
    <n v="300"/>
    <s v="NL2018"/>
    <m/>
    <n v="84"/>
    <n v="25200"/>
    <x v="167"/>
    <n v="101808000"/>
    <x v="2"/>
    <x v="56"/>
    <d v="2019-09-13T00:00:00"/>
    <d v="2019-09-13T00:00:00"/>
    <m/>
    <m/>
    <m/>
    <m/>
    <m/>
    <m/>
    <m/>
    <m/>
    <m/>
    <m/>
    <m/>
    <m/>
    <n v="0"/>
    <n v="25200"/>
    <n v="101808000"/>
    <m/>
  </r>
  <r>
    <s v="78B/2019"/>
    <d v="2019-02-25T00:00:00"/>
    <s v="THANH THÚY"/>
    <s v="NT08"/>
    <x v="81"/>
    <x v="10"/>
    <s v="TARRANGO"/>
    <m/>
    <s v="16.18"/>
    <n v="200"/>
    <s v="NL2018"/>
    <m/>
    <n v="250"/>
    <n v="50000"/>
    <x v="10"/>
    <n v="275000000"/>
    <x v="0"/>
    <x v="5"/>
    <d v="2019-04-19T00:00:00"/>
    <d v="2019-04-19T00:00:00"/>
    <s v="15/3AL"/>
    <s v="CONT 26/2019"/>
    <m/>
    <m/>
    <d v="2019-04-25T00:00:00"/>
    <n v="20000"/>
    <d v="2019-05-27T00:00:00"/>
    <n v="20000"/>
    <d v="2019-06-04T00:00:00"/>
    <n v="10000"/>
    <m/>
    <m/>
    <n v="50000"/>
    <n v="0"/>
    <n v="0"/>
    <m/>
  </r>
  <r>
    <s v="78B/2019"/>
    <d v="2019-02-25T00:00:00"/>
    <s v="THANH THÚY"/>
    <s v="NT08"/>
    <x v="81"/>
    <x v="3"/>
    <s v="ROBINA"/>
    <m/>
    <s v="16.18"/>
    <n v="200"/>
    <s v="NL2018"/>
    <m/>
    <n v="75"/>
    <n v="15000"/>
    <x v="43"/>
    <n v="72000000"/>
    <x v="0"/>
    <x v="5"/>
    <d v="2019-04-19T00:00:00"/>
    <d v="2019-04-19T00:00:00"/>
    <s v="15/3AL"/>
    <s v="CONT 26/2019"/>
    <m/>
    <m/>
    <d v="2019-04-25T00:00:00"/>
    <n v="15000"/>
    <m/>
    <m/>
    <m/>
    <m/>
    <m/>
    <m/>
    <n v="15000"/>
    <n v="0"/>
    <n v="0"/>
    <d v="2020-02-09T00:00:00"/>
  </r>
  <r>
    <s v="78B/2019"/>
    <d v="2019-02-25T00:00:00"/>
    <s v="THANH THÚY"/>
    <s v="NT08"/>
    <x v="81"/>
    <x v="3"/>
    <s v="ROBINA"/>
    <m/>
    <s v="16.18"/>
    <n v="200"/>
    <s v="NL2018"/>
    <m/>
    <n v="75"/>
    <n v="15000"/>
    <x v="43"/>
    <n v="72000000"/>
    <x v="0"/>
    <x v="1"/>
    <d v="2019-05-21T00:00:00"/>
    <d v="2019-05-21T00:00:00"/>
    <m/>
    <m/>
    <m/>
    <m/>
    <d v="2019-05-27T00:00:00"/>
    <n v="5000"/>
    <d v="2019-06-04T00:00:00"/>
    <n v="10000"/>
    <m/>
    <m/>
    <m/>
    <m/>
    <n v="15000"/>
    <n v="0"/>
    <n v="0"/>
    <m/>
  </r>
  <r>
    <s v="78B/2019"/>
    <d v="2019-04-25T00:00:00"/>
    <s v="THANH THÚY"/>
    <s v="NT08"/>
    <x v="81"/>
    <x v="3"/>
    <s v="ROBINA"/>
    <m/>
    <s v="16.18"/>
    <n v="200"/>
    <s v="NL2018"/>
    <m/>
    <n v="50"/>
    <n v="10000"/>
    <x v="10"/>
    <n v="55000000"/>
    <x v="3"/>
    <x v="9"/>
    <d v="2019-06-04T00:00:00"/>
    <d v="2019-06-04T00:00:00"/>
    <s v="02/5AL"/>
    <m/>
    <m/>
    <m/>
    <d v="2019-06-17T00:00:00"/>
    <n v="5000"/>
    <m/>
    <m/>
    <m/>
    <m/>
    <m/>
    <m/>
    <n v="5000"/>
    <n v="5000"/>
    <n v="27500000"/>
    <m/>
  </r>
  <r>
    <s v="78B/2019"/>
    <d v="2019-04-25T00:00:00"/>
    <s v="THANH THÚY"/>
    <s v="NT08"/>
    <x v="81"/>
    <x v="27"/>
    <s v="MALDANO"/>
    <m/>
    <s v="16.18"/>
    <n v="200"/>
    <s v="NL2018"/>
    <m/>
    <n v="100"/>
    <n v="20000"/>
    <x v="6"/>
    <n v="108000000"/>
    <x v="3"/>
    <x v="41"/>
    <d v="2019-06-14T00:00:00"/>
    <d v="2019-06-14T00:00:00"/>
    <s v="02/5AL"/>
    <m/>
    <m/>
    <m/>
    <d v="2019-06-17T00:00:00"/>
    <n v="5000"/>
    <m/>
    <m/>
    <m/>
    <m/>
    <m/>
    <m/>
    <n v="5000"/>
    <n v="15000"/>
    <n v="81000000"/>
    <m/>
  </r>
  <r>
    <s v="78B/2019"/>
    <d v="2019-04-25T00:00:00"/>
    <s v="THANH THÚY"/>
    <s v="NT08"/>
    <x v="81"/>
    <x v="27"/>
    <s v="MALDANO"/>
    <m/>
    <s v="16.18"/>
    <n v="200"/>
    <s v="NL2018"/>
    <m/>
    <n v="50"/>
    <n v="10000"/>
    <x v="6"/>
    <n v="54000000"/>
    <x v="4"/>
    <x v="4"/>
    <d v="2019-07-17T00:00:00"/>
    <d v="2019-07-17T00:00:00"/>
    <s v="02/5AL"/>
    <m/>
    <m/>
    <m/>
    <m/>
    <m/>
    <m/>
    <m/>
    <m/>
    <m/>
    <m/>
    <m/>
    <n v="0"/>
    <n v="10000"/>
    <n v="54000000"/>
    <m/>
  </r>
  <r>
    <s v="78B/2019"/>
    <d v="2019-04-19T00:00:00"/>
    <s v="THANH THÚY"/>
    <s v="NT08"/>
    <x v="81"/>
    <x v="7"/>
    <s v="CONCADOR "/>
    <m/>
    <s v="20.22"/>
    <n v="125"/>
    <s v="NL2018"/>
    <m/>
    <n v="480"/>
    <n v="60000"/>
    <x v="35"/>
    <n v="636000000"/>
    <x v="2"/>
    <x v="2"/>
    <d v="2019-09-29T00:00:00"/>
    <d v="2019-09-29T00:00:00"/>
    <s v="TẾT"/>
    <m/>
    <m/>
    <m/>
    <m/>
    <m/>
    <m/>
    <m/>
    <m/>
    <m/>
    <m/>
    <m/>
    <n v="0"/>
    <n v="60000"/>
    <n v="636000000"/>
    <m/>
  </r>
  <r>
    <s v="78B/2019"/>
    <d v="2019-02-25T00:00:00"/>
    <s v="THANH THÚY"/>
    <s v="NT08"/>
    <x v="81"/>
    <x v="6"/>
    <s v="CONCADOR"/>
    <m/>
    <s v="16.18"/>
    <n v="200"/>
    <s v="NL2018"/>
    <m/>
    <n v="200"/>
    <n v="40000"/>
    <x v="8"/>
    <n v="200000000"/>
    <x v="0"/>
    <x v="5"/>
    <d v="2019-04-19T00:00:00"/>
    <d v="2019-04-19T00:00:00"/>
    <s v="15/3AL"/>
    <s v="CONT 21/2019"/>
    <m/>
    <m/>
    <d v="2019-04-20T00:00:00"/>
    <n v="15000"/>
    <d v="2019-05-17T00:00:00"/>
    <n v="25000"/>
    <m/>
    <m/>
    <m/>
    <m/>
    <n v="40000"/>
    <n v="0"/>
    <n v="0"/>
    <d v="2020-02-09T00:00:00"/>
  </r>
  <r>
    <s v="78B/2019"/>
    <d v="2019-02-25T00:00:00"/>
    <s v="THANH THÚY"/>
    <s v="NT08"/>
    <x v="81"/>
    <x v="6"/>
    <s v="CONCADOR"/>
    <m/>
    <s v="16.18"/>
    <n v="200"/>
    <s v="NL2018"/>
    <m/>
    <n v="50"/>
    <n v="10000"/>
    <x v="8"/>
    <n v="50000000"/>
    <x v="0"/>
    <x v="1"/>
    <d v="2019-05-21T00:00:00"/>
    <d v="2019-05-21T00:00:00"/>
    <m/>
    <m/>
    <m/>
    <m/>
    <d v="2019-05-27T00:00:00"/>
    <n v="5000"/>
    <d v="2019-06-04T00:00:00"/>
    <n v="5000"/>
    <m/>
    <m/>
    <m/>
    <m/>
    <n v="10000"/>
    <n v="0"/>
    <n v="0"/>
    <m/>
  </r>
  <r>
    <s v="78B/2019"/>
    <d v="2019-06-11T00:00:00"/>
    <s v="THANH THÚY"/>
    <s v="NT08"/>
    <x v="81"/>
    <x v="8"/>
    <s v="CONCADOR"/>
    <m/>
    <s v="18.20"/>
    <n v="150"/>
    <s v="NL2018"/>
    <m/>
    <n v="167"/>
    <n v="25050"/>
    <x v="105"/>
    <n v="182865000"/>
    <x v="2"/>
    <x v="13"/>
    <d v="2019-07-31T00:00:00"/>
    <d v="2019-07-31T00:00:00"/>
    <m/>
    <m/>
    <m/>
    <m/>
    <m/>
    <m/>
    <m/>
    <m/>
    <m/>
    <m/>
    <m/>
    <m/>
    <n v="0"/>
    <n v="25050"/>
    <n v="182865000"/>
    <m/>
  </r>
  <r>
    <s v="78B/2019"/>
    <d v="2019-04-19T00:00:00"/>
    <s v="THANH THÚY"/>
    <s v="NT08"/>
    <x v="81"/>
    <x v="141"/>
    <s v="COMPETITION CHILE"/>
    <m/>
    <s v="20.22"/>
    <n v="125"/>
    <s v="CL2019"/>
    <m/>
    <n v="320"/>
    <n v="40000"/>
    <x v="25"/>
    <n v="500000000"/>
    <x v="2"/>
    <x v="2"/>
    <d v="2019-09-29T00:00:00"/>
    <d v="2019-09-29T00:00:00"/>
    <s v="TẾT"/>
    <m/>
    <m/>
    <m/>
    <m/>
    <m/>
    <m/>
    <m/>
    <m/>
    <m/>
    <m/>
    <m/>
    <n v="0"/>
    <n v="40000"/>
    <n v="500000000"/>
    <m/>
  </r>
  <r>
    <s v="78B/2019"/>
    <d v="2019-04-19T00:00:00"/>
    <s v="THANH THÚY"/>
    <s v="NT08"/>
    <x v="81"/>
    <x v="104"/>
    <s v="BACARDI"/>
    <m/>
    <s v="22.24"/>
    <n v="85"/>
    <s v="NL2018"/>
    <m/>
    <n v="85"/>
    <n v="7225"/>
    <x v="109"/>
    <n v="83810000"/>
    <x v="2"/>
    <x v="2"/>
    <d v="2019-09-29T00:00:00"/>
    <d v="2019-09-29T00:00:00"/>
    <m/>
    <m/>
    <m/>
    <m/>
    <m/>
    <m/>
    <m/>
    <m/>
    <m/>
    <m/>
    <m/>
    <m/>
    <n v="0"/>
    <n v="7225"/>
    <n v="83810000"/>
    <m/>
  </r>
  <r>
    <s v="78B/2019"/>
    <d v="2019-04-19T00:00:00"/>
    <s v="THANH THÚY"/>
    <s v="NT08"/>
    <x v="81"/>
    <x v="142"/>
    <s v="BACARDI"/>
    <m/>
    <s v="22.24"/>
    <n v="100"/>
    <s v="NL2018"/>
    <m/>
    <n v="80"/>
    <n v="8000"/>
    <x v="109"/>
    <n v="92800000"/>
    <x v="2"/>
    <x v="2"/>
    <d v="2019-09-29T00:00:00"/>
    <d v="2019-09-29T00:00:00"/>
    <s v="TẾT"/>
    <m/>
    <m/>
    <m/>
    <m/>
    <m/>
    <m/>
    <m/>
    <m/>
    <m/>
    <m/>
    <m/>
    <n v="0"/>
    <n v="8000"/>
    <n v="92800000"/>
    <m/>
  </r>
  <r>
    <s v="78B/2019"/>
    <d v="2019-04-25T00:00:00"/>
    <s v="THANH THÚY"/>
    <s v="NT08"/>
    <x v="81"/>
    <x v="9"/>
    <s v="ARVANDRUD"/>
    <m/>
    <s v="16.18"/>
    <n v="200"/>
    <s v="NL2018"/>
    <m/>
    <n v="100"/>
    <n v="20000"/>
    <x v="85"/>
    <n v="114000000"/>
    <x v="3"/>
    <x v="1"/>
    <d v="2019-05-21T00:00:00"/>
    <d v="2019-05-21T00:00:00"/>
    <s v="02/5AL"/>
    <m/>
    <m/>
    <m/>
    <d v="2019-06-17T00:00:00"/>
    <n v="10000"/>
    <m/>
    <m/>
    <m/>
    <m/>
    <m/>
    <m/>
    <n v="10000"/>
    <n v="10000"/>
    <n v="57000000"/>
    <m/>
  </r>
  <r>
    <s v="78B/2019"/>
    <d v="2019-04-25T00:00:00"/>
    <s v="THANH THÚY"/>
    <s v="NT08"/>
    <x v="81"/>
    <x v="9"/>
    <s v="ARVANDRUD"/>
    <m/>
    <s v="16.18"/>
    <n v="200"/>
    <s v="NL2018"/>
    <m/>
    <n v="50"/>
    <n v="10000"/>
    <x v="85"/>
    <n v="57000000"/>
    <x v="3"/>
    <x v="9"/>
    <d v="2019-06-04T00:00:00"/>
    <d v="2019-06-04T00:00:00"/>
    <s v="02/5AL"/>
    <m/>
    <m/>
    <m/>
    <m/>
    <m/>
    <m/>
    <m/>
    <m/>
    <m/>
    <m/>
    <m/>
    <n v="0"/>
    <n v="10000"/>
    <n v="57000000"/>
    <m/>
  </r>
  <r>
    <s v="46B/2019"/>
    <d v="2019-02-13T00:00:00"/>
    <s v="THANH THÚY"/>
    <s v="TB05"/>
    <x v="82"/>
    <x v="22"/>
    <s v="YELLOWEEN"/>
    <m/>
    <s v="14.16"/>
    <n v="300"/>
    <s v="NL2017"/>
    <m/>
    <n v="17"/>
    <n v="5100"/>
    <x v="26"/>
    <n v="15300000"/>
    <x v="0"/>
    <x v="67"/>
    <d v="2019-03-13T00:00:00"/>
    <d v="2019-03-13T00:00:00"/>
    <s v="7/2AL"/>
    <m/>
    <m/>
    <m/>
    <d v="2019-03-21T00:00:00"/>
    <n v="5100"/>
    <m/>
    <m/>
    <m/>
    <m/>
    <m/>
    <m/>
    <n v="5100"/>
    <n v="0"/>
    <n v="0"/>
    <d v="2020-02-09T00:00:00"/>
  </r>
  <r>
    <s v="46B/2019"/>
    <d v="2019-02-13T00:00:00"/>
    <s v="THANH THÚY"/>
    <s v="TB05"/>
    <x v="82"/>
    <x v="78"/>
    <s v="YELLOWEEN"/>
    <m/>
    <s v="14.16"/>
    <n v="300"/>
    <s v="NL2018"/>
    <m/>
    <n v="14"/>
    <n v="4200"/>
    <x v="64"/>
    <n v="15960000"/>
    <x v="0"/>
    <x v="1"/>
    <d v="2019-05-21T00:00:00"/>
    <d v="2019-05-21T00:00:00"/>
    <s v="17/4AL"/>
    <m/>
    <m/>
    <m/>
    <d v="2019-06-01T00:00:00"/>
    <n v="4200"/>
    <m/>
    <m/>
    <m/>
    <m/>
    <m/>
    <m/>
    <n v="4200"/>
    <n v="0"/>
    <n v="0"/>
    <d v="2020-02-09T00:00:00"/>
  </r>
  <r>
    <s v="46B/2019"/>
    <d v="2019-06-04T00:00:00"/>
    <s v="THANH THÚY"/>
    <s v="TB05"/>
    <x v="82"/>
    <x v="78"/>
    <s v="YELLOWEEN"/>
    <m/>
    <s v="14.16"/>
    <n v="300"/>
    <s v="NL2018"/>
    <m/>
    <n v="2"/>
    <n v="600"/>
    <x v="58"/>
    <n v="2340000"/>
    <x v="0"/>
    <x v="1"/>
    <d v="2019-05-21T00:00:00"/>
    <d v="2019-05-21T00:00:00"/>
    <m/>
    <m/>
    <m/>
    <m/>
    <d v="2019-06-04T00:00:00"/>
    <n v="600"/>
    <m/>
    <m/>
    <m/>
    <m/>
    <m/>
    <m/>
    <n v="600"/>
    <n v="0"/>
    <n v="0"/>
    <m/>
  </r>
  <r>
    <s v="46B/2019"/>
    <d v="2019-02-13T00:00:00"/>
    <s v="THANH THÚY"/>
    <s v="TB05"/>
    <x v="82"/>
    <x v="3"/>
    <s v="ROBINA"/>
    <m/>
    <s v="16.18"/>
    <n v="200"/>
    <s v="NL2018"/>
    <m/>
    <n v="25"/>
    <n v="5000"/>
    <x v="6"/>
    <n v="27000000"/>
    <x v="0"/>
    <x v="1"/>
    <d v="2019-05-21T00:00:00"/>
    <d v="2019-05-21T00:00:00"/>
    <s v="17/4AL"/>
    <m/>
    <m/>
    <m/>
    <d v="2019-06-01T00:00:00"/>
    <n v="5000"/>
    <m/>
    <m/>
    <m/>
    <m/>
    <m/>
    <m/>
    <n v="5000"/>
    <n v="0"/>
    <n v="0"/>
    <d v="2020-02-09T00:00:00"/>
  </r>
  <r>
    <s v="46B/2019"/>
    <d v="2019-02-13T00:00:00"/>
    <s v="THANH THÚY"/>
    <s v="TB05"/>
    <x v="82"/>
    <x v="13"/>
    <s v="BACARDI"/>
    <m/>
    <s v="15.16"/>
    <n v="300"/>
    <s v="NL2018"/>
    <m/>
    <n v="17"/>
    <n v="5100"/>
    <x v="74"/>
    <n v="22287000"/>
    <x v="0"/>
    <x v="0"/>
    <d v="2019-03-20T00:00:00"/>
    <d v="2019-03-20T00:00:00"/>
    <s v="15/2AL"/>
    <s v="CONT 11/2019"/>
    <m/>
    <m/>
    <d v="2019-03-21T00:00:00"/>
    <n v="5100"/>
    <m/>
    <m/>
    <m/>
    <m/>
    <m/>
    <m/>
    <n v="5100"/>
    <n v="0"/>
    <n v="0"/>
    <m/>
  </r>
  <r>
    <s v="12B/2019"/>
    <d v="2019-01-05T00:00:00"/>
    <s v="THANH THÚY"/>
    <s v="TT04"/>
    <x v="83"/>
    <x v="0"/>
    <s v="YELLOWEEN"/>
    <m/>
    <s v="12.14"/>
    <n v="400"/>
    <s v="NL2018"/>
    <m/>
    <n v="125"/>
    <n v="50000"/>
    <x v="0"/>
    <n v="130000000"/>
    <x v="0"/>
    <x v="6"/>
    <d v="2019-02-19T00:00:00"/>
    <d v="2019-02-19T00:00:00"/>
    <s v="15/1AL"/>
    <m/>
    <m/>
    <m/>
    <d v="2019-02-19T00:00:00"/>
    <n v="50000"/>
    <m/>
    <m/>
    <m/>
    <m/>
    <m/>
    <m/>
    <n v="50000"/>
    <n v="0"/>
    <n v="0"/>
    <m/>
  </r>
  <r>
    <s v="126B/2019"/>
    <d v="2019-03-15T00:00:00"/>
    <s v="THANH THÚY"/>
    <s v="TT04"/>
    <x v="83"/>
    <x v="0"/>
    <s v="YELLOWEEN"/>
    <m/>
    <s v="12.14"/>
    <n v="400"/>
    <s v="NL2018"/>
    <m/>
    <n v="0"/>
    <n v="0"/>
    <x v="1"/>
    <n v="0"/>
    <x v="1"/>
    <x v="33"/>
    <d v="2019-05-19T00:00:00"/>
    <d v="2019-05-19T00:00:00"/>
    <s v="15/4AL"/>
    <m/>
    <m/>
    <m/>
    <m/>
    <n v="0"/>
    <m/>
    <m/>
    <m/>
    <m/>
    <m/>
    <m/>
    <n v="0"/>
    <n v="0"/>
    <n v="0"/>
    <m/>
  </r>
  <r>
    <s v="126B/2019"/>
    <d v="2019-03-15T00:00:00"/>
    <s v="THANH THÚY"/>
    <s v="TT04"/>
    <x v="83"/>
    <x v="78"/>
    <s v="YELLOWEEN"/>
    <m/>
    <s v="14.16"/>
    <n v="300"/>
    <s v="NL2018"/>
    <m/>
    <n v="0"/>
    <n v="0"/>
    <x v="64"/>
    <n v="0"/>
    <x v="1"/>
    <x v="33"/>
    <d v="2019-05-19T00:00:00"/>
    <d v="2019-05-19T00:00:00"/>
    <s v="15/4AL"/>
    <m/>
    <m/>
    <m/>
    <m/>
    <n v="0"/>
    <m/>
    <m/>
    <m/>
    <m/>
    <m/>
    <m/>
    <n v="0"/>
    <n v="0"/>
    <n v="0"/>
    <m/>
  </r>
  <r>
    <s v="126B/2019"/>
    <d v="2019-06-18T00:00:00"/>
    <s v="THANH THÚY"/>
    <s v="TT04"/>
    <x v="83"/>
    <x v="0"/>
    <s v="YELLOWEEN"/>
    <m/>
    <s v="12.14"/>
    <n v="400"/>
    <s v="NL2018"/>
    <m/>
    <n v="15"/>
    <n v="6000"/>
    <x v="39"/>
    <n v="17400000"/>
    <x v="4"/>
    <x v="4"/>
    <d v="2019-07-17T00:00:00"/>
    <d v="2019-07-17T00:00:00"/>
    <m/>
    <m/>
    <m/>
    <m/>
    <m/>
    <m/>
    <m/>
    <m/>
    <m/>
    <m/>
    <m/>
    <m/>
    <n v="0"/>
    <n v="6000"/>
    <n v="17400000"/>
    <m/>
  </r>
  <r>
    <s v="126B/2019"/>
    <d v="2019-03-15T00:00:00"/>
    <s v="THANH THÚY"/>
    <s v="TT04"/>
    <x v="83"/>
    <x v="78"/>
    <s v="YELLOWEEN"/>
    <m/>
    <s v="14.16"/>
    <n v="300"/>
    <s v="NL2018"/>
    <m/>
    <n v="167"/>
    <n v="50100"/>
    <x v="64"/>
    <n v="190380000"/>
    <x v="2"/>
    <x v="51"/>
    <d v="2019-08-30T00:00:00"/>
    <d v="2019-08-30T00:00:00"/>
    <s v="T5AL TRỞ ĐI"/>
    <m/>
    <m/>
    <m/>
    <m/>
    <n v="0"/>
    <m/>
    <m/>
    <m/>
    <m/>
    <m/>
    <m/>
    <n v="0"/>
    <n v="50100"/>
    <n v="190380000"/>
    <m/>
  </r>
  <r>
    <s v="12B/2019"/>
    <d v="2019-01-05T00:00:00"/>
    <s v="THANH THÚY"/>
    <s v="TT04"/>
    <x v="83"/>
    <x v="0"/>
    <s v="YELLOWEEN"/>
    <m/>
    <s v="12.14"/>
    <n v="400"/>
    <s v="NL2018"/>
    <m/>
    <n v="125"/>
    <n v="50000"/>
    <x v="0"/>
    <n v="130000000"/>
    <x v="0"/>
    <x v="10"/>
    <d v="2019-04-03T00:00:00"/>
    <d v="2019-04-03T00:00:00"/>
    <s v="28/2AL"/>
    <s v="CONT 18/2019"/>
    <m/>
    <m/>
    <d v="2019-04-03T00:00:00"/>
    <n v="50000"/>
    <m/>
    <m/>
    <m/>
    <m/>
    <m/>
    <m/>
    <n v="50000"/>
    <n v="0"/>
    <n v="0"/>
    <m/>
  </r>
  <r>
    <s v="126B/2019"/>
    <d v="2019-03-15T00:00:00"/>
    <s v="THANH THÚY"/>
    <s v="TT04"/>
    <x v="83"/>
    <x v="3"/>
    <s v="ROBINA"/>
    <m/>
    <s v="16.18"/>
    <n v="200"/>
    <s v="NL2018"/>
    <m/>
    <n v="100"/>
    <n v="20000"/>
    <x v="110"/>
    <n v="102000000"/>
    <x v="0"/>
    <x v="33"/>
    <d v="2019-05-19T00:00:00"/>
    <d v="2019-05-19T00:00:00"/>
    <s v="15/4AL"/>
    <m/>
    <m/>
    <m/>
    <d v="2019-05-18T00:00:00"/>
    <n v="20000"/>
    <m/>
    <m/>
    <m/>
    <m/>
    <m/>
    <m/>
    <n v="20000"/>
    <n v="0"/>
    <n v="0"/>
    <m/>
  </r>
  <r>
    <s v="126B/2019"/>
    <d v="2019-05-13T00:00:00"/>
    <s v="THANH THÚY"/>
    <s v="TT04"/>
    <x v="83"/>
    <x v="3"/>
    <s v="ROBINA"/>
    <m/>
    <s v="16.18"/>
    <n v="200"/>
    <s v="NL2018"/>
    <m/>
    <n v="50"/>
    <n v="10000"/>
    <x v="154"/>
    <n v="52700000"/>
    <x v="4"/>
    <x v="4"/>
    <d v="2019-07-17T00:00:00"/>
    <d v="2019-07-17T00:00:00"/>
    <m/>
    <m/>
    <m/>
    <m/>
    <m/>
    <m/>
    <m/>
    <m/>
    <m/>
    <m/>
    <m/>
    <m/>
    <n v="0"/>
    <n v="10000"/>
    <n v="52700000"/>
    <m/>
  </r>
  <r>
    <s v="126B/2019"/>
    <d v="2019-06-20T00:00:00"/>
    <s v="THANH THÚY"/>
    <s v="TT04"/>
    <x v="83"/>
    <x v="3"/>
    <s v="ROBINA"/>
    <m/>
    <s v="16.18"/>
    <n v="200"/>
    <s v="NL2018"/>
    <m/>
    <n v="50"/>
    <n v="10000"/>
    <x v="73"/>
    <n v="52000000"/>
    <x v="3"/>
    <x v="3"/>
    <d v="2019-06-20T00:00:00"/>
    <d v="2019-06-20T00:00:00"/>
    <m/>
    <m/>
    <m/>
    <m/>
    <m/>
    <m/>
    <m/>
    <m/>
    <m/>
    <m/>
    <m/>
    <m/>
    <n v="0"/>
    <n v="10000"/>
    <n v="52000000"/>
    <m/>
  </r>
  <r>
    <s v="126B/2019"/>
    <d v="2019-03-15T00:00:00"/>
    <s v="THANH THÚY"/>
    <s v="TT04"/>
    <x v="83"/>
    <x v="3"/>
    <s v="ROBINA"/>
    <m/>
    <s v="16.18"/>
    <n v="200"/>
    <s v="NL2018"/>
    <m/>
    <n v="200"/>
    <n v="40000"/>
    <x v="8"/>
    <n v="200000000"/>
    <x v="2"/>
    <x v="26"/>
    <s v=""/>
    <s v=""/>
    <s v="T3AL TRỞ ĐI"/>
    <m/>
    <m/>
    <m/>
    <m/>
    <n v="0"/>
    <m/>
    <m/>
    <m/>
    <m/>
    <m/>
    <m/>
    <n v="0"/>
    <n v="40000"/>
    <n v="200000000"/>
    <m/>
  </r>
  <r>
    <s v="178B/2019"/>
    <d v="2019-04-29T00:00:00"/>
    <s v="THANH THÚY"/>
    <s v="TT04"/>
    <x v="83"/>
    <x v="143"/>
    <s v="PALAZZO"/>
    <m/>
    <s v="16.18"/>
    <n v="200"/>
    <s v="NL2018"/>
    <m/>
    <n v="50"/>
    <n v="10000"/>
    <x v="71"/>
    <n v="68000000"/>
    <x v="2"/>
    <x v="2"/>
    <d v="2019-09-29T00:00:00"/>
    <d v="2019-09-29T00:00:00"/>
    <s v="TẾT"/>
    <m/>
    <m/>
    <m/>
    <m/>
    <m/>
    <m/>
    <m/>
    <m/>
    <m/>
    <m/>
    <m/>
    <n v="0"/>
    <n v="10000"/>
    <n v="68000000"/>
    <m/>
  </r>
  <r>
    <s v="126B/2019"/>
    <d v="2019-03-15T00:00:00"/>
    <s v="THANH THÚY"/>
    <s v="TT04"/>
    <x v="83"/>
    <x v="27"/>
    <s v="MALDANO"/>
    <m/>
    <s v="16.18"/>
    <n v="200"/>
    <s v="NL2018"/>
    <m/>
    <n v="0"/>
    <n v="0"/>
    <x v="8"/>
    <n v="0"/>
    <x v="1"/>
    <x v="53"/>
    <d v="2019-06-03T00:00:00"/>
    <d v="2019-06-03T00:00:00"/>
    <s v="T5AL TRỞ ĐI"/>
    <m/>
    <m/>
    <m/>
    <m/>
    <n v="0"/>
    <m/>
    <m/>
    <m/>
    <m/>
    <m/>
    <m/>
    <n v="0"/>
    <n v="0"/>
    <n v="0"/>
    <m/>
  </r>
  <r>
    <s v="12B/2019"/>
    <d v="2019-01-05T00:00:00"/>
    <s v="THANH THÚY"/>
    <s v="TT04"/>
    <x v="83"/>
    <x v="27"/>
    <s v="MALDANO"/>
    <m/>
    <s v="16.18"/>
    <n v="200"/>
    <s v="NL2018"/>
    <m/>
    <n v="50"/>
    <n v="10000"/>
    <x v="8"/>
    <n v="50000000"/>
    <x v="0"/>
    <x v="5"/>
    <d v="2019-04-19T00:00:00"/>
    <d v="2019-04-19T00:00:00"/>
    <s v="15/3AL"/>
    <s v="CONT 27/2019"/>
    <m/>
    <m/>
    <d v="2019-04-23T00:00:00"/>
    <n v="10000"/>
    <m/>
    <m/>
    <m/>
    <m/>
    <m/>
    <m/>
    <n v="10000"/>
    <n v="0"/>
    <n v="0"/>
    <m/>
  </r>
  <r>
    <s v="126B/2019"/>
    <d v="2019-05-13T00:00:00"/>
    <s v="THANH THÚY"/>
    <s v="TT04"/>
    <x v="83"/>
    <x v="28"/>
    <s v="LARGO"/>
    <m/>
    <s v="16.18"/>
    <n v="200"/>
    <s v="NL2018"/>
    <m/>
    <n v="50"/>
    <n v="10000"/>
    <x v="30"/>
    <n v="58000000"/>
    <x v="0"/>
    <x v="28"/>
    <d v="2019-06-07T00:00:00"/>
    <d v="2019-06-07T00:00:00"/>
    <m/>
    <m/>
    <m/>
    <m/>
    <d v="2019-06-08T00:00:00"/>
    <n v="10000"/>
    <m/>
    <m/>
    <m/>
    <m/>
    <m/>
    <m/>
    <n v="10000"/>
    <n v="0"/>
    <n v="0"/>
    <m/>
  </r>
  <r>
    <s v="178B/2019"/>
    <d v="2019-04-29T00:00:00"/>
    <s v="THANH THÚY"/>
    <s v="TT04"/>
    <x v="83"/>
    <x v="8"/>
    <s v="CONCADOR"/>
    <m/>
    <s v="18.20"/>
    <n v="150"/>
    <s v="NL2018"/>
    <m/>
    <n v="67"/>
    <n v="10050"/>
    <x v="9"/>
    <n v="80400000"/>
    <x v="2"/>
    <x v="2"/>
    <d v="2019-09-29T00:00:00"/>
    <d v="2019-09-29T00:00:00"/>
    <s v="TẾT"/>
    <m/>
    <m/>
    <m/>
    <m/>
    <m/>
    <m/>
    <m/>
    <m/>
    <m/>
    <m/>
    <m/>
    <n v="0"/>
    <n v="10050"/>
    <n v="80400000"/>
    <m/>
  </r>
  <r>
    <s v="12B/2019"/>
    <d v="2019-01-05T00:00:00"/>
    <s v="THANH THÚY"/>
    <s v="TT04"/>
    <x v="83"/>
    <x v="144"/>
    <s v="CIARA"/>
    <s v="RL"/>
    <s v="12.14"/>
    <n v="400"/>
    <s v="NL2018"/>
    <m/>
    <n v="2"/>
    <n v="800"/>
    <x v="9"/>
    <n v="6400000"/>
    <x v="0"/>
    <x v="22"/>
    <d v="2019-02-27T00:00:00"/>
    <d v="2019-02-27T00:00:00"/>
    <s v="23/1AL"/>
    <m/>
    <m/>
    <m/>
    <d v="2019-02-27T00:00:00"/>
    <n v="800"/>
    <m/>
    <m/>
    <m/>
    <m/>
    <m/>
    <m/>
    <n v="800"/>
    <n v="0"/>
    <n v="0"/>
    <m/>
  </r>
  <r>
    <s v="12B/2019"/>
    <d v="2019-01-05T00:00:00"/>
    <s v="THANH THÚY"/>
    <s v="TT04"/>
    <x v="83"/>
    <x v="145"/>
    <s v="BACARDI"/>
    <m/>
    <s v="15.16"/>
    <n v="275"/>
    <s v="NL2018"/>
    <m/>
    <n v="46"/>
    <n v="12650"/>
    <x v="74"/>
    <n v="55280500"/>
    <x v="0"/>
    <x v="0"/>
    <d v="2019-03-20T00:00:00"/>
    <d v="2019-03-20T00:00:00"/>
    <s v="15/02AL"/>
    <s v="CONT 11/2019"/>
    <m/>
    <m/>
    <d v="2019-03-19T00:00:00"/>
    <n v="12650"/>
    <m/>
    <m/>
    <m/>
    <m/>
    <m/>
    <m/>
    <n v="12650"/>
    <n v="0"/>
    <n v="0"/>
    <m/>
  </r>
  <r>
    <s v="12B/2019"/>
    <d v="2019-01-05T00:00:00"/>
    <s v="THANH THÚY"/>
    <s v="TT04"/>
    <x v="83"/>
    <x v="13"/>
    <s v="BACARDI"/>
    <m/>
    <s v="15.16"/>
    <n v="300"/>
    <s v="NL2018"/>
    <m/>
    <n v="12"/>
    <n v="3600"/>
    <x v="74"/>
    <n v="15732000"/>
    <x v="0"/>
    <x v="0"/>
    <d v="2019-03-20T00:00:00"/>
    <d v="2019-03-20T00:00:00"/>
    <s v="15/02AL"/>
    <s v="CONT 11/2019"/>
    <m/>
    <m/>
    <d v="2019-03-19T00:00:00"/>
    <n v="3600"/>
    <m/>
    <m/>
    <m/>
    <m/>
    <m/>
    <m/>
    <n v="3600"/>
    <n v="0"/>
    <n v="0"/>
    <m/>
  </r>
  <r>
    <s v="12B/2019"/>
    <d v="2019-01-05T00:00:00"/>
    <s v="THANH THÚY"/>
    <s v="TT04"/>
    <x v="83"/>
    <x v="63"/>
    <s v="BACARDI"/>
    <m/>
    <s v="15.16"/>
    <n v="250"/>
    <s v="NL2018"/>
    <m/>
    <n v="0"/>
    <n v="0"/>
    <x v="74"/>
    <n v="0"/>
    <x v="1"/>
    <x v="5"/>
    <d v="2019-04-19T00:00:00"/>
    <d v="2019-04-19T00:00:00"/>
    <m/>
    <s v="CONT 22/2019"/>
    <m/>
    <m/>
    <m/>
    <n v="0"/>
    <m/>
    <m/>
    <m/>
    <m/>
    <m/>
    <m/>
    <n v="0"/>
    <n v="0"/>
    <n v="0"/>
    <m/>
  </r>
  <r>
    <s v="98A/2019"/>
    <d v="2019-03-08T00:00:00"/>
    <s v="KIỀU THY"/>
    <s v="TB08"/>
    <x v="84"/>
    <x v="33"/>
    <s v="TEBALDI"/>
    <m/>
    <s v="14.16"/>
    <n v="300"/>
    <s v="NL2018"/>
    <m/>
    <n v="1"/>
    <n v="300"/>
    <x v="14"/>
    <n v="1350000"/>
    <x v="0"/>
    <x v="5"/>
    <d v="2019-04-19T00:00:00"/>
    <d v="2019-04-19T00:00:00"/>
    <s v="15/3AL"/>
    <s v="CONT 24/2019"/>
    <d v="2019-04-14T00:00:00"/>
    <m/>
    <d v="2019-04-23T00:00:00"/>
    <n v="300"/>
    <m/>
    <m/>
    <m/>
    <m/>
    <m/>
    <m/>
    <n v="300"/>
    <n v="0"/>
    <n v="0"/>
    <m/>
  </r>
  <r>
    <s v="98A/2019"/>
    <d v="2019-03-08T00:00:00"/>
    <s v="KIỀU THY"/>
    <s v="TB08"/>
    <x v="84"/>
    <x v="41"/>
    <s v="PAVIA"/>
    <m/>
    <s v="12.14"/>
    <n v="400"/>
    <s v="NL2018"/>
    <m/>
    <n v="1"/>
    <n v="400"/>
    <x v="49"/>
    <n v="1320000"/>
    <x v="0"/>
    <x v="5"/>
    <d v="2019-04-19T00:00:00"/>
    <d v="2019-04-19T00:00:00"/>
    <s v="15/3AL"/>
    <s v="CONT 20/2019"/>
    <d v="2019-04-14T00:00:00"/>
    <m/>
    <d v="2019-04-23T00:00:00"/>
    <n v="400"/>
    <m/>
    <m/>
    <m/>
    <m/>
    <m/>
    <m/>
    <n v="400"/>
    <n v="0"/>
    <n v="0"/>
    <m/>
  </r>
  <r>
    <s v="95A/2019"/>
    <d v="2019-03-08T00:00:00"/>
    <s v="KIỀU THY"/>
    <s v="CT01"/>
    <x v="85"/>
    <x v="78"/>
    <s v="YELLOWEEN"/>
    <m/>
    <s v="14.16"/>
    <n v="300"/>
    <s v="NL2018"/>
    <m/>
    <n v="0"/>
    <n v="0"/>
    <x v="64"/>
    <n v="0"/>
    <x v="1"/>
    <x v="5"/>
    <d v="2019-04-19T00:00:00"/>
    <d v="2019-04-19T00:00:00"/>
    <s v="15/3AL"/>
    <s v="CONT 27/2019"/>
    <d v="2019-04-14T00:00:00"/>
    <s v="R"/>
    <m/>
    <n v="0"/>
    <m/>
    <m/>
    <m/>
    <m/>
    <m/>
    <m/>
    <n v="0"/>
    <n v="0"/>
    <n v="0"/>
    <m/>
  </r>
  <r>
    <s v="95A/2019"/>
    <d v="2019-03-08T00:00:00"/>
    <s v="KIỀU THY"/>
    <s v="CT01"/>
    <x v="85"/>
    <x v="78"/>
    <s v="YELLOWEEN"/>
    <m/>
    <s v="14.16"/>
    <n v="300"/>
    <s v="NL2018"/>
    <m/>
    <n v="0"/>
    <n v="0"/>
    <x v="64"/>
    <n v="0"/>
    <x v="1"/>
    <x v="1"/>
    <d v="2019-05-21T00:00:00"/>
    <d v="2019-05-21T00:00:00"/>
    <s v="30/3AL"/>
    <m/>
    <m/>
    <s v="R"/>
    <m/>
    <n v="0"/>
    <m/>
    <m/>
    <m/>
    <m/>
    <m/>
    <m/>
    <n v="0"/>
    <n v="0"/>
    <n v="0"/>
    <m/>
  </r>
  <r>
    <s v="95A/2019"/>
    <d v="2019-03-08T00:00:00"/>
    <s v="KIỀU THY"/>
    <s v="CT01"/>
    <x v="85"/>
    <x v="78"/>
    <s v="YELLOWEEN"/>
    <m/>
    <s v="14.16"/>
    <n v="300"/>
    <s v="NL2018"/>
    <m/>
    <n v="0"/>
    <n v="0"/>
    <x v="58"/>
    <n v="0"/>
    <x v="1"/>
    <x v="1"/>
    <d v="2019-05-21T00:00:00"/>
    <d v="2019-05-21T00:00:00"/>
    <s v="15/4AL"/>
    <m/>
    <m/>
    <s v="R"/>
    <m/>
    <n v="0"/>
    <m/>
    <m/>
    <m/>
    <m/>
    <m/>
    <m/>
    <n v="0"/>
    <n v="0"/>
    <n v="0"/>
    <m/>
  </r>
  <r>
    <s v="95A/2019"/>
    <d v="2019-03-08T00:00:00"/>
    <s v="KIỀU THY"/>
    <s v="CT01"/>
    <x v="85"/>
    <x v="78"/>
    <s v="YELLOWEEN"/>
    <m/>
    <s v="14.16"/>
    <n v="300"/>
    <s v="NL2018"/>
    <m/>
    <n v="0"/>
    <n v="0"/>
    <x v="58"/>
    <n v="0"/>
    <x v="1"/>
    <x v="1"/>
    <d v="2019-05-21T00:00:00"/>
    <d v="2019-05-21T00:00:00"/>
    <s v="30/4AL"/>
    <m/>
    <m/>
    <s v="R"/>
    <m/>
    <n v="0"/>
    <m/>
    <m/>
    <m/>
    <m/>
    <m/>
    <m/>
    <n v="0"/>
    <n v="0"/>
    <n v="0"/>
    <m/>
  </r>
  <r>
    <s v="95A/2019"/>
    <d v="2019-03-08T00:00:00"/>
    <s v="KIỀU THY"/>
    <s v="CT01"/>
    <x v="85"/>
    <x v="12"/>
    <s v="PROFUNDO"/>
    <m/>
    <s v="14.16"/>
    <n v="300"/>
    <s v="NL2018"/>
    <m/>
    <n v="0"/>
    <n v="0"/>
    <x v="8"/>
    <n v="0"/>
    <x v="1"/>
    <x v="5"/>
    <d v="2019-04-19T00:00:00"/>
    <d v="2019-04-19T00:00:00"/>
    <s v="15/3AL"/>
    <s v="CONT 23/2019"/>
    <d v="2019-04-14T00:00:00"/>
    <s v="R"/>
    <m/>
    <n v="0"/>
    <m/>
    <m/>
    <m/>
    <m/>
    <m/>
    <m/>
    <n v="0"/>
    <n v="0"/>
    <n v="0"/>
    <m/>
  </r>
  <r>
    <s v="95A/2019"/>
    <d v="2019-03-08T00:00:00"/>
    <s v="KIỀU THY"/>
    <s v="CT01"/>
    <x v="85"/>
    <x v="82"/>
    <s v="PROFUNDO"/>
    <m/>
    <s v="14.16"/>
    <n v="275"/>
    <s v="NL2018"/>
    <m/>
    <n v="0"/>
    <n v="0"/>
    <x v="8"/>
    <n v="0"/>
    <x v="1"/>
    <x v="1"/>
    <d v="2019-05-21T00:00:00"/>
    <d v="2019-05-21T00:00:00"/>
    <s v="30/3AL"/>
    <m/>
    <m/>
    <s v="R"/>
    <m/>
    <n v="0"/>
    <m/>
    <m/>
    <m/>
    <m/>
    <m/>
    <m/>
    <n v="0"/>
    <n v="0"/>
    <n v="0"/>
    <m/>
  </r>
  <r>
    <s v="95A/2019"/>
    <d v="2019-03-08T00:00:00"/>
    <s v="KIỀU THY"/>
    <s v="CT01"/>
    <x v="85"/>
    <x v="12"/>
    <s v="PROFUNDO"/>
    <m/>
    <s v="14.16"/>
    <n v="300"/>
    <s v="NL2018"/>
    <m/>
    <n v="0"/>
    <n v="0"/>
    <x v="110"/>
    <n v="0"/>
    <x v="1"/>
    <x v="1"/>
    <d v="2019-05-21T00:00:00"/>
    <d v="2019-05-21T00:00:00"/>
    <s v="15/4AL"/>
    <m/>
    <m/>
    <s v="R"/>
    <m/>
    <n v="0"/>
    <m/>
    <m/>
    <m/>
    <m/>
    <m/>
    <m/>
    <n v="0"/>
    <n v="0"/>
    <n v="0"/>
    <m/>
  </r>
  <r>
    <s v="95A/2019"/>
    <d v="2019-03-08T00:00:00"/>
    <s v="KIỀU THY"/>
    <s v="CT01"/>
    <x v="85"/>
    <x v="12"/>
    <s v="PROFUNDO"/>
    <m/>
    <s v="14.16"/>
    <n v="300"/>
    <s v="NL2018"/>
    <m/>
    <n v="0"/>
    <n v="0"/>
    <x v="110"/>
    <n v="0"/>
    <x v="1"/>
    <x v="1"/>
    <d v="2019-05-21T00:00:00"/>
    <d v="2019-05-21T00:00:00"/>
    <s v="30/4AL"/>
    <m/>
    <m/>
    <s v="R"/>
    <m/>
    <n v="0"/>
    <m/>
    <m/>
    <m/>
    <m/>
    <m/>
    <m/>
    <n v="0"/>
    <n v="0"/>
    <n v="0"/>
    <m/>
  </r>
  <r>
    <s v="95A/2019"/>
    <d v="2019-03-08T00:00:00"/>
    <s v="KIỀU THY"/>
    <s v="CT01"/>
    <x v="85"/>
    <x v="9"/>
    <s v="ARVANDRUD"/>
    <m/>
    <s v="16.18"/>
    <n v="200"/>
    <s v="NL2018"/>
    <m/>
    <n v="0"/>
    <n v="0"/>
    <x v="10"/>
    <n v="0"/>
    <x v="1"/>
    <x v="5"/>
    <d v="2019-04-19T00:00:00"/>
    <d v="2019-04-19T00:00:00"/>
    <s v="15/3AL"/>
    <s v="CONT 21/2019"/>
    <d v="2019-04-14T00:00:00"/>
    <s v="R"/>
    <m/>
    <n v="0"/>
    <m/>
    <m/>
    <m/>
    <m/>
    <m/>
    <m/>
    <n v="0"/>
    <n v="0"/>
    <n v="0"/>
    <m/>
  </r>
  <r>
    <s v="95A/2019"/>
    <d v="2019-03-08T00:00:00"/>
    <s v="KIỀU THY"/>
    <s v="CT01"/>
    <x v="85"/>
    <x v="9"/>
    <s v="ARVANDRUD"/>
    <m/>
    <s v="16.18"/>
    <n v="200"/>
    <s v="NL2018"/>
    <m/>
    <n v="0"/>
    <n v="0"/>
    <x v="10"/>
    <n v="0"/>
    <x v="1"/>
    <x v="1"/>
    <d v="2019-05-21T00:00:00"/>
    <d v="2019-05-21T00:00:00"/>
    <s v="30/3AL"/>
    <m/>
    <m/>
    <s v="R"/>
    <m/>
    <n v="0"/>
    <m/>
    <m/>
    <m/>
    <m/>
    <m/>
    <m/>
    <n v="0"/>
    <n v="0"/>
    <n v="0"/>
    <m/>
  </r>
  <r>
    <s v="95A/2019"/>
    <d v="2019-03-08T00:00:00"/>
    <s v="KIỀU THY"/>
    <s v="CT01"/>
    <x v="85"/>
    <x v="9"/>
    <s v="ARVANDRUD"/>
    <m/>
    <s v="16.18"/>
    <n v="200"/>
    <s v="NL2018"/>
    <m/>
    <n v="0"/>
    <n v="0"/>
    <x v="10"/>
    <n v="0"/>
    <x v="1"/>
    <x v="1"/>
    <d v="2019-05-21T00:00:00"/>
    <d v="2019-05-21T00:00:00"/>
    <s v="15/4AL"/>
    <m/>
    <m/>
    <s v="R"/>
    <m/>
    <n v="0"/>
    <m/>
    <m/>
    <m/>
    <m/>
    <m/>
    <m/>
    <n v="0"/>
    <n v="0"/>
    <n v="0"/>
    <m/>
  </r>
  <r>
    <s v="95A/2019"/>
    <d v="2019-03-08T00:00:00"/>
    <s v="KIỀU THY"/>
    <s v="CT01"/>
    <x v="85"/>
    <x v="9"/>
    <s v="ARVANDRUD"/>
    <m/>
    <s v="16.18"/>
    <n v="200"/>
    <s v="NL2018"/>
    <m/>
    <n v="0"/>
    <n v="0"/>
    <x v="10"/>
    <n v="0"/>
    <x v="1"/>
    <x v="1"/>
    <d v="2019-05-21T00:00:00"/>
    <d v="2019-05-21T00:00:00"/>
    <s v="29/4AL"/>
    <m/>
    <m/>
    <s v="R"/>
    <m/>
    <n v="0"/>
    <m/>
    <m/>
    <m/>
    <m/>
    <m/>
    <m/>
    <n v="0"/>
    <n v="0"/>
    <n v="0"/>
    <m/>
  </r>
  <r>
    <s v="63A/2019"/>
    <d v="2019-02-21T00:00:00"/>
    <s v="KIỀU THY"/>
    <s v="TH07"/>
    <x v="86"/>
    <x v="41"/>
    <s v="PAVIA"/>
    <m/>
    <s v="12.14"/>
    <n v="400"/>
    <s v="NL2018"/>
    <m/>
    <n v="13"/>
    <n v="5200"/>
    <x v="37"/>
    <n v="14560000"/>
    <x v="0"/>
    <x v="6"/>
    <d v="2019-02-19T00:00:00"/>
    <d v="2019-02-19T00:00:00"/>
    <s v="15/1AL"/>
    <m/>
    <m/>
    <s v="R"/>
    <d v="2019-03-12T00:00:00"/>
    <n v="5200"/>
    <m/>
    <m/>
    <m/>
    <m/>
    <m/>
    <m/>
    <n v="5200"/>
    <n v="0"/>
    <n v="0"/>
    <m/>
  </r>
  <r>
    <s v="63A/2019"/>
    <d v="2019-02-21T00:00:00"/>
    <s v="KIỀU THY"/>
    <s v="TH07"/>
    <x v="86"/>
    <x v="44"/>
    <s v="NELLO "/>
    <m/>
    <s v="12.14"/>
    <n v="400"/>
    <s v="NL2018"/>
    <m/>
    <n v="13"/>
    <n v="5200"/>
    <x v="26"/>
    <n v="15600000"/>
    <x v="0"/>
    <x v="6"/>
    <d v="2019-02-19T00:00:00"/>
    <d v="2019-02-19T00:00:00"/>
    <s v="15/1AL"/>
    <m/>
    <m/>
    <s v="R"/>
    <d v="2019-03-12T00:00:00"/>
    <n v="5200"/>
    <m/>
    <m/>
    <m/>
    <m/>
    <m/>
    <m/>
    <n v="5200"/>
    <n v="0"/>
    <n v="0"/>
    <m/>
  </r>
  <r>
    <s v="219A/2019"/>
    <d v="2019-05-19T00:00:00"/>
    <s v="KIỀU THY"/>
    <s v="TH17"/>
    <x v="87"/>
    <x v="78"/>
    <s v="YELLOWEEN"/>
    <m/>
    <s v="14.16"/>
    <s v="300"/>
    <s v="NL2018"/>
    <m/>
    <n v="0"/>
    <n v="0"/>
    <x v="58"/>
    <n v="0"/>
    <x v="1"/>
    <x v="18"/>
    <d v="2019-07-02T00:00:00"/>
    <d v="2019-07-02T00:00:00"/>
    <m/>
    <m/>
    <m/>
    <m/>
    <m/>
    <m/>
    <m/>
    <m/>
    <m/>
    <m/>
    <m/>
    <m/>
    <n v="0"/>
    <n v="0"/>
    <n v="0"/>
    <m/>
  </r>
  <r>
    <s v="219A/2019"/>
    <d v="2019-05-19T00:00:00"/>
    <s v="KIỀU THY"/>
    <s v="TH17"/>
    <x v="87"/>
    <x v="33"/>
    <s v="TEBALDI"/>
    <m/>
    <s v="14.16"/>
    <s v="300"/>
    <s v="NL2018"/>
    <m/>
    <n v="0"/>
    <n v="0"/>
    <x v="41"/>
    <n v="0"/>
    <x v="1"/>
    <x v="28"/>
    <d v="2019-06-07T00:00:00"/>
    <d v="2019-06-07T00:00:00"/>
    <m/>
    <m/>
    <m/>
    <m/>
    <m/>
    <m/>
    <m/>
    <m/>
    <m/>
    <m/>
    <m/>
    <m/>
    <n v="0"/>
    <n v="0"/>
    <n v="0"/>
    <m/>
  </r>
  <r>
    <s v="219A/2019"/>
    <d v="2019-06-05T00:00:00"/>
    <s v="KIỀU THY"/>
    <s v="TH17"/>
    <x v="87"/>
    <x v="33"/>
    <s v="TEBALDI"/>
    <m/>
    <s v="14.16"/>
    <s v="300"/>
    <s v="NL2018"/>
    <m/>
    <n v="0"/>
    <n v="0"/>
    <x v="41"/>
    <n v="0"/>
    <x v="1"/>
    <x v="28"/>
    <d v="2019-06-07T00:00:00"/>
    <d v="2019-06-07T00:00:00"/>
    <m/>
    <m/>
    <m/>
    <m/>
    <m/>
    <m/>
    <m/>
    <m/>
    <m/>
    <m/>
    <m/>
    <m/>
    <n v="0"/>
    <n v="0"/>
    <n v="0"/>
    <m/>
  </r>
  <r>
    <s v="219A/2019"/>
    <d v="2019-06-14T00:00:00"/>
    <s v="KIỀU THY"/>
    <s v="TH17"/>
    <x v="87"/>
    <x v="87"/>
    <s v="SERANO"/>
    <m/>
    <s v="16.18"/>
    <s v="200"/>
    <s v="NL2018"/>
    <m/>
    <n v="20"/>
    <n v="4000"/>
    <x v="33"/>
    <n v="21200000"/>
    <x v="4"/>
    <x v="4"/>
    <d v="2019-07-17T00:00:00"/>
    <d v="2019-07-17T00:00:00"/>
    <m/>
    <m/>
    <m/>
    <m/>
    <m/>
    <m/>
    <m/>
    <m/>
    <m/>
    <m/>
    <m/>
    <m/>
    <n v="0"/>
    <n v="4000"/>
    <n v="21200000"/>
    <m/>
  </r>
  <r>
    <s v="219A/2019"/>
    <d v="2019-06-14T00:00:00"/>
    <s v="KIỀU THY"/>
    <s v="TH17"/>
    <x v="87"/>
    <x v="87"/>
    <s v="SERANO"/>
    <m/>
    <s v="16.18"/>
    <s v="200"/>
    <s v="NL2018"/>
    <m/>
    <n v="20"/>
    <n v="4000"/>
    <x v="33"/>
    <n v="21200000"/>
    <x v="2"/>
    <x v="20"/>
    <d v="2019-07-27T00:00:00"/>
    <d v="2019-07-27T00:00:00"/>
    <m/>
    <m/>
    <m/>
    <m/>
    <m/>
    <m/>
    <m/>
    <m/>
    <m/>
    <m/>
    <m/>
    <m/>
    <n v="0"/>
    <n v="4000"/>
    <n v="21200000"/>
    <m/>
  </r>
  <r>
    <s v="219A/2019"/>
    <d v="2019-05-25T00:00:00"/>
    <s v="KIỀU THY"/>
    <s v="TH17"/>
    <x v="87"/>
    <x v="3"/>
    <s v="ROBINA"/>
    <m/>
    <s v="16.18"/>
    <s v="200"/>
    <s v="NL2018"/>
    <m/>
    <n v="25"/>
    <n v="5000"/>
    <x v="30"/>
    <n v="29000000"/>
    <x v="2"/>
    <x v="54"/>
    <d v="2019-08-25T00:00:00"/>
    <d v="2019-08-25T00:00:00"/>
    <m/>
    <m/>
    <m/>
    <m/>
    <m/>
    <m/>
    <m/>
    <m/>
    <m/>
    <m/>
    <m/>
    <m/>
    <n v="0"/>
    <n v="5000"/>
    <n v="29000000"/>
    <m/>
  </r>
  <r>
    <s v="219A/2019"/>
    <d v="2019-05-19T00:00:00"/>
    <s v="KIỀU THY"/>
    <s v="TH17"/>
    <x v="87"/>
    <x v="11"/>
    <s v="PROFUNDO"/>
    <m/>
    <s v="16.18"/>
    <s v="200"/>
    <s v="NL2018"/>
    <m/>
    <n v="15"/>
    <n v="3000"/>
    <x v="168"/>
    <n v="23400000"/>
    <x v="0"/>
    <x v="1"/>
    <d v="2019-05-21T00:00:00"/>
    <d v="2019-05-21T00:00:00"/>
    <m/>
    <m/>
    <m/>
    <m/>
    <d v="2019-06-13T00:00:00"/>
    <n v="3000"/>
    <m/>
    <m/>
    <m/>
    <m/>
    <m/>
    <m/>
    <n v="3000"/>
    <n v="0"/>
    <n v="0"/>
    <m/>
  </r>
  <r>
    <s v="219A/2019"/>
    <d v="2019-05-19T00:00:00"/>
    <s v="KIỀU THY"/>
    <s v="TH17"/>
    <x v="87"/>
    <x v="11"/>
    <s v="PROFUNDO"/>
    <m/>
    <s v="16.18"/>
    <s v="200"/>
    <s v="NL2018"/>
    <m/>
    <n v="20"/>
    <n v="4000"/>
    <x v="168"/>
    <n v="31200000"/>
    <x v="0"/>
    <x v="1"/>
    <d v="2019-05-21T00:00:00"/>
    <d v="2019-05-21T00:00:00"/>
    <m/>
    <m/>
    <m/>
    <m/>
    <d v="2019-06-13T00:00:00"/>
    <n v="4000"/>
    <m/>
    <m/>
    <m/>
    <m/>
    <m/>
    <m/>
    <n v="4000"/>
    <n v="0"/>
    <n v="0"/>
    <m/>
  </r>
  <r>
    <s v="219A/2019"/>
    <d v="2019-05-19T00:00:00"/>
    <s v="KIỀU THY"/>
    <s v="TH17"/>
    <x v="87"/>
    <x v="12"/>
    <s v="PROFUNDO"/>
    <m/>
    <s v="14.16"/>
    <s v="300"/>
    <s v="NL2018"/>
    <m/>
    <n v="11"/>
    <n v="3300"/>
    <x v="110"/>
    <n v="16830000"/>
    <x v="0"/>
    <x v="28"/>
    <d v="2019-06-07T00:00:00"/>
    <d v="2019-06-07T00:00:00"/>
    <m/>
    <m/>
    <m/>
    <m/>
    <d v="2019-06-13T00:00:00"/>
    <n v="3300"/>
    <m/>
    <m/>
    <m/>
    <m/>
    <m/>
    <m/>
    <n v="3300"/>
    <n v="0"/>
    <n v="0"/>
    <m/>
  </r>
  <r>
    <s v="219A/2019"/>
    <d v="2019-06-14T00:00:00"/>
    <s v="KIỀU THY"/>
    <s v="TH17"/>
    <x v="87"/>
    <x v="12"/>
    <s v="PROFUNDO"/>
    <m/>
    <s v="14.16"/>
    <s v="300"/>
    <s v="NL2018"/>
    <m/>
    <n v="20"/>
    <n v="6000"/>
    <x v="73"/>
    <n v="31200000"/>
    <x v="4"/>
    <x v="4"/>
    <d v="2019-07-17T00:00:00"/>
    <d v="2019-07-17T00:00:00"/>
    <m/>
    <m/>
    <m/>
    <m/>
    <m/>
    <m/>
    <m/>
    <m/>
    <m/>
    <m/>
    <m/>
    <m/>
    <n v="0"/>
    <n v="6000"/>
    <n v="31200000"/>
    <m/>
  </r>
  <r>
    <s v="219A/2019"/>
    <d v="2019-06-14T00:00:00"/>
    <s v="KIỀU THY"/>
    <s v="TH17"/>
    <x v="87"/>
    <x v="11"/>
    <s v="PROFUNDO"/>
    <m/>
    <s v="16.18"/>
    <s v="200"/>
    <s v="NL2018"/>
    <m/>
    <n v="100"/>
    <n v="20000"/>
    <x v="168"/>
    <n v="156000000"/>
    <x v="4"/>
    <x v="4"/>
    <d v="2019-07-17T00:00:00"/>
    <d v="2019-07-17T00:00:00"/>
    <m/>
    <m/>
    <m/>
    <m/>
    <m/>
    <m/>
    <m/>
    <m/>
    <m/>
    <m/>
    <m/>
    <m/>
    <n v="0"/>
    <n v="20000"/>
    <n v="156000000"/>
    <m/>
  </r>
  <r>
    <s v="219A/2019"/>
    <d v="2019-06-14T00:00:00"/>
    <s v="KIỀU THY"/>
    <s v="TH17"/>
    <x v="87"/>
    <x v="11"/>
    <s v="PROFUNDO"/>
    <m/>
    <s v="16.18"/>
    <s v="200"/>
    <s v="NL2018"/>
    <m/>
    <n v="25"/>
    <n v="5000"/>
    <x v="168"/>
    <n v="39000000"/>
    <x v="0"/>
    <x v="19"/>
    <d v="2019-07-03T00:00:00"/>
    <d v="2019-07-03T00:00:00"/>
    <s v="Hà Nội chuyển vô"/>
    <m/>
    <m/>
    <m/>
    <d v="2019-06-24T00:00:00"/>
    <n v="5000"/>
    <m/>
    <m/>
    <m/>
    <m/>
    <m/>
    <m/>
    <n v="5000"/>
    <n v="0"/>
    <n v="0"/>
    <m/>
  </r>
  <r>
    <s v="219A/2019"/>
    <d v="2019-06-14T00:00:00"/>
    <s v="KIỀU THY"/>
    <s v="TH17"/>
    <x v="87"/>
    <x v="11"/>
    <s v="PROFUNDO"/>
    <m/>
    <s v="16.18"/>
    <s v="200"/>
    <s v="NL2018"/>
    <m/>
    <n v="55"/>
    <n v="11000"/>
    <x v="168"/>
    <n v="85800000"/>
    <x v="2"/>
    <x v="20"/>
    <d v="2019-07-27T00:00:00"/>
    <d v="2019-07-27T00:00:00"/>
    <m/>
    <m/>
    <m/>
    <m/>
    <m/>
    <m/>
    <m/>
    <m/>
    <m/>
    <m/>
    <m/>
    <m/>
    <n v="0"/>
    <n v="11000"/>
    <n v="85800000"/>
    <m/>
  </r>
  <r>
    <s v="219A/2019"/>
    <d v="2019-06-14T00:00:00"/>
    <s v="KIỀU THY"/>
    <s v="TH17"/>
    <x v="87"/>
    <x v="12"/>
    <s v="PROFUNDO"/>
    <m/>
    <s v="14.16"/>
    <s v="300"/>
    <s v="NL2018"/>
    <m/>
    <n v="34"/>
    <n v="10200"/>
    <x v="73"/>
    <n v="53040000"/>
    <x v="2"/>
    <x v="20"/>
    <d v="2019-07-27T00:00:00"/>
    <d v="2019-07-27T00:00:00"/>
    <m/>
    <m/>
    <m/>
    <m/>
    <m/>
    <m/>
    <m/>
    <m/>
    <m/>
    <m/>
    <m/>
    <m/>
    <n v="0"/>
    <n v="10200"/>
    <n v="53040000"/>
    <m/>
  </r>
  <r>
    <s v="219A/2019"/>
    <d v="2019-05-25T00:00:00"/>
    <s v="KIỀU THY"/>
    <s v="TH17"/>
    <x v="87"/>
    <x v="11"/>
    <s v="PROFUNDO"/>
    <m/>
    <s v="16.18"/>
    <s v="200"/>
    <s v="NL2018"/>
    <m/>
    <n v="100"/>
    <n v="20000"/>
    <x v="7"/>
    <n v="162000000"/>
    <x v="2"/>
    <x v="54"/>
    <d v="2019-08-25T00:00:00"/>
    <d v="2019-08-25T00:00:00"/>
    <m/>
    <m/>
    <m/>
    <m/>
    <m/>
    <m/>
    <m/>
    <m/>
    <m/>
    <m/>
    <m/>
    <m/>
    <n v="0"/>
    <n v="20000"/>
    <n v="162000000"/>
    <m/>
  </r>
  <r>
    <s v="222A/2019"/>
    <d v="2019-05-25T00:00:00"/>
    <s v="KIỀU THY"/>
    <s v="TH17"/>
    <x v="87"/>
    <x v="89"/>
    <s v="PROFUNDO"/>
    <m/>
    <s v="18.20"/>
    <s v="150"/>
    <s v="NL2018"/>
    <m/>
    <n v="153"/>
    <n v="22950"/>
    <x v="62"/>
    <n v="250155000"/>
    <x v="2"/>
    <x v="2"/>
    <d v="2019-09-29T00:00:00"/>
    <d v="2019-09-29T00:00:00"/>
    <m/>
    <m/>
    <m/>
    <m/>
    <m/>
    <m/>
    <m/>
    <m/>
    <m/>
    <m/>
    <m/>
    <m/>
    <n v="0"/>
    <n v="22950"/>
    <n v="250155000"/>
    <m/>
  </r>
  <r>
    <s v="222A/2019"/>
    <d v="2019-06-10T00:00:00"/>
    <s v="KIỀU THY"/>
    <s v="TH17"/>
    <x v="87"/>
    <x v="89"/>
    <s v="PROFUNDO"/>
    <m/>
    <s v="18.20"/>
    <s v="150"/>
    <s v="NL2018"/>
    <m/>
    <n v="47"/>
    <n v="7050"/>
    <x v="62"/>
    <n v="76845000"/>
    <x v="2"/>
    <x v="2"/>
    <d v="2019-09-29T00:00:00"/>
    <d v="2019-09-29T00:00:00"/>
    <m/>
    <m/>
    <m/>
    <m/>
    <m/>
    <m/>
    <m/>
    <m/>
    <m/>
    <m/>
    <m/>
    <m/>
    <n v="0"/>
    <n v="7050"/>
    <n v="76845000"/>
    <m/>
  </r>
  <r>
    <s v="219A/2019"/>
    <d v="2019-05-19T00:00:00"/>
    <s v="KIỀU THY"/>
    <s v="TH17"/>
    <x v="87"/>
    <x v="42"/>
    <s v="PAVIA"/>
    <m/>
    <s v="14.16"/>
    <s v="300"/>
    <s v="NL2018"/>
    <m/>
    <n v="0"/>
    <n v="0"/>
    <x v="50"/>
    <n v="0"/>
    <x v="1"/>
    <x v="28"/>
    <d v="2019-06-07T00:00:00"/>
    <d v="2019-06-07T00:00:00"/>
    <m/>
    <m/>
    <m/>
    <m/>
    <m/>
    <m/>
    <m/>
    <m/>
    <m/>
    <m/>
    <m/>
    <m/>
    <n v="0"/>
    <n v="0"/>
    <n v="0"/>
    <m/>
  </r>
  <r>
    <s v="219A/2019"/>
    <d v="2019-05-19T00:00:00"/>
    <s v="KIỀU THY"/>
    <s v="TH17"/>
    <x v="87"/>
    <x v="42"/>
    <s v="PAVIA"/>
    <m/>
    <s v="14.16"/>
    <s v="300"/>
    <s v="NL2018"/>
    <m/>
    <n v="0"/>
    <n v="0"/>
    <x v="50"/>
    <n v="0"/>
    <x v="0"/>
    <x v="72"/>
    <d v="2019-06-11T00:00:00"/>
    <d v="2019-06-11T00:00:00"/>
    <m/>
    <m/>
    <m/>
    <m/>
    <m/>
    <m/>
    <m/>
    <m/>
    <m/>
    <m/>
    <m/>
    <m/>
    <n v="0"/>
    <n v="0"/>
    <n v="0"/>
    <m/>
  </r>
  <r>
    <s v="219A/2019"/>
    <d v="2019-05-19T00:00:00"/>
    <s v="KIỀU THY"/>
    <s v="TH17"/>
    <x v="87"/>
    <x v="79"/>
    <s v="MANISSA"/>
    <m/>
    <s v="16.18"/>
    <s v="200"/>
    <s v="NL2018"/>
    <m/>
    <n v="10"/>
    <n v="2000"/>
    <x v="66"/>
    <n v="14000000"/>
    <x v="0"/>
    <x v="72"/>
    <d v="2019-06-11T00:00:00"/>
    <d v="2019-06-11T00:00:00"/>
    <m/>
    <m/>
    <m/>
    <m/>
    <d v="2019-06-13T00:00:00"/>
    <n v="2000"/>
    <m/>
    <m/>
    <m/>
    <m/>
    <m/>
    <m/>
    <n v="2000"/>
    <n v="0"/>
    <n v="0"/>
    <m/>
  </r>
  <r>
    <s v="222A/2019"/>
    <d v="2019-06-10T00:00:00"/>
    <s v="KIỀU THY"/>
    <s v="TH17"/>
    <x v="87"/>
    <x v="65"/>
    <s v="MANISSA"/>
    <m/>
    <s v="20.22"/>
    <s v="125"/>
    <s v="NL2018"/>
    <m/>
    <n v="24"/>
    <n v="3000"/>
    <x v="169"/>
    <n v="40800000"/>
    <x v="2"/>
    <x v="2"/>
    <d v="2019-09-29T00:00:00"/>
    <d v="2019-09-29T00:00:00"/>
    <m/>
    <m/>
    <m/>
    <m/>
    <m/>
    <m/>
    <m/>
    <m/>
    <m/>
    <m/>
    <m/>
    <m/>
    <n v="0"/>
    <n v="3000"/>
    <n v="40800000"/>
    <m/>
  </r>
  <r>
    <s v="222A/2019"/>
    <d v="2019-06-10T00:00:00"/>
    <s v="KIỀU THY"/>
    <s v="TH17"/>
    <x v="87"/>
    <x v="65"/>
    <s v="MANISSA"/>
    <m/>
    <s v="20.22"/>
    <s v="125"/>
    <s v="NL2018"/>
    <m/>
    <n v="24"/>
    <n v="3000"/>
    <x v="169"/>
    <n v="40800000"/>
    <x v="2"/>
    <x v="2"/>
    <d v="2019-09-29T00:00:00"/>
    <d v="2019-09-29T00:00:00"/>
    <m/>
    <m/>
    <m/>
    <m/>
    <m/>
    <m/>
    <m/>
    <m/>
    <m/>
    <m/>
    <m/>
    <m/>
    <n v="0"/>
    <n v="3000"/>
    <n v="40800000"/>
    <m/>
  </r>
  <r>
    <s v="219A/2019"/>
    <d v="2019-05-19T00:00:00"/>
    <s v="KIỀU THY"/>
    <s v="TH17"/>
    <x v="87"/>
    <x v="27"/>
    <s v="MALDANO"/>
    <m/>
    <s v="16.18"/>
    <s v="200"/>
    <s v="NL2018"/>
    <m/>
    <n v="20"/>
    <n v="4000"/>
    <x v="6"/>
    <n v="21600000"/>
    <x v="0"/>
    <x v="41"/>
    <d v="2019-06-14T00:00:00"/>
    <d v="2019-06-14T00:00:00"/>
    <m/>
    <m/>
    <m/>
    <m/>
    <d v="2019-06-24T00:00:00"/>
    <n v="4000"/>
    <m/>
    <m/>
    <m/>
    <m/>
    <m/>
    <m/>
    <n v="4000"/>
    <n v="0"/>
    <n v="0"/>
    <m/>
  </r>
  <r>
    <s v="219A/2019"/>
    <d v="2019-05-19T00:00:00"/>
    <s v="KIỀU THY"/>
    <s v="TH17"/>
    <x v="87"/>
    <x v="27"/>
    <s v="MALDANO"/>
    <m/>
    <s v="16.18"/>
    <s v="200"/>
    <s v="NL2018"/>
    <m/>
    <n v="30"/>
    <n v="6000"/>
    <x v="6"/>
    <n v="32400000"/>
    <x v="0"/>
    <x v="41"/>
    <d v="2019-06-14T00:00:00"/>
    <d v="2019-06-14T00:00:00"/>
    <m/>
    <m/>
    <m/>
    <m/>
    <d v="2019-06-24T00:00:00"/>
    <n v="6000"/>
    <m/>
    <m/>
    <m/>
    <m/>
    <m/>
    <m/>
    <n v="6000"/>
    <n v="0"/>
    <n v="0"/>
    <m/>
  </r>
  <r>
    <s v="219A/2019"/>
    <d v="2019-06-10T00:00:00"/>
    <s v="KIỀU THY"/>
    <s v="TH17"/>
    <x v="87"/>
    <x v="73"/>
    <s v="MALDANO"/>
    <m/>
    <s v="14.16"/>
    <s v="300"/>
    <s v="NL2018"/>
    <m/>
    <n v="9"/>
    <n v="2700"/>
    <x v="45"/>
    <n v="10800000"/>
    <x v="0"/>
    <x v="72"/>
    <d v="2019-06-11T00:00:00"/>
    <d v="2019-06-11T00:00:00"/>
    <m/>
    <m/>
    <m/>
    <m/>
    <d v="2019-06-13T00:00:00"/>
    <n v="2700"/>
    <m/>
    <m/>
    <m/>
    <m/>
    <m/>
    <m/>
    <n v="2700"/>
    <n v="0"/>
    <n v="0"/>
    <m/>
  </r>
  <r>
    <s v="219A/2019"/>
    <d v="2019-06-14T00:00:00"/>
    <s v="KIỀU THY"/>
    <s v="TH17"/>
    <x v="87"/>
    <x v="27"/>
    <s v="MALDANO"/>
    <m/>
    <s v="16.18"/>
    <s v="200"/>
    <s v="NL2018"/>
    <m/>
    <n v="25"/>
    <n v="5000"/>
    <x v="10"/>
    <n v="27500000"/>
    <x v="2"/>
    <x v="20"/>
    <d v="2019-07-27T00:00:00"/>
    <d v="2019-07-27T00:00:00"/>
    <m/>
    <m/>
    <m/>
    <m/>
    <m/>
    <m/>
    <m/>
    <m/>
    <m/>
    <m/>
    <m/>
    <m/>
    <n v="0"/>
    <n v="5000"/>
    <n v="27500000"/>
    <m/>
  </r>
  <r>
    <s v="219A/2019"/>
    <d v="2019-06-10T00:00:00"/>
    <s v="KIỀU THY"/>
    <s v="TH17"/>
    <x v="87"/>
    <x v="24"/>
    <s v="DALIAN"/>
    <m/>
    <s v="14.16"/>
    <s v="300"/>
    <s v="NL2018"/>
    <m/>
    <n v="0"/>
    <n v="0"/>
    <x v="10"/>
    <n v="0"/>
    <x v="1"/>
    <x v="72"/>
    <d v="2019-06-11T00:00:00"/>
    <d v="2019-06-11T00:00:00"/>
    <m/>
    <m/>
    <m/>
    <m/>
    <m/>
    <m/>
    <m/>
    <m/>
    <m/>
    <m/>
    <m/>
    <m/>
    <n v="0"/>
    <n v="0"/>
    <n v="0"/>
    <m/>
  </r>
  <r>
    <s v="219A/2019"/>
    <d v="2019-05-20T00:00:00"/>
    <s v="KIỀU THY"/>
    <s v="TH17"/>
    <x v="87"/>
    <x v="24"/>
    <s v="DALIAN"/>
    <m/>
    <s v="14.16"/>
    <s v="300"/>
    <s v="NL2018"/>
    <m/>
    <n v="0"/>
    <n v="0"/>
    <x v="10"/>
    <n v="0"/>
    <x v="1"/>
    <x v="4"/>
    <d v="2019-07-17T00:00:00"/>
    <d v="2019-07-17T00:00:00"/>
    <m/>
    <m/>
    <m/>
    <m/>
    <m/>
    <m/>
    <m/>
    <m/>
    <m/>
    <m/>
    <m/>
    <m/>
    <n v="0"/>
    <n v="0"/>
    <n v="0"/>
    <m/>
  </r>
  <r>
    <s v="219A/2019"/>
    <d v="2019-05-20T00:00:00"/>
    <s v="KIỀU THY"/>
    <s v="TH17"/>
    <x v="87"/>
    <x v="24"/>
    <s v="DALIAN"/>
    <m/>
    <s v="14.16"/>
    <s v="300"/>
    <s v="NL2018"/>
    <m/>
    <n v="0"/>
    <n v="0"/>
    <x v="55"/>
    <n v="0"/>
    <x v="1"/>
    <x v="20"/>
    <d v="2019-07-27T00:00:00"/>
    <d v="2019-07-27T00:00:00"/>
    <m/>
    <m/>
    <m/>
    <m/>
    <m/>
    <m/>
    <m/>
    <m/>
    <m/>
    <m/>
    <m/>
    <m/>
    <n v="0"/>
    <n v="0"/>
    <n v="0"/>
    <m/>
  </r>
  <r>
    <s v="219A/2019"/>
    <d v="2019-05-25T00:00:00"/>
    <s v="KIỀU THY"/>
    <s v="TH17"/>
    <x v="87"/>
    <x v="24"/>
    <s v="DALIAN"/>
    <m/>
    <s v="14.16"/>
    <s v="300"/>
    <s v="NL2018"/>
    <m/>
    <n v="23"/>
    <n v="6900"/>
    <x v="85"/>
    <n v="39330000"/>
    <x v="2"/>
    <x v="54"/>
    <d v="2019-08-25T00:00:00"/>
    <d v="2019-08-25T00:00:00"/>
    <m/>
    <m/>
    <m/>
    <m/>
    <m/>
    <m/>
    <m/>
    <m/>
    <m/>
    <m/>
    <m/>
    <m/>
    <n v="0"/>
    <n v="6900"/>
    <n v="39330000"/>
    <m/>
  </r>
  <r>
    <s v="219A/2019"/>
    <d v="2019-06-19T00:00:00"/>
    <s v="KIỀU THY"/>
    <s v="TH17"/>
    <x v="87"/>
    <x v="6"/>
    <s v="CONCADOR"/>
    <m/>
    <s v="16.18"/>
    <s v="200"/>
    <s v="NL2018"/>
    <m/>
    <n v="15"/>
    <n v="3000"/>
    <x v="97"/>
    <n v="19500000"/>
    <x v="0"/>
    <x v="3"/>
    <d v="2019-06-20T00:00:00"/>
    <d v="2019-06-20T00:00:00"/>
    <m/>
    <m/>
    <m/>
    <m/>
    <d v="2019-06-24T00:00:00"/>
    <n v="3000"/>
    <m/>
    <m/>
    <m/>
    <m/>
    <m/>
    <m/>
    <n v="3000"/>
    <n v="0"/>
    <n v="0"/>
    <m/>
  </r>
  <r>
    <s v="222A/2019"/>
    <d v="2019-05-25T00:00:00"/>
    <s v="KIỀU THY"/>
    <s v="TH17"/>
    <x v="87"/>
    <x v="7"/>
    <s v="CONCADOR"/>
    <m/>
    <s v="20.22"/>
    <s v="125"/>
    <s v="NL2018"/>
    <m/>
    <n v="16"/>
    <n v="2000"/>
    <x v="35"/>
    <n v="21200000"/>
    <x v="2"/>
    <x v="2"/>
    <d v="2019-09-29T00:00:00"/>
    <d v="2019-09-29T00:00:00"/>
    <m/>
    <m/>
    <m/>
    <m/>
    <m/>
    <m/>
    <m/>
    <m/>
    <m/>
    <m/>
    <m/>
    <m/>
    <n v="0"/>
    <n v="2000"/>
    <n v="21200000"/>
    <m/>
  </r>
  <r>
    <s v="222A/2019"/>
    <d v="2019-06-10T00:00:00"/>
    <s v="KIỀU THY"/>
    <s v="TH17"/>
    <x v="87"/>
    <x v="7"/>
    <s v="CONCADOR"/>
    <m/>
    <s v="20.22"/>
    <s v="125"/>
    <s v="NL2018"/>
    <m/>
    <n v="16"/>
    <n v="2000"/>
    <x v="35"/>
    <n v="21200000"/>
    <x v="2"/>
    <x v="2"/>
    <d v="2019-09-29T00:00:00"/>
    <d v="2019-09-29T00:00:00"/>
    <m/>
    <m/>
    <m/>
    <m/>
    <m/>
    <m/>
    <m/>
    <m/>
    <m/>
    <m/>
    <m/>
    <m/>
    <n v="0"/>
    <n v="2000"/>
    <n v="21200000"/>
    <m/>
  </r>
  <r>
    <s v="106B/2019"/>
    <d v="2019-03-11T00:00:00"/>
    <s v="THANH THÚY"/>
    <s v="KA01"/>
    <x v="88"/>
    <x v="78"/>
    <s v="YELLOWEEN"/>
    <m/>
    <n v="14.16"/>
    <n v="300"/>
    <s v="NL2018"/>
    <m/>
    <n v="0"/>
    <n v="0"/>
    <x v="64"/>
    <n v="0"/>
    <x v="1"/>
    <x v="5"/>
    <d v="2019-04-19T00:00:00"/>
    <d v="2019-04-19T00:00:00"/>
    <s v="15/3AL"/>
    <s v="CONT 20/2019"/>
    <m/>
    <m/>
    <m/>
    <n v="0"/>
    <m/>
    <m/>
    <m/>
    <m/>
    <m/>
    <m/>
    <n v="0"/>
    <n v="0"/>
    <n v="0"/>
    <m/>
  </r>
  <r>
    <s v="249/2018"/>
    <d v="2019-06-21T00:00:00"/>
    <s v="THANH THÚY"/>
    <s v="KA01"/>
    <x v="88"/>
    <x v="66"/>
    <s v="TARRANGO"/>
    <m/>
    <s v="20.22"/>
    <s v="125"/>
    <s v="NL2018"/>
    <m/>
    <n v="40"/>
    <n v="5000"/>
    <x v="28"/>
    <n v="55000000"/>
    <x v="2"/>
    <x v="2"/>
    <d v="2019-09-29T00:00:00"/>
    <d v="2019-09-29T00:00:00"/>
    <m/>
    <m/>
    <m/>
    <m/>
    <m/>
    <m/>
    <m/>
    <m/>
    <m/>
    <m/>
    <m/>
    <m/>
    <n v="0"/>
    <n v="5000"/>
    <n v="55000000"/>
    <m/>
  </r>
  <r>
    <s v="249/2018"/>
    <d v="2019-06-21T00:00:00"/>
    <s v="THANH THÚY"/>
    <s v="KA01"/>
    <x v="88"/>
    <x v="146"/>
    <s v="ROBINA"/>
    <m/>
    <s v="24.26"/>
    <n v="80"/>
    <s v="NL2018"/>
    <m/>
    <n v="63"/>
    <n v="5040"/>
    <x v="86"/>
    <n v="77112000"/>
    <x v="2"/>
    <x v="2"/>
    <d v="2019-09-29T00:00:00"/>
    <d v="2019-09-29T00:00:00"/>
    <m/>
    <m/>
    <m/>
    <m/>
    <m/>
    <m/>
    <m/>
    <m/>
    <m/>
    <m/>
    <m/>
    <m/>
    <n v="0"/>
    <n v="5040"/>
    <n v="77112000"/>
    <m/>
  </r>
  <r>
    <s v="106B/2019"/>
    <d v="2019-03-11T00:00:00"/>
    <s v="THANH THÚY"/>
    <s v="KA01"/>
    <x v="88"/>
    <x v="147"/>
    <s v="PARAGUAY"/>
    <m/>
    <n v="14.16"/>
    <n v="300"/>
    <s v="NL2018"/>
    <m/>
    <n v="0"/>
    <n v="0"/>
    <x v="43"/>
    <n v="0"/>
    <x v="1"/>
    <x v="5"/>
    <d v="2019-04-19T00:00:00"/>
    <d v="2019-04-19T00:00:00"/>
    <s v="15/3AL"/>
    <s v="CONT 20/2019"/>
    <m/>
    <m/>
    <m/>
    <n v="0"/>
    <m/>
    <m/>
    <m/>
    <m/>
    <m/>
    <m/>
    <n v="0"/>
    <n v="0"/>
    <n v="0"/>
    <m/>
  </r>
  <r>
    <s v="106B/2019"/>
    <d v="2019-03-11T00:00:00"/>
    <s v="THANH THÚY"/>
    <s v="KA01"/>
    <x v="88"/>
    <x v="83"/>
    <s v="MANISSA"/>
    <m/>
    <n v="14.16"/>
    <n v="300"/>
    <s v="NL2018"/>
    <m/>
    <n v="0"/>
    <n v="0"/>
    <x v="108"/>
    <n v="0"/>
    <x v="1"/>
    <x v="5"/>
    <d v="2019-04-19T00:00:00"/>
    <d v="2019-04-19T00:00:00"/>
    <s v="15/3AL"/>
    <s v="CONT 20/2019"/>
    <m/>
    <m/>
    <m/>
    <n v="0"/>
    <m/>
    <m/>
    <m/>
    <m/>
    <m/>
    <m/>
    <n v="0"/>
    <n v="0"/>
    <n v="0"/>
    <m/>
  </r>
  <r>
    <s v="249/2018"/>
    <d v="2019-06-21T00:00:00"/>
    <s v="THANH THÚY"/>
    <s v="KA01"/>
    <x v="88"/>
    <x v="14"/>
    <s v="CONCADOR"/>
    <m/>
    <s v="24.26"/>
    <n v="80"/>
    <s v="NL2018"/>
    <m/>
    <n v="63"/>
    <n v="5040"/>
    <x v="15"/>
    <n v="76608000"/>
    <x v="2"/>
    <x v="2"/>
    <d v="2019-09-29T00:00:00"/>
    <d v="2019-09-29T00:00:00"/>
    <m/>
    <m/>
    <m/>
    <m/>
    <m/>
    <m/>
    <m/>
    <m/>
    <m/>
    <m/>
    <m/>
    <m/>
    <n v="0"/>
    <n v="5040"/>
    <n v="76608000"/>
    <m/>
  </r>
  <r>
    <s v="241/2019"/>
    <d v="2019-06-13T00:00:00"/>
    <s v="KIỀU THY"/>
    <s v="TL03"/>
    <x v="89"/>
    <x v="78"/>
    <s v="YELLOWEEN"/>
    <m/>
    <s v="14.16"/>
    <s v="300"/>
    <s v="NL2018"/>
    <m/>
    <n v="20"/>
    <n v="6000"/>
    <x v="45"/>
    <n v="24000000"/>
    <x v="4"/>
    <x v="4"/>
    <d v="2019-07-17T00:00:00"/>
    <d v="2019-07-17T00:00:00"/>
    <m/>
    <m/>
    <m/>
    <m/>
    <m/>
    <m/>
    <m/>
    <m/>
    <m/>
    <m/>
    <m/>
    <m/>
    <n v="0"/>
    <n v="6000"/>
    <n v="24000000"/>
    <m/>
  </r>
  <r>
    <s v="241/2019"/>
    <d v="2019-06-13T00:00:00"/>
    <s v="KIỀU THY"/>
    <s v="TL03"/>
    <x v="89"/>
    <x v="35"/>
    <s v="TARRANGO"/>
    <m/>
    <s v="14.16"/>
    <s v="300"/>
    <s v="NL2018"/>
    <m/>
    <n v="10"/>
    <n v="3000"/>
    <x v="8"/>
    <n v="15000000"/>
    <x v="4"/>
    <x v="4"/>
    <d v="2019-07-17T00:00:00"/>
    <d v="2019-07-17T00:00:00"/>
    <m/>
    <m/>
    <m/>
    <m/>
    <m/>
    <m/>
    <m/>
    <m/>
    <m/>
    <m/>
    <m/>
    <m/>
    <n v="0"/>
    <n v="3000"/>
    <n v="15000000"/>
    <m/>
  </r>
  <r>
    <s v="120A/2019"/>
    <d v="2019-03-18T00:00:00"/>
    <s v="KIỀU THY"/>
    <s v="TL03"/>
    <x v="89"/>
    <x v="2"/>
    <s v="SERANO"/>
    <m/>
    <s v="14.16"/>
    <s v="300"/>
    <s v="NL2018"/>
    <m/>
    <n v="10"/>
    <n v="3000"/>
    <x v="3"/>
    <n v="10500000"/>
    <x v="0"/>
    <x v="17"/>
    <d v="2019-04-02T00:00:00"/>
    <d v="2019-04-02T00:00:00"/>
    <s v="30/2AL"/>
    <s v="CONT 17/2019"/>
    <d v="2019-03-31T00:00:00"/>
    <m/>
    <d v="2019-05-02T00:00:00"/>
    <n v="3000"/>
    <m/>
    <m/>
    <m/>
    <m/>
    <m/>
    <m/>
    <n v="3000"/>
    <n v="0"/>
    <n v="0"/>
    <m/>
  </r>
  <r>
    <s v="120A/2019"/>
    <d v="2019-03-18T00:00:00"/>
    <s v="KIỀU THY"/>
    <s v="TL03"/>
    <x v="89"/>
    <x v="2"/>
    <s v="SERANO"/>
    <m/>
    <s v="14.16"/>
    <s v="300"/>
    <s v="NL2018"/>
    <m/>
    <n v="10"/>
    <n v="3000"/>
    <x v="3"/>
    <n v="10500000"/>
    <x v="3"/>
    <x v="1"/>
    <d v="2019-05-21T00:00:00"/>
    <d v="2019-05-21T00:00:00"/>
    <s v="30/3AL"/>
    <m/>
    <m/>
    <m/>
    <m/>
    <m/>
    <m/>
    <m/>
    <m/>
    <m/>
    <m/>
    <m/>
    <n v="0"/>
    <n v="3000"/>
    <n v="10500000"/>
    <m/>
  </r>
  <r>
    <s v="120A/2019"/>
    <d v="2019-03-18T00:00:00"/>
    <s v="KIỀU THY"/>
    <s v="TL03"/>
    <x v="89"/>
    <x v="2"/>
    <s v="SERANO"/>
    <m/>
    <s v="14.16"/>
    <s v="300"/>
    <s v="NL2018"/>
    <m/>
    <n v="10"/>
    <n v="3000"/>
    <x v="82"/>
    <n v="11100000"/>
    <x v="3"/>
    <x v="41"/>
    <d v="2019-06-14T00:00:00"/>
    <d v="2019-06-14T00:00:00"/>
    <s v="5/5AL"/>
    <m/>
    <m/>
    <m/>
    <m/>
    <m/>
    <m/>
    <m/>
    <m/>
    <m/>
    <m/>
    <m/>
    <n v="0"/>
    <n v="3000"/>
    <n v="11100000"/>
    <m/>
  </r>
  <r>
    <s v="241/2019"/>
    <d v="2019-06-13T00:00:00"/>
    <s v="KIỀU THY"/>
    <s v="TL03"/>
    <x v="89"/>
    <x v="3"/>
    <s v="ROBINA"/>
    <m/>
    <s v="16.18"/>
    <s v="200"/>
    <s v="NL2018"/>
    <m/>
    <n v="15"/>
    <n v="3000"/>
    <x v="55"/>
    <n v="16800000"/>
    <x v="4"/>
    <x v="4"/>
    <d v="2019-07-17T00:00:00"/>
    <d v="2019-07-17T00:00:00"/>
    <m/>
    <m/>
    <m/>
    <m/>
    <m/>
    <m/>
    <m/>
    <m/>
    <m/>
    <m/>
    <m/>
    <m/>
    <n v="0"/>
    <n v="3000"/>
    <n v="16800000"/>
    <m/>
  </r>
  <r>
    <s v="188A/2019"/>
    <d v="2019-03-18T00:00:00"/>
    <s v="KIỀU THY"/>
    <s v="TL03"/>
    <x v="89"/>
    <x v="4"/>
    <s v="ROBINA"/>
    <m/>
    <s v="20.22"/>
    <s v="125"/>
    <s v="NL2018"/>
    <m/>
    <n v="40"/>
    <n v="5000"/>
    <x v="5"/>
    <n v="52500000"/>
    <x v="2"/>
    <x v="2"/>
    <d v="2019-09-29T00:00:00"/>
    <d v="2019-09-29T00:00:00"/>
    <s v="TẾT"/>
    <m/>
    <m/>
    <m/>
    <m/>
    <m/>
    <m/>
    <m/>
    <m/>
    <m/>
    <m/>
    <m/>
    <n v="0"/>
    <n v="5000"/>
    <n v="52500000"/>
    <m/>
  </r>
  <r>
    <s v="120A/2019"/>
    <d v="2019-03-18T00:00:00"/>
    <s v="KIỀU THY"/>
    <s v="TL03"/>
    <x v="89"/>
    <x v="12"/>
    <s v="PROFUNDO"/>
    <m/>
    <s v="14.16"/>
    <s v="300"/>
    <s v="NL2018"/>
    <m/>
    <n v="7"/>
    <n v="2100"/>
    <x v="8"/>
    <n v="10500000"/>
    <x v="0"/>
    <x v="5"/>
    <d v="2019-04-19T00:00:00"/>
    <d v="2019-04-19T00:00:00"/>
    <s v="15/3AL"/>
    <s v="CONT 23/2019"/>
    <d v="2019-04-19T00:00:00"/>
    <m/>
    <d v="2019-05-02T00:00:00"/>
    <n v="2100"/>
    <m/>
    <m/>
    <m/>
    <m/>
    <m/>
    <m/>
    <n v="2100"/>
    <n v="0"/>
    <n v="0"/>
    <m/>
  </r>
  <r>
    <s v="120A/2019"/>
    <d v="2019-03-18T00:00:00"/>
    <s v="KIỀU THY"/>
    <s v="TL03"/>
    <x v="89"/>
    <x v="82"/>
    <s v="PROFUNDO"/>
    <m/>
    <s v="14.16"/>
    <s v="275"/>
    <s v="NL2018"/>
    <m/>
    <n v="7"/>
    <n v="1925"/>
    <x v="8"/>
    <n v="9625000"/>
    <x v="0"/>
    <x v="1"/>
    <d v="2019-05-21T00:00:00"/>
    <d v="2019-05-21T00:00:00"/>
    <m/>
    <m/>
    <m/>
    <m/>
    <d v="2019-06-14T00:00:00"/>
    <n v="1925"/>
    <m/>
    <m/>
    <m/>
    <m/>
    <m/>
    <m/>
    <n v="1925"/>
    <n v="0"/>
    <n v="0"/>
    <m/>
  </r>
  <r>
    <s v="120A/2019"/>
    <d v="2019-03-18T00:00:00"/>
    <s v="KIỀU THY"/>
    <s v="TL03"/>
    <x v="89"/>
    <x v="82"/>
    <s v="PROFUNDO"/>
    <m/>
    <s v="14.16"/>
    <s v="275"/>
    <s v="NL2018"/>
    <m/>
    <n v="7"/>
    <n v="1925"/>
    <x v="8"/>
    <n v="9625000"/>
    <x v="3"/>
    <x v="1"/>
    <d v="2019-05-21T00:00:00"/>
    <d v="2019-05-21T00:00:00"/>
    <s v="30/3AL"/>
    <m/>
    <m/>
    <m/>
    <d v="2019-06-14T00:00:00"/>
    <n v="1100"/>
    <m/>
    <m/>
    <m/>
    <m/>
    <m/>
    <m/>
    <n v="1100"/>
    <n v="825"/>
    <n v="4125000"/>
    <m/>
  </r>
  <r>
    <s v="120A/2019"/>
    <d v="2019-03-18T00:00:00"/>
    <s v="KIỀU THY"/>
    <s v="TL03"/>
    <x v="89"/>
    <x v="82"/>
    <s v="PROFUNDO"/>
    <m/>
    <s v="14.16"/>
    <s v="275"/>
    <s v="NL2018"/>
    <m/>
    <n v="8"/>
    <n v="2200"/>
    <x v="8"/>
    <n v="11000000"/>
    <x v="3"/>
    <x v="3"/>
    <d v="2019-06-20T00:00:00"/>
    <d v="2019-06-20T00:00:00"/>
    <m/>
    <m/>
    <m/>
    <m/>
    <m/>
    <m/>
    <m/>
    <m/>
    <m/>
    <m/>
    <m/>
    <m/>
    <n v="0"/>
    <n v="2200"/>
    <n v="11000000"/>
    <m/>
  </r>
  <r>
    <s v="188A/2019"/>
    <d v="2019-03-18T00:00:00"/>
    <s v="KIỀU THY"/>
    <s v="TL03"/>
    <x v="89"/>
    <x v="7"/>
    <s v="CONCADOR"/>
    <m/>
    <s v="20.22"/>
    <s v="125"/>
    <s v="NL2018"/>
    <m/>
    <n v="40"/>
    <n v="5000"/>
    <x v="5"/>
    <n v="52500000"/>
    <x v="2"/>
    <x v="2"/>
    <d v="2019-09-29T00:00:00"/>
    <d v="2019-09-29T00:00:00"/>
    <s v="TẾT"/>
    <m/>
    <m/>
    <m/>
    <m/>
    <m/>
    <m/>
    <m/>
    <m/>
    <m/>
    <m/>
    <m/>
    <n v="0"/>
    <n v="5000"/>
    <n v="52500000"/>
    <m/>
  </r>
  <r>
    <s v="127B/2019"/>
    <d v="2019-03-15T00:00:00"/>
    <s v="THANH THÚY"/>
    <s v="TM01"/>
    <x v="90"/>
    <x v="0"/>
    <s v="YELLOWEEN"/>
    <m/>
    <s v="12.14"/>
    <s v="400"/>
    <s v="NL2018"/>
    <m/>
    <n v="8"/>
    <n v="3200"/>
    <x v="0"/>
    <n v="8320000"/>
    <x v="0"/>
    <x v="0"/>
    <d v="2019-03-20T00:00:00"/>
    <d v="2019-03-20T00:00:00"/>
    <s v="15/2AL"/>
    <s v="CONT 12/2019"/>
    <m/>
    <m/>
    <m/>
    <n v="3200"/>
    <m/>
    <m/>
    <m/>
    <m/>
    <m/>
    <m/>
    <n v="3200"/>
    <n v="0"/>
    <n v="0"/>
    <m/>
  </r>
  <r>
    <s v="159B/2019"/>
    <d v="2019-03-15T00:00:00"/>
    <s v="THANH THÚY"/>
    <s v="TM01"/>
    <x v="90"/>
    <x v="66"/>
    <s v="TARRANGO"/>
    <m/>
    <s v="20.22"/>
    <s v="125"/>
    <s v="NL2018"/>
    <m/>
    <n v="40"/>
    <n v="5000"/>
    <x v="27"/>
    <n v="54000000"/>
    <x v="2"/>
    <x v="2"/>
    <d v="2019-09-29T00:00:00"/>
    <d v="2019-09-29T00:00:00"/>
    <s v="TẾT"/>
    <m/>
    <m/>
    <m/>
    <m/>
    <n v="0"/>
    <m/>
    <m/>
    <m/>
    <m/>
    <m/>
    <m/>
    <n v="0"/>
    <n v="5000"/>
    <n v="54000000"/>
    <m/>
  </r>
  <r>
    <s v="159B/2019"/>
    <d v="2019-03-15T00:00:00"/>
    <s v="THANH THÚY"/>
    <s v="TM01"/>
    <x v="90"/>
    <x v="4"/>
    <s v="ROBINA"/>
    <m/>
    <s v="20.22"/>
    <s v="125"/>
    <s v="NL2018"/>
    <m/>
    <n v="24"/>
    <n v="3000"/>
    <x v="5"/>
    <n v="31500000"/>
    <x v="2"/>
    <x v="2"/>
    <d v="2019-09-29T00:00:00"/>
    <d v="2019-09-29T00:00:00"/>
    <s v="TẾT"/>
    <m/>
    <m/>
    <m/>
    <m/>
    <n v="0"/>
    <m/>
    <m/>
    <m/>
    <m/>
    <m/>
    <m/>
    <n v="0"/>
    <n v="3000"/>
    <n v="31500000"/>
    <m/>
  </r>
  <r>
    <s v="159B/2019"/>
    <d v="2019-03-15T00:00:00"/>
    <s v="THANH THÚY"/>
    <s v="TM01"/>
    <x v="90"/>
    <x v="7"/>
    <s v="CONCADOR"/>
    <m/>
    <s v="20.22"/>
    <s v="125"/>
    <s v="NL2018"/>
    <m/>
    <n v="16"/>
    <n v="2000"/>
    <x v="5"/>
    <n v="21000000"/>
    <x v="2"/>
    <x v="2"/>
    <d v="2019-09-29T00:00:00"/>
    <d v="2019-09-29T00:00:00"/>
    <s v="TẾT"/>
    <m/>
    <m/>
    <m/>
    <m/>
    <n v="0"/>
    <m/>
    <m/>
    <m/>
    <m/>
    <m/>
    <m/>
    <n v="0"/>
    <n v="2000"/>
    <n v="21000000"/>
    <m/>
  </r>
  <r>
    <s v="228A/2019"/>
    <d v="2019-05-29T00:00:00"/>
    <s v="KIỀU THY"/>
    <s v="NH02"/>
    <x v="91"/>
    <x v="99"/>
    <s v="ROBINA"/>
    <m/>
    <s v="14.16"/>
    <s v="300"/>
    <s v="NL2018"/>
    <m/>
    <n v="3"/>
    <n v="900"/>
    <x v="64"/>
    <n v="3420000"/>
    <x v="0"/>
    <x v="28"/>
    <d v="2019-06-07T00:00:00"/>
    <d v="2019-06-07T00:00:00"/>
    <m/>
    <m/>
    <m/>
    <m/>
    <d v="2019-06-15T00:00:00"/>
    <s v="900"/>
    <m/>
    <m/>
    <m/>
    <m/>
    <m/>
    <m/>
    <n v="900"/>
    <n v="0"/>
    <n v="0"/>
    <m/>
  </r>
  <r>
    <s v="228A/2019"/>
    <d v="2019-05-29T00:00:00"/>
    <s v="KIỀU THY"/>
    <s v="NH02"/>
    <x v="91"/>
    <x v="83"/>
    <s v="MANISSA"/>
    <m/>
    <s v="14.16"/>
    <s v="300"/>
    <s v="NL2018"/>
    <m/>
    <n v="8"/>
    <n v="2400"/>
    <x v="64"/>
    <n v="9120000"/>
    <x v="0"/>
    <x v="28"/>
    <d v="2019-06-07T00:00:00"/>
    <d v="2019-06-07T00:00:00"/>
    <m/>
    <m/>
    <m/>
    <m/>
    <d v="2019-06-15T00:00:00"/>
    <n v="2400"/>
    <m/>
    <m/>
    <m/>
    <m/>
    <m/>
    <m/>
    <n v="2400"/>
    <n v="0"/>
    <n v="0"/>
    <m/>
  </r>
  <r>
    <s v="228A/2019"/>
    <d v="2019-05-29T00:00:00"/>
    <s v="KIỀU THY"/>
    <s v="NH02"/>
    <x v="91"/>
    <x v="24"/>
    <s v="DALIAN"/>
    <m/>
    <s v="14.16"/>
    <s v="300"/>
    <s v="NL2018"/>
    <m/>
    <n v="2"/>
    <n v="600"/>
    <x v="10"/>
    <n v="3300000"/>
    <x v="0"/>
    <x v="28"/>
    <d v="2019-06-07T00:00:00"/>
    <d v="2019-06-07T00:00:00"/>
    <m/>
    <m/>
    <m/>
    <m/>
    <d v="2019-06-15T00:00:00"/>
    <n v="600"/>
    <m/>
    <m/>
    <m/>
    <m/>
    <m/>
    <m/>
    <n v="600"/>
    <n v="0"/>
    <n v="0"/>
    <m/>
  </r>
  <r>
    <s v="23B/2019"/>
    <d v="2019-01-05T00:00:00"/>
    <s v="THANH THÚY"/>
    <s v="TO02"/>
    <x v="92"/>
    <x v="0"/>
    <s v="YELLOWEEN"/>
    <m/>
    <s v="12.14"/>
    <n v="400"/>
    <s v="NL2018"/>
    <m/>
    <n v="25"/>
    <n v="10000"/>
    <x v="0"/>
    <n v="26000000"/>
    <x v="0"/>
    <x v="6"/>
    <d v="2019-02-19T00:00:00"/>
    <d v="2019-02-19T00:00:00"/>
    <s v="15/1AL"/>
    <m/>
    <m/>
    <m/>
    <d v="2019-02-19T00:00:00"/>
    <n v="10000"/>
    <m/>
    <m/>
    <m/>
    <m/>
    <m/>
    <m/>
    <n v="10000"/>
    <n v="0"/>
    <n v="0"/>
    <m/>
  </r>
  <r>
    <s v="23B/2019"/>
    <d v="2019-01-05T00:00:00"/>
    <s v="THANH THÚY"/>
    <s v="TO02"/>
    <x v="92"/>
    <x v="57"/>
    <s v="YELLOWEEN"/>
    <m/>
    <s v="16.18"/>
    <n v="200"/>
    <s v="NL2018"/>
    <m/>
    <n v="25"/>
    <n v="5000"/>
    <x v="8"/>
    <n v="25000000"/>
    <x v="0"/>
    <x v="6"/>
    <d v="2019-02-19T00:00:00"/>
    <d v="2019-02-19T00:00:00"/>
    <s v="15/1AL"/>
    <m/>
    <m/>
    <m/>
    <d v="2019-02-20T00:00:00"/>
    <n v="5000"/>
    <m/>
    <m/>
    <m/>
    <m/>
    <m/>
    <m/>
    <n v="5000"/>
    <n v="0"/>
    <n v="0"/>
    <d v="2020-02-11T00:00:00"/>
  </r>
  <r>
    <s v="23B/2019"/>
    <d v="2019-01-05T00:00:00"/>
    <s v="THANH THÚY"/>
    <s v="TO02"/>
    <x v="92"/>
    <x v="78"/>
    <s v="YELLOWEEN"/>
    <m/>
    <s v="14.16"/>
    <n v="300"/>
    <s v="NL2018"/>
    <m/>
    <n v="14"/>
    <n v="4200"/>
    <x v="64"/>
    <n v="15960000"/>
    <x v="0"/>
    <x v="0"/>
    <d v="2019-03-20T00:00:00"/>
    <d v="2019-03-20T00:00:00"/>
    <s v="15/2AL"/>
    <s v="CONT 10/2019"/>
    <m/>
    <m/>
    <d v="2019-03-19T00:00:00"/>
    <n v="4200"/>
    <m/>
    <m/>
    <m/>
    <m/>
    <m/>
    <m/>
    <n v="4200"/>
    <n v="0"/>
    <n v="0"/>
    <d v="2020-02-11T00:00:00"/>
  </r>
  <r>
    <s v="110B/2019"/>
    <d v="2019-06-12T00:00:00"/>
    <s v="THANH THÚY"/>
    <s v="TO02"/>
    <x v="92"/>
    <x v="78"/>
    <s v="YELLOWEEN"/>
    <m/>
    <s v="14.16"/>
    <n v="300"/>
    <s v="NL2018"/>
    <m/>
    <n v="17"/>
    <n v="5100"/>
    <x v="45"/>
    <n v="20400000"/>
    <x v="4"/>
    <x v="4"/>
    <d v="2019-07-17T00:00:00"/>
    <d v="2019-07-17T00:00:00"/>
    <s v="15/6 LẤY"/>
    <m/>
    <m/>
    <m/>
    <m/>
    <m/>
    <m/>
    <m/>
    <m/>
    <m/>
    <m/>
    <m/>
    <n v="0"/>
    <n v="5100"/>
    <n v="20400000"/>
    <m/>
  </r>
  <r>
    <s v="163B/2019"/>
    <d v="2019-03-30T00:00:00"/>
    <s v="THANH THÚY"/>
    <s v="TO01"/>
    <x v="92"/>
    <x v="57"/>
    <s v="YELLOWEEN"/>
    <m/>
    <s v="16.18"/>
    <s v="200"/>
    <s v="NL2018"/>
    <m/>
    <n v="15"/>
    <n v="3000"/>
    <x v="84"/>
    <n v="19200000"/>
    <x v="2"/>
    <x v="2"/>
    <d v="2019-09-29T00:00:00"/>
    <d v="2019-09-29T00:00:00"/>
    <m/>
    <m/>
    <m/>
    <m/>
    <m/>
    <n v="0"/>
    <m/>
    <m/>
    <m/>
    <m/>
    <m/>
    <m/>
    <n v="0"/>
    <n v="3000"/>
    <n v="19200000"/>
    <m/>
  </r>
  <r>
    <s v="111B/2019"/>
    <d v="2019-03-12T00:00:00"/>
    <s v="THANH THÚY"/>
    <s v="TO02"/>
    <x v="92"/>
    <x v="31"/>
    <s v="YELLOW DIAMOND"/>
    <s v="DI"/>
    <s v="18.20"/>
    <n v="150"/>
    <s v="NL2018"/>
    <m/>
    <n v="234"/>
    <n v="35100"/>
    <x v="13"/>
    <n v="217620000"/>
    <x v="2"/>
    <x v="2"/>
    <d v="2019-09-29T00:00:00"/>
    <d v="2019-09-29T00:00:00"/>
    <s v="TẾT"/>
    <m/>
    <m/>
    <m/>
    <m/>
    <n v="0"/>
    <m/>
    <m/>
    <m/>
    <m/>
    <m/>
    <m/>
    <n v="0"/>
    <n v="35100"/>
    <n v="217620000"/>
    <m/>
  </r>
  <r>
    <s v="163B/2019"/>
    <d v="2019-03-30T00:00:00"/>
    <s v="THANH THÚY"/>
    <s v="TO01"/>
    <x v="92"/>
    <x v="148"/>
    <s v="TRENDY SAVANNAH ®"/>
    <s v="POT"/>
    <s v="10.12"/>
    <s v="500"/>
    <s v="NL2018"/>
    <m/>
    <n v="9"/>
    <n v="4500"/>
    <x v="3"/>
    <n v="15750000"/>
    <x v="2"/>
    <x v="2"/>
    <d v="2019-09-29T00:00:00"/>
    <d v="2019-09-29T00:00:00"/>
    <m/>
    <m/>
    <m/>
    <m/>
    <m/>
    <n v="0"/>
    <m/>
    <m/>
    <m/>
    <m/>
    <m/>
    <m/>
    <n v="0"/>
    <n v="4500"/>
    <n v="15750000"/>
    <m/>
  </r>
  <r>
    <s v="163B/2019"/>
    <d v="2019-03-30T00:00:00"/>
    <s v="THANH THÚY"/>
    <s v="TO01"/>
    <x v="92"/>
    <x v="148"/>
    <s v="TRENDY SAVANAH"/>
    <s v="POT"/>
    <s v="10.12"/>
    <s v="500"/>
    <s v="NL2018"/>
    <m/>
    <n v="9"/>
    <n v="4500"/>
    <x v="3"/>
    <n v="15750000"/>
    <x v="2"/>
    <x v="2"/>
    <d v="2019-09-29T00:00:00"/>
    <d v="2019-09-29T00:00:00"/>
    <m/>
    <m/>
    <m/>
    <m/>
    <m/>
    <n v="0"/>
    <m/>
    <m/>
    <m/>
    <m/>
    <m/>
    <m/>
    <n v="0"/>
    <n v="4500"/>
    <n v="15750000"/>
    <m/>
  </r>
  <r>
    <s v="23B/2019"/>
    <d v="2019-01-05T00:00:00"/>
    <s v="THANH THÚY"/>
    <s v="TO02"/>
    <x v="92"/>
    <x v="33"/>
    <s v="TEBALDI"/>
    <m/>
    <s v="14.16"/>
    <n v="300"/>
    <s v="NL2018"/>
    <m/>
    <n v="50"/>
    <n v="15000"/>
    <x v="38"/>
    <n v="61500000"/>
    <x v="0"/>
    <x v="5"/>
    <d v="2019-04-19T00:00:00"/>
    <d v="2019-04-19T00:00:00"/>
    <s v="15/3AL"/>
    <s v="CONT 24/2019"/>
    <m/>
    <m/>
    <d v="2019-04-22T00:00:00"/>
    <n v="15000"/>
    <m/>
    <m/>
    <m/>
    <m/>
    <m/>
    <m/>
    <n v="15000"/>
    <n v="0"/>
    <n v="0"/>
    <m/>
  </r>
  <r>
    <s v="23B/2019"/>
    <d v="2019-01-05T00:00:00"/>
    <s v="THANH THÚY"/>
    <s v="TO02"/>
    <x v="92"/>
    <x v="32"/>
    <s v="TEBALDI"/>
    <m/>
    <s v="12.14"/>
    <n v="400"/>
    <s v="NL2018"/>
    <m/>
    <n v="15"/>
    <n v="6000"/>
    <x v="37"/>
    <n v="16800000"/>
    <x v="0"/>
    <x v="10"/>
    <d v="2019-04-03T00:00:00"/>
    <d v="2019-04-03T00:00:00"/>
    <s v="28/2AL"/>
    <s v="CONT 15/2019"/>
    <m/>
    <m/>
    <d v="2019-04-05T00:00:00"/>
    <n v="6000"/>
    <m/>
    <m/>
    <m/>
    <m/>
    <m/>
    <m/>
    <n v="6000"/>
    <n v="0"/>
    <n v="0"/>
    <m/>
  </r>
  <r>
    <s v="110B/2019"/>
    <d v="2019-03-12T00:00:00"/>
    <s v="THANH THÚY"/>
    <s v="TO02"/>
    <x v="92"/>
    <x v="33"/>
    <s v="TEBALDI"/>
    <m/>
    <s v="14.16"/>
    <n v="300"/>
    <s v="NL2018"/>
    <m/>
    <n v="34"/>
    <n v="10200"/>
    <x v="40"/>
    <n v="42840000"/>
    <x v="0"/>
    <x v="1"/>
    <d v="2019-05-21T00:00:00"/>
    <d v="2019-05-21T00:00:00"/>
    <s v="30/3AL"/>
    <m/>
    <m/>
    <m/>
    <d v="2019-05-24T00:00:00"/>
    <n v="5100"/>
    <d v="2019-06-04T00:00:00"/>
    <n v="5100"/>
    <m/>
    <m/>
    <m/>
    <m/>
    <n v="10200"/>
    <n v="0"/>
    <n v="0"/>
    <m/>
  </r>
  <r>
    <s v="23B/2019"/>
    <d v="2019-01-05T00:00:00"/>
    <s v="THANH THÚY"/>
    <s v="TO02"/>
    <x v="92"/>
    <x v="10"/>
    <s v="TARRANGO"/>
    <m/>
    <s v="16.18"/>
    <n v="200"/>
    <s v="NL2018"/>
    <m/>
    <n v="100"/>
    <n v="20000"/>
    <x v="97"/>
    <n v="130000000"/>
    <x v="0"/>
    <x v="6"/>
    <d v="2019-02-19T00:00:00"/>
    <d v="2019-02-19T00:00:00"/>
    <s v="15/1AL"/>
    <m/>
    <m/>
    <m/>
    <d v="2019-02-19T00:00:00"/>
    <n v="20000"/>
    <m/>
    <m/>
    <m/>
    <m/>
    <m/>
    <m/>
    <n v="20000"/>
    <n v="0"/>
    <n v="0"/>
    <m/>
  </r>
  <r>
    <s v="110B/2019"/>
    <d v="2019-05-18T00:00:00"/>
    <s v="THANH THÚY"/>
    <s v="TO02"/>
    <x v="92"/>
    <x v="35"/>
    <s v="TARRANGO"/>
    <m/>
    <s v="14.16"/>
    <n v="300"/>
    <s v="NL2018"/>
    <m/>
    <n v="17"/>
    <n v="5100"/>
    <x v="43"/>
    <n v="24480000"/>
    <x v="0"/>
    <x v="1"/>
    <d v="2019-05-21T00:00:00"/>
    <d v="2019-05-21T00:00:00"/>
    <m/>
    <m/>
    <m/>
    <m/>
    <d v="2019-05-18T00:00:00"/>
    <n v="5100"/>
    <m/>
    <m/>
    <m/>
    <m/>
    <m/>
    <m/>
    <n v="5100"/>
    <n v="0"/>
    <n v="0"/>
    <m/>
  </r>
  <r>
    <s v="111B/2019"/>
    <d v="2019-03-12T00:00:00"/>
    <s v="THANH THÚY"/>
    <s v="TO02"/>
    <x v="92"/>
    <x v="1"/>
    <s v="TARRANGO"/>
    <m/>
    <s v="18.20"/>
    <n v="150"/>
    <s v="NL2018"/>
    <m/>
    <n v="34"/>
    <n v="5100"/>
    <x v="170"/>
    <n v="47940000"/>
    <x v="2"/>
    <x v="2"/>
    <d v="2019-09-29T00:00:00"/>
    <d v="2019-09-29T00:00:00"/>
    <s v="TẾT"/>
    <m/>
    <m/>
    <m/>
    <m/>
    <n v="0"/>
    <m/>
    <m/>
    <m/>
    <m/>
    <m/>
    <m/>
    <n v="0"/>
    <n v="5100"/>
    <n v="47940000"/>
    <m/>
  </r>
  <r>
    <s v="163B/2019"/>
    <d v="2019-03-30T00:00:00"/>
    <s v="THANH THÚY"/>
    <s v="TO01"/>
    <x v="92"/>
    <x v="149"/>
    <s v="TANGERINE JOY ®"/>
    <s v="POT"/>
    <s v="11.12"/>
    <s v="500"/>
    <s v="NL2018"/>
    <m/>
    <n v="10"/>
    <n v="5000"/>
    <x v="108"/>
    <n v="18000000"/>
    <x v="2"/>
    <x v="2"/>
    <d v="2019-09-29T00:00:00"/>
    <d v="2019-09-29T00:00:00"/>
    <m/>
    <m/>
    <m/>
    <m/>
    <m/>
    <n v="0"/>
    <m/>
    <m/>
    <m/>
    <m/>
    <m/>
    <m/>
    <n v="0"/>
    <n v="5000"/>
    <n v="18000000"/>
    <m/>
  </r>
  <r>
    <s v="163B/2019"/>
    <d v="2019-03-30T00:00:00"/>
    <s v="THANH THÚY"/>
    <s v="TO01"/>
    <x v="92"/>
    <x v="150"/>
    <s v="SUGAR LOVE"/>
    <s v="POT"/>
    <s v="10.12"/>
    <s v="500"/>
    <s v="NL2018"/>
    <m/>
    <n v="16.8"/>
    <n v="8400"/>
    <x v="3"/>
    <n v="29400000"/>
    <x v="2"/>
    <x v="2"/>
    <d v="2019-09-29T00:00:00"/>
    <d v="2019-09-29T00:00:00"/>
    <m/>
    <m/>
    <m/>
    <m/>
    <m/>
    <n v="0"/>
    <m/>
    <m/>
    <m/>
    <m/>
    <m/>
    <m/>
    <n v="0"/>
    <n v="8400"/>
    <n v="29400000"/>
    <m/>
  </r>
  <r>
    <s v="163B/2019"/>
    <d v="2019-03-30T00:00:00"/>
    <s v="THANH THÚY"/>
    <s v="TO01"/>
    <x v="92"/>
    <x v="151"/>
    <s v="SOROCABA"/>
    <s v="POT"/>
    <s v="10.12"/>
    <s v="500"/>
    <s v="NL2018"/>
    <m/>
    <n v="12"/>
    <n v="6000"/>
    <x v="3"/>
    <n v="21000000"/>
    <x v="2"/>
    <x v="2"/>
    <d v="2019-09-29T00:00:00"/>
    <d v="2019-09-29T00:00:00"/>
    <m/>
    <m/>
    <m/>
    <m/>
    <m/>
    <n v="0"/>
    <m/>
    <m/>
    <m/>
    <m/>
    <m/>
    <m/>
    <n v="0"/>
    <n v="6000"/>
    <n v="21000000"/>
    <m/>
  </r>
  <r>
    <s v="163B/2019"/>
    <d v="2019-03-30T00:00:00"/>
    <s v="THANH THÚY"/>
    <s v="TO01"/>
    <x v="92"/>
    <x v="151"/>
    <s v="SOROCABA"/>
    <s v="POT"/>
    <s v="10.12"/>
    <s v="500"/>
    <s v="NL2018"/>
    <m/>
    <n v="12"/>
    <n v="6000"/>
    <x v="3"/>
    <n v="21000000"/>
    <x v="2"/>
    <x v="2"/>
    <d v="2019-09-29T00:00:00"/>
    <d v="2019-09-29T00:00:00"/>
    <m/>
    <m/>
    <m/>
    <m/>
    <m/>
    <n v="0"/>
    <m/>
    <m/>
    <m/>
    <m/>
    <m/>
    <m/>
    <n v="0"/>
    <n v="6000"/>
    <n v="21000000"/>
    <m/>
  </r>
  <r>
    <s v="163B/2019"/>
    <d v="2019-03-30T00:00:00"/>
    <s v="THANH THÚY"/>
    <s v="TO01"/>
    <x v="92"/>
    <x v="152"/>
    <s v="SOROCABA"/>
    <s v="POT"/>
    <s v="12.14"/>
    <s v="400"/>
    <s v="NL2018"/>
    <m/>
    <n v="10"/>
    <n v="4000"/>
    <x v="73"/>
    <n v="20800000"/>
    <x v="2"/>
    <x v="2"/>
    <d v="2019-09-29T00:00:00"/>
    <d v="2019-09-29T00:00:00"/>
    <m/>
    <m/>
    <m/>
    <m/>
    <m/>
    <n v="0"/>
    <m/>
    <m/>
    <m/>
    <m/>
    <m/>
    <m/>
    <n v="0"/>
    <n v="4000"/>
    <n v="20800000"/>
    <m/>
  </r>
  <r>
    <s v="110B/2019"/>
    <d v="2019-03-12T00:00:00"/>
    <s v="THANH THÚY"/>
    <s v="TO02"/>
    <x v="92"/>
    <x v="2"/>
    <s v="SERANO"/>
    <m/>
    <s v="14.16"/>
    <n v="300"/>
    <s v="NL2018"/>
    <m/>
    <n v="17"/>
    <n v="5100"/>
    <x v="108"/>
    <n v="18360000"/>
    <x v="0"/>
    <x v="1"/>
    <d v="2019-05-21T00:00:00"/>
    <d v="2019-05-21T00:00:00"/>
    <s v="17/4AL"/>
    <m/>
    <m/>
    <m/>
    <d v="2019-05-24T00:00:00"/>
    <n v="5100"/>
    <m/>
    <m/>
    <m/>
    <m/>
    <m/>
    <m/>
    <n v="5100"/>
    <n v="0"/>
    <n v="0"/>
    <m/>
  </r>
  <r>
    <s v="110B/2019"/>
    <d v="2019-03-12T00:00:00"/>
    <s v="THANH THÚY"/>
    <s v="TO02"/>
    <x v="92"/>
    <x v="2"/>
    <s v="SERANO"/>
    <m/>
    <s v="14.16"/>
    <n v="300"/>
    <s v="NL2018"/>
    <m/>
    <n v="0"/>
    <n v="0"/>
    <x v="108"/>
    <n v="0"/>
    <x v="1"/>
    <x v="9"/>
    <d v="2019-06-04T00:00:00"/>
    <d v="2019-06-04T00:00:00"/>
    <s v="02/5AL"/>
    <m/>
    <m/>
    <m/>
    <m/>
    <n v="0"/>
    <m/>
    <m/>
    <m/>
    <m/>
    <m/>
    <m/>
    <n v="0"/>
    <n v="0"/>
    <n v="0"/>
    <m/>
  </r>
  <r>
    <s v="110B/2019"/>
    <d v="2019-03-12T00:00:00"/>
    <s v="THANH THÚY"/>
    <s v="TO02"/>
    <x v="92"/>
    <x v="2"/>
    <s v="SERANO"/>
    <m/>
    <s v="14.16"/>
    <n v="300"/>
    <s v="NL2018"/>
    <m/>
    <n v="0"/>
    <n v="0"/>
    <x v="3"/>
    <n v="0"/>
    <x v="1"/>
    <x v="26"/>
    <s v=""/>
    <s v=""/>
    <s v="T4 onwards"/>
    <m/>
    <m/>
    <m/>
    <m/>
    <n v="0"/>
    <m/>
    <m/>
    <m/>
    <m/>
    <m/>
    <m/>
    <n v="0"/>
    <n v="0"/>
    <n v="0"/>
    <m/>
  </r>
  <r>
    <s v="111B/2019"/>
    <d v="2019-03-12T00:00:00"/>
    <s v="THANH THÚY"/>
    <s v="TO02"/>
    <x v="92"/>
    <x v="75"/>
    <s v="SERANO"/>
    <m/>
    <s v="20.22"/>
    <n v="125"/>
    <s v="NL2018"/>
    <m/>
    <n v="40"/>
    <n v="5000"/>
    <x v="2"/>
    <n v="46500000"/>
    <x v="2"/>
    <x v="2"/>
    <d v="2019-09-29T00:00:00"/>
    <d v="2019-09-29T00:00:00"/>
    <s v="TẾT"/>
    <m/>
    <m/>
    <m/>
    <m/>
    <n v="0"/>
    <m/>
    <m/>
    <m/>
    <m/>
    <m/>
    <m/>
    <n v="0"/>
    <n v="5000"/>
    <n v="46500000"/>
    <m/>
  </r>
  <r>
    <s v="163B/2019"/>
    <d v="2019-03-30T00:00:00"/>
    <s v="THANH THÚY"/>
    <s v="TO01"/>
    <x v="92"/>
    <x v="107"/>
    <s v="SERANO"/>
    <m/>
    <s v="18.20"/>
    <s v="150"/>
    <s v="NL2018"/>
    <m/>
    <n v="15"/>
    <n v="2250"/>
    <x v="168"/>
    <n v="17550000"/>
    <x v="2"/>
    <x v="2"/>
    <d v="2019-09-29T00:00:00"/>
    <d v="2019-09-29T00:00:00"/>
    <m/>
    <m/>
    <m/>
    <m/>
    <m/>
    <n v="0"/>
    <m/>
    <m/>
    <m/>
    <m/>
    <m/>
    <m/>
    <n v="0"/>
    <n v="2250"/>
    <n v="17550000"/>
    <m/>
  </r>
  <r>
    <s v="163B/2019"/>
    <d v="2019-03-30T00:00:00"/>
    <s v="THANH THÚY"/>
    <s v="TO01"/>
    <x v="92"/>
    <x v="153"/>
    <s v="SENSI"/>
    <m/>
    <s v="18.20"/>
    <s v="150"/>
    <s v="NL2018"/>
    <m/>
    <n v="20"/>
    <n v="3000"/>
    <x v="89"/>
    <n v="22800000"/>
    <x v="2"/>
    <x v="2"/>
    <d v="2019-09-29T00:00:00"/>
    <d v="2019-09-29T00:00:00"/>
    <m/>
    <m/>
    <m/>
    <m/>
    <m/>
    <n v="0"/>
    <m/>
    <m/>
    <m/>
    <m/>
    <m/>
    <m/>
    <n v="0"/>
    <n v="3000"/>
    <n v="22800000"/>
    <m/>
  </r>
  <r>
    <s v="23B/2019"/>
    <d v="2019-01-05T00:00:00"/>
    <s v="THANH THÚY"/>
    <s v="TO02"/>
    <x v="92"/>
    <x v="5"/>
    <s v="ROBINA"/>
    <m/>
    <s v="18.20"/>
    <n v="150"/>
    <s v="NL2018"/>
    <m/>
    <n v="34"/>
    <n v="5100"/>
    <x v="75"/>
    <n v="32130000"/>
    <x v="0"/>
    <x v="0"/>
    <d v="2019-03-20T00:00:00"/>
    <d v="2019-03-20T00:00:00"/>
    <s v="15/2AL"/>
    <s v="CONT 11/2019"/>
    <m/>
    <m/>
    <d v="2019-03-19T00:00:00"/>
    <n v="5100"/>
    <m/>
    <m/>
    <m/>
    <m/>
    <m/>
    <m/>
    <n v="5100"/>
    <n v="0"/>
    <n v="0"/>
    <d v="2020-02-11T00:00:00"/>
  </r>
  <r>
    <s v="23B/2019"/>
    <d v="2019-01-05T00:00:00"/>
    <s v="THANH THÚY"/>
    <s v="TO02"/>
    <x v="92"/>
    <x v="41"/>
    <s v="PAVIA"/>
    <m/>
    <s v="12.14"/>
    <n v="400"/>
    <s v="NL2018"/>
    <m/>
    <n v="43"/>
    <n v="17200"/>
    <x v="37"/>
    <n v="48160000"/>
    <x v="0"/>
    <x v="6"/>
    <d v="2019-02-19T00:00:00"/>
    <d v="2019-02-19T00:00:00"/>
    <s v="15/1AL"/>
    <m/>
    <m/>
    <m/>
    <d v="2019-02-19T00:00:00"/>
    <n v="17200"/>
    <m/>
    <m/>
    <m/>
    <m/>
    <m/>
    <m/>
    <n v="17200"/>
    <n v="0"/>
    <n v="0"/>
    <d v="2020-02-11T00:00:00"/>
  </r>
  <r>
    <s v="23B/2019"/>
    <d v="2019-01-05T00:00:00"/>
    <s v="THANH THÚY"/>
    <s v="TO02"/>
    <x v="92"/>
    <x v="40"/>
    <s v="PAVIA"/>
    <m/>
    <s v="12.14"/>
    <n v="400"/>
    <s v="NL2017"/>
    <m/>
    <n v="75"/>
    <n v="30000"/>
    <x v="48"/>
    <n v="60000000"/>
    <x v="0"/>
    <x v="0"/>
    <d v="2019-03-20T00:00:00"/>
    <d v="2019-03-20T00:00:00"/>
    <s v="15/2AL"/>
    <s v="CONT 9/2019"/>
    <m/>
    <m/>
    <d v="2019-03-19T00:00:00"/>
    <n v="30000"/>
    <m/>
    <m/>
    <m/>
    <m/>
    <m/>
    <m/>
    <n v="30000"/>
    <n v="0"/>
    <n v="0"/>
    <d v="2020-02-11T00:00:00"/>
  </r>
  <r>
    <s v="23B/2019"/>
    <d v="2019-01-05T00:00:00"/>
    <s v="THANH THÚY"/>
    <s v="TO02"/>
    <x v="92"/>
    <x v="41"/>
    <s v="PAVIA"/>
    <m/>
    <s v="12.14"/>
    <n v="400"/>
    <s v="NL2018"/>
    <m/>
    <n v="13"/>
    <n v="5200"/>
    <x v="37"/>
    <n v="14560000"/>
    <x v="0"/>
    <x v="0"/>
    <d v="2019-03-20T00:00:00"/>
    <d v="2019-03-20T00:00:00"/>
    <s v="15/2AL"/>
    <s v="CONT 9/2019"/>
    <m/>
    <m/>
    <d v="2019-03-19T00:00:00"/>
    <n v="5200"/>
    <m/>
    <m/>
    <m/>
    <m/>
    <m/>
    <m/>
    <n v="5200"/>
    <n v="0"/>
    <n v="0"/>
    <d v="2020-02-11T00:00:00"/>
  </r>
  <r>
    <s v="23B/2019"/>
    <d v="2019-01-05T00:00:00"/>
    <s v="THANH THÚY"/>
    <s v="TO02"/>
    <x v="92"/>
    <x v="41"/>
    <s v="PAVIA"/>
    <m/>
    <s v="12.14"/>
    <n v="400"/>
    <s v="NL2018"/>
    <m/>
    <n v="25"/>
    <n v="10000"/>
    <x v="37"/>
    <n v="28000000"/>
    <x v="0"/>
    <x v="5"/>
    <d v="2019-04-19T00:00:00"/>
    <d v="2019-04-19T00:00:00"/>
    <s v="15/3AL"/>
    <s v="CONT 20/2019"/>
    <m/>
    <m/>
    <d v="2019-05-06T00:00:00"/>
    <n v="5200"/>
    <d v="2019-05-20T00:00:00"/>
    <n v="4800"/>
    <m/>
    <m/>
    <m/>
    <m/>
    <n v="10000"/>
    <n v="0"/>
    <n v="0"/>
    <m/>
  </r>
  <r>
    <s v="23B/2019"/>
    <d v="2019-01-05T00:00:00"/>
    <s v="THANH THÚY"/>
    <s v="TO02"/>
    <x v="92"/>
    <x v="41"/>
    <s v="PAVIA"/>
    <m/>
    <s v="12.14"/>
    <n v="400"/>
    <s v="NL2018"/>
    <m/>
    <n v="25"/>
    <n v="10000"/>
    <x v="37"/>
    <n v="28000000"/>
    <x v="0"/>
    <x v="10"/>
    <d v="2019-04-03T00:00:00"/>
    <d v="2019-04-03T00:00:00"/>
    <s v="28/2AL"/>
    <s v="CONT 14/2019"/>
    <m/>
    <m/>
    <d v="2019-04-05T00:00:00"/>
    <n v="3200"/>
    <d v="2019-04-09T00:00:00"/>
    <n v="6800"/>
    <m/>
    <m/>
    <m/>
    <m/>
    <n v="10000"/>
    <n v="0"/>
    <n v="0"/>
    <m/>
  </r>
  <r>
    <s v="110B/2019"/>
    <d v="2019-03-12T00:00:00"/>
    <s v="THANH THÚY"/>
    <s v="TO02"/>
    <x v="92"/>
    <x v="41"/>
    <s v="PAVIA"/>
    <m/>
    <s v="12.14"/>
    <n v="400"/>
    <s v="NL2018"/>
    <m/>
    <n v="23"/>
    <n v="9200"/>
    <x v="39"/>
    <n v="26680000"/>
    <x v="0"/>
    <x v="1"/>
    <d v="2019-05-21T00:00:00"/>
    <d v="2019-05-21T00:00:00"/>
    <s v="30/3AL"/>
    <m/>
    <m/>
    <m/>
    <d v="2019-06-04T00:00:00"/>
    <n v="5200"/>
    <d v="2019-06-18T00:00:00"/>
    <n v="4000"/>
    <m/>
    <m/>
    <m/>
    <m/>
    <n v="9200"/>
    <n v="0"/>
    <n v="0"/>
    <m/>
  </r>
  <r>
    <s v="110B/2019"/>
    <d v="2019-06-12T00:00:00"/>
    <s v="THANH THÚY"/>
    <s v="TO02"/>
    <x v="92"/>
    <x v="41"/>
    <s v="PAVIA"/>
    <m/>
    <s v="12.14"/>
    <n v="400"/>
    <s v="NL2018"/>
    <m/>
    <n v="13"/>
    <n v="5200"/>
    <x v="26"/>
    <n v="15600000"/>
    <x v="4"/>
    <x v="4"/>
    <d v="2019-07-17T00:00:00"/>
    <d v="2019-07-17T00:00:00"/>
    <s v="15/6 LẤY"/>
    <m/>
    <m/>
    <m/>
    <m/>
    <m/>
    <m/>
    <m/>
    <m/>
    <m/>
    <m/>
    <m/>
    <n v="0"/>
    <n v="5200"/>
    <n v="15600000"/>
    <m/>
  </r>
  <r>
    <s v="110B/2019"/>
    <d v="2019-06-12T00:00:00"/>
    <s v="THANH THÚY"/>
    <s v="TO02"/>
    <x v="92"/>
    <x v="42"/>
    <s v="PAVIA"/>
    <m/>
    <s v="14.16"/>
    <n v="300"/>
    <s v="NL2018"/>
    <m/>
    <n v="3"/>
    <n v="900"/>
    <x v="50"/>
    <n v="3960000"/>
    <x v="0"/>
    <x v="1"/>
    <d v="2019-05-21T00:00:00"/>
    <d v="2019-05-21T00:00:00"/>
    <m/>
    <m/>
    <m/>
    <m/>
    <d v="2019-06-18T00:00:00"/>
    <n v="900"/>
    <m/>
    <m/>
    <m/>
    <m/>
    <m/>
    <m/>
    <n v="900"/>
    <n v="0"/>
    <n v="0"/>
    <m/>
  </r>
  <r>
    <s v="110B/2019"/>
    <d v="2019-03-12T00:00:00"/>
    <s v="THANH THÚY"/>
    <s v="TO02"/>
    <x v="92"/>
    <x v="41"/>
    <s v="PAVIA"/>
    <m/>
    <s v="12.14"/>
    <n v="400"/>
    <s v="NL2018"/>
    <m/>
    <n v="0"/>
    <n v="0"/>
    <x v="39"/>
    <n v="0"/>
    <x v="1"/>
    <x v="11"/>
    <d v="2019-06-02T00:00:00"/>
    <d v="2019-06-02T00:00:00"/>
    <s v="29/4AL"/>
    <m/>
    <m/>
    <m/>
    <m/>
    <n v="0"/>
    <m/>
    <m/>
    <m/>
    <m/>
    <m/>
    <m/>
    <n v="0"/>
    <n v="0"/>
    <n v="0"/>
    <m/>
  </r>
  <r>
    <s v="163B/2019"/>
    <d v="2019-03-30T00:00:00"/>
    <s v="THANH THÚY"/>
    <s v="TO01"/>
    <x v="92"/>
    <x v="43"/>
    <s v="PAVIA"/>
    <m/>
    <s v="16.18"/>
    <s v="200"/>
    <s v="NL2018"/>
    <m/>
    <n v="10"/>
    <n v="2000"/>
    <x v="42"/>
    <n v="12200000"/>
    <x v="2"/>
    <x v="2"/>
    <d v="2019-09-29T00:00:00"/>
    <d v="2019-09-29T00:00:00"/>
    <m/>
    <m/>
    <m/>
    <m/>
    <m/>
    <n v="0"/>
    <m/>
    <m/>
    <m/>
    <m/>
    <m/>
    <m/>
    <n v="0"/>
    <n v="2000"/>
    <n v="12200000"/>
    <m/>
  </r>
  <r>
    <s v="163B/2019"/>
    <d v="2019-03-30T00:00:00"/>
    <s v="THANH THÚY"/>
    <s v="TO01"/>
    <x v="92"/>
    <x v="154"/>
    <s v="PARAGUAY"/>
    <m/>
    <s v="18.20"/>
    <s v="150"/>
    <s v="NL2018"/>
    <m/>
    <n v="10"/>
    <n v="1500"/>
    <x v="46"/>
    <n v="12750000"/>
    <x v="2"/>
    <x v="2"/>
    <d v="2019-09-29T00:00:00"/>
    <d v="2019-09-29T00:00:00"/>
    <m/>
    <m/>
    <m/>
    <m/>
    <m/>
    <n v="0"/>
    <m/>
    <m/>
    <m/>
    <m/>
    <m/>
    <m/>
    <n v="0"/>
    <n v="1500"/>
    <n v="12750000"/>
    <m/>
  </r>
  <r>
    <s v="23B/2019"/>
    <d v="2019-01-05T00:00:00"/>
    <s v="THANH THÚY"/>
    <s v="TO02"/>
    <x v="92"/>
    <x v="44"/>
    <s v="NELLO "/>
    <m/>
    <s v="12.14"/>
    <n v="400"/>
    <s v="NL2018"/>
    <m/>
    <n v="43"/>
    <n v="17200"/>
    <x v="26"/>
    <n v="51600000"/>
    <x v="0"/>
    <x v="6"/>
    <d v="2019-02-19T00:00:00"/>
    <d v="2019-02-19T00:00:00"/>
    <s v="15/1AL"/>
    <m/>
    <m/>
    <m/>
    <d v="2019-02-19T00:00:00"/>
    <n v="17200"/>
    <m/>
    <m/>
    <m/>
    <m/>
    <m/>
    <m/>
    <n v="17200"/>
    <n v="0"/>
    <n v="0"/>
    <m/>
  </r>
  <r>
    <s v="110B/2019"/>
    <d v="2019-03-12T00:00:00"/>
    <s v="THANH THÚY"/>
    <s v="TO02"/>
    <x v="92"/>
    <x v="61"/>
    <s v="NASHVILLE"/>
    <m/>
    <s v="14.16"/>
    <n v="300"/>
    <s v="NL2018"/>
    <m/>
    <n v="38"/>
    <n v="11400"/>
    <x v="64"/>
    <n v="43320000"/>
    <x v="0"/>
    <x v="1"/>
    <d v="2019-05-21T00:00:00"/>
    <d v="2019-05-21T00:00:00"/>
    <s v="30/3AL"/>
    <m/>
    <m/>
    <m/>
    <d v="2019-05-20T00:00:00"/>
    <n v="5100"/>
    <d v="2019-06-04T00:00:00"/>
    <n v="6300"/>
    <m/>
    <m/>
    <m/>
    <m/>
    <n v="11400"/>
    <n v="0"/>
    <n v="0"/>
    <m/>
  </r>
  <r>
    <s v="163B/2019"/>
    <d v="2019-03-30T00:00:00"/>
    <s v="THANH THÚY"/>
    <s v="TO01"/>
    <x v="92"/>
    <x v="155"/>
    <s v="MAYTIME"/>
    <m/>
    <s v="18.20"/>
    <s v="150"/>
    <s v="NL2018"/>
    <m/>
    <n v="10"/>
    <n v="1500"/>
    <x v="97"/>
    <n v="9750000"/>
    <x v="2"/>
    <x v="2"/>
    <d v="2019-09-29T00:00:00"/>
    <d v="2019-09-29T00:00:00"/>
    <m/>
    <m/>
    <m/>
    <m/>
    <m/>
    <n v="0"/>
    <m/>
    <m/>
    <m/>
    <m/>
    <m/>
    <m/>
    <n v="0"/>
    <n v="1500"/>
    <n v="9750000"/>
    <m/>
  </r>
  <r>
    <s v="23B/2019"/>
    <d v="2019-01-05T00:00:00"/>
    <s v="THANH THÚY"/>
    <s v="TO02"/>
    <x v="92"/>
    <x v="45"/>
    <s v="MARENGO"/>
    <m/>
    <s v="16.18"/>
    <n v="200"/>
    <s v="NL2018"/>
    <m/>
    <n v="35"/>
    <n v="7000"/>
    <x v="51"/>
    <n v="42000000"/>
    <x v="0"/>
    <x v="10"/>
    <d v="2019-04-03T00:00:00"/>
    <d v="2019-04-03T00:00:00"/>
    <s v="28/2AL"/>
    <s v="CONT 17/2019"/>
    <m/>
    <m/>
    <d v="2019-04-09T00:00:00"/>
    <n v="7000"/>
    <m/>
    <m/>
    <m/>
    <m/>
    <m/>
    <m/>
    <n v="7000"/>
    <n v="0"/>
    <n v="0"/>
    <m/>
  </r>
  <r>
    <s v="111B/2019"/>
    <d v="2019-03-12T00:00:00"/>
    <s v="THANH THÚY"/>
    <s v="TO02"/>
    <x v="92"/>
    <x v="156"/>
    <s v="MARENGO"/>
    <m/>
    <s v="18.20"/>
    <n v="150"/>
    <s v="NL2018"/>
    <m/>
    <n v="34"/>
    <n v="5100"/>
    <x v="152"/>
    <n v="48450000"/>
    <x v="2"/>
    <x v="2"/>
    <d v="2019-09-29T00:00:00"/>
    <d v="2019-09-29T00:00:00"/>
    <s v="TẾT"/>
    <m/>
    <m/>
    <m/>
    <m/>
    <n v="0"/>
    <m/>
    <m/>
    <m/>
    <m/>
    <m/>
    <m/>
    <n v="0"/>
    <n v="5100"/>
    <n v="48450000"/>
    <m/>
  </r>
  <r>
    <s v="23B/2019"/>
    <d v="2019-01-05T00:00:00"/>
    <s v="THANH THÚY"/>
    <s v="TO02"/>
    <x v="92"/>
    <x v="94"/>
    <s v="MALDANO"/>
    <m/>
    <s v="15.16"/>
    <n v="300"/>
    <s v="NL2018"/>
    <m/>
    <n v="16"/>
    <n v="4800"/>
    <x v="58"/>
    <n v="18720000"/>
    <x v="0"/>
    <x v="0"/>
    <d v="2019-03-20T00:00:00"/>
    <d v="2019-03-20T00:00:00"/>
    <s v="15/2AL"/>
    <s v="CONT 10/2019"/>
    <m/>
    <m/>
    <d v="2019-03-19T00:00:00"/>
    <n v="4800"/>
    <m/>
    <m/>
    <m/>
    <m/>
    <m/>
    <m/>
    <n v="4800"/>
    <n v="0"/>
    <n v="0"/>
    <d v="2020-02-11T00:00:00"/>
  </r>
  <r>
    <s v="163B/2019"/>
    <d v="2019-03-30T00:00:00"/>
    <s v="THANH THÚY"/>
    <s v="TO01"/>
    <x v="92"/>
    <x v="74"/>
    <s v="MALDANO"/>
    <m/>
    <s v="18.20"/>
    <s v="150"/>
    <s v="NL2018"/>
    <m/>
    <n v="35"/>
    <n v="5250"/>
    <x v="151"/>
    <n v="44100000"/>
    <x v="2"/>
    <x v="2"/>
    <d v="2019-09-29T00:00:00"/>
    <d v="2019-09-29T00:00:00"/>
    <m/>
    <m/>
    <m/>
    <m/>
    <m/>
    <n v="0"/>
    <m/>
    <m/>
    <m/>
    <m/>
    <m/>
    <m/>
    <n v="0"/>
    <n v="5250"/>
    <n v="44100000"/>
    <m/>
  </r>
  <r>
    <s v="163B/2019"/>
    <d v="2019-03-30T00:00:00"/>
    <s v="THANH THÚY"/>
    <s v="TO01"/>
    <x v="92"/>
    <x v="157"/>
    <s v="MAJESTIC JOY"/>
    <s v="POT"/>
    <s v="10.12"/>
    <s v="500"/>
    <s v="NL2018"/>
    <m/>
    <n v="48"/>
    <n v="24000"/>
    <x v="3"/>
    <n v="84000000"/>
    <x v="2"/>
    <x v="2"/>
    <d v="2019-09-29T00:00:00"/>
    <d v="2019-09-29T00:00:00"/>
    <m/>
    <m/>
    <m/>
    <m/>
    <m/>
    <n v="0"/>
    <m/>
    <m/>
    <m/>
    <m/>
    <m/>
    <m/>
    <n v="0"/>
    <n v="24000"/>
    <n v="84000000"/>
    <m/>
  </r>
  <r>
    <s v="111B/2019"/>
    <d v="2019-03-12T00:00:00"/>
    <s v="THANH THÚY"/>
    <s v="TO02"/>
    <x v="92"/>
    <x v="139"/>
    <s v="LODI"/>
    <m/>
    <s v="18.20"/>
    <n v="150"/>
    <s v="NL2018"/>
    <m/>
    <n v="0"/>
    <n v="0"/>
    <x v="160"/>
    <n v="0"/>
    <x v="1"/>
    <x v="2"/>
    <d v="2019-09-29T00:00:00"/>
    <d v="2019-09-29T00:00:00"/>
    <s v="TẾT"/>
    <m/>
    <m/>
    <m/>
    <m/>
    <n v="0"/>
    <m/>
    <m/>
    <m/>
    <m/>
    <m/>
    <m/>
    <n v="0"/>
    <n v="0"/>
    <n v="0"/>
    <m/>
  </r>
  <r>
    <s v="163B/2019"/>
    <d v="2019-03-30T00:00:00"/>
    <s v="THANH THÚY"/>
    <s v="TO01"/>
    <x v="92"/>
    <x v="139"/>
    <s v="LODI"/>
    <m/>
    <s v="18.20"/>
    <s v="150"/>
    <s v="NL2018"/>
    <m/>
    <n v="30"/>
    <n v="4500"/>
    <x v="160"/>
    <n v="41400000"/>
    <x v="2"/>
    <x v="2"/>
    <d v="2019-09-29T00:00:00"/>
    <d v="2019-09-29T00:00:00"/>
    <m/>
    <m/>
    <m/>
    <m/>
    <m/>
    <n v="0"/>
    <m/>
    <m/>
    <m/>
    <m/>
    <m/>
    <m/>
    <n v="0"/>
    <n v="4500"/>
    <n v="41400000"/>
    <m/>
  </r>
  <r>
    <s v="163B/2019"/>
    <d v="2019-03-30T00:00:00"/>
    <s v="THANH THÚY"/>
    <s v="TO01"/>
    <x v="92"/>
    <x v="95"/>
    <s v="LAKE CAREY"/>
    <m/>
    <s v="16.18"/>
    <s v="200"/>
    <s v="NL2018"/>
    <m/>
    <n v="15"/>
    <n v="3000"/>
    <x v="71"/>
    <n v="20400000"/>
    <x v="2"/>
    <x v="2"/>
    <d v="2019-09-29T00:00:00"/>
    <d v="2019-09-29T00:00:00"/>
    <m/>
    <m/>
    <m/>
    <m/>
    <m/>
    <n v="0"/>
    <m/>
    <m/>
    <m/>
    <m/>
    <m/>
    <m/>
    <n v="0"/>
    <n v="3000"/>
    <n v="20400000"/>
    <m/>
  </r>
  <r>
    <s v="163B/2019"/>
    <d v="2019-03-30T00:00:00"/>
    <s v="THANH THÚY"/>
    <s v="TO01"/>
    <x v="92"/>
    <x v="158"/>
    <s v="ISLAND JOY"/>
    <s v="POT"/>
    <s v="11.12"/>
    <s v="400"/>
    <s v="NL2018"/>
    <m/>
    <n v="21"/>
    <n v="8400"/>
    <x v="108"/>
    <n v="30240000"/>
    <x v="2"/>
    <x v="2"/>
    <d v="2019-09-29T00:00:00"/>
    <d v="2019-09-29T00:00:00"/>
    <m/>
    <m/>
    <m/>
    <m/>
    <m/>
    <n v="0"/>
    <m/>
    <m/>
    <m/>
    <m/>
    <m/>
    <m/>
    <n v="0"/>
    <n v="8400"/>
    <n v="30240000"/>
    <m/>
  </r>
  <r>
    <s v="163B/2019"/>
    <d v="2019-03-30T00:00:00"/>
    <s v="THANH THÚY"/>
    <s v="TO01"/>
    <x v="92"/>
    <x v="159"/>
    <s v="GOLDEN JOY"/>
    <s v="POT"/>
    <s v="10.12"/>
    <s v="500"/>
    <s v="NL2018"/>
    <m/>
    <n v="54"/>
    <n v="27000"/>
    <x v="3"/>
    <n v="94500000"/>
    <x v="2"/>
    <x v="2"/>
    <d v="2019-09-29T00:00:00"/>
    <d v="2019-09-29T00:00:00"/>
    <m/>
    <m/>
    <m/>
    <m/>
    <m/>
    <n v="0"/>
    <m/>
    <m/>
    <m/>
    <m/>
    <m/>
    <m/>
    <n v="0"/>
    <n v="27000"/>
    <n v="94500000"/>
    <m/>
  </r>
  <r>
    <s v="163B/2019"/>
    <d v="2019-03-30T00:00:00"/>
    <s v="THANH THÚY"/>
    <s v="TO01"/>
    <x v="92"/>
    <x v="160"/>
    <s v="GOLDEN JOY"/>
    <s v="POT"/>
    <s v="12.14"/>
    <s v="400"/>
    <s v="NL2018"/>
    <m/>
    <n v="10"/>
    <n v="4000"/>
    <x v="73"/>
    <n v="20800000"/>
    <x v="2"/>
    <x v="2"/>
    <d v="2019-09-29T00:00:00"/>
    <d v="2019-09-29T00:00:00"/>
    <m/>
    <m/>
    <m/>
    <m/>
    <m/>
    <n v="0"/>
    <m/>
    <m/>
    <m/>
    <m/>
    <m/>
    <m/>
    <n v="0"/>
    <n v="4000"/>
    <n v="20800000"/>
    <m/>
  </r>
  <r>
    <s v="163B/2019"/>
    <d v="2019-03-30T00:00:00"/>
    <s v="THANH THÚY"/>
    <s v="TO01"/>
    <x v="92"/>
    <x v="161"/>
    <s v="EREMO"/>
    <m/>
    <s v="16.18"/>
    <s v="200"/>
    <s v="NL2018"/>
    <m/>
    <n v="10"/>
    <n v="2000"/>
    <x v="42"/>
    <n v="12200000"/>
    <x v="2"/>
    <x v="2"/>
    <d v="2019-09-29T00:00:00"/>
    <d v="2019-09-29T00:00:00"/>
    <m/>
    <m/>
    <m/>
    <m/>
    <m/>
    <n v="0"/>
    <m/>
    <m/>
    <m/>
    <m/>
    <m/>
    <m/>
    <n v="0"/>
    <n v="2000"/>
    <n v="12200000"/>
    <m/>
  </r>
  <r>
    <s v="163B/2019"/>
    <d v="2019-03-30T00:00:00"/>
    <s v="THANH THÚY"/>
    <s v="TO01"/>
    <x v="92"/>
    <x v="162"/>
    <s v="DYNAMIX"/>
    <m/>
    <s v="16.18"/>
    <s v="200"/>
    <s v="NL2018"/>
    <m/>
    <n v="10"/>
    <n v="2000"/>
    <x v="54"/>
    <n v="0"/>
    <x v="2"/>
    <x v="2"/>
    <d v="2019-09-29T00:00:00"/>
    <d v="2019-09-29T00:00:00"/>
    <m/>
    <m/>
    <m/>
    <m/>
    <m/>
    <n v="0"/>
    <m/>
    <m/>
    <m/>
    <m/>
    <m/>
    <m/>
    <n v="0"/>
    <n v="2000"/>
    <n v="0"/>
    <m/>
  </r>
  <r>
    <s v="110B/2019"/>
    <d v="2019-03-12T00:00:00"/>
    <s v="THANH THÚY"/>
    <s v="TO02"/>
    <x v="92"/>
    <x v="24"/>
    <s v="DALIAN"/>
    <m/>
    <s v="14.16"/>
    <n v="300"/>
    <s v="NL2018"/>
    <m/>
    <n v="17"/>
    <n v="5100"/>
    <x v="6"/>
    <n v="27540000"/>
    <x v="0"/>
    <x v="1"/>
    <d v="2019-05-21T00:00:00"/>
    <d v="2019-05-21T00:00:00"/>
    <s v="30/3AL"/>
    <m/>
    <m/>
    <m/>
    <d v="2019-06-04T00:00:00"/>
    <n v="5100"/>
    <m/>
    <m/>
    <m/>
    <m/>
    <m/>
    <m/>
    <n v="5100"/>
    <n v="0"/>
    <n v="0"/>
    <m/>
  </r>
  <r>
    <s v="110B/2019"/>
    <d v="2019-06-12T00:00:00"/>
    <s v="THANH THÚY"/>
    <s v="TO02"/>
    <x v="92"/>
    <x v="24"/>
    <s v="DALIAN"/>
    <m/>
    <s v="14.16"/>
    <n v="300"/>
    <s v="NL2018"/>
    <m/>
    <n v="17"/>
    <n v="5100"/>
    <x v="171"/>
    <n v="27795000"/>
    <x v="0"/>
    <x v="28"/>
    <d v="2019-06-07T00:00:00"/>
    <d v="2019-06-07T00:00:00"/>
    <m/>
    <m/>
    <m/>
    <m/>
    <d v="2019-06-21T00:00:00"/>
    <n v="5100"/>
    <m/>
    <m/>
    <m/>
    <m/>
    <m/>
    <m/>
    <n v="5100"/>
    <n v="0"/>
    <n v="0"/>
    <m/>
  </r>
  <r>
    <s v="110B/2019"/>
    <d v="2019-06-12T00:00:00"/>
    <s v="THANH THÚY"/>
    <s v="TO02"/>
    <x v="92"/>
    <x v="24"/>
    <s v="DALIAN"/>
    <m/>
    <s v="14.16"/>
    <n v="300"/>
    <s v="NL2018"/>
    <m/>
    <n v="17"/>
    <n v="5100"/>
    <x v="10"/>
    <n v="28050000"/>
    <x v="4"/>
    <x v="4"/>
    <d v="2019-07-17T00:00:00"/>
    <d v="2019-07-17T00:00:00"/>
    <s v="15/6 LẤY"/>
    <m/>
    <m/>
    <m/>
    <m/>
    <m/>
    <m/>
    <m/>
    <m/>
    <m/>
    <m/>
    <m/>
    <n v="0"/>
    <n v="5100"/>
    <n v="28050000"/>
    <m/>
  </r>
  <r>
    <s v="110B/2019"/>
    <d v="2019-06-17T00:00:00"/>
    <s v="THANH THÚY"/>
    <s v="TO02"/>
    <x v="92"/>
    <x v="24"/>
    <s v="DALIAN"/>
    <m/>
    <s v="14.16"/>
    <n v="300"/>
    <s v="NL2018"/>
    <m/>
    <n v="67"/>
    <n v="20100"/>
    <x v="10"/>
    <n v="110550000"/>
    <x v="2"/>
    <x v="20"/>
    <d v="2019-07-27T00:00:00"/>
    <d v="2019-07-27T00:00:00"/>
    <m/>
    <m/>
    <m/>
    <m/>
    <m/>
    <m/>
    <m/>
    <m/>
    <m/>
    <m/>
    <m/>
    <m/>
    <n v="0"/>
    <n v="20100"/>
    <n v="110550000"/>
    <m/>
  </r>
  <r>
    <s v="111B/2019"/>
    <d v="2019-03-12T00:00:00"/>
    <s v="THANH THÚY"/>
    <s v="TO02"/>
    <x v="92"/>
    <x v="62"/>
    <s v="DALIAN"/>
    <m/>
    <s v="20.22"/>
    <n v="125"/>
    <s v="NL2018"/>
    <m/>
    <n v="80"/>
    <n v="10000"/>
    <x v="24"/>
    <n v="142000000"/>
    <x v="2"/>
    <x v="2"/>
    <d v="2019-09-29T00:00:00"/>
    <d v="2019-09-29T00:00:00"/>
    <s v="TẾT"/>
    <m/>
    <m/>
    <m/>
    <m/>
    <n v="0"/>
    <m/>
    <m/>
    <m/>
    <m/>
    <m/>
    <m/>
    <n v="0"/>
    <n v="10000"/>
    <n v="142000000"/>
    <m/>
  </r>
  <r>
    <s v="163B/2019"/>
    <d v="2019-03-30T00:00:00"/>
    <s v="THANH THÚY"/>
    <s v="TO01"/>
    <x v="92"/>
    <x v="163"/>
    <s v="CONFETTI JOY"/>
    <s v="POT"/>
    <s v="12.14"/>
    <s v="400"/>
    <s v="NL2018"/>
    <m/>
    <n v="10"/>
    <n v="4000"/>
    <x v="73"/>
    <n v="20800000"/>
    <x v="2"/>
    <x v="2"/>
    <d v="2019-09-29T00:00:00"/>
    <d v="2019-09-29T00:00:00"/>
    <m/>
    <m/>
    <m/>
    <m/>
    <m/>
    <n v="0"/>
    <m/>
    <m/>
    <m/>
    <m/>
    <m/>
    <m/>
    <n v="0"/>
    <n v="4000"/>
    <n v="20800000"/>
    <m/>
  </r>
  <r>
    <s v="23B/2019"/>
    <d v="2019-01-05T00:00:00"/>
    <s v="THANH THÚY"/>
    <s v="TO02"/>
    <x v="92"/>
    <x v="6"/>
    <s v="CONCADOR "/>
    <m/>
    <s v="16.18"/>
    <n v="200"/>
    <s v="NL2018"/>
    <m/>
    <n v="25"/>
    <n v="5000"/>
    <x v="29"/>
    <n v="23000000"/>
    <x v="0"/>
    <x v="6"/>
    <d v="2019-02-19T00:00:00"/>
    <d v="2019-02-19T00:00:00"/>
    <s v="15/1AL"/>
    <m/>
    <m/>
    <m/>
    <d v="2019-02-19T00:00:00"/>
    <n v="5000"/>
    <m/>
    <m/>
    <m/>
    <m/>
    <m/>
    <m/>
    <n v="5000"/>
    <n v="0"/>
    <n v="0"/>
    <d v="2020-02-11T00:00:00"/>
  </r>
  <r>
    <s v="111B/2019"/>
    <d v="2019-03-12T00:00:00"/>
    <s v="THANH THÚY"/>
    <s v="TO02"/>
    <x v="92"/>
    <x v="8"/>
    <s v="CONCADOR"/>
    <m/>
    <s v="18.20"/>
    <n v="150"/>
    <s v="NL2018"/>
    <m/>
    <n v="34"/>
    <n v="5100"/>
    <x v="9"/>
    <n v="40800000"/>
    <x v="2"/>
    <x v="2"/>
    <d v="2019-09-29T00:00:00"/>
    <d v="2019-09-29T00:00:00"/>
    <s v="TẾT"/>
    <m/>
    <m/>
    <m/>
    <m/>
    <n v="0"/>
    <m/>
    <m/>
    <m/>
    <m/>
    <m/>
    <m/>
    <n v="0"/>
    <n v="5100"/>
    <n v="40800000"/>
    <m/>
  </r>
  <r>
    <s v="111B/2019"/>
    <d v="2019-03-12T00:00:00"/>
    <s v="THANH THÚY"/>
    <s v="TO02"/>
    <x v="92"/>
    <x v="7"/>
    <s v="CONCADOR"/>
    <m/>
    <s v="20.22"/>
    <n v="125"/>
    <s v="NL2018"/>
    <m/>
    <n v="40"/>
    <n v="5000"/>
    <x v="5"/>
    <n v="52500000"/>
    <x v="2"/>
    <x v="2"/>
    <d v="2019-09-29T00:00:00"/>
    <d v="2019-09-29T00:00:00"/>
    <s v="TẾT"/>
    <m/>
    <m/>
    <m/>
    <m/>
    <n v="0"/>
    <m/>
    <m/>
    <m/>
    <m/>
    <m/>
    <m/>
    <n v="0"/>
    <n v="5000"/>
    <n v="52500000"/>
    <m/>
  </r>
  <r>
    <s v="163B/2019"/>
    <d v="2019-03-30T00:00:00"/>
    <s v="THANH THÚY"/>
    <s v="TO01"/>
    <x v="92"/>
    <x v="8"/>
    <s v="CONCADOR"/>
    <m/>
    <s v="18.20"/>
    <s v="150"/>
    <s v="NL2018"/>
    <m/>
    <n v="30"/>
    <n v="4500"/>
    <x v="9"/>
    <n v="36000000"/>
    <x v="2"/>
    <x v="2"/>
    <d v="2019-09-29T00:00:00"/>
    <d v="2019-09-29T00:00:00"/>
    <m/>
    <m/>
    <m/>
    <m/>
    <m/>
    <n v="0"/>
    <m/>
    <m/>
    <m/>
    <m/>
    <m/>
    <m/>
    <n v="0"/>
    <n v="4500"/>
    <n v="36000000"/>
    <m/>
  </r>
  <r>
    <s v="163B/2019"/>
    <d v="2019-03-30T00:00:00"/>
    <s v="THANH THÚY"/>
    <s v="TO01"/>
    <x v="92"/>
    <x v="164"/>
    <s v="CLASSIC JOY"/>
    <s v="POT"/>
    <s v="10.12"/>
    <s v="500"/>
    <s v="NL2018"/>
    <m/>
    <n v="48"/>
    <n v="24000"/>
    <x v="3"/>
    <n v="84000000"/>
    <x v="2"/>
    <x v="2"/>
    <d v="2019-09-29T00:00:00"/>
    <d v="2019-09-29T00:00:00"/>
    <m/>
    <m/>
    <m/>
    <m/>
    <m/>
    <n v="0"/>
    <m/>
    <m/>
    <m/>
    <m/>
    <m/>
    <m/>
    <n v="0"/>
    <n v="24000"/>
    <n v="84000000"/>
    <m/>
  </r>
  <r>
    <s v="163B/2019"/>
    <d v="2019-03-30T00:00:00"/>
    <s v="THANH THÚY"/>
    <s v="TO01"/>
    <x v="92"/>
    <x v="165"/>
    <s v="CLASSIC JOY"/>
    <s v="POT"/>
    <s v="12.14"/>
    <s v="400"/>
    <s v="NL2018"/>
    <m/>
    <n v="10"/>
    <n v="4000"/>
    <x v="73"/>
    <n v="20800000"/>
    <x v="2"/>
    <x v="2"/>
    <d v="2019-09-29T00:00:00"/>
    <d v="2019-09-29T00:00:00"/>
    <m/>
    <m/>
    <m/>
    <m/>
    <m/>
    <n v="0"/>
    <m/>
    <m/>
    <m/>
    <m/>
    <m/>
    <m/>
    <n v="0"/>
    <n v="4000"/>
    <n v="20800000"/>
    <m/>
  </r>
  <r>
    <s v="163B/2019"/>
    <d v="2019-03-30T00:00:00"/>
    <s v="THANH THÚY"/>
    <s v="TO01"/>
    <x v="92"/>
    <x v="166"/>
    <s v="BUZZER"/>
    <s v="POT"/>
    <s v="10.12"/>
    <s v="500"/>
    <s v="NL2018"/>
    <m/>
    <n v="10"/>
    <n v="5000"/>
    <x v="3"/>
    <n v="17500000"/>
    <x v="2"/>
    <x v="2"/>
    <d v="2019-09-29T00:00:00"/>
    <d v="2019-09-29T00:00:00"/>
    <m/>
    <m/>
    <m/>
    <m/>
    <m/>
    <n v="0"/>
    <m/>
    <m/>
    <m/>
    <m/>
    <m/>
    <m/>
    <n v="0"/>
    <n v="5000"/>
    <n v="17500000"/>
    <m/>
  </r>
  <r>
    <s v="23B/2019"/>
    <d v="2019-01-05T00:00:00"/>
    <s v="THANH THÚY"/>
    <s v="TO02"/>
    <x v="92"/>
    <x v="9"/>
    <s v="ARVANDRUD"/>
    <m/>
    <s v="16.18"/>
    <n v="200"/>
    <s v="NL2018"/>
    <m/>
    <n v="125"/>
    <n v="25000"/>
    <x v="10"/>
    <n v="137500000"/>
    <x v="0"/>
    <x v="5"/>
    <d v="2019-04-19T00:00:00"/>
    <d v="2019-04-19T00:00:00"/>
    <s v="15/3AL"/>
    <s v="CONT 21/2019"/>
    <m/>
    <m/>
    <d v="2019-04-23T00:00:00"/>
    <n v="10000"/>
    <d v="2019-05-06T00:00:00"/>
    <n v="5000"/>
    <d v="2019-05-24T00:00:00"/>
    <n v="10000"/>
    <m/>
    <m/>
    <n v="25000"/>
    <n v="0"/>
    <n v="0"/>
    <m/>
  </r>
  <r>
    <s v="110B/2019"/>
    <d v="2019-03-12T00:00:00"/>
    <s v="THANH THÚY"/>
    <s v="TO02"/>
    <x v="92"/>
    <x v="9"/>
    <s v="ARVANDRUD"/>
    <m/>
    <s v="16.18"/>
    <n v="200"/>
    <s v="NL2018"/>
    <m/>
    <n v="0"/>
    <n v="0"/>
    <x v="98"/>
    <n v="0"/>
    <x v="1"/>
    <x v="1"/>
    <d v="2019-05-21T00:00:00"/>
    <d v="2019-05-21T00:00:00"/>
    <s v="30/3AL"/>
    <m/>
    <m/>
    <m/>
    <m/>
    <n v="0"/>
    <m/>
    <m/>
    <m/>
    <m/>
    <m/>
    <m/>
    <n v="0"/>
    <n v="0"/>
    <n v="0"/>
    <m/>
  </r>
  <r>
    <s v="110B/2019"/>
    <d v="2019-06-12T00:00:00"/>
    <s v="THANH THÚY"/>
    <s v="TO02"/>
    <x v="92"/>
    <x v="9"/>
    <s v="ARVANDRUD"/>
    <m/>
    <s v="16.18"/>
    <n v="200"/>
    <s v="NL2018"/>
    <m/>
    <n v="25"/>
    <n v="5000"/>
    <x v="73"/>
    <n v="26000000"/>
    <x v="0"/>
    <x v="1"/>
    <d v="2019-05-21T00:00:00"/>
    <d v="2019-05-21T00:00:00"/>
    <m/>
    <m/>
    <m/>
    <m/>
    <d v="2019-06-21T00:00:00"/>
    <n v="5000"/>
    <m/>
    <m/>
    <m/>
    <m/>
    <m/>
    <m/>
    <n v="5000"/>
    <n v="0"/>
    <n v="0"/>
    <m/>
  </r>
  <r>
    <s v="110B/2019"/>
    <d v="2019-06-12T00:00:00"/>
    <s v="THANH THÚY"/>
    <s v="TO02"/>
    <x v="92"/>
    <x v="9"/>
    <s v="ARVANDRUD"/>
    <m/>
    <s v="16.18"/>
    <n v="200"/>
    <s v="NL2018"/>
    <m/>
    <n v="25"/>
    <n v="5000"/>
    <x v="73"/>
    <n v="26000000"/>
    <x v="3"/>
    <x v="1"/>
    <d v="2019-05-21T00:00:00"/>
    <d v="2019-05-21T00:00:00"/>
    <s v="15/6 LẤY"/>
    <m/>
    <m/>
    <m/>
    <m/>
    <m/>
    <m/>
    <m/>
    <m/>
    <m/>
    <m/>
    <m/>
    <n v="0"/>
    <n v="5000"/>
    <n v="26000000"/>
    <m/>
  </r>
  <r>
    <s v="110B/2019"/>
    <d v="2019-06-12T00:00:00"/>
    <s v="THANH THÚY"/>
    <s v="TO02"/>
    <x v="92"/>
    <x v="9"/>
    <s v="ARVANDRUD"/>
    <m/>
    <s v="16.18"/>
    <n v="200"/>
    <s v="NL2018"/>
    <m/>
    <n v="9"/>
    <n v="1800"/>
    <x v="10"/>
    <n v="9900000"/>
    <x v="0"/>
    <x v="28"/>
    <d v="2019-06-07T00:00:00"/>
    <d v="2019-06-07T00:00:00"/>
    <s v="30/3AL"/>
    <m/>
    <m/>
    <m/>
    <d v="2019-06-12T00:00:00"/>
    <n v="1800"/>
    <m/>
    <m/>
    <m/>
    <m/>
    <m/>
    <m/>
    <n v="1800"/>
    <n v="0"/>
    <n v="0"/>
    <m/>
  </r>
  <r>
    <s v="110B/2019"/>
    <d v="2019-03-12T00:00:00"/>
    <s v="THANH THÚY"/>
    <s v="TO02"/>
    <x v="92"/>
    <x v="9"/>
    <s v="ARVANDRUD"/>
    <m/>
    <s v="16.18"/>
    <n v="200"/>
    <s v="NL2018"/>
    <m/>
    <n v="0"/>
    <n v="0"/>
    <x v="55"/>
    <n v="0"/>
    <x v="1"/>
    <x v="11"/>
    <d v="2019-06-02T00:00:00"/>
    <d v="2019-06-02T00:00:00"/>
    <s v="29/4AL"/>
    <m/>
    <m/>
    <m/>
    <m/>
    <n v="0"/>
    <m/>
    <m/>
    <m/>
    <m/>
    <m/>
    <m/>
    <n v="0"/>
    <n v="0"/>
    <n v="0"/>
    <m/>
  </r>
  <r>
    <s v="111B/2019"/>
    <d v="2019-03-12T00:00:00"/>
    <s v="THANH THÚY"/>
    <s v="TO02"/>
    <x v="92"/>
    <x v="64"/>
    <s v="ARVANDRUD"/>
    <m/>
    <s v="18.20"/>
    <n v="150"/>
    <s v="NL2018"/>
    <m/>
    <n v="67"/>
    <n v="10050"/>
    <x v="46"/>
    <n v="85425000"/>
    <x v="2"/>
    <x v="2"/>
    <d v="2019-09-29T00:00:00"/>
    <d v="2019-09-29T00:00:00"/>
    <s v="TẾT"/>
    <m/>
    <m/>
    <m/>
    <m/>
    <n v="0"/>
    <m/>
    <m/>
    <m/>
    <m/>
    <m/>
    <m/>
    <n v="0"/>
    <n v="10050"/>
    <n v="85425000"/>
    <m/>
  </r>
  <r>
    <s v="110B/2019"/>
    <d v="2019-03-12T00:00:00"/>
    <s v="THANH THÚY"/>
    <s v="TO02"/>
    <x v="92"/>
    <x v="54"/>
    <s v="AMATERAS"/>
    <m/>
    <s v="14.16"/>
    <n v="300"/>
    <s v="NL2018"/>
    <m/>
    <n v="0"/>
    <n v="0"/>
    <x v="50"/>
    <n v="0"/>
    <x v="1"/>
    <x v="11"/>
    <d v="2019-06-02T00:00:00"/>
    <d v="2019-06-02T00:00:00"/>
    <s v="29/4AL"/>
    <m/>
    <m/>
    <m/>
    <m/>
    <n v="0"/>
    <m/>
    <m/>
    <m/>
    <m/>
    <m/>
    <m/>
    <n v="0"/>
    <n v="0"/>
    <n v="0"/>
    <m/>
  </r>
  <r>
    <s v="121A/2019"/>
    <d v="2019-03-15T00:00:00"/>
    <s v="KIỀU THY"/>
    <s v="TH03"/>
    <x v="93"/>
    <x v="0"/>
    <s v="YELLOWEEN"/>
    <m/>
    <s v="12.14"/>
    <s v="400"/>
    <s v="NL2018"/>
    <m/>
    <n v="12"/>
    <n v="4800"/>
    <x v="0"/>
    <n v="12480000"/>
    <x v="0"/>
    <x v="17"/>
    <d v="2019-04-02T00:00:00"/>
    <d v="2019-04-02T00:00:00"/>
    <m/>
    <m/>
    <m/>
    <m/>
    <d v="2019-04-22T00:00:00"/>
    <n v="4800"/>
    <m/>
    <m/>
    <m/>
    <m/>
    <m/>
    <m/>
    <n v="4800"/>
    <n v="0"/>
    <n v="0"/>
    <m/>
  </r>
  <r>
    <s v="121A/2019"/>
    <d v="2019-03-15T00:00:00"/>
    <s v="KIỀU THY"/>
    <s v="TH03"/>
    <x v="93"/>
    <x v="0"/>
    <s v="YELLOWEEN"/>
    <m/>
    <s v="12.14"/>
    <s v="400"/>
    <s v="NL2018"/>
    <m/>
    <n v="9"/>
    <n v="3600"/>
    <x v="1"/>
    <n v="9720000"/>
    <x v="0"/>
    <x v="5"/>
    <d v="2019-04-19T00:00:00"/>
    <d v="2019-04-19T00:00:00"/>
    <m/>
    <m/>
    <m/>
    <m/>
    <d v="2019-05-11T00:00:00"/>
    <n v="3600"/>
    <m/>
    <m/>
    <m/>
    <m/>
    <m/>
    <m/>
    <n v="3600"/>
    <n v="0"/>
    <n v="0"/>
    <m/>
  </r>
  <r>
    <s v="121A/2019"/>
    <d v="2019-03-15T00:00:00"/>
    <s v="KIỀU THY"/>
    <s v="TH03"/>
    <x v="93"/>
    <x v="78"/>
    <s v="YELLOWEEN"/>
    <m/>
    <s v="14.16"/>
    <s v="300"/>
    <s v="NL2018"/>
    <m/>
    <n v="14"/>
    <n v="4200"/>
    <x v="64"/>
    <n v="15960000"/>
    <x v="0"/>
    <x v="1"/>
    <d v="2019-05-21T00:00:00"/>
    <d v="2019-05-21T00:00:00"/>
    <m/>
    <m/>
    <m/>
    <m/>
    <d v="2019-05-31T00:00:00"/>
    <n v="4200"/>
    <m/>
    <m/>
    <m/>
    <m/>
    <m/>
    <m/>
    <n v="4200"/>
    <n v="0"/>
    <n v="0"/>
    <m/>
  </r>
  <r>
    <s v="121A/2019"/>
    <d v="2019-03-15T00:00:00"/>
    <s v="KIỀU THY"/>
    <s v="TH03"/>
    <x v="93"/>
    <x v="10"/>
    <s v="TARRANGO"/>
    <m/>
    <s v="16.18"/>
    <s v="200"/>
    <s v="NL2018"/>
    <m/>
    <n v="7"/>
    <n v="1400"/>
    <x v="10"/>
    <n v="7700000"/>
    <x v="0"/>
    <x v="5"/>
    <d v="2019-04-19T00:00:00"/>
    <d v="2019-04-19T00:00:00"/>
    <m/>
    <m/>
    <m/>
    <m/>
    <d v="2019-05-11T00:00:00"/>
    <n v="1400"/>
    <m/>
    <m/>
    <m/>
    <m/>
    <m/>
    <m/>
    <n v="1400"/>
    <n v="0"/>
    <n v="0"/>
    <m/>
  </r>
  <r>
    <s v="121A/2019"/>
    <d v="2019-03-15T00:00:00"/>
    <s v="KIỀU THY"/>
    <s v="TH03"/>
    <x v="93"/>
    <x v="5"/>
    <s v="ROBINA"/>
    <m/>
    <s v="18.20"/>
    <s v="150"/>
    <s v="NL2018"/>
    <m/>
    <n v="14"/>
    <n v="2100"/>
    <x v="75"/>
    <n v="13230000"/>
    <x v="0"/>
    <x v="5"/>
    <d v="2019-04-19T00:00:00"/>
    <d v="2019-04-19T00:00:00"/>
    <m/>
    <m/>
    <m/>
    <m/>
    <d v="2019-05-11T00:00:00"/>
    <n v="2100"/>
    <m/>
    <m/>
    <m/>
    <m/>
    <m/>
    <m/>
    <n v="2100"/>
    <n v="0"/>
    <n v="0"/>
    <m/>
  </r>
  <r>
    <s v="121A/2019"/>
    <d v="2019-03-15T00:00:00"/>
    <s v="KIỀU THY"/>
    <s v="TH03"/>
    <x v="93"/>
    <x v="3"/>
    <s v="ROBINA"/>
    <m/>
    <s v="16.18"/>
    <s v="200"/>
    <s v="NL2018"/>
    <m/>
    <n v="15"/>
    <n v="3000"/>
    <x v="8"/>
    <n v="15000000"/>
    <x v="0"/>
    <x v="1"/>
    <d v="2019-05-21T00:00:00"/>
    <d v="2019-05-21T00:00:00"/>
    <m/>
    <m/>
    <m/>
    <m/>
    <d v="2019-05-31T00:00:00"/>
    <n v="3000"/>
    <m/>
    <m/>
    <m/>
    <m/>
    <m/>
    <m/>
    <n v="3000"/>
    <n v="0"/>
    <n v="0"/>
    <m/>
  </r>
  <r>
    <s v="124A/2019"/>
    <d v="2019-03-15T00:00:00"/>
    <s v="KIỀU THY"/>
    <s v="TH03"/>
    <x v="93"/>
    <x v="23"/>
    <s v="ROBINA"/>
    <m/>
    <s v="22.24"/>
    <s v="100"/>
    <s v="NL2018"/>
    <m/>
    <n v="150"/>
    <n v="15000"/>
    <x v="25"/>
    <n v="187500000"/>
    <x v="2"/>
    <x v="2"/>
    <d v="2019-09-29T00:00:00"/>
    <d v="2019-09-29T00:00:00"/>
    <s v="TẾT"/>
    <m/>
    <m/>
    <m/>
    <m/>
    <n v="0"/>
    <m/>
    <m/>
    <m/>
    <m/>
    <m/>
    <m/>
    <n v="0"/>
    <n v="15000"/>
    <n v="187500000"/>
    <m/>
  </r>
  <r>
    <s v="121A/2019"/>
    <d v="2019-06-15T00:00:00"/>
    <s v="KIỀU THY"/>
    <s v="TH03"/>
    <x v="93"/>
    <x v="3"/>
    <s v="ROBINA"/>
    <m/>
    <s v="16.18"/>
    <s v="200"/>
    <s v="NL2018"/>
    <m/>
    <n v="15"/>
    <n v="3000"/>
    <x v="10"/>
    <n v="16500000"/>
    <x v="0"/>
    <x v="73"/>
    <d v="2019-06-17T00:00:00"/>
    <d v="2019-06-17T00:00:00"/>
    <m/>
    <m/>
    <m/>
    <m/>
    <d v="2019-06-20T00:00:00"/>
    <n v="3000"/>
    <m/>
    <m/>
    <m/>
    <m/>
    <m/>
    <m/>
    <n v="3000"/>
    <n v="0"/>
    <n v="0"/>
    <m/>
  </r>
  <r>
    <s v="121A/2019"/>
    <d v="2019-06-15T00:00:00"/>
    <s v="KIỀU THY"/>
    <s v="TH03"/>
    <x v="93"/>
    <x v="3"/>
    <s v="ROBINA"/>
    <m/>
    <s v="16.18"/>
    <s v="200"/>
    <s v="NL2018"/>
    <m/>
    <n v="20"/>
    <n v="4000"/>
    <x v="10"/>
    <n v="22000000"/>
    <x v="3"/>
    <x v="3"/>
    <d v="2019-06-20T00:00:00"/>
    <d v="2019-06-20T00:00:00"/>
    <m/>
    <m/>
    <m/>
    <m/>
    <m/>
    <m/>
    <m/>
    <m/>
    <m/>
    <m/>
    <m/>
    <m/>
    <n v="0"/>
    <n v="4000"/>
    <n v="22000000"/>
    <m/>
  </r>
  <r>
    <s v="121A/2019"/>
    <d v="2019-03-15T00:00:00"/>
    <s v="KIỀU THY"/>
    <s v="TH03"/>
    <x v="93"/>
    <x v="12"/>
    <s v="PROFUNDO"/>
    <m/>
    <s v="14.16"/>
    <s v="300"/>
    <s v="NL2018"/>
    <m/>
    <n v="6"/>
    <n v="1800"/>
    <x v="43"/>
    <n v="8640000"/>
    <x v="0"/>
    <x v="0"/>
    <d v="2019-03-20T00:00:00"/>
    <d v="2019-03-20T00:00:00"/>
    <m/>
    <m/>
    <m/>
    <m/>
    <d v="2019-04-22T00:00:00"/>
    <n v="1800"/>
    <m/>
    <m/>
    <m/>
    <m/>
    <m/>
    <m/>
    <n v="1800"/>
    <n v="0"/>
    <n v="0"/>
    <m/>
  </r>
  <r>
    <s v="121A/2019"/>
    <d v="2019-06-15T00:00:00"/>
    <s v="KIỀU THY"/>
    <s v="TH03"/>
    <x v="93"/>
    <x v="167"/>
    <s v="OUTBACK"/>
    <m/>
    <s v="14.16"/>
    <s v="300"/>
    <s v="NL2018"/>
    <m/>
    <n v="7"/>
    <n v="2100"/>
    <x v="6"/>
    <n v="11340000"/>
    <x v="0"/>
    <x v="73"/>
    <d v="2019-06-17T00:00:00"/>
    <d v="2019-06-17T00:00:00"/>
    <m/>
    <m/>
    <m/>
    <m/>
    <d v="2019-06-20T00:00:00"/>
    <n v="2100"/>
    <m/>
    <m/>
    <m/>
    <m/>
    <m/>
    <m/>
    <n v="2100"/>
    <n v="0"/>
    <n v="0"/>
    <m/>
  </r>
  <r>
    <s v="121A/2019"/>
    <d v="2019-06-15T00:00:00"/>
    <s v="KIỀU THY"/>
    <s v="TH03"/>
    <x v="93"/>
    <x v="24"/>
    <s v="DALIAN"/>
    <m/>
    <s v="14.16"/>
    <s v="300"/>
    <s v="NL2018"/>
    <m/>
    <n v="10"/>
    <n v="3000"/>
    <x v="55"/>
    <n v="16800000"/>
    <x v="3"/>
    <x v="74"/>
    <d v="2019-07-05T00:00:00"/>
    <d v="2019-07-05T00:00:00"/>
    <m/>
    <m/>
    <m/>
    <m/>
    <m/>
    <m/>
    <m/>
    <m/>
    <m/>
    <m/>
    <m/>
    <m/>
    <n v="0"/>
    <n v="3000"/>
    <n v="16800000"/>
    <m/>
  </r>
  <r>
    <s v="124A/2019"/>
    <d v="2019-03-15T00:00:00"/>
    <s v="KIỀU THY"/>
    <s v="TH03"/>
    <x v="93"/>
    <x v="7"/>
    <s v="CONCADOR"/>
    <m/>
    <s v="20.22"/>
    <s v="125"/>
    <s v="NL2018"/>
    <m/>
    <n v="120"/>
    <n v="15000"/>
    <x v="5"/>
    <n v="157500000"/>
    <x v="2"/>
    <x v="2"/>
    <d v="2019-09-29T00:00:00"/>
    <d v="2019-09-29T00:00:00"/>
    <s v="TẾT"/>
    <m/>
    <m/>
    <m/>
    <m/>
    <n v="0"/>
    <m/>
    <m/>
    <m/>
    <m/>
    <m/>
    <m/>
    <n v="0"/>
    <n v="15000"/>
    <n v="157500000"/>
    <m/>
  </r>
  <r>
    <s v="121A/2019"/>
    <d v="2019-06-15T00:00:00"/>
    <s v="KIỀU THY"/>
    <s v="TH03"/>
    <x v="93"/>
    <x v="6"/>
    <s v="CONCADOR"/>
    <m/>
    <s v="16.18"/>
    <s v="200"/>
    <s v="NL2018"/>
    <m/>
    <n v="10"/>
    <n v="2000"/>
    <x v="97"/>
    <n v="13000000"/>
    <x v="3"/>
    <x v="46"/>
    <d v="2019-06-27T00:00:00"/>
    <d v="2019-06-27T00:00:00"/>
    <m/>
    <m/>
    <m/>
    <m/>
    <m/>
    <m/>
    <m/>
    <m/>
    <m/>
    <m/>
    <m/>
    <m/>
    <n v="0"/>
    <n v="2000"/>
    <n v="13000000"/>
    <m/>
  </r>
  <r>
    <s v="230/2019"/>
    <d v="2019-05-30T00:00:00"/>
    <s v="KIỀU THY"/>
    <s v="TC01"/>
    <x v="94"/>
    <x v="90"/>
    <s v="ROBINA Newzeland"/>
    <m/>
    <s v="20.22"/>
    <s v="125"/>
    <s v="NZ2019"/>
    <m/>
    <n v="40"/>
    <n v="5000"/>
    <x v="25"/>
    <n v="62500000"/>
    <x v="2"/>
    <x v="2"/>
    <s v=""/>
    <s v=""/>
    <m/>
    <m/>
    <m/>
    <m/>
    <m/>
    <m/>
    <m/>
    <m/>
    <m/>
    <m/>
    <m/>
    <m/>
    <n v="0"/>
    <n v="5000"/>
    <n v="62500000"/>
    <m/>
  </r>
  <r>
    <s v="230/2019"/>
    <d v="2019-05-30T00:00:00"/>
    <s v="KIỀU THY"/>
    <s v="TC01"/>
    <x v="94"/>
    <x v="58"/>
    <s v="ROBINA Newzeland"/>
    <m/>
    <s v="22.24"/>
    <s v="100"/>
    <s v="NZ2019"/>
    <m/>
    <n v="50"/>
    <n v="5000"/>
    <x v="47"/>
    <n v="65000000"/>
    <x v="2"/>
    <x v="2"/>
    <s v=""/>
    <s v=""/>
    <m/>
    <m/>
    <m/>
    <m/>
    <m/>
    <m/>
    <m/>
    <m/>
    <m/>
    <m/>
    <m/>
    <m/>
    <n v="0"/>
    <n v="5000"/>
    <n v="65000000"/>
    <m/>
  </r>
  <r>
    <s v="230/2019"/>
    <d v="2019-05-30T00:00:00"/>
    <s v="KIỀU THY"/>
    <s v="TC01"/>
    <x v="94"/>
    <x v="4"/>
    <s v="ROBINA"/>
    <m/>
    <s v="20.22"/>
    <s v="125"/>
    <s v="NL2018"/>
    <m/>
    <n v="0"/>
    <n v="0"/>
    <x v="34"/>
    <n v="0"/>
    <x v="1"/>
    <x v="2"/>
    <s v=""/>
    <s v=""/>
    <m/>
    <m/>
    <m/>
    <m/>
    <m/>
    <m/>
    <m/>
    <m/>
    <m/>
    <m/>
    <m/>
    <m/>
    <n v="0"/>
    <n v="0"/>
    <n v="0"/>
    <m/>
  </r>
  <r>
    <s v="230/2019"/>
    <d v="2019-05-30T00:00:00"/>
    <s v="KIỀU THY"/>
    <s v="TC01"/>
    <x v="94"/>
    <x v="23"/>
    <s v="ROBINA"/>
    <m/>
    <s v="22.24"/>
    <s v="100"/>
    <s v="NL2018"/>
    <m/>
    <n v="0"/>
    <n v="0"/>
    <x v="25"/>
    <n v="0"/>
    <x v="1"/>
    <x v="2"/>
    <s v=""/>
    <s v=""/>
    <m/>
    <m/>
    <m/>
    <m/>
    <m/>
    <m/>
    <m/>
    <m/>
    <m/>
    <m/>
    <m/>
    <m/>
    <n v="0"/>
    <n v="0"/>
    <n v="0"/>
    <m/>
  </r>
  <r>
    <s v="230/2019"/>
    <d v="2019-05-30T00:00:00"/>
    <s v="KIỀU THY"/>
    <s v="TC01"/>
    <x v="94"/>
    <x v="7"/>
    <s v="CONCADOR"/>
    <m/>
    <s v="20.22"/>
    <s v="125"/>
    <s v="NL2018"/>
    <m/>
    <n v="0"/>
    <n v="0"/>
    <x v="35"/>
    <n v="0"/>
    <x v="1"/>
    <x v="2"/>
    <s v=""/>
    <s v=""/>
    <m/>
    <m/>
    <m/>
    <m/>
    <m/>
    <m/>
    <m/>
    <m/>
    <m/>
    <m/>
    <m/>
    <m/>
    <n v="0"/>
    <n v="0"/>
    <n v="0"/>
    <m/>
  </r>
  <r>
    <s v="230/2019"/>
    <d v="2019-05-30T00:00:00"/>
    <s v="KIỀU THY"/>
    <s v="TC01"/>
    <x v="94"/>
    <x v="21"/>
    <s v="CONCADOR"/>
    <m/>
    <s v="22.24"/>
    <s v="100"/>
    <s v="NL2018"/>
    <m/>
    <n v="0"/>
    <n v="0"/>
    <x v="25"/>
    <n v="0"/>
    <x v="1"/>
    <x v="2"/>
    <s v=""/>
    <s v=""/>
    <m/>
    <m/>
    <m/>
    <m/>
    <m/>
    <m/>
    <m/>
    <m/>
    <m/>
    <m/>
    <m/>
    <m/>
    <n v="0"/>
    <n v="0"/>
    <n v="0"/>
    <m/>
  </r>
  <r>
    <s v="230/2019"/>
    <d v="2019-05-30T00:00:00"/>
    <s v="KIỀU THY"/>
    <s v="TC01"/>
    <x v="94"/>
    <x v="85"/>
    <s v="CONCADOR"/>
    <m/>
    <s v="20.22"/>
    <s v="125"/>
    <s v="NZ2019"/>
    <m/>
    <n v="216"/>
    <n v="27000"/>
    <x v="81"/>
    <n v="324000000"/>
    <x v="2"/>
    <x v="2"/>
    <s v=""/>
    <s v=""/>
    <m/>
    <m/>
    <m/>
    <m/>
    <m/>
    <m/>
    <m/>
    <m/>
    <m/>
    <m/>
    <m/>
    <m/>
    <n v="0"/>
    <n v="27000"/>
    <n v="324000000"/>
    <m/>
  </r>
  <r>
    <s v="200A/2019"/>
    <d v="2019-04-19T00:00:00"/>
    <s v="KIỀU THY"/>
    <s v="TT19"/>
    <x v="95"/>
    <x v="88"/>
    <s v="PROFUNDO CHILE"/>
    <m/>
    <s v="20.22"/>
    <s v="125"/>
    <s v="CL2019"/>
    <m/>
    <n v="24"/>
    <n v="3000"/>
    <x v="61"/>
    <n v="40500000"/>
    <x v="2"/>
    <x v="2"/>
    <d v="2019-09-29T00:00:00"/>
    <d v="2019-09-29T00:00:00"/>
    <m/>
    <m/>
    <m/>
    <m/>
    <m/>
    <m/>
    <m/>
    <m/>
    <m/>
    <m/>
    <m/>
    <m/>
    <n v="0"/>
    <n v="3000"/>
    <n v="40500000"/>
    <m/>
  </r>
  <r>
    <s v="181A/2019"/>
    <d v="2019-04-19T00:00:00"/>
    <s v="KIỀU THY"/>
    <s v="TT19"/>
    <x v="95"/>
    <x v="12"/>
    <s v="PROFUNDO"/>
    <m/>
    <s v="14.16"/>
    <s v="300"/>
    <s v="NL2018"/>
    <m/>
    <n v="0"/>
    <n v="0"/>
    <x v="73"/>
    <n v="0"/>
    <x v="1"/>
    <x v="28"/>
    <d v="2019-06-07T00:00:00"/>
    <d v="2019-06-07T00:00:00"/>
    <s v="5/5AL"/>
    <m/>
    <m/>
    <m/>
    <m/>
    <m/>
    <m/>
    <m/>
    <m/>
    <m/>
    <m/>
    <m/>
    <n v="0"/>
    <n v="0"/>
    <n v="0"/>
    <m/>
  </r>
  <r>
    <s v="181A/2019"/>
    <d v="2019-05-13T00:00:00"/>
    <s v="KIỀU THY"/>
    <s v="TT19"/>
    <x v="95"/>
    <x v="82"/>
    <s v="PROFUNDO"/>
    <m/>
    <s v="14.16"/>
    <s v="275"/>
    <s v="NL2018"/>
    <m/>
    <n v="58"/>
    <n v="15950"/>
    <x v="8"/>
    <n v="79750000"/>
    <x v="0"/>
    <x v="1"/>
    <d v="2019-05-21T00:00:00"/>
    <d v="2019-05-21T00:00:00"/>
    <m/>
    <m/>
    <m/>
    <m/>
    <d v="2019-05-19T00:00:00"/>
    <n v="12925"/>
    <d v="2019-05-27T00:00:00"/>
    <s v="3025"/>
    <m/>
    <m/>
    <m/>
    <m/>
    <n v="15950"/>
    <n v="0"/>
    <n v="0"/>
    <m/>
  </r>
  <r>
    <s v="181A/2019"/>
    <d v="2019-05-13T00:00:00"/>
    <s v="KIỀU THY"/>
    <s v="TT19"/>
    <x v="95"/>
    <x v="11"/>
    <s v="PROFUNDO"/>
    <m/>
    <s v="16.18"/>
    <s v="200"/>
    <s v="NL2018"/>
    <m/>
    <n v="5"/>
    <n v="1000"/>
    <x v="168"/>
    <n v="7800000"/>
    <x v="0"/>
    <x v="1"/>
    <d v="2019-05-21T00:00:00"/>
    <d v="2019-05-21T00:00:00"/>
    <m/>
    <m/>
    <m/>
    <m/>
    <d v="2019-05-27T00:00:00"/>
    <n v="1000"/>
    <m/>
    <m/>
    <m/>
    <m/>
    <m/>
    <m/>
    <n v="1000"/>
    <n v="0"/>
    <n v="0"/>
    <m/>
  </r>
  <r>
    <s v="181A/2019"/>
    <d v="2019-06-07T00:00:00"/>
    <s v="KIỀU THY"/>
    <s v="TT19"/>
    <x v="95"/>
    <x v="41"/>
    <s v="PAVIA"/>
    <m/>
    <s v="12.14"/>
    <s v="400"/>
    <s v="NL2018"/>
    <m/>
    <n v="5"/>
    <n v="2000"/>
    <x v="39"/>
    <n v="5800000"/>
    <x v="0"/>
    <x v="28"/>
    <d v="2019-06-07T00:00:00"/>
    <d v="2019-06-07T00:00:00"/>
    <m/>
    <m/>
    <m/>
    <m/>
    <d v="2019-06-08T00:00:00"/>
    <n v="2000"/>
    <m/>
    <m/>
    <m/>
    <m/>
    <m/>
    <m/>
    <n v="2000"/>
    <n v="0"/>
    <n v="0"/>
    <m/>
  </r>
  <r>
    <s v="181A/2019"/>
    <d v="2019-05-08T00:00:00"/>
    <s v="KIỀU THY"/>
    <s v="TT19"/>
    <x v="95"/>
    <x v="41"/>
    <s v="PAVIA"/>
    <m/>
    <s v="12.14"/>
    <s v="400"/>
    <s v="NL2018"/>
    <m/>
    <n v="13"/>
    <n v="5200"/>
    <x v="39"/>
    <n v="15080000"/>
    <x v="0"/>
    <x v="1"/>
    <d v="2019-05-21T00:00:00"/>
    <d v="2019-05-21T00:00:00"/>
    <s v="10/4AL"/>
    <m/>
    <m/>
    <m/>
    <d v="2019-05-19T00:00:00"/>
    <n v="5200"/>
    <m/>
    <m/>
    <m/>
    <m/>
    <m/>
    <m/>
    <n v="5200"/>
    <n v="0"/>
    <n v="0"/>
    <m/>
  </r>
  <r>
    <s v="181A/2019"/>
    <d v="2019-05-24T00:00:00"/>
    <s v="KIỀU THY"/>
    <s v="TT19"/>
    <x v="95"/>
    <x v="41"/>
    <s v="PAVIA"/>
    <m/>
    <s v="12.14"/>
    <s v="400"/>
    <s v="NL2018"/>
    <m/>
    <n v="9"/>
    <n v="3600"/>
    <x v="39"/>
    <n v="10440000"/>
    <x v="0"/>
    <x v="1"/>
    <d v="2019-05-21T00:00:00"/>
    <d v="2019-05-21T00:00:00"/>
    <m/>
    <m/>
    <m/>
    <m/>
    <d v="2019-05-27T00:00:00"/>
    <n v="3600"/>
    <m/>
    <m/>
    <m/>
    <m/>
    <m/>
    <m/>
    <n v="3600"/>
    <n v="0"/>
    <n v="0"/>
    <m/>
  </r>
  <r>
    <s v="181A/2019"/>
    <d v="2019-04-08T00:00:00"/>
    <s v="KIỀU THY"/>
    <s v="TT19"/>
    <x v="95"/>
    <x v="61"/>
    <s v="NASHVILLE"/>
    <m/>
    <s v="14.16"/>
    <s v="300"/>
    <s v="NL2018"/>
    <m/>
    <n v="27"/>
    <n v="8100"/>
    <x v="45"/>
    <n v="32400000"/>
    <x v="0"/>
    <x v="1"/>
    <d v="2019-05-21T00:00:00"/>
    <d v="2019-05-21T00:00:00"/>
    <s v="10/4AL"/>
    <m/>
    <m/>
    <m/>
    <d v="2019-05-27T00:00:00"/>
    <n v="8100"/>
    <m/>
    <m/>
    <m/>
    <m/>
    <m/>
    <m/>
    <n v="8100"/>
    <n v="0"/>
    <n v="0"/>
    <m/>
  </r>
  <r>
    <s v="181A/2019"/>
    <d v="2019-05-29T00:00:00"/>
    <s v="KIỀU THY"/>
    <s v="TT19"/>
    <x v="95"/>
    <x v="54"/>
    <s v="AMATERAS"/>
    <m/>
    <s v="14.16"/>
    <s v="300"/>
    <s v="NL2018"/>
    <m/>
    <n v="7"/>
    <n v="2100"/>
    <x v="14"/>
    <n v="9450000"/>
    <x v="0"/>
    <x v="28"/>
    <d v="2019-06-07T00:00:00"/>
    <d v="2019-06-07T00:00:00"/>
    <m/>
    <m/>
    <m/>
    <m/>
    <d v="2019-06-08T00:00:00"/>
    <n v="2100"/>
    <m/>
    <m/>
    <m/>
    <m/>
    <m/>
    <m/>
    <n v="2100"/>
    <n v="0"/>
    <n v="0"/>
    <m/>
  </r>
  <r>
    <s v="213A/2019"/>
    <d v="2019-05-02T00:00:00"/>
    <s v="KIỀU THY"/>
    <s v="TH16"/>
    <x v="96"/>
    <x v="24"/>
    <s v="DALIAN"/>
    <m/>
    <s v="14.16"/>
    <s v="300"/>
    <s v="NL2018"/>
    <m/>
    <n v="3"/>
    <n v="900"/>
    <x v="10"/>
    <n v="4950000"/>
    <x v="0"/>
    <x v="36"/>
    <d v="2019-05-04T00:00:00"/>
    <d v="2019-05-04T00:00:00"/>
    <m/>
    <m/>
    <m/>
    <m/>
    <d v="2019-05-08T00:00:00"/>
    <n v="900"/>
    <m/>
    <m/>
    <m/>
    <m/>
    <m/>
    <m/>
    <n v="900"/>
    <n v="0"/>
    <n v="0"/>
    <m/>
  </r>
  <r>
    <s v="49A/2019"/>
    <d v="2019-02-13T00:00:00"/>
    <s v="KIỀU THY"/>
    <s v="TT15"/>
    <x v="97"/>
    <x v="57"/>
    <s v="YELLOWEEN"/>
    <m/>
    <s v="16.18"/>
    <n v="200"/>
    <s v="NL2018"/>
    <m/>
    <n v="11"/>
    <n v="2200"/>
    <x v="8"/>
    <n v="11000000"/>
    <x v="0"/>
    <x v="6"/>
    <d v="2019-02-19T00:00:00"/>
    <d v="2019-02-19T00:00:00"/>
    <s v="15/1AL"/>
    <m/>
    <m/>
    <m/>
    <d v="2019-03-01T00:00:00"/>
    <n v="2200"/>
    <m/>
    <m/>
    <m/>
    <m/>
    <m/>
    <m/>
    <n v="2200"/>
    <n v="0"/>
    <n v="0"/>
    <m/>
  </r>
  <r>
    <s v="22B/2019"/>
    <d v="2019-01-05T00:00:00"/>
    <s v="THANH THÚY"/>
    <s v="TU01"/>
    <x v="98"/>
    <x v="77"/>
    <s v="YELLOWEEN"/>
    <s v="DN"/>
    <s v="16.18"/>
    <n v="200"/>
    <s v="NL2018"/>
    <m/>
    <n v="20"/>
    <n v="4000"/>
    <x v="10"/>
    <n v="22000000"/>
    <x v="0"/>
    <x v="0"/>
    <d v="2019-03-20T00:00:00"/>
    <d v="2019-03-20T00:00:00"/>
    <s v="14/2AL"/>
    <s v="CONT 10/2019"/>
    <m/>
    <m/>
    <d v="2019-03-25T00:00:00"/>
    <n v="4000"/>
    <m/>
    <m/>
    <m/>
    <m/>
    <m/>
    <m/>
    <n v="4000"/>
    <n v="0"/>
    <n v="0"/>
    <d v="2020-02-11T00:00:00"/>
  </r>
  <r>
    <s v="22B/2019"/>
    <d v="2019-06-07T00:00:00"/>
    <s v="THANH THÚY"/>
    <s v="TU01"/>
    <x v="98"/>
    <x v="77"/>
    <s v="YELLOWEEN"/>
    <s v="DN"/>
    <s v="16.18"/>
    <n v="200"/>
    <s v="NL2018"/>
    <m/>
    <n v="0"/>
    <n v="0"/>
    <x v="10"/>
    <n v="0"/>
    <x v="1"/>
    <x v="33"/>
    <d v="2019-05-19T00:00:00"/>
    <d v="2019-05-19T00:00:00"/>
    <s v="15/4AL"/>
    <m/>
    <m/>
    <m/>
    <m/>
    <m/>
    <m/>
    <m/>
    <m/>
    <m/>
    <m/>
    <m/>
    <n v="0"/>
    <n v="0"/>
    <n v="0"/>
    <m/>
  </r>
  <r>
    <s v="22B/2019"/>
    <d v="2019-01-05T00:00:00"/>
    <s v="THANH THÚY"/>
    <s v="TU01"/>
    <x v="98"/>
    <x v="5"/>
    <s v="ROBINA"/>
    <m/>
    <s v="18.20"/>
    <n v="150"/>
    <s v="NL2018"/>
    <m/>
    <n v="34"/>
    <n v="5100"/>
    <x v="75"/>
    <n v="32130000"/>
    <x v="0"/>
    <x v="6"/>
    <d v="2019-02-19T00:00:00"/>
    <d v="2019-02-19T00:00:00"/>
    <s v="15/1AL"/>
    <m/>
    <m/>
    <m/>
    <d v="2019-03-05T00:00:00"/>
    <n v="5100"/>
    <m/>
    <m/>
    <m/>
    <m/>
    <m/>
    <m/>
    <n v="5100"/>
    <n v="0"/>
    <n v="0"/>
    <d v="2020-02-11T00:00:00"/>
  </r>
  <r>
    <s v="22B/2019"/>
    <d v="2019-01-05T00:00:00"/>
    <s v="THANH THÚY"/>
    <s v="TU01"/>
    <x v="98"/>
    <x v="5"/>
    <s v="ROBINA"/>
    <m/>
    <s v="18.20"/>
    <n v="150"/>
    <s v="NL2018"/>
    <m/>
    <n v="40"/>
    <n v="6000"/>
    <x v="75"/>
    <n v="37800000"/>
    <x v="0"/>
    <x v="0"/>
    <d v="2019-03-20T00:00:00"/>
    <d v="2019-03-20T00:00:00"/>
    <s v="14/2AL"/>
    <s v="CONT 10/2019"/>
    <m/>
    <m/>
    <d v="2019-03-25T00:00:00"/>
    <n v="6000"/>
    <m/>
    <m/>
    <m/>
    <m/>
    <m/>
    <m/>
    <n v="6000"/>
    <n v="0"/>
    <n v="0"/>
    <d v="2020-02-11T00:00:00"/>
  </r>
  <r>
    <s v="22B/2019"/>
    <d v="2019-06-07T00:00:00"/>
    <s v="THANH THÚY"/>
    <s v="TU01"/>
    <x v="98"/>
    <x v="3"/>
    <s v="ROBINA"/>
    <m/>
    <s v="16.18"/>
    <n v="200"/>
    <s v="NL2018"/>
    <m/>
    <n v="60"/>
    <n v="12000"/>
    <x v="10"/>
    <n v="66000000"/>
    <x v="3"/>
    <x v="28"/>
    <d v="2019-06-07T00:00:00"/>
    <d v="2019-06-07T00:00:00"/>
    <m/>
    <m/>
    <m/>
    <m/>
    <m/>
    <m/>
    <m/>
    <m/>
    <m/>
    <m/>
    <m/>
    <m/>
    <n v="0"/>
    <n v="12000"/>
    <n v="66000000"/>
    <m/>
  </r>
  <r>
    <s v="22B/2019"/>
    <d v="2019-01-05T00:00:00"/>
    <s v="THANH THÚY"/>
    <s v="TU01"/>
    <x v="98"/>
    <x v="3"/>
    <s v="ROBINA"/>
    <m/>
    <s v="16.18"/>
    <n v="200"/>
    <s v="NL2018"/>
    <m/>
    <n v="45"/>
    <n v="9000"/>
    <x v="110"/>
    <n v="45900000"/>
    <x v="0"/>
    <x v="33"/>
    <d v="2019-05-19T00:00:00"/>
    <d v="2019-05-19T00:00:00"/>
    <s v="15/4AL"/>
    <m/>
    <m/>
    <m/>
    <d v="2019-06-04T00:00:00"/>
    <n v="9000"/>
    <m/>
    <m/>
    <m/>
    <m/>
    <m/>
    <m/>
    <n v="9000"/>
    <n v="0"/>
    <n v="0"/>
    <d v="2020-02-11T00:00:00"/>
  </r>
  <r>
    <s v="160B/2019"/>
    <d v="2019-01-05T00:00:00"/>
    <s v="THANH THÚY"/>
    <s v="TU01"/>
    <x v="98"/>
    <x v="4"/>
    <s v="ROBINA"/>
    <m/>
    <s v="20.22"/>
    <n v="125"/>
    <s v="NL2018"/>
    <m/>
    <n v="160"/>
    <n v="20000"/>
    <x v="34"/>
    <n v="214000000"/>
    <x v="2"/>
    <x v="2"/>
    <d v="2019-09-29T00:00:00"/>
    <d v="2019-09-29T00:00:00"/>
    <s v="TẾT"/>
    <m/>
    <m/>
    <m/>
    <m/>
    <m/>
    <m/>
    <m/>
    <m/>
    <m/>
    <m/>
    <m/>
    <n v="0"/>
    <n v="20000"/>
    <n v="214000000"/>
    <m/>
  </r>
  <r>
    <s v="22B/2019"/>
    <d v="2019-01-05T00:00:00"/>
    <s v="THANH THÚY"/>
    <s v="TU01"/>
    <x v="98"/>
    <x v="45"/>
    <s v="MARENGO"/>
    <m/>
    <s v="16.18"/>
    <n v="200"/>
    <s v="NL2018"/>
    <m/>
    <n v="50"/>
    <n v="10000"/>
    <x v="51"/>
    <n v="60000000"/>
    <x v="0"/>
    <x v="10"/>
    <d v="2019-04-03T00:00:00"/>
    <d v="2019-04-03T00:00:00"/>
    <s v="28/2AL"/>
    <s v="CONT 17/2019"/>
    <m/>
    <m/>
    <d v="2019-04-18T00:00:00"/>
    <n v="7000"/>
    <d v="2019-04-26T00:00:00"/>
    <n v="3000"/>
    <m/>
    <m/>
    <m/>
    <m/>
    <n v="10000"/>
    <n v="0"/>
    <n v="0"/>
    <d v="2020-02-11T00:00:00"/>
  </r>
  <r>
    <s v="160B/2019"/>
    <d v="2019-01-05T00:00:00"/>
    <s v="THANH THÚY"/>
    <s v="TU01"/>
    <x v="98"/>
    <x v="139"/>
    <s v="LODI"/>
    <m/>
    <s v="18.20"/>
    <n v="150"/>
    <s v="NL2018"/>
    <m/>
    <n v="34"/>
    <n v="5100"/>
    <x v="160"/>
    <n v="46920000"/>
    <x v="2"/>
    <x v="2"/>
    <d v="2019-09-29T00:00:00"/>
    <d v="2019-09-29T00:00:00"/>
    <s v="TẾT"/>
    <m/>
    <m/>
    <m/>
    <m/>
    <n v="0"/>
    <m/>
    <m/>
    <m/>
    <m/>
    <m/>
    <m/>
    <n v="0"/>
    <n v="5100"/>
    <n v="46920000"/>
    <d v="2020-02-11T00:00:00"/>
  </r>
  <r>
    <s v="22B/2019"/>
    <d v="2019-01-05T00:00:00"/>
    <s v="THANH THÚY"/>
    <s v="TU01"/>
    <x v="98"/>
    <x v="24"/>
    <s v="DALIAN"/>
    <m/>
    <s v="14.16"/>
    <n v="300"/>
    <s v="NL2018"/>
    <m/>
    <n v="34"/>
    <n v="10200"/>
    <x v="172"/>
    <n v="54570000"/>
    <x v="3"/>
    <x v="33"/>
    <d v="2019-05-19T00:00:00"/>
    <d v="2019-05-19T00:00:00"/>
    <s v="15/4AL"/>
    <m/>
    <m/>
    <m/>
    <d v="2019-06-18T00:00:00"/>
    <n v="6000"/>
    <m/>
    <m/>
    <m/>
    <m/>
    <m/>
    <m/>
    <n v="6000"/>
    <n v="4200"/>
    <n v="22470000"/>
    <d v="2020-02-11T00:00:00"/>
  </r>
  <r>
    <s v="22B/2019"/>
    <d v="2019-06-17T00:00:00"/>
    <s v="THANH THÚY"/>
    <s v="TU01"/>
    <x v="98"/>
    <x v="24"/>
    <s v="DALIAN"/>
    <m/>
    <s v="14.16"/>
    <s v="300"/>
    <s v="NL2018"/>
    <m/>
    <n v="34"/>
    <n v="10200"/>
    <x v="10"/>
    <n v="56100000"/>
    <x v="4"/>
    <x v="4"/>
    <d v="2019-07-17T00:00:00"/>
    <d v="2019-07-17T00:00:00"/>
    <m/>
    <m/>
    <m/>
    <m/>
    <m/>
    <m/>
    <m/>
    <m/>
    <m/>
    <m/>
    <m/>
    <m/>
    <n v="0"/>
    <n v="10200"/>
    <n v="56100000"/>
    <m/>
  </r>
  <r>
    <s v="22B/2019"/>
    <d v="2019-06-17T00:00:00"/>
    <s v="THANH THÚY"/>
    <s v="TU01"/>
    <x v="98"/>
    <x v="24"/>
    <s v="DALIAN"/>
    <m/>
    <s v="14.16"/>
    <s v="300"/>
    <s v="NL2018"/>
    <m/>
    <n v="34"/>
    <n v="10200"/>
    <x v="10"/>
    <n v="56100000"/>
    <x v="2"/>
    <x v="20"/>
    <d v="2019-07-27T00:00:00"/>
    <d v="2019-07-27T00:00:00"/>
    <m/>
    <m/>
    <m/>
    <m/>
    <m/>
    <m/>
    <m/>
    <m/>
    <m/>
    <m/>
    <m/>
    <m/>
    <n v="0"/>
    <n v="10200"/>
    <n v="56100000"/>
    <m/>
  </r>
  <r>
    <s v="22B/2019"/>
    <d v="2019-01-05T00:00:00"/>
    <s v="THANH THÚY"/>
    <s v="TU01"/>
    <x v="98"/>
    <x v="24"/>
    <s v="DALIAN"/>
    <m/>
    <s v="14.16"/>
    <n v="300"/>
    <s v="NL2018"/>
    <m/>
    <n v="17"/>
    <n v="5100"/>
    <x v="33"/>
    <n v="27030000"/>
    <x v="0"/>
    <x v="10"/>
    <d v="2019-04-03T00:00:00"/>
    <d v="2019-04-03T00:00:00"/>
    <s v="28/2AL"/>
    <s v="CONT 17/2019"/>
    <m/>
    <m/>
    <d v="2019-04-18T00:00:00"/>
    <n v="5100"/>
    <m/>
    <m/>
    <m/>
    <m/>
    <m/>
    <m/>
    <n v="5100"/>
    <n v="0"/>
    <n v="0"/>
    <d v="2020-02-11T00:00:00"/>
  </r>
  <r>
    <s v="22B/2019"/>
    <d v="2019-01-05T00:00:00"/>
    <s v="THANH THÚY"/>
    <s v="TU01"/>
    <x v="98"/>
    <x v="6"/>
    <s v="CONCADOR "/>
    <m/>
    <s v="16.18"/>
    <n v="200"/>
    <s v="NL2018"/>
    <m/>
    <n v="50"/>
    <n v="10000"/>
    <x v="12"/>
    <n v="47000000"/>
    <x v="0"/>
    <x v="6"/>
    <d v="2019-02-19T00:00:00"/>
    <d v="2019-02-19T00:00:00"/>
    <s v="15/1AL"/>
    <m/>
    <m/>
    <m/>
    <d v="2019-02-19T00:00:00"/>
    <n v="10000"/>
    <m/>
    <m/>
    <m/>
    <m/>
    <m/>
    <m/>
    <n v="10000"/>
    <n v="0"/>
    <n v="0"/>
    <d v="2020-02-11T00:00:00"/>
  </r>
  <r>
    <s v="22B/2019"/>
    <d v="2019-01-05T00:00:00"/>
    <s v="THANH THÚY"/>
    <s v="TU01"/>
    <x v="98"/>
    <x v="6"/>
    <s v="CONCADOR"/>
    <m/>
    <s v="16.18"/>
    <n v="200"/>
    <s v="NL2018"/>
    <m/>
    <n v="50"/>
    <n v="10000"/>
    <x v="8"/>
    <n v="50000000"/>
    <x v="0"/>
    <x v="5"/>
    <d v="2019-04-19T00:00:00"/>
    <d v="2019-04-19T00:00:00"/>
    <s v="15/3AL"/>
    <s v="CONT 22/2019"/>
    <m/>
    <m/>
    <d v="2019-05-21T00:00:00"/>
    <n v="10000"/>
    <m/>
    <m/>
    <m/>
    <m/>
    <m/>
    <m/>
    <n v="10000"/>
    <n v="0"/>
    <n v="0"/>
    <d v="2020-02-11T00:00:00"/>
  </r>
  <r>
    <s v="22B/2019"/>
    <d v="2019-01-05T00:00:00"/>
    <s v="THANH THÚY"/>
    <s v="TU01"/>
    <x v="98"/>
    <x v="6"/>
    <s v="CONCADOR"/>
    <m/>
    <s v="16.18"/>
    <n v="200"/>
    <s v="NL2018"/>
    <m/>
    <n v="25"/>
    <n v="5000"/>
    <x v="8"/>
    <n v="25000000"/>
    <x v="0"/>
    <x v="1"/>
    <d v="2019-05-21T00:00:00"/>
    <d v="2019-05-21T00:00:00"/>
    <m/>
    <m/>
    <m/>
    <m/>
    <d v="2019-06-04T00:00:00"/>
    <n v="5000"/>
    <m/>
    <m/>
    <m/>
    <m/>
    <m/>
    <m/>
    <n v="5000"/>
    <n v="0"/>
    <n v="0"/>
    <m/>
  </r>
  <r>
    <s v="160B/2019"/>
    <d v="2019-01-05T00:00:00"/>
    <s v="THANH THÚY"/>
    <s v="TU01"/>
    <x v="98"/>
    <x v="7"/>
    <s v="CONCADOR"/>
    <m/>
    <s v="20.22"/>
    <n v="125"/>
    <s v="NL2018"/>
    <m/>
    <n v="160"/>
    <n v="20000"/>
    <x v="5"/>
    <n v="210000000"/>
    <x v="2"/>
    <x v="2"/>
    <d v="2019-09-29T00:00:00"/>
    <d v="2019-09-29T00:00:00"/>
    <s v="TẾT"/>
    <m/>
    <m/>
    <m/>
    <m/>
    <n v="0"/>
    <m/>
    <m/>
    <m/>
    <m/>
    <m/>
    <m/>
    <n v="0"/>
    <n v="20000"/>
    <n v="210000000"/>
    <d v="2020-02-11T00:00:00"/>
  </r>
  <r>
    <s v="22B/2019"/>
    <d v="2019-01-05T00:00:00"/>
    <s v="THANH THÚY"/>
    <s v="TU01"/>
    <x v="98"/>
    <x v="13"/>
    <s v="BACARDI"/>
    <m/>
    <s v="15.16"/>
    <n v="300"/>
    <s v="NL2018"/>
    <m/>
    <n v="17"/>
    <n v="5100"/>
    <x v="14"/>
    <n v="22950000"/>
    <x v="0"/>
    <x v="6"/>
    <d v="2019-02-19T00:00:00"/>
    <d v="2019-02-19T00:00:00"/>
    <s v="15/1AL"/>
    <m/>
    <m/>
    <m/>
    <d v="2019-03-05T00:00:00"/>
    <n v="5100"/>
    <m/>
    <m/>
    <m/>
    <m/>
    <m/>
    <m/>
    <n v="5100"/>
    <n v="0"/>
    <n v="0"/>
    <d v="2020-02-11T00:00:00"/>
  </r>
  <r>
    <s v="22B/2019"/>
    <d v="2019-01-05T00:00:00"/>
    <s v="THANH THÚY"/>
    <s v="TU01"/>
    <x v="98"/>
    <x v="81"/>
    <s v="BACARDI"/>
    <m/>
    <s v="16.18"/>
    <n v="200"/>
    <s v="NL2018"/>
    <m/>
    <n v="25"/>
    <n v="5000"/>
    <x v="75"/>
    <n v="31500000"/>
    <x v="0"/>
    <x v="6"/>
    <d v="2019-02-19T00:00:00"/>
    <d v="2019-02-19T00:00:00"/>
    <s v="15/1AL"/>
    <m/>
    <m/>
    <m/>
    <d v="2019-03-05T00:00:00"/>
    <n v="5000"/>
    <m/>
    <m/>
    <m/>
    <m/>
    <m/>
    <m/>
    <n v="5000"/>
    <n v="0"/>
    <n v="0"/>
    <d v="2020-02-11T00:00:00"/>
  </r>
  <r>
    <s v="22B/2019"/>
    <d v="2019-01-05T00:00:00"/>
    <s v="THANH THÚY"/>
    <s v="TU01"/>
    <x v="98"/>
    <x v="9"/>
    <s v="ARVANDRUD"/>
    <m/>
    <s v="16.18"/>
    <n v="200"/>
    <s v="NL2018"/>
    <m/>
    <n v="145"/>
    <n v="29000"/>
    <x v="10"/>
    <n v="159500000"/>
    <x v="3"/>
    <x v="5"/>
    <d v="2019-04-19T00:00:00"/>
    <d v="2019-04-19T00:00:00"/>
    <s v="15/3AL"/>
    <s v="CONT 21/2019"/>
    <m/>
    <m/>
    <d v="2019-04-26T00:00:00"/>
    <n v="7000"/>
    <d v="2019-05-21T00:00:00"/>
    <n v="6000"/>
    <d v="2019-06-05T00:00:00"/>
    <n v="5000"/>
    <d v="2019-06-18T00:00:00"/>
    <n v="6000"/>
    <n v="24000"/>
    <n v="5000"/>
    <n v="27500000"/>
    <d v="2020-02-11T00:00:00"/>
  </r>
  <r>
    <s v="22B/2019"/>
    <d v="2019-01-05T00:00:00"/>
    <s v="THANH THÚY"/>
    <s v="TU01"/>
    <x v="98"/>
    <x v="9"/>
    <s v="ARVANDRUD"/>
    <m/>
    <s v="16.18"/>
    <n v="200"/>
    <s v="NL2018"/>
    <m/>
    <n v="0"/>
    <n v="0"/>
    <x v="55"/>
    <n v="0"/>
    <x v="1"/>
    <x v="33"/>
    <d v="2019-05-19T00:00:00"/>
    <d v="2019-05-19T00:00:00"/>
    <s v="15/4AL"/>
    <m/>
    <m/>
    <m/>
    <m/>
    <n v="0"/>
    <m/>
    <m/>
    <m/>
    <m/>
    <m/>
    <m/>
    <n v="0"/>
    <n v="0"/>
    <n v="0"/>
    <d v="2020-02-11T00:00:00"/>
  </r>
  <r>
    <s v="160B/2019"/>
    <d v="2019-01-05T00:00:00"/>
    <s v="THANH THÚY"/>
    <s v="TU01"/>
    <x v="98"/>
    <x v="64"/>
    <s v="ARVANDRUD"/>
    <m/>
    <s v="18.20"/>
    <n v="150"/>
    <s v="NL2018"/>
    <m/>
    <n v="68"/>
    <n v="10200"/>
    <x v="46"/>
    <n v="86700000"/>
    <x v="2"/>
    <x v="2"/>
    <d v="2019-09-29T00:00:00"/>
    <d v="2019-09-29T00:00:00"/>
    <s v="TẾT"/>
    <m/>
    <m/>
    <m/>
    <m/>
    <n v="0"/>
    <m/>
    <m/>
    <m/>
    <m/>
    <m/>
    <m/>
    <n v="0"/>
    <n v="10200"/>
    <n v="86700000"/>
    <d v="2020-02-11T00:00:00"/>
  </r>
  <r>
    <s v="230A/2019"/>
    <d v="2019-06-10T00:00:00"/>
    <s v="KIỀU THY"/>
    <s v="NT11"/>
    <x v="99"/>
    <x v="34"/>
    <s v="TEBALDI"/>
    <m/>
    <s v="16.18"/>
    <s v="200"/>
    <s v="NL2018"/>
    <m/>
    <n v="6"/>
    <n v="1200"/>
    <x v="13"/>
    <n v="7440000"/>
    <x v="2"/>
    <x v="2"/>
    <d v="2019-09-29T00:00:00"/>
    <d v="2019-09-29T00:00:00"/>
    <s v="TẾT"/>
    <m/>
    <m/>
    <m/>
    <m/>
    <m/>
    <m/>
    <m/>
    <m/>
    <m/>
    <m/>
    <m/>
    <n v="0"/>
    <n v="1200"/>
    <n v="7440000"/>
    <m/>
  </r>
  <r>
    <s v="230A/2019"/>
    <d v="2019-06-18T00:00:00"/>
    <s v="KIỀU THY"/>
    <s v="NT11"/>
    <x v="99"/>
    <x v="34"/>
    <s v="TEBALDI"/>
    <m/>
    <s v="16.18"/>
    <s v="200"/>
    <s v="NL2018"/>
    <m/>
    <n v="2"/>
    <n v="400"/>
    <x v="13"/>
    <n v="2480000"/>
    <x v="2"/>
    <x v="2"/>
    <d v="2019-09-29T00:00:00"/>
    <d v="2019-09-29T00:00:00"/>
    <s v="TẾT"/>
    <m/>
    <m/>
    <m/>
    <m/>
    <m/>
    <m/>
    <m/>
    <m/>
    <m/>
    <m/>
    <m/>
    <n v="0"/>
    <n v="400"/>
    <n v="2480000"/>
    <m/>
  </r>
  <r>
    <s v="230A/2019"/>
    <d v="2019-06-10T00:00:00"/>
    <s v="KIỀU THY"/>
    <s v="NT11"/>
    <x v="99"/>
    <x v="168"/>
    <s v="CONCADOR NEWZELAND"/>
    <m/>
    <s v="18.20"/>
    <s v="150"/>
    <s v="NZ2019"/>
    <m/>
    <n v="4"/>
    <n v="600"/>
    <x v="76"/>
    <n v="5760000"/>
    <x v="2"/>
    <x v="2"/>
    <d v="2019-09-29T00:00:00"/>
    <d v="2019-09-29T00:00:00"/>
    <s v="TẾT"/>
    <m/>
    <m/>
    <m/>
    <m/>
    <m/>
    <m/>
    <m/>
    <m/>
    <m/>
    <m/>
    <m/>
    <n v="0"/>
    <n v="600"/>
    <n v="5760000"/>
    <m/>
  </r>
  <r>
    <s v="230A/2019"/>
    <d v="2019-06-18T00:00:00"/>
    <s v="KIỀU THY"/>
    <s v="NT11"/>
    <x v="99"/>
    <x v="168"/>
    <s v="CONCADOR NEWZELAND"/>
    <m/>
    <s v="18.20"/>
    <s v="150"/>
    <s v="NZ2019"/>
    <m/>
    <n v="4"/>
    <n v="600"/>
    <x v="76"/>
    <n v="5760000"/>
    <x v="2"/>
    <x v="2"/>
    <d v="2019-09-29T00:00:00"/>
    <d v="2019-09-29T00:00:00"/>
    <s v="TẾT"/>
    <m/>
    <m/>
    <m/>
    <m/>
    <m/>
    <m/>
    <m/>
    <m/>
    <m/>
    <m/>
    <m/>
    <n v="0"/>
    <n v="600"/>
    <n v="5760000"/>
    <m/>
  </r>
  <r>
    <s v="34B/2019"/>
    <d v="2019-02-04T00:00:00"/>
    <s v="THANH THÚY"/>
    <s v="TV05"/>
    <x v="100"/>
    <x v="35"/>
    <s v="TARRANGO"/>
    <m/>
    <s v="14.16"/>
    <n v="300"/>
    <s v="NL2018"/>
    <m/>
    <n v="34"/>
    <n v="10200"/>
    <x v="173"/>
    <n v="44727000"/>
    <x v="0"/>
    <x v="6"/>
    <d v="2019-02-19T00:00:00"/>
    <d v="2019-02-19T00:00:00"/>
    <s v="15/1AL"/>
    <m/>
    <m/>
    <m/>
    <d v="2019-02-20T00:00:00"/>
    <n v="10200"/>
    <m/>
    <m/>
    <m/>
    <m/>
    <m/>
    <m/>
    <n v="10200"/>
    <n v="0"/>
    <n v="0"/>
    <d v="2020-02-03T00:00:00"/>
  </r>
  <r>
    <s v="134B/2019"/>
    <d v="2019-03-19T00:00:00"/>
    <s v="THANH THÚY"/>
    <s v="TV05"/>
    <x v="100"/>
    <x v="2"/>
    <s v="SERANO"/>
    <m/>
    <s v="14.16"/>
    <n v="300"/>
    <s v="NL2018"/>
    <m/>
    <n v="10"/>
    <n v="3000"/>
    <x v="108"/>
    <n v="10800000"/>
    <x v="0"/>
    <x v="0"/>
    <d v="2019-03-20T00:00:00"/>
    <d v="2019-03-20T00:00:00"/>
    <s v="15/2AL"/>
    <s v="CONT 11/2019"/>
    <m/>
    <m/>
    <d v="2019-03-19T00:00:00"/>
    <n v="3000"/>
    <m/>
    <m/>
    <m/>
    <m/>
    <m/>
    <m/>
    <n v="3000"/>
    <n v="0"/>
    <n v="0"/>
    <d v="2020-02-03T00:00:00"/>
  </r>
  <r>
    <s v="34B/2019"/>
    <d v="2019-02-04T00:00:00"/>
    <s v="THANH THÚY"/>
    <s v="TV05"/>
    <x v="100"/>
    <x v="3"/>
    <s v="ROBINA"/>
    <m/>
    <s v="16.18"/>
    <n v="200"/>
    <s v="NL2018"/>
    <m/>
    <n v="50"/>
    <n v="10000"/>
    <x v="43"/>
    <n v="48000000"/>
    <x v="0"/>
    <x v="6"/>
    <d v="2019-02-19T00:00:00"/>
    <d v="2019-02-19T00:00:00"/>
    <s v="15/1AL"/>
    <m/>
    <m/>
    <m/>
    <d v="2019-02-21T00:00:00"/>
    <n v="10000"/>
    <m/>
    <m/>
    <m/>
    <m/>
    <m/>
    <m/>
    <n v="10000"/>
    <n v="0"/>
    <n v="0"/>
    <d v="2020-02-11T00:00:00"/>
  </r>
  <r>
    <s v="34B/2019"/>
    <d v="2019-02-04T00:00:00"/>
    <s v="THANH THÚY"/>
    <s v="TV05"/>
    <x v="100"/>
    <x v="3"/>
    <s v="ROBINA"/>
    <m/>
    <s v="16.18"/>
    <n v="200"/>
    <s v="NL2018"/>
    <m/>
    <n v="100"/>
    <n v="20000"/>
    <x v="43"/>
    <n v="96000000"/>
    <x v="0"/>
    <x v="0"/>
    <d v="2019-03-20T00:00:00"/>
    <d v="2019-03-20T00:00:00"/>
    <s v="15/2AL"/>
    <s v="CONT 11/2019"/>
    <m/>
    <m/>
    <d v="2019-03-19T00:00:00"/>
    <n v="20000"/>
    <m/>
    <m/>
    <m/>
    <m/>
    <m/>
    <m/>
    <n v="20000"/>
    <n v="0"/>
    <n v="0"/>
    <d v="2020-02-03T00:00:00"/>
  </r>
  <r>
    <s v="135B/2019"/>
    <d v="2019-03-19T00:00:00"/>
    <s v="THANH THÚY"/>
    <s v="TV05"/>
    <x v="100"/>
    <x v="3"/>
    <s v="ROBINA"/>
    <m/>
    <s v="16.18"/>
    <n v="200"/>
    <s v="NL2018"/>
    <m/>
    <n v="50"/>
    <n v="10000"/>
    <x v="110"/>
    <n v="51000000"/>
    <x v="0"/>
    <x v="36"/>
    <d v="2019-05-04T00:00:00"/>
    <d v="2019-05-04T00:00:00"/>
    <s v="30/3AL"/>
    <m/>
    <m/>
    <m/>
    <d v="2019-06-04T00:00:00"/>
    <n v="10000"/>
    <m/>
    <m/>
    <m/>
    <m/>
    <m/>
    <m/>
    <n v="10000"/>
    <n v="0"/>
    <n v="0"/>
    <m/>
  </r>
  <r>
    <s v="34B/2019"/>
    <d v="2019-02-04T00:00:00"/>
    <s v="THANH THÚY"/>
    <s v="TV05"/>
    <x v="100"/>
    <x v="9"/>
    <s v="ARVANDRUD"/>
    <m/>
    <s v="16.18"/>
    <n v="200"/>
    <s v="NL2018"/>
    <m/>
    <n v="50"/>
    <n v="10000"/>
    <x v="8"/>
    <n v="50000000"/>
    <x v="0"/>
    <x v="5"/>
    <d v="2019-04-19T00:00:00"/>
    <d v="2019-04-19T00:00:00"/>
    <s v="15/3AL"/>
    <s v="CONT 22/2019"/>
    <m/>
    <m/>
    <d v="2019-05-03T00:00:00"/>
    <n v="10000"/>
    <m/>
    <m/>
    <m/>
    <m/>
    <m/>
    <m/>
    <n v="10000"/>
    <n v="0"/>
    <n v="0"/>
    <d v="2020-02-03T00:00:00"/>
  </r>
  <r>
    <s v="135B/2019"/>
    <d v="2019-03-19T00:00:00"/>
    <s v="THANH THÚY"/>
    <s v="TV05"/>
    <x v="100"/>
    <x v="9"/>
    <s v="ARVANDRUD"/>
    <m/>
    <s v="16.18"/>
    <n v="200"/>
    <s v="NL2018"/>
    <m/>
    <n v="0"/>
    <n v="0"/>
    <x v="10"/>
    <n v="0"/>
    <x v="1"/>
    <x v="36"/>
    <d v="2019-05-04T00:00:00"/>
    <d v="2019-05-04T00:00:00"/>
    <s v="30/3AL"/>
    <m/>
    <m/>
    <m/>
    <m/>
    <m/>
    <m/>
    <m/>
    <m/>
    <m/>
    <m/>
    <m/>
    <n v="0"/>
    <n v="0"/>
    <n v="0"/>
    <m/>
  </r>
  <r>
    <s v="67A/2019"/>
    <d v="2019-02-22T00:00:00"/>
    <s v="KIỀU THY"/>
    <s v="VC01"/>
    <x v="101"/>
    <x v="78"/>
    <s v="YELLOWEEN"/>
    <m/>
    <s v="14.16"/>
    <n v="300"/>
    <s v="NL2018"/>
    <m/>
    <n v="17"/>
    <n v="5100"/>
    <x v="64"/>
    <n v="19380000"/>
    <x v="0"/>
    <x v="5"/>
    <d v="2019-04-19T00:00:00"/>
    <d v="2019-04-19T00:00:00"/>
    <s v="15/3AL"/>
    <m/>
    <m/>
    <m/>
    <d v="2019-04-05T00:00:00"/>
    <n v="5100"/>
    <m/>
    <m/>
    <m/>
    <m/>
    <m/>
    <m/>
    <n v="5100"/>
    <n v="0"/>
    <n v="0"/>
    <m/>
  </r>
  <r>
    <s v="67A/2019"/>
    <d v="2019-02-22T00:00:00"/>
    <s v="KIỀU THY"/>
    <s v="VC01"/>
    <x v="101"/>
    <x v="0"/>
    <s v="YELLOWEEN"/>
    <m/>
    <s v="12.14"/>
    <n v="400"/>
    <s v="NL2018"/>
    <m/>
    <n v="38"/>
    <n v="15200"/>
    <x v="1"/>
    <n v="41040000"/>
    <x v="0"/>
    <x v="1"/>
    <d v="2019-05-21T00:00:00"/>
    <d v="2019-05-21T00:00:00"/>
    <s v="10/4AL"/>
    <m/>
    <m/>
    <m/>
    <d v="2019-06-04T00:00:00"/>
    <n v="10000"/>
    <d v="2019-06-21T00:00:00"/>
    <n v="5200"/>
    <m/>
    <m/>
    <m/>
    <m/>
    <n v="15200"/>
    <n v="0"/>
    <n v="0"/>
    <m/>
  </r>
  <r>
    <s v="67A/2019"/>
    <d v="2019-06-17T00:00:00"/>
    <s v="KIỀU THY"/>
    <s v="VC01"/>
    <x v="101"/>
    <x v="78"/>
    <s v="YELLOWEEN"/>
    <m/>
    <s v="14.16"/>
    <n v="300"/>
    <s v="NL2018"/>
    <m/>
    <n v="14"/>
    <n v="4200"/>
    <x v="45"/>
    <n v="16800000"/>
    <x v="4"/>
    <x v="4"/>
    <d v="2019-07-17T00:00:00"/>
    <d v="2019-07-17T00:00:00"/>
    <s v="Hà Nội chuyển vô"/>
    <m/>
    <m/>
    <m/>
    <m/>
    <m/>
    <m/>
    <m/>
    <m/>
    <m/>
    <m/>
    <m/>
    <n v="0"/>
    <n v="4200"/>
    <n v="16800000"/>
    <m/>
  </r>
  <r>
    <s v="67A/2019"/>
    <d v="2019-06-21T00:00:00"/>
    <s v="KIỀU THY"/>
    <s v="VC01"/>
    <x v="101"/>
    <x v="77"/>
    <s v="YELLOWEEN"/>
    <s v="DN"/>
    <s v="16.18"/>
    <n v="200"/>
    <s v="NL2018"/>
    <m/>
    <n v="0"/>
    <n v="0"/>
    <x v="51"/>
    <n v="0"/>
    <x v="1"/>
    <x v="13"/>
    <d v="2019-07-31T00:00:00"/>
    <d v="2019-07-31T00:00:00"/>
    <m/>
    <m/>
    <m/>
    <m/>
    <m/>
    <m/>
    <m/>
    <m/>
    <m/>
    <m/>
    <m/>
    <m/>
    <n v="0"/>
    <n v="0"/>
    <n v="0"/>
    <m/>
  </r>
  <r>
    <s v="67A/2019"/>
    <d v="2019-02-22T00:00:00"/>
    <s v="KIỀU THY"/>
    <s v="VC01"/>
    <x v="101"/>
    <x v="0"/>
    <s v="YELLOWEEN"/>
    <m/>
    <s v="12.14"/>
    <n v="400"/>
    <s v="NL2018"/>
    <m/>
    <n v="25"/>
    <n v="10000"/>
    <x v="0"/>
    <n v="26000000"/>
    <x v="0"/>
    <x v="30"/>
    <d v="2019-04-04T00:00:00"/>
    <d v="2019-04-04T00:00:00"/>
    <s v="30/2AL"/>
    <s v="CONT 18/2019"/>
    <d v="2019-03-31T00:00:00"/>
    <s v="R"/>
    <d v="2019-04-05T00:00:00"/>
    <n v="5200"/>
    <d v="2019-04-24T00:00:00"/>
    <n v="4800"/>
    <m/>
    <m/>
    <m/>
    <m/>
    <n v="10000"/>
    <n v="0"/>
    <n v="0"/>
    <m/>
  </r>
  <r>
    <s v="67A/2019"/>
    <d v="2019-02-22T00:00:00"/>
    <s v="KIỀU THY"/>
    <s v="VC01"/>
    <x v="101"/>
    <x v="78"/>
    <s v="YELLOWEEN"/>
    <m/>
    <s v="14.16"/>
    <n v="300"/>
    <s v="NL2018"/>
    <m/>
    <n v="10"/>
    <n v="3000"/>
    <x v="64"/>
    <n v="11400000"/>
    <x v="0"/>
    <x v="30"/>
    <d v="2019-04-04T00:00:00"/>
    <d v="2019-04-04T00:00:00"/>
    <s v="30/2AL"/>
    <s v="CONT 14/2019"/>
    <d v="2019-03-31T00:00:00"/>
    <m/>
    <d v="2019-04-24T00:00:00"/>
    <n v="3000"/>
    <m/>
    <m/>
    <m/>
    <m/>
    <m/>
    <m/>
    <n v="3000"/>
    <n v="0"/>
    <n v="0"/>
    <s v="Check lai, dieu chinh sl cho chan khay"/>
  </r>
  <r>
    <s v="67A/2019"/>
    <d v="2019-02-22T00:00:00"/>
    <s v="KIỀU THY"/>
    <s v="VC01"/>
    <x v="101"/>
    <x v="78"/>
    <s v="YELLOWEEN"/>
    <m/>
    <s v="14.16"/>
    <n v="300"/>
    <s v="NL2018"/>
    <m/>
    <n v="8"/>
    <n v="2400"/>
    <x v="64"/>
    <n v="9120000"/>
    <x v="0"/>
    <x v="30"/>
    <d v="2019-04-04T00:00:00"/>
    <d v="2019-04-04T00:00:00"/>
    <s v="30/2AL"/>
    <s v="CONT 18/2019"/>
    <d v="2019-03-31T00:00:00"/>
    <s v="R"/>
    <d v="2019-04-24T00:00:00"/>
    <n v="2400"/>
    <m/>
    <m/>
    <m/>
    <m/>
    <m/>
    <m/>
    <n v="2400"/>
    <n v="0"/>
    <n v="0"/>
    <s v="check lai sl 9800 hay 2400"/>
  </r>
  <r>
    <s v="67A/2019"/>
    <d v="2019-02-22T00:00:00"/>
    <s v="KIỀU THY"/>
    <s v="VC01"/>
    <x v="101"/>
    <x v="2"/>
    <s v="SERANO"/>
    <m/>
    <s v="14.16"/>
    <n v="300"/>
    <s v="NL2018"/>
    <m/>
    <n v="31"/>
    <n v="9300"/>
    <x v="3"/>
    <n v="32550000"/>
    <x v="0"/>
    <x v="30"/>
    <d v="2019-04-04T00:00:00"/>
    <d v="2019-04-04T00:00:00"/>
    <s v="30/2AL"/>
    <s v="CONT 17/2019"/>
    <d v="2019-03-31T00:00:00"/>
    <s v="R"/>
    <d v="2019-04-05T00:00:00"/>
    <n v="9300"/>
    <m/>
    <m/>
    <m/>
    <m/>
    <m/>
    <m/>
    <n v="9300"/>
    <n v="0"/>
    <n v="0"/>
    <m/>
  </r>
  <r>
    <s v="67A/2019"/>
    <d v="2019-06-21T00:00:00"/>
    <s v="KIỀU THY"/>
    <s v="VC01"/>
    <x v="101"/>
    <x v="99"/>
    <s v="ROBINA"/>
    <m/>
    <s v="14.16"/>
    <n v="300"/>
    <s v="NL2018"/>
    <m/>
    <n v="17"/>
    <n v="5100"/>
    <x v="64"/>
    <n v="19380000"/>
    <x v="4"/>
    <x v="4"/>
    <d v="2019-07-17T00:00:00"/>
    <d v="2019-07-17T00:00:00"/>
    <m/>
    <m/>
    <m/>
    <m/>
    <m/>
    <m/>
    <m/>
    <m/>
    <m/>
    <m/>
    <m/>
    <m/>
    <n v="0"/>
    <n v="5100"/>
    <n v="19380000"/>
    <m/>
  </r>
  <r>
    <s v="67A/2019"/>
    <d v="2019-02-22T00:00:00"/>
    <s v="KIỀU THY"/>
    <s v="VC01"/>
    <x v="101"/>
    <x v="3"/>
    <s v="ROBINA"/>
    <m/>
    <s v="16.18"/>
    <n v="200"/>
    <s v="NL2018"/>
    <m/>
    <n v="50"/>
    <n v="10000"/>
    <x v="43"/>
    <n v="48000000"/>
    <x v="0"/>
    <x v="30"/>
    <d v="2019-04-04T00:00:00"/>
    <d v="2019-04-04T00:00:00"/>
    <s v="30/2AL"/>
    <s v="CONT 18/2019"/>
    <d v="2019-03-31T00:00:00"/>
    <s v="R"/>
    <d v="2019-04-05T00:00:00"/>
    <n v="10000"/>
    <m/>
    <m/>
    <m/>
    <m/>
    <m/>
    <m/>
    <n v="10000"/>
    <n v="0"/>
    <n v="0"/>
    <m/>
  </r>
  <r>
    <s v="67A/2019"/>
    <d v="2019-05-06T00:00:00"/>
    <s v="KIỀU THY"/>
    <s v="VC01"/>
    <x v="101"/>
    <x v="99"/>
    <s v="ROBINA"/>
    <m/>
    <s v="14.16"/>
    <n v="300"/>
    <s v="NL2018"/>
    <m/>
    <n v="33"/>
    <n v="9900"/>
    <x v="108"/>
    <n v="35640000"/>
    <x v="0"/>
    <x v="28"/>
    <d v="2019-06-07T00:00:00"/>
    <d v="2019-06-07T00:00:00"/>
    <s v="25/4AL"/>
    <m/>
    <m/>
    <m/>
    <d v="2019-06-21T00:00:00"/>
    <n v="9900"/>
    <m/>
    <m/>
    <m/>
    <m/>
    <m/>
    <m/>
    <n v="9900"/>
    <n v="0"/>
    <n v="0"/>
    <m/>
  </r>
  <r>
    <s v="239/2019"/>
    <d v="2019-06-03T00:00:00"/>
    <s v="KIỀU THY"/>
    <s v="VC01"/>
    <x v="101"/>
    <x v="5"/>
    <s v="ROBINA"/>
    <m/>
    <s v="18.20"/>
    <n v="150"/>
    <s v="NL2018"/>
    <m/>
    <n v="34"/>
    <n v="5100"/>
    <x v="46"/>
    <n v="43350000"/>
    <x v="2"/>
    <x v="2"/>
    <d v="2019-09-29T00:00:00"/>
    <d v="2019-09-29T00:00:00"/>
    <m/>
    <m/>
    <m/>
    <m/>
    <m/>
    <m/>
    <m/>
    <m/>
    <m/>
    <m/>
    <m/>
    <m/>
    <n v="0"/>
    <n v="5100"/>
    <n v="43350000"/>
    <m/>
  </r>
  <r>
    <s v="67A/2019"/>
    <d v="2019-05-06T00:00:00"/>
    <s v="KIỀU THY"/>
    <s v="VC01"/>
    <x v="101"/>
    <x v="82"/>
    <s v="PROFUNDO"/>
    <m/>
    <n v="14.16"/>
    <n v="275"/>
    <s v="NL2018"/>
    <m/>
    <n v="37"/>
    <n v="10175"/>
    <x v="8"/>
    <n v="50875000"/>
    <x v="0"/>
    <x v="36"/>
    <d v="2019-05-04T00:00:00"/>
    <d v="2019-05-04T00:00:00"/>
    <s v="30/3AL"/>
    <m/>
    <m/>
    <m/>
    <d v="2019-05-14T00:00:00"/>
    <n v="10175"/>
    <m/>
    <m/>
    <m/>
    <m/>
    <m/>
    <m/>
    <n v="10175"/>
    <n v="0"/>
    <n v="0"/>
    <m/>
  </r>
  <r>
    <s v="67A/2019"/>
    <d v="2019-05-17T00:00:00"/>
    <s v="KIỀU THY"/>
    <s v="VC01"/>
    <x v="101"/>
    <x v="73"/>
    <s v="MALDANO"/>
    <m/>
    <s v="14.16"/>
    <n v="300"/>
    <s v="NL2018"/>
    <m/>
    <n v="0"/>
    <n v="0"/>
    <x v="45"/>
    <n v="0"/>
    <x v="1"/>
    <x v="28"/>
    <d v="2019-06-07T00:00:00"/>
    <d v="2019-06-07T00:00:00"/>
    <m/>
    <m/>
    <m/>
    <m/>
    <m/>
    <m/>
    <m/>
    <m/>
    <m/>
    <m/>
    <m/>
    <m/>
    <n v="0"/>
    <n v="0"/>
    <n v="0"/>
    <m/>
  </r>
  <r>
    <s v="239/2019"/>
    <d v="2019-06-03T00:00:00"/>
    <s v="KIỀU THY"/>
    <s v="VC01"/>
    <x v="101"/>
    <x v="8"/>
    <s v="CONCADOR"/>
    <m/>
    <s v="18.20"/>
    <n v="150"/>
    <s v="NL2018"/>
    <m/>
    <n v="34"/>
    <n v="5100"/>
    <x v="9"/>
    <n v="40800000"/>
    <x v="2"/>
    <x v="2"/>
    <d v="2019-09-29T00:00:00"/>
    <d v="2019-09-29T00:00:00"/>
    <m/>
    <m/>
    <m/>
    <m/>
    <m/>
    <m/>
    <m/>
    <m/>
    <m/>
    <m/>
    <m/>
    <m/>
    <n v="0"/>
    <n v="5100"/>
    <n v="40800000"/>
    <m/>
  </r>
  <r>
    <s v="37B/2019"/>
    <d v="2019-02-11T00:00:00"/>
    <s v="THANH THÚY"/>
    <s v="VD02"/>
    <x v="102"/>
    <x v="22"/>
    <s v="YELLOWEEN"/>
    <m/>
    <s v="14.16"/>
    <n v="300"/>
    <s v="NL2017"/>
    <m/>
    <n v="26"/>
    <n v="7800"/>
    <x v="54"/>
    <n v="0"/>
    <x v="0"/>
    <x v="26"/>
    <s v=""/>
    <s v=""/>
    <m/>
    <m/>
    <m/>
    <m/>
    <d v="2019-04-02T00:00:00"/>
    <n v="7800"/>
    <m/>
    <m/>
    <m/>
    <m/>
    <m/>
    <m/>
    <n v="7800"/>
    <n v="0"/>
    <n v="0"/>
    <d v="2020-02-13T00:00:00"/>
  </r>
  <r>
    <s v="37B/2019"/>
    <d v="2019-02-11T00:00:00"/>
    <s v="THANH THÚY"/>
    <s v="VD02"/>
    <x v="102"/>
    <x v="0"/>
    <s v="YELLOWEEN"/>
    <m/>
    <s v="12.14"/>
    <n v="400"/>
    <s v="NL2018"/>
    <m/>
    <n v="65"/>
    <n v="26000"/>
    <x v="0"/>
    <n v="67600000"/>
    <x v="0"/>
    <x v="6"/>
    <d v="2019-02-19T00:00:00"/>
    <d v="2019-02-19T00:00:00"/>
    <s v="15/1AL"/>
    <m/>
    <m/>
    <m/>
    <d v="2019-02-26T00:00:00"/>
    <n v="26000"/>
    <m/>
    <m/>
    <m/>
    <m/>
    <m/>
    <m/>
    <n v="26000"/>
    <n v="0"/>
    <n v="0"/>
    <d v="2020-02-12T00:00:00"/>
  </r>
  <r>
    <s v="37B/2019"/>
    <d v="2019-02-11T00:00:00"/>
    <s v="THANH THÚY"/>
    <s v="VD02"/>
    <x v="102"/>
    <x v="0"/>
    <s v="YELLOWEEN"/>
    <m/>
    <s v="12.14"/>
    <n v="400"/>
    <s v="NL2018"/>
    <m/>
    <n v="50"/>
    <n v="20000"/>
    <x v="0"/>
    <n v="52000000"/>
    <x v="0"/>
    <x v="5"/>
    <d v="2019-04-19T00:00:00"/>
    <d v="2019-04-19T00:00:00"/>
    <s v="15/3AL"/>
    <s v="CONT 26/2019"/>
    <m/>
    <m/>
    <d v="2019-04-25T00:00:00"/>
    <n v="20000"/>
    <m/>
    <m/>
    <m/>
    <m/>
    <m/>
    <m/>
    <n v="20000"/>
    <n v="0"/>
    <n v="0"/>
    <d v="2020-02-13T00:00:00"/>
  </r>
  <r>
    <s v="37B/2019"/>
    <d v="2019-02-11T00:00:00"/>
    <s v="THANH THÚY"/>
    <s v="VD02"/>
    <x v="102"/>
    <x v="78"/>
    <s v="YELLOWEEN"/>
    <m/>
    <s v="14.16"/>
    <n v="300"/>
    <s v="NL2018"/>
    <m/>
    <n v="67"/>
    <n v="20100"/>
    <x v="108"/>
    <n v="72360000"/>
    <x v="0"/>
    <x v="5"/>
    <d v="2019-04-19T00:00:00"/>
    <d v="2019-04-19T00:00:00"/>
    <s v="15/3AL"/>
    <s v="CONT 27/2019"/>
    <m/>
    <m/>
    <d v="2019-04-25T00:00:00"/>
    <n v="20100"/>
    <m/>
    <m/>
    <m/>
    <m/>
    <m/>
    <m/>
    <n v="20100"/>
    <n v="0"/>
    <n v="0"/>
    <d v="2020-02-13T00:00:00"/>
  </r>
  <r>
    <s v="37B/2019"/>
    <d v="2019-05-31T00:00:00"/>
    <s v="THANH THÚY"/>
    <s v="VD02"/>
    <x v="102"/>
    <x v="78"/>
    <s v="YELLOWEEN"/>
    <m/>
    <s v="14.16"/>
    <n v="300"/>
    <s v="NL2018"/>
    <m/>
    <n v="100"/>
    <n v="30000"/>
    <x v="58"/>
    <n v="117000000"/>
    <x v="4"/>
    <x v="18"/>
    <d v="2019-07-02T00:00:00"/>
    <d v="2019-07-02T00:00:00"/>
    <m/>
    <m/>
    <m/>
    <m/>
    <m/>
    <m/>
    <m/>
    <m/>
    <m/>
    <m/>
    <m/>
    <m/>
    <n v="0"/>
    <n v="30000"/>
    <n v="117000000"/>
    <m/>
  </r>
  <r>
    <s v="37B/2019"/>
    <d v="2019-02-11T00:00:00"/>
    <s v="THANH THÚY"/>
    <s v="VD02"/>
    <x v="102"/>
    <x v="32"/>
    <s v="TEBALDI"/>
    <m/>
    <s v="12.14"/>
    <n v="400"/>
    <s v="NL2018"/>
    <m/>
    <n v="25"/>
    <n v="10000"/>
    <x v="37"/>
    <n v="28000000"/>
    <x v="0"/>
    <x v="10"/>
    <d v="2019-04-03T00:00:00"/>
    <d v="2019-04-03T00:00:00"/>
    <s v="30/2AL"/>
    <s v="CONT 15/2019"/>
    <m/>
    <m/>
    <d v="2019-04-02T00:00:00"/>
    <n v="10000"/>
    <m/>
    <m/>
    <m/>
    <m/>
    <m/>
    <m/>
    <n v="10000"/>
    <n v="0"/>
    <n v="0"/>
    <d v="2020-02-13T00:00:00"/>
  </r>
  <r>
    <s v="37B/2019"/>
    <d v="2019-02-11T00:00:00"/>
    <s v="THANH THÚY"/>
    <s v="VD02"/>
    <x v="102"/>
    <x v="28"/>
    <s v="LARGO"/>
    <m/>
    <s v="16.18"/>
    <n v="200"/>
    <s v="NL2018"/>
    <m/>
    <n v="147"/>
    <n v="29400"/>
    <x v="10"/>
    <n v="161700000"/>
    <x v="0"/>
    <x v="5"/>
    <d v="2019-04-19T00:00:00"/>
    <d v="2019-04-19T00:00:00"/>
    <s v="15/3AL"/>
    <s v="CONT 27/2019"/>
    <m/>
    <m/>
    <d v="2019-05-03T00:00:00"/>
    <n v="29400"/>
    <m/>
    <m/>
    <m/>
    <m/>
    <m/>
    <m/>
    <n v="29400"/>
    <n v="0"/>
    <n v="0"/>
    <d v="2020-02-13T00:00:00"/>
  </r>
  <r>
    <s v="175B/2019"/>
    <d v="2019-04-23T00:00:00"/>
    <s v="THANH THÚY"/>
    <s v="VD02"/>
    <x v="102"/>
    <x v="68"/>
    <s v="LARGO"/>
    <m/>
    <s v="22.24"/>
    <n v="100"/>
    <s v="NL2018"/>
    <m/>
    <n v="200"/>
    <n v="20000"/>
    <x v="63"/>
    <n v="228000000"/>
    <x v="2"/>
    <x v="2"/>
    <d v="2019-09-29T00:00:00"/>
    <d v="2019-09-29T00:00:00"/>
    <s v="TẾT"/>
    <m/>
    <m/>
    <m/>
    <m/>
    <n v="0"/>
    <m/>
    <m/>
    <m/>
    <m/>
    <m/>
    <m/>
    <n v="0"/>
    <n v="20000"/>
    <n v="228000000"/>
    <d v="2020-02-13T00:00:00"/>
  </r>
  <r>
    <s v="246/2019"/>
    <d v="2019-06-14T00:00:00"/>
    <s v="KIỀU THY"/>
    <s v="VN08"/>
    <x v="103"/>
    <x v="9"/>
    <s v="ARVANDRUD"/>
    <m/>
    <s v="16.18"/>
    <s v="200"/>
    <s v="NL2018"/>
    <m/>
    <n v="75"/>
    <n v="15000"/>
    <x v="10"/>
    <n v="82500000"/>
    <x v="0"/>
    <x v="73"/>
    <d v="2019-06-17T00:00:00"/>
    <d v="2019-06-17T00:00:00"/>
    <m/>
    <m/>
    <m/>
    <m/>
    <d v="2019-06-17T00:00:00"/>
    <n v="15000"/>
    <m/>
    <m/>
    <m/>
    <m/>
    <m/>
    <m/>
    <n v="15000"/>
    <n v="0"/>
    <n v="0"/>
    <m/>
  </r>
  <r>
    <s v="251/2019"/>
    <d v="2019-06-22T00:00:00"/>
    <s v="KIỀU THY"/>
    <s v="VS01"/>
    <x v="104"/>
    <x v="4"/>
    <s v="ROBINA"/>
    <m/>
    <s v="20.22"/>
    <n v="125"/>
    <s v="NL2018"/>
    <m/>
    <n v="40"/>
    <n v="5000"/>
    <x v="34"/>
    <n v="53500000"/>
    <x v="2"/>
    <x v="2"/>
    <d v="2019-09-29T00:00:00"/>
    <d v="2019-09-29T00:00:00"/>
    <m/>
    <m/>
    <m/>
    <m/>
    <m/>
    <m/>
    <m/>
    <m/>
    <m/>
    <m/>
    <m/>
    <m/>
    <n v="0"/>
    <n v="5000"/>
    <n v="53500000"/>
    <m/>
  </r>
  <r>
    <s v="251/2019"/>
    <d v="2019-06-22T00:00:00"/>
    <s v="KIỀU THY"/>
    <s v="VS01"/>
    <x v="104"/>
    <x v="7"/>
    <s v="CONCADOR"/>
    <m/>
    <s v="20.22"/>
    <n v="125"/>
    <s v="NL2018"/>
    <m/>
    <n v="40"/>
    <n v="5000"/>
    <x v="35"/>
    <n v="53000000"/>
    <x v="2"/>
    <x v="2"/>
    <d v="2019-09-29T00:00:00"/>
    <d v="2019-09-29T00:00:00"/>
    <m/>
    <m/>
    <m/>
    <m/>
    <m/>
    <m/>
    <m/>
    <m/>
    <m/>
    <m/>
    <m/>
    <m/>
    <n v="0"/>
    <n v="5000"/>
    <n v="53000000"/>
    <m/>
  </r>
  <r>
    <s v="94A/2019"/>
    <d v="2019-06-12T00:00:00"/>
    <s v="KIỀU THY"/>
    <s v="VT13"/>
    <x v="105"/>
    <x v="78"/>
    <s v="YELLOWEEN"/>
    <m/>
    <s v="14.16"/>
    <n v="300"/>
    <s v="NL2018"/>
    <m/>
    <n v="34"/>
    <n v="10200"/>
    <x v="45"/>
    <n v="40800000"/>
    <x v="2"/>
    <x v="34"/>
    <d v="2019-08-01T00:00:00"/>
    <d v="2019-08-01T00:00:00"/>
    <m/>
    <m/>
    <m/>
    <m/>
    <m/>
    <m/>
    <m/>
    <m/>
    <m/>
    <m/>
    <m/>
    <m/>
    <n v="0"/>
    <n v="10200"/>
    <n v="40800000"/>
    <m/>
  </r>
  <r>
    <s v="94A/2019"/>
    <d v="2019-06-12T00:00:00"/>
    <s v="KIỀU THY"/>
    <s v="VT13"/>
    <x v="105"/>
    <x v="78"/>
    <s v="YELLOWEEN"/>
    <m/>
    <s v="14.16"/>
    <n v="300"/>
    <s v="NL2018"/>
    <m/>
    <n v="34"/>
    <n v="10200"/>
    <x v="38"/>
    <n v="41820000"/>
    <x v="2"/>
    <x v="51"/>
    <d v="2019-08-30T00:00:00"/>
    <d v="2019-08-30T00:00:00"/>
    <m/>
    <m/>
    <m/>
    <m/>
    <m/>
    <m/>
    <m/>
    <m/>
    <m/>
    <m/>
    <m/>
    <m/>
    <n v="0"/>
    <n v="10200"/>
    <n v="41820000"/>
    <m/>
  </r>
  <r>
    <s v="94A/2019"/>
    <d v="2019-03-07T00:00:00"/>
    <s v="KIỀU THY"/>
    <s v="VT13"/>
    <x v="105"/>
    <x v="10"/>
    <s v="TARRANGO"/>
    <m/>
    <s v="16.18"/>
    <n v="200"/>
    <s v="NL2018"/>
    <m/>
    <n v="0"/>
    <n v="0"/>
    <x v="10"/>
    <n v="0"/>
    <x v="1"/>
    <x v="1"/>
    <d v="2019-05-21T00:00:00"/>
    <d v="2019-05-21T00:00:00"/>
    <s v="17/4AL"/>
    <m/>
    <m/>
    <m/>
    <m/>
    <n v="0"/>
    <m/>
    <m/>
    <m/>
    <m/>
    <m/>
    <m/>
    <n v="0"/>
    <n v="0"/>
    <n v="0"/>
    <m/>
  </r>
  <r>
    <s v="94A/2019"/>
    <d v="2019-03-07T00:00:00"/>
    <s v="KIỀU THY"/>
    <s v="VT13"/>
    <x v="105"/>
    <x v="10"/>
    <s v="TARRANGO"/>
    <m/>
    <s v="16.18"/>
    <n v="200"/>
    <s v="NL2018"/>
    <m/>
    <n v="50"/>
    <n v="10000"/>
    <x v="10"/>
    <n v="55000000"/>
    <x v="0"/>
    <x v="5"/>
    <d v="2019-04-19T00:00:00"/>
    <d v="2019-04-19T00:00:00"/>
    <s v="15/3AL"/>
    <s v="CONT 26/2019"/>
    <d v="2019-04-14T00:00:00"/>
    <m/>
    <d v="2019-04-23T00:00:00"/>
    <n v="9000"/>
    <d v="2019-05-13T00:00:00"/>
    <s v="1000"/>
    <m/>
    <m/>
    <m/>
    <m/>
    <n v="10000"/>
    <n v="0"/>
    <n v="0"/>
    <m/>
  </r>
  <r>
    <s v="94A/2019"/>
    <d v="2019-03-07T00:00:00"/>
    <s v="KIỀU THY"/>
    <s v="VT13"/>
    <x v="105"/>
    <x v="10"/>
    <s v="TARRANGO"/>
    <m/>
    <s v="16.18"/>
    <n v="200"/>
    <s v="NL2018"/>
    <m/>
    <n v="40"/>
    <n v="8000"/>
    <x v="10"/>
    <n v="44000000"/>
    <x v="0"/>
    <x v="5"/>
    <d v="2019-04-19T00:00:00"/>
    <d v="2019-04-19T00:00:00"/>
    <s v="15/3AL"/>
    <s v="CONT 26/2019"/>
    <d v="2019-04-14T00:00:00"/>
    <m/>
    <d v="2019-05-13T00:00:00"/>
    <n v="8000"/>
    <m/>
    <m/>
    <m/>
    <m/>
    <m/>
    <m/>
    <n v="8000"/>
    <n v="0"/>
    <n v="0"/>
    <s v="CHECK LAI SL"/>
  </r>
  <r>
    <s v="214A/2019"/>
    <d v="2019-05-02T00:00:00"/>
    <s v="KIỀU THY"/>
    <s v="VT13"/>
    <x v="105"/>
    <x v="3"/>
    <s v="ROBINA"/>
    <m/>
    <s v="16.18"/>
    <n v="200"/>
    <s v="NL2018"/>
    <m/>
    <n v="39"/>
    <n v="7800"/>
    <x v="33"/>
    <n v="41340000"/>
    <x v="0"/>
    <x v="5"/>
    <d v="2019-04-19T00:00:00"/>
    <d v="2019-04-19T00:00:00"/>
    <s v="15/3AL"/>
    <m/>
    <m/>
    <m/>
    <d v="2019-05-20T00:00:00"/>
    <n v="7800"/>
    <m/>
    <m/>
    <m/>
    <m/>
    <m/>
    <m/>
    <n v="7800"/>
    <n v="0"/>
    <n v="0"/>
    <m/>
  </r>
  <r>
    <s v="94A/2019"/>
    <d v="2019-05-02T00:00:00"/>
    <s v="KIỀU THY"/>
    <s v="VT13"/>
    <x v="105"/>
    <x v="3"/>
    <s v="ROBINA"/>
    <m/>
    <s v="16.18"/>
    <n v="200"/>
    <s v="NL2018"/>
    <m/>
    <n v="0"/>
    <n v="0"/>
    <x v="10"/>
    <n v="0"/>
    <x v="1"/>
    <x v="3"/>
    <d v="2019-06-20T00:00:00"/>
    <d v="2019-06-20T00:00:00"/>
    <m/>
    <m/>
    <m/>
    <m/>
    <m/>
    <m/>
    <m/>
    <m/>
    <m/>
    <m/>
    <m/>
    <m/>
    <n v="0"/>
    <n v="0"/>
    <n v="0"/>
    <m/>
  </r>
  <r>
    <s v="94A/2019"/>
    <d v="2019-06-20T00:00:00"/>
    <s v="KIỀU THY"/>
    <s v="VT13"/>
    <x v="105"/>
    <x v="3"/>
    <s v="ROBINA"/>
    <m/>
    <s v="16.18"/>
    <n v="200"/>
    <s v="NL2018"/>
    <m/>
    <n v="50"/>
    <n v="10000"/>
    <x v="55"/>
    <n v="56000000"/>
    <x v="4"/>
    <x v="4"/>
    <d v="2019-07-17T00:00:00"/>
    <d v="2019-07-17T00:00:00"/>
    <m/>
    <m/>
    <m/>
    <m/>
    <m/>
    <m/>
    <m/>
    <m/>
    <m/>
    <m/>
    <m/>
    <m/>
    <n v="0"/>
    <n v="10000"/>
    <n v="56000000"/>
    <m/>
  </r>
  <r>
    <s v="94A/2019"/>
    <d v="2019-06-08T00:00:00"/>
    <s v="KIỀU THY"/>
    <s v="VT13"/>
    <x v="105"/>
    <x v="3"/>
    <s v="ROBINA"/>
    <m/>
    <s v="16.18"/>
    <n v="200"/>
    <s v="NL2018"/>
    <m/>
    <n v="50"/>
    <n v="10000"/>
    <x v="85"/>
    <n v="57000000"/>
    <x v="2"/>
    <x v="34"/>
    <d v="2019-08-01T00:00:00"/>
    <d v="2019-08-01T00:00:00"/>
    <m/>
    <m/>
    <m/>
    <m/>
    <m/>
    <m/>
    <m/>
    <m/>
    <m/>
    <m/>
    <m/>
    <m/>
    <n v="0"/>
    <n v="10000"/>
    <n v="57000000"/>
    <m/>
  </r>
  <r>
    <s v="94A/2019"/>
    <d v="2019-06-08T00:00:00"/>
    <s v="KIỀU THY"/>
    <s v="VT13"/>
    <x v="105"/>
    <x v="3"/>
    <s v="ROBINA"/>
    <m/>
    <s v="16.18"/>
    <n v="200"/>
    <s v="NL2018"/>
    <m/>
    <n v="50"/>
    <n v="10000"/>
    <x v="30"/>
    <n v="58000000"/>
    <x v="2"/>
    <x v="51"/>
    <d v="2019-08-30T00:00:00"/>
    <d v="2019-08-30T00:00:00"/>
    <m/>
    <m/>
    <m/>
    <m/>
    <m/>
    <m/>
    <m/>
    <m/>
    <m/>
    <m/>
    <m/>
    <m/>
    <n v="0"/>
    <n v="10000"/>
    <n v="58000000"/>
    <m/>
  </r>
  <r>
    <s v="214A/2019"/>
    <d v="2019-05-02T00:00:00"/>
    <s v="KIỀU THY"/>
    <s v="VT13"/>
    <x v="105"/>
    <x v="3"/>
    <s v="ROBINA"/>
    <m/>
    <s v="16.18"/>
    <n v="200"/>
    <s v="NL2018"/>
    <m/>
    <n v="0"/>
    <n v="0"/>
    <x v="54"/>
    <m/>
    <x v="1"/>
    <x v="26"/>
    <s v=""/>
    <s v=""/>
    <m/>
    <m/>
    <m/>
    <m/>
    <m/>
    <m/>
    <m/>
    <m/>
    <m/>
    <m/>
    <m/>
    <m/>
    <n v="0"/>
    <n v="0"/>
    <n v="0"/>
    <m/>
  </r>
  <r>
    <s v="94A/2019"/>
    <d v="2019-05-27T00:00:00"/>
    <s v="KIỀU THY"/>
    <s v="VT13"/>
    <x v="105"/>
    <x v="6"/>
    <s v="CONCADOR"/>
    <m/>
    <s v="16.18"/>
    <n v="200"/>
    <s v="NL2018"/>
    <m/>
    <n v="32"/>
    <n v="6400"/>
    <x v="84"/>
    <n v="40960000"/>
    <x v="0"/>
    <x v="1"/>
    <d v="2019-05-21T00:00:00"/>
    <d v="2019-05-21T00:00:00"/>
    <m/>
    <m/>
    <m/>
    <m/>
    <d v="2019-06-10T00:00:00"/>
    <n v="6400"/>
    <m/>
    <m/>
    <m/>
    <m/>
    <m/>
    <m/>
    <n v="6400"/>
    <n v="0"/>
    <n v="0"/>
    <m/>
  </r>
  <r>
    <s v="94A/2019"/>
    <d v="2019-05-02T00:00:00"/>
    <s v="KIỀU THY"/>
    <s v="VT13"/>
    <x v="105"/>
    <x v="8"/>
    <s v="CONCADOR"/>
    <m/>
    <s v="18.20"/>
    <n v="150"/>
    <s v="NL2018"/>
    <m/>
    <n v="67"/>
    <n v="10050"/>
    <x v="89"/>
    <n v="76380000"/>
    <x v="4"/>
    <x v="4"/>
    <d v="2019-07-17T00:00:00"/>
    <d v="2019-07-17T00:00:00"/>
    <m/>
    <m/>
    <m/>
    <m/>
    <m/>
    <m/>
    <m/>
    <m/>
    <m/>
    <m/>
    <m/>
    <m/>
    <n v="0"/>
    <n v="10050"/>
    <n v="76380000"/>
    <m/>
  </r>
  <r>
    <s v="214A/2019"/>
    <d v="2019-05-02T00:00:00"/>
    <s v="KIỀU THY"/>
    <s v="VT13"/>
    <x v="105"/>
    <x v="8"/>
    <s v="CONCADOR"/>
    <m/>
    <s v="18.20"/>
    <n v="150"/>
    <s v="NL2018"/>
    <m/>
    <n v="0"/>
    <n v="0"/>
    <x v="11"/>
    <n v="0"/>
    <x v="1"/>
    <x v="34"/>
    <d v="2019-08-01T00:00:00"/>
    <d v="2019-08-01T00:00:00"/>
    <m/>
    <m/>
    <m/>
    <m/>
    <m/>
    <m/>
    <m/>
    <m/>
    <m/>
    <m/>
    <m/>
    <m/>
    <n v="0"/>
    <n v="0"/>
    <n v="0"/>
    <m/>
  </r>
  <r>
    <s v="246/2019"/>
    <d v="2019-06-17T00:00:00"/>
    <s v="KIỀU THY"/>
    <s v="VT13"/>
    <x v="105"/>
    <x v="7"/>
    <s v="CONCADOR"/>
    <m/>
    <s v="20.22"/>
    <s v="125"/>
    <s v="NL2018"/>
    <m/>
    <n v="80"/>
    <n v="10000"/>
    <x v="35"/>
    <n v="106000000"/>
    <x v="2"/>
    <x v="2"/>
    <d v="2019-09-29T00:00:00"/>
    <d v="2019-09-29T00:00:00"/>
    <m/>
    <m/>
    <m/>
    <m/>
    <m/>
    <m/>
    <m/>
    <m/>
    <m/>
    <m/>
    <m/>
    <m/>
    <n v="0"/>
    <n v="10000"/>
    <n v="106000000"/>
    <m/>
  </r>
  <r>
    <s v="214A/2019"/>
    <d v="2019-05-02T00:00:00"/>
    <s v="KIỀU THY"/>
    <s v="VT13"/>
    <x v="105"/>
    <x v="8"/>
    <s v="CONCADOR"/>
    <m/>
    <s v="18.20"/>
    <n v="150"/>
    <s v="NL2018"/>
    <m/>
    <n v="0"/>
    <m/>
    <x v="174"/>
    <m/>
    <x v="1"/>
    <x v="26"/>
    <s v=""/>
    <s v=""/>
    <m/>
    <m/>
    <m/>
    <m/>
    <m/>
    <m/>
    <m/>
    <m/>
    <m/>
    <m/>
    <m/>
    <m/>
    <n v="0"/>
    <n v="0"/>
    <e v="#VALUE!"/>
    <m/>
  </r>
  <r>
    <s v="94A/2019"/>
    <d v="2019-03-07T00:00:00"/>
    <s v="KIỀU THY"/>
    <s v="VT13"/>
    <x v="105"/>
    <x v="51"/>
    <s v="COMPETITION"/>
    <m/>
    <s v="16.18"/>
    <n v="200"/>
    <s v="NL2018"/>
    <m/>
    <n v="50"/>
    <n v="10000"/>
    <x v="71"/>
    <n v="68000000"/>
    <x v="0"/>
    <x v="5"/>
    <d v="2019-04-19T00:00:00"/>
    <d v="2019-04-19T00:00:00"/>
    <s v="15/3AL"/>
    <m/>
    <m/>
    <m/>
    <d v="2019-04-23T00:00:00"/>
    <n v="5000"/>
    <d v="2019-05-20T00:00:00"/>
    <s v="5000"/>
    <m/>
    <m/>
    <m/>
    <m/>
    <n v="10000"/>
    <n v="0"/>
    <n v="0"/>
    <m/>
  </r>
  <r>
    <s v="94A/2019"/>
    <d v="2019-03-07T00:00:00"/>
    <s v="KIỀU THY"/>
    <s v="VT13"/>
    <x v="105"/>
    <x v="51"/>
    <s v="COMPETITION"/>
    <m/>
    <s v="16.18"/>
    <n v="200"/>
    <s v="NL2018"/>
    <m/>
    <n v="50"/>
    <n v="10000"/>
    <x v="175"/>
    <n v="68850000"/>
    <x v="0"/>
    <x v="28"/>
    <d v="2019-06-07T00:00:00"/>
    <d v="2019-06-07T00:00:00"/>
    <s v="19/4AL"/>
    <s v="CONT 20/2019"/>
    <d v="2019-04-14T00:00:00"/>
    <m/>
    <d v="2019-06-10T00:00:00"/>
    <n v="10000"/>
    <m/>
    <m/>
    <m/>
    <m/>
    <m/>
    <m/>
    <n v="10000"/>
    <n v="0"/>
    <n v="0"/>
    <m/>
  </r>
  <r>
    <s v="94A/2019"/>
    <d v="2019-03-07T00:00:00"/>
    <s v="KIỀU THY"/>
    <s v="VT13"/>
    <x v="105"/>
    <x v="51"/>
    <s v="COMPETITION"/>
    <m/>
    <s v="16.18"/>
    <n v="200"/>
    <s v="NL2018"/>
    <m/>
    <n v="50"/>
    <n v="10000"/>
    <x v="175"/>
    <n v="68850000"/>
    <x v="0"/>
    <x v="28"/>
    <d v="2019-06-07T00:00:00"/>
    <d v="2019-06-07T00:00:00"/>
    <s v="17/4AL"/>
    <m/>
    <m/>
    <m/>
    <d v="2019-06-17T00:00:00"/>
    <n v="10000"/>
    <m/>
    <m/>
    <m/>
    <m/>
    <m/>
    <m/>
    <n v="10000"/>
    <n v="0"/>
    <n v="0"/>
    <m/>
  </r>
  <r>
    <s v="243/2019"/>
    <d v="2019-06-14T00:00:00"/>
    <s v="KIỀU THY"/>
    <s v="VT21"/>
    <x v="106"/>
    <x v="4"/>
    <s v="ROBINA"/>
    <m/>
    <s v="20.22"/>
    <s v="125"/>
    <s v="NL2018"/>
    <m/>
    <n v="28"/>
    <n v="3500"/>
    <x v="34"/>
    <n v="37450000"/>
    <x v="2"/>
    <x v="2"/>
    <d v="2019-09-29T00:00:00"/>
    <d v="2019-09-29T00:00:00"/>
    <m/>
    <m/>
    <m/>
    <m/>
    <m/>
    <m/>
    <m/>
    <m/>
    <m/>
    <m/>
    <m/>
    <m/>
    <n v="0"/>
    <n v="3500"/>
    <n v="37450000"/>
    <m/>
  </r>
  <r>
    <s v="243/2019"/>
    <d v="2019-06-14T00:00:00"/>
    <s v="KIỀU THY"/>
    <s v="VT21"/>
    <x v="106"/>
    <x v="7"/>
    <s v="CONCADOR"/>
    <m/>
    <s v="20.22"/>
    <s v="125"/>
    <s v="NL2018"/>
    <m/>
    <n v="12"/>
    <n v="1500"/>
    <x v="35"/>
    <n v="15900000"/>
    <x v="2"/>
    <x v="2"/>
    <d v="2019-09-29T00:00:00"/>
    <d v="2019-09-29T00:00:00"/>
    <m/>
    <m/>
    <m/>
    <m/>
    <m/>
    <m/>
    <m/>
    <m/>
    <m/>
    <m/>
    <m/>
    <m/>
    <n v="0"/>
    <n v="1500"/>
    <n v="15900000"/>
    <m/>
  </r>
  <r>
    <s v="108B/2019"/>
    <d v="2019-03-12T00:00:00"/>
    <s v="THANH THÚY"/>
    <s v="CT04"/>
    <x v="107"/>
    <x v="169"/>
    <s v="ZIVA"/>
    <s v="RL_POT"/>
    <s v="12.14"/>
    <n v="400"/>
    <s v="NL2018"/>
    <m/>
    <n v="3"/>
    <n v="1200"/>
    <x v="176"/>
    <n v="9906000"/>
    <x v="2"/>
    <x v="2"/>
    <d v="2019-09-29T00:00:00"/>
    <d v="2019-09-29T00:00:00"/>
    <s v="TẾT"/>
    <m/>
    <m/>
    <m/>
    <m/>
    <n v="0"/>
    <m/>
    <m/>
    <m/>
    <m/>
    <m/>
    <m/>
    <n v="0"/>
    <n v="1200"/>
    <n v="9906000"/>
    <m/>
  </r>
  <r>
    <s v="108B/2019"/>
    <d v="2019-03-12T00:00:00"/>
    <s v="THANH THÚY"/>
    <s v="CT04"/>
    <x v="107"/>
    <x v="170"/>
    <s v="ZIVA"/>
    <s v="RL_POT"/>
    <s v="14.16"/>
    <n v="300"/>
    <s v="NL2018"/>
    <m/>
    <n v="2"/>
    <n v="600"/>
    <x v="139"/>
    <n v="7140000"/>
    <x v="2"/>
    <x v="2"/>
    <d v="2019-09-29T00:00:00"/>
    <d v="2019-09-29T00:00:00"/>
    <s v="TẾT"/>
    <m/>
    <m/>
    <m/>
    <m/>
    <n v="0"/>
    <m/>
    <m/>
    <m/>
    <m/>
    <m/>
    <m/>
    <n v="0"/>
    <n v="600"/>
    <n v="7140000"/>
    <m/>
  </r>
  <r>
    <s v="108B/2019"/>
    <d v="2019-03-12T00:00:00"/>
    <s v="THANH THÚY"/>
    <s v="CT04"/>
    <x v="107"/>
    <x v="8"/>
    <s v="CONCADOR"/>
    <m/>
    <s v="18.20"/>
    <s v="150"/>
    <s v="NL2018"/>
    <m/>
    <n v="40"/>
    <n v="6000"/>
    <x v="56"/>
    <n v="43200000"/>
    <x v="2"/>
    <x v="2"/>
    <d v="2019-09-29T00:00:00"/>
    <d v="2019-09-29T00:00:00"/>
    <s v="TẾT"/>
    <m/>
    <m/>
    <m/>
    <m/>
    <n v="0"/>
    <m/>
    <m/>
    <m/>
    <m/>
    <m/>
    <m/>
    <n v="0"/>
    <n v="6000"/>
    <n v="43200000"/>
    <m/>
  </r>
  <r>
    <s v="224A/2019"/>
    <d v="2019-05-27T00:00:00"/>
    <s v="KIỀU THY"/>
    <s v="MP05"/>
    <x v="108"/>
    <x v="0"/>
    <s v="YELLOWEEN"/>
    <m/>
    <s v="12.14"/>
    <s v="400"/>
    <s v="NL2018"/>
    <m/>
    <n v="9"/>
    <n v="3600"/>
    <x v="1"/>
    <n v="9720000"/>
    <x v="0"/>
    <x v="5"/>
    <d v="2019-04-19T00:00:00"/>
    <d v="2019-04-19T00:00:00"/>
    <m/>
    <m/>
    <m/>
    <m/>
    <d v="2019-05-27T00:00:00"/>
    <n v="3600"/>
    <m/>
    <m/>
    <m/>
    <m/>
    <m/>
    <m/>
    <n v="3600"/>
    <n v="0"/>
    <n v="0"/>
    <m/>
  </r>
  <r>
    <s v="226A/2019"/>
    <d v="2019-05-29T00:00:00"/>
    <s v="KIỀU THY"/>
    <s v="MT05"/>
    <x v="109"/>
    <x v="0"/>
    <s v="YELLOWEEN"/>
    <m/>
    <s v="12.14"/>
    <s v="400"/>
    <s v="NL2018"/>
    <m/>
    <n v="25"/>
    <n v="10000"/>
    <x v="37"/>
    <n v="28000000"/>
    <x v="0"/>
    <x v="1"/>
    <d v="2019-05-21T00:00:00"/>
    <d v="2019-05-21T00:00:00"/>
    <m/>
    <m/>
    <m/>
    <m/>
    <d v="2019-05-31T00:00:00"/>
    <n v="10000"/>
    <m/>
    <m/>
    <m/>
    <m/>
    <m/>
    <m/>
    <n v="10000"/>
    <n v="0"/>
    <n v="0"/>
    <m/>
  </r>
  <r>
    <s v="226A/2019"/>
    <d v="2019-05-31T00:00:00"/>
    <s v="KIỀU THY"/>
    <s v="MT05"/>
    <x v="109"/>
    <x v="0"/>
    <s v="YELLOWEEN"/>
    <m/>
    <s v="12.14"/>
    <s v="400"/>
    <s v="NL2018"/>
    <m/>
    <n v="0"/>
    <n v="0"/>
    <x v="37"/>
    <n v="0"/>
    <x v="1"/>
    <x v="1"/>
    <d v="2019-05-21T00:00:00"/>
    <d v="2019-05-21T00:00:00"/>
    <m/>
    <m/>
    <m/>
    <m/>
    <m/>
    <m/>
    <m/>
    <m/>
    <m/>
    <m/>
    <m/>
    <m/>
    <n v="0"/>
    <n v="0"/>
    <n v="0"/>
    <m/>
  </r>
  <r>
    <s v="226A/2019"/>
    <d v="2019-05-31T00:00:00"/>
    <s v="KIỀU THY"/>
    <s v="MT05"/>
    <x v="109"/>
    <x v="73"/>
    <s v="MALDANO"/>
    <m/>
    <s v="14.16"/>
    <s v="300"/>
    <s v="NL2018"/>
    <m/>
    <n v="17"/>
    <n v="5100"/>
    <x v="45"/>
    <n v="20400000"/>
    <x v="0"/>
    <x v="28"/>
    <d v="2019-06-07T00:00:00"/>
    <d v="2019-06-07T00:00:00"/>
    <m/>
    <m/>
    <m/>
    <m/>
    <d v="2019-06-13T00:00:00"/>
    <n v="5100"/>
    <m/>
    <m/>
    <m/>
    <m/>
    <m/>
    <m/>
    <n v="5100"/>
    <n v="0"/>
    <n v="0"/>
    <m/>
  </r>
  <r>
    <s v="139A/2019"/>
    <d v="2019-03-23T00:00:00"/>
    <s v="KIỀU THY"/>
    <s v="ND02"/>
    <x v="110"/>
    <x v="22"/>
    <s v="YELLOWEEN"/>
    <m/>
    <s v="14.16"/>
    <s v="300"/>
    <s v="NL2017"/>
    <m/>
    <n v="0"/>
    <n v="0"/>
    <x v="54"/>
    <n v="0"/>
    <x v="1"/>
    <x v="26"/>
    <s v=""/>
    <s v=""/>
    <m/>
    <m/>
    <m/>
    <m/>
    <m/>
    <m/>
    <m/>
    <m/>
    <m/>
    <m/>
    <m/>
    <m/>
    <n v="0"/>
    <n v="0"/>
    <n v="0"/>
    <m/>
  </r>
  <r>
    <s v="139A/2019"/>
    <d v="2019-03-23T00:00:00"/>
    <s v="KIỀU THY"/>
    <s v="ND02"/>
    <x v="110"/>
    <x v="69"/>
    <s v="YELLOWEEN"/>
    <m/>
    <s v="16.18"/>
    <s v="200"/>
    <s v="NL2017"/>
    <m/>
    <n v="0"/>
    <n v="0"/>
    <x v="3"/>
    <n v="0"/>
    <x v="1"/>
    <x v="26"/>
    <s v=""/>
    <s v=""/>
    <m/>
    <m/>
    <m/>
    <m/>
    <m/>
    <m/>
    <m/>
    <m/>
    <m/>
    <m/>
    <m/>
    <m/>
    <n v="0"/>
    <n v="0"/>
    <n v="0"/>
    <m/>
  </r>
  <r>
    <s v="139A/2019"/>
    <d v="2019-03-23T00:00:00"/>
    <s v="KIỀU THY"/>
    <s v="ND02"/>
    <x v="110"/>
    <x v="171"/>
    <s v="STENDHAL"/>
    <m/>
    <s v="16.18"/>
    <s v="200"/>
    <s v="NL2017"/>
    <m/>
    <n v="6"/>
    <n v="1200"/>
    <x v="54"/>
    <n v="0"/>
    <x v="0"/>
    <x v="26"/>
    <s v=""/>
    <s v=""/>
    <m/>
    <m/>
    <m/>
    <m/>
    <d v="2019-04-22T00:00:00"/>
    <n v="1200"/>
    <m/>
    <m/>
    <m/>
    <m/>
    <m/>
    <m/>
    <n v="1200"/>
    <n v="0"/>
    <n v="0"/>
    <m/>
  </r>
  <r>
    <s v="139A/2019"/>
    <d v="2019-03-23T00:00:00"/>
    <s v="KIỀU THY"/>
    <s v="ND02"/>
    <x v="110"/>
    <x v="172"/>
    <s v="STENDHAL"/>
    <m/>
    <s v="18.20"/>
    <s v="150"/>
    <s v="NL2017"/>
    <m/>
    <n v="41"/>
    <n v="6150"/>
    <x v="54"/>
    <n v="0"/>
    <x v="0"/>
    <x v="26"/>
    <s v=""/>
    <s v=""/>
    <m/>
    <m/>
    <m/>
    <m/>
    <d v="2019-04-22T00:00:00"/>
    <n v="6150"/>
    <m/>
    <m/>
    <m/>
    <m/>
    <m/>
    <m/>
    <n v="6150"/>
    <n v="0"/>
    <n v="0"/>
    <m/>
  </r>
  <r>
    <s v="184A/2019"/>
    <d v="2019-04-09T00:00:00"/>
    <s v="KIỀU THY"/>
    <s v="NT10"/>
    <x v="111"/>
    <x v="78"/>
    <s v="YELLOWEEN"/>
    <m/>
    <s v="14.16"/>
    <s v="300"/>
    <s v="NL2018"/>
    <m/>
    <n v="0"/>
    <n v="0"/>
    <x v="45"/>
    <n v="0"/>
    <x v="1"/>
    <x v="28"/>
    <d v="2019-06-07T00:00:00"/>
    <d v="2019-06-07T00:00:00"/>
    <s v="10/4AL"/>
    <m/>
    <m/>
    <m/>
    <m/>
    <m/>
    <m/>
    <m/>
    <m/>
    <m/>
    <m/>
    <m/>
    <n v="0"/>
    <n v="0"/>
    <n v="0"/>
    <m/>
  </r>
  <r>
    <s v="184A/2019"/>
    <d v="2019-05-31T00:00:00"/>
    <s v="KIỀU THY"/>
    <s v="NT10"/>
    <x v="111"/>
    <x v="78"/>
    <s v="YELLOWEEN"/>
    <m/>
    <s v="14.16"/>
    <s v="300"/>
    <s v="NL2018"/>
    <m/>
    <n v="17"/>
    <n v="5100"/>
    <x v="58"/>
    <n v="19890000"/>
    <x v="0"/>
    <x v="1"/>
    <d v="2019-05-21T00:00:00"/>
    <d v="2019-05-21T00:00:00"/>
    <m/>
    <m/>
    <m/>
    <m/>
    <d v="2019-06-08T00:00:00"/>
    <n v="5100"/>
    <m/>
    <m/>
    <m/>
    <m/>
    <m/>
    <m/>
    <n v="5100"/>
    <n v="0"/>
    <n v="0"/>
    <m/>
  </r>
  <r>
    <s v="184A/2019"/>
    <d v="2019-06-06T00:00:00"/>
    <s v="KIỀU THY"/>
    <s v="NT10"/>
    <x v="111"/>
    <x v="77"/>
    <s v="YELLOWEEN"/>
    <s v="DN"/>
    <s v="16.18"/>
    <s v="200"/>
    <s v="NL2018"/>
    <m/>
    <n v="0"/>
    <n v="0"/>
    <x v="51"/>
    <n v="0"/>
    <x v="1"/>
    <x v="1"/>
    <d v="2019-05-21T00:00:00"/>
    <d v="2019-05-21T00:00:00"/>
    <m/>
    <m/>
    <m/>
    <m/>
    <m/>
    <m/>
    <m/>
    <m/>
    <m/>
    <m/>
    <m/>
    <m/>
    <n v="0"/>
    <n v="0"/>
    <n v="0"/>
    <m/>
  </r>
  <r>
    <s v="184A/2019"/>
    <d v="2019-05-31T00:00:00"/>
    <s v="KIỀU THY"/>
    <s v="NT10"/>
    <x v="111"/>
    <x v="57"/>
    <s v="YELLOWEEN"/>
    <m/>
    <s v="16.18"/>
    <s v="200"/>
    <s v="NL2018"/>
    <m/>
    <n v="24"/>
    <n v="4800"/>
    <x v="33"/>
    <n v="25440000"/>
    <x v="4"/>
    <x v="75"/>
    <d v="2019-07-12T00:00:00"/>
    <d v="2019-07-12T00:00:00"/>
    <s v="10/6AL"/>
    <m/>
    <m/>
    <m/>
    <m/>
    <m/>
    <m/>
    <m/>
    <m/>
    <m/>
    <m/>
    <m/>
    <n v="0"/>
    <n v="4800"/>
    <n v="25440000"/>
    <m/>
  </r>
  <r>
    <s v="99A/2019"/>
    <d v="2019-03-04T00:00:00"/>
    <s v="KIỀU THY"/>
    <s v="NT10"/>
    <x v="111"/>
    <x v="78"/>
    <s v="YELLOWEEN"/>
    <m/>
    <s v="14.16"/>
    <s v="300"/>
    <s v="NL2018"/>
    <m/>
    <n v="16"/>
    <n v="4800"/>
    <x v="64"/>
    <n v="18240000"/>
    <x v="0"/>
    <x v="0"/>
    <d v="2019-03-20T00:00:00"/>
    <d v="2019-03-20T00:00:00"/>
    <s v="15/2AL"/>
    <s v="CONT 18/2019"/>
    <d v="2019-03-31T00:00:00"/>
    <m/>
    <d v="2019-04-01T00:00:00"/>
    <n v="4800"/>
    <m/>
    <m/>
    <m/>
    <m/>
    <m/>
    <m/>
    <n v="4800"/>
    <n v="0"/>
    <n v="0"/>
    <m/>
  </r>
  <r>
    <s v="184A/2019"/>
    <d v="2019-05-10T00:00:00"/>
    <s v="KIỀU THY"/>
    <s v="NT10"/>
    <x v="111"/>
    <x v="79"/>
    <s v="MANISSA"/>
    <m/>
    <s v="16.18"/>
    <s v="200"/>
    <s v="NL2018"/>
    <m/>
    <n v="18"/>
    <n v="3600"/>
    <x v="66"/>
    <n v="25200000"/>
    <x v="3"/>
    <x v="28"/>
    <d v="2019-06-07T00:00:00"/>
    <d v="2019-06-07T00:00:00"/>
    <s v="10/4AL"/>
    <m/>
    <m/>
    <m/>
    <m/>
    <m/>
    <m/>
    <m/>
    <m/>
    <m/>
    <m/>
    <m/>
    <n v="0"/>
    <n v="3600"/>
    <n v="25200000"/>
    <m/>
  </r>
  <r>
    <s v="184A/2019"/>
    <d v="2019-05-10T00:00:00"/>
    <s v="KIỀU THY"/>
    <s v="NT10"/>
    <x v="111"/>
    <x v="79"/>
    <s v="MANISSA"/>
    <m/>
    <s v="16.18"/>
    <s v="200"/>
    <s v="NL2018"/>
    <m/>
    <n v="25"/>
    <n v="5000"/>
    <x v="66"/>
    <n v="35000000"/>
    <x v="3"/>
    <x v="3"/>
    <d v="2019-06-20T00:00:00"/>
    <d v="2019-06-20T00:00:00"/>
    <s v="10/4AL"/>
    <m/>
    <m/>
    <m/>
    <m/>
    <m/>
    <m/>
    <m/>
    <m/>
    <m/>
    <m/>
    <m/>
    <n v="0"/>
    <n v="5000"/>
    <n v="35000000"/>
    <m/>
  </r>
  <r>
    <s v="101A/2019"/>
    <d v="2019-03-11T00:00:00"/>
    <s v="KIỀU THY"/>
    <s v="NV01"/>
    <x v="112"/>
    <x v="3"/>
    <s v="ROBINA"/>
    <m/>
    <n v="16.18"/>
    <s v="200"/>
    <s v="NL2018"/>
    <m/>
    <n v="25"/>
    <n v="5000"/>
    <x v="44"/>
    <n v="24500000"/>
    <x v="0"/>
    <x v="5"/>
    <d v="2019-04-19T00:00:00"/>
    <d v="2019-04-19T00:00:00"/>
    <s v="15/3AL"/>
    <s v="CONT 25/2019"/>
    <d v="2019-04-14T00:00:00"/>
    <m/>
    <d v="2019-04-17T00:00:00"/>
    <n v="5000"/>
    <m/>
    <m/>
    <m/>
    <m/>
    <m/>
    <m/>
    <n v="5000"/>
    <n v="0"/>
    <n v="0"/>
    <m/>
  </r>
  <r>
    <s v="201A/2019"/>
    <d v="2019-04-19T00:00:00"/>
    <s v="KIỀU THY"/>
    <s v="NV01"/>
    <x v="112"/>
    <x v="173"/>
    <s v="PROFUNDO CHILE"/>
    <m/>
    <s v="18.20"/>
    <s v="150"/>
    <s v="CL2019"/>
    <m/>
    <n v="34"/>
    <n v="5100"/>
    <x v="119"/>
    <n v="58650000"/>
    <x v="2"/>
    <x v="2"/>
    <d v="2019-09-29T00:00:00"/>
    <d v="2019-09-29T00:00:00"/>
    <s v="TẾT"/>
    <m/>
    <m/>
    <m/>
    <m/>
    <m/>
    <m/>
    <m/>
    <m/>
    <m/>
    <m/>
    <m/>
    <n v="0"/>
    <n v="5100"/>
    <n v="58650000"/>
    <m/>
  </r>
  <r>
    <s v="101A/2019"/>
    <d v="2019-05-13T00:00:00"/>
    <s v="KIỀU THY"/>
    <s v="NV01"/>
    <x v="112"/>
    <x v="12"/>
    <s v="PROFUNDO"/>
    <m/>
    <s v="14.16"/>
    <s v="300"/>
    <s v="NL2018"/>
    <m/>
    <n v="30"/>
    <n v="9000"/>
    <x v="8"/>
    <n v="45000000"/>
    <x v="0"/>
    <x v="28"/>
    <d v="2019-06-07T00:00:00"/>
    <d v="2019-06-07T00:00:00"/>
    <m/>
    <m/>
    <m/>
    <m/>
    <d v="2019-06-17T00:00:00"/>
    <n v="6000"/>
    <d v="2019-06-24T00:00:00"/>
    <s v="3000"/>
    <m/>
    <m/>
    <m/>
    <m/>
    <n v="9000"/>
    <n v="0"/>
    <n v="0"/>
    <m/>
  </r>
  <r>
    <s v="101A/2019"/>
    <d v="2019-05-13T00:00:00"/>
    <s v="KIỀU THY"/>
    <s v="NV01"/>
    <x v="112"/>
    <x v="82"/>
    <s v="PROFUNDO"/>
    <m/>
    <s v="14.16"/>
    <s v="275"/>
    <s v="NL2018"/>
    <m/>
    <n v="22"/>
    <n v="6050"/>
    <x v="8"/>
    <n v="30250000"/>
    <x v="0"/>
    <x v="28"/>
    <d v="2019-06-07T00:00:00"/>
    <d v="2019-06-07T00:00:00"/>
    <m/>
    <m/>
    <m/>
    <m/>
    <d v="2019-06-24T00:00:00"/>
    <n v="6050"/>
    <m/>
    <m/>
    <m/>
    <m/>
    <m/>
    <m/>
    <n v="6050"/>
    <n v="0"/>
    <n v="0"/>
    <m/>
  </r>
  <r>
    <s v="101A/2019"/>
    <d v="2019-03-11T00:00:00"/>
    <s v="KIỀU THY"/>
    <s v="NV01"/>
    <x v="112"/>
    <x v="95"/>
    <s v="LAKE CAREY"/>
    <m/>
    <n v="16.18"/>
    <s v="200"/>
    <s v="NL2018"/>
    <m/>
    <n v="100"/>
    <n v="20000"/>
    <x v="55"/>
    <n v="112000000"/>
    <x v="0"/>
    <x v="1"/>
    <d v="2019-05-21T00:00:00"/>
    <d v="2019-05-21T00:00:00"/>
    <s v="15/4AL"/>
    <m/>
    <m/>
    <m/>
    <d v="2019-05-27T00:00:00"/>
    <n v="5000"/>
    <d v="2019-06-04T00:00:00"/>
    <s v="3000"/>
    <d v="2019-06-10T00:00:00"/>
    <s v="12000"/>
    <m/>
    <m/>
    <n v="20000"/>
    <n v="0"/>
    <n v="0"/>
    <m/>
  </r>
  <r>
    <s v="201A/2019"/>
    <d v="2019-04-19T00:00:00"/>
    <s v="KIỀU THY"/>
    <s v="NV01"/>
    <x v="112"/>
    <x v="168"/>
    <s v="CONCADOR NEWZELAND"/>
    <m/>
    <s v="18.20"/>
    <s v="150"/>
    <s v="NZ2019"/>
    <m/>
    <n v="54"/>
    <n v="8100"/>
    <x v="76"/>
    <n v="77760000"/>
    <x v="2"/>
    <x v="2"/>
    <d v="2019-09-29T00:00:00"/>
    <d v="2019-09-29T00:00:00"/>
    <s v="TẾT"/>
    <m/>
    <m/>
    <m/>
    <m/>
    <m/>
    <m/>
    <m/>
    <m/>
    <m/>
    <m/>
    <m/>
    <n v="0"/>
    <n v="8100"/>
    <n v="77760000"/>
    <m/>
  </r>
  <r>
    <s v="101A/2019"/>
    <d v="2019-03-11T00:00:00"/>
    <s v="KIỀU THY"/>
    <s v="NV01"/>
    <x v="112"/>
    <x v="127"/>
    <s v="CARBONERO"/>
    <m/>
    <n v="16.18"/>
    <s v="200"/>
    <s v="NL2018"/>
    <m/>
    <n v="50"/>
    <n v="10000"/>
    <x v="51"/>
    <n v="60000000"/>
    <x v="0"/>
    <x v="1"/>
    <d v="2019-05-21T00:00:00"/>
    <d v="2019-05-21T00:00:00"/>
    <s v="30/3AL"/>
    <m/>
    <m/>
    <m/>
    <d v="2019-05-27T00:00:00"/>
    <n v="10000"/>
    <m/>
    <m/>
    <m/>
    <m/>
    <m/>
    <m/>
    <n v="10000"/>
    <n v="0"/>
    <n v="0"/>
    <m/>
  </r>
  <r>
    <s v="101A/2019"/>
    <d v="2019-04-18T00:00:00"/>
    <s v="KIỀU THY"/>
    <s v="NV01"/>
    <x v="112"/>
    <x v="63"/>
    <s v="BACARDI"/>
    <m/>
    <s v="15.16"/>
    <s v="250"/>
    <s v="NL2018"/>
    <m/>
    <n v="48"/>
    <n v="12000"/>
    <x v="14"/>
    <n v="54000000"/>
    <x v="0"/>
    <x v="5"/>
    <d v="2019-04-19T00:00:00"/>
    <d v="2019-04-19T00:00:00"/>
    <s v="15/3AL"/>
    <m/>
    <m/>
    <m/>
    <d v="2019-04-24T00:00:00"/>
    <n v="12000"/>
    <m/>
    <m/>
    <m/>
    <m/>
    <m/>
    <m/>
    <n v="12000"/>
    <n v="0"/>
    <n v="0"/>
    <m/>
  </r>
  <r>
    <s v="101A/2019"/>
    <d v="2019-06-14T00:00:00"/>
    <s v="KIỀU THY"/>
    <s v="NV01"/>
    <x v="112"/>
    <x v="9"/>
    <s v="ARVANDRUD"/>
    <m/>
    <n v="16.18"/>
    <s v="200"/>
    <s v="NL2018"/>
    <m/>
    <n v="20"/>
    <n v="4000"/>
    <x v="6"/>
    <n v="21600000"/>
    <x v="0"/>
    <x v="23"/>
    <d v="2019-06-22T00:00:00"/>
    <d v="2019-06-22T00:00:00"/>
    <m/>
    <m/>
    <m/>
    <m/>
    <d v="2019-06-24T00:00:00"/>
    <n v="4000"/>
    <m/>
    <m/>
    <m/>
    <m/>
    <m/>
    <m/>
    <n v="4000"/>
    <n v="0"/>
    <n v="0"/>
    <m/>
  </r>
  <r>
    <s v="184B/2019"/>
    <d v="2019-05-21T00:00:00"/>
    <s v="THANH THÚY"/>
    <s v="TH11"/>
    <x v="113"/>
    <x v="78"/>
    <s v="YELLOWEEN"/>
    <m/>
    <s v="14.16"/>
    <n v="300"/>
    <s v="NL2018"/>
    <m/>
    <n v="10"/>
    <n v="3000"/>
    <x v="58"/>
    <n v="11700000"/>
    <x v="3"/>
    <x v="3"/>
    <d v="2019-06-20T00:00:00"/>
    <d v="2019-06-20T00:00:00"/>
    <m/>
    <m/>
    <m/>
    <m/>
    <m/>
    <m/>
    <m/>
    <m/>
    <m/>
    <m/>
    <m/>
    <m/>
    <n v="0"/>
    <n v="3000"/>
    <n v="11700000"/>
    <m/>
  </r>
  <r>
    <s v="184B/2019"/>
    <d v="2019-05-21T00:00:00"/>
    <s v="THANH THÚY"/>
    <s v="TH11"/>
    <x v="113"/>
    <x v="78"/>
    <s v="YELLOWEEN"/>
    <m/>
    <s v="14.16"/>
    <n v="300"/>
    <s v="NL2018"/>
    <m/>
    <n v="7"/>
    <n v="2100"/>
    <x v="58"/>
    <n v="8190000"/>
    <x v="4"/>
    <x v="4"/>
    <d v="2019-07-17T00:00:00"/>
    <d v="2019-07-17T00:00:00"/>
    <m/>
    <m/>
    <m/>
    <m/>
    <m/>
    <m/>
    <m/>
    <m/>
    <m/>
    <m/>
    <m/>
    <m/>
    <n v="0"/>
    <n v="2100"/>
    <n v="8190000"/>
    <m/>
  </r>
  <r>
    <s v="184B/2019"/>
    <d v="2019-05-21T00:00:00"/>
    <s v="THANH THÚY"/>
    <s v="TH11"/>
    <x v="113"/>
    <x v="78"/>
    <s v="YELLOWEEN"/>
    <m/>
    <s v="14.16"/>
    <n v="300"/>
    <s v="NL2018"/>
    <m/>
    <n v="7"/>
    <n v="2100"/>
    <x v="45"/>
    <n v="8400000"/>
    <x v="2"/>
    <x v="34"/>
    <d v="2019-08-01T00:00:00"/>
    <d v="2019-08-01T00:00:00"/>
    <m/>
    <m/>
    <m/>
    <m/>
    <m/>
    <m/>
    <m/>
    <m/>
    <m/>
    <m/>
    <m/>
    <m/>
    <n v="0"/>
    <n v="2100"/>
    <n v="8400000"/>
    <m/>
  </r>
  <r>
    <s v="184B/2019"/>
    <d v="2019-05-21T00:00:00"/>
    <s v="THANH THÚY"/>
    <s v="TH11"/>
    <x v="113"/>
    <x v="78"/>
    <s v="YELLOWEEN"/>
    <m/>
    <s v="14.16"/>
    <n v="300"/>
    <s v="NL2018"/>
    <m/>
    <n v="7"/>
    <n v="2100"/>
    <x v="45"/>
    <n v="8400000"/>
    <x v="2"/>
    <x v="48"/>
    <d v="2019-08-20T00:00:00"/>
    <d v="2019-08-20T00:00:00"/>
    <m/>
    <m/>
    <m/>
    <m/>
    <m/>
    <m/>
    <m/>
    <m/>
    <m/>
    <m/>
    <m/>
    <m/>
    <n v="0"/>
    <n v="2100"/>
    <n v="8400000"/>
    <m/>
  </r>
  <r>
    <s v="184B/2019"/>
    <d v="2019-05-21T00:00:00"/>
    <s v="THANH THÚY"/>
    <s v="TH11"/>
    <x v="113"/>
    <x v="78"/>
    <s v="YELLOWEEN"/>
    <m/>
    <s v="14.16"/>
    <n v="300"/>
    <s v="NL2018"/>
    <m/>
    <n v="7"/>
    <n v="2100"/>
    <x v="38"/>
    <n v="8610000"/>
    <x v="2"/>
    <x v="51"/>
    <d v="2019-08-30T00:00:00"/>
    <d v="2019-08-30T00:00:00"/>
    <m/>
    <m/>
    <m/>
    <m/>
    <m/>
    <m/>
    <m/>
    <m/>
    <m/>
    <m/>
    <m/>
    <m/>
    <n v="0"/>
    <n v="2100"/>
    <n v="8610000"/>
    <m/>
  </r>
  <r>
    <s v="65B/2019"/>
    <d v="2019-02-21T00:00:00"/>
    <s v="THANH THÚY"/>
    <s v="TH11"/>
    <x v="113"/>
    <x v="33"/>
    <s v="TEBALDI"/>
    <m/>
    <s v="14.16"/>
    <n v="300"/>
    <s v="NL2018"/>
    <m/>
    <n v="0"/>
    <n v="0"/>
    <x v="177"/>
    <n v="0"/>
    <x v="1"/>
    <x v="1"/>
    <d v="2019-05-21T00:00:00"/>
    <d v="2019-05-21T00:00:00"/>
    <s v="15/3AL"/>
    <s v="CONT 24/2019"/>
    <m/>
    <m/>
    <m/>
    <n v="0"/>
    <m/>
    <m/>
    <m/>
    <m/>
    <m/>
    <m/>
    <n v="0"/>
    <n v="0"/>
    <n v="0"/>
    <d v="2020-02-13T00:00:00"/>
  </r>
  <r>
    <s v="65B/2019"/>
    <d v="2019-06-10T00:00:00"/>
    <s v="THANH THÚY"/>
    <s v="TH11"/>
    <x v="113"/>
    <x v="33"/>
    <s v="TEBALDI"/>
    <m/>
    <s v="14.16"/>
    <n v="300"/>
    <s v="NL2018"/>
    <m/>
    <n v="7"/>
    <n v="2100"/>
    <x v="41"/>
    <n v="9030000"/>
    <x v="0"/>
    <x v="28"/>
    <d v="2019-06-07T00:00:00"/>
    <d v="2019-06-07T00:00:00"/>
    <m/>
    <m/>
    <m/>
    <m/>
    <d v="2019-06-11T00:00:00"/>
    <n v="2100"/>
    <m/>
    <m/>
    <m/>
    <m/>
    <m/>
    <m/>
    <n v="2100"/>
    <n v="0"/>
    <n v="0"/>
    <m/>
  </r>
  <r>
    <s v="184B/2019"/>
    <d v="2019-05-21T00:00:00"/>
    <s v="THANH THÚY"/>
    <s v="TH11"/>
    <x v="113"/>
    <x v="34"/>
    <s v="TEBALDI"/>
    <m/>
    <s v="16.18"/>
    <n v="200"/>
    <s v="NL2018"/>
    <m/>
    <n v="10"/>
    <n v="2000"/>
    <x v="178"/>
    <n v="11800000"/>
    <x v="4"/>
    <x v="4"/>
    <d v="2019-07-17T00:00:00"/>
    <d v="2019-07-17T00:00:00"/>
    <m/>
    <m/>
    <m/>
    <m/>
    <m/>
    <m/>
    <m/>
    <m/>
    <m/>
    <m/>
    <m/>
    <m/>
    <n v="0"/>
    <n v="2000"/>
    <n v="11800000"/>
    <m/>
  </r>
  <r>
    <s v="184B/2019"/>
    <d v="2019-05-21T00:00:00"/>
    <s v="THANH THÚY"/>
    <s v="TH11"/>
    <x v="113"/>
    <x v="34"/>
    <s v="TEBALDI"/>
    <m/>
    <s v="16.18"/>
    <n v="200"/>
    <s v="NL2018"/>
    <m/>
    <n v="10"/>
    <n v="2000"/>
    <x v="42"/>
    <n v="12200000"/>
    <x v="2"/>
    <x v="34"/>
    <d v="2019-08-01T00:00:00"/>
    <d v="2019-08-01T00:00:00"/>
    <m/>
    <m/>
    <m/>
    <m/>
    <m/>
    <m/>
    <m/>
    <m/>
    <m/>
    <m/>
    <m/>
    <m/>
    <n v="0"/>
    <n v="2000"/>
    <n v="12200000"/>
    <m/>
  </r>
  <r>
    <s v="184B/2019"/>
    <d v="2019-05-21T00:00:00"/>
    <s v="THANH THÚY"/>
    <s v="TH11"/>
    <x v="113"/>
    <x v="34"/>
    <s v="TEBALDI"/>
    <m/>
    <s v="16.18"/>
    <n v="200"/>
    <s v="NL2018"/>
    <m/>
    <n v="10"/>
    <n v="2000"/>
    <x v="42"/>
    <n v="12200000"/>
    <x v="2"/>
    <x v="48"/>
    <d v="2019-08-20T00:00:00"/>
    <d v="2019-08-20T00:00:00"/>
    <m/>
    <m/>
    <m/>
    <m/>
    <m/>
    <m/>
    <m/>
    <m/>
    <m/>
    <m/>
    <m/>
    <m/>
    <n v="0"/>
    <n v="2000"/>
    <n v="12200000"/>
    <m/>
  </r>
  <r>
    <s v="184B/2019"/>
    <d v="2019-05-21T00:00:00"/>
    <s v="THANH THÚY"/>
    <s v="TH11"/>
    <x v="113"/>
    <x v="34"/>
    <s v="TEBALDI"/>
    <m/>
    <s v="16.18"/>
    <n v="200"/>
    <s v="NL2018"/>
    <m/>
    <n v="10"/>
    <n v="2000"/>
    <x v="13"/>
    <n v="12400000"/>
    <x v="2"/>
    <x v="51"/>
    <d v="2019-08-30T00:00:00"/>
    <d v="2019-08-30T00:00:00"/>
    <m/>
    <m/>
    <m/>
    <m/>
    <m/>
    <m/>
    <m/>
    <m/>
    <m/>
    <m/>
    <m/>
    <m/>
    <n v="0"/>
    <n v="2000"/>
    <n v="12400000"/>
    <m/>
  </r>
  <r>
    <s v="184B/2019"/>
    <d v="2019-05-21T00:00:00"/>
    <s v="THANH THÚY"/>
    <s v="TH11"/>
    <x v="113"/>
    <x v="1"/>
    <s v="TARRANGO"/>
    <m/>
    <s v="18.20"/>
    <n v="150"/>
    <s v="NL2018"/>
    <m/>
    <n v="20"/>
    <n v="3000"/>
    <x v="21"/>
    <n v="26700000"/>
    <x v="4"/>
    <x v="4"/>
    <d v="2019-07-17T00:00:00"/>
    <d v="2019-07-17T00:00:00"/>
    <m/>
    <m/>
    <m/>
    <m/>
    <m/>
    <m/>
    <m/>
    <m/>
    <m/>
    <m/>
    <m/>
    <m/>
    <n v="0"/>
    <n v="3000"/>
    <n v="26700000"/>
    <m/>
  </r>
  <r>
    <s v="184B/2019"/>
    <d v="2019-05-21T00:00:00"/>
    <s v="THANH THÚY"/>
    <s v="TH11"/>
    <x v="113"/>
    <x v="1"/>
    <s v="TARRANGO"/>
    <m/>
    <s v="18.20"/>
    <n v="150"/>
    <s v="NL2018"/>
    <m/>
    <n v="20"/>
    <n v="3000"/>
    <x v="23"/>
    <n v="27300000"/>
    <x v="2"/>
    <x v="34"/>
    <d v="2019-08-01T00:00:00"/>
    <d v="2019-08-01T00:00:00"/>
    <m/>
    <m/>
    <m/>
    <m/>
    <m/>
    <m/>
    <m/>
    <m/>
    <m/>
    <m/>
    <m/>
    <m/>
    <n v="0"/>
    <n v="3000"/>
    <n v="27300000"/>
    <m/>
  </r>
  <r>
    <s v="184B/2019"/>
    <d v="2019-05-21T00:00:00"/>
    <s v="THANH THÚY"/>
    <s v="TH11"/>
    <x v="113"/>
    <x v="1"/>
    <s v="TARRANGO"/>
    <m/>
    <s v="18.20"/>
    <n v="150"/>
    <s v="NL2018"/>
    <m/>
    <n v="20"/>
    <n v="3000"/>
    <x v="23"/>
    <n v="27300000"/>
    <x v="2"/>
    <x v="48"/>
    <d v="2019-08-20T00:00:00"/>
    <d v="2019-08-20T00:00:00"/>
    <m/>
    <m/>
    <m/>
    <m/>
    <m/>
    <m/>
    <m/>
    <m/>
    <m/>
    <m/>
    <m/>
    <m/>
    <n v="0"/>
    <n v="3000"/>
    <n v="27300000"/>
    <m/>
  </r>
  <r>
    <s v="184B/2019"/>
    <d v="2019-05-21T00:00:00"/>
    <s v="THANH THÚY"/>
    <s v="TH11"/>
    <x v="113"/>
    <x v="1"/>
    <s v="TARRANGO"/>
    <m/>
    <s v="18.20"/>
    <n v="150"/>
    <s v="NL2018"/>
    <m/>
    <n v="20"/>
    <n v="3000"/>
    <x v="160"/>
    <n v="27600000"/>
    <x v="2"/>
    <x v="51"/>
    <d v="2019-08-30T00:00:00"/>
    <d v="2019-08-30T00:00:00"/>
    <m/>
    <m/>
    <m/>
    <m/>
    <m/>
    <m/>
    <m/>
    <m/>
    <m/>
    <m/>
    <m/>
    <m/>
    <n v="0"/>
    <n v="3000"/>
    <n v="27600000"/>
    <m/>
  </r>
  <r>
    <s v="65B/2019"/>
    <d v="2019-02-21T00:00:00"/>
    <s v="THANH THÚY"/>
    <s v="TH11"/>
    <x v="113"/>
    <x v="10"/>
    <s v="TARRANGO"/>
    <m/>
    <s v="16.18"/>
    <n v="200"/>
    <s v="NL2018"/>
    <m/>
    <n v="20"/>
    <n v="4000"/>
    <x v="179"/>
    <n v="22360000"/>
    <x v="0"/>
    <x v="5"/>
    <d v="2019-04-19T00:00:00"/>
    <d v="2019-04-19T00:00:00"/>
    <s v="15/3AL"/>
    <s v="CONT 26/2019"/>
    <m/>
    <m/>
    <d v="2019-06-03T00:00:00"/>
    <n v="3000"/>
    <d v="2019-06-11T00:00:00"/>
    <n v="1000"/>
    <m/>
    <m/>
    <m/>
    <m/>
    <n v="4000"/>
    <n v="0"/>
    <n v="0"/>
    <d v="2020-02-13T00:00:00"/>
  </r>
  <r>
    <s v="180B/2019"/>
    <d v="2019-05-10T00:00:00"/>
    <s v="THANH THÚY"/>
    <s v="TH11"/>
    <x v="113"/>
    <x v="66"/>
    <s v="TARRANGO"/>
    <m/>
    <s v="20.22"/>
    <n v="125"/>
    <s v="NL2018"/>
    <m/>
    <n v="80"/>
    <n v="10000"/>
    <x v="28"/>
    <n v="110000000"/>
    <x v="2"/>
    <x v="2"/>
    <d v="2019-09-29T00:00:00"/>
    <d v="2019-09-29T00:00:00"/>
    <m/>
    <m/>
    <m/>
    <m/>
    <m/>
    <m/>
    <m/>
    <m/>
    <m/>
    <m/>
    <m/>
    <m/>
    <n v="0"/>
    <n v="10000"/>
    <n v="110000000"/>
    <m/>
  </r>
  <r>
    <s v="184B/2019"/>
    <d v="2019-05-21T00:00:00"/>
    <s v="THANH THÚY"/>
    <s v="TH11"/>
    <x v="113"/>
    <x v="99"/>
    <s v="ROBINA"/>
    <m/>
    <s v="14.16"/>
    <n v="300"/>
    <s v="NL2018"/>
    <m/>
    <n v="10"/>
    <n v="3000"/>
    <x v="64"/>
    <n v="11400000"/>
    <x v="3"/>
    <x v="28"/>
    <d v="2019-06-07T00:00:00"/>
    <d v="2019-06-07T00:00:00"/>
    <m/>
    <m/>
    <m/>
    <m/>
    <m/>
    <m/>
    <m/>
    <m/>
    <m/>
    <m/>
    <m/>
    <m/>
    <n v="0"/>
    <n v="3000"/>
    <n v="11400000"/>
    <m/>
  </r>
  <r>
    <s v="184B/2019"/>
    <d v="2019-05-21T00:00:00"/>
    <s v="THANH THÚY"/>
    <s v="TH11"/>
    <x v="113"/>
    <x v="5"/>
    <s v="ROBINA"/>
    <m/>
    <s v="18.20"/>
    <n v="150"/>
    <s v="NL2018"/>
    <m/>
    <n v="34"/>
    <n v="5100"/>
    <x v="9"/>
    <n v="40800000"/>
    <x v="3"/>
    <x v="3"/>
    <d v="2019-06-20T00:00:00"/>
    <d v="2019-06-20T00:00:00"/>
    <m/>
    <m/>
    <m/>
    <m/>
    <m/>
    <m/>
    <m/>
    <m/>
    <m/>
    <m/>
    <m/>
    <m/>
    <n v="0"/>
    <n v="5100"/>
    <n v="40800000"/>
    <m/>
  </r>
  <r>
    <s v="184B/2019"/>
    <d v="2019-05-21T00:00:00"/>
    <s v="THANH THÚY"/>
    <s v="TH11"/>
    <x v="113"/>
    <x v="5"/>
    <s v="ROBINA"/>
    <m/>
    <s v="18.20"/>
    <n v="150"/>
    <s v="NL2018"/>
    <m/>
    <n v="20"/>
    <n v="3000"/>
    <x v="9"/>
    <n v="24000000"/>
    <x v="4"/>
    <x v="4"/>
    <d v="2019-07-17T00:00:00"/>
    <d v="2019-07-17T00:00:00"/>
    <m/>
    <m/>
    <m/>
    <m/>
    <m/>
    <m/>
    <m/>
    <m/>
    <m/>
    <m/>
    <m/>
    <m/>
    <n v="0"/>
    <n v="3000"/>
    <n v="24000000"/>
    <m/>
  </r>
  <r>
    <s v="184B/2019"/>
    <d v="2019-05-21T00:00:00"/>
    <s v="THANH THÚY"/>
    <s v="TH11"/>
    <x v="113"/>
    <x v="5"/>
    <s v="ROBINA"/>
    <m/>
    <s v="18.20"/>
    <n v="150"/>
    <s v="NL2018"/>
    <m/>
    <n v="20"/>
    <n v="3000"/>
    <x v="67"/>
    <n v="24600000"/>
    <x v="2"/>
    <x v="34"/>
    <d v="2019-08-01T00:00:00"/>
    <d v="2019-08-01T00:00:00"/>
    <m/>
    <m/>
    <m/>
    <m/>
    <m/>
    <m/>
    <m/>
    <m/>
    <m/>
    <m/>
    <m/>
    <m/>
    <n v="0"/>
    <n v="3000"/>
    <n v="24600000"/>
    <m/>
  </r>
  <r>
    <s v="184B/2019"/>
    <d v="2019-05-21T00:00:00"/>
    <s v="THANH THÚY"/>
    <s v="TH11"/>
    <x v="113"/>
    <x v="5"/>
    <s v="ROBINA"/>
    <m/>
    <s v="18.20"/>
    <n v="150"/>
    <s v="NL2018"/>
    <m/>
    <n v="20"/>
    <n v="3000"/>
    <x v="67"/>
    <n v="24600000"/>
    <x v="2"/>
    <x v="48"/>
    <d v="2019-08-20T00:00:00"/>
    <d v="2019-08-20T00:00:00"/>
    <m/>
    <m/>
    <m/>
    <m/>
    <m/>
    <m/>
    <m/>
    <m/>
    <m/>
    <m/>
    <m/>
    <m/>
    <n v="0"/>
    <n v="3000"/>
    <n v="24600000"/>
    <m/>
  </r>
  <r>
    <s v="184B/2019"/>
    <d v="2019-05-21T00:00:00"/>
    <s v="THANH THÚY"/>
    <s v="TH11"/>
    <x v="113"/>
    <x v="5"/>
    <s v="ROBINA"/>
    <m/>
    <s v="18.20"/>
    <n v="150"/>
    <s v="NL2018"/>
    <m/>
    <n v="20"/>
    <n v="3000"/>
    <x v="149"/>
    <n v="24900000"/>
    <x v="2"/>
    <x v="51"/>
    <d v="2019-08-30T00:00:00"/>
    <d v="2019-08-30T00:00:00"/>
    <m/>
    <m/>
    <m/>
    <m/>
    <m/>
    <m/>
    <m/>
    <m/>
    <m/>
    <m/>
    <m/>
    <m/>
    <n v="0"/>
    <n v="3000"/>
    <n v="24900000"/>
    <m/>
  </r>
  <r>
    <s v="180B/2019"/>
    <d v="2019-05-10T00:00:00"/>
    <s v="THANH THÚY"/>
    <s v="TH11"/>
    <x v="113"/>
    <x v="4"/>
    <s v="ROBINA"/>
    <m/>
    <s v="20.22"/>
    <n v="125"/>
    <s v="NL2018"/>
    <m/>
    <n v="64"/>
    <n v="8000"/>
    <x v="34"/>
    <n v="85600000"/>
    <x v="2"/>
    <x v="2"/>
    <d v="2019-09-29T00:00:00"/>
    <d v="2019-09-29T00:00:00"/>
    <m/>
    <m/>
    <m/>
    <m/>
    <m/>
    <m/>
    <m/>
    <m/>
    <m/>
    <m/>
    <m/>
    <m/>
    <n v="0"/>
    <n v="8000"/>
    <n v="85600000"/>
    <m/>
  </r>
  <r>
    <s v="184B/2019"/>
    <d v="2019-05-21T00:00:00"/>
    <s v="THANH THÚY"/>
    <s v="TH11"/>
    <x v="113"/>
    <x v="136"/>
    <s v="PARAGUAY"/>
    <m/>
    <s v="16.18"/>
    <n v="175"/>
    <s v="NL2018"/>
    <m/>
    <n v="23"/>
    <n v="4025"/>
    <x v="13"/>
    <n v="24955000"/>
    <x v="3"/>
    <x v="28"/>
    <d v="2019-06-07T00:00:00"/>
    <d v="2019-06-07T00:00:00"/>
    <m/>
    <m/>
    <m/>
    <m/>
    <m/>
    <m/>
    <m/>
    <m/>
    <m/>
    <m/>
    <m/>
    <m/>
    <n v="0"/>
    <n v="4025"/>
    <n v="24955000"/>
    <m/>
  </r>
  <r>
    <s v="184B/2019"/>
    <d v="2019-05-21T00:00:00"/>
    <s v="THANH THÚY"/>
    <s v="TH11"/>
    <x v="113"/>
    <x v="167"/>
    <s v="OUTBACK"/>
    <m/>
    <s v="14.16"/>
    <n v="300"/>
    <s v="NL2018"/>
    <m/>
    <n v="10"/>
    <n v="3000"/>
    <x v="6"/>
    <n v="16200000"/>
    <x v="3"/>
    <x v="28"/>
    <d v="2019-06-07T00:00:00"/>
    <d v="2019-06-07T00:00:00"/>
    <m/>
    <m/>
    <m/>
    <m/>
    <m/>
    <m/>
    <m/>
    <m/>
    <m/>
    <m/>
    <m/>
    <m/>
    <n v="0"/>
    <n v="3000"/>
    <n v="16200000"/>
    <m/>
  </r>
  <r>
    <s v="180B/2019"/>
    <d v="2019-05-10T00:00:00"/>
    <s v="THANH THÚY"/>
    <s v="TH11"/>
    <x v="113"/>
    <x v="65"/>
    <s v="MANISSA"/>
    <m/>
    <s v="20.22"/>
    <n v="125"/>
    <s v="NL2018"/>
    <m/>
    <n v="64"/>
    <n v="8000"/>
    <x v="169"/>
    <n v="108800000"/>
    <x v="2"/>
    <x v="2"/>
    <d v="2019-09-29T00:00:00"/>
    <d v="2019-09-29T00:00:00"/>
    <m/>
    <m/>
    <m/>
    <m/>
    <m/>
    <m/>
    <m/>
    <m/>
    <m/>
    <m/>
    <m/>
    <m/>
    <n v="0"/>
    <n v="8000"/>
    <n v="108800000"/>
    <m/>
  </r>
  <r>
    <s v="65B/2019"/>
    <d v="2019-02-21T00:00:00"/>
    <s v="THANH THÚY"/>
    <s v="TH11"/>
    <x v="113"/>
    <x v="6"/>
    <s v="CONCADOR"/>
    <m/>
    <s v="16.18"/>
    <n v="200"/>
    <s v="NL2018"/>
    <m/>
    <n v="15"/>
    <n v="3000"/>
    <x v="180"/>
    <n v="15270000"/>
    <x v="0"/>
    <x v="1"/>
    <d v="2019-05-21T00:00:00"/>
    <d v="2019-05-21T00:00:00"/>
    <s v="15/3AL"/>
    <s v="CONT 21/2019"/>
    <m/>
    <m/>
    <d v="2019-06-03T00:00:00"/>
    <n v="3000"/>
    <m/>
    <m/>
    <m/>
    <m/>
    <m/>
    <m/>
    <n v="3000"/>
    <n v="0"/>
    <n v="0"/>
    <d v="2020-02-13T00:00:00"/>
  </r>
  <r>
    <s v="184B/2019"/>
    <d v="2019-05-21T00:00:00"/>
    <s v="THANH THÚY"/>
    <s v="TH11"/>
    <x v="113"/>
    <x v="8"/>
    <s v="CONCADOR"/>
    <m/>
    <s v="18.20"/>
    <n v="150"/>
    <s v="NL2018"/>
    <m/>
    <n v="20"/>
    <n v="3000"/>
    <x v="31"/>
    <n v="22500000"/>
    <x v="4"/>
    <x v="4"/>
    <d v="2019-07-17T00:00:00"/>
    <d v="2019-07-17T00:00:00"/>
    <m/>
    <m/>
    <m/>
    <m/>
    <m/>
    <m/>
    <m/>
    <m/>
    <m/>
    <m/>
    <m/>
    <m/>
    <n v="0"/>
    <n v="3000"/>
    <n v="22500000"/>
    <m/>
  </r>
  <r>
    <s v="184B/2019"/>
    <d v="2019-05-21T00:00:00"/>
    <s v="THANH THÚY"/>
    <s v="TH11"/>
    <x v="113"/>
    <x v="8"/>
    <s v="CONCADOR"/>
    <m/>
    <s v="18.20"/>
    <n v="150"/>
    <s v="NL2018"/>
    <m/>
    <n v="20"/>
    <n v="3000"/>
    <x v="11"/>
    <n v="23100000"/>
    <x v="2"/>
    <x v="34"/>
    <d v="2019-08-01T00:00:00"/>
    <d v="2019-08-01T00:00:00"/>
    <m/>
    <m/>
    <m/>
    <m/>
    <m/>
    <m/>
    <m/>
    <m/>
    <m/>
    <m/>
    <m/>
    <m/>
    <n v="0"/>
    <n v="3000"/>
    <n v="23100000"/>
    <m/>
  </r>
  <r>
    <s v="184B/2019"/>
    <d v="2019-05-21T00:00:00"/>
    <s v="THANH THÚY"/>
    <s v="TH11"/>
    <x v="113"/>
    <x v="8"/>
    <s v="CONCADOR"/>
    <m/>
    <s v="18.20"/>
    <n v="150"/>
    <s v="NL2018"/>
    <m/>
    <n v="20"/>
    <n v="3000"/>
    <x v="168"/>
    <n v="23400000"/>
    <x v="2"/>
    <x v="51"/>
    <d v="2019-08-30T00:00:00"/>
    <d v="2019-08-30T00:00:00"/>
    <m/>
    <m/>
    <m/>
    <m/>
    <m/>
    <m/>
    <m/>
    <m/>
    <m/>
    <m/>
    <m/>
    <m/>
    <n v="0"/>
    <n v="3000"/>
    <n v="23400000"/>
    <m/>
  </r>
  <r>
    <s v="65B/2019"/>
    <d v="2019-06-01T00:00:00"/>
    <s v="THANH THÚY"/>
    <s v="TH11"/>
    <x v="113"/>
    <x v="55"/>
    <s v="AMATERAS"/>
    <m/>
    <s v="14.16"/>
    <n v="275"/>
    <s v="NL2018"/>
    <m/>
    <n v="0"/>
    <n v="0"/>
    <x v="14"/>
    <n v="0"/>
    <x v="1"/>
    <x v="3"/>
    <d v="2019-06-20T00:00:00"/>
    <d v="2019-06-20T00:00:00"/>
    <m/>
    <m/>
    <m/>
    <m/>
    <m/>
    <m/>
    <m/>
    <m/>
    <m/>
    <m/>
    <m/>
    <m/>
    <n v="0"/>
    <n v="0"/>
    <n v="0"/>
    <m/>
  </r>
  <r>
    <s v="86B/2019"/>
    <d v="2019-03-04T00:00:00"/>
    <s v="THANH THÚY"/>
    <s v="MH02"/>
    <x v="114"/>
    <x v="78"/>
    <s v="YELLOWEEN"/>
    <m/>
    <s v="14.16"/>
    <n v="300"/>
    <s v="NL2018"/>
    <m/>
    <n v="0"/>
    <n v="0"/>
    <x v="108"/>
    <n v="0"/>
    <x v="1"/>
    <x v="26"/>
    <s v=""/>
    <s v=""/>
    <s v="chưa có KH trồng, chưa phí kho lạnh"/>
    <m/>
    <m/>
    <m/>
    <m/>
    <n v="0"/>
    <m/>
    <m/>
    <m/>
    <m/>
    <m/>
    <m/>
    <n v="0"/>
    <n v="0"/>
    <n v="0"/>
    <d v="2020-02-13T00:00:00"/>
  </r>
  <r>
    <s v="149B/2019"/>
    <d v="2019-03-04T00:00:00"/>
    <s v="THANH THÚY"/>
    <s v="MH02"/>
    <x v="114"/>
    <x v="66"/>
    <s v="TARRANGO"/>
    <m/>
    <s v="20.22"/>
    <n v="125"/>
    <s v="NL2018"/>
    <m/>
    <n v="120"/>
    <n v="15000"/>
    <x v="28"/>
    <n v="165000000"/>
    <x v="2"/>
    <x v="2"/>
    <d v="2019-09-29T00:00:00"/>
    <d v="2019-09-29T00:00:00"/>
    <s v="TẾT"/>
    <m/>
    <m/>
    <m/>
    <m/>
    <m/>
    <m/>
    <m/>
    <m/>
    <m/>
    <m/>
    <m/>
    <n v="0"/>
    <n v="15000"/>
    <n v="165000000"/>
    <m/>
  </r>
  <r>
    <s v="149B/2019"/>
    <d v="2019-03-04T00:00:00"/>
    <s v="THANH THÚY"/>
    <s v="MH02"/>
    <x v="114"/>
    <x v="146"/>
    <s v="ROBINA"/>
    <m/>
    <s v="24.26"/>
    <n v="80"/>
    <s v="NL2018"/>
    <m/>
    <n v="188"/>
    <n v="15040"/>
    <x v="111"/>
    <n v="231616000"/>
    <x v="2"/>
    <x v="2"/>
    <d v="2019-09-29T00:00:00"/>
    <d v="2019-09-29T00:00:00"/>
    <s v="TẾT"/>
    <m/>
    <m/>
    <m/>
    <m/>
    <m/>
    <m/>
    <m/>
    <m/>
    <m/>
    <m/>
    <m/>
    <n v="0"/>
    <n v="15040"/>
    <n v="231616000"/>
    <m/>
  </r>
  <r>
    <s v="86B/2019"/>
    <d v="2019-03-04T00:00:00"/>
    <s v="THANH THÚY"/>
    <s v="MH02"/>
    <x v="114"/>
    <x v="79"/>
    <s v="MANISSA DLW"/>
    <m/>
    <s v="16.18"/>
    <n v="200"/>
    <s v="NL2018"/>
    <m/>
    <n v="150"/>
    <n v="30000"/>
    <x v="181"/>
    <n v="204900000"/>
    <x v="0"/>
    <x v="11"/>
    <d v="2019-06-02T00:00:00"/>
    <d v="2019-06-02T00:00:00"/>
    <s v="29/4AL"/>
    <m/>
    <m/>
    <m/>
    <d v="2019-06-10T00:00:00"/>
    <n v="30000"/>
    <m/>
    <m/>
    <m/>
    <m/>
    <m/>
    <m/>
    <n v="30000"/>
    <n v="0"/>
    <n v="0"/>
    <d v="2020-02-13T00:00:00"/>
  </r>
  <r>
    <s v="86B/2019"/>
    <d v="2019-03-04T00:00:00"/>
    <s v="THANH THÚY"/>
    <s v="MH02"/>
    <x v="114"/>
    <x v="79"/>
    <s v="MANISSA"/>
    <m/>
    <s v="16.18"/>
    <n v="200"/>
    <s v="NL2018"/>
    <m/>
    <n v="70"/>
    <n v="14000"/>
    <x v="32"/>
    <n v="93800000"/>
    <x v="0"/>
    <x v="10"/>
    <d v="2019-04-03T00:00:00"/>
    <d v="2019-04-03T00:00:00"/>
    <s v="30/2AL"/>
    <s v="CONT 16/2019"/>
    <m/>
    <m/>
    <d v="2019-04-02T00:00:00"/>
    <n v="14000"/>
    <m/>
    <m/>
    <m/>
    <m/>
    <m/>
    <m/>
    <n v="14000"/>
    <n v="0"/>
    <n v="0"/>
    <d v="2020-02-13T00:00:00"/>
  </r>
  <r>
    <s v="86B/2019"/>
    <d v="2019-03-04T00:00:00"/>
    <s v="THANH THÚY"/>
    <s v="MH02"/>
    <x v="114"/>
    <x v="106"/>
    <s v="MANISSA"/>
    <s v="PR"/>
    <s v="16.18"/>
    <n v="200"/>
    <s v="NL2018"/>
    <m/>
    <n v="5"/>
    <n v="1000"/>
    <x v="32"/>
    <n v="6700000"/>
    <x v="0"/>
    <x v="10"/>
    <d v="2019-04-03T00:00:00"/>
    <d v="2019-04-03T00:00:00"/>
    <s v="30/2AL"/>
    <m/>
    <m/>
    <m/>
    <d v="2019-04-02T00:00:00"/>
    <n v="1000"/>
    <m/>
    <m/>
    <m/>
    <m/>
    <m/>
    <m/>
    <n v="1000"/>
    <n v="0"/>
    <n v="0"/>
    <m/>
  </r>
  <r>
    <s v="86B/2019"/>
    <d v="2019-03-04T00:00:00"/>
    <s v="THANH THÚY"/>
    <s v="MH02"/>
    <x v="114"/>
    <x v="79"/>
    <s v="MANISSA"/>
    <m/>
    <s v="16.18"/>
    <n v="200"/>
    <s v="NL2018"/>
    <s v="DLW"/>
    <n v="50"/>
    <n v="10000"/>
    <x v="182"/>
    <n v="67850000"/>
    <x v="0"/>
    <x v="1"/>
    <d v="2019-05-21T00:00:00"/>
    <d v="2019-05-21T00:00:00"/>
    <s v="17/4AL"/>
    <m/>
    <m/>
    <m/>
    <d v="2019-05-20T00:00:00"/>
    <n v="10000"/>
    <m/>
    <m/>
    <m/>
    <m/>
    <m/>
    <m/>
    <n v="10000"/>
    <n v="0"/>
    <n v="0"/>
    <d v="2020-02-13T00:00:00"/>
  </r>
  <r>
    <s v="86B/2019"/>
    <d v="2019-03-04T00:00:00"/>
    <s v="THANH THÚY"/>
    <s v="MH02"/>
    <x v="114"/>
    <x v="79"/>
    <s v="MANISSA"/>
    <m/>
    <s v="16.18"/>
    <n v="200"/>
    <s v="NL2018"/>
    <m/>
    <n v="125"/>
    <n v="25000"/>
    <x v="32"/>
    <n v="167500000"/>
    <x v="0"/>
    <x v="5"/>
    <d v="2019-04-19T00:00:00"/>
    <d v="2019-04-19T00:00:00"/>
    <s v="15/3AL"/>
    <s v="CONT 27/2019"/>
    <m/>
    <m/>
    <d v="2019-04-23T00:00:00"/>
    <n v="25000"/>
    <m/>
    <m/>
    <m/>
    <m/>
    <m/>
    <m/>
    <n v="25000"/>
    <n v="0"/>
    <n v="0"/>
    <d v="2020-02-13T00:00:00"/>
  </r>
  <r>
    <s v="86B/2019"/>
    <d v="2019-03-04T00:00:00"/>
    <s v="THANH THÚY"/>
    <s v="MH02"/>
    <x v="114"/>
    <x v="79"/>
    <s v="MANISSA"/>
    <m/>
    <s v="16.18"/>
    <n v="200"/>
    <s v="NL2018"/>
    <m/>
    <n v="100"/>
    <n v="20000"/>
    <x v="182"/>
    <n v="135700000"/>
    <x v="4"/>
    <x v="4"/>
    <d v="2019-07-17T00:00:00"/>
    <d v="2019-07-17T00:00:00"/>
    <s v="29/5AL"/>
    <m/>
    <m/>
    <m/>
    <m/>
    <n v="0"/>
    <m/>
    <m/>
    <m/>
    <m/>
    <m/>
    <m/>
    <n v="0"/>
    <n v="20000"/>
    <n v="135700000"/>
    <d v="2020-02-13T00:00:00"/>
  </r>
  <r>
    <s v="86B/2019"/>
    <d v="2019-06-11T00:00:00"/>
    <s v="THANH THÚY"/>
    <s v="MH02"/>
    <x v="114"/>
    <x v="79"/>
    <s v="MANISSA"/>
    <m/>
    <s v="16.18"/>
    <n v="200"/>
    <s v="NL2018"/>
    <m/>
    <n v="200"/>
    <n v="40000"/>
    <x v="54"/>
    <n v="0"/>
    <x v="2"/>
    <x v="26"/>
    <m/>
    <m/>
    <m/>
    <m/>
    <m/>
    <m/>
    <m/>
    <m/>
    <m/>
    <m/>
    <m/>
    <m/>
    <m/>
    <m/>
    <n v="0"/>
    <n v="40000"/>
    <n v="0"/>
    <m/>
  </r>
  <r>
    <s v="149B/2019"/>
    <d v="2019-03-04T00:00:00"/>
    <s v="THANH THÚY"/>
    <s v="MH02"/>
    <x v="114"/>
    <x v="67"/>
    <s v="MANISSA"/>
    <m/>
    <s v="22.24"/>
    <n v="100"/>
    <s v="NL2018"/>
    <m/>
    <n v="243"/>
    <n v="24300"/>
    <x v="111"/>
    <n v="374220000"/>
    <x v="2"/>
    <x v="2"/>
    <d v="2019-09-29T00:00:00"/>
    <d v="2019-09-29T00:00:00"/>
    <s v="TẾT"/>
    <m/>
    <m/>
    <m/>
    <m/>
    <m/>
    <m/>
    <m/>
    <m/>
    <m/>
    <m/>
    <m/>
    <n v="0"/>
    <n v="24300"/>
    <n v="374220000"/>
    <m/>
  </r>
  <r>
    <s v="149B/2019"/>
    <d v="2019-03-04T00:00:00"/>
    <s v="THANH THÚY"/>
    <s v="MH02"/>
    <x v="114"/>
    <x v="60"/>
    <s v="MANISSA"/>
    <m/>
    <s v="24+"/>
    <n v="75"/>
    <s v="NL2018"/>
    <m/>
    <n v="208.46666666666667"/>
    <n v="15635"/>
    <x v="117"/>
    <n v="253287000"/>
    <x v="2"/>
    <x v="2"/>
    <d v="2019-09-29T00:00:00"/>
    <d v="2019-09-29T00:00:00"/>
    <s v="TẾT"/>
    <m/>
    <m/>
    <m/>
    <m/>
    <m/>
    <m/>
    <m/>
    <m/>
    <m/>
    <m/>
    <m/>
    <n v="0"/>
    <n v="15635"/>
    <n v="253287000"/>
    <m/>
  </r>
  <r>
    <s v="152B/2019"/>
    <d v="2019-04-03T00:00:00"/>
    <s v="THANH THÚY"/>
    <s v="VL01"/>
    <x v="115"/>
    <x v="0"/>
    <s v="YELLOWEEN"/>
    <m/>
    <s v="12.14"/>
    <n v="400"/>
    <s v="NL2018"/>
    <m/>
    <n v="26"/>
    <n v="10400"/>
    <x v="1"/>
    <n v="28080000"/>
    <x v="0"/>
    <x v="33"/>
    <d v="2019-05-19T00:00:00"/>
    <d v="2019-05-19T00:00:00"/>
    <s v="15/4AL"/>
    <m/>
    <m/>
    <m/>
    <d v="2019-05-29T00:00:00"/>
    <n v="6000"/>
    <d v="2019-06-11T00:00:00"/>
    <n v="4400"/>
    <m/>
    <m/>
    <m/>
    <m/>
    <n v="10400"/>
    <n v="0"/>
    <n v="0"/>
    <m/>
  </r>
  <r>
    <s v="39B/2019"/>
    <d v="2019-02-11T00:00:00"/>
    <s v="THANH THÚY"/>
    <s v="VL01"/>
    <x v="115"/>
    <x v="0"/>
    <s v="YELLOWEEN"/>
    <m/>
    <s v="12.14"/>
    <n v="400"/>
    <s v="NL2018"/>
    <m/>
    <n v="36"/>
    <n v="14400"/>
    <x v="0"/>
    <n v="37440000"/>
    <x v="0"/>
    <x v="6"/>
    <d v="2019-02-19T00:00:00"/>
    <d v="2019-02-19T00:00:00"/>
    <s v="15/1AL"/>
    <m/>
    <m/>
    <m/>
    <d v="2019-03-04T00:00:00"/>
    <n v="14400"/>
    <m/>
    <m/>
    <m/>
    <m/>
    <m/>
    <m/>
    <n v="14400"/>
    <n v="0"/>
    <n v="0"/>
    <d v="2020-02-21T00:00:00"/>
  </r>
  <r>
    <s v="39B/2019"/>
    <d v="2019-02-11T00:00:00"/>
    <s v="THANH THÚY"/>
    <s v="VL01"/>
    <x v="115"/>
    <x v="69"/>
    <s v="YELLOWEEN"/>
    <m/>
    <s v="16.18"/>
    <n v="200"/>
    <s v="NL2017"/>
    <m/>
    <n v="10"/>
    <n v="2000"/>
    <x v="64"/>
    <n v="7600000"/>
    <x v="0"/>
    <x v="6"/>
    <d v="2019-02-19T00:00:00"/>
    <d v="2019-02-19T00:00:00"/>
    <s v="15/1AL"/>
    <m/>
    <m/>
    <m/>
    <d v="2019-03-04T00:00:00"/>
    <n v="2000"/>
    <m/>
    <m/>
    <m/>
    <m/>
    <m/>
    <m/>
    <n v="2000"/>
    <n v="0"/>
    <n v="0"/>
    <d v="2020-02-21T00:00:00"/>
  </r>
  <r>
    <s v="39B/2019"/>
    <d v="2019-02-11T00:00:00"/>
    <s v="THANH THÚY"/>
    <s v="VL01"/>
    <x v="115"/>
    <x v="69"/>
    <s v="YELLOWEEN"/>
    <m/>
    <s v="16.18"/>
    <n v="200"/>
    <s v="NL2017"/>
    <m/>
    <n v="15"/>
    <n v="3000"/>
    <x v="64"/>
    <n v="11400000"/>
    <x v="0"/>
    <x v="6"/>
    <d v="2019-02-19T00:00:00"/>
    <d v="2019-02-19T00:00:00"/>
    <s v="15/1AL"/>
    <m/>
    <m/>
    <m/>
    <d v="2019-03-06T00:00:00"/>
    <n v="3000"/>
    <m/>
    <m/>
    <m/>
    <m/>
    <m/>
    <m/>
    <n v="3000"/>
    <n v="0"/>
    <n v="0"/>
    <d v="2020-02-21T00:00:00"/>
  </r>
  <r>
    <s v="39B/2019"/>
    <d v="2019-02-11T00:00:00"/>
    <s v="THANH THÚY"/>
    <s v="VL01"/>
    <x v="115"/>
    <x v="0"/>
    <s v="YELLOWEEN"/>
    <m/>
    <s v="12.14"/>
    <n v="400"/>
    <s v="NL2018"/>
    <m/>
    <n v="13"/>
    <n v="5200"/>
    <x v="0"/>
    <n v="13520000"/>
    <x v="0"/>
    <x v="0"/>
    <d v="2019-03-20T00:00:00"/>
    <d v="2019-03-20T00:00:00"/>
    <s v="15/2AL"/>
    <s v="CONT 12/2019"/>
    <m/>
    <m/>
    <d v="2019-03-20T00:00:00"/>
    <n v="5200"/>
    <m/>
    <m/>
    <m/>
    <m/>
    <m/>
    <m/>
    <n v="5200"/>
    <n v="0"/>
    <n v="0"/>
    <d v="2020-02-21T00:00:00"/>
  </r>
  <r>
    <s v="39B/2019"/>
    <d v="2019-02-11T00:00:00"/>
    <s v="THANH THÚY"/>
    <s v="VL01"/>
    <x v="115"/>
    <x v="0"/>
    <s v="YELLOWEEN"/>
    <m/>
    <s v="12.14"/>
    <n v="400"/>
    <s v="NL2018"/>
    <m/>
    <n v="13"/>
    <n v="5200"/>
    <x v="0"/>
    <n v="13520000"/>
    <x v="0"/>
    <x v="10"/>
    <d v="2019-04-03T00:00:00"/>
    <d v="2019-04-03T00:00:00"/>
    <s v="28/2AL"/>
    <s v="CONT 18/2019"/>
    <m/>
    <m/>
    <d v="2019-04-03T00:00:00"/>
    <n v="5200"/>
    <m/>
    <m/>
    <m/>
    <m/>
    <m/>
    <m/>
    <n v="5200"/>
    <n v="0"/>
    <n v="0"/>
    <d v="2020-02-21T00:00:00"/>
  </r>
  <r>
    <s v="152B/2019"/>
    <d v="2019-04-03T00:00:00"/>
    <s v="THANH THÚY"/>
    <s v="VL01"/>
    <x v="115"/>
    <x v="0"/>
    <s v="YELLOWEEN"/>
    <m/>
    <s v="12.14"/>
    <n v="400"/>
    <s v="NL2018"/>
    <m/>
    <n v="41"/>
    <n v="16400"/>
    <x v="0"/>
    <n v="42640000"/>
    <x v="0"/>
    <x v="5"/>
    <d v="2019-04-19T00:00:00"/>
    <d v="2019-04-19T00:00:00"/>
    <s v="15/3AL"/>
    <s v="CONT 24/2019"/>
    <m/>
    <m/>
    <d v="2019-04-18T00:00:00"/>
    <n v="8000"/>
    <d v="2019-04-26T00:00:00"/>
    <n v="2400"/>
    <d v="2019-05-08T00:00:00"/>
    <n v="6000"/>
    <m/>
    <m/>
    <n v="16400"/>
    <n v="0"/>
    <n v="0"/>
    <d v="2020-02-21T00:00:00"/>
  </r>
  <r>
    <s v="152B/2019"/>
    <d v="2019-04-03T00:00:00"/>
    <s v="THANH THÚY"/>
    <s v="VL01"/>
    <x v="115"/>
    <x v="0"/>
    <s v="YELLOWEEN"/>
    <m/>
    <s v="12.14"/>
    <n v="400"/>
    <s v="NL2018"/>
    <m/>
    <n v="14"/>
    <n v="5600"/>
    <x v="1"/>
    <n v="15120000"/>
    <x v="0"/>
    <x v="1"/>
    <d v="2019-05-21T00:00:00"/>
    <d v="2019-05-21T00:00:00"/>
    <s v="Cho hàng về sớm do chuyến 29/4 ko có"/>
    <m/>
    <m/>
    <m/>
    <d v="2019-06-11T00:00:00"/>
    <n v="5600"/>
    <m/>
    <m/>
    <m/>
    <m/>
    <m/>
    <m/>
    <n v="5600"/>
    <n v="0"/>
    <n v="0"/>
    <d v="2020-02-21T00:00:00"/>
  </r>
  <r>
    <s v="152B/2019"/>
    <d v="2019-04-03T00:00:00"/>
    <s v="THANH THÚY"/>
    <s v="VL01"/>
    <x v="115"/>
    <x v="0"/>
    <s v="YELLOWEEN"/>
    <m/>
    <s v="12.14"/>
    <n v="400"/>
    <s v="NL2018"/>
    <m/>
    <n v="0"/>
    <n v="0"/>
    <x v="1"/>
    <n v="0"/>
    <x v="1"/>
    <x v="26"/>
    <s v=""/>
    <s v=""/>
    <s v="chưa tính phí lạnh"/>
    <m/>
    <m/>
    <m/>
    <m/>
    <n v="0"/>
    <m/>
    <m/>
    <m/>
    <m/>
    <m/>
    <m/>
    <n v="0"/>
    <n v="0"/>
    <n v="0"/>
    <d v="2020-02-21T00:00:00"/>
  </r>
  <r>
    <s v="152B/2019"/>
    <d v="2019-06-14T00:00:00"/>
    <s v="THANH THÚY"/>
    <s v="VL01"/>
    <x v="115"/>
    <x v="0"/>
    <s v="YELLOWEEN"/>
    <m/>
    <s v="12.14"/>
    <n v="400"/>
    <s v="NL2018"/>
    <m/>
    <n v="35"/>
    <n v="14000"/>
    <x v="37"/>
    <n v="39200000"/>
    <x v="2"/>
    <x v="26"/>
    <s v=""/>
    <s v=""/>
    <m/>
    <m/>
    <m/>
    <m/>
    <m/>
    <m/>
    <m/>
    <m/>
    <m/>
    <m/>
    <m/>
    <m/>
    <n v="0"/>
    <n v="14000"/>
    <n v="39200000"/>
    <m/>
  </r>
  <r>
    <s v="39B/2019"/>
    <d v="2019-02-11T00:00:00"/>
    <s v="THANH THÚY"/>
    <s v="VL01"/>
    <x v="115"/>
    <x v="17"/>
    <s v="THALITA"/>
    <s v="RL"/>
    <s v="12.14"/>
    <n v="400"/>
    <s v="NL2018"/>
    <m/>
    <n v="1"/>
    <n v="400"/>
    <x v="9"/>
    <n v="3200000"/>
    <x v="0"/>
    <x v="76"/>
    <d v="2019-03-15T00:00:00"/>
    <d v="2019-03-15T00:00:00"/>
    <s v="23/1AL"/>
    <m/>
    <m/>
    <m/>
    <d v="2019-03-15T00:00:00"/>
    <n v="400"/>
    <m/>
    <m/>
    <m/>
    <m/>
    <m/>
    <m/>
    <n v="400"/>
    <n v="0"/>
    <n v="0"/>
    <m/>
  </r>
  <r>
    <s v="39B/2019"/>
    <d v="2019-02-11T00:00:00"/>
    <s v="THANH THÚY"/>
    <s v="VL01"/>
    <x v="115"/>
    <x v="17"/>
    <s v="THALITA"/>
    <s v="RL"/>
    <s v="12.14"/>
    <n v="400"/>
    <s v="NL2018"/>
    <m/>
    <n v="5"/>
    <n v="2000"/>
    <x v="9"/>
    <n v="16000000"/>
    <x v="0"/>
    <x v="10"/>
    <d v="2019-04-03T00:00:00"/>
    <d v="2019-04-03T00:00:00"/>
    <s v="28/2AL"/>
    <s v="CONT 17/2019"/>
    <m/>
    <m/>
    <d v="2019-04-03T00:00:00"/>
    <n v="2000"/>
    <m/>
    <m/>
    <m/>
    <m/>
    <m/>
    <m/>
    <n v="2000"/>
    <n v="0"/>
    <n v="0"/>
    <d v="2020-02-21T00:00:00"/>
  </r>
  <r>
    <s v="152B/2019"/>
    <d v="2019-04-03T00:00:00"/>
    <s v="THANH THÚY"/>
    <s v="VL01"/>
    <x v="115"/>
    <x v="17"/>
    <s v="THALITA"/>
    <s v="RL"/>
    <s v="12.14"/>
    <n v="400"/>
    <s v="NL2018"/>
    <m/>
    <n v="4"/>
    <n v="1600"/>
    <x v="183"/>
    <n v="12900800"/>
    <x v="0"/>
    <x v="26"/>
    <s v=""/>
    <s v=""/>
    <m/>
    <s v="CONT 24/2019"/>
    <m/>
    <m/>
    <d v="2019-05-08T00:00:00"/>
    <n v="1600"/>
    <m/>
    <m/>
    <m/>
    <m/>
    <m/>
    <m/>
    <n v="1600"/>
    <n v="0"/>
    <n v="0"/>
    <d v="2020-02-21T00:00:00"/>
  </r>
  <r>
    <s v="152B/2019"/>
    <d v="2019-06-06T00:00:00"/>
    <s v="THANH THÚY"/>
    <s v="VL01"/>
    <x v="115"/>
    <x v="17"/>
    <s v="THALITA"/>
    <s v="RL"/>
    <s v="12.14"/>
    <n v="400"/>
    <s v="NL2018"/>
    <m/>
    <n v="3"/>
    <n v="1200"/>
    <x v="184"/>
    <n v="9705600"/>
    <x v="0"/>
    <x v="28"/>
    <d v="2019-06-07T00:00:00"/>
    <d v="2019-06-07T00:00:00"/>
    <m/>
    <m/>
    <m/>
    <m/>
    <d v="2019-06-11T00:00:00"/>
    <n v="1200"/>
    <m/>
    <m/>
    <m/>
    <m/>
    <m/>
    <m/>
    <n v="1200"/>
    <n v="0"/>
    <n v="0"/>
    <m/>
  </r>
  <r>
    <s v="152B/2019"/>
    <d v="2019-06-14T00:00:00"/>
    <s v="THANH THÚY"/>
    <s v="VL01"/>
    <x v="115"/>
    <x v="17"/>
    <s v="THALITA"/>
    <s v="RL"/>
    <s v="12.14"/>
    <n v="400"/>
    <s v="NL2018"/>
    <m/>
    <n v="10"/>
    <n v="4000"/>
    <x v="67"/>
    <n v="32800000"/>
    <x v="4"/>
    <x v="4"/>
    <d v="2019-07-17T00:00:00"/>
    <d v="2019-07-17T00:00:00"/>
    <m/>
    <m/>
    <m/>
    <m/>
    <m/>
    <m/>
    <m/>
    <m/>
    <m/>
    <m/>
    <m/>
    <m/>
    <n v="0"/>
    <n v="4000"/>
    <n v="32800000"/>
    <m/>
  </r>
  <r>
    <s v="152B/2019"/>
    <d v="2019-06-06T00:00:00"/>
    <s v="THANH THÚY"/>
    <s v="VL01"/>
    <x v="115"/>
    <x v="18"/>
    <s v="TATSJANA"/>
    <s v="RL"/>
    <s v="12.14"/>
    <n v="350"/>
    <s v="NL2018"/>
    <m/>
    <n v="3"/>
    <n v="1050"/>
    <x v="184"/>
    <n v="8492400"/>
    <x v="0"/>
    <x v="28"/>
    <d v="2019-06-07T00:00:00"/>
    <d v="2019-06-07T00:00:00"/>
    <m/>
    <m/>
    <m/>
    <m/>
    <d v="2019-06-13T00:00:00"/>
    <n v="1050"/>
    <m/>
    <m/>
    <m/>
    <m/>
    <m/>
    <m/>
    <n v="1050"/>
    <n v="0"/>
    <n v="0"/>
    <m/>
  </r>
  <r>
    <s v="174B/2019"/>
    <d v="2019-06-20T00:00:00"/>
    <s v="THANH THÚY"/>
    <s v="VL01"/>
    <x v="115"/>
    <x v="121"/>
    <s v="TATSJANA"/>
    <s v="RL"/>
    <s v="14.16"/>
    <n v="300"/>
    <s v="NL2018"/>
    <m/>
    <n v="9.8333333333333339"/>
    <n v="2950"/>
    <x v="118"/>
    <n v="41005000"/>
    <x v="2"/>
    <x v="2"/>
    <d v="2019-09-29T00:00:00"/>
    <d v="2019-09-29T00:00:00"/>
    <m/>
    <m/>
    <m/>
    <m/>
    <m/>
    <m/>
    <m/>
    <m/>
    <m/>
    <m/>
    <m/>
    <m/>
    <n v="0"/>
    <n v="2950"/>
    <n v="41005000"/>
    <m/>
  </r>
  <r>
    <s v="39B/2019"/>
    <d v="2019-02-11T00:00:00"/>
    <s v="THANH THÚY"/>
    <s v="VL01"/>
    <x v="115"/>
    <x v="35"/>
    <s v="TARRANGO"/>
    <m/>
    <s v="14.16"/>
    <n v="300"/>
    <s v="NL2018"/>
    <m/>
    <n v="17"/>
    <n v="5100"/>
    <x v="29"/>
    <n v="23460000"/>
    <x v="0"/>
    <x v="0"/>
    <d v="2019-03-20T00:00:00"/>
    <d v="2019-03-20T00:00:00"/>
    <s v="15/2AL"/>
    <s v="CONT 10/2019"/>
    <m/>
    <m/>
    <d v="2019-03-20T00:00:00"/>
    <n v="5100"/>
    <m/>
    <m/>
    <m/>
    <m/>
    <m/>
    <m/>
    <n v="5100"/>
    <n v="0"/>
    <n v="0"/>
    <d v="2020-02-21T00:00:00"/>
  </r>
  <r>
    <s v="39B/2019"/>
    <d v="2019-02-11T00:00:00"/>
    <s v="THANH THÚY"/>
    <s v="VL01"/>
    <x v="115"/>
    <x v="35"/>
    <s v="TARRANGO"/>
    <m/>
    <s v="14.16"/>
    <n v="300"/>
    <s v="NL2018"/>
    <m/>
    <n v="34"/>
    <n v="10200"/>
    <x v="29"/>
    <n v="46920000"/>
    <x v="0"/>
    <x v="10"/>
    <d v="2019-04-03T00:00:00"/>
    <d v="2019-04-03T00:00:00"/>
    <s v="28/2AL"/>
    <s v="CONT 17/2019"/>
    <m/>
    <m/>
    <d v="2019-04-03T00:00:00"/>
    <n v="10200"/>
    <m/>
    <m/>
    <m/>
    <m/>
    <m/>
    <m/>
    <n v="10200"/>
    <n v="0"/>
    <n v="0"/>
    <d v="2020-02-21T00:00:00"/>
  </r>
  <r>
    <s v="152B/2019"/>
    <d v="2019-04-03T00:00:00"/>
    <s v="THANH THÚY"/>
    <s v="VL01"/>
    <x v="115"/>
    <x v="35"/>
    <s v="TARRANGO"/>
    <m/>
    <s v="14.16"/>
    <n v="300"/>
    <s v="NL2018"/>
    <m/>
    <n v="51"/>
    <n v="15300"/>
    <x v="29"/>
    <n v="70380000"/>
    <x v="0"/>
    <x v="5"/>
    <d v="2019-04-19T00:00:00"/>
    <d v="2019-04-19T00:00:00"/>
    <s v="15/3AL"/>
    <s v="CONT 22/2019"/>
    <m/>
    <m/>
    <d v="2019-04-18T00:00:00"/>
    <n v="8400"/>
    <d v="2019-04-26T00:00:00"/>
    <n v="2700"/>
    <d v="2019-04-26T00:00:00"/>
    <n v="4200"/>
    <m/>
    <m/>
    <n v="15300"/>
    <n v="0"/>
    <n v="0"/>
    <d v="2020-02-21T00:00:00"/>
  </r>
  <r>
    <s v="152B/2019"/>
    <d v="2019-04-03T00:00:00"/>
    <s v="THANH THÚY"/>
    <s v="VL01"/>
    <x v="115"/>
    <x v="35"/>
    <s v="TARRANGO"/>
    <m/>
    <s v="14.16"/>
    <n v="300"/>
    <s v="NL2018"/>
    <m/>
    <n v="34"/>
    <n v="10200"/>
    <x v="12"/>
    <n v="47940000"/>
    <x v="0"/>
    <x v="33"/>
    <d v="2019-05-19T00:00:00"/>
    <d v="2019-05-19T00:00:00"/>
    <s v="15/4AL"/>
    <m/>
    <m/>
    <m/>
    <d v="2019-05-19T00:00:00"/>
    <n v="10200"/>
    <m/>
    <m/>
    <m/>
    <m/>
    <m/>
    <m/>
    <n v="10200"/>
    <n v="0"/>
    <n v="0"/>
    <m/>
  </r>
  <r>
    <s v="152B/2019"/>
    <d v="2019-04-03T00:00:00"/>
    <s v="THANH THÚY"/>
    <s v="VL01"/>
    <x v="115"/>
    <x v="35"/>
    <s v="TARRANGO"/>
    <m/>
    <s v="14.16"/>
    <n v="300"/>
    <s v="NL2018"/>
    <m/>
    <n v="0"/>
    <n v="0"/>
    <x v="43"/>
    <n v="0"/>
    <x v="1"/>
    <x v="9"/>
    <d v="2019-06-04T00:00:00"/>
    <d v="2019-06-04T00:00:00"/>
    <s v="02/5AL"/>
    <m/>
    <m/>
    <m/>
    <m/>
    <n v="0"/>
    <m/>
    <m/>
    <m/>
    <m/>
    <m/>
    <m/>
    <n v="0"/>
    <n v="0"/>
    <n v="0"/>
    <d v="2020-02-21T00:00:00"/>
  </r>
  <r>
    <s v="152B/2019"/>
    <d v="2019-04-03T00:00:00"/>
    <s v="THANH THÚY"/>
    <s v="VL01"/>
    <x v="115"/>
    <x v="35"/>
    <s v="TARRANGO"/>
    <m/>
    <s v="14.16"/>
    <n v="300"/>
    <s v="NL2018"/>
    <m/>
    <n v="33"/>
    <n v="9900"/>
    <x v="43"/>
    <n v="47520000"/>
    <x v="4"/>
    <x v="4"/>
    <d v="2019-07-17T00:00:00"/>
    <d v="2019-07-17T00:00:00"/>
    <m/>
    <m/>
    <m/>
    <m/>
    <m/>
    <m/>
    <m/>
    <m/>
    <m/>
    <m/>
    <m/>
    <m/>
    <n v="0"/>
    <n v="9900"/>
    <n v="47520000"/>
    <m/>
  </r>
  <r>
    <s v="152B/2019"/>
    <d v="2019-04-03T00:00:00"/>
    <s v="THANH THÚY"/>
    <s v="VL01"/>
    <x v="115"/>
    <x v="35"/>
    <s v="TARRANGO"/>
    <m/>
    <s v="14.16"/>
    <n v="300"/>
    <s v="NL2018"/>
    <m/>
    <n v="100"/>
    <n v="30000"/>
    <x v="8"/>
    <n v="150000000"/>
    <x v="2"/>
    <x v="26"/>
    <s v=""/>
    <s v=""/>
    <s v="chưa tính phí lạnh"/>
    <m/>
    <m/>
    <m/>
    <m/>
    <n v="0"/>
    <m/>
    <m/>
    <m/>
    <m/>
    <m/>
    <m/>
    <n v="0"/>
    <n v="30000"/>
    <n v="150000000"/>
    <d v="2020-02-21T00:00:00"/>
  </r>
  <r>
    <s v="152B/2019"/>
    <d v="2019-04-03T00:00:00"/>
    <s v="THANH THÚY"/>
    <s v="VL01"/>
    <x v="115"/>
    <x v="35"/>
    <s v="TARRANGO"/>
    <m/>
    <s v="14.16"/>
    <n v="300"/>
    <s v="NL2018"/>
    <m/>
    <n v="34"/>
    <n v="10200"/>
    <x v="8"/>
    <n v="51000000"/>
    <x v="4"/>
    <x v="4"/>
    <d v="2019-07-17T00:00:00"/>
    <d v="2019-07-17T00:00:00"/>
    <m/>
    <m/>
    <m/>
    <m/>
    <m/>
    <m/>
    <m/>
    <m/>
    <m/>
    <m/>
    <m/>
    <m/>
    <n v="0"/>
    <n v="10200"/>
    <n v="51000000"/>
    <m/>
  </r>
  <r>
    <s v="174B/2019"/>
    <d v="2019-04-20T00:00:00"/>
    <s v="THANH THÚY"/>
    <s v="VL01"/>
    <x v="115"/>
    <x v="174"/>
    <s v="TARRANGO"/>
    <m/>
    <s v="16.18"/>
    <n v="200"/>
    <s v="CL2019"/>
    <m/>
    <n v="100"/>
    <n v="20000"/>
    <x v="160"/>
    <n v="184000000"/>
    <x v="2"/>
    <x v="2"/>
    <d v="2019-09-29T00:00:00"/>
    <d v="2019-09-29T00:00:00"/>
    <s v="TẾT"/>
    <m/>
    <m/>
    <m/>
    <m/>
    <m/>
    <m/>
    <m/>
    <m/>
    <m/>
    <m/>
    <m/>
    <n v="0"/>
    <n v="20000"/>
    <n v="184000000"/>
    <m/>
  </r>
  <r>
    <s v="152B/2019"/>
    <d v="2019-06-22T00:00:00"/>
    <s v="THANH THÚY"/>
    <s v="VL01"/>
    <x v="115"/>
    <x v="175"/>
    <s v="SNOWBOARD"/>
    <s v="RL"/>
    <s v="20.22"/>
    <n v="125"/>
    <s v="NL2018"/>
    <m/>
    <n v="18"/>
    <n v="2250"/>
    <x v="5"/>
    <n v="23625000"/>
    <x v="2"/>
    <x v="60"/>
    <s v=""/>
    <s v=""/>
    <m/>
    <m/>
    <m/>
    <m/>
    <m/>
    <m/>
    <m/>
    <m/>
    <m/>
    <m/>
    <m/>
    <m/>
    <n v="0"/>
    <n v="2250"/>
    <n v="23625000"/>
    <m/>
  </r>
  <r>
    <s v="152B/2019"/>
    <d v="2019-04-03T00:00:00"/>
    <s v="THANH THÚY"/>
    <s v="VL01"/>
    <x v="115"/>
    <x v="176"/>
    <s v="SEDONA"/>
    <m/>
    <s v="18.20"/>
    <n v="150"/>
    <s v="NL2018"/>
    <m/>
    <n v="4"/>
    <n v="600"/>
    <x v="56"/>
    <n v="4320000"/>
    <x v="3"/>
    <x v="9"/>
    <d v="2019-06-04T00:00:00"/>
    <d v="2019-06-04T00:00:00"/>
    <s v="02/5AL"/>
    <m/>
    <m/>
    <m/>
    <m/>
    <m/>
    <m/>
    <m/>
    <m/>
    <m/>
    <m/>
    <m/>
    <n v="0"/>
    <n v="600"/>
    <n v="4320000"/>
    <m/>
  </r>
  <r>
    <s v="174B/2019"/>
    <d v="2019-04-20T00:00:00"/>
    <s v="THANH THÚY"/>
    <s v="VL01"/>
    <x v="115"/>
    <x v="105"/>
    <s v="SEDONA"/>
    <m/>
    <s v="20.22"/>
    <n v="125"/>
    <s v="NL2018"/>
    <m/>
    <n v="80"/>
    <n v="10000"/>
    <x v="62"/>
    <n v="109000000"/>
    <x v="2"/>
    <x v="2"/>
    <d v="2019-09-29T00:00:00"/>
    <d v="2019-09-29T00:00:00"/>
    <s v="TẾT"/>
    <m/>
    <m/>
    <m/>
    <m/>
    <m/>
    <m/>
    <m/>
    <m/>
    <m/>
    <m/>
    <m/>
    <n v="0"/>
    <n v="10000"/>
    <n v="109000000"/>
    <m/>
  </r>
  <r>
    <s v="152B/2019"/>
    <d v="2019-04-03T00:00:00"/>
    <s v="THANH THÚY"/>
    <s v="VL01"/>
    <x v="115"/>
    <x v="177"/>
    <s v="PETER SCHENKER"/>
    <m/>
    <s v="14.16"/>
    <n v="300"/>
    <s v="NL2018"/>
    <m/>
    <n v="6"/>
    <n v="1800"/>
    <x v="38"/>
    <n v="7380000"/>
    <x v="3"/>
    <x v="9"/>
    <d v="2019-06-04T00:00:00"/>
    <d v="2019-06-04T00:00:00"/>
    <s v="02/5AL"/>
    <m/>
    <m/>
    <m/>
    <m/>
    <m/>
    <m/>
    <m/>
    <m/>
    <m/>
    <m/>
    <m/>
    <n v="0"/>
    <n v="1800"/>
    <n v="7380000"/>
    <m/>
  </r>
  <r>
    <s v="152B/2019"/>
    <d v="2019-04-03T00:00:00"/>
    <s v="THANH THÚY"/>
    <s v="VL01"/>
    <x v="115"/>
    <x v="123"/>
    <s v="PATRICIA"/>
    <s v="RL"/>
    <s v="12.14"/>
    <n v="400"/>
    <s v="NL2018"/>
    <m/>
    <n v="5"/>
    <n v="2000"/>
    <x v="183"/>
    <n v="16126000"/>
    <x v="0"/>
    <x v="33"/>
    <d v="2019-05-19T00:00:00"/>
    <d v="2019-05-19T00:00:00"/>
    <s v="15/4AL"/>
    <m/>
    <m/>
    <m/>
    <d v="2019-05-19T00:00:00"/>
    <n v="2000"/>
    <m/>
    <m/>
    <m/>
    <m/>
    <m/>
    <m/>
    <n v="2000"/>
    <n v="0"/>
    <n v="0"/>
    <m/>
  </r>
  <r>
    <s v="152B/2019"/>
    <d v="2019-06-14T00:00:00"/>
    <s v="THANH THÚY"/>
    <s v="VL01"/>
    <x v="115"/>
    <x v="123"/>
    <s v="PATRICIA"/>
    <s v="RL"/>
    <s v="12.14"/>
    <n v="400"/>
    <s v="NL2018"/>
    <m/>
    <n v="10"/>
    <n v="4000"/>
    <x v="67"/>
    <n v="32800000"/>
    <x v="4"/>
    <x v="4"/>
    <d v="2019-07-17T00:00:00"/>
    <d v="2019-07-17T00:00:00"/>
    <m/>
    <m/>
    <m/>
    <m/>
    <m/>
    <m/>
    <m/>
    <m/>
    <m/>
    <m/>
    <m/>
    <m/>
    <n v="0"/>
    <n v="4000"/>
    <n v="32800000"/>
    <m/>
  </r>
  <r>
    <s v="39B/2019"/>
    <d v="2019-02-11T00:00:00"/>
    <s v="THANH THÚY"/>
    <s v="VL01"/>
    <x v="115"/>
    <x v="76"/>
    <s v="NATALIA"/>
    <s v="RL"/>
    <s v="12.14"/>
    <n v="400"/>
    <s v="NL2018"/>
    <m/>
    <n v="8"/>
    <n v="3200"/>
    <x v="9"/>
    <n v="25600000"/>
    <x v="0"/>
    <x v="10"/>
    <d v="2019-04-03T00:00:00"/>
    <d v="2019-04-03T00:00:00"/>
    <s v="28/2AL"/>
    <s v="CONT 17/2019"/>
    <m/>
    <m/>
    <d v="2019-04-03T00:00:00"/>
    <n v="3200"/>
    <m/>
    <m/>
    <m/>
    <m/>
    <m/>
    <m/>
    <n v="3200"/>
    <n v="0"/>
    <n v="0"/>
    <d v="2020-02-21T00:00:00"/>
  </r>
  <r>
    <s v="152B/2019"/>
    <d v="2019-04-03T00:00:00"/>
    <s v="THANH THÚY"/>
    <s v="VL01"/>
    <x v="115"/>
    <x v="76"/>
    <s v="NATALIA"/>
    <s v="RL"/>
    <s v="12.14"/>
    <n v="400"/>
    <s v="NL2018"/>
    <m/>
    <n v="8"/>
    <n v="3200"/>
    <x v="183"/>
    <n v="25801600"/>
    <x v="0"/>
    <x v="33"/>
    <d v="2019-05-19T00:00:00"/>
    <d v="2019-05-19T00:00:00"/>
    <s v="15/4AL"/>
    <m/>
    <m/>
    <m/>
    <d v="2019-05-19T00:00:00"/>
    <n v="3200"/>
    <m/>
    <m/>
    <m/>
    <m/>
    <m/>
    <m/>
    <n v="3200"/>
    <n v="0"/>
    <n v="0"/>
    <m/>
  </r>
  <r>
    <s v="152B/2019"/>
    <d v="2019-04-03T00:00:00"/>
    <s v="THANH THÚY"/>
    <s v="VL01"/>
    <x v="115"/>
    <x v="76"/>
    <s v="NATALIA"/>
    <s v="RL"/>
    <s v="12.14"/>
    <n v="400"/>
    <s v="NL2018"/>
    <m/>
    <n v="3"/>
    <n v="1200"/>
    <x v="184"/>
    <n v="9705600"/>
    <x v="0"/>
    <x v="9"/>
    <d v="2019-06-04T00:00:00"/>
    <d v="2019-06-04T00:00:00"/>
    <s v="02/5AL"/>
    <m/>
    <m/>
    <m/>
    <d v="2019-06-11T00:00:00"/>
    <n v="1200"/>
    <m/>
    <m/>
    <m/>
    <m/>
    <m/>
    <m/>
    <n v="1200"/>
    <n v="0"/>
    <n v="0"/>
    <m/>
  </r>
  <r>
    <s v="152B/2019"/>
    <d v="2019-06-14T00:00:00"/>
    <s v="THANH THÚY"/>
    <s v="VL01"/>
    <x v="115"/>
    <x v="76"/>
    <s v="NATALIA"/>
    <s v="RL"/>
    <s v="12.14"/>
    <n v="400"/>
    <s v="NL2018"/>
    <m/>
    <n v="7"/>
    <n v="2800"/>
    <x v="184"/>
    <n v="22646400"/>
    <x v="3"/>
    <x v="3"/>
    <d v="2019-06-20T00:00:00"/>
    <d v="2019-06-20T00:00:00"/>
    <m/>
    <m/>
    <m/>
    <m/>
    <m/>
    <m/>
    <m/>
    <m/>
    <m/>
    <m/>
    <m/>
    <m/>
    <n v="0"/>
    <n v="2800"/>
    <n v="22646400"/>
    <m/>
  </r>
  <r>
    <s v="152B/2019"/>
    <d v="2019-06-20T00:00:00"/>
    <s v="THANH THÚY"/>
    <s v="VL01"/>
    <x v="115"/>
    <x v="76"/>
    <s v="NATALIA"/>
    <s v="RL"/>
    <s v="12.14"/>
    <n v="400"/>
    <s v="NL2018"/>
    <m/>
    <n v="7"/>
    <n v="2800"/>
    <x v="67"/>
    <n v="22960000"/>
    <x v="3"/>
    <x v="3"/>
    <d v="2019-06-20T00:00:00"/>
    <d v="2019-06-20T00:00:00"/>
    <m/>
    <m/>
    <m/>
    <m/>
    <m/>
    <m/>
    <m/>
    <m/>
    <m/>
    <m/>
    <m/>
    <m/>
    <n v="0"/>
    <n v="2800"/>
    <n v="22960000"/>
    <m/>
  </r>
  <r>
    <s v="152B/2019"/>
    <d v="2019-06-20T00:00:00"/>
    <s v="THANH THÚY"/>
    <s v="VL01"/>
    <x v="115"/>
    <x v="76"/>
    <s v="NATALIA"/>
    <s v="RL"/>
    <s v="12.14"/>
    <n v="400"/>
    <s v="NL2018"/>
    <m/>
    <n v="4"/>
    <n v="1600"/>
    <x v="149"/>
    <n v="13280000"/>
    <x v="2"/>
    <x v="63"/>
    <d v="2019-08-05T00:00:00"/>
    <d v="2019-08-05T00:00:00"/>
    <m/>
    <m/>
    <m/>
    <m/>
    <m/>
    <m/>
    <m/>
    <m/>
    <m/>
    <m/>
    <m/>
    <m/>
    <n v="0"/>
    <n v="1600"/>
    <n v="13280000"/>
    <m/>
  </r>
  <r>
    <s v="152B/2019"/>
    <d v="2019-06-14T00:00:00"/>
    <s v="THANH THÚY"/>
    <s v="VL01"/>
    <x v="115"/>
    <x v="76"/>
    <s v="NATALIA"/>
    <s v="RL"/>
    <s v="12.14"/>
    <n v="400"/>
    <s v="NL2018"/>
    <m/>
    <n v="10"/>
    <n v="4000"/>
    <x v="67"/>
    <n v="32800000"/>
    <x v="4"/>
    <x v="4"/>
    <d v="2019-07-17T00:00:00"/>
    <d v="2019-07-17T00:00:00"/>
    <m/>
    <m/>
    <m/>
    <m/>
    <m/>
    <m/>
    <m/>
    <m/>
    <m/>
    <m/>
    <m/>
    <m/>
    <n v="0"/>
    <n v="4000"/>
    <n v="32800000"/>
    <m/>
  </r>
  <r>
    <s v="152B/2019"/>
    <d v="2019-04-03T00:00:00"/>
    <s v="THANH THÚY"/>
    <s v="VL01"/>
    <x v="115"/>
    <x v="27"/>
    <s v="MALDANO"/>
    <m/>
    <s v="16.18"/>
    <n v="200"/>
    <s v="NL2018"/>
    <m/>
    <n v="50"/>
    <n v="10000"/>
    <x v="8"/>
    <n v="50000000"/>
    <x v="0"/>
    <x v="26"/>
    <s v=""/>
    <s v=""/>
    <m/>
    <s v="CONT 24/2019"/>
    <m/>
    <m/>
    <d v="2019-05-08T00:00:00"/>
    <n v="10000"/>
    <m/>
    <m/>
    <m/>
    <m/>
    <m/>
    <m/>
    <n v="10000"/>
    <n v="0"/>
    <n v="0"/>
    <d v="2020-02-21T00:00:00"/>
  </r>
  <r>
    <s v="152B/2019"/>
    <d v="2019-06-04T00:00:00"/>
    <s v="THANH THÚY"/>
    <s v="VL01"/>
    <x v="115"/>
    <x v="73"/>
    <s v="MALDANO"/>
    <m/>
    <s v="14.16"/>
    <n v="300"/>
    <s v="NL2018"/>
    <m/>
    <n v="33"/>
    <n v="9900"/>
    <x v="45"/>
    <n v="39600000"/>
    <x v="3"/>
    <x v="28"/>
    <d v="2019-06-07T00:00:00"/>
    <d v="2019-06-07T00:00:00"/>
    <m/>
    <m/>
    <m/>
    <m/>
    <d v="2019-06-13T00:00:00"/>
    <n v="4200"/>
    <m/>
    <m/>
    <m/>
    <m/>
    <m/>
    <m/>
    <n v="4200"/>
    <n v="5700"/>
    <n v="22800000"/>
    <m/>
  </r>
  <r>
    <s v="39B/2019"/>
    <d v="2019-02-11T00:00:00"/>
    <s v="THANH THÚY"/>
    <s v="VL01"/>
    <x v="115"/>
    <x v="84"/>
    <s v="INDIANA"/>
    <m/>
    <s v="14.16"/>
    <n v="300"/>
    <s v="NL2018"/>
    <m/>
    <n v="17"/>
    <n v="5100"/>
    <x v="12"/>
    <n v="23970000"/>
    <x v="0"/>
    <x v="10"/>
    <d v="2019-04-03T00:00:00"/>
    <d v="2019-04-03T00:00:00"/>
    <s v="28/2AL"/>
    <s v="CONT 14/2019"/>
    <m/>
    <m/>
    <d v="2019-04-03T00:00:00"/>
    <n v="5100"/>
    <m/>
    <m/>
    <m/>
    <m/>
    <m/>
    <m/>
    <n v="5100"/>
    <n v="0"/>
    <n v="0"/>
    <m/>
  </r>
  <r>
    <s v="152B/2019"/>
    <d v="2019-05-27T00:00:00"/>
    <s v="THANH THÚY"/>
    <s v="VL01"/>
    <x v="115"/>
    <x v="100"/>
    <s v="FERRERO"/>
    <m/>
    <s v="13.14"/>
    <n v="400"/>
    <s v="NL2018"/>
    <m/>
    <n v="8"/>
    <n v="3200"/>
    <x v="14"/>
    <n v="14400000"/>
    <x v="3"/>
    <x v="28"/>
    <d v="2019-06-07T00:00:00"/>
    <d v="2019-06-07T00:00:00"/>
    <m/>
    <m/>
    <m/>
    <m/>
    <m/>
    <m/>
    <m/>
    <m/>
    <m/>
    <m/>
    <m/>
    <m/>
    <n v="0"/>
    <n v="3200"/>
    <n v="14400000"/>
    <m/>
  </r>
  <r>
    <s v="152B/2019"/>
    <d v="2019-04-03T00:00:00"/>
    <s v="THANH THÚY"/>
    <s v="VL01"/>
    <x v="115"/>
    <x v="178"/>
    <s v="DORIA"/>
    <s v="RL"/>
    <s v="12.14"/>
    <n v="400"/>
    <s v="NL2018"/>
    <m/>
    <n v="3"/>
    <n v="1200"/>
    <x v="184"/>
    <n v="9705600"/>
    <x v="3"/>
    <x v="9"/>
    <d v="2019-06-04T00:00:00"/>
    <d v="2019-06-04T00:00:00"/>
    <s v="02/5AL"/>
    <m/>
    <m/>
    <m/>
    <m/>
    <m/>
    <m/>
    <m/>
    <m/>
    <m/>
    <m/>
    <m/>
    <n v="0"/>
    <n v="1200"/>
    <n v="9705600"/>
    <m/>
  </r>
  <r>
    <s v="152B/2019"/>
    <d v="2019-04-03T00:00:00"/>
    <s v="THANH THÚY"/>
    <s v="VL01"/>
    <x v="115"/>
    <x v="179"/>
    <s v="CLARISSA"/>
    <s v="RL"/>
    <s v="12.14"/>
    <n v="400"/>
    <s v="NL2018"/>
    <m/>
    <n v="4"/>
    <n v="1600"/>
    <x v="184"/>
    <n v="12940800"/>
    <x v="3"/>
    <x v="9"/>
    <d v="2019-06-04T00:00:00"/>
    <d v="2019-06-04T00:00:00"/>
    <s v="02/5AL"/>
    <m/>
    <m/>
    <m/>
    <d v="2019-06-11T00:00:00"/>
    <n v="800"/>
    <m/>
    <m/>
    <m/>
    <m/>
    <m/>
    <m/>
    <n v="800"/>
    <n v="800"/>
    <n v="6470400"/>
    <m/>
  </r>
  <r>
    <s v="39B/2019"/>
    <d v="2019-02-11T00:00:00"/>
    <s v="THANH THÚY"/>
    <s v="VL01"/>
    <x v="115"/>
    <x v="180"/>
    <s v="CIARA"/>
    <s v="RL"/>
    <s v="12.14"/>
    <n v="350"/>
    <s v="NL2018"/>
    <m/>
    <n v="15"/>
    <n v="5250"/>
    <x v="9"/>
    <n v="42000000"/>
    <x v="0"/>
    <x v="6"/>
    <d v="2019-02-19T00:00:00"/>
    <d v="2019-02-19T00:00:00"/>
    <s v="15/1AL"/>
    <m/>
    <m/>
    <m/>
    <d v="2019-03-04T00:00:00"/>
    <n v="5250"/>
    <m/>
    <m/>
    <m/>
    <m/>
    <m/>
    <m/>
    <n v="5250"/>
    <n v="0"/>
    <n v="0"/>
    <d v="2020-02-21T00:00:00"/>
  </r>
  <r>
    <s v="152B/2019"/>
    <d v="2019-04-03T00:00:00"/>
    <s v="THANH THÚY"/>
    <s v="VL01"/>
    <x v="115"/>
    <x v="127"/>
    <s v="CARBONERO"/>
    <m/>
    <s v="16.18"/>
    <n v="200"/>
    <s v="NL2018"/>
    <m/>
    <n v="100"/>
    <n v="20000"/>
    <x v="75"/>
    <n v="126000000"/>
    <x v="0"/>
    <x v="33"/>
    <d v="2019-05-19T00:00:00"/>
    <d v="2019-05-19T00:00:00"/>
    <s v="15/4AL"/>
    <m/>
    <m/>
    <m/>
    <d v="2019-05-29T00:00:00"/>
    <n v="12000"/>
    <d v="2019-06-11T00:00:00"/>
    <n v="8000"/>
    <m/>
    <m/>
    <m/>
    <m/>
    <n v="20000"/>
    <n v="0"/>
    <n v="0"/>
    <m/>
  </r>
  <r>
    <s v="39B/2019"/>
    <d v="2019-02-11T00:00:00"/>
    <s v="THANH THÚY"/>
    <s v="VL01"/>
    <x v="115"/>
    <x v="81"/>
    <s v="BACARDI"/>
    <m/>
    <s v="16.18"/>
    <n v="200"/>
    <s v="NL2018"/>
    <m/>
    <n v="20"/>
    <n v="4000"/>
    <x v="75"/>
    <n v="25200000"/>
    <x v="0"/>
    <x v="0"/>
    <d v="2019-03-20T00:00:00"/>
    <d v="2019-03-20T00:00:00"/>
    <s v="15/2AL"/>
    <s v="CONT 11/2019"/>
    <m/>
    <m/>
    <d v="2019-03-20T00:00:00"/>
    <n v="4000"/>
    <m/>
    <m/>
    <m/>
    <m/>
    <m/>
    <m/>
    <n v="4000"/>
    <n v="0"/>
    <n v="0"/>
    <d v="2020-02-21T00:00:00"/>
  </r>
  <r>
    <s v="39B/2019"/>
    <d v="2019-02-11T00:00:00"/>
    <s v="THANH THÚY"/>
    <s v="VL01"/>
    <x v="115"/>
    <x v="9"/>
    <s v="ARVANDRUD"/>
    <m/>
    <s v="16.18"/>
    <n v="200"/>
    <s v="NL2018"/>
    <m/>
    <n v="50"/>
    <n v="10000"/>
    <x v="33"/>
    <n v="53000000"/>
    <x v="0"/>
    <x v="10"/>
    <d v="2019-04-03T00:00:00"/>
    <d v="2019-04-03T00:00:00"/>
    <s v="28/2AL"/>
    <s v="CONT 17/2019"/>
    <m/>
    <m/>
    <d v="2019-04-03T00:00:00"/>
    <n v="10000"/>
    <m/>
    <m/>
    <m/>
    <m/>
    <m/>
    <m/>
    <n v="10000"/>
    <n v="0"/>
    <n v="0"/>
    <d v="2020-02-21T00:00:00"/>
  </r>
  <r>
    <s v="152B/2019"/>
    <d v="2019-04-03T00:00:00"/>
    <s v="THANH THÚY"/>
    <s v="VL01"/>
    <x v="115"/>
    <x v="9"/>
    <s v="ARVANDRUD"/>
    <m/>
    <s v="16.18"/>
    <n v="200"/>
    <s v="NL2018"/>
    <m/>
    <n v="65"/>
    <n v="13000"/>
    <x v="33"/>
    <n v="68900000"/>
    <x v="0"/>
    <x v="5"/>
    <d v="2019-04-19T00:00:00"/>
    <d v="2019-04-19T00:00:00"/>
    <s v="15/3AL"/>
    <s v="CONT 22/2019"/>
    <m/>
    <m/>
    <d v="2019-04-18T00:00:00"/>
    <n v="13000"/>
    <m/>
    <m/>
    <m/>
    <m/>
    <m/>
    <m/>
    <n v="13000"/>
    <n v="0"/>
    <n v="0"/>
    <d v="2020-02-21T00:00:00"/>
  </r>
  <r>
    <s v="152B/2019"/>
    <d v="2019-04-03T00:00:00"/>
    <s v="THANH THÚY"/>
    <s v="VL01"/>
    <x v="115"/>
    <x v="9"/>
    <s v="ARVANDRUD"/>
    <m/>
    <s v="16.18"/>
    <n v="200"/>
    <s v="NL2018"/>
    <m/>
    <n v="50"/>
    <n v="10000"/>
    <x v="6"/>
    <n v="54000000"/>
    <x v="3"/>
    <x v="33"/>
    <d v="2019-05-19T00:00:00"/>
    <d v="2019-05-19T00:00:00"/>
    <s v="15/4AL"/>
    <m/>
    <m/>
    <m/>
    <m/>
    <m/>
    <m/>
    <m/>
    <m/>
    <m/>
    <m/>
    <m/>
    <n v="0"/>
    <n v="10000"/>
    <n v="54000000"/>
    <m/>
  </r>
  <r>
    <s v="152B/2019"/>
    <d v="2019-06-18T00:00:00"/>
    <s v="THANH THÚY"/>
    <s v="VL01"/>
    <x v="115"/>
    <x v="9"/>
    <s v="ARVANDRUD"/>
    <m/>
    <s v="16.18"/>
    <n v="200"/>
    <s v="NL2018"/>
    <m/>
    <n v="10"/>
    <n v="2000"/>
    <x v="6"/>
    <n v="10800000"/>
    <x v="3"/>
    <x v="9"/>
    <d v="2019-06-04T00:00:00"/>
    <d v="2019-06-04T00:00:00"/>
    <m/>
    <m/>
    <m/>
    <m/>
    <m/>
    <m/>
    <m/>
    <m/>
    <m/>
    <m/>
    <m/>
    <m/>
    <n v="0"/>
    <n v="2000"/>
    <n v="10800000"/>
    <m/>
  </r>
  <r>
    <s v="152B/2019"/>
    <d v="2019-04-03T00:00:00"/>
    <s v="THANH THÚY"/>
    <s v="VL01"/>
    <x v="115"/>
    <x v="9"/>
    <s v="ARVANDRUD"/>
    <m/>
    <s v="16.18"/>
    <n v="200"/>
    <s v="NL2018"/>
    <m/>
    <n v="0"/>
    <n v="0"/>
    <x v="33"/>
    <n v="0"/>
    <x v="1"/>
    <x v="11"/>
    <d v="2019-06-02T00:00:00"/>
    <d v="2019-06-02T00:00:00"/>
    <s v="29/4AL.chưa tính phí lạnh"/>
    <m/>
    <m/>
    <m/>
    <m/>
    <n v="0"/>
    <m/>
    <m/>
    <m/>
    <m/>
    <m/>
    <m/>
    <n v="0"/>
    <n v="0"/>
    <n v="0"/>
    <d v="2020-02-22T00:00:00"/>
  </r>
  <r>
    <s v="152B/2019"/>
    <d v="2019-04-03T00:00:00"/>
    <s v="THANH THÚY"/>
    <s v="VL01"/>
    <x v="115"/>
    <x v="9"/>
    <s v="ARVANDRUD"/>
    <m/>
    <s v="16.18"/>
    <n v="200"/>
    <s v="NL2018"/>
    <m/>
    <n v="0"/>
    <n v="0"/>
    <x v="33"/>
    <n v="0"/>
    <x v="1"/>
    <x v="26"/>
    <s v=""/>
    <s v=""/>
    <s v="chưa tính phí lạnh"/>
    <m/>
    <m/>
    <m/>
    <m/>
    <n v="0"/>
    <m/>
    <m/>
    <m/>
    <m/>
    <m/>
    <m/>
    <n v="0"/>
    <n v="0"/>
    <n v="0"/>
    <d v="2020-02-22T00:00:00"/>
  </r>
  <r>
    <s v="174B/2019"/>
    <d v="2019-04-20T00:00:00"/>
    <s v="THANH THÚY"/>
    <s v="VL01"/>
    <x v="115"/>
    <x v="181"/>
    <s v="ARVANDRUD"/>
    <m/>
    <s v="18.20"/>
    <n v="150"/>
    <s v="CL2019"/>
    <m/>
    <n v="0"/>
    <n v="0"/>
    <x v="5"/>
    <n v="0"/>
    <x v="1"/>
    <x v="26"/>
    <s v=""/>
    <s v=""/>
    <s v="TẾT"/>
    <m/>
    <m/>
    <m/>
    <m/>
    <m/>
    <m/>
    <m/>
    <m/>
    <m/>
    <m/>
    <m/>
    <n v="0"/>
    <n v="0"/>
    <n v="0"/>
    <m/>
  </r>
  <r>
    <s v="152B/2019"/>
    <d v="2019-06-07T00:00:00"/>
    <s v="THANH THÚY"/>
    <s v="VL01"/>
    <x v="115"/>
    <x v="182"/>
    <s v="ANGELA"/>
    <s v="RL"/>
    <s v="12.14"/>
    <n v="400"/>
    <s v="NL2018"/>
    <m/>
    <n v="6"/>
    <n v="2400"/>
    <x v="184"/>
    <n v="19411200"/>
    <x v="3"/>
    <x v="1"/>
    <d v="2019-05-21T00:00:00"/>
    <d v="2019-05-21T00:00:00"/>
    <m/>
    <m/>
    <m/>
    <m/>
    <d v="2019-06-11T00:00:00"/>
    <n v="1200"/>
    <m/>
    <m/>
    <m/>
    <m/>
    <m/>
    <m/>
    <n v="1200"/>
    <n v="1200"/>
    <n v="9705600"/>
    <m/>
  </r>
  <r>
    <s v="152B/2019"/>
    <d v="2019-04-03T00:00:00"/>
    <s v="THANH THÚY"/>
    <s v="VL01"/>
    <x v="115"/>
    <x v="182"/>
    <s v="ANGELA"/>
    <s v="RL"/>
    <s v="12.14"/>
    <n v="400"/>
    <s v="NL2018"/>
    <m/>
    <n v="3"/>
    <n v="1200"/>
    <x v="183"/>
    <n v="9675600"/>
    <x v="0"/>
    <x v="33"/>
    <d v="2019-05-19T00:00:00"/>
    <d v="2019-05-19T00:00:00"/>
    <s v="15/4AL"/>
    <m/>
    <m/>
    <m/>
    <d v="2019-05-19T00:00:00"/>
    <n v="1200"/>
    <m/>
    <m/>
    <m/>
    <m/>
    <m/>
    <m/>
    <n v="1200"/>
    <n v="0"/>
    <n v="0"/>
    <m/>
  </r>
  <r>
    <s v="161A/2018"/>
    <d v="2019-04-01T00:00:00"/>
    <s v="KIỀU THY"/>
    <s v="VM03"/>
    <x v="116"/>
    <x v="78"/>
    <s v="YELLOWEEN"/>
    <m/>
    <s v="14.16"/>
    <s v="300"/>
    <s v="NL2018"/>
    <m/>
    <n v="30"/>
    <n v="9000"/>
    <x v="45"/>
    <n v="36000000"/>
    <x v="0"/>
    <x v="1"/>
    <d v="2019-05-21T00:00:00"/>
    <d v="2019-05-21T00:00:00"/>
    <s v="10/4AL"/>
    <m/>
    <m/>
    <m/>
    <d v="2019-05-25T00:00:00"/>
    <n v="9000"/>
    <m/>
    <m/>
    <m/>
    <m/>
    <m/>
    <m/>
    <n v="9000"/>
    <n v="0"/>
    <n v="0"/>
    <m/>
  </r>
  <r>
    <s v="161A/2018"/>
    <d v="2019-04-01T00:00:00"/>
    <s v="KIỀU THY"/>
    <s v="VM03"/>
    <x v="116"/>
    <x v="35"/>
    <s v="TARRANGO"/>
    <m/>
    <s v="14.16"/>
    <s v="300"/>
    <s v="NL2018"/>
    <m/>
    <n v="7"/>
    <n v="2100"/>
    <x v="43"/>
    <n v="10080000"/>
    <x v="0"/>
    <x v="1"/>
    <d v="2019-05-21T00:00:00"/>
    <d v="2019-05-21T00:00:00"/>
    <s v="10/4AL"/>
    <m/>
    <m/>
    <m/>
    <d v="2019-05-19T00:00:00"/>
    <n v="2100"/>
    <m/>
    <m/>
    <m/>
    <m/>
    <m/>
    <m/>
    <n v="2100"/>
    <n v="0"/>
    <n v="0"/>
    <m/>
  </r>
  <r>
    <s v="108A/2019"/>
    <d v="2019-03-12T00:00:00"/>
    <s v="KIỀU THY"/>
    <s v="VT11"/>
    <x v="117"/>
    <x v="23"/>
    <s v="ROBINA"/>
    <m/>
    <s v="22.24"/>
    <n v="100"/>
    <s v="NL2018"/>
    <m/>
    <n v="60"/>
    <n v="6000"/>
    <x v="25"/>
    <n v="75000000"/>
    <x v="2"/>
    <x v="2"/>
    <d v="2019-09-29T00:00:00"/>
    <d v="2019-09-29T00:00:00"/>
    <s v="TẾT"/>
    <m/>
    <m/>
    <m/>
    <m/>
    <n v="0"/>
    <m/>
    <m/>
    <m/>
    <m/>
    <m/>
    <m/>
    <n v="0"/>
    <n v="6000"/>
    <n v="75000000"/>
    <m/>
  </r>
  <r>
    <s v="108A/2019"/>
    <d v="2019-03-12T00:00:00"/>
    <s v="KIỀU THY"/>
    <s v="VT11"/>
    <x v="117"/>
    <x v="20"/>
    <s v="PROFUNDO"/>
    <m/>
    <s v="22.24"/>
    <n v="100"/>
    <s v="NL2018"/>
    <m/>
    <n v="60"/>
    <n v="6000"/>
    <x v="24"/>
    <n v="85200000"/>
    <x v="2"/>
    <x v="2"/>
    <d v="2019-09-29T00:00:00"/>
    <d v="2019-09-29T00:00:00"/>
    <s v="TẾT"/>
    <m/>
    <m/>
    <m/>
    <m/>
    <n v="0"/>
    <m/>
    <m/>
    <m/>
    <m/>
    <m/>
    <m/>
    <n v="0"/>
    <n v="6000"/>
    <n v="85200000"/>
    <m/>
  </r>
  <r>
    <s v="108A/2019"/>
    <d v="2019-03-12T00:00:00"/>
    <s v="KIỀU THY"/>
    <s v="VT11"/>
    <x v="117"/>
    <x v="6"/>
    <s v="CONCADOR "/>
    <m/>
    <s v="16.18"/>
    <n v="200"/>
    <s v="NL2018"/>
    <m/>
    <n v="77"/>
    <n v="15400"/>
    <x v="29"/>
    <n v="70840000"/>
    <x v="0"/>
    <x v="6"/>
    <d v="2019-02-19T00:00:00"/>
    <d v="2019-02-19T00:00:00"/>
    <s v="15/1AL"/>
    <m/>
    <m/>
    <s v="R"/>
    <d v="2019-03-04T00:00:00"/>
    <n v="9000"/>
    <d v="2019-03-07T00:00:00"/>
    <n v="6400"/>
    <m/>
    <m/>
    <m/>
    <m/>
    <n v="15400"/>
    <n v="0"/>
    <n v="0"/>
    <m/>
  </r>
  <r>
    <s v="108A/2019"/>
    <d v="2019-03-12T00:00:00"/>
    <s v="KIỀU THY"/>
    <s v="VT11"/>
    <x v="117"/>
    <x v="21"/>
    <s v="CONCADOR"/>
    <m/>
    <s v="22.24"/>
    <n v="100"/>
    <s v="NL2018"/>
    <m/>
    <n v="100"/>
    <n v="10000"/>
    <x v="25"/>
    <n v="125000000"/>
    <x v="2"/>
    <x v="2"/>
    <d v="2019-09-29T00:00:00"/>
    <d v="2019-09-29T00:00:00"/>
    <s v="TẾT"/>
    <m/>
    <m/>
    <m/>
    <m/>
    <n v="0"/>
    <m/>
    <m/>
    <m/>
    <m/>
    <m/>
    <m/>
    <n v="0"/>
    <n v="10000"/>
    <n v="125000000"/>
    <m/>
  </r>
  <r>
    <s v="48A/2019"/>
    <d v="2019-02-13T00:00:00"/>
    <s v="KIỀU THY"/>
    <s v="DM01"/>
    <x v="118"/>
    <x v="22"/>
    <s v="YELLOWEEN"/>
    <m/>
    <s v="14.16"/>
    <n v="300"/>
    <s v="NL2017"/>
    <m/>
    <n v="84"/>
    <n v="25200"/>
    <x v="26"/>
    <n v="75600000"/>
    <x v="0"/>
    <x v="16"/>
    <d v="2019-03-12T00:00:00"/>
    <d v="2019-03-12T00:00:00"/>
    <s v="7/2AL"/>
    <s v="CONT 87/2018"/>
    <m/>
    <s v="R"/>
    <d v="2019-02-13T00:00:00"/>
    <n v="15900"/>
    <d v="2019-03-14T00:00:00"/>
    <n v="9000"/>
    <d v="2019-03-18T00:00:00"/>
    <n v="300"/>
    <m/>
    <m/>
    <n v="25200"/>
    <n v="0"/>
    <n v="0"/>
    <m/>
  </r>
  <r>
    <s v="48A/2019"/>
    <d v="2019-02-13T00:00:00"/>
    <s v="KIỀU THY"/>
    <s v="DM01"/>
    <x v="118"/>
    <x v="78"/>
    <s v="YELLOWEEN"/>
    <m/>
    <s v="14.16"/>
    <n v="300"/>
    <s v="NL2018"/>
    <m/>
    <n v="45"/>
    <n v="13500"/>
    <x v="64"/>
    <n v="51300000"/>
    <x v="0"/>
    <x v="5"/>
    <d v="2019-04-19T00:00:00"/>
    <d v="2019-04-19T00:00:00"/>
    <s v="15/3AL"/>
    <s v="CONT 12/2019"/>
    <d v="2019-03-17T00:00:00"/>
    <s v="R"/>
    <d v="2019-05-19T00:00:00"/>
    <n v="3900"/>
    <d v="2019-06-03T00:00:00"/>
    <n v="9600"/>
    <m/>
    <m/>
    <m/>
    <m/>
    <n v="13500"/>
    <n v="0"/>
    <n v="0"/>
    <m/>
  </r>
  <r>
    <s v="48A/2019"/>
    <d v="2019-06-15T00:00:00"/>
    <s v="KIỀU THY"/>
    <s v="DM01"/>
    <x v="118"/>
    <x v="78"/>
    <s v="YELLOWEEN"/>
    <m/>
    <s v="14.16"/>
    <n v="300"/>
    <s v="NL2018"/>
    <m/>
    <n v="38"/>
    <n v="11400"/>
    <x v="45"/>
    <n v="45600000"/>
    <x v="4"/>
    <x v="4"/>
    <d v="2019-07-17T00:00:00"/>
    <d v="2019-07-17T00:00:00"/>
    <m/>
    <m/>
    <m/>
    <m/>
    <m/>
    <m/>
    <m/>
    <m/>
    <m/>
    <m/>
    <m/>
    <m/>
    <n v="0"/>
    <n v="11400"/>
    <n v="45600000"/>
    <m/>
  </r>
  <r>
    <s v="48A/2019"/>
    <d v="2019-02-13T00:00:00"/>
    <s v="KIỀU THY"/>
    <s v="DM01"/>
    <x v="118"/>
    <x v="78"/>
    <s v="YELLOWEEN"/>
    <m/>
    <s v="14.16"/>
    <n v="300"/>
    <s v="NL2018"/>
    <m/>
    <n v="33"/>
    <n v="9900"/>
    <x v="64"/>
    <n v="37620000"/>
    <x v="0"/>
    <x v="30"/>
    <d v="2019-04-04T00:00:00"/>
    <d v="2019-04-04T00:00:00"/>
    <s v="30/2AL"/>
    <s v="CONT 14/2019"/>
    <d v="2019-03-31T00:00:00"/>
    <s v="R"/>
    <d v="2019-04-15T00:00:00"/>
    <n v="9900"/>
    <m/>
    <m/>
    <m/>
    <m/>
    <m/>
    <m/>
    <n v="9900"/>
    <n v="0"/>
    <n v="0"/>
    <m/>
  </r>
  <r>
    <s v="126A/2019"/>
    <d v="2019-02-13T00:00:00"/>
    <s v="KIỀU THY"/>
    <s v="DM01"/>
    <x v="118"/>
    <x v="4"/>
    <s v="ROBINA"/>
    <m/>
    <s v="20.22"/>
    <n v="125"/>
    <s v="NL2018"/>
    <m/>
    <n v="120"/>
    <n v="15000"/>
    <x v="5"/>
    <n v="157500000"/>
    <x v="2"/>
    <x v="2"/>
    <d v="2019-09-29T00:00:00"/>
    <d v="2019-09-29T00:00:00"/>
    <s v="TẾT"/>
    <m/>
    <m/>
    <m/>
    <m/>
    <n v="0"/>
    <m/>
    <m/>
    <m/>
    <m/>
    <m/>
    <m/>
    <n v="0"/>
    <n v="15000"/>
    <n v="157500000"/>
    <m/>
  </r>
  <r>
    <s v="48A/2019"/>
    <d v="2019-02-13T00:00:00"/>
    <s v="KIỀU THY"/>
    <s v="DM01"/>
    <x v="118"/>
    <x v="5"/>
    <s v="ROBINA"/>
    <m/>
    <s v="18.20"/>
    <n v="150"/>
    <s v="NL2018"/>
    <m/>
    <n v="67"/>
    <n v="10050"/>
    <x v="97"/>
    <n v="65325000"/>
    <x v="0"/>
    <x v="5"/>
    <d v="2019-04-19T00:00:00"/>
    <d v="2019-04-19T00:00:00"/>
    <s v="15/3AL"/>
    <m/>
    <m/>
    <m/>
    <d v="2019-04-23T00:00:00"/>
    <n v="10050"/>
    <m/>
    <m/>
    <m/>
    <m/>
    <m/>
    <m/>
    <n v="10050"/>
    <n v="0"/>
    <n v="0"/>
    <m/>
  </r>
  <r>
    <s v="48A/2019"/>
    <d v="2019-02-13T00:00:00"/>
    <s v="KIỀU THY"/>
    <s v="DM01"/>
    <x v="118"/>
    <x v="5"/>
    <s v="ROBINA"/>
    <m/>
    <s v="18.20"/>
    <n v="150"/>
    <s v="NL2018"/>
    <m/>
    <n v="67"/>
    <n v="10050"/>
    <x v="97"/>
    <n v="65325000"/>
    <x v="0"/>
    <x v="1"/>
    <d v="2019-05-21T00:00:00"/>
    <d v="2019-05-21T00:00:00"/>
    <m/>
    <m/>
    <m/>
    <m/>
    <d v="2019-05-19T00:00:00"/>
    <n v="10050"/>
    <m/>
    <m/>
    <m/>
    <m/>
    <m/>
    <m/>
    <n v="10050"/>
    <n v="0"/>
    <n v="0"/>
    <m/>
  </r>
  <r>
    <s v="126A/2019"/>
    <d v="2019-02-13T00:00:00"/>
    <s v="KIỀU THY"/>
    <s v="DM01"/>
    <x v="118"/>
    <x v="7"/>
    <s v="CONCADOR"/>
    <m/>
    <s v="20.22"/>
    <n v="125"/>
    <s v="NL2018"/>
    <m/>
    <n v="120"/>
    <n v="15000"/>
    <x v="5"/>
    <n v="157500000"/>
    <x v="2"/>
    <x v="2"/>
    <d v="2019-09-29T00:00:00"/>
    <d v="2019-09-29T00:00:00"/>
    <s v="TẾT"/>
    <m/>
    <m/>
    <m/>
    <m/>
    <n v="0"/>
    <m/>
    <m/>
    <m/>
    <m/>
    <m/>
    <m/>
    <n v="0"/>
    <n v="15000"/>
    <n v="157500000"/>
    <m/>
  </r>
  <r>
    <s v="48A/2019"/>
    <d v="2019-04-24T00:00:00"/>
    <s v="KIỀU THY"/>
    <s v="DM01"/>
    <x v="118"/>
    <x v="6"/>
    <s v="CONCADOR"/>
    <m/>
    <s v="16.18"/>
    <n v="200"/>
    <s v="NL2018"/>
    <m/>
    <n v="1"/>
    <n v="200"/>
    <x v="75"/>
    <n v="1260000"/>
    <x v="0"/>
    <x v="5"/>
    <d v="2019-04-19T00:00:00"/>
    <d v="2019-04-19T00:00:00"/>
    <s v="15/3AL"/>
    <m/>
    <m/>
    <m/>
    <d v="2019-04-24T00:00:00"/>
    <n v="200"/>
    <m/>
    <m/>
    <m/>
    <m/>
    <m/>
    <m/>
    <n v="200"/>
    <n v="0"/>
    <n v="0"/>
    <m/>
  </r>
  <r>
    <s v="48A/2019"/>
    <d v="2019-05-24T00:00:00"/>
    <s v="KIỀU THY"/>
    <s v="DM01"/>
    <x v="118"/>
    <x v="13"/>
    <s v="BACARDI"/>
    <m/>
    <s v="15.16"/>
    <n v="300"/>
    <s v="NL2018"/>
    <m/>
    <n v="30"/>
    <n v="9000"/>
    <x v="14"/>
    <n v="40500000"/>
    <x v="0"/>
    <x v="5"/>
    <d v="2019-04-19T00:00:00"/>
    <d v="2019-04-19T00:00:00"/>
    <m/>
    <m/>
    <m/>
    <m/>
    <d v="2019-06-17T00:00:00"/>
    <n v="9000"/>
    <m/>
    <m/>
    <m/>
    <m/>
    <m/>
    <m/>
    <n v="9000"/>
    <n v="0"/>
    <n v="0"/>
    <m/>
  </r>
  <r>
    <s v="102A/2019"/>
    <d v="2019-03-11T00:00:00"/>
    <s v="KIỀU THY"/>
    <s v="NH04"/>
    <x v="119"/>
    <x v="78"/>
    <s v="YELLOWEEN"/>
    <m/>
    <s v="14.16"/>
    <n v="300"/>
    <s v="NL2018"/>
    <m/>
    <n v="0"/>
    <n v="0"/>
    <x v="64"/>
    <n v="0"/>
    <x v="1"/>
    <x v="1"/>
    <d v="2019-05-21T00:00:00"/>
    <d v="2019-05-21T00:00:00"/>
    <s v="15/4AL, trồng rằm T7"/>
    <m/>
    <m/>
    <m/>
    <m/>
    <n v="0"/>
    <m/>
    <m/>
    <m/>
    <m/>
    <m/>
    <m/>
    <n v="0"/>
    <n v="0"/>
    <n v="0"/>
    <m/>
  </r>
  <r>
    <s v="59A/2019"/>
    <d v="2019-02-18T00:00:00"/>
    <s v="KIỀU THY"/>
    <s v="NH04"/>
    <x v="119"/>
    <x v="57"/>
    <s v="YELLOWEEN"/>
    <m/>
    <s v="16.18"/>
    <n v="200"/>
    <s v="NL2018"/>
    <m/>
    <n v="25"/>
    <n v="5000"/>
    <x v="8"/>
    <n v="25000000"/>
    <x v="0"/>
    <x v="6"/>
    <d v="2019-02-19T00:00:00"/>
    <d v="2019-02-19T00:00:00"/>
    <s v="15/1AL"/>
    <m/>
    <m/>
    <s v="R"/>
    <d v="2019-03-19T00:00:00"/>
    <n v="5000"/>
    <m/>
    <m/>
    <m/>
    <m/>
    <m/>
    <m/>
    <n v="5000"/>
    <n v="0"/>
    <n v="0"/>
    <m/>
  </r>
  <r>
    <s v="102A/2019"/>
    <d v="2019-03-11T00:00:00"/>
    <s v="KIỀU THY"/>
    <s v="NH04"/>
    <x v="119"/>
    <x v="33"/>
    <s v="TEBALDI"/>
    <m/>
    <s v="14.16"/>
    <n v="300"/>
    <s v="NL2018"/>
    <m/>
    <n v="0"/>
    <n v="0"/>
    <x v="40"/>
    <n v="0"/>
    <x v="1"/>
    <x v="1"/>
    <d v="2019-05-21T00:00:00"/>
    <d v="2019-05-21T00:00:00"/>
    <s v="15/4AL, trồng rằm T7"/>
    <m/>
    <m/>
    <m/>
    <m/>
    <n v="0"/>
    <m/>
    <m/>
    <m/>
    <m/>
    <m/>
    <m/>
    <n v="0"/>
    <n v="0"/>
    <n v="0"/>
    <m/>
  </r>
  <r>
    <s v="59A/2019"/>
    <d v="2019-02-18T00:00:00"/>
    <s v="KIỀU THY"/>
    <s v="NH04"/>
    <x v="119"/>
    <x v="171"/>
    <s v="STENDHAL"/>
    <m/>
    <s v="16.18"/>
    <n v="200"/>
    <s v="NL2017"/>
    <m/>
    <n v="5"/>
    <n v="1000"/>
    <x v="8"/>
    <n v="5000000"/>
    <x v="0"/>
    <x v="0"/>
    <d v="2019-03-20T00:00:00"/>
    <d v="2019-03-20T00:00:00"/>
    <s v="15/2AL"/>
    <s v="CONT 87/2018"/>
    <m/>
    <s v="R"/>
    <d v="2019-03-19T00:00:00"/>
    <n v="1000"/>
    <m/>
    <m/>
    <m/>
    <m/>
    <m/>
    <m/>
    <n v="1000"/>
    <n v="0"/>
    <n v="0"/>
    <m/>
  </r>
  <r>
    <s v="59A/2019"/>
    <d v="2019-02-18T00:00:00"/>
    <s v="KIỀU THY"/>
    <s v="NH04"/>
    <x v="119"/>
    <x v="172"/>
    <s v="STENDHAL"/>
    <m/>
    <s v="18.20"/>
    <n v="150"/>
    <s v="NL2017"/>
    <m/>
    <n v="4"/>
    <n v="600"/>
    <x v="10"/>
    <n v="3300000"/>
    <x v="0"/>
    <x v="0"/>
    <d v="2019-03-20T00:00:00"/>
    <d v="2019-03-20T00:00:00"/>
    <s v="15/2AL"/>
    <s v="CONT 87/2018"/>
    <m/>
    <s v="R"/>
    <d v="2019-03-19T00:00:00"/>
    <n v="600"/>
    <m/>
    <m/>
    <m/>
    <m/>
    <m/>
    <m/>
    <n v="600"/>
    <n v="0"/>
    <n v="0"/>
    <m/>
  </r>
  <r>
    <s v="103A/2019"/>
    <d v="2019-03-11T00:00:00"/>
    <s v="KIỀU THY"/>
    <s v="NH04"/>
    <x v="119"/>
    <x v="60"/>
    <s v="MANISSA"/>
    <m/>
    <s v="24+"/>
    <n v="75"/>
    <s v="NL2018"/>
    <m/>
    <n v="200"/>
    <n v="15000"/>
    <x v="57"/>
    <n v="240000000"/>
    <x v="2"/>
    <x v="2"/>
    <d v="2019-09-29T00:00:00"/>
    <d v="2019-09-29T00:00:00"/>
    <s v="TẾT"/>
    <m/>
    <m/>
    <m/>
    <m/>
    <n v="0"/>
    <m/>
    <m/>
    <m/>
    <m/>
    <m/>
    <m/>
    <n v="0"/>
    <n v="15000"/>
    <n v="240000000"/>
    <m/>
  </r>
  <r>
    <s v="103A/2019"/>
    <d v="2019-03-11T00:00:00"/>
    <s v="KIỀU THY"/>
    <s v="NH04"/>
    <x v="119"/>
    <x v="62"/>
    <s v="DALIAN"/>
    <m/>
    <s v="20.22"/>
    <n v="125"/>
    <s v="NL2018"/>
    <m/>
    <n v="80"/>
    <n v="10000"/>
    <x v="24"/>
    <n v="142000000"/>
    <x v="2"/>
    <x v="2"/>
    <d v="2019-09-29T00:00:00"/>
    <d v="2019-09-29T00:00:00"/>
    <s v="TẾT"/>
    <m/>
    <m/>
    <m/>
    <m/>
    <n v="0"/>
    <m/>
    <m/>
    <m/>
    <m/>
    <m/>
    <m/>
    <n v="0"/>
    <n v="10000"/>
    <n v="142000000"/>
    <m/>
  </r>
  <r>
    <s v="103A/2019"/>
    <d v="2019-03-11T00:00:00"/>
    <s v="KIỀU THY"/>
    <s v="NH04"/>
    <x v="119"/>
    <x v="7"/>
    <s v="CONCADOR"/>
    <m/>
    <s v="20.22"/>
    <n v="125"/>
    <s v="NL2018"/>
    <m/>
    <n v="40"/>
    <n v="5000"/>
    <x v="5"/>
    <n v="52500000"/>
    <x v="2"/>
    <x v="2"/>
    <d v="2019-09-29T00:00:00"/>
    <d v="2019-09-29T00:00:00"/>
    <s v="TẾT"/>
    <m/>
    <m/>
    <m/>
    <m/>
    <n v="0"/>
    <m/>
    <m/>
    <m/>
    <m/>
    <m/>
    <m/>
    <n v="0"/>
    <n v="5000"/>
    <n v="52500000"/>
    <m/>
  </r>
  <r>
    <s v="149A/2019"/>
    <d v="2019-03-26T00:00:00"/>
    <s v="KIỀU THY"/>
    <s v="DT02"/>
    <x v="120"/>
    <x v="23"/>
    <s v="ROBINA"/>
    <m/>
    <s v="22.24"/>
    <s v="100"/>
    <s v="NL2018"/>
    <m/>
    <n v="60"/>
    <n v="6000"/>
    <x v="25"/>
    <n v="75000000"/>
    <x v="2"/>
    <x v="2"/>
    <d v="2019-09-29T00:00:00"/>
    <d v="2019-09-29T00:00:00"/>
    <s v="TẾT"/>
    <m/>
    <m/>
    <m/>
    <m/>
    <m/>
    <m/>
    <m/>
    <m/>
    <m/>
    <m/>
    <m/>
    <n v="0"/>
    <n v="6000"/>
    <n v="75000000"/>
    <m/>
  </r>
  <r>
    <s v="149A/2019"/>
    <d v="2019-03-26T00:00:00"/>
    <s v="KIỀU THY"/>
    <s v="DT02"/>
    <x v="120"/>
    <x v="8"/>
    <s v="CONCADOR"/>
    <m/>
    <s v="18.20"/>
    <s v="150"/>
    <s v="NL2018"/>
    <m/>
    <n v="14"/>
    <n v="2100"/>
    <x v="56"/>
    <n v="15120000"/>
    <x v="2"/>
    <x v="2"/>
    <d v="2019-09-29T00:00:00"/>
    <d v="2019-09-29T00:00:00"/>
    <s v="TẾT"/>
    <m/>
    <m/>
    <m/>
    <m/>
    <m/>
    <m/>
    <m/>
    <m/>
    <m/>
    <m/>
    <m/>
    <n v="0"/>
    <n v="2100"/>
    <n v="15120000"/>
    <m/>
  </r>
  <r>
    <s v="149A/2019"/>
    <d v="2019-03-26T00:00:00"/>
    <s v="KIỀU THY"/>
    <s v="DT02"/>
    <x v="120"/>
    <x v="7"/>
    <s v="CONCADOR"/>
    <m/>
    <s v="20.22"/>
    <s v="125"/>
    <s v="NL2018"/>
    <m/>
    <n v="72"/>
    <n v="9000"/>
    <x v="5"/>
    <n v="94500000"/>
    <x v="2"/>
    <x v="2"/>
    <d v="2019-09-29T00:00:00"/>
    <d v="2019-09-29T00:00:00"/>
    <s v="TẾT"/>
    <m/>
    <m/>
    <m/>
    <m/>
    <m/>
    <m/>
    <m/>
    <m/>
    <m/>
    <m/>
    <m/>
    <n v="0"/>
    <n v="9000"/>
    <n v="94500000"/>
    <m/>
  </r>
  <r>
    <s v="60A/2019"/>
    <d v="2019-05-10T00:00:00"/>
    <s v="KIỀU THY"/>
    <s v="TH10"/>
    <x v="121"/>
    <x v="78"/>
    <s v="YELLOWEEN"/>
    <m/>
    <s v="14.16"/>
    <n v="300"/>
    <s v="NL2018"/>
    <m/>
    <n v="3"/>
    <n v="900"/>
    <x v="64"/>
    <n v="3420000"/>
    <x v="0"/>
    <x v="5"/>
    <d v="2019-04-19T00:00:00"/>
    <d v="2019-04-19T00:00:00"/>
    <s v="10/4AL XẢ"/>
    <m/>
    <m/>
    <m/>
    <d v="2019-05-16T00:00:00"/>
    <n v="900"/>
    <m/>
    <m/>
    <m/>
    <m/>
    <m/>
    <m/>
    <n v="900"/>
    <n v="0"/>
    <n v="0"/>
    <m/>
  </r>
  <r>
    <s v="60A/2019"/>
    <d v="2019-02-18T00:00:00"/>
    <s v="KIỀU THY"/>
    <s v="TH10"/>
    <x v="121"/>
    <x v="3"/>
    <s v="ROBINA"/>
    <m/>
    <s v="16.18"/>
    <n v="200"/>
    <s v="NL2018"/>
    <m/>
    <n v="40"/>
    <n v="8000"/>
    <x v="43"/>
    <n v="38400000"/>
    <x v="0"/>
    <x v="5"/>
    <d v="2019-04-19T00:00:00"/>
    <d v="2019-04-19T00:00:00"/>
    <s v="10/4AL XẢ"/>
    <s v="CONT 26/2019"/>
    <d v="2019-04-14T00:00:00"/>
    <s v="R"/>
    <d v="2019-05-16T00:00:00"/>
    <n v="8000"/>
    <m/>
    <m/>
    <m/>
    <m/>
    <m/>
    <m/>
    <n v="8000"/>
    <n v="0"/>
    <n v="0"/>
    <m/>
  </r>
  <r>
    <s v="60A/2019"/>
    <d v="2019-02-18T00:00:00"/>
    <s v="KIỀU THY"/>
    <s v="TH10"/>
    <x v="121"/>
    <x v="3"/>
    <s v="ROBINA"/>
    <m/>
    <s v="16.18"/>
    <n v="200"/>
    <s v="NL2018"/>
    <m/>
    <n v="25"/>
    <n v="5000"/>
    <x v="185"/>
    <n v="25385000"/>
    <x v="3"/>
    <x v="3"/>
    <d v="2019-06-20T00:00:00"/>
    <d v="2019-06-20T00:00:00"/>
    <s v="T5"/>
    <m/>
    <m/>
    <s v="R"/>
    <m/>
    <n v="0"/>
    <m/>
    <m/>
    <m/>
    <m/>
    <m/>
    <m/>
    <n v="0"/>
    <n v="5000"/>
    <n v="25385000"/>
    <s v="chưa cộng kho lạnh?"/>
  </r>
  <r>
    <s v="60A/2019"/>
    <d v="2019-02-18T00:00:00"/>
    <s v="KIỀU THY"/>
    <s v="TH10"/>
    <x v="121"/>
    <x v="3"/>
    <s v="ROBINA"/>
    <m/>
    <s v="16.18"/>
    <n v="200"/>
    <s v="NL2018"/>
    <m/>
    <n v="50"/>
    <n v="10000"/>
    <x v="186"/>
    <n v="49700000"/>
    <x v="3"/>
    <x v="1"/>
    <d v="2019-05-21T00:00:00"/>
    <d v="2019-05-21T00:00:00"/>
    <s v="11/4AL"/>
    <m/>
    <m/>
    <s v="R"/>
    <d v="2019-06-03T00:00:00"/>
    <n v="6000"/>
    <d v="2019-06-19T00:00:00"/>
    <n v="2000"/>
    <m/>
    <m/>
    <m/>
    <m/>
    <n v="8000"/>
    <n v="2000"/>
    <n v="9940000"/>
    <s v="KH dự kiến xả mát ngày 29/5 DL, ktra lại với KH trước khi xả mát"/>
  </r>
  <r>
    <s v="22A/2019"/>
    <d v="2019-05-22T00:00:00"/>
    <s v="KIỀU THY"/>
    <s v="TH10"/>
    <x v="121"/>
    <x v="3"/>
    <s v="ROBINA"/>
    <m/>
    <s v="16.18"/>
    <n v="200"/>
    <s v="NL2018"/>
    <m/>
    <n v="30"/>
    <n v="6000"/>
    <x v="6"/>
    <n v="32400000"/>
    <x v="0"/>
    <x v="1"/>
    <d v="2019-05-21T00:00:00"/>
    <d v="2019-05-21T00:00:00"/>
    <s v="11/4AL"/>
    <m/>
    <m/>
    <s v="R"/>
    <m/>
    <m/>
    <d v="2019-06-03T00:00:00"/>
    <n v="6000"/>
    <m/>
    <m/>
    <m/>
    <m/>
    <n v="6000"/>
    <n v="0"/>
    <n v="0"/>
    <s v="KH dự kiến xả mát ngày 29/5 DL, ktra lại với KH trước khi xả mát"/>
  </r>
  <r>
    <s v="60A/2019"/>
    <d v="2019-02-18T00:00:00"/>
    <s v="KIỀU THY"/>
    <s v="TH10"/>
    <x v="121"/>
    <x v="3"/>
    <s v="ROBINA"/>
    <m/>
    <s v="16.18"/>
    <n v="200"/>
    <s v="NL2018"/>
    <m/>
    <n v="40"/>
    <n v="8000"/>
    <x v="43"/>
    <n v="38400000"/>
    <x v="0"/>
    <x v="30"/>
    <d v="2019-04-04T00:00:00"/>
    <d v="2019-04-04T00:00:00"/>
    <s v="30/2AL"/>
    <s v="CONT 15/2019"/>
    <d v="2019-03-31T00:00:00"/>
    <s v="R"/>
    <d v="2019-04-12T00:00:00"/>
    <n v="8000"/>
    <m/>
    <m/>
    <m/>
    <m/>
    <m/>
    <m/>
    <n v="8000"/>
    <n v="0"/>
    <n v="0"/>
    <m/>
  </r>
  <r>
    <s v="61A/2019"/>
    <d v="2019-02-18T00:00:00"/>
    <s v="KIỀU THY"/>
    <s v="TH10"/>
    <x v="121"/>
    <x v="5"/>
    <s v="ROBINA"/>
    <m/>
    <s v="18.20"/>
    <n v="150"/>
    <s v="NL2018"/>
    <m/>
    <n v="0"/>
    <n v="0"/>
    <x v="56"/>
    <n v="0"/>
    <x v="1"/>
    <x v="2"/>
    <d v="2019-09-29T00:00:00"/>
    <d v="2019-09-29T00:00:00"/>
    <s v="TẾT"/>
    <m/>
    <m/>
    <s v="R"/>
    <m/>
    <n v="0"/>
    <m/>
    <m/>
    <m/>
    <m/>
    <m/>
    <m/>
    <n v="0"/>
    <n v="0"/>
    <n v="0"/>
    <m/>
  </r>
  <r>
    <s v="61A/2019"/>
    <d v="2019-02-18T00:00:00"/>
    <s v="KIỀU THY"/>
    <s v="TH10"/>
    <x v="121"/>
    <x v="23"/>
    <s v="ROBINA"/>
    <m/>
    <s v="22.24"/>
    <n v="100"/>
    <s v="NL2018"/>
    <m/>
    <n v="50"/>
    <n v="5000"/>
    <x v="25"/>
    <n v="62500000"/>
    <x v="2"/>
    <x v="2"/>
    <d v="2019-09-29T00:00:00"/>
    <d v="2019-09-29T00:00:00"/>
    <s v="TẾT"/>
    <m/>
    <m/>
    <s v="R"/>
    <m/>
    <n v="0"/>
    <m/>
    <m/>
    <m/>
    <m/>
    <m/>
    <m/>
    <n v="0"/>
    <n v="5000"/>
    <n v="62500000"/>
    <m/>
  </r>
  <r>
    <s v="187A/2019"/>
    <d v="2019-04-09T00:00:00"/>
    <s v="KIỀU THY"/>
    <s v="TH10"/>
    <x v="121"/>
    <x v="12"/>
    <s v="PROFUNDO"/>
    <m/>
    <s v="14.16"/>
    <n v="300"/>
    <s v="NL2018"/>
    <m/>
    <n v="8"/>
    <n v="2400"/>
    <x v="8"/>
    <n v="12000000"/>
    <x v="0"/>
    <x v="5"/>
    <d v="2019-04-19T00:00:00"/>
    <d v="2019-04-19T00:00:00"/>
    <s v="15/3AL"/>
    <m/>
    <m/>
    <m/>
    <d v="2019-04-26T00:00:00"/>
    <n v="2400"/>
    <m/>
    <m/>
    <m/>
    <m/>
    <m/>
    <m/>
    <n v="2400"/>
    <n v="0"/>
    <n v="0"/>
    <m/>
  </r>
  <r>
    <s v="60A/2019"/>
    <d v="2019-04-26T00:00:00"/>
    <s v="KIỀU THY"/>
    <s v="TH10"/>
    <x v="121"/>
    <x v="82"/>
    <s v="PROFUNDO"/>
    <m/>
    <s v="14.16"/>
    <n v="275"/>
    <s v="NL2018"/>
    <m/>
    <n v="9"/>
    <n v="2475"/>
    <x v="8"/>
    <n v="12375000"/>
    <x v="0"/>
    <x v="36"/>
    <d v="2019-05-04T00:00:00"/>
    <d v="2019-05-04T00:00:00"/>
    <s v="10/4AL XẢ"/>
    <m/>
    <m/>
    <m/>
    <d v="2019-05-16T00:00:00"/>
    <n v="2475"/>
    <m/>
    <m/>
    <m/>
    <m/>
    <m/>
    <m/>
    <n v="2475"/>
    <n v="0"/>
    <n v="0"/>
    <m/>
  </r>
  <r>
    <s v="60A/2019"/>
    <d v="2019-04-26T00:00:00"/>
    <s v="KIỀU THY"/>
    <s v="TH10"/>
    <x v="121"/>
    <x v="12"/>
    <s v="PROFUNDO"/>
    <m/>
    <s v="14.16"/>
    <n v="300"/>
    <s v="NL2018"/>
    <m/>
    <n v="7"/>
    <n v="2100"/>
    <x v="8"/>
    <n v="10500000"/>
    <x v="0"/>
    <x v="36"/>
    <d v="2019-05-04T00:00:00"/>
    <d v="2019-05-04T00:00:00"/>
    <s v="10/4AL XẢ"/>
    <m/>
    <m/>
    <m/>
    <d v="2019-05-16T00:00:00"/>
    <n v="2100"/>
    <m/>
    <m/>
    <m/>
    <m/>
    <m/>
    <m/>
    <n v="2100"/>
    <n v="0"/>
    <n v="0"/>
    <m/>
  </r>
  <r>
    <s v="60A/2019"/>
    <d v="2019-04-26T00:00:00"/>
    <s v="KIỀU THY"/>
    <s v="TH10"/>
    <x v="121"/>
    <x v="183"/>
    <s v="PROFUNDO"/>
    <m/>
    <s v="15.16"/>
    <n v="300"/>
    <s v="NL2018"/>
    <m/>
    <n v="9"/>
    <n v="2700"/>
    <x v="8"/>
    <n v="13500000"/>
    <x v="0"/>
    <x v="36"/>
    <d v="2019-05-04T00:00:00"/>
    <d v="2019-05-04T00:00:00"/>
    <s v="10/4AL XẢ"/>
    <m/>
    <m/>
    <m/>
    <d v="2019-05-16T00:00:00"/>
    <n v="2700"/>
    <m/>
    <m/>
    <m/>
    <m/>
    <m/>
    <m/>
    <n v="2700"/>
    <n v="0"/>
    <n v="0"/>
    <m/>
  </r>
  <r>
    <s v="61A/2019"/>
    <d v="2019-02-18T00:00:00"/>
    <s v="KIỀU THY"/>
    <s v="TH10"/>
    <x v="121"/>
    <x v="39"/>
    <s v="PROFUNDO"/>
    <m/>
    <s v="20.22"/>
    <n v="125"/>
    <s v="NL2018"/>
    <m/>
    <n v="24"/>
    <n v="3000"/>
    <x v="47"/>
    <n v="39000000"/>
    <x v="2"/>
    <x v="2"/>
    <d v="2019-09-29T00:00:00"/>
    <d v="2019-09-29T00:00:00"/>
    <s v="TẾT"/>
    <m/>
    <m/>
    <s v="R"/>
    <m/>
    <n v="0"/>
    <m/>
    <m/>
    <m/>
    <m/>
    <m/>
    <m/>
    <n v="0"/>
    <n v="3000"/>
    <n v="39000000"/>
    <m/>
  </r>
  <r>
    <s v="60A/2019"/>
    <d v="2019-02-18T00:00:00"/>
    <s v="KIỀU THY"/>
    <s v="TH10"/>
    <x v="121"/>
    <x v="6"/>
    <s v="CONCADOR "/>
    <m/>
    <s v="16.18"/>
    <n v="200"/>
    <s v="NL2018"/>
    <m/>
    <n v="35"/>
    <n v="7000"/>
    <x v="8"/>
    <n v="35000000"/>
    <x v="0"/>
    <x v="5"/>
    <d v="2019-04-19T00:00:00"/>
    <d v="2019-04-19T00:00:00"/>
    <s v="10/4AL XẢ"/>
    <s v="CONT 22/2019"/>
    <d v="2019-04-14T00:00:00"/>
    <s v="R"/>
    <d v="2019-05-16T00:00:00"/>
    <n v="7000"/>
    <m/>
    <m/>
    <m/>
    <m/>
    <m/>
    <m/>
    <n v="7000"/>
    <n v="0"/>
    <n v="0"/>
    <m/>
  </r>
  <r>
    <s v="60A/2019"/>
    <d v="2019-02-18T00:00:00"/>
    <s v="KIỀU THY"/>
    <s v="TH10"/>
    <x v="121"/>
    <x v="6"/>
    <s v="CONCADOR "/>
    <m/>
    <s v="16.18"/>
    <n v="200"/>
    <s v="NL2018"/>
    <m/>
    <n v="25"/>
    <n v="5000"/>
    <x v="8"/>
    <n v="25000000"/>
    <x v="0"/>
    <x v="1"/>
    <d v="2019-05-21T00:00:00"/>
    <d v="2019-05-21T00:00:00"/>
    <s v="T5"/>
    <m/>
    <m/>
    <s v="R"/>
    <m/>
    <n v="0"/>
    <d v="2019-06-19T00:00:00"/>
    <n v="5000"/>
    <m/>
    <m/>
    <m/>
    <m/>
    <n v="5000"/>
    <n v="0"/>
    <n v="0"/>
    <s v="chưa cộng kho lạnh?"/>
  </r>
  <r>
    <s v="60A/2019"/>
    <d v="2019-02-18T00:00:00"/>
    <s v="KIỀU THY"/>
    <s v="TH10"/>
    <x v="121"/>
    <x v="6"/>
    <s v="CONCADOR "/>
    <m/>
    <s v="16.18"/>
    <n v="200"/>
    <s v="NL2018"/>
    <m/>
    <n v="50"/>
    <n v="10000"/>
    <x v="8"/>
    <n v="50000000"/>
    <x v="0"/>
    <x v="1"/>
    <d v="2019-05-21T00:00:00"/>
    <d v="2019-05-21T00:00:00"/>
    <s v="11/4AL"/>
    <m/>
    <m/>
    <s v="R"/>
    <d v="2019-06-03T00:00:00"/>
    <n v="6000"/>
    <d v="2019-06-19T00:00:00"/>
    <n v="4000"/>
    <m/>
    <m/>
    <m/>
    <m/>
    <n v="10000"/>
    <n v="0"/>
    <n v="0"/>
    <s v="KH dự kiến xả mát ngày 29/5 DL, ktra lại với KH trước khi xả mát"/>
  </r>
  <r>
    <s v="60A/2019"/>
    <d v="2019-06-19T00:00:00"/>
    <s v="KIỀU THY"/>
    <s v="TH10"/>
    <x v="121"/>
    <x v="6"/>
    <s v="CONCADOR "/>
    <m/>
    <s v="16.18"/>
    <n v="200"/>
    <s v="NL2018"/>
    <m/>
    <n v="5"/>
    <n v="1000"/>
    <x v="8"/>
    <n v="5000000"/>
    <x v="0"/>
    <x v="77"/>
    <d v="2019-06-19T00:00:00"/>
    <d v="2019-06-19T00:00:00"/>
    <m/>
    <m/>
    <m/>
    <m/>
    <d v="2019-06-19T00:00:00"/>
    <n v="1000"/>
    <m/>
    <m/>
    <m/>
    <m/>
    <m/>
    <m/>
    <n v="1000"/>
    <n v="0"/>
    <n v="0"/>
    <m/>
  </r>
  <r>
    <s v="60A/2019"/>
    <d v="2019-02-18T00:00:00"/>
    <s v="KIỀU THY"/>
    <s v="TH10"/>
    <x v="121"/>
    <x v="6"/>
    <s v="CONCADOR "/>
    <m/>
    <s v="16.18"/>
    <n v="200"/>
    <s v="NL2018"/>
    <m/>
    <n v="35"/>
    <n v="7000"/>
    <x v="12"/>
    <n v="32900000"/>
    <x v="0"/>
    <x v="30"/>
    <d v="2019-04-04T00:00:00"/>
    <d v="2019-04-04T00:00:00"/>
    <s v="30/2AL. 7.000 củ/ 2 tuần"/>
    <s v="CONT 17/2019"/>
    <d v="2019-03-31T00:00:00"/>
    <s v="R"/>
    <d v="2019-04-12T00:00:00"/>
    <n v="7000"/>
    <m/>
    <m/>
    <m/>
    <m/>
    <m/>
    <m/>
    <n v="7000"/>
    <n v="0"/>
    <n v="0"/>
    <m/>
  </r>
  <r>
    <s v="61A/2019"/>
    <d v="2019-02-18T00:00:00"/>
    <s v="KIỀU THY"/>
    <s v="TH10"/>
    <x v="121"/>
    <x v="8"/>
    <s v="CONCADOR"/>
    <m/>
    <s v="18.20"/>
    <n v="150"/>
    <s v="NL2018"/>
    <m/>
    <n v="34"/>
    <n v="5100"/>
    <x v="56"/>
    <n v="36720000"/>
    <x v="2"/>
    <x v="2"/>
    <d v="2019-09-29T00:00:00"/>
    <d v="2019-09-29T00:00:00"/>
    <s v="TẾT"/>
    <m/>
    <m/>
    <s v="R"/>
    <m/>
    <n v="0"/>
    <m/>
    <m/>
    <m/>
    <m/>
    <m/>
    <m/>
    <n v="0"/>
    <n v="5100"/>
    <n v="36720000"/>
    <m/>
  </r>
  <r>
    <s v="61A/2019"/>
    <d v="2019-02-18T00:00:00"/>
    <s v="KIỀU THY"/>
    <s v="TH10"/>
    <x v="121"/>
    <x v="7"/>
    <s v="CONCADOR"/>
    <m/>
    <s v="20.22"/>
    <n v="125"/>
    <s v="NL2018"/>
    <m/>
    <n v="80"/>
    <n v="10000"/>
    <x v="5"/>
    <n v="105000000"/>
    <x v="2"/>
    <x v="2"/>
    <d v="2019-09-29T00:00:00"/>
    <d v="2019-09-29T00:00:00"/>
    <s v="TẾT"/>
    <m/>
    <m/>
    <s v="R"/>
    <m/>
    <n v="0"/>
    <m/>
    <m/>
    <m/>
    <m/>
    <m/>
    <m/>
    <n v="0"/>
    <n v="10000"/>
    <n v="105000000"/>
    <m/>
  </r>
  <r>
    <s v="61A/2019"/>
    <d v="2019-02-18T00:00:00"/>
    <s v="KIỀU THY"/>
    <s v="TH10"/>
    <x v="121"/>
    <x v="21"/>
    <s v="CONCADOR"/>
    <m/>
    <s v="22.24"/>
    <n v="100"/>
    <s v="NL2018"/>
    <m/>
    <n v="50"/>
    <n v="5000"/>
    <x v="25"/>
    <n v="62500000"/>
    <x v="2"/>
    <x v="2"/>
    <d v="2019-09-29T00:00:00"/>
    <d v="2019-09-29T00:00:00"/>
    <s v="TẾT"/>
    <m/>
    <m/>
    <s v="R"/>
    <m/>
    <n v="0"/>
    <m/>
    <m/>
    <m/>
    <m/>
    <m/>
    <m/>
    <n v="0"/>
    <n v="5000"/>
    <n v="62500000"/>
    <m/>
  </r>
  <r>
    <s v="187A/2019"/>
    <d v="2019-04-09T00:00:00"/>
    <s v="KIỀU THY"/>
    <s v="TH10"/>
    <x v="121"/>
    <x v="9"/>
    <s v="ARVANDRUD"/>
    <m/>
    <s v="16.18"/>
    <n v="200"/>
    <s v="NL2018"/>
    <m/>
    <n v="25"/>
    <n v="5000"/>
    <x v="85"/>
    <n v="28500000"/>
    <x v="0"/>
    <x v="5"/>
    <d v="2019-04-19T00:00:00"/>
    <d v="2019-04-19T00:00:00"/>
    <s v="15/3AL"/>
    <m/>
    <m/>
    <m/>
    <d v="2019-04-26T00:00:00"/>
    <n v="5000"/>
    <m/>
    <m/>
    <m/>
    <m/>
    <m/>
    <m/>
    <n v="5000"/>
    <n v="0"/>
    <n v="0"/>
    <m/>
  </r>
  <r>
    <s v="21B/2019"/>
    <d v="2019-01-05T00:00:00"/>
    <s v="THANH THÚY"/>
    <s v="TH01"/>
    <x v="122"/>
    <x v="10"/>
    <s v="TARRANGO"/>
    <m/>
    <s v="16.18"/>
    <n v="200"/>
    <s v="NL2018"/>
    <m/>
    <n v="150"/>
    <n v="30000"/>
    <x v="10"/>
    <n v="165000000"/>
    <x v="3"/>
    <x v="5"/>
    <d v="2019-04-19T00:00:00"/>
    <d v="2019-04-19T00:00:00"/>
    <s v="15/3AL"/>
    <s v="CONT 24/2019"/>
    <m/>
    <m/>
    <d v="2019-05-07T00:00:00"/>
    <n v="20000"/>
    <m/>
    <m/>
    <m/>
    <m/>
    <m/>
    <m/>
    <n v="20000"/>
    <n v="10000"/>
    <n v="55000000"/>
    <d v="2020-02-23T00:00:00"/>
  </r>
  <r>
    <s v="158B/2019"/>
    <d v="2019-01-05T00:00:00"/>
    <s v="THANH THÚY"/>
    <s v="TH01"/>
    <x v="122"/>
    <x v="4"/>
    <s v="ROBINA"/>
    <m/>
    <s v="20.22"/>
    <n v="125"/>
    <s v="NL2018"/>
    <m/>
    <n v="400"/>
    <n v="50000"/>
    <x v="34"/>
    <n v="535000000"/>
    <x v="2"/>
    <x v="2"/>
    <d v="2019-09-29T00:00:00"/>
    <d v="2019-09-29T00:00:00"/>
    <s v="TẾT"/>
    <m/>
    <m/>
    <m/>
    <m/>
    <n v="0"/>
    <m/>
    <m/>
    <m/>
    <m/>
    <m/>
    <m/>
    <n v="0"/>
    <n v="50000"/>
    <n v="535000000"/>
    <d v="2020-02-23T00:00:00"/>
  </r>
  <r>
    <s v="21B/2019"/>
    <d v="2019-01-05T00:00:00"/>
    <s v="THANH THÚY"/>
    <s v="TH01"/>
    <x v="122"/>
    <x v="12"/>
    <s v="PROFUNDO"/>
    <m/>
    <s v="14.16"/>
    <n v="300"/>
    <s v="NL2018"/>
    <m/>
    <n v="0"/>
    <n v="0"/>
    <x v="73"/>
    <n v="0"/>
    <x v="1"/>
    <x v="10"/>
    <d v="2019-04-03T00:00:00"/>
    <d v="2019-04-03T00:00:00"/>
    <s v="15/2AL"/>
    <s v="CONT 12/2019"/>
    <m/>
    <m/>
    <m/>
    <n v="0"/>
    <m/>
    <m/>
    <m/>
    <m/>
    <m/>
    <m/>
    <n v="0"/>
    <n v="0"/>
    <n v="0"/>
    <m/>
  </r>
  <r>
    <s v="21B/2019"/>
    <d v="2019-01-05T00:00:00"/>
    <s v="THANH THÚY"/>
    <s v="TH01"/>
    <x v="122"/>
    <x v="12"/>
    <s v="PROFUNDO"/>
    <m/>
    <s v="14.16"/>
    <n v="300"/>
    <s v="NL2018"/>
    <m/>
    <n v="0"/>
    <n v="0"/>
    <x v="43"/>
    <n v="0"/>
    <x v="1"/>
    <x v="10"/>
    <d v="2019-04-03T00:00:00"/>
    <d v="2019-04-03T00:00:00"/>
    <s v="30/2AL"/>
    <s v="CONT 15/2019"/>
    <m/>
    <m/>
    <m/>
    <n v="0"/>
    <m/>
    <m/>
    <m/>
    <m/>
    <m/>
    <m/>
    <n v="0"/>
    <n v="0"/>
    <n v="0"/>
    <m/>
  </r>
  <r>
    <s v="21B/2019"/>
    <d v="2019-01-05T00:00:00"/>
    <s v="THANH THÚY"/>
    <s v="TH01"/>
    <x v="122"/>
    <x v="11"/>
    <s v="PROFUNDO"/>
    <m/>
    <s v="16.18"/>
    <n v="200"/>
    <s v="NL2018"/>
    <m/>
    <n v="0"/>
    <n v="0"/>
    <x v="32"/>
    <n v="0"/>
    <x v="1"/>
    <x v="10"/>
    <d v="2019-04-03T00:00:00"/>
    <d v="2019-04-03T00:00:00"/>
    <s v="30/2AL"/>
    <s v="CONT 17/2019"/>
    <m/>
    <m/>
    <m/>
    <n v="0"/>
    <m/>
    <m/>
    <m/>
    <m/>
    <m/>
    <m/>
    <n v="0"/>
    <n v="0"/>
    <n v="0"/>
    <m/>
  </r>
  <r>
    <s v="21B/2019"/>
    <d v="2019-01-05T00:00:00"/>
    <s v="THANH THÚY"/>
    <s v="TH01"/>
    <x v="122"/>
    <x v="40"/>
    <s v="PAVIA 2018"/>
    <m/>
    <s v="12.14"/>
    <n v="400"/>
    <s v="NL2017"/>
    <m/>
    <n v="0"/>
    <n v="0"/>
    <x v="48"/>
    <n v="0"/>
    <x v="1"/>
    <x v="0"/>
    <d v="2019-03-20T00:00:00"/>
    <d v="2019-03-20T00:00:00"/>
    <s v="15/2AL"/>
    <s v="CONT 9/2019"/>
    <m/>
    <m/>
    <m/>
    <n v="0"/>
    <m/>
    <m/>
    <m/>
    <m/>
    <m/>
    <m/>
    <n v="0"/>
    <n v="0"/>
    <n v="0"/>
    <d v="2020-02-23T00:00:00"/>
  </r>
  <r>
    <s v="158B/2019"/>
    <d v="2019-01-05T00:00:00"/>
    <s v="THANH THÚY"/>
    <s v="TH01"/>
    <x v="122"/>
    <x v="65"/>
    <s v="MANISSA"/>
    <m/>
    <s v="20.22"/>
    <n v="125"/>
    <s v="NL2018"/>
    <m/>
    <n v="320"/>
    <n v="40000"/>
    <x v="61"/>
    <n v="540000000"/>
    <x v="2"/>
    <x v="2"/>
    <d v="2019-09-29T00:00:00"/>
    <d v="2019-09-29T00:00:00"/>
    <s v="TẾT"/>
    <m/>
    <m/>
    <m/>
    <m/>
    <n v="0"/>
    <m/>
    <m/>
    <m/>
    <m/>
    <m/>
    <m/>
    <n v="0"/>
    <n v="40000"/>
    <n v="540000000"/>
    <d v="2020-02-23T00:00:00"/>
  </r>
  <r>
    <s v="173B/2019"/>
    <d v="2019-04-20T00:00:00"/>
    <s v="THANH THÚY"/>
    <s v="TH01"/>
    <x v="122"/>
    <x v="184"/>
    <s v="ELDIVO"/>
    <m/>
    <s v="14.16"/>
    <n v="300"/>
    <s v="NL2018"/>
    <m/>
    <n v="16"/>
    <n v="4800"/>
    <x v="46"/>
    <n v="40800000"/>
    <x v="3"/>
    <x v="11"/>
    <d v="2019-06-02T00:00:00"/>
    <d v="2019-06-02T00:00:00"/>
    <s v="29/4AL"/>
    <m/>
    <m/>
    <m/>
    <m/>
    <m/>
    <m/>
    <m/>
    <m/>
    <m/>
    <m/>
    <m/>
    <n v="0"/>
    <n v="4800"/>
    <n v="40800000"/>
    <m/>
  </r>
  <r>
    <s v="158B/2019"/>
    <d v="2019-01-05T00:00:00"/>
    <s v="THANH THÚY"/>
    <s v="TH01"/>
    <x v="122"/>
    <x v="7"/>
    <s v="CONCADOR"/>
    <m/>
    <s v="20.22"/>
    <n v="125"/>
    <s v="NL2018"/>
    <m/>
    <n v="400"/>
    <n v="50000"/>
    <x v="35"/>
    <n v="530000000"/>
    <x v="2"/>
    <x v="2"/>
    <d v="2019-09-29T00:00:00"/>
    <d v="2019-09-29T00:00:00"/>
    <s v="TẾT"/>
    <m/>
    <m/>
    <m/>
    <m/>
    <n v="0"/>
    <m/>
    <m/>
    <m/>
    <m/>
    <m/>
    <m/>
    <n v="0"/>
    <n v="50000"/>
    <n v="530000000"/>
    <d v="2020-02-23T00:00:00"/>
  </r>
  <r>
    <s v="133B/2019"/>
    <d v="2019-03-19T00:00:00"/>
    <s v="THANH THÚY"/>
    <s v="TH01"/>
    <x v="122"/>
    <x v="185"/>
    <s v="BEAU SOLEIL"/>
    <m/>
    <s v="12.14"/>
    <n v="400"/>
    <s v="NL2018"/>
    <m/>
    <n v="75"/>
    <n v="30000"/>
    <x v="26"/>
    <n v="90000000"/>
    <x v="3"/>
    <x v="78"/>
    <d v="2019-06-12T00:00:00"/>
    <d v="2019-06-12T00:00:00"/>
    <s v="10/5AL"/>
    <m/>
    <m/>
    <m/>
    <m/>
    <n v="0"/>
    <m/>
    <m/>
    <m/>
    <m/>
    <m/>
    <m/>
    <n v="0"/>
    <n v="30000"/>
    <n v="90000000"/>
    <m/>
  </r>
  <r>
    <s v="133B/2019"/>
    <d v="2019-03-19T00:00:00"/>
    <s v="THANH THÚY"/>
    <s v="TH01"/>
    <x v="122"/>
    <x v="186"/>
    <s v="BEAU SOLEIL"/>
    <m/>
    <s v="14.16"/>
    <n v="300"/>
    <s v="NL2018"/>
    <m/>
    <n v="67"/>
    <n v="20100"/>
    <x v="14"/>
    <n v="90450000"/>
    <x v="3"/>
    <x v="78"/>
    <d v="2019-06-12T00:00:00"/>
    <d v="2019-06-12T00:00:00"/>
    <s v="10/5AL"/>
    <m/>
    <m/>
    <m/>
    <m/>
    <n v="0"/>
    <m/>
    <m/>
    <m/>
    <m/>
    <m/>
    <m/>
    <n v="0"/>
    <n v="20100"/>
    <n v="90450000"/>
    <m/>
  </r>
  <r>
    <s v="133B/2019"/>
    <d v="2019-03-15T00:00:00"/>
    <s v="THANH THÚY"/>
    <s v="TH01"/>
    <x v="122"/>
    <x v="9"/>
    <s v="ARVANDRUD"/>
    <m/>
    <s v="16.18"/>
    <n v="200"/>
    <s v="NL2018"/>
    <m/>
    <n v="0"/>
    <n v="0"/>
    <x v="10"/>
    <n v="0"/>
    <x v="1"/>
    <x v="5"/>
    <d v="2019-04-19T00:00:00"/>
    <d v="2019-04-19T00:00:00"/>
    <s v="15/3AL"/>
    <s v="CONT 22/2019"/>
    <m/>
    <m/>
    <m/>
    <n v="0"/>
    <m/>
    <m/>
    <m/>
    <m/>
    <m/>
    <m/>
    <n v="0"/>
    <n v="0"/>
    <n v="0"/>
    <m/>
  </r>
  <r>
    <s v="173B/2019"/>
    <d v="2019-04-20T00:00:00"/>
    <s v="THANH THÚY"/>
    <s v="TH01"/>
    <x v="122"/>
    <x v="182"/>
    <s v="ANGELA"/>
    <s v="RL"/>
    <s v="12.14"/>
    <n v="400"/>
    <s v="NL2018"/>
    <m/>
    <n v="0"/>
    <n v="0"/>
    <x v="46"/>
    <n v="0"/>
    <x v="1"/>
    <x v="1"/>
    <d v="2019-05-21T00:00:00"/>
    <d v="2019-05-21T00:00:00"/>
    <s v="17/4AL"/>
    <m/>
    <m/>
    <m/>
    <m/>
    <m/>
    <m/>
    <m/>
    <m/>
    <m/>
    <m/>
    <m/>
    <n v="0"/>
    <n v="0"/>
    <n v="0"/>
    <m/>
  </r>
  <r>
    <s v="47B/2019"/>
    <d v="2019-02-13T00:00:00"/>
    <s v="THANH THÚY"/>
    <s v="TN02"/>
    <x v="123"/>
    <x v="69"/>
    <s v="YELLOWEEN"/>
    <m/>
    <s v="16.18"/>
    <n v="200"/>
    <s v="NL2017"/>
    <m/>
    <n v="100"/>
    <n v="20000"/>
    <x v="187"/>
    <n v="75000000"/>
    <x v="0"/>
    <x v="79"/>
    <d v="2019-02-25T00:00:00"/>
    <d v="2019-02-25T00:00:00"/>
    <s v="21/1AL"/>
    <m/>
    <m/>
    <m/>
    <d v="2019-02-25T00:00:00"/>
    <n v="20000"/>
    <m/>
    <m/>
    <m/>
    <m/>
    <m/>
    <m/>
    <n v="20000"/>
    <n v="0"/>
    <n v="0"/>
    <d v="2020-02-25T00:00:00"/>
  </r>
  <r>
    <s v="47B/2019"/>
    <d v="2019-02-13T00:00:00"/>
    <s v="THANH THÚY"/>
    <s v="TN02"/>
    <x v="123"/>
    <x v="10"/>
    <s v="TARRANGO"/>
    <m/>
    <s v="16.18"/>
    <n v="200"/>
    <s v="NL2018"/>
    <m/>
    <n v="100"/>
    <n v="20000"/>
    <x v="10"/>
    <n v="110000000"/>
    <x v="0"/>
    <x v="6"/>
    <d v="2019-02-19T00:00:00"/>
    <d v="2019-02-19T00:00:00"/>
    <s v="15/1AL"/>
    <m/>
    <m/>
    <m/>
    <d v="2019-02-19T00:00:00"/>
    <n v="20000"/>
    <m/>
    <m/>
    <m/>
    <m/>
    <m/>
    <m/>
    <n v="20000"/>
    <n v="0"/>
    <n v="0"/>
    <d v="2020-02-25T00:00:00"/>
  </r>
  <r>
    <s v="248/2019"/>
    <d v="2019-06-21T00:00:00"/>
    <s v="THANH THÚY"/>
    <s v="TN02"/>
    <x v="123"/>
    <x v="66"/>
    <s v="TARRANGO"/>
    <m/>
    <s v="20.22"/>
    <n v="125"/>
    <s v="NL2018"/>
    <m/>
    <n v="80"/>
    <n v="10000"/>
    <x v="28"/>
    <n v="110000000"/>
    <x v="2"/>
    <x v="2"/>
    <d v="2019-09-29T00:00:00"/>
    <d v="2019-09-29T00:00:00"/>
    <s v="TẾT"/>
    <m/>
    <m/>
    <m/>
    <m/>
    <m/>
    <m/>
    <m/>
    <m/>
    <m/>
    <m/>
    <m/>
    <n v="0"/>
    <n v="10000"/>
    <n v="110000000"/>
    <m/>
  </r>
  <r>
    <s v="47B/2019"/>
    <d v="2019-02-13T00:00:00"/>
    <s v="THANH THÚY"/>
    <s v="TN02"/>
    <x v="123"/>
    <x v="5"/>
    <s v="ROBINA"/>
    <m/>
    <s v="18.20"/>
    <n v="150"/>
    <s v="NL2018"/>
    <m/>
    <n v="67"/>
    <n v="10050"/>
    <x v="75"/>
    <n v="63315000"/>
    <x v="0"/>
    <x v="5"/>
    <d v="2019-04-19T00:00:00"/>
    <d v="2019-04-19T00:00:00"/>
    <s v="15/3AL"/>
    <s v="CONT 25/2019"/>
    <m/>
    <m/>
    <d v="2019-04-29T00:00:00"/>
    <n v="10050"/>
    <m/>
    <m/>
    <m/>
    <m/>
    <m/>
    <m/>
    <n v="10050"/>
    <n v="0"/>
    <n v="0"/>
    <d v="2020-02-25T00:00:00"/>
  </r>
  <r>
    <s v="47B/2019"/>
    <d v="2019-06-03T00:00:00"/>
    <s v="THANH THÚY"/>
    <s v="TN02"/>
    <x v="123"/>
    <x v="99"/>
    <s v="ROBINA"/>
    <m/>
    <s v="14.16"/>
    <n v="300"/>
    <s v="NL2018"/>
    <m/>
    <n v="10"/>
    <n v="3000"/>
    <x v="64"/>
    <n v="11400000"/>
    <x v="0"/>
    <x v="28"/>
    <d v="2019-06-07T00:00:00"/>
    <d v="2019-06-07T00:00:00"/>
    <m/>
    <m/>
    <m/>
    <m/>
    <d v="2019-06-17T00:00:00"/>
    <n v="3000"/>
    <m/>
    <m/>
    <m/>
    <m/>
    <m/>
    <m/>
    <n v="3000"/>
    <n v="0"/>
    <n v="0"/>
    <m/>
  </r>
  <r>
    <s v="47B/2019"/>
    <d v="2019-05-31T00:00:00"/>
    <s v="THANH THÚY"/>
    <s v="TN02"/>
    <x v="123"/>
    <x v="99"/>
    <s v="ROBINA"/>
    <m/>
    <s v="14.16"/>
    <n v="300"/>
    <s v="NL2018"/>
    <m/>
    <n v="0"/>
    <n v="0"/>
    <x v="64"/>
    <n v="0"/>
    <x v="1"/>
    <x v="28"/>
    <d v="2019-06-07T00:00:00"/>
    <d v="2019-06-07T00:00:00"/>
    <m/>
    <m/>
    <m/>
    <m/>
    <m/>
    <m/>
    <m/>
    <m/>
    <m/>
    <m/>
    <m/>
    <m/>
    <n v="0"/>
    <n v="0"/>
    <n v="0"/>
    <m/>
  </r>
  <r>
    <s v="248/2019"/>
    <d v="2019-06-21T00:00:00"/>
    <s v="THANH THÚY"/>
    <s v="TN02"/>
    <x v="123"/>
    <x v="146"/>
    <s v="ROBINA"/>
    <m/>
    <s v="24.26"/>
    <n v="80"/>
    <s v="NL2018"/>
    <m/>
    <n v="63"/>
    <n v="5040"/>
    <x v="86"/>
    <n v="77112000"/>
    <x v="2"/>
    <x v="2"/>
    <d v="2019-09-29T00:00:00"/>
    <d v="2019-09-29T00:00:00"/>
    <s v="TẾT"/>
    <m/>
    <m/>
    <m/>
    <m/>
    <m/>
    <m/>
    <m/>
    <m/>
    <m/>
    <m/>
    <m/>
    <n v="0"/>
    <n v="5040"/>
    <n v="77112000"/>
    <m/>
  </r>
  <r>
    <s v="47B/2019"/>
    <d v="2019-02-13T00:00:00"/>
    <s v="THANH THÚY"/>
    <s v="TN02"/>
    <x v="123"/>
    <x v="40"/>
    <s v="PAVIA"/>
    <m/>
    <s v="12.14"/>
    <n v="400"/>
    <s v="NL2017"/>
    <m/>
    <n v="27"/>
    <n v="10800"/>
    <x v="48"/>
    <n v="21600000"/>
    <x v="0"/>
    <x v="0"/>
    <d v="2019-03-20T00:00:00"/>
    <d v="2019-03-20T00:00:00"/>
    <s v="15/2AL"/>
    <s v="CONT 9/2019"/>
    <m/>
    <m/>
    <d v="2019-03-20T00:00:00"/>
    <n v="10800"/>
    <m/>
    <m/>
    <m/>
    <m/>
    <m/>
    <m/>
    <n v="10800"/>
    <n v="0"/>
    <n v="0"/>
    <d v="2020-02-25T00:00:00"/>
  </r>
  <r>
    <s v="47B/2019"/>
    <d v="2019-02-13T00:00:00"/>
    <s v="THANH THÚY"/>
    <s v="TN02"/>
    <x v="123"/>
    <x v="45"/>
    <s v="MARENGO"/>
    <m/>
    <s v="16.18"/>
    <n v="200"/>
    <s v="NL2018"/>
    <m/>
    <n v="25"/>
    <n v="5000"/>
    <x v="51"/>
    <n v="30000000"/>
    <x v="0"/>
    <x v="10"/>
    <d v="2019-04-03T00:00:00"/>
    <d v="2019-04-03T00:00:00"/>
    <s v="30/2AL. Thiếu 5.000"/>
    <s v="CONT 17/2019"/>
    <m/>
    <m/>
    <d v="2019-04-29T00:00:00"/>
    <n v="5000"/>
    <m/>
    <m/>
    <m/>
    <m/>
    <m/>
    <m/>
    <n v="5000"/>
    <n v="0"/>
    <n v="0"/>
    <d v="2020-02-25T00:00:00"/>
  </r>
  <r>
    <s v="47B/2019"/>
    <d v="2019-02-13T00:00:00"/>
    <s v="THANH THÚY"/>
    <s v="TN02"/>
    <x v="123"/>
    <x v="187"/>
    <s v="LESOTHO"/>
    <m/>
    <s v="18.20"/>
    <n v="150"/>
    <s v="NL2017"/>
    <m/>
    <n v="47"/>
    <n v="7050"/>
    <x v="43"/>
    <n v="33840000"/>
    <x v="0"/>
    <x v="80"/>
    <d v="2019-03-06T00:00:00"/>
    <d v="2019-03-06T00:00:00"/>
    <s v="01/2AL"/>
    <m/>
    <m/>
    <m/>
    <d v="2019-03-06T00:00:00"/>
    <n v="7050"/>
    <m/>
    <m/>
    <m/>
    <m/>
    <m/>
    <m/>
    <n v="7050"/>
    <n v="0"/>
    <n v="0"/>
    <d v="2020-02-23T00:00:00"/>
  </r>
  <r>
    <s v="47B/2019"/>
    <d v="2019-02-13T00:00:00"/>
    <s v="THANH THÚY"/>
    <s v="TN02"/>
    <x v="123"/>
    <x v="24"/>
    <s v="DALIAN"/>
    <m/>
    <s v="14.16"/>
    <n v="300"/>
    <s v="NL2018"/>
    <m/>
    <n v="34"/>
    <n v="10200"/>
    <x v="33"/>
    <n v="54060000"/>
    <x v="0"/>
    <x v="5"/>
    <d v="2019-04-19T00:00:00"/>
    <d v="2019-04-19T00:00:00"/>
    <s v="15/3AL"/>
    <s v="CONT 23/2019"/>
    <m/>
    <m/>
    <d v="2019-04-29T00:00:00"/>
    <n v="10200"/>
    <m/>
    <m/>
    <m/>
    <m/>
    <m/>
    <m/>
    <n v="10200"/>
    <n v="0"/>
    <n v="0"/>
    <d v="2020-02-25T00:00:00"/>
  </r>
  <r>
    <s v="47B/2019"/>
    <d v="2019-02-13T00:00:00"/>
    <s v="THANH THÚY"/>
    <s v="TN02"/>
    <x v="123"/>
    <x v="6"/>
    <s v="CONCADOR "/>
    <m/>
    <s v="16.18"/>
    <n v="200"/>
    <s v="NL2018"/>
    <m/>
    <n v="50"/>
    <n v="10000"/>
    <x v="29"/>
    <n v="46000000"/>
    <x v="0"/>
    <x v="6"/>
    <d v="2019-02-19T00:00:00"/>
    <d v="2019-02-19T00:00:00"/>
    <s v="15/1AL"/>
    <m/>
    <m/>
    <m/>
    <d v="2019-02-19T00:00:00"/>
    <n v="10000"/>
    <m/>
    <m/>
    <m/>
    <m/>
    <m/>
    <m/>
    <n v="10000"/>
    <n v="0"/>
    <n v="0"/>
    <d v="2020-02-23T00:00:00"/>
  </r>
  <r>
    <s v="47B/2019"/>
    <d v="2019-02-13T00:00:00"/>
    <s v="THANH THÚY"/>
    <s v="TN02"/>
    <x v="123"/>
    <x v="6"/>
    <s v="CONCADOR "/>
    <m/>
    <s v="16.18"/>
    <n v="200"/>
    <s v="NL2018"/>
    <m/>
    <n v="0"/>
    <n v="0"/>
    <x v="12"/>
    <n v="0"/>
    <x v="1"/>
    <x v="6"/>
    <d v="2019-02-19T00:00:00"/>
    <d v="2019-02-19T00:00:00"/>
    <s v="15/1AL"/>
    <m/>
    <m/>
    <m/>
    <m/>
    <n v="0"/>
    <m/>
    <m/>
    <m/>
    <m/>
    <m/>
    <m/>
    <n v="0"/>
    <n v="0"/>
    <n v="0"/>
    <d v="2020-02-23T00:00:00"/>
  </r>
  <r>
    <s v="248/2019"/>
    <d v="2019-06-21T00:00:00"/>
    <s v="THANH THÚY"/>
    <s v="TN02"/>
    <x v="123"/>
    <x v="7"/>
    <s v="CONCADOR "/>
    <m/>
    <s v="20.22"/>
    <n v="125"/>
    <s v="NL2018"/>
    <m/>
    <n v="80"/>
    <n v="10000"/>
    <x v="35"/>
    <n v="106000000"/>
    <x v="2"/>
    <x v="2"/>
    <d v="2019-09-29T00:00:00"/>
    <d v="2019-09-29T00:00:00"/>
    <s v="TẾT"/>
    <m/>
    <m/>
    <m/>
    <m/>
    <m/>
    <m/>
    <m/>
    <m/>
    <m/>
    <m/>
    <m/>
    <n v="0"/>
    <n v="10000"/>
    <n v="106000000"/>
    <m/>
  </r>
  <r>
    <s v="04A/2019"/>
    <d v="2019-03-21T00:00:00"/>
    <s v="KIỀU THY"/>
    <s v="VC03"/>
    <x v="124"/>
    <x v="35"/>
    <s v="TARRANGO"/>
    <m/>
    <s v="14.16"/>
    <s v="300"/>
    <s v="NL2018"/>
    <m/>
    <n v="0"/>
    <n v="0"/>
    <x v="29"/>
    <n v="0"/>
    <x v="1"/>
    <x v="1"/>
    <d v="2019-05-21T00:00:00"/>
    <d v="2019-05-21T00:00:00"/>
    <s v="2 tháng/lần"/>
    <m/>
    <m/>
    <m/>
    <m/>
    <m/>
    <m/>
    <m/>
    <m/>
    <m/>
    <m/>
    <m/>
    <n v="0"/>
    <n v="0"/>
    <n v="0"/>
    <m/>
  </r>
  <r>
    <s v="04A/2019"/>
    <d v="2019-03-21T00:00:00"/>
    <s v="KIỀU THY"/>
    <s v="VC03"/>
    <x v="124"/>
    <x v="10"/>
    <s v="TARRANGO"/>
    <m/>
    <s v="16.18"/>
    <s v="200"/>
    <s v="NL2018"/>
    <m/>
    <n v="50"/>
    <n v="10000"/>
    <x v="164"/>
    <n v="69000000"/>
    <x v="0"/>
    <x v="1"/>
    <d v="2019-05-21T00:00:00"/>
    <d v="2019-05-21T00:00:00"/>
    <m/>
    <m/>
    <m/>
    <m/>
    <d v="2019-05-18T00:00:00"/>
    <n v="10000"/>
    <m/>
    <m/>
    <m/>
    <m/>
    <m/>
    <m/>
    <n v="10000"/>
    <n v="0"/>
    <n v="0"/>
    <m/>
  </r>
  <r>
    <s v="04A/2019"/>
    <d v="2019-05-17T00:00:00"/>
    <s v="KIỀU THY"/>
    <s v="VC03"/>
    <x v="124"/>
    <x v="10"/>
    <s v="TARRANGO"/>
    <m/>
    <s v="16.18"/>
    <s v="200"/>
    <s v="NL2018"/>
    <m/>
    <n v="50"/>
    <n v="10000"/>
    <x v="66"/>
    <n v="70000000"/>
    <x v="4"/>
    <x v="18"/>
    <d v="2019-07-02T00:00:00"/>
    <d v="2019-07-02T00:00:00"/>
    <m/>
    <m/>
    <m/>
    <m/>
    <m/>
    <m/>
    <m/>
    <m/>
    <m/>
    <m/>
    <m/>
    <m/>
    <n v="0"/>
    <n v="10000"/>
    <n v="70000000"/>
    <m/>
  </r>
  <r>
    <s v="247/2019"/>
    <d v="2019-05-14T00:00:00"/>
    <s v="KIỀU THY"/>
    <s v="VC03"/>
    <x v="124"/>
    <x v="10"/>
    <s v="TARRANGO"/>
    <m/>
    <s v="16.18"/>
    <s v="200"/>
    <s v="NL2018"/>
    <m/>
    <n v="100"/>
    <n v="20000"/>
    <x v="105"/>
    <n v="146000000"/>
    <x v="2"/>
    <x v="2"/>
    <d v="2019-09-29T00:00:00"/>
    <d v="2019-09-29T00:00:00"/>
    <m/>
    <m/>
    <m/>
    <m/>
    <m/>
    <m/>
    <m/>
    <m/>
    <m/>
    <m/>
    <m/>
    <m/>
    <n v="0"/>
    <n v="20000"/>
    <n v="146000000"/>
    <m/>
  </r>
  <r>
    <s v="142A/2019"/>
    <d v="2019-03-25T00:00:00"/>
    <s v="KIỀU THY"/>
    <s v="VQ02"/>
    <x v="125"/>
    <x v="35"/>
    <s v="TARRANGO"/>
    <m/>
    <s v="14.16"/>
    <s v="300"/>
    <s v="NL2018"/>
    <m/>
    <n v="100"/>
    <n v="30000"/>
    <x v="29"/>
    <n v="138000000"/>
    <x v="0"/>
    <x v="1"/>
    <d v="2019-05-21T00:00:00"/>
    <d v="2019-05-21T00:00:00"/>
    <s v="30/3AL"/>
    <m/>
    <d v="2019-03-31T00:00:00"/>
    <m/>
    <d v="2019-05-19T00:00:00"/>
    <n v="30000"/>
    <m/>
    <m/>
    <m/>
    <m/>
    <m/>
    <m/>
    <n v="30000"/>
    <n v="0"/>
    <n v="0"/>
    <m/>
  </r>
  <r>
    <s v="142A/2019"/>
    <d v="2019-05-10T00:00:00"/>
    <s v="KIỀU THY"/>
    <s v="VQ02"/>
    <x v="125"/>
    <x v="35"/>
    <s v="TARRANGO"/>
    <m/>
    <s v="14.16"/>
    <s v="300"/>
    <s v="NL2018"/>
    <m/>
    <n v="134"/>
    <n v="40200"/>
    <x v="8"/>
    <n v="201000000"/>
    <x v="2"/>
    <x v="63"/>
    <d v="2019-08-05T00:00:00"/>
    <d v="2019-08-05T00:00:00"/>
    <m/>
    <m/>
    <m/>
    <m/>
    <m/>
    <m/>
    <m/>
    <m/>
    <m/>
    <m/>
    <m/>
    <m/>
    <n v="0"/>
    <n v="40200"/>
    <n v="201000000"/>
    <m/>
  </r>
  <r>
    <s v="142A/2019"/>
    <d v="2019-03-25T00:00:00"/>
    <s v="KIỀU THY"/>
    <s v="VQ02"/>
    <x v="125"/>
    <x v="3"/>
    <s v="ROBINA"/>
    <m/>
    <s v="16.18"/>
    <s v="200"/>
    <s v="NL2018"/>
    <m/>
    <n v="150"/>
    <n v="30000"/>
    <x v="8"/>
    <n v="150000000"/>
    <x v="0"/>
    <x v="10"/>
    <d v="2019-04-03T00:00:00"/>
    <d v="2019-04-03T00:00:00"/>
    <m/>
    <s v="CONT 18/2019"/>
    <d v="2019-03-31T00:00:00"/>
    <m/>
    <d v="2019-04-08T00:00:00"/>
    <n v="30000"/>
    <m/>
    <m/>
    <m/>
    <m/>
    <m/>
    <m/>
    <n v="30000"/>
    <n v="0"/>
    <n v="0"/>
    <m/>
  </r>
  <r>
    <s v="142A/2019"/>
    <d v="2019-03-25T00:00:00"/>
    <s v="KIỀU THY"/>
    <s v="VQ02"/>
    <x v="125"/>
    <x v="3"/>
    <s v="ROBINA"/>
    <m/>
    <s v="16.18"/>
    <s v="200"/>
    <s v="NL2018"/>
    <m/>
    <n v="150"/>
    <n v="30000"/>
    <x v="110"/>
    <n v="153000000"/>
    <x v="0"/>
    <x v="1"/>
    <d v="2019-05-21T00:00:00"/>
    <d v="2019-05-21T00:00:00"/>
    <s v="30/3AL"/>
    <m/>
    <d v="2019-03-31T00:00:00"/>
    <m/>
    <d v="2019-05-18T00:00:00"/>
    <n v="30000"/>
    <m/>
    <m/>
    <m/>
    <m/>
    <m/>
    <m/>
    <n v="30000"/>
    <n v="0"/>
    <n v="0"/>
    <m/>
  </r>
  <r>
    <s v="142A/2019"/>
    <d v="2019-05-10T00:00:00"/>
    <s v="KIỀU THY"/>
    <s v="VQ02"/>
    <x v="125"/>
    <x v="76"/>
    <s v="NATALIA"/>
    <s v="RL"/>
    <s v="12.14"/>
    <s v="400"/>
    <s v="NL2018"/>
    <m/>
    <n v="0"/>
    <n v="0"/>
    <x v="16"/>
    <n v="0"/>
    <x v="1"/>
    <x v="3"/>
    <d v="2019-06-20T00:00:00"/>
    <d v="2019-06-20T00:00:00"/>
    <m/>
    <m/>
    <m/>
    <m/>
    <m/>
    <m/>
    <m/>
    <m/>
    <m/>
    <m/>
    <m/>
    <m/>
    <n v="0"/>
    <n v="0"/>
    <n v="0"/>
    <m/>
  </r>
  <r>
    <s v="174A/2019"/>
    <d v="2019-04-05T00:00:00"/>
    <s v="KIỀU THY"/>
    <s v="VT04"/>
    <x v="126"/>
    <x v="4"/>
    <s v="ROBINA"/>
    <m/>
    <s v="20.22"/>
    <n v="125"/>
    <s v="NL2018"/>
    <m/>
    <n v="56"/>
    <n v="7000"/>
    <x v="34"/>
    <n v="74900000"/>
    <x v="2"/>
    <x v="2"/>
    <d v="2019-09-29T00:00:00"/>
    <d v="2019-09-29T00:00:00"/>
    <s v="TẾT"/>
    <m/>
    <m/>
    <m/>
    <m/>
    <m/>
    <m/>
    <m/>
    <m/>
    <m/>
    <m/>
    <m/>
    <n v="0"/>
    <n v="7000"/>
    <n v="74900000"/>
    <m/>
  </r>
  <r>
    <s v="90A/2019"/>
    <d v="2019-03-06T00:00:00"/>
    <s v="KIỀU THY"/>
    <s v="VT04"/>
    <x v="126"/>
    <x v="3"/>
    <s v="ROBINA"/>
    <m/>
    <s v="16.18"/>
    <n v="200"/>
    <s v="NL2018"/>
    <m/>
    <n v="15"/>
    <n v="3000"/>
    <x v="44"/>
    <n v="14700000"/>
    <x v="0"/>
    <x v="5"/>
    <d v="2019-04-19T00:00:00"/>
    <d v="2019-04-19T00:00:00"/>
    <s v="15/3AL"/>
    <s v="CONT 26/2019"/>
    <d v="2019-04-14T00:00:00"/>
    <s v="R"/>
    <d v="2019-04-19T00:00:00"/>
    <n v="3000"/>
    <m/>
    <m/>
    <m/>
    <m/>
    <m/>
    <m/>
    <n v="3000"/>
    <n v="0"/>
    <n v="0"/>
    <m/>
  </r>
  <r>
    <s v="90A/2019"/>
    <d v="2019-03-06T00:00:00"/>
    <s v="KIỀU THY"/>
    <s v="VT04"/>
    <x v="126"/>
    <x v="3"/>
    <s v="ROBINA"/>
    <m/>
    <s v="16.18"/>
    <n v="200"/>
    <s v="NL2018"/>
    <m/>
    <n v="25"/>
    <n v="5000"/>
    <x v="44"/>
    <n v="24500000"/>
    <x v="0"/>
    <x v="5"/>
    <d v="2019-04-19T00:00:00"/>
    <d v="2019-04-19T00:00:00"/>
    <s v="15/3AL"/>
    <m/>
    <m/>
    <s v="R"/>
    <d v="2019-05-14T00:00:00"/>
    <n v="5000"/>
    <m/>
    <m/>
    <m/>
    <m/>
    <m/>
    <m/>
    <n v="5000"/>
    <n v="0"/>
    <n v="0"/>
    <m/>
  </r>
  <r>
    <s v="90A/2019"/>
    <d v="2019-03-06T00:00:00"/>
    <s v="KIỀU THY"/>
    <s v="VT04"/>
    <x v="126"/>
    <x v="3"/>
    <s v="ROBINA"/>
    <m/>
    <s v="16.18"/>
    <n v="200"/>
    <s v="NL2018"/>
    <m/>
    <n v="25"/>
    <n v="5000"/>
    <x v="8"/>
    <n v="25000000"/>
    <x v="0"/>
    <x v="1"/>
    <d v="2019-05-21T00:00:00"/>
    <d v="2019-05-21T00:00:00"/>
    <s v="30/3AL"/>
    <m/>
    <m/>
    <s v="R"/>
    <d v="2019-05-28T00:00:00"/>
    <n v="5000"/>
    <m/>
    <m/>
    <m/>
    <m/>
    <m/>
    <m/>
    <n v="5000"/>
    <n v="0"/>
    <n v="0"/>
    <m/>
  </r>
  <r>
    <s v="90A/2019"/>
    <d v="2019-03-06T00:00:00"/>
    <s v="KIỀU THY"/>
    <s v="VT04"/>
    <x v="126"/>
    <x v="3"/>
    <s v="ROBINA"/>
    <m/>
    <s v="16.18"/>
    <n v="200"/>
    <s v="NL2018"/>
    <m/>
    <n v="0"/>
    <n v="0"/>
    <x v="44"/>
    <n v="0"/>
    <x v="0"/>
    <x v="1"/>
    <d v="2019-05-21T00:00:00"/>
    <d v="2019-05-21T00:00:00"/>
    <s v="30/3AL"/>
    <m/>
    <m/>
    <s v="R"/>
    <m/>
    <n v="0"/>
    <m/>
    <m/>
    <m/>
    <m/>
    <m/>
    <m/>
    <n v="0"/>
    <n v="0"/>
    <n v="0"/>
    <m/>
  </r>
  <r>
    <s v="90A/2019"/>
    <d v="2019-06-07T00:00:00"/>
    <s v="KIỀU THY"/>
    <s v="VT04"/>
    <x v="126"/>
    <x v="3"/>
    <s v="ROBINA"/>
    <m/>
    <s v="16.18"/>
    <n v="200"/>
    <s v="NL2018"/>
    <m/>
    <n v="35"/>
    <n v="7000"/>
    <x v="55"/>
    <n v="39200000"/>
    <x v="4"/>
    <x v="4"/>
    <d v="2019-07-17T00:00:00"/>
    <d v="2019-07-17T00:00:00"/>
    <m/>
    <m/>
    <m/>
    <m/>
    <m/>
    <m/>
    <m/>
    <m/>
    <m/>
    <m/>
    <m/>
    <m/>
    <n v="0"/>
    <n v="7000"/>
    <n v="39200000"/>
    <m/>
  </r>
  <r>
    <s v="174A/2019"/>
    <d v="2019-04-05T00:00:00"/>
    <s v="KIỀU THY"/>
    <s v="VT04"/>
    <x v="126"/>
    <x v="7"/>
    <s v="CONCADOR"/>
    <m/>
    <s v="20.22"/>
    <n v="125"/>
    <s v="NL2018"/>
    <m/>
    <n v="136"/>
    <n v="17000"/>
    <x v="35"/>
    <n v="180200000"/>
    <x v="2"/>
    <x v="2"/>
    <d v="2019-09-29T00:00:00"/>
    <d v="2019-09-29T00:00:00"/>
    <s v="TẾT"/>
    <m/>
    <m/>
    <m/>
    <m/>
    <m/>
    <m/>
    <m/>
    <m/>
    <m/>
    <m/>
    <m/>
    <n v="0"/>
    <n v="17000"/>
    <n v="180200000"/>
    <m/>
  </r>
  <r>
    <s v="10B/2019"/>
    <d v="2018-08-24T00:00:00"/>
    <s v="THANH THÚY"/>
    <s v="TB02"/>
    <x v="127"/>
    <x v="0"/>
    <s v="YELLOWEEN"/>
    <m/>
    <s v="12.14"/>
    <n v="400"/>
    <s v="NL2018"/>
    <m/>
    <n v="25"/>
    <n v="10000"/>
    <x v="0"/>
    <n v="26000000"/>
    <x v="0"/>
    <x v="6"/>
    <d v="2019-02-19T00:00:00"/>
    <d v="2019-02-19T00:00:00"/>
    <s v="15/1AL"/>
    <m/>
    <m/>
    <m/>
    <d v="2019-02-19T00:00:00"/>
    <n v="10000"/>
    <m/>
    <m/>
    <m/>
    <m/>
    <m/>
    <m/>
    <n v="10000"/>
    <n v="0"/>
    <n v="0"/>
    <d v="2020-02-25T00:00:00"/>
  </r>
  <r>
    <s v="10B/2019"/>
    <d v="2018-08-24T00:00:00"/>
    <s v="THANH THÚY"/>
    <s v="TB02"/>
    <x v="127"/>
    <x v="22"/>
    <s v="YELLOWEEN"/>
    <m/>
    <s v="14.16"/>
    <n v="300"/>
    <s v="NL2017"/>
    <m/>
    <n v="34"/>
    <n v="10200"/>
    <x v="26"/>
    <n v="30600000"/>
    <x v="0"/>
    <x v="7"/>
    <d v="2019-03-10T00:00:00"/>
    <d v="2019-03-10T00:00:00"/>
    <s v="07/2AL"/>
    <m/>
    <m/>
    <m/>
    <d v="2019-03-12T00:00:00"/>
    <n v="10200"/>
    <m/>
    <m/>
    <m/>
    <m/>
    <m/>
    <m/>
    <n v="10200"/>
    <n v="0"/>
    <n v="0"/>
    <m/>
  </r>
  <r>
    <s v="10B/2019"/>
    <d v="2018-08-24T00:00:00"/>
    <s v="THANH THÚY"/>
    <s v="TB02"/>
    <x v="127"/>
    <x v="0"/>
    <s v="YELLOWEEN"/>
    <m/>
    <s v="12.14"/>
    <n v="400"/>
    <s v="NL2018"/>
    <m/>
    <n v="25"/>
    <n v="10000"/>
    <x v="0"/>
    <n v="26000000"/>
    <x v="0"/>
    <x v="0"/>
    <d v="2019-03-20T00:00:00"/>
    <d v="2019-03-20T00:00:00"/>
    <s v="15/2AL"/>
    <s v="CONT 12/2019"/>
    <m/>
    <m/>
    <d v="2019-02-19T00:00:00"/>
    <n v="10000"/>
    <m/>
    <m/>
    <m/>
    <m/>
    <m/>
    <m/>
    <n v="10000"/>
    <n v="0"/>
    <n v="0"/>
    <d v="2020-02-25T00:00:00"/>
  </r>
  <r>
    <s v="10B/2019"/>
    <d v="2018-08-24T00:00:00"/>
    <s v="THANH THÚY"/>
    <s v="TB02"/>
    <x v="127"/>
    <x v="35"/>
    <s v="TARRANGO"/>
    <m/>
    <s v="14.16"/>
    <n v="300"/>
    <s v="NL2018"/>
    <m/>
    <n v="67"/>
    <n v="20100"/>
    <x v="188"/>
    <n v="90349500"/>
    <x v="0"/>
    <x v="6"/>
    <d v="2019-02-19T00:00:00"/>
    <d v="2019-02-19T00:00:00"/>
    <s v="15/1AL"/>
    <m/>
    <m/>
    <m/>
    <d v="2019-02-19T00:00:00"/>
    <n v="20100"/>
    <m/>
    <m/>
    <m/>
    <m/>
    <m/>
    <m/>
    <n v="20100"/>
    <n v="0"/>
    <n v="0"/>
    <d v="2020-02-25T00:00:00"/>
  </r>
  <r>
    <s v="10B/2019"/>
    <d v="2018-08-24T00:00:00"/>
    <s v="THANH THÚY"/>
    <s v="TB02"/>
    <x v="127"/>
    <x v="35"/>
    <s v="TARRANGO"/>
    <m/>
    <s v="14.16"/>
    <n v="300"/>
    <s v="NL2018"/>
    <m/>
    <n v="84"/>
    <n v="25200"/>
    <x v="14"/>
    <n v="113400000"/>
    <x v="0"/>
    <x v="0"/>
    <d v="2019-03-20T00:00:00"/>
    <d v="2019-03-20T00:00:00"/>
    <s v="15/2AL"/>
    <s v="CONT 10/2019"/>
    <m/>
    <m/>
    <d v="2019-03-19T00:00:00"/>
    <n v="25200"/>
    <m/>
    <m/>
    <m/>
    <m/>
    <m/>
    <m/>
    <n v="25200"/>
    <n v="0"/>
    <n v="0"/>
    <d v="2020-02-25T00:00:00"/>
  </r>
  <r>
    <s v="10B/2019"/>
    <d v="2018-08-24T00:00:00"/>
    <s v="THANH THÚY"/>
    <s v="TB02"/>
    <x v="127"/>
    <x v="188"/>
    <s v="SEDONA"/>
    <m/>
    <s v="16.18"/>
    <n v="200"/>
    <s v="NL2018"/>
    <m/>
    <n v="59"/>
    <n v="11800"/>
    <x v="8"/>
    <n v="59000000"/>
    <x v="0"/>
    <x v="10"/>
    <d v="2019-04-03T00:00:00"/>
    <d v="2019-04-03T00:00:00"/>
    <s v="30/2AL"/>
    <s v="CONT 14/2019"/>
    <m/>
    <m/>
    <d v="2019-04-03T00:00:00"/>
    <n v="11800"/>
    <m/>
    <m/>
    <m/>
    <m/>
    <m/>
    <m/>
    <n v="11800"/>
    <n v="0"/>
    <n v="0"/>
    <d v="2020-02-25T00:00:00"/>
  </r>
  <r>
    <s v="10B/2019"/>
    <d v="2018-08-24T00:00:00"/>
    <s v="THANH THÚY"/>
    <s v="TB02"/>
    <x v="127"/>
    <x v="176"/>
    <s v="SEDONA"/>
    <m/>
    <s v="18.20"/>
    <n v="150"/>
    <s v="NL2018"/>
    <m/>
    <n v="134"/>
    <n v="20100"/>
    <x v="95"/>
    <n v="132660000"/>
    <x v="2"/>
    <x v="63"/>
    <d v="2019-08-05T00:00:00"/>
    <d v="2019-08-05T00:00:00"/>
    <s v="1/7AL. TRỒNG RẰM T10"/>
    <m/>
    <m/>
    <m/>
    <m/>
    <n v="0"/>
    <m/>
    <m/>
    <m/>
    <m/>
    <m/>
    <m/>
    <n v="0"/>
    <n v="20100"/>
    <n v="132660000"/>
    <d v="2020-02-25T00:00:00"/>
  </r>
  <r>
    <s v="148B/2019"/>
    <d v="2018-08-24T00:00:00"/>
    <s v="THANH THÚY"/>
    <s v="TB02"/>
    <x v="127"/>
    <x v="105"/>
    <s v="SEDONA"/>
    <m/>
    <s v="20.22"/>
    <n v="125"/>
    <s v="NL2018"/>
    <m/>
    <n v="40"/>
    <n v="5000"/>
    <x v="35"/>
    <n v="53000000"/>
    <x v="2"/>
    <x v="2"/>
    <d v="2019-09-29T00:00:00"/>
    <d v="2019-09-29T00:00:00"/>
    <s v="TẾT"/>
    <m/>
    <m/>
    <m/>
    <m/>
    <n v="0"/>
    <m/>
    <m/>
    <m/>
    <m/>
    <m/>
    <m/>
    <n v="0"/>
    <n v="5000"/>
    <n v="53000000"/>
    <d v="2020-02-25T00:00:00"/>
  </r>
  <r>
    <s v="10B/2019"/>
    <d v="2018-08-24T00:00:00"/>
    <s v="THANH THÚY"/>
    <s v="TB02"/>
    <x v="127"/>
    <x v="106"/>
    <s v="MANISSA"/>
    <s v="PR"/>
    <s v="16.18"/>
    <n v="200"/>
    <s v="NL2018"/>
    <m/>
    <n v="50"/>
    <n v="10000"/>
    <x v="51"/>
    <n v="60000000"/>
    <x v="0"/>
    <x v="10"/>
    <d v="2019-04-03T00:00:00"/>
    <d v="2019-04-03T00:00:00"/>
    <s v="30/2AL"/>
    <s v="CONT 16/2019"/>
    <m/>
    <m/>
    <d v="2019-04-02T00:00:00"/>
    <n v="10000"/>
    <m/>
    <m/>
    <m/>
    <m/>
    <m/>
    <m/>
    <n v="10000"/>
    <n v="0"/>
    <n v="0"/>
    <d v="2020-02-25T00:00:00"/>
  </r>
  <r>
    <s v="148B/2019"/>
    <d v="2018-08-24T00:00:00"/>
    <s v="THANH THÚY"/>
    <s v="TB02"/>
    <x v="127"/>
    <x v="65"/>
    <s v="MANISSA"/>
    <m/>
    <s v="20.22"/>
    <n v="125"/>
    <s v="NL2018"/>
    <m/>
    <n v="40"/>
    <n v="5000"/>
    <x v="61"/>
    <n v="67500000"/>
    <x v="2"/>
    <x v="2"/>
    <d v="2019-09-29T00:00:00"/>
    <d v="2019-09-29T00:00:00"/>
    <s v="TẾT"/>
    <m/>
    <m/>
    <m/>
    <m/>
    <n v="0"/>
    <m/>
    <m/>
    <m/>
    <m/>
    <m/>
    <m/>
    <n v="0"/>
    <n v="5000"/>
    <n v="67500000"/>
    <d v="2020-02-25T00:00:00"/>
  </r>
  <r>
    <s v="148B/2019"/>
    <d v="2018-08-24T00:00:00"/>
    <s v="THANH THÚY"/>
    <s v="TB02"/>
    <x v="127"/>
    <x v="67"/>
    <s v="MANISSA"/>
    <m/>
    <s v="22.24"/>
    <n v="100"/>
    <s v="NL2018"/>
    <m/>
    <n v="100"/>
    <n v="10000"/>
    <x v="15"/>
    <n v="152000000"/>
    <x v="2"/>
    <x v="2"/>
    <d v="2019-09-29T00:00:00"/>
    <d v="2019-09-29T00:00:00"/>
    <s v="TẾT"/>
    <m/>
    <m/>
    <m/>
    <m/>
    <n v="0"/>
    <m/>
    <m/>
    <m/>
    <m/>
    <m/>
    <m/>
    <n v="0"/>
    <n v="10000"/>
    <n v="152000000"/>
    <d v="2020-02-25T00:00:00"/>
  </r>
  <r>
    <s v="10B/2019"/>
    <d v="2018-08-24T00:00:00"/>
    <s v="THANH THÚY"/>
    <s v="TB02"/>
    <x v="127"/>
    <x v="187"/>
    <s v="LESOTHO"/>
    <m/>
    <s v="18.20"/>
    <n v="150"/>
    <s v="NL2017"/>
    <m/>
    <n v="53"/>
    <n v="7950"/>
    <x v="43"/>
    <n v="38160000"/>
    <x v="0"/>
    <x v="26"/>
    <s v=""/>
    <s v=""/>
    <m/>
    <m/>
    <m/>
    <m/>
    <d v="2019-04-03T00:00:00"/>
    <n v="7950"/>
    <m/>
    <m/>
    <m/>
    <m/>
    <m/>
    <m/>
    <n v="7950"/>
    <n v="0"/>
    <n v="0"/>
    <d v="2020-02-25T00:00:00"/>
  </r>
  <r>
    <s v="10B/2019"/>
    <d v="2018-08-24T00:00:00"/>
    <s v="THANH THÚY"/>
    <s v="TB02"/>
    <x v="127"/>
    <x v="6"/>
    <s v="CONCADOR "/>
    <m/>
    <s v="16.18"/>
    <n v="200"/>
    <s v="NL2018"/>
    <m/>
    <n v="50"/>
    <n v="10000"/>
    <x v="29"/>
    <n v="46000000"/>
    <x v="0"/>
    <x v="6"/>
    <d v="2019-02-19T00:00:00"/>
    <d v="2019-02-19T00:00:00"/>
    <s v="15/1AL"/>
    <m/>
    <m/>
    <m/>
    <d v="2019-02-19T00:00:00"/>
    <n v="10000"/>
    <m/>
    <m/>
    <m/>
    <m/>
    <m/>
    <m/>
    <n v="10000"/>
    <n v="0"/>
    <n v="0"/>
    <d v="2020-02-25T00:00:00"/>
  </r>
  <r>
    <s v="10B/2019"/>
    <d v="2018-08-24T00:00:00"/>
    <s v="THANH THÚY"/>
    <s v="TB02"/>
    <x v="127"/>
    <x v="6"/>
    <s v="CONCADOR "/>
    <m/>
    <s v="16.18"/>
    <n v="200"/>
    <s v="NL2018"/>
    <m/>
    <n v="50"/>
    <n v="10000"/>
    <x v="12"/>
    <n v="47000000"/>
    <x v="0"/>
    <x v="10"/>
    <d v="2019-04-03T00:00:00"/>
    <d v="2019-04-03T00:00:00"/>
    <s v="30/2AL"/>
    <s v="CONT 17/2019"/>
    <m/>
    <m/>
    <d v="2019-04-02T00:00:00"/>
    <n v="10000"/>
    <m/>
    <m/>
    <m/>
    <m/>
    <m/>
    <m/>
    <n v="10000"/>
    <n v="0"/>
    <n v="0"/>
    <d v="2020-02-25T00:00:00"/>
  </r>
  <r>
    <s v="10B/2019"/>
    <d v="2018-08-24T00:00:00"/>
    <s v="THANH THÚY"/>
    <s v="TB02"/>
    <x v="127"/>
    <x v="6"/>
    <s v="CONCADOR "/>
    <m/>
    <s v="16.18"/>
    <n v="200"/>
    <s v="NL2018"/>
    <m/>
    <n v="0"/>
    <n v="0"/>
    <x v="12"/>
    <n v="0"/>
    <x v="1"/>
    <x v="26"/>
    <s v=""/>
    <s v=""/>
    <m/>
    <m/>
    <m/>
    <m/>
    <m/>
    <n v="0"/>
    <m/>
    <m/>
    <m/>
    <m/>
    <m/>
    <m/>
    <n v="0"/>
    <n v="0"/>
    <n v="0"/>
    <d v="2020-02-26T00:00:00"/>
  </r>
  <r>
    <s v="10B/2019"/>
    <d v="2018-08-24T00:00:00"/>
    <s v="THANH THÚY"/>
    <s v="TB02"/>
    <x v="127"/>
    <x v="81"/>
    <s v="BACARDI"/>
    <m/>
    <s v="16.18"/>
    <n v="200"/>
    <s v="NL2018"/>
    <m/>
    <n v="50"/>
    <n v="10000"/>
    <x v="75"/>
    <n v="63000000"/>
    <x v="0"/>
    <x v="0"/>
    <d v="2019-03-20T00:00:00"/>
    <d v="2019-03-20T00:00:00"/>
    <s v="15/2AL"/>
    <s v="CONT 11/2019"/>
    <m/>
    <m/>
    <d v="2019-03-19T00:00:00"/>
    <n v="10000"/>
    <m/>
    <m/>
    <m/>
    <m/>
    <m/>
    <m/>
    <n v="10000"/>
    <n v="0"/>
    <n v="0"/>
    <d v="2020-02-25T00:00:00"/>
  </r>
  <r>
    <m/>
    <m/>
    <m/>
    <m/>
    <x v="128"/>
    <x v="3"/>
    <s v="ROBINA"/>
    <m/>
    <s v="16.18"/>
    <s v="200"/>
    <s v="NL2018"/>
    <m/>
    <n v="97"/>
    <n v="19400"/>
    <x v="54"/>
    <m/>
    <x v="3"/>
    <x v="26"/>
    <s v=""/>
    <s v=""/>
    <m/>
    <m/>
    <m/>
    <m/>
    <m/>
    <m/>
    <m/>
    <m/>
    <m/>
    <m/>
    <m/>
    <m/>
    <n v="0"/>
    <n v="19400"/>
    <n v="0"/>
    <m/>
  </r>
  <r>
    <m/>
    <m/>
    <m/>
    <m/>
    <x v="128"/>
    <x v="5"/>
    <s v="ROBINA"/>
    <m/>
    <s v="18.20"/>
    <s v="150"/>
    <s v="NL2018"/>
    <m/>
    <n v="9"/>
    <n v="1350"/>
    <x v="54"/>
    <m/>
    <x v="3"/>
    <x v="26"/>
    <m/>
    <m/>
    <m/>
    <m/>
    <m/>
    <m/>
    <m/>
    <m/>
    <m/>
    <m/>
    <m/>
    <m/>
    <m/>
    <m/>
    <n v="0"/>
    <n v="1350"/>
    <n v="0"/>
    <m/>
  </r>
  <r>
    <m/>
    <m/>
    <m/>
    <m/>
    <x v="128"/>
    <x v="100"/>
    <s v="FERRERO"/>
    <m/>
    <s v="13.14"/>
    <s v="400"/>
    <s v="NL2018"/>
    <m/>
    <n v="38"/>
    <n v="15200"/>
    <x v="54"/>
    <m/>
    <x v="3"/>
    <x v="26"/>
    <s v=""/>
    <s v=""/>
    <m/>
    <m/>
    <m/>
    <m/>
    <m/>
    <m/>
    <m/>
    <m/>
    <m/>
    <m/>
    <m/>
    <m/>
    <n v="0"/>
    <n v="15200"/>
    <n v="0"/>
    <m/>
  </r>
  <r>
    <m/>
    <m/>
    <m/>
    <m/>
    <x v="129"/>
    <x v="61"/>
    <s v="NASHVILLE"/>
    <m/>
    <s v="14.16"/>
    <s v="300"/>
    <s v="NL2018"/>
    <m/>
    <n v="78"/>
    <n v="23400"/>
    <x v="54"/>
    <m/>
    <x v="4"/>
    <x v="26"/>
    <s v=""/>
    <s v=""/>
    <m/>
    <m/>
    <m/>
    <m/>
    <m/>
    <m/>
    <m/>
    <m/>
    <m/>
    <m/>
    <m/>
    <m/>
    <n v="0"/>
    <n v="23400"/>
    <n v="0"/>
    <m/>
  </r>
  <r>
    <m/>
    <m/>
    <m/>
    <m/>
    <x v="129"/>
    <x v="79"/>
    <s v="MANISSA"/>
    <m/>
    <s v="16.18"/>
    <s v="200"/>
    <s v="NL2018"/>
    <m/>
    <n v="20"/>
    <n v="4000"/>
    <x v="54"/>
    <m/>
    <x v="4"/>
    <x v="26"/>
    <m/>
    <m/>
    <m/>
    <m/>
    <m/>
    <m/>
    <m/>
    <m/>
    <m/>
    <m/>
    <m/>
    <m/>
    <m/>
    <m/>
    <n v="0"/>
    <n v="4000"/>
    <n v="0"/>
    <m/>
  </r>
  <r>
    <m/>
    <m/>
    <m/>
    <m/>
    <x v="129"/>
    <x v="108"/>
    <s v="FELINO"/>
    <m/>
    <s v="16.18"/>
    <s v="200"/>
    <s v="NL2018"/>
    <m/>
    <n v="15"/>
    <n v="3000"/>
    <x v="54"/>
    <m/>
    <x v="4"/>
    <x v="26"/>
    <m/>
    <m/>
    <m/>
    <m/>
    <m/>
    <m/>
    <m/>
    <m/>
    <m/>
    <m/>
    <m/>
    <m/>
    <m/>
    <m/>
    <n v="0"/>
    <n v="3000"/>
    <n v="0"/>
    <m/>
  </r>
  <r>
    <m/>
    <m/>
    <m/>
    <m/>
    <x v="129"/>
    <x v="189"/>
    <s v="FERRERO"/>
    <m/>
    <s v="14.16"/>
    <s v="300"/>
    <s v="NL2018"/>
    <m/>
    <n v="10"/>
    <n v="3000"/>
    <x v="54"/>
    <m/>
    <x v="4"/>
    <x v="26"/>
    <m/>
    <m/>
    <m/>
    <m/>
    <m/>
    <m/>
    <m/>
    <m/>
    <m/>
    <m/>
    <m/>
    <m/>
    <m/>
    <m/>
    <n v="0"/>
    <n v="3000"/>
    <n v="0"/>
    <m/>
  </r>
  <r>
    <m/>
    <m/>
    <m/>
    <m/>
    <x v="129"/>
    <x v="94"/>
    <s v="MALDANO"/>
    <m/>
    <s v="15.16"/>
    <s v="300"/>
    <s v="NL2018"/>
    <m/>
    <n v="70"/>
    <n v="21000"/>
    <x v="54"/>
    <m/>
    <x v="4"/>
    <x v="26"/>
    <m/>
    <m/>
    <m/>
    <m/>
    <m/>
    <m/>
    <m/>
    <m/>
    <m/>
    <m/>
    <m/>
    <m/>
    <m/>
    <m/>
    <n v="0"/>
    <n v="21000"/>
    <n v="0"/>
    <m/>
  </r>
  <r>
    <m/>
    <m/>
    <m/>
    <m/>
    <x v="129"/>
    <x v="76"/>
    <s v="NATALIA"/>
    <s v="RL"/>
    <s v="12.14"/>
    <s v="400"/>
    <s v="NL2018"/>
    <m/>
    <n v="5"/>
    <n v="2000"/>
    <x v="54"/>
    <m/>
    <x v="4"/>
    <x v="26"/>
    <m/>
    <m/>
    <m/>
    <m/>
    <m/>
    <m/>
    <m/>
    <m/>
    <m/>
    <m/>
    <m/>
    <m/>
    <m/>
    <m/>
    <n v="0"/>
    <n v="2000"/>
    <n v="0"/>
    <m/>
  </r>
  <r>
    <m/>
    <m/>
    <m/>
    <m/>
    <x v="129"/>
    <x v="99"/>
    <s v="ROBINA"/>
    <m/>
    <s v="14.16"/>
    <s v="300"/>
    <s v="NL2018"/>
    <m/>
    <n v="220"/>
    <n v="66000"/>
    <x v="54"/>
    <m/>
    <x v="4"/>
    <x v="26"/>
    <m/>
    <m/>
    <m/>
    <m/>
    <m/>
    <m/>
    <m/>
    <m/>
    <m/>
    <m/>
    <m/>
    <m/>
    <m/>
    <m/>
    <n v="0"/>
    <n v="66000"/>
    <n v="0"/>
    <m/>
  </r>
  <r>
    <m/>
    <m/>
    <m/>
    <m/>
    <x v="129"/>
    <x v="3"/>
    <s v="ROBINA"/>
    <m/>
    <s v="16.18"/>
    <s v="200"/>
    <s v="NL2018"/>
    <m/>
    <n v="169.5"/>
    <n v="33900"/>
    <x v="54"/>
    <m/>
    <x v="4"/>
    <x v="26"/>
    <m/>
    <m/>
    <m/>
    <m/>
    <m/>
    <m/>
    <m/>
    <m/>
    <m/>
    <m/>
    <m/>
    <m/>
    <m/>
    <m/>
    <n v="0"/>
    <n v="33900"/>
    <n v="0"/>
    <m/>
  </r>
  <r>
    <m/>
    <m/>
    <m/>
    <m/>
    <x v="129"/>
    <x v="35"/>
    <s v="TARRANGO"/>
    <m/>
    <s v="14.16"/>
    <s v="300"/>
    <s v="NL2018"/>
    <m/>
    <n v="1"/>
    <n v="300"/>
    <x v="54"/>
    <m/>
    <x v="4"/>
    <x v="26"/>
    <m/>
    <m/>
    <m/>
    <m/>
    <m/>
    <m/>
    <m/>
    <m/>
    <m/>
    <m/>
    <m/>
    <m/>
    <m/>
    <m/>
    <n v="0"/>
    <n v="300"/>
    <n v="0"/>
    <m/>
  </r>
  <r>
    <m/>
    <m/>
    <m/>
    <m/>
    <x v="129"/>
    <x v="78"/>
    <s v="YELLOWEEN"/>
    <m/>
    <s v="14.16"/>
    <s v="300"/>
    <s v="NL2018"/>
    <m/>
    <n v="14"/>
    <n v="4200"/>
    <x v="54"/>
    <m/>
    <x v="4"/>
    <x v="26"/>
    <m/>
    <m/>
    <m/>
    <m/>
    <m/>
    <m/>
    <m/>
    <m/>
    <m/>
    <m/>
    <m/>
    <m/>
    <m/>
    <m/>
    <n v="0"/>
    <n v="4200"/>
    <n v="0"/>
    <m/>
  </r>
  <r>
    <m/>
    <m/>
    <m/>
    <m/>
    <x v="130"/>
    <x v="5"/>
    <s v="ROBINA"/>
    <m/>
    <s v="18.20"/>
    <s v="150"/>
    <s v="NL2018"/>
    <m/>
    <n v="79"/>
    <n v="11850"/>
    <x v="54"/>
    <m/>
    <x v="4"/>
    <x v="26"/>
    <m/>
    <m/>
    <m/>
    <m/>
    <m/>
    <m/>
    <m/>
    <m/>
    <m/>
    <m/>
    <m/>
    <m/>
    <m/>
    <m/>
    <n v="0"/>
    <n v="11850"/>
    <n v="0"/>
    <m/>
  </r>
  <r>
    <m/>
    <m/>
    <m/>
    <m/>
    <x v="131"/>
    <x v="10"/>
    <s v="TARRANGO"/>
    <m/>
    <s v="16.18"/>
    <s v="200"/>
    <s v="NL2018"/>
    <m/>
    <n v="3"/>
    <n v="600"/>
    <x v="54"/>
    <m/>
    <x v="3"/>
    <x v="26"/>
    <m/>
    <m/>
    <m/>
    <m/>
    <m/>
    <m/>
    <m/>
    <m/>
    <m/>
    <m/>
    <m/>
    <m/>
    <m/>
    <m/>
    <n v="0"/>
    <n v="600"/>
    <n v="0"/>
    <m/>
  </r>
  <r>
    <m/>
    <m/>
    <m/>
    <m/>
    <x v="131"/>
    <x v="5"/>
    <s v="ROBINA"/>
    <m/>
    <s v="18.20"/>
    <s v="150"/>
    <s v="NL2018"/>
    <m/>
    <n v="9"/>
    <n v="1350"/>
    <x v="54"/>
    <m/>
    <x v="3"/>
    <x v="26"/>
    <s v=""/>
    <s v=""/>
    <m/>
    <m/>
    <m/>
    <m/>
    <m/>
    <m/>
    <m/>
    <m/>
    <m/>
    <m/>
    <m/>
    <m/>
    <n v="0"/>
    <n v="1350"/>
    <n v="0"/>
    <m/>
  </r>
  <r>
    <m/>
    <m/>
    <m/>
    <m/>
    <x v="131"/>
    <x v="3"/>
    <s v="ROBINA"/>
    <m/>
    <s v="16.18"/>
    <s v="200"/>
    <s v="NL2018"/>
    <m/>
    <n v="18"/>
    <n v="3600"/>
    <x v="54"/>
    <m/>
    <x v="3"/>
    <x v="26"/>
    <s v=""/>
    <s v=""/>
    <m/>
    <m/>
    <m/>
    <m/>
    <m/>
    <m/>
    <m/>
    <m/>
    <m/>
    <m/>
    <m/>
    <m/>
    <n v="0"/>
    <n v="3600"/>
    <n v="0"/>
    <m/>
  </r>
  <r>
    <m/>
    <m/>
    <m/>
    <m/>
    <x v="131"/>
    <x v="42"/>
    <s v="PAVIA"/>
    <m/>
    <s v="14.16"/>
    <s v="300"/>
    <s v="NL2018"/>
    <m/>
    <n v="1"/>
    <n v="300"/>
    <x v="54"/>
    <m/>
    <x v="3"/>
    <x v="26"/>
    <m/>
    <m/>
    <m/>
    <m/>
    <m/>
    <m/>
    <m/>
    <m/>
    <m/>
    <m/>
    <m/>
    <m/>
    <m/>
    <m/>
    <n v="0"/>
    <n v="300"/>
    <n v="0"/>
    <m/>
  </r>
  <r>
    <m/>
    <m/>
    <m/>
    <m/>
    <x v="131"/>
    <x v="28"/>
    <s v="LARGO"/>
    <m/>
    <s v="16.18"/>
    <s v="200"/>
    <s v="NL2018"/>
    <m/>
    <n v="5"/>
    <n v="1000"/>
    <x v="54"/>
    <m/>
    <x v="3"/>
    <x v="26"/>
    <m/>
    <m/>
    <m/>
    <m/>
    <m/>
    <m/>
    <m/>
    <m/>
    <m/>
    <m/>
    <m/>
    <m/>
    <m/>
    <m/>
    <n v="0"/>
    <n v="1000"/>
    <n v="0"/>
    <m/>
  </r>
  <r>
    <m/>
    <m/>
    <m/>
    <m/>
    <x v="131"/>
    <x v="6"/>
    <s v="CONCADOR"/>
    <m/>
    <s v="16.18"/>
    <s v="200"/>
    <s v="NL2018"/>
    <m/>
    <n v="10"/>
    <n v="2000"/>
    <x v="54"/>
    <m/>
    <x v="3"/>
    <x v="26"/>
    <s v=""/>
    <s v=""/>
    <m/>
    <m/>
    <m/>
    <m/>
    <m/>
    <m/>
    <m/>
    <m/>
    <m/>
    <m/>
    <m/>
    <m/>
    <n v="0"/>
    <n v="2000"/>
    <n v="0"/>
    <m/>
  </r>
  <r>
    <s v="216A/2019"/>
    <d v="2019-05-09T00:00:00"/>
    <s v="KIỀU THY"/>
    <s v="HY01"/>
    <x v="132"/>
    <x v="66"/>
    <s v="TARRANGO"/>
    <m/>
    <s v="20.22"/>
    <s v="125"/>
    <s v="NL2018"/>
    <m/>
    <n v="24"/>
    <n v="3000"/>
    <x v="28"/>
    <n v="33000000"/>
    <x v="2"/>
    <x v="2"/>
    <d v="2019-09-29T00:00:00"/>
    <d v="2019-09-29T00:00:00"/>
    <s v="TẾT"/>
    <m/>
    <m/>
    <m/>
    <m/>
    <m/>
    <m/>
    <m/>
    <m/>
    <m/>
    <m/>
    <m/>
    <n v="0"/>
    <n v="3000"/>
    <n v="33000000"/>
    <m/>
  </r>
  <r>
    <s v="216A/2019"/>
    <d v="2019-05-08T00:00:00"/>
    <s v="KIỀU THY"/>
    <s v="HY01"/>
    <x v="132"/>
    <x v="65"/>
    <s v="MANISSA"/>
    <m/>
    <s v="20.22"/>
    <s v="125"/>
    <s v="NL2018"/>
    <m/>
    <n v="40"/>
    <n v="5000"/>
    <x v="169"/>
    <n v="68000000"/>
    <x v="2"/>
    <x v="2"/>
    <d v="2019-09-29T00:00:00"/>
    <d v="2019-09-29T00:00:00"/>
    <s v="TẾT"/>
    <m/>
    <m/>
    <m/>
    <m/>
    <m/>
    <m/>
    <m/>
    <m/>
    <m/>
    <m/>
    <m/>
    <n v="0"/>
    <n v="5000"/>
    <n v="68000000"/>
    <m/>
  </r>
  <r>
    <s v="170A/2019"/>
    <d v="2019-04-04T00:00:00"/>
    <s v="KIỀU THY"/>
    <s v="TH12"/>
    <x v="133"/>
    <x v="65"/>
    <s v="MANISSA"/>
    <m/>
    <s v="20.22"/>
    <s v="125"/>
    <s v="NL2018"/>
    <m/>
    <n v="120"/>
    <n v="15000"/>
    <x v="169"/>
    <n v="204000000"/>
    <x v="2"/>
    <x v="2"/>
    <d v="2019-09-29T00:00:00"/>
    <d v="2019-09-29T00:00:00"/>
    <s v="TẾT"/>
    <m/>
    <m/>
    <m/>
    <m/>
    <m/>
    <m/>
    <m/>
    <m/>
    <m/>
    <m/>
    <m/>
    <n v="0"/>
    <n v="15000"/>
    <n v="204000000"/>
    <m/>
  </r>
  <r>
    <s v="4B/2019"/>
    <d v="2018-12-27T00:00:00"/>
    <s v="THANH THÚY"/>
    <s v="KK01"/>
    <x v="134"/>
    <x v="77"/>
    <s v="YELLOWEEN"/>
    <s v="DN"/>
    <s v="16.18"/>
    <n v="200"/>
    <s v="NL2018"/>
    <m/>
    <n v="49"/>
    <n v="9800"/>
    <x v="10"/>
    <n v="53900000"/>
    <x v="0"/>
    <x v="33"/>
    <d v="2019-05-19T00:00:00"/>
    <d v="2019-05-19T00:00:00"/>
    <s v="15/4AL"/>
    <m/>
    <m/>
    <m/>
    <d v="2019-06-17T00:00:00"/>
    <n v="9800"/>
    <m/>
    <m/>
    <m/>
    <m/>
    <m/>
    <m/>
    <n v="9800"/>
    <n v="0"/>
    <n v="0"/>
    <m/>
  </r>
  <r>
    <s v="4B/2019"/>
    <d v="2018-12-27T00:00:00"/>
    <s v="THANH THÚY"/>
    <s v="KK01"/>
    <x v="134"/>
    <x v="0"/>
    <s v="YELLOWEEN"/>
    <m/>
    <s v="12.14"/>
    <n v="400"/>
    <s v="NL2018"/>
    <m/>
    <n v="71"/>
    <n v="28400"/>
    <x v="0"/>
    <n v="73840000"/>
    <x v="0"/>
    <x v="33"/>
    <d v="2019-05-19T00:00:00"/>
    <d v="2019-05-19T00:00:00"/>
    <s v="15/4AL"/>
    <m/>
    <m/>
    <m/>
    <d v="2019-04-29T00:00:00"/>
    <n v="3200"/>
    <d v="2019-05-23T00:00:00"/>
    <n v="25200"/>
    <m/>
    <m/>
    <m/>
    <m/>
    <n v="28400"/>
    <n v="0"/>
    <n v="0"/>
    <d v="2020-02-26T00:00:00"/>
  </r>
  <r>
    <s v="4B/2019"/>
    <d v="2018-12-27T00:00:00"/>
    <s v="THANH THÚY"/>
    <s v="KK01"/>
    <x v="134"/>
    <x v="0"/>
    <s v="YELLOWEEN"/>
    <m/>
    <s v="12.14"/>
    <n v="400"/>
    <s v="NL2018"/>
    <m/>
    <n v="12"/>
    <n v="4800"/>
    <x v="1"/>
    <n v="12960000"/>
    <x v="0"/>
    <x v="33"/>
    <d v="2019-05-19T00:00:00"/>
    <d v="2019-05-19T00:00:00"/>
    <m/>
    <m/>
    <m/>
    <m/>
    <d v="2019-06-17T00:00:00"/>
    <n v="4800"/>
    <m/>
    <m/>
    <m/>
    <m/>
    <m/>
    <m/>
    <n v="4800"/>
    <n v="0"/>
    <n v="0"/>
    <m/>
  </r>
  <r>
    <s v="4B/2019"/>
    <d v="2018-12-27T00:00:00"/>
    <s v="THANH THÚY"/>
    <s v="KK01"/>
    <x v="134"/>
    <x v="0"/>
    <s v="YELLOWEEN"/>
    <m/>
    <s v="12.14"/>
    <n v="400"/>
    <s v="NL2018"/>
    <m/>
    <n v="117"/>
    <n v="46800"/>
    <x v="0"/>
    <n v="121680000"/>
    <x v="0"/>
    <x v="10"/>
    <d v="2019-04-03T00:00:00"/>
    <d v="2019-04-03T00:00:00"/>
    <s v="30/2AL"/>
    <s v="CONT 18/2019"/>
    <m/>
    <m/>
    <d v="2019-03-21T00:00:00"/>
    <n v="10000"/>
    <d v="2019-04-08T00:00:00"/>
    <n v="20000"/>
    <d v="2019-04-29T00:00:00"/>
    <n v="16800"/>
    <m/>
    <m/>
    <n v="46800"/>
    <n v="0"/>
    <n v="0"/>
    <d v="2020-02-26T00:00:00"/>
  </r>
  <r>
    <s v="4B/2019"/>
    <d v="2018-12-27T00:00:00"/>
    <s v="THANH THÚY"/>
    <s v="KK01"/>
    <x v="134"/>
    <x v="5"/>
    <s v="ROBINA"/>
    <m/>
    <s v="18.20"/>
    <n v="150"/>
    <s v="NL2018"/>
    <m/>
    <n v="81"/>
    <n v="12150"/>
    <x v="42"/>
    <n v="74115000"/>
    <x v="0"/>
    <x v="6"/>
    <d v="2019-02-19T00:00:00"/>
    <d v="2019-02-19T00:00:00"/>
    <s v="15/1AL"/>
    <m/>
    <m/>
    <m/>
    <d v="2019-02-25T00:00:00"/>
    <n v="10050"/>
    <d v="2019-02-26T00:00:00"/>
    <n v="2100"/>
    <m/>
    <m/>
    <m/>
    <m/>
    <n v="12150"/>
    <n v="0"/>
    <n v="0"/>
    <d v="2020-02-26T00:00:00"/>
  </r>
  <r>
    <s v="4B/2019"/>
    <d v="2018-12-27T00:00:00"/>
    <s v="THANH THÚY"/>
    <s v="KK01"/>
    <x v="134"/>
    <x v="5"/>
    <s v="ROBINA"/>
    <m/>
    <s v="18.20"/>
    <n v="150"/>
    <s v="NL2018"/>
    <m/>
    <n v="138"/>
    <n v="20700"/>
    <x v="42"/>
    <n v="126270000"/>
    <x v="0"/>
    <x v="22"/>
    <d v="2019-02-27T00:00:00"/>
    <d v="2019-02-27T00:00:00"/>
    <s v="23/1AL"/>
    <m/>
    <m/>
    <m/>
    <d v="2019-03-19T00:00:00"/>
    <n v="20700"/>
    <m/>
    <m/>
    <m/>
    <m/>
    <m/>
    <m/>
    <n v="20700"/>
    <n v="0"/>
    <n v="0"/>
    <d v="2020-02-26T00:00:00"/>
  </r>
  <r>
    <s v="4B/2019"/>
    <d v="2018-12-27T00:00:00"/>
    <s v="THANH THÚY"/>
    <s v="KK01"/>
    <x v="134"/>
    <x v="5"/>
    <s v="ROBINA"/>
    <m/>
    <s v="18.20"/>
    <n v="150"/>
    <s v="NL2018"/>
    <m/>
    <n v="92"/>
    <n v="13800"/>
    <x v="42"/>
    <n v="84180000"/>
    <x v="0"/>
    <x v="0"/>
    <d v="2019-03-20T00:00:00"/>
    <d v="2019-03-20T00:00:00"/>
    <s v="15/2AL"/>
    <s v="CONT 10/2019"/>
    <m/>
    <m/>
    <d v="2019-04-15T00:00:00"/>
    <n v="13800"/>
    <m/>
    <m/>
    <m/>
    <m/>
    <m/>
    <m/>
    <n v="13800"/>
    <n v="0"/>
    <n v="0"/>
    <m/>
  </r>
  <r>
    <s v="4B/2019"/>
    <d v="2018-12-27T00:00:00"/>
    <s v="THANH THÚY"/>
    <s v="KK01"/>
    <x v="134"/>
    <x v="5"/>
    <s v="ROBINA"/>
    <m/>
    <s v="18.20"/>
    <n v="150"/>
    <s v="NL2018"/>
    <m/>
    <n v="134"/>
    <n v="20100"/>
    <x v="75"/>
    <n v="126630000"/>
    <x v="0"/>
    <x v="5"/>
    <d v="2019-04-19T00:00:00"/>
    <d v="2019-04-19T00:00:00"/>
    <s v="15/3AL"/>
    <s v="CONT 25/2019"/>
    <m/>
    <m/>
    <d v="2019-05-19T00:00:00"/>
    <n v="10050"/>
    <d v="2019-05-23T00:00:00"/>
    <n v="10050"/>
    <m/>
    <m/>
    <m/>
    <m/>
    <n v="20100"/>
    <n v="0"/>
    <n v="0"/>
    <d v="2020-02-26T00:00:00"/>
  </r>
  <r>
    <s v="4B/2019"/>
    <d v="2018-12-27T00:00:00"/>
    <s v="THANH THÚY"/>
    <s v="KK01"/>
    <x v="134"/>
    <x v="5"/>
    <s v="ROBINA"/>
    <m/>
    <s v="18.20"/>
    <n v="150"/>
    <s v="NL2018"/>
    <m/>
    <n v="66"/>
    <n v="9900"/>
    <x v="96"/>
    <n v="64627200"/>
    <x v="0"/>
    <x v="1"/>
    <d v="2019-05-21T00:00:00"/>
    <d v="2019-05-21T00:00:00"/>
    <m/>
    <m/>
    <m/>
    <m/>
    <d v="2019-06-19T00:00:00"/>
    <n v="9900"/>
    <m/>
    <m/>
    <m/>
    <m/>
    <m/>
    <m/>
    <n v="9900"/>
    <n v="0"/>
    <n v="0"/>
    <m/>
  </r>
  <r>
    <s v="4B/2019"/>
    <d v="2018-12-27T00:00:00"/>
    <s v="THANH THÚY"/>
    <s v="KK01"/>
    <x v="134"/>
    <x v="5"/>
    <s v="ROBINA"/>
    <m/>
    <s v="18.20"/>
    <n v="150"/>
    <s v="NL2018"/>
    <m/>
    <n v="67"/>
    <n v="10050"/>
    <x v="96"/>
    <n v="65606400"/>
    <x v="0"/>
    <x v="28"/>
    <d v="2019-06-07T00:00:00"/>
    <d v="2019-06-07T00:00:00"/>
    <m/>
    <m/>
    <m/>
    <m/>
    <d v="2019-06-19T00:00:00"/>
    <n v="10050"/>
    <m/>
    <m/>
    <m/>
    <m/>
    <m/>
    <m/>
    <n v="10050"/>
    <n v="0"/>
    <n v="0"/>
    <m/>
  </r>
  <r>
    <s v="4B/2019"/>
    <d v="2019-06-15T00:00:00"/>
    <s v="THANH THÚY"/>
    <s v="KK01"/>
    <x v="134"/>
    <x v="3"/>
    <s v="ROBINA"/>
    <m/>
    <s v="16.18"/>
    <n v="200"/>
    <s v="NL2018"/>
    <m/>
    <n v="100"/>
    <n v="20000"/>
    <x v="10"/>
    <n v="110000000"/>
    <x v="0"/>
    <x v="73"/>
    <d v="2019-06-17T00:00:00"/>
    <d v="2019-06-17T00:00:00"/>
    <m/>
    <m/>
    <m/>
    <m/>
    <d v="2019-06-22T00:00:00"/>
    <n v="20000"/>
    <m/>
    <m/>
    <m/>
    <m/>
    <m/>
    <m/>
    <n v="20000"/>
    <n v="0"/>
    <n v="0"/>
    <m/>
  </r>
  <r>
    <s v="4B/2019"/>
    <d v="2019-06-15T00:00:00"/>
    <s v="THANH THÚY"/>
    <s v="KK01"/>
    <x v="134"/>
    <x v="5"/>
    <s v="ROBINA"/>
    <m/>
    <s v="18.20"/>
    <n v="150"/>
    <s v="NL2018"/>
    <m/>
    <n v="167"/>
    <n v="25050"/>
    <x v="31"/>
    <n v="187875000"/>
    <x v="4"/>
    <x v="19"/>
    <d v="2019-07-03T00:00:00"/>
    <d v="2019-07-03T00:00:00"/>
    <s v="Hà Nội chuyển vô"/>
    <m/>
    <m/>
    <m/>
    <m/>
    <m/>
    <m/>
    <m/>
    <m/>
    <m/>
    <m/>
    <m/>
    <n v="0"/>
    <n v="25050"/>
    <n v="187875000"/>
    <m/>
  </r>
  <r>
    <s v="4B/2019"/>
    <d v="2019-06-15T00:00:00"/>
    <s v="THANH THÚY"/>
    <s v="KK01"/>
    <x v="134"/>
    <x v="5"/>
    <s v="ROBINA"/>
    <m/>
    <s v="18.20"/>
    <n v="150"/>
    <s v="NL2018"/>
    <m/>
    <n v="167"/>
    <n v="25050"/>
    <x v="31"/>
    <n v="187875000"/>
    <x v="4"/>
    <x v="4"/>
    <d v="2019-07-17T00:00:00"/>
    <d v="2019-07-17T00:00:00"/>
    <m/>
    <m/>
    <m/>
    <m/>
    <m/>
    <m/>
    <m/>
    <m/>
    <m/>
    <m/>
    <m/>
    <m/>
    <n v="0"/>
    <n v="25050"/>
    <n v="187875000"/>
    <m/>
  </r>
  <r>
    <s v="156B/2019"/>
    <d v="2019-06-20T00:00:00"/>
    <s v="THANH THÚY"/>
    <s v="KK01"/>
    <x v="134"/>
    <x v="4"/>
    <s v="ROBINA"/>
    <m/>
    <s v="20.22"/>
    <n v="125"/>
    <s v="NL2018"/>
    <m/>
    <n v="320"/>
    <n v="40000"/>
    <x v="34"/>
    <n v="428000000"/>
    <x v="2"/>
    <x v="2"/>
    <d v="2019-09-29T00:00:00"/>
    <d v="2019-09-29T00:00:00"/>
    <s v="TẾT"/>
    <m/>
    <m/>
    <m/>
    <m/>
    <m/>
    <m/>
    <m/>
    <m/>
    <m/>
    <m/>
    <m/>
    <n v="0"/>
    <n v="40000"/>
    <n v="428000000"/>
    <m/>
  </r>
  <r>
    <s v="156B/2019"/>
    <d v="2019-02-28T00:00:00"/>
    <s v="THANH THÚY"/>
    <s v="KK01"/>
    <x v="134"/>
    <x v="65"/>
    <s v="MANISSA"/>
    <m/>
    <s v="20.22"/>
    <n v="125"/>
    <s v="NL2018"/>
    <m/>
    <n v="240"/>
    <n v="30000"/>
    <x v="61"/>
    <n v="405000000"/>
    <x v="2"/>
    <x v="2"/>
    <d v="2019-09-29T00:00:00"/>
    <d v="2019-09-29T00:00:00"/>
    <s v="TẾT"/>
    <m/>
    <m/>
    <m/>
    <m/>
    <n v="0"/>
    <m/>
    <m/>
    <m/>
    <m/>
    <m/>
    <m/>
    <n v="0"/>
    <n v="30000"/>
    <n v="405000000"/>
    <d v="2020-02-26T00:00:00"/>
  </r>
  <r>
    <s v="4B/2019"/>
    <d v="2018-12-27T00:00:00"/>
    <s v="THANH THÚY"/>
    <s v="KK01"/>
    <x v="134"/>
    <x v="79"/>
    <s v="MANISSA"/>
    <m/>
    <s v="16.18"/>
    <n v="200"/>
    <s v="NL2018"/>
    <m/>
    <n v="250"/>
    <n v="50000"/>
    <x v="32"/>
    <n v="335000000"/>
    <x v="0"/>
    <x v="10"/>
    <d v="2019-04-03T00:00:00"/>
    <d v="2019-04-03T00:00:00"/>
    <s v="30/2AL"/>
    <s v="CONT 16/2019"/>
    <m/>
    <m/>
    <d v="2019-04-08T00:00:00"/>
    <n v="10000"/>
    <d v="2019-04-29T00:00:00"/>
    <n v="20000"/>
    <d v="2019-04-29T00:00:00"/>
    <n v="20000"/>
    <m/>
    <m/>
    <n v="50000"/>
    <n v="0"/>
    <n v="0"/>
    <d v="2020-02-26T00:00:00"/>
  </r>
  <r>
    <s v="156B/2019"/>
    <d v="2019-06-17T00:00:00"/>
    <s v="THANH THÚY"/>
    <s v="KK01"/>
    <x v="134"/>
    <x v="80"/>
    <s v="INDIANA"/>
    <m/>
    <s v="18.20"/>
    <n v="150"/>
    <s v="NL2018"/>
    <m/>
    <n v="200"/>
    <n v="30000"/>
    <x v="79"/>
    <n v="300000000"/>
    <x v="2"/>
    <x v="2"/>
    <d v="2019-09-29T00:00:00"/>
    <d v="2019-09-29T00:00:00"/>
    <s v="TẾT"/>
    <m/>
    <m/>
    <m/>
    <m/>
    <m/>
    <m/>
    <m/>
    <m/>
    <m/>
    <m/>
    <m/>
    <n v="0"/>
    <n v="30000"/>
    <n v="300000000"/>
    <m/>
  </r>
  <r>
    <s v="4B/2019"/>
    <d v="2018-12-27T00:00:00"/>
    <s v="THANH THÚY"/>
    <s v="KK01"/>
    <x v="134"/>
    <x v="6"/>
    <s v="CONCADOR "/>
    <m/>
    <s v="16.18"/>
    <n v="200"/>
    <s v="NL2018"/>
    <m/>
    <n v="50"/>
    <n v="10000"/>
    <x v="29"/>
    <n v="46000000"/>
    <x v="0"/>
    <x v="6"/>
    <d v="2019-02-19T00:00:00"/>
    <d v="2019-02-19T00:00:00"/>
    <s v="15/1AL"/>
    <m/>
    <m/>
    <m/>
    <d v="2019-02-25T00:00:00"/>
    <n v="10000"/>
    <m/>
    <m/>
    <m/>
    <m/>
    <m/>
    <m/>
    <n v="10000"/>
    <n v="0"/>
    <n v="0"/>
    <d v="2020-02-26T00:00:00"/>
  </r>
  <r>
    <s v="4B/2019"/>
    <d v="2018-12-27T00:00:00"/>
    <s v="THANH THÚY"/>
    <s v="KK01"/>
    <x v="134"/>
    <x v="6"/>
    <s v="CONCADOR"/>
    <m/>
    <s v="16.18"/>
    <n v="200"/>
    <s v="NL2018"/>
    <m/>
    <n v="50"/>
    <n v="10000"/>
    <x v="29"/>
    <n v="46000000"/>
    <x v="0"/>
    <x v="0"/>
    <d v="2019-03-20T00:00:00"/>
    <d v="2019-03-20T00:00:00"/>
    <s v="15/2AL"/>
    <s v="CONT 10/2019"/>
    <m/>
    <m/>
    <d v="2019-03-22T00:00:00"/>
    <n v="10000"/>
    <m/>
    <m/>
    <m/>
    <m/>
    <m/>
    <m/>
    <n v="10000"/>
    <n v="0"/>
    <n v="0"/>
    <d v="2020-02-26T00:00:00"/>
  </r>
  <r>
    <s v="4B/2019"/>
    <d v="2018-12-27T00:00:00"/>
    <s v="THANH THÚY"/>
    <s v="KK01"/>
    <x v="134"/>
    <x v="81"/>
    <s v="BACARDI"/>
    <m/>
    <s v="16.18"/>
    <n v="200"/>
    <s v="NL2018"/>
    <m/>
    <n v="115"/>
    <n v="23000"/>
    <x v="51"/>
    <n v="138000000"/>
    <x v="0"/>
    <x v="6"/>
    <d v="2019-02-19T00:00:00"/>
    <d v="2019-02-19T00:00:00"/>
    <s v="15/1AL"/>
    <m/>
    <m/>
    <m/>
    <d v="2019-02-25T00:00:00"/>
    <n v="20000"/>
    <d v="2019-02-26T00:00:00"/>
    <n v="3000"/>
    <m/>
    <m/>
    <m/>
    <m/>
    <n v="23000"/>
    <n v="0"/>
    <n v="0"/>
    <d v="2020-02-26T00:00:00"/>
  </r>
  <r>
    <s v="4B/2019"/>
    <d v="2018-12-27T00:00:00"/>
    <s v="THANH THÚY"/>
    <s v="KK01"/>
    <x v="134"/>
    <x v="81"/>
    <s v="BACARDI"/>
    <m/>
    <s v="16.18"/>
    <n v="200"/>
    <s v="NL2018"/>
    <m/>
    <n v="125"/>
    <n v="25000"/>
    <x v="51"/>
    <n v="150000000"/>
    <x v="0"/>
    <x v="0"/>
    <d v="2019-03-20T00:00:00"/>
    <d v="2019-03-20T00:00:00"/>
    <s v="15/2AL"/>
    <s v="CONT 11/2019"/>
    <m/>
    <m/>
    <d v="2019-05-04T00:00:00"/>
    <n v="25000"/>
    <m/>
    <m/>
    <m/>
    <m/>
    <m/>
    <m/>
    <n v="25000"/>
    <n v="0"/>
    <n v="0"/>
    <d v="2020-02-26T00:00:00"/>
  </r>
  <r>
    <s v="196A/2019"/>
    <d v="2019-04-17T00:00:00"/>
    <s v="KIỀU THY"/>
    <s v="MP04"/>
    <x v="135"/>
    <x v="88"/>
    <s v="PROFUNDO CHILE"/>
    <m/>
    <s v="20.22"/>
    <s v="125"/>
    <s v="CL2019"/>
    <m/>
    <n v="80"/>
    <n v="10000"/>
    <x v="189"/>
    <n v="138000000"/>
    <x v="2"/>
    <x v="2"/>
    <d v="2019-09-29T00:00:00"/>
    <d v="2019-09-29T00:00:00"/>
    <s v="TẾT"/>
    <m/>
    <m/>
    <m/>
    <m/>
    <m/>
    <m/>
    <m/>
    <m/>
    <m/>
    <m/>
    <m/>
    <n v="0"/>
    <n v="10000"/>
    <n v="138000000"/>
    <m/>
  </r>
  <r>
    <s v="196A/2019"/>
    <d v="2019-05-07T00:00:00"/>
    <s v="KIỀU THY"/>
    <s v="MP04"/>
    <x v="135"/>
    <x v="65"/>
    <s v="MANISSA NEW ZEALAND"/>
    <m/>
    <s v="20.22"/>
    <s v="125"/>
    <s v="NL2018"/>
    <m/>
    <n v="24"/>
    <n v="3000"/>
    <x v="190"/>
    <n v="47400000"/>
    <x v="2"/>
    <x v="2"/>
    <d v="2019-09-29T00:00:00"/>
    <d v="2019-09-29T00:00:00"/>
    <s v="TẾT"/>
    <m/>
    <m/>
    <m/>
    <m/>
    <m/>
    <m/>
    <m/>
    <m/>
    <m/>
    <m/>
    <m/>
    <n v="0"/>
    <n v="3000"/>
    <n v="47400000"/>
    <m/>
  </r>
  <r>
    <s v="196A/2019"/>
    <d v="2019-04-17T00:00:00"/>
    <s v="KIỀU THY"/>
    <s v="MP04"/>
    <x v="135"/>
    <x v="67"/>
    <s v="MANISSA"/>
    <m/>
    <s v="22.24"/>
    <s v="100"/>
    <s v="NL2018"/>
    <m/>
    <n v="50"/>
    <n v="5000"/>
    <x v="111"/>
    <n v="77000000"/>
    <x v="2"/>
    <x v="2"/>
    <d v="2019-09-29T00:00:00"/>
    <d v="2019-09-29T00:00:00"/>
    <s v="TẾT"/>
    <m/>
    <m/>
    <m/>
    <m/>
    <m/>
    <m/>
    <m/>
    <m/>
    <m/>
    <m/>
    <m/>
    <n v="0"/>
    <n v="5000"/>
    <n v="77000000"/>
    <m/>
  </r>
  <r>
    <s v="196A/2019"/>
    <d v="2019-04-17T00:00:00"/>
    <s v="KIỀU THY"/>
    <s v="MP04"/>
    <x v="135"/>
    <x v="80"/>
    <s v="INDIANA"/>
    <m/>
    <s v="18.20"/>
    <s v="150"/>
    <s v="NL2018"/>
    <s v="V.W.S"/>
    <n v="34"/>
    <n v="5100"/>
    <x v="79"/>
    <n v="51000000"/>
    <x v="2"/>
    <x v="2"/>
    <d v="2019-09-29T00:00:00"/>
    <d v="2019-09-29T00:00:00"/>
    <s v="TẾT"/>
    <m/>
    <m/>
    <m/>
    <m/>
    <m/>
    <m/>
    <m/>
    <m/>
    <m/>
    <m/>
    <m/>
    <n v="0"/>
    <n v="5100"/>
    <n v="51000000"/>
    <m/>
  </r>
  <r>
    <s v="196A/2019"/>
    <d v="2019-04-17T00:00:00"/>
    <s v="KIỀU THY"/>
    <s v="MP04"/>
    <x v="135"/>
    <x v="7"/>
    <s v="CONCADOR"/>
    <m/>
    <s v="20.22"/>
    <s v="125"/>
    <s v="NL2018"/>
    <m/>
    <n v="72"/>
    <n v="9000"/>
    <x v="35"/>
    <n v="95400000"/>
    <x v="2"/>
    <x v="2"/>
    <d v="2019-09-29T00:00:00"/>
    <d v="2019-09-29T00:00:00"/>
    <s v="TẾT"/>
    <m/>
    <m/>
    <m/>
    <m/>
    <m/>
    <m/>
    <m/>
    <m/>
    <m/>
    <m/>
    <m/>
    <n v="0"/>
    <n v="9000"/>
    <n v="95400000"/>
    <m/>
  </r>
  <r>
    <s v="196A/2019"/>
    <d v="2019-04-17T00:00:00"/>
    <s v="KIỀU THY"/>
    <s v="MP04"/>
    <x v="135"/>
    <x v="112"/>
    <s v="CONCADOR"/>
    <m/>
    <s v="24+"/>
    <s v="75"/>
    <s v="NL2018"/>
    <m/>
    <n v="80"/>
    <n v="6000"/>
    <x v="15"/>
    <n v="91200000"/>
    <x v="2"/>
    <x v="2"/>
    <d v="2019-09-29T00:00:00"/>
    <d v="2019-09-29T00:00:00"/>
    <s v="TẾT"/>
    <m/>
    <m/>
    <m/>
    <m/>
    <m/>
    <m/>
    <m/>
    <m/>
    <m/>
    <m/>
    <m/>
    <n v="0"/>
    <n v="6000"/>
    <n v="91200000"/>
    <m/>
  </r>
  <r>
    <s v="195A/2019"/>
    <d v="2019-04-17T00:00:00"/>
    <s v="KIỀU THY"/>
    <s v="MP04"/>
    <x v="135"/>
    <x v="63"/>
    <s v="BACARDI"/>
    <m/>
    <s v="15.16"/>
    <s v="250"/>
    <s v="NL2018"/>
    <m/>
    <n v="14"/>
    <n v="3500"/>
    <x v="14"/>
    <n v="15750000"/>
    <x v="0"/>
    <x v="5"/>
    <d v="2019-04-19T00:00:00"/>
    <d v="2019-04-19T00:00:00"/>
    <s v="15/3AL"/>
    <m/>
    <m/>
    <m/>
    <d v="2019-04-25T00:00:00"/>
    <n v="3500"/>
    <m/>
    <m/>
    <m/>
    <m/>
    <m/>
    <m/>
    <n v="3500"/>
    <n v="0"/>
    <n v="0"/>
    <m/>
  </r>
  <r>
    <s v="109A/2019"/>
    <d v="2019-03-12T00:00:00"/>
    <s v="KIỀU THY"/>
    <s v="MS02"/>
    <x v="136"/>
    <x v="33"/>
    <s v="TEBALDI"/>
    <m/>
    <s v="14.16"/>
    <s v="300"/>
    <s v="NL2018"/>
    <m/>
    <n v="7"/>
    <n v="2100"/>
    <x v="38"/>
    <n v="8610000"/>
    <x v="0"/>
    <x v="5"/>
    <d v="2019-04-19T00:00:00"/>
    <d v="2019-04-19T00:00:00"/>
    <s v="15/3AL"/>
    <s v="CONT 24/2019"/>
    <d v="2019-04-14T00:00:00"/>
    <m/>
    <d v="2019-04-23T00:00:00"/>
    <n v="2100"/>
    <m/>
    <m/>
    <m/>
    <m/>
    <m/>
    <m/>
    <n v="2100"/>
    <n v="0"/>
    <n v="0"/>
    <m/>
  </r>
  <r>
    <s v="109A/2019"/>
    <d v="2019-03-12T00:00:00"/>
    <s v="KIỀU THY"/>
    <s v="MS02"/>
    <x v="136"/>
    <x v="33"/>
    <s v="TEBALDI"/>
    <m/>
    <s v="14.16"/>
    <s v="300"/>
    <s v="NL2018"/>
    <m/>
    <n v="7"/>
    <n v="2100"/>
    <x v="40"/>
    <n v="8820000"/>
    <x v="0"/>
    <x v="5"/>
    <d v="2019-04-19T00:00:00"/>
    <d v="2019-04-19T00:00:00"/>
    <s v="30/3AL"/>
    <m/>
    <m/>
    <m/>
    <d v="2019-05-04T00:00:00"/>
    <n v="2100"/>
    <m/>
    <m/>
    <m/>
    <m/>
    <m/>
    <m/>
    <n v="2100"/>
    <n v="0"/>
    <n v="0"/>
    <m/>
  </r>
  <r>
    <s v="109A/2019"/>
    <d v="2019-03-12T00:00:00"/>
    <s v="KIỀU THY"/>
    <s v="MS02"/>
    <x v="136"/>
    <x v="32"/>
    <s v="TEBALDI"/>
    <m/>
    <s v="12.14"/>
    <s v="400"/>
    <s v="NL2018"/>
    <m/>
    <n v="5"/>
    <n v="2000"/>
    <x v="37"/>
    <n v="5600000"/>
    <x v="0"/>
    <x v="1"/>
    <d v="2019-05-21T00:00:00"/>
    <d v="2019-05-21T00:00:00"/>
    <s v="15/4AL"/>
    <m/>
    <m/>
    <m/>
    <d v="2019-05-24T00:00:00"/>
    <n v="2000"/>
    <m/>
    <m/>
    <m/>
    <m/>
    <m/>
    <m/>
    <n v="2000"/>
    <n v="0"/>
    <n v="0"/>
    <m/>
  </r>
  <r>
    <s v="109A/2019"/>
    <d v="2019-06-04T00:00:00"/>
    <s v="KIỀU THY"/>
    <s v="MS02"/>
    <x v="136"/>
    <x v="41"/>
    <s v="PAVIA"/>
    <m/>
    <s v="12.14"/>
    <s v="400"/>
    <s v="NL2018"/>
    <m/>
    <n v="12"/>
    <n v="4800"/>
    <x v="39"/>
    <n v="13920000"/>
    <x v="0"/>
    <x v="28"/>
    <d v="2019-06-07T00:00:00"/>
    <d v="2019-06-07T00:00:00"/>
    <m/>
    <m/>
    <m/>
    <m/>
    <d v="2019-06-08T00:00:00"/>
    <n v="2000"/>
    <d v="2019-06-22T00:00:00"/>
    <s v="2800"/>
    <m/>
    <m/>
    <m/>
    <m/>
    <n v="4800"/>
    <n v="0"/>
    <n v="0"/>
    <m/>
  </r>
  <r>
    <s v="109A/2019"/>
    <d v="2019-05-25T00:00:00"/>
    <s v="KIỀU THY"/>
    <s v="MS02"/>
    <x v="136"/>
    <x v="41"/>
    <s v="PAVIA"/>
    <m/>
    <s v="12.14"/>
    <s v="400"/>
    <s v="NL2018"/>
    <m/>
    <n v="0"/>
    <n v="0"/>
    <x v="39"/>
    <n v="0"/>
    <x v="1"/>
    <x v="28"/>
    <d v="2019-06-07T00:00:00"/>
    <d v="2019-06-07T00:00:00"/>
    <m/>
    <m/>
    <m/>
    <m/>
    <m/>
    <m/>
    <m/>
    <m/>
    <m/>
    <m/>
    <m/>
    <m/>
    <n v="0"/>
    <n v="0"/>
    <n v="0"/>
    <m/>
  </r>
  <r>
    <s v="109A/2019"/>
    <d v="2019-03-12T00:00:00"/>
    <s v="KIỀU THY"/>
    <s v="MS02"/>
    <x v="136"/>
    <x v="41"/>
    <s v="PAVIA"/>
    <m/>
    <s v="12.14"/>
    <s v="400"/>
    <s v="NL2018"/>
    <m/>
    <n v="7"/>
    <n v="2800"/>
    <x v="37"/>
    <n v="7840000"/>
    <x v="0"/>
    <x v="5"/>
    <d v="2019-04-19T00:00:00"/>
    <d v="2019-04-19T00:00:00"/>
    <s v="15/3AL/15 NGÀY XUỐNG 1 LẦN"/>
    <s v="CONT 20/2019"/>
    <d v="2019-04-14T00:00:00"/>
    <m/>
    <d v="2019-04-23T00:00:00"/>
    <n v="2800"/>
    <m/>
    <m/>
    <m/>
    <m/>
    <m/>
    <m/>
    <n v="2800"/>
    <n v="0"/>
    <n v="0"/>
    <m/>
  </r>
  <r>
    <s v="109A/2019"/>
    <d v="2019-03-12T00:00:00"/>
    <s v="KIỀU THY"/>
    <s v="MS02"/>
    <x v="136"/>
    <x v="41"/>
    <s v="PAVIA"/>
    <m/>
    <s v="12.14"/>
    <s v="400"/>
    <s v="NL2018"/>
    <m/>
    <n v="5"/>
    <n v="2000"/>
    <x v="39"/>
    <n v="5800000"/>
    <x v="0"/>
    <x v="5"/>
    <d v="2019-04-19T00:00:00"/>
    <d v="2019-04-19T00:00:00"/>
    <s v="30/3AL"/>
    <m/>
    <m/>
    <m/>
    <d v="2019-05-04T00:00:00"/>
    <n v="2000"/>
    <m/>
    <m/>
    <m/>
    <m/>
    <m/>
    <m/>
    <n v="2000"/>
    <n v="0"/>
    <n v="0"/>
    <m/>
  </r>
  <r>
    <s v="109A/2019"/>
    <d v="2019-05-04T00:00:00"/>
    <s v="KIỀU THY"/>
    <s v="MS02"/>
    <x v="136"/>
    <x v="41"/>
    <s v="PAVIA"/>
    <m/>
    <s v="12.14"/>
    <s v="400"/>
    <s v="NL2018"/>
    <m/>
    <n v="10"/>
    <n v="4000"/>
    <x v="39"/>
    <n v="11600000"/>
    <x v="0"/>
    <x v="1"/>
    <d v="2019-05-21T00:00:00"/>
    <d v="2019-05-21T00:00:00"/>
    <s v="15/4AL"/>
    <m/>
    <m/>
    <m/>
    <d v="2019-05-24T00:00:00"/>
    <n v="4000"/>
    <m/>
    <m/>
    <m/>
    <m/>
    <m/>
    <m/>
    <n v="4000"/>
    <n v="0"/>
    <n v="0"/>
    <m/>
  </r>
  <r>
    <s v="109A/2019"/>
    <d v="2019-06-08T00:00:00"/>
    <s v="KIỀU THY"/>
    <s v="MS02"/>
    <x v="136"/>
    <x v="41"/>
    <s v="PAVIA"/>
    <m/>
    <s v="12.14"/>
    <s v="400"/>
    <s v="NL2018"/>
    <m/>
    <n v="15"/>
    <n v="6000"/>
    <x v="26"/>
    <n v="18000000"/>
    <x v="4"/>
    <x v="4"/>
    <d v="2019-07-17T00:00:00"/>
    <d v="2019-07-17T00:00:00"/>
    <m/>
    <m/>
    <m/>
    <m/>
    <m/>
    <m/>
    <m/>
    <m/>
    <m/>
    <m/>
    <m/>
    <m/>
    <n v="0"/>
    <n v="6000"/>
    <n v="18000000"/>
    <m/>
  </r>
  <r>
    <s v="109A/2019"/>
    <d v="2019-03-12T00:00:00"/>
    <s v="KIỀU THY"/>
    <s v="MS02"/>
    <x v="136"/>
    <x v="44"/>
    <s v="NELLO "/>
    <m/>
    <s v="12.14"/>
    <s v="400"/>
    <s v="NL2018"/>
    <m/>
    <n v="6"/>
    <n v="2400"/>
    <x v="26"/>
    <n v="7200000"/>
    <x v="0"/>
    <x v="5"/>
    <d v="2019-04-19T00:00:00"/>
    <d v="2019-04-19T00:00:00"/>
    <s v="15/3AL/15 NGÀY XUỐNG 1 LẦN"/>
    <s v="CONT 20/2019"/>
    <d v="2019-04-14T00:00:00"/>
    <m/>
    <d v="2019-04-23T00:00:00"/>
    <n v="2400"/>
    <m/>
    <m/>
    <m/>
    <m/>
    <m/>
    <m/>
    <n v="2400"/>
    <n v="0"/>
    <n v="0"/>
    <m/>
  </r>
  <r>
    <s v="109A/2019"/>
    <d v="2019-03-12T00:00:00"/>
    <s v="KIỀU THY"/>
    <s v="MS02"/>
    <x v="136"/>
    <x v="44"/>
    <s v="NELLO "/>
    <m/>
    <s v="12.14"/>
    <s v="400"/>
    <s v="NL2018"/>
    <m/>
    <n v="5"/>
    <n v="2000"/>
    <x v="52"/>
    <n v="6400000"/>
    <x v="0"/>
    <x v="28"/>
    <d v="2019-06-07T00:00:00"/>
    <d v="2019-06-07T00:00:00"/>
    <s v="30/4AL"/>
    <m/>
    <m/>
    <m/>
    <d v="2019-06-08T00:00:00"/>
    <n v="2000"/>
    <m/>
    <m/>
    <m/>
    <m/>
    <m/>
    <m/>
    <n v="2000"/>
    <n v="0"/>
    <n v="0"/>
    <m/>
  </r>
  <r>
    <s v="109A/2019"/>
    <d v="2019-03-12T00:00:00"/>
    <s v="KIỀU THY"/>
    <s v="MS02"/>
    <x v="136"/>
    <x v="44"/>
    <s v="NELLO "/>
    <m/>
    <s v="12.14"/>
    <s v="400"/>
    <s v="NL2018"/>
    <m/>
    <n v="5"/>
    <n v="2000"/>
    <x v="49"/>
    <n v="6600000"/>
    <x v="0"/>
    <x v="28"/>
    <d v="2019-06-07T00:00:00"/>
    <d v="2019-06-07T00:00:00"/>
    <s v="15/5AL"/>
    <m/>
    <m/>
    <m/>
    <d v="2019-06-22T00:00:00"/>
    <n v="2000"/>
    <m/>
    <m/>
    <m/>
    <m/>
    <m/>
    <m/>
    <n v="2000"/>
    <n v="0"/>
    <n v="0"/>
    <m/>
  </r>
  <r>
    <s v="109A/2019"/>
    <d v="2019-03-12T00:00:00"/>
    <s v="KIỀU THY"/>
    <s v="MS02"/>
    <x v="136"/>
    <x v="61"/>
    <s v="NASHVILLE"/>
    <m/>
    <s v="14.16"/>
    <s v="300"/>
    <s v="NL2018"/>
    <m/>
    <n v="21"/>
    <n v="6300"/>
    <x v="58"/>
    <n v="24570000"/>
    <x v="0"/>
    <x v="1"/>
    <d v="2019-05-21T00:00:00"/>
    <d v="2019-05-21T00:00:00"/>
    <s v="15/4AL"/>
    <m/>
    <m/>
    <m/>
    <d v="2019-05-24T00:00:00"/>
    <n v="3000"/>
    <d v="2019-06-08T00:00:00"/>
    <s v="3300"/>
    <m/>
    <m/>
    <m/>
    <m/>
    <n v="6300"/>
    <n v="0"/>
    <n v="0"/>
    <m/>
  </r>
  <r>
    <s v="109A/2019"/>
    <d v="2019-03-12T00:00:00"/>
    <s v="KIỀU THY"/>
    <s v="MS02"/>
    <x v="136"/>
    <x v="61"/>
    <s v="NASHVILLE"/>
    <m/>
    <s v="14.16"/>
    <s v="300"/>
    <s v="NL2018"/>
    <m/>
    <n v="10"/>
    <n v="3000"/>
    <x v="45"/>
    <n v="12000000"/>
    <x v="0"/>
    <x v="28"/>
    <d v="2019-06-07T00:00:00"/>
    <d v="2019-06-07T00:00:00"/>
    <s v="30/4AL"/>
    <m/>
    <m/>
    <m/>
    <d v="2019-06-08T00:00:00"/>
    <n v="3000"/>
    <m/>
    <m/>
    <m/>
    <m/>
    <m/>
    <m/>
    <n v="3000"/>
    <n v="0"/>
    <n v="0"/>
    <m/>
  </r>
  <r>
    <s v="109A/2019"/>
    <d v="2019-03-12T00:00:00"/>
    <s v="KIỀU THY"/>
    <s v="MS02"/>
    <x v="136"/>
    <x v="61"/>
    <s v="NASHVILLE"/>
    <m/>
    <s v="14.16"/>
    <s v="300"/>
    <s v="NL2018"/>
    <m/>
    <n v="2"/>
    <n v="600"/>
    <x v="38"/>
    <n v="2460000"/>
    <x v="0"/>
    <x v="28"/>
    <d v="2019-06-07T00:00:00"/>
    <d v="2019-06-07T00:00:00"/>
    <s v="15/5AL"/>
    <m/>
    <m/>
    <m/>
    <d v="2019-06-22T00:00:00"/>
    <n v="600"/>
    <m/>
    <m/>
    <m/>
    <m/>
    <m/>
    <m/>
    <n v="600"/>
    <n v="0"/>
    <n v="0"/>
    <m/>
  </r>
  <r>
    <s v="250/2019"/>
    <d v="2019-06-22T00:00:00"/>
    <s v="KIỀU THY"/>
    <s v="MS02"/>
    <x v="136"/>
    <x v="61"/>
    <s v="NASHVILLE"/>
    <m/>
    <s v="14.16"/>
    <s v="300"/>
    <s v="NL2018"/>
    <m/>
    <n v="24"/>
    <n v="7200"/>
    <x v="40"/>
    <n v="30240000"/>
    <x v="2"/>
    <x v="2"/>
    <d v="2019-09-29T00:00:00"/>
    <d v="2019-09-29T00:00:00"/>
    <m/>
    <m/>
    <m/>
    <m/>
    <m/>
    <m/>
    <m/>
    <m/>
    <m/>
    <m/>
    <m/>
    <m/>
    <n v="0"/>
    <n v="7200"/>
    <n v="30240000"/>
    <m/>
  </r>
  <r>
    <s v="109A/2019"/>
    <d v="2019-06-08T00:00:00"/>
    <s v="KIỀU THY"/>
    <s v="MS02"/>
    <x v="136"/>
    <x v="47"/>
    <s v="GENERAL LEE"/>
    <m/>
    <s v="12.14"/>
    <s v="400"/>
    <s v="NL2018"/>
    <m/>
    <n v="5"/>
    <n v="2000"/>
    <x v="52"/>
    <n v="6400000"/>
    <x v="4"/>
    <x v="4"/>
    <d v="2019-07-17T00:00:00"/>
    <d v="2019-07-17T00:00:00"/>
    <m/>
    <m/>
    <m/>
    <m/>
    <m/>
    <m/>
    <m/>
    <m/>
    <m/>
    <m/>
    <m/>
    <m/>
    <n v="0"/>
    <n v="2000"/>
    <n v="6400000"/>
    <m/>
  </r>
  <r>
    <s v="109A/2019"/>
    <d v="2019-05-29T00:00:00"/>
    <s v="KIỀU THY"/>
    <s v="MS02"/>
    <x v="136"/>
    <x v="54"/>
    <s v="AMATERAS"/>
    <m/>
    <s v="14.16"/>
    <s v="300"/>
    <s v="NL2018"/>
    <m/>
    <n v="4"/>
    <n v="1200"/>
    <x v="14"/>
    <n v="5400000"/>
    <x v="0"/>
    <x v="28"/>
    <d v="2019-06-07T00:00:00"/>
    <d v="2019-06-07T00:00:00"/>
    <m/>
    <m/>
    <m/>
    <m/>
    <d v="2019-06-08T00:00:00"/>
    <n v="1200"/>
    <m/>
    <m/>
    <m/>
    <m/>
    <m/>
    <m/>
    <n v="1200"/>
    <n v="0"/>
    <n v="0"/>
    <m/>
  </r>
  <r>
    <s v="109A/2019"/>
    <d v="2019-03-12T00:00:00"/>
    <s v="KIỀU THY"/>
    <s v="MS02"/>
    <x v="136"/>
    <x v="53"/>
    <s v="AMATERAS"/>
    <m/>
    <s v="12.14"/>
    <s v="400"/>
    <s v="NL2018"/>
    <m/>
    <n v="0"/>
    <n v="0"/>
    <x v="37"/>
    <n v="0"/>
    <x v="1"/>
    <x v="1"/>
    <d v="2019-05-21T00:00:00"/>
    <d v="2019-05-21T00:00:00"/>
    <s v="30/3AL"/>
    <m/>
    <m/>
    <m/>
    <m/>
    <n v="0"/>
    <m/>
    <m/>
    <m/>
    <m/>
    <m/>
    <m/>
    <n v="0"/>
    <n v="0"/>
    <n v="0"/>
    <m/>
  </r>
  <r>
    <s v="233/2019"/>
    <d v="2019-05-31T00:00:00"/>
    <s v="KIỀU THY"/>
    <s v="NH05"/>
    <x v="137"/>
    <x v="35"/>
    <s v="TARRANGO"/>
    <m/>
    <s v="14.16"/>
    <s v="300"/>
    <s v="NL2018"/>
    <m/>
    <n v="12"/>
    <n v="3600"/>
    <x v="43"/>
    <n v="17280000"/>
    <x v="0"/>
    <x v="1"/>
    <d v="2019-05-21T00:00:00"/>
    <d v="2019-05-21T00:00:00"/>
    <m/>
    <m/>
    <m/>
    <m/>
    <d v="2019-05-31T00:00:00"/>
    <n v="3600"/>
    <m/>
    <m/>
    <m/>
    <m/>
    <m/>
    <m/>
    <n v="3600"/>
    <n v="0"/>
    <n v="0"/>
    <m/>
  </r>
  <r>
    <s v="233/2019"/>
    <d v="2019-06-06T00:00:00"/>
    <s v="KIỀU THY"/>
    <s v="NH05"/>
    <x v="137"/>
    <x v="3"/>
    <s v="ROBINA"/>
    <m/>
    <s v="16.18"/>
    <s v="200"/>
    <s v="NL2018"/>
    <m/>
    <n v="15"/>
    <n v="3000"/>
    <x v="10"/>
    <n v="16500000"/>
    <x v="3"/>
    <x v="28"/>
    <d v="2019-06-07T00:00:00"/>
    <d v="2019-06-07T00:00:00"/>
    <m/>
    <m/>
    <m/>
    <m/>
    <m/>
    <m/>
    <m/>
    <m/>
    <m/>
    <m/>
    <m/>
    <m/>
    <n v="0"/>
    <n v="3000"/>
    <n v="16500000"/>
    <m/>
  </r>
  <r>
    <s v="93A/2019"/>
    <d v="2019-03-07T00:00:00"/>
    <s v="KIỀU THY"/>
    <s v="LG01"/>
    <x v="137"/>
    <x v="84"/>
    <s v="INDIANA"/>
    <m/>
    <s v="14.16"/>
    <n v="300"/>
    <s v="NL2018"/>
    <m/>
    <n v="1"/>
    <n v="300"/>
    <x v="10"/>
    <n v="1650000"/>
    <x v="0"/>
    <x v="30"/>
    <d v="2019-04-04T00:00:00"/>
    <d v="2019-04-04T00:00:00"/>
    <s v="30/2AL"/>
    <s v="CONT 14/2019"/>
    <d v="2019-03-31T00:00:00"/>
    <m/>
    <d v="2019-04-03T00:00:00"/>
    <n v="300"/>
    <m/>
    <m/>
    <m/>
    <m/>
    <m/>
    <m/>
    <n v="300"/>
    <n v="0"/>
    <n v="0"/>
    <m/>
  </r>
  <r>
    <s v="233/2019"/>
    <d v="2019-05-31T00:00:00"/>
    <s v="KIỀU THY"/>
    <s v="NH05"/>
    <x v="137"/>
    <x v="24"/>
    <s v="DALIAN"/>
    <m/>
    <s v="14.16"/>
    <s v="300"/>
    <s v="NL2018"/>
    <m/>
    <n v="2"/>
    <n v="600"/>
    <x v="6"/>
    <n v="3240000"/>
    <x v="0"/>
    <x v="1"/>
    <d v="2019-05-21T00:00:00"/>
    <d v="2019-05-21T00:00:00"/>
    <m/>
    <m/>
    <m/>
    <m/>
    <d v="2019-05-31T00:00:00"/>
    <s v="600"/>
    <m/>
    <m/>
    <m/>
    <m/>
    <m/>
    <m/>
    <n v="600"/>
    <n v="0"/>
    <n v="0"/>
    <m/>
  </r>
  <r>
    <s v="52B/2019"/>
    <d v="2019-02-16T00:00:00"/>
    <s v="THANH THÚY"/>
    <s v="PC01"/>
    <x v="138"/>
    <x v="78"/>
    <s v="YELLOWEEN"/>
    <m/>
    <s v="14.16"/>
    <n v="300"/>
    <s v="NL2018"/>
    <m/>
    <n v="2"/>
    <n v="600"/>
    <x v="45"/>
    <n v="2400000"/>
    <x v="0"/>
    <x v="10"/>
    <d v="2019-04-03T00:00:00"/>
    <d v="2019-04-03T00:00:00"/>
    <s v="30/2AL"/>
    <m/>
    <m/>
    <m/>
    <d v="2019-04-06T00:00:00"/>
    <n v="600"/>
    <m/>
    <m/>
    <m/>
    <m/>
    <m/>
    <m/>
    <n v="600"/>
    <n v="0"/>
    <n v="0"/>
    <m/>
  </r>
  <r>
    <s v="52B/2019"/>
    <d v="2019-02-16T00:00:00"/>
    <s v="THANH THÚY"/>
    <s v="PC01"/>
    <x v="138"/>
    <x v="57"/>
    <s v="YELLOWEEN"/>
    <m/>
    <s v="16.18"/>
    <n v="200"/>
    <s v="NL2018"/>
    <m/>
    <n v="10"/>
    <n v="2000"/>
    <x v="8"/>
    <n v="10000000"/>
    <x v="0"/>
    <x v="6"/>
    <d v="2019-02-19T00:00:00"/>
    <d v="2019-02-19T00:00:00"/>
    <s v="15/1AL"/>
    <m/>
    <m/>
    <m/>
    <d v="2019-02-23T00:00:00"/>
    <n v="2000"/>
    <m/>
    <m/>
    <m/>
    <m/>
    <m/>
    <m/>
    <n v="2000"/>
    <n v="0"/>
    <n v="0"/>
    <d v="2020-02-26T00:00:00"/>
  </r>
  <r>
    <s v="52B/2019"/>
    <d v="2019-02-16T00:00:00"/>
    <s v="THANH THÚY"/>
    <s v="PC01"/>
    <x v="138"/>
    <x v="35"/>
    <s v="TARRANGO"/>
    <m/>
    <s v="14.16"/>
    <n v="300"/>
    <s v="NL2018"/>
    <m/>
    <n v="7"/>
    <n v="2100"/>
    <x v="29"/>
    <n v="9660000"/>
    <x v="0"/>
    <x v="6"/>
    <d v="2019-02-19T00:00:00"/>
    <d v="2019-02-19T00:00:00"/>
    <s v="15/1AL"/>
    <m/>
    <m/>
    <m/>
    <d v="2019-04-06T00:00:00"/>
    <n v="2100"/>
    <m/>
    <m/>
    <m/>
    <m/>
    <m/>
    <m/>
    <n v="2100"/>
    <n v="0"/>
    <n v="0"/>
    <d v="2020-02-26T00:00:00"/>
  </r>
  <r>
    <s v="52B/2019"/>
    <d v="2019-02-16T00:00:00"/>
    <s v="THANH THÚY"/>
    <s v="PC01"/>
    <x v="138"/>
    <x v="35"/>
    <s v="TARRANGO"/>
    <m/>
    <s v="14.16"/>
    <n v="300"/>
    <s v="NL2018"/>
    <m/>
    <n v="0"/>
    <n v="0"/>
    <x v="29"/>
    <n v="0"/>
    <x v="1"/>
    <x v="10"/>
    <d v="2019-04-03T00:00:00"/>
    <d v="2019-04-03T00:00:00"/>
    <s v="30/2AL"/>
    <s v="CONT 17/2019"/>
    <m/>
    <m/>
    <m/>
    <n v="2100"/>
    <m/>
    <m/>
    <m/>
    <m/>
    <m/>
    <m/>
    <n v="2100"/>
    <n v="-2100"/>
    <n v="-9660000"/>
    <d v="2020-02-26T00:00:00"/>
  </r>
  <r>
    <s v="52B/2019"/>
    <d v="2019-02-16T00:00:00"/>
    <s v="THANH THÚY"/>
    <s v="PC01"/>
    <x v="138"/>
    <x v="2"/>
    <s v="SERANO"/>
    <m/>
    <s v="14.16"/>
    <n v="300"/>
    <s v="NL2018"/>
    <m/>
    <n v="7"/>
    <n v="2100"/>
    <x v="3"/>
    <n v="7350000"/>
    <x v="0"/>
    <x v="0"/>
    <d v="2019-03-20T00:00:00"/>
    <d v="2019-03-20T00:00:00"/>
    <s v="15/2AL"/>
    <m/>
    <m/>
    <m/>
    <d v="2019-04-06T00:00:00"/>
    <n v="2100"/>
    <m/>
    <m/>
    <m/>
    <m/>
    <m/>
    <m/>
    <n v="2100"/>
    <n v="0"/>
    <n v="0"/>
    <m/>
  </r>
  <r>
    <s v="217A/2019"/>
    <d v="2019-05-16T00:00:00"/>
    <s v="KIỀU THY"/>
    <s v="PH01"/>
    <x v="139"/>
    <x v="0"/>
    <s v="YELLOWEEN"/>
    <m/>
    <s v="12.14"/>
    <s v="400"/>
    <s v="NL2018"/>
    <m/>
    <n v="25"/>
    <n v="10000"/>
    <x v="37"/>
    <n v="28000000"/>
    <x v="0"/>
    <x v="1"/>
    <d v="2019-05-21T00:00:00"/>
    <d v="2019-05-21T00:00:00"/>
    <m/>
    <m/>
    <m/>
    <m/>
    <d v="2019-05-19T00:00:00"/>
    <n v="10000"/>
    <m/>
    <m/>
    <m/>
    <m/>
    <m/>
    <m/>
    <n v="10000"/>
    <n v="0"/>
    <n v="0"/>
    <m/>
  </r>
  <r>
    <s v="217A/2019"/>
    <d v="2019-05-16T00:00:00"/>
    <s v="KIỀU THY"/>
    <s v="PH01"/>
    <x v="139"/>
    <x v="78"/>
    <s v="YELLOWEEN"/>
    <m/>
    <s v="14.16"/>
    <s v="300"/>
    <s v="NL2018"/>
    <m/>
    <n v="24"/>
    <n v="7200"/>
    <x v="58"/>
    <n v="28080000"/>
    <x v="0"/>
    <x v="28"/>
    <d v="2019-06-07T00:00:00"/>
    <d v="2019-06-07T00:00:00"/>
    <m/>
    <m/>
    <m/>
    <m/>
    <d v="2019-06-10T00:00:00"/>
    <n v="7200"/>
    <m/>
    <m/>
    <m/>
    <m/>
    <m/>
    <m/>
    <n v="7200"/>
    <n v="0"/>
    <n v="0"/>
    <m/>
  </r>
  <r>
    <s v="217A/2019"/>
    <d v="2019-05-20T00:00:00"/>
    <s v="KIỀU THY"/>
    <s v="PH01"/>
    <x v="139"/>
    <x v="78"/>
    <s v="YELLOWEEN"/>
    <m/>
    <s v="14.16"/>
    <s v="300"/>
    <s v="NL2018"/>
    <m/>
    <n v="17"/>
    <n v="5100"/>
    <x v="45"/>
    <n v="20400000"/>
    <x v="4"/>
    <x v="18"/>
    <d v="2019-07-02T00:00:00"/>
    <d v="2019-07-02T00:00:00"/>
    <m/>
    <m/>
    <m/>
    <m/>
    <m/>
    <m/>
    <m/>
    <m/>
    <m/>
    <m/>
    <m/>
    <m/>
    <n v="0"/>
    <n v="5100"/>
    <n v="20400000"/>
    <m/>
  </r>
  <r>
    <s v="217A/2019"/>
    <d v="2019-05-31T00:00:00"/>
    <s v="KIỀU THY"/>
    <s v="PH01"/>
    <x v="139"/>
    <x v="78"/>
    <s v="YELLOWEEN"/>
    <m/>
    <s v="14.16"/>
    <s v="300"/>
    <s v="NL2018"/>
    <m/>
    <n v="17"/>
    <n v="5100"/>
    <x v="45"/>
    <n v="20400000"/>
    <x v="2"/>
    <x v="34"/>
    <d v="2019-08-01T00:00:00"/>
    <d v="2019-08-01T00:00:00"/>
    <m/>
    <m/>
    <m/>
    <m/>
    <m/>
    <m/>
    <m/>
    <m/>
    <m/>
    <m/>
    <m/>
    <m/>
    <n v="0"/>
    <n v="5100"/>
    <n v="20400000"/>
    <m/>
  </r>
  <r>
    <s v="220A/2019"/>
    <d v="2019-06-17T00:00:00"/>
    <s v="KIỀU THY"/>
    <s v="PH01"/>
    <x v="139"/>
    <x v="1"/>
    <s v="TARRANGO"/>
    <m/>
    <s v="18.20"/>
    <s v="150"/>
    <s v="NL2018"/>
    <m/>
    <n v="68"/>
    <n v="10200"/>
    <x v="170"/>
    <n v="95880000"/>
    <x v="2"/>
    <x v="2"/>
    <d v="2019-09-29T00:00:00"/>
    <d v="2019-09-29T00:00:00"/>
    <s v="TẾT"/>
    <m/>
    <m/>
    <m/>
    <m/>
    <m/>
    <m/>
    <m/>
    <m/>
    <m/>
    <m/>
    <m/>
    <n v="0"/>
    <n v="10200"/>
    <n v="95880000"/>
    <m/>
  </r>
  <r>
    <s v="220A/2019"/>
    <d v="2019-05-20T00:00:00"/>
    <s v="KIỀU THY"/>
    <s v="PH01"/>
    <x v="139"/>
    <x v="146"/>
    <s v="ROBINA"/>
    <m/>
    <s v="24.26"/>
    <s v="80"/>
    <s v="NL2018"/>
    <m/>
    <n v="63"/>
    <n v="5040"/>
    <x v="86"/>
    <n v="77112000"/>
    <x v="2"/>
    <x v="2"/>
    <d v="2019-09-29T00:00:00"/>
    <d v="2019-09-29T00:00:00"/>
    <s v="TẾT"/>
    <m/>
    <m/>
    <m/>
    <m/>
    <m/>
    <m/>
    <m/>
    <m/>
    <m/>
    <m/>
    <m/>
    <n v="0"/>
    <n v="5040"/>
    <n v="77112000"/>
    <m/>
  </r>
  <r>
    <s v="220A/2019"/>
    <d v="2019-06-17T00:00:00"/>
    <s v="KIỀU THY"/>
    <s v="PH01"/>
    <x v="139"/>
    <x v="4"/>
    <s v="ROBINA"/>
    <m/>
    <s v="20.22"/>
    <s v="125"/>
    <s v="NL2018"/>
    <m/>
    <n v="40"/>
    <n v="5000"/>
    <x v="34"/>
    <n v="53500000"/>
    <x v="2"/>
    <x v="2"/>
    <d v="2019-09-29T00:00:00"/>
    <d v="2019-09-29T00:00:00"/>
    <s v="TẾT"/>
    <m/>
    <m/>
    <m/>
    <m/>
    <m/>
    <m/>
    <m/>
    <m/>
    <m/>
    <m/>
    <m/>
    <n v="0"/>
    <n v="5000"/>
    <n v="53500000"/>
    <m/>
  </r>
  <r>
    <s v="217A/2019"/>
    <d v="2019-05-22T00:00:00"/>
    <s v="KIỀU THY"/>
    <s v="PH01"/>
    <x v="139"/>
    <x v="99"/>
    <s v="ROBINA"/>
    <m/>
    <s v="14.16"/>
    <s v="300"/>
    <s v="NL2018"/>
    <m/>
    <n v="27"/>
    <n v="8100"/>
    <x v="64"/>
    <n v="30780000"/>
    <x v="0"/>
    <x v="28"/>
    <d v="2019-06-07T00:00:00"/>
    <d v="2019-06-07T00:00:00"/>
    <m/>
    <m/>
    <m/>
    <m/>
    <d v="2019-06-17T00:00:00"/>
    <n v="8100"/>
    <m/>
    <m/>
    <m/>
    <m/>
    <m/>
    <m/>
    <n v="8100"/>
    <n v="0"/>
    <n v="0"/>
    <m/>
  </r>
  <r>
    <s v="217A/2019"/>
    <d v="2019-05-22T00:00:00"/>
    <s v="KIỀU THY"/>
    <s v="PH01"/>
    <x v="139"/>
    <x v="99"/>
    <s v="ROBINA"/>
    <m/>
    <s v="14.16"/>
    <s v="300"/>
    <s v="NL2018"/>
    <m/>
    <n v="34"/>
    <n v="10200"/>
    <x v="58"/>
    <n v="39780000"/>
    <x v="4"/>
    <x v="18"/>
    <d v="2019-07-02T00:00:00"/>
    <d v="2019-07-02T00:00:00"/>
    <m/>
    <m/>
    <m/>
    <m/>
    <m/>
    <m/>
    <m/>
    <m/>
    <m/>
    <m/>
    <m/>
    <m/>
    <n v="0"/>
    <n v="10200"/>
    <n v="39780000"/>
    <m/>
  </r>
  <r>
    <s v="217A/2019"/>
    <d v="2019-05-31T00:00:00"/>
    <s v="KIỀU THY"/>
    <s v="PH01"/>
    <x v="139"/>
    <x v="99"/>
    <s v="ROBINA"/>
    <m/>
    <s v="14.16"/>
    <s v="300"/>
    <s v="NL2018"/>
    <m/>
    <n v="34"/>
    <n v="10200"/>
    <x v="58"/>
    <n v="39780000"/>
    <x v="2"/>
    <x v="34"/>
    <d v="2019-08-01T00:00:00"/>
    <d v="2019-08-01T00:00:00"/>
    <m/>
    <m/>
    <m/>
    <m/>
    <m/>
    <m/>
    <m/>
    <m/>
    <m/>
    <m/>
    <m/>
    <m/>
    <n v="0"/>
    <n v="10200"/>
    <n v="39780000"/>
    <m/>
  </r>
  <r>
    <s v="220A/2019"/>
    <d v="2019-05-16T00:00:00"/>
    <s v="KIỀU THY"/>
    <s v="PH01"/>
    <x v="139"/>
    <x v="109"/>
    <s v="MANISSA"/>
    <m/>
    <s v="24.26"/>
    <s v="80"/>
    <s v="NL2018"/>
    <m/>
    <n v="35"/>
    <n v="2800"/>
    <x v="117"/>
    <n v="45360000"/>
    <x v="2"/>
    <x v="2"/>
    <d v="2019-09-29T00:00:00"/>
    <d v="2019-09-29T00:00:00"/>
    <s v="TẾT"/>
    <m/>
    <m/>
    <m/>
    <m/>
    <m/>
    <m/>
    <m/>
    <m/>
    <m/>
    <m/>
    <m/>
    <n v="0"/>
    <n v="2800"/>
    <n v="45360000"/>
    <m/>
  </r>
  <r>
    <s v="220A/2019"/>
    <d v="2019-05-16T00:00:00"/>
    <s v="KIỀU THY"/>
    <s v="PH01"/>
    <x v="139"/>
    <x v="65"/>
    <s v="MANISSA"/>
    <m/>
    <s v="20.22"/>
    <s v="125"/>
    <s v="NL2018"/>
    <m/>
    <n v="19"/>
    <n v="2375"/>
    <x v="169"/>
    <n v="32300000"/>
    <x v="2"/>
    <x v="2"/>
    <d v="2019-09-29T00:00:00"/>
    <d v="2019-09-29T00:00:00"/>
    <s v="TẾT"/>
    <m/>
    <m/>
    <m/>
    <m/>
    <m/>
    <m/>
    <m/>
    <m/>
    <m/>
    <m/>
    <m/>
    <n v="0"/>
    <n v="2375"/>
    <n v="32300000"/>
    <m/>
  </r>
  <r>
    <s v="217A/2019"/>
    <d v="2019-06-05T00:00:00"/>
    <s v="KIỀU THY"/>
    <s v="PH01"/>
    <x v="139"/>
    <x v="24"/>
    <s v="DALIAN"/>
    <m/>
    <s v="14.16"/>
    <s v="300"/>
    <s v="NL2018"/>
    <m/>
    <n v="9"/>
    <n v="2700"/>
    <x v="10"/>
    <n v="14850000"/>
    <x v="0"/>
    <x v="28"/>
    <d v="2019-06-07T00:00:00"/>
    <d v="2019-06-07T00:00:00"/>
    <m/>
    <m/>
    <m/>
    <m/>
    <d v="2019-06-17T00:00:00"/>
    <n v="2700"/>
    <m/>
    <m/>
    <m/>
    <m/>
    <m/>
    <m/>
    <n v="2700"/>
    <n v="0"/>
    <n v="0"/>
    <m/>
  </r>
  <r>
    <s v="217A/2019"/>
    <d v="2019-06-12T00:00:00"/>
    <s v="KIỀU THY"/>
    <s v="PH01"/>
    <x v="139"/>
    <x v="24"/>
    <s v="DALIAN"/>
    <m/>
    <s v="14.16"/>
    <s v="300"/>
    <s v="NL2018"/>
    <m/>
    <n v="17"/>
    <n v="5100"/>
    <x v="10"/>
    <n v="28050000"/>
    <x v="0"/>
    <x v="28"/>
    <d v="2019-06-07T00:00:00"/>
    <d v="2019-06-07T00:00:00"/>
    <m/>
    <m/>
    <m/>
    <m/>
    <d v="2019-06-17T00:00:00"/>
    <n v="5100"/>
    <m/>
    <m/>
    <m/>
    <m/>
    <m/>
    <m/>
    <n v="5100"/>
    <n v="0"/>
    <n v="0"/>
    <m/>
  </r>
  <r>
    <s v="220A/2019"/>
    <d v="2019-06-17T00:00:00"/>
    <s v="KIỀU THY"/>
    <s v="PH01"/>
    <x v="139"/>
    <x v="7"/>
    <s v="CONCADOR"/>
    <m/>
    <s v="20.22"/>
    <s v="125"/>
    <s v="NL2018"/>
    <m/>
    <n v="40"/>
    <n v="5000"/>
    <x v="35"/>
    <n v="53000000"/>
    <x v="2"/>
    <x v="2"/>
    <d v="2019-09-29T00:00:00"/>
    <d v="2019-09-29T00:00:00"/>
    <s v="TẾT"/>
    <m/>
    <m/>
    <m/>
    <m/>
    <m/>
    <m/>
    <m/>
    <m/>
    <m/>
    <m/>
    <m/>
    <n v="0"/>
    <n v="5000"/>
    <n v="53000000"/>
    <m/>
  </r>
  <r>
    <s v="217A/2019"/>
    <d v="2019-06-12T00:00:00"/>
    <s v="KIỀU THY"/>
    <s v="PH01"/>
    <x v="139"/>
    <x v="56"/>
    <s v="ALUSTA"/>
    <m/>
    <s v="14.16"/>
    <s v="300"/>
    <s v="NL2018"/>
    <m/>
    <n v="17"/>
    <n v="5100"/>
    <x v="40"/>
    <n v="21420000"/>
    <x v="0"/>
    <x v="28"/>
    <d v="2019-06-07T00:00:00"/>
    <d v="2019-06-07T00:00:00"/>
    <m/>
    <m/>
    <m/>
    <m/>
    <d v="2019-06-17T00:00:00"/>
    <n v="5100"/>
    <m/>
    <m/>
    <m/>
    <m/>
    <m/>
    <m/>
    <n v="5100"/>
    <n v="0"/>
    <n v="0"/>
    <m/>
  </r>
  <r>
    <s v="43A/2019"/>
    <d v="2019-02-12T00:00:00"/>
    <s v="KIỀU THY"/>
    <s v="TA04"/>
    <x v="140"/>
    <x v="35"/>
    <s v="TARRANGO"/>
    <m/>
    <s v="14.16"/>
    <n v="300"/>
    <s v="NL2018"/>
    <m/>
    <n v="0"/>
    <n v="0"/>
    <x v="29"/>
    <n v="0"/>
    <x v="1"/>
    <x v="5"/>
    <d v="2019-04-19T00:00:00"/>
    <d v="2019-04-19T00:00:00"/>
    <s v="15/2AL_3.000+10/03AL_4.000"/>
    <s v="CONT 24/2019"/>
    <d v="2019-04-14T00:00:00"/>
    <s v="R"/>
    <m/>
    <n v="0"/>
    <m/>
    <m/>
    <m/>
    <m/>
    <m/>
    <m/>
    <n v="0"/>
    <n v="0"/>
    <n v="0"/>
    <m/>
  </r>
  <r>
    <s v="43A/2019"/>
    <d v="2019-02-12T00:00:00"/>
    <s v="KIỀU THY"/>
    <s v="TA04"/>
    <x v="140"/>
    <x v="35"/>
    <s v="TARRANGO"/>
    <m/>
    <s v="14.16"/>
    <n v="300"/>
    <s v="NL2018"/>
    <m/>
    <n v="7"/>
    <n v="2100"/>
    <x v="29"/>
    <n v="9660000"/>
    <x v="0"/>
    <x v="0"/>
    <d v="2019-03-20T00:00:00"/>
    <d v="2019-03-20T00:00:00"/>
    <s v="15/2AL_3.000+10/03AL_4.000"/>
    <s v="CONT 10/2019"/>
    <d v="2019-03-17T00:00:00"/>
    <s v="R"/>
    <d v="2019-03-23T00:00:00"/>
    <n v="2100"/>
    <m/>
    <m/>
    <m/>
    <m/>
    <m/>
    <m/>
    <n v="2100"/>
    <n v="0"/>
    <n v="0"/>
    <m/>
  </r>
  <r>
    <s v="43A/2019"/>
    <d v="2019-02-12T00:00:00"/>
    <s v="KIỀU THY"/>
    <s v="TA04"/>
    <x v="140"/>
    <x v="3"/>
    <s v="ROBINA"/>
    <m/>
    <s v="16.18"/>
    <n v="200"/>
    <s v="NL2018"/>
    <m/>
    <n v="0"/>
    <n v="0"/>
    <x v="8"/>
    <n v="0"/>
    <x v="1"/>
    <x v="5"/>
    <d v="2019-04-19T00:00:00"/>
    <d v="2019-04-19T00:00:00"/>
    <s v="15/3AL"/>
    <s v="CONT 26/2019"/>
    <d v="2019-04-14T00:00:00"/>
    <s v="R"/>
    <m/>
    <n v="0"/>
    <m/>
    <m/>
    <m/>
    <m/>
    <m/>
    <m/>
    <n v="0"/>
    <n v="0"/>
    <n v="0"/>
    <m/>
  </r>
  <r>
    <s v="43A/2019"/>
    <d v="2019-05-20T00:00:00"/>
    <s v="KIỀU THY"/>
    <s v="TA04"/>
    <x v="140"/>
    <x v="24"/>
    <s v="DALIAN"/>
    <m/>
    <s v="14.16"/>
    <n v="300"/>
    <s v="NL2018"/>
    <m/>
    <n v="7"/>
    <n v="2100"/>
    <x v="10"/>
    <n v="11550000"/>
    <x v="0"/>
    <x v="1"/>
    <d v="2019-05-21T00:00:00"/>
    <d v="2019-05-21T00:00:00"/>
    <m/>
    <m/>
    <m/>
    <m/>
    <d v="2019-05-21T00:00:00"/>
    <n v="2100"/>
    <m/>
    <m/>
    <m/>
    <m/>
    <m/>
    <m/>
    <n v="2100"/>
    <n v="0"/>
    <n v="0"/>
    <m/>
  </r>
  <r>
    <s v="43A/2019"/>
    <d v="2019-02-12T00:00:00"/>
    <s v="KIỀU THY"/>
    <s v="TA04"/>
    <x v="140"/>
    <x v="81"/>
    <s v="BACARDI"/>
    <m/>
    <s v="16.18"/>
    <n v="200"/>
    <s v="NL2018"/>
    <m/>
    <n v="0"/>
    <n v="0"/>
    <x v="75"/>
    <n v="0"/>
    <x v="1"/>
    <x v="0"/>
    <d v="2019-03-20T00:00:00"/>
    <d v="2019-03-20T00:00:00"/>
    <s v="15/2AL"/>
    <s v="CONT 11/2019"/>
    <d v="2019-03-17T00:00:00"/>
    <m/>
    <m/>
    <m/>
    <m/>
    <m/>
    <m/>
    <m/>
    <m/>
    <m/>
    <n v="0"/>
    <n v="0"/>
    <n v="0"/>
    <m/>
  </r>
  <r>
    <s v="43A/2019"/>
    <d v="2019-02-12T00:00:00"/>
    <s v="KIỀU THY"/>
    <s v="TA04"/>
    <x v="140"/>
    <x v="63"/>
    <s v="BACARDI"/>
    <m/>
    <s v="15.16"/>
    <n v="250"/>
    <s v="NL2018"/>
    <m/>
    <n v="0"/>
    <n v="0"/>
    <x v="74"/>
    <n v="0"/>
    <x v="1"/>
    <x v="5"/>
    <d v="2019-04-19T00:00:00"/>
    <d v="2019-04-19T00:00:00"/>
    <s v="15/3AL"/>
    <s v="CONT 22/2019"/>
    <d v="2019-04-14T00:00:00"/>
    <s v="R"/>
    <m/>
    <n v="0"/>
    <m/>
    <m/>
    <m/>
    <m/>
    <m/>
    <m/>
    <n v="0"/>
    <n v="0"/>
    <n v="0"/>
    <s v="check lai gia"/>
  </r>
  <r>
    <s v="43A/2019"/>
    <d v="2019-02-12T00:00:00"/>
    <s v="KIỀU THY"/>
    <s v="TA04"/>
    <x v="140"/>
    <x v="13"/>
    <s v="BACARDI"/>
    <m/>
    <s v="15.16"/>
    <n v="300"/>
    <s v="NL2018"/>
    <m/>
    <n v="7"/>
    <n v="2100"/>
    <x v="74"/>
    <n v="9177000"/>
    <x v="0"/>
    <x v="0"/>
    <d v="2019-03-20T00:00:00"/>
    <d v="2019-03-20T00:00:00"/>
    <s v="15/2AL"/>
    <s v="CONT 11/2019"/>
    <d v="2019-03-17T00:00:00"/>
    <s v="R"/>
    <d v="2019-03-23T00:00:00"/>
    <n v="2100"/>
    <m/>
    <m/>
    <m/>
    <m/>
    <m/>
    <m/>
    <n v="2100"/>
    <n v="0"/>
    <n v="0"/>
    <m/>
  </r>
  <r>
    <s v="143B/2019"/>
    <d v="2019-03-19T00:00:00"/>
    <s v="THANH THÚY"/>
    <s v="BL02"/>
    <x v="141"/>
    <x v="17"/>
    <s v="THALITA"/>
    <s v="RL"/>
    <s v="12.14"/>
    <n v="400"/>
    <s v="NL2018"/>
    <m/>
    <n v="1"/>
    <n v="400"/>
    <x v="46"/>
    <n v="3400000"/>
    <x v="0"/>
    <x v="36"/>
    <d v="2019-05-04T00:00:00"/>
    <d v="2019-05-04T00:00:00"/>
    <s v="30/3AL"/>
    <m/>
    <m/>
    <m/>
    <d v="2019-06-05T00:00:00"/>
    <n v="400"/>
    <m/>
    <m/>
    <m/>
    <m/>
    <m/>
    <m/>
    <n v="400"/>
    <n v="0"/>
    <n v="0"/>
    <m/>
  </r>
  <r>
    <s v="143B/2019"/>
    <d v="2019-03-19T00:00:00"/>
    <s v="THANH THÚY"/>
    <s v="BL02"/>
    <x v="141"/>
    <x v="66"/>
    <s v="TARRANGO"/>
    <m/>
    <s v="20.22"/>
    <n v="125"/>
    <s v="NL2018"/>
    <m/>
    <n v="20"/>
    <n v="2500"/>
    <x v="27"/>
    <n v="27000000"/>
    <x v="2"/>
    <x v="2"/>
    <d v="2019-09-29T00:00:00"/>
    <d v="2019-09-29T00:00:00"/>
    <s v="TẾT"/>
    <m/>
    <m/>
    <m/>
    <m/>
    <m/>
    <m/>
    <m/>
    <m/>
    <m/>
    <m/>
    <m/>
    <n v="0"/>
    <n v="2500"/>
    <n v="27000000"/>
    <m/>
  </r>
  <r>
    <s v="143B/2019"/>
    <d v="2019-03-19T00:00:00"/>
    <s v="THANH THÚY"/>
    <s v="BL02"/>
    <x v="141"/>
    <x v="4"/>
    <s v="ROBINA"/>
    <m/>
    <s v="20.22"/>
    <n v="125"/>
    <s v="NL2018"/>
    <m/>
    <n v="16"/>
    <n v="2000"/>
    <x v="5"/>
    <n v="21000000"/>
    <x v="2"/>
    <x v="2"/>
    <d v="2019-09-29T00:00:00"/>
    <d v="2019-09-29T00:00:00"/>
    <s v="TẾT"/>
    <m/>
    <m/>
    <m/>
    <m/>
    <m/>
    <m/>
    <m/>
    <m/>
    <m/>
    <m/>
    <m/>
    <n v="0"/>
    <n v="2000"/>
    <n v="21000000"/>
    <m/>
  </r>
  <r>
    <s v="143B/2019"/>
    <d v="2019-03-19T00:00:00"/>
    <s v="THANH THÚY"/>
    <s v="BL02"/>
    <x v="141"/>
    <x v="123"/>
    <s v="PATRICIA"/>
    <s v="RL"/>
    <s v="12.14"/>
    <n v="400"/>
    <s v="NL2018"/>
    <m/>
    <n v="8"/>
    <n v="3200"/>
    <x v="20"/>
    <n v="28160000"/>
    <x v="2"/>
    <x v="2"/>
    <d v="2019-09-29T00:00:00"/>
    <d v="2019-09-29T00:00:00"/>
    <s v="TẾT"/>
    <m/>
    <m/>
    <m/>
    <m/>
    <m/>
    <m/>
    <m/>
    <m/>
    <m/>
    <m/>
    <m/>
    <n v="0"/>
    <n v="3200"/>
    <n v="28160000"/>
    <m/>
  </r>
  <r>
    <s v="143B/2019"/>
    <d v="2019-03-19T00:00:00"/>
    <s v="THANH THÚY"/>
    <s v="BL02"/>
    <x v="141"/>
    <x v="167"/>
    <s v="OUTBACK"/>
    <m/>
    <s v="14.16"/>
    <n v="300"/>
    <s v="NL2018"/>
    <m/>
    <n v="7"/>
    <n v="2100"/>
    <x v="8"/>
    <n v="10500000"/>
    <x v="0"/>
    <x v="36"/>
    <d v="2019-05-04T00:00:00"/>
    <d v="2019-05-04T00:00:00"/>
    <s v="30/3AL"/>
    <m/>
    <m/>
    <m/>
    <d v="2019-06-05T00:00:00"/>
    <n v="2100"/>
    <m/>
    <m/>
    <m/>
    <m/>
    <m/>
    <m/>
    <n v="2100"/>
    <n v="0"/>
    <n v="0"/>
    <m/>
  </r>
  <r>
    <s v="143B/2019"/>
    <d v="2019-03-19T00:00:00"/>
    <s v="THANH THÚY"/>
    <s v="BL02"/>
    <x v="141"/>
    <x v="190"/>
    <s v="OUTBACK"/>
    <m/>
    <s v="18.20"/>
    <n v="150"/>
    <s v="NL2018"/>
    <m/>
    <n v="14"/>
    <n v="2100"/>
    <x v="107"/>
    <n v="21420000"/>
    <x v="2"/>
    <x v="2"/>
    <d v="2019-09-29T00:00:00"/>
    <d v="2019-09-29T00:00:00"/>
    <s v="TẾT"/>
    <m/>
    <m/>
    <m/>
    <m/>
    <m/>
    <m/>
    <m/>
    <m/>
    <m/>
    <m/>
    <m/>
    <n v="0"/>
    <n v="2100"/>
    <n v="21420000"/>
    <m/>
  </r>
  <r>
    <s v="143B/2019"/>
    <d v="2019-06-11T00:00:00"/>
    <s v="THANH THÚY"/>
    <s v="BL02"/>
    <x v="141"/>
    <x v="24"/>
    <s v="DALIAN"/>
    <m/>
    <s v="14.16"/>
    <n v="300"/>
    <s v="NL2018"/>
    <m/>
    <n v="2"/>
    <n v="600"/>
    <x v="10"/>
    <n v="3300000"/>
    <x v="0"/>
    <x v="28"/>
    <d v="2019-06-07T00:00:00"/>
    <d v="2019-06-07T00:00:00"/>
    <m/>
    <m/>
    <m/>
    <m/>
    <d v="2019-06-11T00:00:00"/>
    <n v="600"/>
    <m/>
    <m/>
    <m/>
    <m/>
    <m/>
    <m/>
    <n v="600"/>
    <n v="0"/>
    <n v="0"/>
    <m/>
  </r>
  <r>
    <s v="143B/2019"/>
    <d v="2019-03-19T00:00:00"/>
    <s v="THANH THÚY"/>
    <s v="BL02"/>
    <x v="141"/>
    <x v="126"/>
    <s v="DALIAN"/>
    <m/>
    <s v="18.20"/>
    <n v="150"/>
    <s v="NL2018"/>
    <m/>
    <n v="14"/>
    <n v="2100"/>
    <x v="191"/>
    <n v="25410000"/>
    <x v="2"/>
    <x v="2"/>
    <d v="2019-09-29T00:00:00"/>
    <d v="2019-09-29T00:00:00"/>
    <s v="TẾT"/>
    <m/>
    <m/>
    <m/>
    <m/>
    <m/>
    <m/>
    <m/>
    <m/>
    <m/>
    <m/>
    <m/>
    <n v="0"/>
    <n v="2100"/>
    <n v="25410000"/>
    <m/>
  </r>
  <r>
    <s v="13B/2019"/>
    <d v="2019-01-05T00:00:00"/>
    <s v="THANH THÚY"/>
    <s v="KN01"/>
    <x v="142"/>
    <x v="0"/>
    <s v="YELLOWEEN"/>
    <m/>
    <s v="12.14"/>
    <n v="400"/>
    <s v="NL2018"/>
    <m/>
    <n v="75"/>
    <n v="30000"/>
    <x v="0"/>
    <n v="78000000"/>
    <x v="0"/>
    <x v="6"/>
    <d v="2019-02-19T00:00:00"/>
    <d v="2019-02-19T00:00:00"/>
    <s v="15/1AL"/>
    <m/>
    <m/>
    <m/>
    <d v="2019-02-19T00:00:00"/>
    <n v="30000"/>
    <m/>
    <m/>
    <m/>
    <m/>
    <m/>
    <m/>
    <n v="30000"/>
    <n v="0"/>
    <n v="0"/>
    <d v="2020-02-27T00:00:00"/>
  </r>
  <r>
    <s v="13B/2019"/>
    <d v="2019-01-05T00:00:00"/>
    <s v="THANH THÚY"/>
    <s v="KN01"/>
    <x v="142"/>
    <x v="0"/>
    <s v="YELLOWEEN"/>
    <m/>
    <s v="12.14"/>
    <n v="400"/>
    <s v="NL2018"/>
    <m/>
    <n v="38"/>
    <n v="15200"/>
    <x v="0"/>
    <n v="39520000"/>
    <x v="0"/>
    <x v="0"/>
    <d v="2019-03-20T00:00:00"/>
    <d v="2019-03-20T00:00:00"/>
    <s v="15/2AL"/>
    <s v="CONT 12/2019"/>
    <m/>
    <m/>
    <d v="2019-03-19T00:00:00"/>
    <n v="15200"/>
    <m/>
    <m/>
    <m/>
    <m/>
    <m/>
    <m/>
    <n v="15200"/>
    <n v="0"/>
    <n v="0"/>
    <d v="2020-02-27T00:00:00"/>
  </r>
  <r>
    <s v="13B/2019"/>
    <d v="2019-01-05T00:00:00"/>
    <s v="THANH THÚY"/>
    <s v="KN01"/>
    <x v="142"/>
    <x v="0"/>
    <s v="YELLOWEEN"/>
    <m/>
    <s v="12.14"/>
    <n v="400"/>
    <s v="NL2018"/>
    <m/>
    <n v="38"/>
    <n v="15200"/>
    <x v="0"/>
    <n v="39520000"/>
    <x v="0"/>
    <x v="10"/>
    <d v="2019-04-03T00:00:00"/>
    <d v="2019-04-03T00:00:00"/>
    <s v="28/2AL"/>
    <s v="CONT 15/2019"/>
    <m/>
    <m/>
    <d v="2019-04-05T00:00:00"/>
    <n v="15200"/>
    <m/>
    <m/>
    <m/>
    <m/>
    <m/>
    <m/>
    <n v="15200"/>
    <n v="0"/>
    <n v="0"/>
    <d v="2020-03-27T00:00:00"/>
  </r>
  <r>
    <s v="13B/2019"/>
    <d v="2019-01-05T00:00:00"/>
    <s v="THANH THÚY"/>
    <s v="KN01"/>
    <x v="142"/>
    <x v="0"/>
    <s v="YELLOWEEN"/>
    <m/>
    <s v="12.14"/>
    <n v="400"/>
    <s v="NL2018"/>
    <m/>
    <n v="75"/>
    <n v="30000"/>
    <x v="0"/>
    <n v="78000000"/>
    <x v="0"/>
    <x v="5"/>
    <d v="2019-04-19T00:00:00"/>
    <d v="2019-04-19T00:00:00"/>
    <s v="15/3AL"/>
    <s v="CONT 24/2019"/>
    <m/>
    <m/>
    <d v="2019-04-17T00:00:00"/>
    <n v="15200"/>
    <d v="2019-05-06T00:00:00"/>
    <n v="14800"/>
    <m/>
    <m/>
    <m/>
    <m/>
    <n v="30000"/>
    <n v="0"/>
    <n v="0"/>
    <d v="2020-03-27T00:00:00"/>
  </r>
  <r>
    <s v="13B/2019"/>
    <d v="2019-06-18T00:00:00"/>
    <s v="THANH THÚY"/>
    <s v="KN01"/>
    <x v="142"/>
    <x v="78"/>
    <s v="YELLOWEEN"/>
    <m/>
    <s v="14.16"/>
    <n v="300"/>
    <s v="NL2018"/>
    <m/>
    <n v="17"/>
    <n v="5100"/>
    <x v="58"/>
    <n v="19890000"/>
    <x v="0"/>
    <x v="61"/>
    <d v="2019-07-20T00:00:00"/>
    <d v="2019-07-20T00:00:00"/>
    <m/>
    <m/>
    <m/>
    <m/>
    <d v="2019-06-18T00:00:00"/>
    <n v="5100"/>
    <m/>
    <m/>
    <m/>
    <m/>
    <m/>
    <m/>
    <n v="5100"/>
    <n v="0"/>
    <n v="0"/>
    <m/>
  </r>
  <r>
    <s v="13B/2019"/>
    <d v="2019-01-05T00:00:00"/>
    <s v="THANH THÚY"/>
    <s v="KN01"/>
    <x v="142"/>
    <x v="0"/>
    <s v="YELLOWEEN"/>
    <m/>
    <s v="12.14"/>
    <n v="400"/>
    <s v="NL2018"/>
    <m/>
    <n v="0"/>
    <n v="0"/>
    <x v="192"/>
    <n v="0"/>
    <x v="1"/>
    <x v="73"/>
    <d v="2019-06-17T00:00:00"/>
    <d v="2019-06-17T00:00:00"/>
    <s v="15/5AL"/>
    <m/>
    <m/>
    <m/>
    <m/>
    <m/>
    <m/>
    <m/>
    <m/>
    <m/>
    <m/>
    <m/>
    <n v="0"/>
    <n v="0"/>
    <n v="0"/>
    <d v="2020-03-27T00:00:00"/>
  </r>
  <r>
    <s v="13B/2019"/>
    <d v="2019-06-14T00:00:00"/>
    <s v="THANH THÚY"/>
    <s v="KN01"/>
    <x v="142"/>
    <x v="78"/>
    <s v="YELLOWEEN"/>
    <m/>
    <s v="14.16"/>
    <n v="300"/>
    <s v="NL2018"/>
    <m/>
    <n v="67"/>
    <n v="20100"/>
    <x v="45"/>
    <n v="80400000"/>
    <x v="4"/>
    <x v="4"/>
    <d v="2019-07-17T00:00:00"/>
    <d v="2019-07-17T00:00:00"/>
    <m/>
    <m/>
    <m/>
    <m/>
    <m/>
    <m/>
    <m/>
    <m/>
    <m/>
    <m/>
    <m/>
    <m/>
    <n v="0"/>
    <n v="20100"/>
    <n v="80400000"/>
    <m/>
  </r>
  <r>
    <s v="13B/2019"/>
    <d v="2019-05-28T00:00:00"/>
    <s v="THANH THÚY"/>
    <s v="KN01"/>
    <x v="142"/>
    <x v="78"/>
    <s v="YELLOWEEN"/>
    <m/>
    <s v="14.16"/>
    <n v="300"/>
    <s v="NL2018"/>
    <m/>
    <n v="50"/>
    <n v="15000"/>
    <x v="58"/>
    <n v="58500000"/>
    <x v="3"/>
    <x v="3"/>
    <d v="2019-06-20T00:00:00"/>
    <d v="2019-06-20T00:00:00"/>
    <m/>
    <m/>
    <m/>
    <m/>
    <d v="2019-06-20T00:00:00"/>
    <n v="10200"/>
    <m/>
    <m/>
    <m/>
    <m/>
    <m/>
    <m/>
    <n v="10200"/>
    <n v="4800"/>
    <n v="18720000"/>
    <m/>
  </r>
  <r>
    <s v="13B/2019"/>
    <d v="2019-01-05T00:00:00"/>
    <s v="THANH THÚY"/>
    <s v="KN01"/>
    <x v="142"/>
    <x v="78"/>
    <s v="YELLOWEEN"/>
    <m/>
    <s v="14.16"/>
    <n v="300"/>
    <s v="NL2018"/>
    <m/>
    <n v="0"/>
    <n v="0"/>
    <x v="64"/>
    <n v="0"/>
    <x v="1"/>
    <x v="26"/>
    <s v=""/>
    <s v=""/>
    <m/>
    <m/>
    <m/>
    <m/>
    <m/>
    <n v="0"/>
    <m/>
    <m/>
    <m/>
    <m/>
    <m/>
    <m/>
    <n v="0"/>
    <n v="0"/>
    <n v="0"/>
    <d v="2020-03-27T00:00:00"/>
  </r>
  <r>
    <s v="13B/2019"/>
    <d v="2019-01-05T00:00:00"/>
    <s v="THANH THÚY"/>
    <s v="KN01"/>
    <x v="142"/>
    <x v="0"/>
    <s v="YELLOWEEN"/>
    <m/>
    <s v="12.14"/>
    <n v="400"/>
    <s v="NL2018"/>
    <m/>
    <n v="75"/>
    <n v="30000"/>
    <x v="1"/>
    <n v="81000000"/>
    <x v="0"/>
    <x v="1"/>
    <d v="2019-05-21T00:00:00"/>
    <d v="2019-05-21T00:00:00"/>
    <s v="29/4AL"/>
    <m/>
    <m/>
    <m/>
    <m/>
    <n v="14800"/>
    <d v="2019-05-31T00:00:00"/>
    <n v="15200"/>
    <m/>
    <m/>
    <m/>
    <m/>
    <n v="30000"/>
    <n v="0"/>
    <n v="0"/>
    <d v="2020-03-27T00:00:00"/>
  </r>
  <r>
    <s v="13B/2019"/>
    <d v="2019-01-05T00:00:00"/>
    <s v="THANH THÚY"/>
    <s v="KN01"/>
    <x v="142"/>
    <x v="17"/>
    <s v="THALITA"/>
    <s v="RL"/>
    <s v="12.14"/>
    <n v="400"/>
    <s v="NL2018"/>
    <m/>
    <n v="0"/>
    <n v="0"/>
    <x v="9"/>
    <n v="0"/>
    <x v="1"/>
    <x v="81"/>
    <d v="2019-02-23T00:00:00"/>
    <d v="2019-02-23T00:00:00"/>
    <s v="23/1AL. Kh chưa lấy"/>
    <m/>
    <m/>
    <m/>
    <m/>
    <n v="0"/>
    <m/>
    <m/>
    <m/>
    <m/>
    <m/>
    <m/>
    <n v="0"/>
    <n v="0"/>
    <n v="0"/>
    <d v="2020-03-27T00:00:00"/>
  </r>
  <r>
    <s v="13B/2019"/>
    <d v="2019-01-05T00:00:00"/>
    <s v="THANH THÚY"/>
    <s v="KN01"/>
    <x v="142"/>
    <x v="17"/>
    <s v="THALITA"/>
    <s v="RL"/>
    <s v="12.14"/>
    <n v="400"/>
    <s v="NL2018"/>
    <m/>
    <n v="5"/>
    <n v="2000"/>
    <x v="9"/>
    <n v="16000000"/>
    <x v="0"/>
    <x v="81"/>
    <d v="2019-02-23T00:00:00"/>
    <d v="2019-02-23T00:00:00"/>
    <s v="23/1AL"/>
    <m/>
    <m/>
    <m/>
    <d v="2019-02-27T00:00:00"/>
    <n v="2000"/>
    <m/>
    <m/>
    <m/>
    <m/>
    <m/>
    <m/>
    <n v="2000"/>
    <n v="0"/>
    <n v="0"/>
    <d v="2020-03-27T00:00:00"/>
  </r>
  <r>
    <s v="13B/2019"/>
    <d v="2019-01-05T00:00:00"/>
    <s v="THANH THÚY"/>
    <s v="KN01"/>
    <x v="142"/>
    <x v="26"/>
    <s v="SENSI"/>
    <m/>
    <s v="16.18"/>
    <n v="200"/>
    <s v="NL2018"/>
    <m/>
    <n v="25"/>
    <n v="5000"/>
    <x v="10"/>
    <n v="27500000"/>
    <x v="0"/>
    <x v="81"/>
    <d v="2019-02-23T00:00:00"/>
    <d v="2019-02-23T00:00:00"/>
    <s v="23/1AL"/>
    <m/>
    <m/>
    <m/>
    <d v="2019-02-27T00:00:00"/>
    <n v="5000"/>
    <m/>
    <m/>
    <m/>
    <m/>
    <m/>
    <m/>
    <n v="5000"/>
    <n v="0"/>
    <n v="0"/>
    <d v="2020-03-27T00:00:00"/>
  </r>
  <r>
    <s v="13B/2019"/>
    <d v="2019-01-05T00:00:00"/>
    <s v="THANH THÚY"/>
    <s v="KN01"/>
    <x v="142"/>
    <x v="26"/>
    <s v="SENSI"/>
    <m/>
    <s v="16.18"/>
    <n v="200"/>
    <s v="NL2018"/>
    <m/>
    <n v="25"/>
    <n v="5000"/>
    <x v="10"/>
    <n v="27500000"/>
    <x v="0"/>
    <x v="81"/>
    <d v="2019-02-23T00:00:00"/>
    <d v="2019-02-23T00:00:00"/>
    <s v="23/1AL"/>
    <m/>
    <m/>
    <m/>
    <d v="2019-03-14T00:00:00"/>
    <n v="5000"/>
    <m/>
    <m/>
    <m/>
    <m/>
    <m/>
    <m/>
    <n v="5000"/>
    <n v="0"/>
    <n v="0"/>
    <d v="2020-03-27T00:00:00"/>
  </r>
  <r>
    <s v="13B/2019"/>
    <d v="2019-01-05T00:00:00"/>
    <s v="THANH THÚY"/>
    <s v="KN01"/>
    <x v="142"/>
    <x v="26"/>
    <s v="SENSI"/>
    <m/>
    <s v="16.18"/>
    <n v="200"/>
    <s v="NL2018"/>
    <m/>
    <n v="50"/>
    <n v="10000"/>
    <x v="10"/>
    <n v="55000000"/>
    <x v="0"/>
    <x v="10"/>
    <d v="2019-04-03T00:00:00"/>
    <d v="2019-04-03T00:00:00"/>
    <s v="28/2AL"/>
    <s v="CONT 15/2019"/>
    <m/>
    <m/>
    <d v="2019-04-05T00:00:00"/>
    <n v="5000"/>
    <d v="2019-05-06T00:00:00"/>
    <n v="5000"/>
    <m/>
    <m/>
    <m/>
    <m/>
    <n v="10000"/>
    <n v="0"/>
    <n v="0"/>
    <d v="2020-03-27T00:00:00"/>
  </r>
  <r>
    <s v="157B/2019"/>
    <d v="2019-05-19T00:00:00"/>
    <s v="THANH THÚY"/>
    <s v="KN01"/>
    <x v="142"/>
    <x v="4"/>
    <s v="ROBINA"/>
    <m/>
    <s v="20.22"/>
    <n v="125"/>
    <s v="NL2018"/>
    <m/>
    <n v="40"/>
    <n v="5000"/>
    <x v="34"/>
    <n v="53500000"/>
    <x v="2"/>
    <x v="2"/>
    <d v="2019-09-29T00:00:00"/>
    <d v="2019-09-29T00:00:00"/>
    <s v="TẾT"/>
    <m/>
    <m/>
    <m/>
    <m/>
    <m/>
    <m/>
    <m/>
    <m/>
    <m/>
    <m/>
    <m/>
    <n v="0"/>
    <n v="5000"/>
    <n v="53500000"/>
    <m/>
  </r>
  <r>
    <s v="13B/2019"/>
    <d v="2019-01-05T00:00:00"/>
    <s v="THANH THÚY"/>
    <s v="KN01"/>
    <x v="142"/>
    <x v="11"/>
    <s v="PROFUNDO"/>
    <m/>
    <s v="16.18"/>
    <n v="200"/>
    <s v="NL2018"/>
    <m/>
    <n v="90"/>
    <n v="18000"/>
    <x v="32"/>
    <n v="120600000"/>
    <x v="3"/>
    <x v="10"/>
    <d v="2019-04-03T00:00:00"/>
    <d v="2019-04-03T00:00:00"/>
    <s v="28/2AL"/>
    <s v="CONT 17/2019"/>
    <m/>
    <m/>
    <d v="2019-05-17T00:00:00"/>
    <n v="8000"/>
    <m/>
    <m/>
    <m/>
    <m/>
    <m/>
    <m/>
    <n v="8000"/>
    <n v="10000"/>
    <n v="67000000"/>
    <d v="2020-03-27T00:00:00"/>
  </r>
  <r>
    <s v="13B/2019"/>
    <d v="2019-01-05T00:00:00"/>
    <s v="THANH THÚY"/>
    <s v="KN01"/>
    <x v="142"/>
    <x v="27"/>
    <s v="MALDANO"/>
    <m/>
    <s v="16.18"/>
    <n v="200"/>
    <s v="NL2018"/>
    <m/>
    <n v="0"/>
    <n v="0"/>
    <x v="33"/>
    <n v="0"/>
    <x v="1"/>
    <x v="5"/>
    <d v="2019-04-19T00:00:00"/>
    <d v="2019-04-19T00:00:00"/>
    <m/>
    <m/>
    <m/>
    <m/>
    <m/>
    <m/>
    <m/>
    <m/>
    <m/>
    <m/>
    <m/>
    <m/>
    <n v="0"/>
    <n v="0"/>
    <n v="0"/>
    <m/>
  </r>
  <r>
    <s v="13B/2019"/>
    <d v="2019-01-05T00:00:00"/>
    <s v="THANH THÚY"/>
    <s v="KN01"/>
    <x v="142"/>
    <x v="94"/>
    <s v="MALDANO"/>
    <m/>
    <s v="15.16"/>
    <n v="300"/>
    <s v="NL2018"/>
    <m/>
    <n v="34"/>
    <n v="10200"/>
    <x v="58"/>
    <n v="39780000"/>
    <x v="0"/>
    <x v="6"/>
    <d v="2019-02-19T00:00:00"/>
    <d v="2019-02-19T00:00:00"/>
    <s v="15/1AL"/>
    <m/>
    <m/>
    <m/>
    <d v="2019-05-19T00:00:00"/>
    <n v="10200"/>
    <m/>
    <m/>
    <m/>
    <m/>
    <m/>
    <m/>
    <n v="10200"/>
    <n v="0"/>
    <n v="0"/>
    <d v="2020-02-27T00:00:00"/>
  </r>
  <r>
    <s v="13B/2019"/>
    <d v="2019-01-05T00:00:00"/>
    <s v="THANH THÚY"/>
    <s v="KN01"/>
    <x v="142"/>
    <x v="94"/>
    <s v="MALDANO"/>
    <m/>
    <s v="15.16"/>
    <n v="300"/>
    <s v="NL2018"/>
    <m/>
    <n v="34"/>
    <n v="10200"/>
    <x v="58"/>
    <n v="39780000"/>
    <x v="0"/>
    <x v="0"/>
    <d v="2019-03-20T00:00:00"/>
    <d v="2019-03-20T00:00:00"/>
    <s v="15/2AL"/>
    <s v="CONT 10/2019"/>
    <m/>
    <m/>
    <d v="2019-03-19T00:00:00"/>
    <n v="5100"/>
    <d v="2019-03-29T00:00:00"/>
    <n v="5100"/>
    <m/>
    <m/>
    <m/>
    <m/>
    <n v="10200"/>
    <n v="0"/>
    <n v="0"/>
    <d v="2020-02-27T00:00:00"/>
  </r>
  <r>
    <s v="13B/2019"/>
    <d v="2019-01-05T00:00:00"/>
    <s v="THANH THÚY"/>
    <s v="KN01"/>
    <x v="142"/>
    <x v="94"/>
    <s v="MALDANO"/>
    <m/>
    <s v="15.16"/>
    <n v="300"/>
    <s v="NL2018"/>
    <m/>
    <n v="0"/>
    <n v="0"/>
    <x v="58"/>
    <n v="0"/>
    <x v="1"/>
    <x v="33"/>
    <d v="2019-05-19T00:00:00"/>
    <d v="2019-05-19T00:00:00"/>
    <s v="15/4AL"/>
    <m/>
    <m/>
    <m/>
    <m/>
    <m/>
    <m/>
    <m/>
    <m/>
    <m/>
    <m/>
    <m/>
    <n v="0"/>
    <n v="0"/>
    <n v="0"/>
    <d v="2020-03-27T00:00:00"/>
  </r>
  <r>
    <s v="13B/2019"/>
    <d v="2019-01-05T00:00:00"/>
    <s v="THANH THÚY"/>
    <s v="KN01"/>
    <x v="142"/>
    <x v="94"/>
    <s v="MALDANO"/>
    <m/>
    <s v="15.16"/>
    <n v="300"/>
    <s v="NL2018"/>
    <m/>
    <n v="34"/>
    <n v="10200"/>
    <x v="58"/>
    <n v="39780000"/>
    <x v="0"/>
    <x v="10"/>
    <d v="2019-04-03T00:00:00"/>
    <d v="2019-04-03T00:00:00"/>
    <s v="28/2AL"/>
    <s v="CONT 18/2019"/>
    <m/>
    <m/>
    <d v="2019-05-19T00:00:00"/>
    <n v="10200"/>
    <m/>
    <m/>
    <m/>
    <m/>
    <m/>
    <m/>
    <n v="10200"/>
    <n v="0"/>
    <n v="0"/>
    <d v="2020-03-27T00:00:00"/>
  </r>
  <r>
    <s v="13B/2019"/>
    <d v="2019-05-16T00:00:00"/>
    <s v="THANH THÚY"/>
    <s v="KN01"/>
    <x v="142"/>
    <x v="73"/>
    <s v="MALDANO"/>
    <m/>
    <s v="14.16"/>
    <n v="300"/>
    <s v="NL2018"/>
    <m/>
    <n v="33"/>
    <n v="9900"/>
    <x v="45"/>
    <n v="39600000"/>
    <x v="3"/>
    <x v="11"/>
    <d v="2019-06-02T00:00:00"/>
    <d v="2019-06-02T00:00:00"/>
    <m/>
    <m/>
    <m/>
    <m/>
    <d v="2019-06-12T00:00:00"/>
    <n v="5100"/>
    <m/>
    <m/>
    <m/>
    <m/>
    <m/>
    <m/>
    <n v="5100"/>
    <n v="4800"/>
    <n v="19200000"/>
    <m/>
  </r>
  <r>
    <s v="13B/2019"/>
    <d v="2019-01-05T00:00:00"/>
    <s v="THANH THÚY"/>
    <s v="KN01"/>
    <x v="142"/>
    <x v="73"/>
    <s v="MALDANO"/>
    <m/>
    <s v="14.16"/>
    <n v="300"/>
    <s v="NL2018"/>
    <m/>
    <n v="34"/>
    <n v="10200"/>
    <x v="45"/>
    <n v="40800000"/>
    <x v="0"/>
    <x v="1"/>
    <d v="2019-05-21T00:00:00"/>
    <d v="2019-05-21T00:00:00"/>
    <s v="29/4AL"/>
    <m/>
    <m/>
    <m/>
    <d v="2019-04-17T00:00:00"/>
    <n v="10200"/>
    <m/>
    <m/>
    <m/>
    <m/>
    <m/>
    <m/>
    <n v="10200"/>
    <n v="0"/>
    <n v="0"/>
    <d v="2020-03-27T00:00:00"/>
  </r>
  <r>
    <s v="13B/2019"/>
    <d v="2019-01-05T00:00:00"/>
    <s v="THANH THÚY"/>
    <s v="KN01"/>
    <x v="142"/>
    <x v="73"/>
    <s v="MALDANO"/>
    <m/>
    <s v="14.16"/>
    <n v="300"/>
    <s v="NL2018"/>
    <m/>
    <n v="34"/>
    <n v="10200"/>
    <x v="45"/>
    <n v="40800000"/>
    <x v="4"/>
    <x v="4"/>
    <d v="2019-07-17T00:00:00"/>
    <d v="2019-07-17T00:00:00"/>
    <s v="15/5AL"/>
    <m/>
    <m/>
    <m/>
    <m/>
    <m/>
    <m/>
    <m/>
    <m/>
    <m/>
    <m/>
    <m/>
    <n v="0"/>
    <n v="10200"/>
    <n v="40800000"/>
    <d v="2020-03-27T00:00:00"/>
  </r>
  <r>
    <s v="157B/2019"/>
    <d v="2019-05-19T00:00:00"/>
    <s v="THANH THÚY"/>
    <s v="KN01"/>
    <x v="142"/>
    <x v="191"/>
    <s v="MALDANO"/>
    <m/>
    <s v="20.22"/>
    <n v="125"/>
    <s v="NL2018"/>
    <m/>
    <n v="120"/>
    <n v="15000"/>
    <x v="152"/>
    <n v="142500000"/>
    <x v="2"/>
    <x v="2"/>
    <d v="2019-09-29T00:00:00"/>
    <d v="2019-09-29T00:00:00"/>
    <s v="TẾT"/>
    <m/>
    <m/>
    <m/>
    <m/>
    <m/>
    <m/>
    <m/>
    <m/>
    <m/>
    <m/>
    <m/>
    <n v="0"/>
    <n v="15000"/>
    <n v="142500000"/>
    <m/>
  </r>
  <r>
    <s v="13B/2019"/>
    <d v="2019-01-05T00:00:00"/>
    <s v="THANH THÚY"/>
    <s v="KN01"/>
    <x v="142"/>
    <x v="73"/>
    <s v="MALDANO"/>
    <m/>
    <s v="14.16"/>
    <n v="300"/>
    <s v="NL2018"/>
    <m/>
    <n v="100"/>
    <n v="30000"/>
    <x v="45"/>
    <n v="120000000"/>
    <x v="2"/>
    <x v="26"/>
    <s v=""/>
    <s v=""/>
    <m/>
    <m/>
    <m/>
    <m/>
    <m/>
    <m/>
    <m/>
    <m/>
    <m/>
    <m/>
    <m/>
    <m/>
    <n v="0"/>
    <n v="30000"/>
    <n v="120000000"/>
    <d v="2020-03-27T00:00:00"/>
  </r>
  <r>
    <s v="13B/2019"/>
    <d v="2019-01-05T00:00:00"/>
    <s v="THANH THÚY"/>
    <s v="KN01"/>
    <x v="142"/>
    <x v="27"/>
    <s v="MALDANO"/>
    <m/>
    <s v="16.18"/>
    <n v="200"/>
    <s v="NL2018"/>
    <m/>
    <n v="103"/>
    <n v="20600"/>
    <x v="8"/>
    <n v="103000000"/>
    <x v="2"/>
    <x v="26"/>
    <s v=""/>
    <s v=""/>
    <s v="T6AL bắt đầu về hàng size lớn"/>
    <m/>
    <m/>
    <m/>
    <m/>
    <n v="0"/>
    <m/>
    <m/>
    <m/>
    <m/>
    <m/>
    <m/>
    <n v="0"/>
    <n v="20600"/>
    <n v="103000000"/>
    <d v="2020-03-27T00:00:00"/>
  </r>
  <r>
    <s v="157B/2019"/>
    <d v="2019-04-03T00:00:00"/>
    <s v="THANH THÚY"/>
    <s v="KN01"/>
    <x v="142"/>
    <x v="7"/>
    <s v="CONCADOR"/>
    <m/>
    <s v="20.22"/>
    <n v="125"/>
    <s v="NL2018"/>
    <m/>
    <n v="80"/>
    <n v="10000"/>
    <x v="5"/>
    <n v="105000000"/>
    <x v="2"/>
    <x v="2"/>
    <d v="2019-09-29T00:00:00"/>
    <d v="2019-09-29T00:00:00"/>
    <s v="TẾT"/>
    <m/>
    <m/>
    <m/>
    <m/>
    <m/>
    <m/>
    <m/>
    <m/>
    <m/>
    <m/>
    <m/>
    <n v="0"/>
    <n v="10000"/>
    <n v="105000000"/>
    <m/>
  </r>
  <r>
    <s v="77A/2019"/>
    <d v="2019-02-25T00:00:00"/>
    <s v="KIỀU THY"/>
    <s v="VD05"/>
    <x v="143"/>
    <x v="78"/>
    <s v="YELLOWEEN"/>
    <m/>
    <s v="14.16"/>
    <n v="300"/>
    <s v="NL2018"/>
    <m/>
    <n v="65"/>
    <n v="19500"/>
    <x v="64"/>
    <n v="74100000"/>
    <x v="0"/>
    <x v="17"/>
    <d v="2019-04-02T00:00:00"/>
    <d v="2019-04-02T00:00:00"/>
    <s v="28/2 AL"/>
    <s v="CONT 18/2019"/>
    <d v="2019-03-31T00:00:00"/>
    <s v="08/03/2019 KH THANH TOÁN"/>
    <d v="2019-04-03T00:00:00"/>
    <n v="19500"/>
    <m/>
    <m/>
    <m/>
    <m/>
    <m/>
    <m/>
    <n v="19500"/>
    <n v="0"/>
    <n v="0"/>
    <m/>
  </r>
  <r>
    <s v="77A/2019"/>
    <d v="2019-02-25T00:00:00"/>
    <s v="KIỀU THY"/>
    <s v="VD05"/>
    <x v="143"/>
    <x v="33"/>
    <s v="TEBALDI"/>
    <m/>
    <s v="14.16"/>
    <n v="300"/>
    <s v="NL2018"/>
    <m/>
    <n v="45"/>
    <n v="13500"/>
    <x v="38"/>
    <n v="55350000"/>
    <x v="0"/>
    <x v="17"/>
    <d v="2019-04-02T00:00:00"/>
    <d v="2019-04-02T00:00:00"/>
    <s v="28/2 AL"/>
    <s v="CONT 15/2019"/>
    <d v="2019-03-31T00:00:00"/>
    <s v="08/03/2019 KH THANH TOÁN"/>
    <d v="2019-04-03T00:00:00"/>
    <n v="13500"/>
    <m/>
    <m/>
    <m/>
    <m/>
    <m/>
    <m/>
    <n v="13500"/>
    <n v="0"/>
    <n v="0"/>
    <m/>
  </r>
  <r>
    <s v="207A/2019"/>
    <d v="2019-05-08T00:00:00"/>
    <s v="KIỀU THY"/>
    <s v="VL04"/>
    <x v="144"/>
    <x v="4"/>
    <s v="ROBINA"/>
    <m/>
    <s v="20.22"/>
    <s v="125"/>
    <s v="NL2018"/>
    <m/>
    <n v="80"/>
    <n v="10000"/>
    <x v="34"/>
    <n v="107000000"/>
    <x v="2"/>
    <x v="2"/>
    <d v="2019-09-29T00:00:00"/>
    <d v="2019-09-29T00:00:00"/>
    <s v="TẾT"/>
    <m/>
    <m/>
    <m/>
    <m/>
    <m/>
    <m/>
    <m/>
    <m/>
    <m/>
    <m/>
    <m/>
    <n v="0"/>
    <n v="10000"/>
    <n v="107000000"/>
    <m/>
  </r>
  <r>
    <s v="209A/2019"/>
    <d v="2019-04-29T00:00:00"/>
    <s v="KIỀU THY"/>
    <s v="VL04"/>
    <x v="144"/>
    <x v="82"/>
    <s v="PROFUNDO"/>
    <m/>
    <s v="14.16"/>
    <s v="275"/>
    <s v="NL2018"/>
    <m/>
    <n v="20"/>
    <n v="5500"/>
    <x v="8"/>
    <n v="27500000"/>
    <x v="0"/>
    <x v="1"/>
    <d v="2019-05-21T00:00:00"/>
    <d v="2019-05-21T00:00:00"/>
    <s v="30/3AL"/>
    <m/>
    <m/>
    <m/>
    <d v="2019-06-12T00:00:00"/>
    <n v="5500"/>
    <m/>
    <m/>
    <m/>
    <m/>
    <m/>
    <m/>
    <n v="5500"/>
    <n v="0"/>
    <n v="0"/>
    <m/>
  </r>
  <r>
    <s v="207A/2019"/>
    <d v="2019-06-13T00:00:00"/>
    <s v="KIỀU THY"/>
    <s v="VL04"/>
    <x v="144"/>
    <x v="14"/>
    <s v="CONCADOR"/>
    <m/>
    <s v="24.26"/>
    <s v="80"/>
    <s v="NL2018"/>
    <m/>
    <n v="125"/>
    <n v="10000"/>
    <x v="15"/>
    <n v="152000000"/>
    <x v="2"/>
    <x v="2"/>
    <d v="2019-09-29T00:00:00"/>
    <d v="2019-09-29T00:00:00"/>
    <s v="TẾT"/>
    <m/>
    <m/>
    <m/>
    <m/>
    <m/>
    <m/>
    <m/>
    <m/>
    <m/>
    <m/>
    <m/>
    <n v="0"/>
    <n v="10000"/>
    <n v="152000000"/>
    <m/>
  </r>
  <r>
    <s v="81A/2019"/>
    <d v="2019-02-27T00:00:00"/>
    <s v="KIỀU THY"/>
    <s v="VD06"/>
    <x v="145"/>
    <x v="87"/>
    <s v="SERANO"/>
    <m/>
    <s v="16.18"/>
    <n v="200"/>
    <s v="NL2018"/>
    <m/>
    <n v="50"/>
    <n v="10000"/>
    <x v="8"/>
    <n v="50000000"/>
    <x v="0"/>
    <x v="5"/>
    <d v="2019-04-19T00:00:00"/>
    <d v="2019-04-19T00:00:00"/>
    <s v="15/3AL"/>
    <s v="CONT 27/2019"/>
    <d v="2019-04-14T00:00:00"/>
    <m/>
    <d v="2019-05-18T00:00:00"/>
    <n v="10000"/>
    <m/>
    <m/>
    <m/>
    <m/>
    <m/>
    <m/>
    <n v="10000"/>
    <n v="0"/>
    <n v="0"/>
    <s v="check lai gia"/>
  </r>
  <r>
    <s v="211A/2019"/>
    <d v="2019-05-07T00:00:00"/>
    <s v="KIỀU THY"/>
    <s v="VD06"/>
    <x v="145"/>
    <x v="58"/>
    <s v="ROBINA NZ"/>
    <m/>
    <s v="22.24"/>
    <n v="100"/>
    <s v="NZ2019"/>
    <m/>
    <n v="180"/>
    <n v="18000"/>
    <x v="61"/>
    <n v="243000000"/>
    <x v="2"/>
    <x v="2"/>
    <d v="2019-09-29T00:00:00"/>
    <d v="2019-09-29T00:00:00"/>
    <s v="TẾT"/>
    <m/>
    <m/>
    <m/>
    <m/>
    <m/>
    <m/>
    <m/>
    <m/>
    <m/>
    <m/>
    <m/>
    <n v="0"/>
    <n v="18000"/>
    <n v="243000000"/>
    <m/>
  </r>
  <r>
    <s v="211A/2019"/>
    <d v="2019-05-02T00:00:00"/>
    <s v="KIỀU THY"/>
    <s v="VD06"/>
    <x v="145"/>
    <x v="23"/>
    <s v="ROBINA"/>
    <m/>
    <s v="22.24"/>
    <n v="100"/>
    <s v="NL2018"/>
    <m/>
    <n v="100"/>
    <n v="10000"/>
    <x v="193"/>
    <n v="137000000"/>
    <x v="2"/>
    <x v="2"/>
    <d v="2019-09-29T00:00:00"/>
    <d v="2019-09-29T00:00:00"/>
    <s v="TẾT"/>
    <m/>
    <m/>
    <m/>
    <m/>
    <m/>
    <m/>
    <m/>
    <m/>
    <m/>
    <m/>
    <m/>
    <n v="0"/>
    <n v="10000"/>
    <n v="137000000"/>
    <m/>
  </r>
  <r>
    <s v="211A/2019"/>
    <d v="2019-05-20T00:00:00"/>
    <s v="KIỀU THY"/>
    <s v="VD06"/>
    <x v="145"/>
    <x v="146"/>
    <s v="ROBINA"/>
    <m/>
    <s v="24.26"/>
    <n v="80"/>
    <s v="NL2018"/>
    <m/>
    <n v="88"/>
    <n v="7040"/>
    <x v="86"/>
    <n v="107712000"/>
    <x v="2"/>
    <x v="2"/>
    <d v="2019-09-29T00:00:00"/>
    <d v="2019-09-29T00:00:00"/>
    <s v="TẾT"/>
    <m/>
    <m/>
    <m/>
    <m/>
    <m/>
    <m/>
    <m/>
    <m/>
    <m/>
    <m/>
    <m/>
    <n v="0"/>
    <n v="7040"/>
    <n v="107712000"/>
    <m/>
  </r>
  <r>
    <s v="81A/2019"/>
    <d v="2019-02-27T00:00:00"/>
    <s v="KIỀU THY"/>
    <s v="VD06"/>
    <x v="145"/>
    <x v="5"/>
    <s v="ROBINA"/>
    <m/>
    <s v="18.20"/>
    <n v="150"/>
    <s v="NL2018"/>
    <m/>
    <n v="200"/>
    <n v="30000"/>
    <x v="75"/>
    <n v="189000000"/>
    <x v="0"/>
    <x v="5"/>
    <d v="2019-04-19T00:00:00"/>
    <d v="2019-04-19T00:00:00"/>
    <s v="15/3AL"/>
    <s v="CONT 25/2019"/>
    <d v="2019-04-14T00:00:00"/>
    <m/>
    <d v="2019-05-02T00:00:00"/>
    <n v="10050"/>
    <d v="2019-05-06T00:00:00"/>
    <n v="19950"/>
    <m/>
    <m/>
    <m/>
    <m/>
    <n v="30000"/>
    <n v="0"/>
    <n v="0"/>
    <m/>
  </r>
  <r>
    <s v="81A/2019"/>
    <d v="2019-05-07T00:00:00"/>
    <s v="KIỀU THY"/>
    <s v="VD06"/>
    <x v="145"/>
    <x v="3"/>
    <s v="ROBINA"/>
    <m/>
    <s v="16.18"/>
    <n v="200"/>
    <s v="NL2018"/>
    <m/>
    <n v="150"/>
    <n v="30000"/>
    <x v="6"/>
    <n v="162000000"/>
    <x v="0"/>
    <x v="1"/>
    <d v="2019-05-21T00:00:00"/>
    <d v="2019-05-21T00:00:00"/>
    <s v="29/4AL"/>
    <m/>
    <m/>
    <m/>
    <m/>
    <m/>
    <m/>
    <m/>
    <m/>
    <m/>
    <m/>
    <m/>
    <n v="0"/>
    <n v="30000"/>
    <n v="162000000"/>
    <m/>
  </r>
  <r>
    <s v="81A/2019"/>
    <d v="2019-05-06T00:00:00"/>
    <s v="KIỀU THY"/>
    <s v="VD06"/>
    <x v="145"/>
    <x v="3"/>
    <s v="ROBINA"/>
    <m/>
    <s v="16.18"/>
    <n v="200"/>
    <s v="NL2018"/>
    <m/>
    <n v="500"/>
    <n v="100000"/>
    <x v="10"/>
    <n v="550000000"/>
    <x v="3"/>
    <x v="3"/>
    <d v="2019-06-20T00:00:00"/>
    <d v="2019-06-20T00:00:00"/>
    <s v="25/5AL"/>
    <m/>
    <m/>
    <m/>
    <m/>
    <m/>
    <m/>
    <m/>
    <m/>
    <m/>
    <m/>
    <m/>
    <n v="0"/>
    <n v="100000"/>
    <n v="550000000"/>
    <m/>
  </r>
  <r>
    <s v="81A/2019"/>
    <d v="2019-02-27T00:00:00"/>
    <s v="KIỀU THY"/>
    <s v="VD06"/>
    <x v="145"/>
    <x v="11"/>
    <s v="PROFUNDO"/>
    <m/>
    <s v="16.18"/>
    <n v="200"/>
    <s v="NL2018"/>
    <m/>
    <n v="50"/>
    <n v="10000"/>
    <x v="32"/>
    <n v="67000000"/>
    <x v="0"/>
    <x v="5"/>
    <d v="2019-04-19T00:00:00"/>
    <d v="2019-04-19T00:00:00"/>
    <s v="15/3AL"/>
    <s v="CONT 23/2019"/>
    <d v="2019-04-14T00:00:00"/>
    <m/>
    <d v="2019-05-18T00:00:00"/>
    <n v="10000"/>
    <m/>
    <m/>
    <m/>
    <m/>
    <m/>
    <m/>
    <n v="10000"/>
    <n v="0"/>
    <n v="0"/>
    <m/>
  </r>
  <r>
    <s v="81A/2019"/>
    <d v="2019-06-11T00:00:00"/>
    <s v="KIỀU THY"/>
    <s v="VD06"/>
    <x v="145"/>
    <x v="45"/>
    <s v="MARENGO"/>
    <m/>
    <s v="16.18"/>
    <n v="200"/>
    <s v="NL2018"/>
    <m/>
    <n v="15"/>
    <n v="3000"/>
    <x v="84"/>
    <n v="19200000"/>
    <x v="4"/>
    <x v="4"/>
    <d v="2019-07-17T00:00:00"/>
    <d v="2019-07-17T00:00:00"/>
    <m/>
    <m/>
    <m/>
    <m/>
    <m/>
    <m/>
    <m/>
    <m/>
    <m/>
    <m/>
    <m/>
    <m/>
    <n v="0"/>
    <n v="3000"/>
    <n v="19200000"/>
    <m/>
  </r>
  <r>
    <s v="211A/2019"/>
    <d v="2019-05-02T00:00:00"/>
    <s v="KIỀU THY"/>
    <s v="VD06"/>
    <x v="145"/>
    <x v="67"/>
    <s v="MANISSA"/>
    <m/>
    <s v="22.24"/>
    <n v="100"/>
    <s v="NL2018"/>
    <m/>
    <n v="75"/>
    <n v="7500"/>
    <x v="111"/>
    <n v="115500000"/>
    <x v="2"/>
    <x v="2"/>
    <d v="2019-09-29T00:00:00"/>
    <d v="2019-09-29T00:00:00"/>
    <s v="TẾT"/>
    <m/>
    <m/>
    <m/>
    <m/>
    <m/>
    <m/>
    <m/>
    <m/>
    <m/>
    <m/>
    <m/>
    <n v="0"/>
    <n v="7500"/>
    <n v="115500000"/>
    <m/>
  </r>
  <r>
    <s v="211A/2019"/>
    <d v="2019-05-02T00:00:00"/>
    <s v="KIỀU THY"/>
    <s v="VD06"/>
    <x v="145"/>
    <x v="60"/>
    <s v="MANISSA"/>
    <m/>
    <s v="24+"/>
    <n v="75"/>
    <s v="NL2018"/>
    <m/>
    <n v="100"/>
    <n v="7500"/>
    <x v="117"/>
    <n v="121500000"/>
    <x v="2"/>
    <x v="2"/>
    <d v="2019-09-29T00:00:00"/>
    <d v="2019-09-29T00:00:00"/>
    <s v="TẾT"/>
    <m/>
    <m/>
    <m/>
    <m/>
    <m/>
    <m/>
    <m/>
    <m/>
    <m/>
    <m/>
    <m/>
    <n v="0"/>
    <n v="7500"/>
    <n v="121500000"/>
    <m/>
  </r>
  <r>
    <s v="211A/2019"/>
    <d v="2019-05-07T00:00:00"/>
    <s v="KIỀU THY"/>
    <s v="VD06"/>
    <x v="145"/>
    <x v="85"/>
    <s v="CONCADOR NEWZELAND"/>
    <m/>
    <s v="20.22"/>
    <n v="125"/>
    <s v="NZ2019"/>
    <m/>
    <n v="40"/>
    <n v="5000"/>
    <x v="81"/>
    <n v="60000000"/>
    <x v="2"/>
    <x v="2"/>
    <d v="2019-09-29T00:00:00"/>
    <d v="2019-09-29T00:00:00"/>
    <s v="TẾT"/>
    <m/>
    <m/>
    <m/>
    <m/>
    <m/>
    <m/>
    <m/>
    <m/>
    <m/>
    <m/>
    <m/>
    <n v="0"/>
    <n v="5000"/>
    <n v="60000000"/>
    <m/>
  </r>
  <r>
    <s v="211A/2019"/>
    <d v="2019-05-07T00:00:00"/>
    <s v="KIỀU THY"/>
    <s v="VD06"/>
    <x v="145"/>
    <x v="14"/>
    <s v="CONCADOR"/>
    <m/>
    <s v="24.26"/>
    <n v="80"/>
    <s v="NL2018"/>
    <m/>
    <n v="63"/>
    <n v="5040"/>
    <x v="15"/>
    <n v="76608000"/>
    <x v="2"/>
    <x v="2"/>
    <d v="2019-09-29T00:00:00"/>
    <d v="2019-09-29T00:00:00"/>
    <s v="TẾT"/>
    <m/>
    <m/>
    <m/>
    <m/>
    <m/>
    <m/>
    <m/>
    <m/>
    <m/>
    <m/>
    <m/>
    <n v="0"/>
    <n v="5040"/>
    <n v="76608000"/>
    <m/>
  </r>
  <r>
    <s v="211A/2019"/>
    <d v="2019-05-02T00:00:00"/>
    <s v="KIỀU THY"/>
    <s v="VD06"/>
    <x v="145"/>
    <x v="21"/>
    <s v="CONCADOR"/>
    <m/>
    <s v="22.24"/>
    <n v="100"/>
    <s v="NL2018"/>
    <m/>
    <n v="50"/>
    <n v="5000"/>
    <x v="25"/>
    <n v="62500000"/>
    <x v="2"/>
    <x v="2"/>
    <d v="2019-09-29T00:00:00"/>
    <d v="2019-09-29T00:00:00"/>
    <s v="TẾT"/>
    <m/>
    <m/>
    <m/>
    <m/>
    <m/>
    <m/>
    <m/>
    <m/>
    <m/>
    <m/>
    <m/>
    <n v="0"/>
    <n v="5000"/>
    <n v="62500000"/>
    <m/>
  </r>
  <r>
    <s v="81A/2019"/>
    <d v="2019-02-27T00:00:00"/>
    <s v="KIỀU THY"/>
    <s v="VD06"/>
    <x v="145"/>
    <x v="6"/>
    <s v="CONCADOR"/>
    <m/>
    <s v="16.18"/>
    <n v="200"/>
    <s v="NL2018"/>
    <m/>
    <n v="150"/>
    <n v="30000"/>
    <x v="8"/>
    <n v="150000000"/>
    <x v="0"/>
    <x v="5"/>
    <d v="2019-04-19T00:00:00"/>
    <d v="2019-04-19T00:00:00"/>
    <s v="15/3AL"/>
    <s v="CONT 22/2019"/>
    <d v="2019-04-14T00:00:00"/>
    <m/>
    <d v="2019-05-02T00:00:00"/>
    <n v="10000"/>
    <d v="2019-05-06T00:00:00"/>
    <n v="20000"/>
    <m/>
    <m/>
    <m/>
    <m/>
    <n v="30000"/>
    <n v="0"/>
    <n v="0"/>
    <m/>
  </r>
  <r>
    <s v="81A/2019"/>
    <d v="2019-02-27T00:00:00"/>
    <s v="KIỀU THY"/>
    <s v="VD06"/>
    <x v="145"/>
    <x v="81"/>
    <s v="BACARDI"/>
    <m/>
    <s v="16.18"/>
    <n v="200"/>
    <s v="NL2018"/>
    <m/>
    <n v="50"/>
    <n v="10000"/>
    <x v="75"/>
    <n v="63000000"/>
    <x v="0"/>
    <x v="5"/>
    <d v="2019-04-19T00:00:00"/>
    <d v="2019-04-19T00:00:00"/>
    <s v="15/3AL"/>
    <s v="CONT 20/2019"/>
    <d v="2019-04-14T00:00:00"/>
    <m/>
    <d v="2019-05-02T00:00:00"/>
    <n v="10000"/>
    <m/>
    <m/>
    <m/>
    <m/>
    <m/>
    <m/>
    <n v="10000"/>
    <n v="0"/>
    <n v="0"/>
    <m/>
  </r>
  <r>
    <s v="242/2019"/>
    <d v="2019-06-14T00:00:00"/>
    <s v="KIỀU THY"/>
    <s v="VK04"/>
    <x v="146"/>
    <x v="41"/>
    <s v="PAVIA"/>
    <m/>
    <s v="12.14"/>
    <s v="400"/>
    <s v="NL2018"/>
    <m/>
    <n v="25"/>
    <n v="10000"/>
    <x v="26"/>
    <n v="30000000"/>
    <x v="4"/>
    <x v="4"/>
    <d v="2019-07-17T00:00:00"/>
    <d v="2019-07-17T00:00:00"/>
    <m/>
    <m/>
    <m/>
    <m/>
    <m/>
    <m/>
    <m/>
    <m/>
    <m/>
    <m/>
    <m/>
    <m/>
    <n v="0"/>
    <n v="10000"/>
    <n v="30000000"/>
    <m/>
  </r>
  <r>
    <s v="242/2019"/>
    <d v="2019-06-14T00:00:00"/>
    <s v="KIỀU THY"/>
    <s v="VK04"/>
    <x v="146"/>
    <x v="192"/>
    <s v="CORALLO BEACH"/>
    <m/>
    <s v="14.16"/>
    <s v="300"/>
    <s v="NL2018"/>
    <m/>
    <n v="17"/>
    <n v="5100"/>
    <x v="14"/>
    <n v="22950000"/>
    <x v="2"/>
    <x v="13"/>
    <d v="2019-07-31T00:00:00"/>
    <d v="2019-07-31T00:00:00"/>
    <m/>
    <m/>
    <m/>
    <m/>
    <m/>
    <m/>
    <m/>
    <m/>
    <m/>
    <m/>
    <m/>
    <m/>
    <n v="0"/>
    <n v="5100"/>
    <n v="22950000"/>
    <m/>
  </r>
  <r>
    <s v="242/2019"/>
    <d v="2019-06-14T00:00:00"/>
    <s v="KIỀU THY"/>
    <s v="VK04"/>
    <x v="146"/>
    <x v="9"/>
    <s v="ARVANDRUD"/>
    <m/>
    <s v="16.18"/>
    <s v="200"/>
    <s v="NL2018"/>
    <m/>
    <n v="30"/>
    <n v="6000"/>
    <x v="6"/>
    <n v="32400000"/>
    <x v="0"/>
    <x v="1"/>
    <d v="2019-05-21T00:00:00"/>
    <d v="2019-05-21T00:00:00"/>
    <m/>
    <m/>
    <m/>
    <m/>
    <d v="2019-06-14T00:00:00"/>
    <n v="3000"/>
    <d v="2019-06-21T00:00:00"/>
    <s v="3000"/>
    <m/>
    <m/>
    <m/>
    <m/>
    <n v="6000"/>
    <n v="0"/>
    <n v="0"/>
    <m/>
  </r>
  <r>
    <s v="234/2019"/>
    <d v="2019-05-31T00:00:00"/>
    <s v="KIỀU THY"/>
    <s v="PL01"/>
    <x v="147"/>
    <x v="57"/>
    <s v="YELLOWEEN"/>
    <m/>
    <s v="16.18"/>
    <n v="200"/>
    <s v="NL2018"/>
    <m/>
    <n v="10"/>
    <n v="2000"/>
    <x v="10"/>
    <n v="11000000"/>
    <x v="2"/>
    <x v="2"/>
    <d v="2019-09-29T00:00:00"/>
    <d v="2019-09-29T00:00:00"/>
    <s v="TẾT"/>
    <m/>
    <m/>
    <m/>
    <m/>
    <m/>
    <m/>
    <m/>
    <m/>
    <m/>
    <m/>
    <m/>
    <n v="0"/>
    <n v="2000"/>
    <n v="11000000"/>
    <m/>
  </r>
  <r>
    <s v="54A/2019"/>
    <d v="2019-02-16T00:00:00"/>
    <s v="KIỀU THY"/>
    <s v="PL01"/>
    <x v="147"/>
    <x v="33"/>
    <s v="TEBALDI"/>
    <m/>
    <s v="14.16"/>
    <n v="300"/>
    <s v="NL2018"/>
    <m/>
    <n v="1"/>
    <n v="300"/>
    <x v="38"/>
    <n v="1230000"/>
    <x v="0"/>
    <x v="30"/>
    <d v="2019-04-04T00:00:00"/>
    <d v="2019-04-04T00:00:00"/>
    <s v="30/2AL"/>
    <s v="CONT 15/2019"/>
    <d v="2019-03-31T00:00:00"/>
    <s v="R"/>
    <d v="2019-04-03T00:00:00"/>
    <n v="300"/>
    <m/>
    <m/>
    <m/>
    <m/>
    <m/>
    <m/>
    <n v="300"/>
    <n v="0"/>
    <n v="0"/>
    <m/>
  </r>
  <r>
    <s v="234/2019"/>
    <d v="2019-05-31T00:00:00"/>
    <s v="KIỀU THY"/>
    <s v="PL01"/>
    <x v="147"/>
    <x v="34"/>
    <s v="TEBALDI"/>
    <m/>
    <s v="16.18"/>
    <n v="200"/>
    <s v="NL2018"/>
    <m/>
    <n v="15"/>
    <n v="3000"/>
    <x v="13"/>
    <n v="18600000"/>
    <x v="2"/>
    <x v="2"/>
    <d v="2019-09-29T00:00:00"/>
    <d v="2019-09-29T00:00:00"/>
    <s v="TẾT"/>
    <m/>
    <m/>
    <m/>
    <m/>
    <m/>
    <m/>
    <m/>
    <m/>
    <m/>
    <m/>
    <m/>
    <n v="0"/>
    <n v="3000"/>
    <n v="18600000"/>
    <m/>
  </r>
  <r>
    <s v="54A/2019"/>
    <d v="2019-05-31T00:00:00"/>
    <s v="KIỀU THY"/>
    <s v="PL01"/>
    <x v="147"/>
    <x v="3"/>
    <s v="ROBINA"/>
    <m/>
    <s v="16.18"/>
    <n v="200"/>
    <s v="NL2018"/>
    <m/>
    <n v="1"/>
    <n v="200"/>
    <x v="10"/>
    <n v="1100000"/>
    <x v="0"/>
    <x v="28"/>
    <d v="2019-06-07T00:00:00"/>
    <d v="2019-06-07T00:00:00"/>
    <m/>
    <m/>
    <m/>
    <m/>
    <d v="2019-06-08T00:00:00"/>
    <n v="200"/>
    <m/>
    <m/>
    <m/>
    <m/>
    <m/>
    <m/>
    <n v="200"/>
    <n v="0"/>
    <n v="0"/>
    <m/>
  </r>
  <r>
    <s v="54A/2019"/>
    <d v="2019-06-11T00:00:00"/>
    <s v="KIỀU THY"/>
    <s v="PL01"/>
    <x v="147"/>
    <x v="3"/>
    <s v="ROBINA"/>
    <m/>
    <s v="16.18"/>
    <n v="200"/>
    <s v="NL2018"/>
    <m/>
    <n v="15"/>
    <n v="3000"/>
    <x v="55"/>
    <n v="16800000"/>
    <x v="3"/>
    <x v="3"/>
    <d v="2019-06-20T00:00:00"/>
    <d v="2019-06-20T00:00:00"/>
    <m/>
    <m/>
    <m/>
    <m/>
    <m/>
    <m/>
    <m/>
    <m/>
    <m/>
    <m/>
    <m/>
    <m/>
    <n v="0"/>
    <n v="3000"/>
    <n v="16800000"/>
    <m/>
  </r>
  <r>
    <s v="234/2019"/>
    <d v="2019-05-31T00:00:00"/>
    <s v="KIỀU THY"/>
    <s v="PL01"/>
    <x v="147"/>
    <x v="4"/>
    <s v="ROBINA"/>
    <m/>
    <s v="20.22"/>
    <n v="125"/>
    <s v="NL2018"/>
    <m/>
    <n v="24"/>
    <n v="3000"/>
    <x v="34"/>
    <n v="32100000"/>
    <x v="2"/>
    <x v="2"/>
    <d v="2019-09-29T00:00:00"/>
    <d v="2019-09-29T00:00:00"/>
    <s v="TẾT"/>
    <m/>
    <m/>
    <m/>
    <m/>
    <m/>
    <m/>
    <m/>
    <m/>
    <m/>
    <m/>
    <m/>
    <n v="0"/>
    <n v="3000"/>
    <n v="32100000"/>
    <m/>
  </r>
  <r>
    <s v="54A/2019"/>
    <d v="2019-02-16T00:00:00"/>
    <s v="KIỀU THY"/>
    <s v="PL01"/>
    <x v="147"/>
    <x v="40"/>
    <s v="PAVIA"/>
    <m/>
    <s v="12.14"/>
    <n v="400"/>
    <s v="NL2017"/>
    <m/>
    <n v="28"/>
    <n v="11200"/>
    <x v="48"/>
    <n v="22400000"/>
    <x v="0"/>
    <x v="0"/>
    <d v="2019-03-20T00:00:00"/>
    <d v="2019-03-20T00:00:00"/>
    <s v="15/2AL"/>
    <s v="CONT 9/2019"/>
    <d v="2019-03-17T00:00:00"/>
    <s v="R"/>
    <d v="2019-03-23T00:00:00"/>
    <n v="7200"/>
    <d v="2019-04-03T00:00:00"/>
    <n v="4000"/>
    <m/>
    <m/>
    <m/>
    <m/>
    <n v="11200"/>
    <n v="0"/>
    <n v="0"/>
    <m/>
  </r>
  <r>
    <s v="54A/2019"/>
    <d v="2019-02-16T00:00:00"/>
    <s v="KIỀU THY"/>
    <s v="PL01"/>
    <x v="147"/>
    <x v="41"/>
    <s v="PAVIA"/>
    <m/>
    <s v="12.14"/>
    <n v="400"/>
    <s v="NL2018"/>
    <m/>
    <n v="5"/>
    <n v="2000"/>
    <x v="37"/>
    <n v="5600000"/>
    <x v="0"/>
    <x v="30"/>
    <d v="2019-04-04T00:00:00"/>
    <d v="2019-04-04T00:00:00"/>
    <s v="30/2AL"/>
    <s v="CONT 14/2019"/>
    <d v="2019-03-31T00:00:00"/>
    <m/>
    <d v="2019-04-03T00:00:00"/>
    <n v="2000"/>
    <m/>
    <m/>
    <m/>
    <m/>
    <m/>
    <m/>
    <n v="2000"/>
    <n v="0"/>
    <n v="0"/>
    <m/>
  </r>
  <r>
    <s v="54A/2019"/>
    <d v="2019-05-29T00:00:00"/>
    <s v="KIỀU THY"/>
    <s v="PL01"/>
    <x v="147"/>
    <x v="41"/>
    <s v="PAVIA"/>
    <m/>
    <s v="12.14"/>
    <n v="400"/>
    <s v="NL2018"/>
    <m/>
    <n v="7"/>
    <n v="2800"/>
    <x v="39"/>
    <n v="8120000"/>
    <x v="0"/>
    <x v="28"/>
    <d v="2019-06-07T00:00:00"/>
    <d v="2019-06-07T00:00:00"/>
    <m/>
    <m/>
    <m/>
    <m/>
    <d v="2019-06-08T00:00:00"/>
    <n v="2800"/>
    <m/>
    <m/>
    <m/>
    <m/>
    <m/>
    <m/>
    <n v="2800"/>
    <n v="0"/>
    <n v="0"/>
    <m/>
  </r>
  <r>
    <s v="54A/2019"/>
    <d v="2019-05-31T00:00:00"/>
    <s v="KIỀU THY"/>
    <s v="PL01"/>
    <x v="147"/>
    <x v="41"/>
    <s v="PAVIA"/>
    <m/>
    <s v="12.14"/>
    <n v="400"/>
    <s v="NL2018"/>
    <m/>
    <n v="10"/>
    <n v="4000"/>
    <x v="26"/>
    <n v="12000000"/>
    <x v="3"/>
    <x v="28"/>
    <d v="2019-06-07T00:00:00"/>
    <d v="2019-06-07T00:00:00"/>
    <s v="8/6al TRỒNG"/>
    <m/>
    <m/>
    <m/>
    <m/>
    <m/>
    <m/>
    <m/>
    <m/>
    <m/>
    <m/>
    <m/>
    <n v="0"/>
    <n v="4000"/>
    <n v="12000000"/>
    <m/>
  </r>
  <r>
    <s v="54A/2019"/>
    <d v="2019-06-07T00:00:00"/>
    <s v="KIỀU THY"/>
    <s v="PL01"/>
    <x v="147"/>
    <x v="41"/>
    <s v="PAVIA"/>
    <m/>
    <s v="12.14"/>
    <n v="400"/>
    <s v="NL2018"/>
    <m/>
    <n v="15"/>
    <n v="6000"/>
    <x v="26"/>
    <n v="18000000"/>
    <x v="2"/>
    <x v="48"/>
    <d v="2019-08-20T00:00:00"/>
    <d v="2019-08-20T00:00:00"/>
    <m/>
    <m/>
    <m/>
    <m/>
    <m/>
    <m/>
    <m/>
    <m/>
    <m/>
    <m/>
    <m/>
    <m/>
    <n v="0"/>
    <n v="6000"/>
    <n v="18000000"/>
    <m/>
  </r>
  <r>
    <s v="54A/2019"/>
    <d v="2019-06-07T00:00:00"/>
    <s v="KIỀU THY"/>
    <s v="PL01"/>
    <x v="147"/>
    <x v="41"/>
    <s v="PAVIA"/>
    <m/>
    <s v="12.14"/>
    <n v="400"/>
    <s v="NL2018"/>
    <m/>
    <n v="18"/>
    <n v="7200"/>
    <x v="36"/>
    <n v="22320000"/>
    <x v="2"/>
    <x v="49"/>
    <d v="2019-08-10T00:00:00"/>
    <d v="2019-08-10T00:00:00"/>
    <m/>
    <m/>
    <m/>
    <m/>
    <m/>
    <m/>
    <m/>
    <m/>
    <m/>
    <m/>
    <m/>
    <m/>
    <n v="0"/>
    <n v="7200"/>
    <n v="22320000"/>
    <m/>
  </r>
  <r>
    <s v="54A/2019"/>
    <d v="2019-06-07T00:00:00"/>
    <s v="KIỀU THY"/>
    <s v="PL01"/>
    <x v="147"/>
    <x v="41"/>
    <s v="PAVIA"/>
    <m/>
    <s v="12.14"/>
    <n v="400"/>
    <s v="NL2018"/>
    <m/>
    <n v="18"/>
    <n v="7200"/>
    <x v="36"/>
    <n v="22320000"/>
    <x v="2"/>
    <x v="45"/>
    <d v="2019-09-08T00:00:00"/>
    <d v="2019-09-08T00:00:00"/>
    <m/>
    <m/>
    <m/>
    <m/>
    <m/>
    <m/>
    <m/>
    <m/>
    <m/>
    <m/>
    <m/>
    <m/>
    <n v="0"/>
    <n v="7200"/>
    <n v="22320000"/>
    <m/>
  </r>
  <r>
    <s v="234/2019"/>
    <d v="2019-05-31T00:00:00"/>
    <s v="KIỀU THY"/>
    <s v="PL01"/>
    <x v="147"/>
    <x v="42"/>
    <s v="PAVIA"/>
    <m/>
    <s v="14.16"/>
    <n v="300"/>
    <s v="NL2018"/>
    <m/>
    <n v="4"/>
    <n v="1200"/>
    <x v="29"/>
    <n v="5520000"/>
    <x v="2"/>
    <x v="2"/>
    <d v="2019-09-29T00:00:00"/>
    <d v="2019-09-29T00:00:00"/>
    <s v="TẾT"/>
    <m/>
    <m/>
    <m/>
    <m/>
    <m/>
    <m/>
    <m/>
    <m/>
    <m/>
    <m/>
    <m/>
    <n v="0"/>
    <n v="1200"/>
    <n v="5520000"/>
    <m/>
  </r>
  <r>
    <s v="234/2019"/>
    <d v="2019-05-31T00:00:00"/>
    <s v="KIỀU THY"/>
    <s v="PL01"/>
    <x v="147"/>
    <x v="43"/>
    <s v="PAVIA"/>
    <m/>
    <s v="16.18"/>
    <n v="200"/>
    <s v="NL2018"/>
    <m/>
    <n v="10"/>
    <n v="2000"/>
    <x v="75"/>
    <n v="12600000"/>
    <x v="2"/>
    <x v="2"/>
    <d v="2019-09-29T00:00:00"/>
    <d v="2019-09-29T00:00:00"/>
    <s v="TẾT"/>
    <m/>
    <m/>
    <m/>
    <m/>
    <m/>
    <m/>
    <m/>
    <m/>
    <m/>
    <m/>
    <m/>
    <n v="0"/>
    <n v="2000"/>
    <n v="12600000"/>
    <m/>
  </r>
  <r>
    <s v="53A/2019"/>
    <d v="2019-02-16T00:00:00"/>
    <s v="KIỀU THY"/>
    <s v="CV"/>
    <x v="148"/>
    <x v="78"/>
    <s v="YELLOWEEN"/>
    <m/>
    <s v="14.16"/>
    <n v="300"/>
    <s v="NL2018"/>
    <m/>
    <n v="0"/>
    <n v="0"/>
    <x v="64"/>
    <n v="0"/>
    <x v="1"/>
    <x v="30"/>
    <d v="2019-04-04T00:00:00"/>
    <d v="2019-04-04T00:00:00"/>
    <s v="30/2AL"/>
    <s v="CONT 18/2019"/>
    <d v="2019-03-31T00:00:00"/>
    <s v="NHẮC CỌC"/>
    <m/>
    <n v="0"/>
    <m/>
    <m/>
    <m/>
    <m/>
    <m/>
    <m/>
    <n v="0"/>
    <n v="0"/>
    <n v="0"/>
    <m/>
  </r>
  <r>
    <s v="53A/2019"/>
    <d v="2019-02-16T00:00:00"/>
    <s v="KIỀU THY"/>
    <s v="CV"/>
    <x v="148"/>
    <x v="0"/>
    <s v="YELLOWEEN"/>
    <m/>
    <s v="12.14"/>
    <n v="400"/>
    <s v="NL2018"/>
    <m/>
    <n v="0"/>
    <n v="0"/>
    <x v="1"/>
    <n v="0"/>
    <x v="1"/>
    <x v="5"/>
    <d v="2019-04-19T00:00:00"/>
    <d v="2019-04-19T00:00:00"/>
    <s v="15/3AL"/>
    <m/>
    <m/>
    <m/>
    <m/>
    <m/>
    <m/>
    <m/>
    <m/>
    <m/>
    <m/>
    <m/>
    <n v="0"/>
    <n v="0"/>
    <n v="0"/>
    <m/>
  </r>
  <r>
    <s v="53A/2019"/>
    <d v="2019-02-16T00:00:00"/>
    <s v="KIỀU THY"/>
    <s v="CV"/>
    <x v="148"/>
    <x v="35"/>
    <s v="TARRANGO"/>
    <m/>
    <s v="14.16"/>
    <n v="300"/>
    <s v="NL2018"/>
    <m/>
    <n v="0"/>
    <n v="0"/>
    <x v="29"/>
    <n v="0"/>
    <x v="1"/>
    <x v="30"/>
    <d v="2019-04-04T00:00:00"/>
    <d v="2019-04-04T00:00:00"/>
    <s v="30/2AL"/>
    <s v="CONT 17/2019"/>
    <d v="2019-03-31T00:00:00"/>
    <s v="NHẮC CỌC"/>
    <m/>
    <n v="0"/>
    <m/>
    <m/>
    <m/>
    <m/>
    <m/>
    <m/>
    <n v="0"/>
    <n v="0"/>
    <n v="0"/>
    <s v="check lai, KH chuyen tu 16.18 sang 14/16?"/>
  </r>
  <r>
    <s v="53A/2019"/>
    <d v="2019-02-16T00:00:00"/>
    <s v="KIỀU THY"/>
    <s v="CV"/>
    <x v="148"/>
    <x v="147"/>
    <s v="PARAGUAY"/>
    <m/>
    <s v="14.16"/>
    <n v="300"/>
    <s v="NL2018"/>
    <m/>
    <n v="0"/>
    <n v="0"/>
    <x v="43"/>
    <n v="0"/>
    <x v="1"/>
    <x v="5"/>
    <d v="2019-04-19T00:00:00"/>
    <d v="2019-04-19T00:00:00"/>
    <s v="15/3AL"/>
    <m/>
    <m/>
    <m/>
    <m/>
    <m/>
    <m/>
    <m/>
    <m/>
    <m/>
    <m/>
    <m/>
    <n v="0"/>
    <n v="0"/>
    <n v="0"/>
    <m/>
  </r>
  <r>
    <s v="156A/2019"/>
    <d v="2019-03-29T00:00:00"/>
    <s v="KIỀU THY"/>
    <s v="DP02"/>
    <x v="149"/>
    <x v="78"/>
    <s v="YELLOWEEN"/>
    <m/>
    <s v="14.16"/>
    <n v="300"/>
    <s v="NL2018"/>
    <m/>
    <n v="0"/>
    <n v="0"/>
    <x v="64"/>
    <n v="0"/>
    <x v="1"/>
    <x v="1"/>
    <d v="2019-05-21T00:00:00"/>
    <d v="2019-05-21T00:00:00"/>
    <s v="17/4AL"/>
    <m/>
    <m/>
    <m/>
    <m/>
    <m/>
    <m/>
    <m/>
    <m/>
    <m/>
    <m/>
    <m/>
    <n v="0"/>
    <n v="0"/>
    <n v="0"/>
    <m/>
  </r>
  <r>
    <s v="156A/2019"/>
    <d v="2019-03-29T00:00:00"/>
    <s v="KIỀU THY"/>
    <s v="DP02"/>
    <x v="149"/>
    <x v="78"/>
    <s v="YELLOWEEN"/>
    <m/>
    <s v="14.16"/>
    <n v="300"/>
    <s v="NL2018"/>
    <m/>
    <n v="0"/>
    <n v="0"/>
    <x v="64"/>
    <n v="0"/>
    <x v="1"/>
    <x v="11"/>
    <d v="2019-06-02T00:00:00"/>
    <d v="2019-06-02T00:00:00"/>
    <s v="29/4AL"/>
    <m/>
    <m/>
    <m/>
    <m/>
    <m/>
    <m/>
    <m/>
    <m/>
    <m/>
    <m/>
    <m/>
    <n v="0"/>
    <n v="0"/>
    <n v="0"/>
    <m/>
  </r>
  <r>
    <s v="17A/2019"/>
    <d v="2019-01-05T00:00:00"/>
    <s v="KIỀU THY"/>
    <s v="DP02"/>
    <x v="149"/>
    <x v="57"/>
    <s v="YELLOWEEN"/>
    <m/>
    <s v="16.18"/>
    <n v="200"/>
    <s v="NL2018"/>
    <m/>
    <n v="250"/>
    <n v="50000"/>
    <x v="8"/>
    <n v="250000000"/>
    <x v="0"/>
    <x v="6"/>
    <d v="2019-02-19T00:00:00"/>
    <d v="2019-02-19T00:00:00"/>
    <s v="15/1AL"/>
    <m/>
    <m/>
    <m/>
    <d v="2019-02-22T00:00:00"/>
    <n v="20000"/>
    <d v="2019-02-23T00:00:00"/>
    <n v="30000"/>
    <m/>
    <m/>
    <m/>
    <m/>
    <n v="50000"/>
    <n v="0"/>
    <n v="0"/>
    <m/>
  </r>
  <r>
    <s v="156A/2019"/>
    <d v="2019-03-29T00:00:00"/>
    <s v="KIỀU THY"/>
    <s v="DP02"/>
    <x v="149"/>
    <x v="35"/>
    <s v="TARRANGO"/>
    <m/>
    <s v="14.16"/>
    <n v="300"/>
    <s v="NL2018"/>
    <m/>
    <n v="100"/>
    <n v="30000"/>
    <x v="43"/>
    <n v="144000000"/>
    <x v="0"/>
    <x v="1"/>
    <d v="2019-05-21T00:00:00"/>
    <d v="2019-05-21T00:00:00"/>
    <s v="17/4AL"/>
    <m/>
    <m/>
    <m/>
    <d v="2019-05-18T00:00:00"/>
    <n v="30000"/>
    <m/>
    <m/>
    <m/>
    <m/>
    <m/>
    <m/>
    <n v="30000"/>
    <n v="0"/>
    <n v="0"/>
    <m/>
  </r>
  <r>
    <s v="156A/2019"/>
    <d v="2019-06-11T00:00:00"/>
    <s v="KIỀU THY"/>
    <s v="DP02"/>
    <x v="149"/>
    <x v="10"/>
    <s v="TARRANGO"/>
    <m/>
    <s v="16.18"/>
    <n v="200"/>
    <s v="NL2018"/>
    <m/>
    <n v="100"/>
    <n v="20000"/>
    <x v="72"/>
    <n v="142000000"/>
    <x v="2"/>
    <x v="20"/>
    <d v="2019-07-27T00:00:00"/>
    <d v="2019-07-27T00:00:00"/>
    <m/>
    <m/>
    <m/>
    <m/>
    <m/>
    <m/>
    <m/>
    <m/>
    <m/>
    <m/>
    <m/>
    <m/>
    <n v="0"/>
    <n v="20000"/>
    <n v="142000000"/>
    <m/>
  </r>
  <r>
    <s v="156A/2019"/>
    <d v="2019-06-11T00:00:00"/>
    <s v="KIỀU THY"/>
    <s v="DP02"/>
    <x v="149"/>
    <x v="10"/>
    <s v="TARRANGO"/>
    <m/>
    <s v="16.18"/>
    <n v="200"/>
    <s v="NL2018"/>
    <m/>
    <n v="113"/>
    <n v="22600"/>
    <x v="56"/>
    <n v="162720000"/>
    <x v="2"/>
    <x v="40"/>
    <d v="2019-08-15T00:00:00"/>
    <d v="2019-08-15T00:00:00"/>
    <m/>
    <m/>
    <m/>
    <m/>
    <m/>
    <m/>
    <m/>
    <m/>
    <m/>
    <m/>
    <m/>
    <m/>
    <n v="0"/>
    <n v="22600"/>
    <n v="162720000"/>
    <m/>
  </r>
  <r>
    <s v="127A2019"/>
    <d v="2019-01-05T00:00:00"/>
    <s v="KIỀU THY"/>
    <s v="DP02"/>
    <x v="149"/>
    <x v="66"/>
    <s v="TARRANGO"/>
    <m/>
    <s v="20.22"/>
    <n v="125"/>
    <s v="NL2018"/>
    <m/>
    <n v="160"/>
    <n v="20000"/>
    <x v="68"/>
    <n v="202000000"/>
    <x v="2"/>
    <x v="2"/>
    <d v="2019-09-29T00:00:00"/>
    <d v="2019-09-29T00:00:00"/>
    <s v="TẾT"/>
    <m/>
    <m/>
    <m/>
    <m/>
    <n v="0"/>
    <m/>
    <m/>
    <m/>
    <m/>
    <m/>
    <m/>
    <n v="0"/>
    <n v="20000"/>
    <n v="202000000"/>
    <m/>
  </r>
  <r>
    <s v="17A/2019"/>
    <d v="2019-01-05T00:00:00"/>
    <s v="KIỀU THY"/>
    <s v="DP02"/>
    <x v="149"/>
    <x v="10"/>
    <s v="TARRANGO"/>
    <m/>
    <s v="16.18"/>
    <n v="200"/>
    <s v="NL2018"/>
    <m/>
    <n v="50"/>
    <n v="10000"/>
    <x v="10"/>
    <n v="55000000"/>
    <x v="0"/>
    <x v="6"/>
    <d v="2019-02-19T00:00:00"/>
    <d v="2019-02-19T00:00:00"/>
    <s v="15/1AL"/>
    <m/>
    <m/>
    <m/>
    <d v="2019-02-19T00:00:00"/>
    <n v="10000"/>
    <m/>
    <m/>
    <m/>
    <m/>
    <m/>
    <m/>
    <n v="10000"/>
    <n v="0"/>
    <n v="0"/>
    <m/>
  </r>
  <r>
    <s v="17A/2019"/>
    <d v="2019-01-05T00:00:00"/>
    <s v="KIỀU THY"/>
    <s v="DP02"/>
    <x v="149"/>
    <x v="10"/>
    <s v="TARRANGO"/>
    <m/>
    <s v="16.18"/>
    <n v="200"/>
    <s v="NL2018"/>
    <m/>
    <n v="50"/>
    <n v="10000"/>
    <x v="10"/>
    <n v="55000000"/>
    <x v="0"/>
    <x v="0"/>
    <d v="2019-03-20T00:00:00"/>
    <d v="2019-03-20T00:00:00"/>
    <s v="15/2AL"/>
    <s v="CONT 12/2019"/>
    <d v="2019-03-17T00:00:00"/>
    <m/>
    <d v="2019-03-19T00:00:00"/>
    <n v="10000"/>
    <m/>
    <m/>
    <m/>
    <m/>
    <m/>
    <m/>
    <n v="10000"/>
    <n v="0"/>
    <n v="0"/>
    <m/>
  </r>
  <r>
    <s v="17A/2019"/>
    <d v="2019-01-05T00:00:00"/>
    <s v="KIỀU THY"/>
    <s v="DP02"/>
    <x v="149"/>
    <x v="10"/>
    <s v="TARRANGO"/>
    <m/>
    <s v="16.18"/>
    <n v="200"/>
    <s v="NL2018"/>
    <m/>
    <n v="100"/>
    <n v="20000"/>
    <x v="10"/>
    <n v="110000000"/>
    <x v="0"/>
    <x v="17"/>
    <d v="2019-04-02T00:00:00"/>
    <d v="2019-04-02T00:00:00"/>
    <s v="28/2AL"/>
    <s v="CONT 14/2019"/>
    <d v="2019-03-31T00:00:00"/>
    <m/>
    <d v="2019-04-15T00:00:00"/>
    <n v="20000"/>
    <m/>
    <m/>
    <m/>
    <m/>
    <m/>
    <m/>
    <n v="20000"/>
    <n v="0"/>
    <n v="0"/>
    <m/>
  </r>
  <r>
    <s v="17A/2019"/>
    <d v="2019-01-05T00:00:00"/>
    <s v="KIỀU THY"/>
    <s v="DP02"/>
    <x v="149"/>
    <x v="10"/>
    <s v="TARRANGO"/>
    <m/>
    <s v="16.18"/>
    <n v="200"/>
    <s v="NL2018"/>
    <m/>
    <n v="50"/>
    <n v="10000"/>
    <x v="10"/>
    <n v="55000000"/>
    <x v="0"/>
    <x v="5"/>
    <d v="2019-04-19T00:00:00"/>
    <d v="2019-04-19T00:00:00"/>
    <s v="15/3AL"/>
    <s v="CONT 14/2019"/>
    <d v="2019-03-31T00:00:00"/>
    <m/>
    <d v="2019-04-17T00:00:00"/>
    <n v="10000"/>
    <m/>
    <m/>
    <m/>
    <m/>
    <m/>
    <m/>
    <n v="10000"/>
    <n v="0"/>
    <n v="0"/>
    <m/>
  </r>
  <r>
    <s v="127A2019"/>
    <d v="2019-01-05T00:00:00"/>
    <s v="KIỀU THY"/>
    <s v="DP02"/>
    <x v="149"/>
    <x v="88"/>
    <s v="PROFUNDO CHILE"/>
    <m/>
    <s v="20.22"/>
    <n v="125"/>
    <s v="CL2019"/>
    <m/>
    <n v="80"/>
    <n v="10000"/>
    <x v="61"/>
    <n v="135000000"/>
    <x v="2"/>
    <x v="2"/>
    <d v="2019-09-29T00:00:00"/>
    <d v="2019-09-29T00:00:00"/>
    <s v="TẾT"/>
    <m/>
    <m/>
    <m/>
    <m/>
    <n v="0"/>
    <m/>
    <m/>
    <m/>
    <m/>
    <m/>
    <m/>
    <n v="0"/>
    <n v="10000"/>
    <n v="135000000"/>
    <m/>
  </r>
  <r>
    <s v="127A2019"/>
    <d v="2019-01-05T00:00:00"/>
    <s v="KIỀU THY"/>
    <s v="DP02"/>
    <x v="149"/>
    <x v="39"/>
    <s v="PROFUNDO"/>
    <m/>
    <s v="20.22"/>
    <n v="125"/>
    <s v="NL2018"/>
    <m/>
    <n v="160"/>
    <n v="20000"/>
    <x v="47"/>
    <n v="260000000"/>
    <x v="2"/>
    <x v="2"/>
    <d v="2019-09-29T00:00:00"/>
    <d v="2019-09-29T00:00:00"/>
    <s v="TẾT"/>
    <m/>
    <m/>
    <m/>
    <m/>
    <n v="0"/>
    <m/>
    <m/>
    <m/>
    <m/>
    <m/>
    <m/>
    <n v="0"/>
    <n v="20000"/>
    <n v="260000000"/>
    <m/>
  </r>
  <r>
    <s v="17A/2019"/>
    <d v="2019-01-05T00:00:00"/>
    <s v="KIỀU THY"/>
    <s v="DP02"/>
    <x v="149"/>
    <x v="11"/>
    <s v="PROFUNDO"/>
    <m/>
    <s v="16.18"/>
    <n v="200"/>
    <s v="NL2018"/>
    <m/>
    <n v="150"/>
    <n v="30000"/>
    <x v="97"/>
    <n v="195000000"/>
    <x v="0"/>
    <x v="6"/>
    <d v="2019-02-19T00:00:00"/>
    <d v="2019-02-19T00:00:00"/>
    <s v="15/1AL"/>
    <m/>
    <m/>
    <m/>
    <d v="2019-02-19T00:00:00"/>
    <n v="30000"/>
    <m/>
    <m/>
    <m/>
    <m/>
    <m/>
    <m/>
    <n v="30000"/>
    <n v="0"/>
    <n v="0"/>
    <m/>
  </r>
  <r>
    <s v="17A/2019"/>
    <d v="2019-01-05T00:00:00"/>
    <s v="KIỀU THY"/>
    <s v="DP02"/>
    <x v="149"/>
    <x v="11"/>
    <s v="PROFUNDO"/>
    <m/>
    <s v="16.18"/>
    <n v="200"/>
    <s v="NL2018"/>
    <m/>
    <n v="100"/>
    <n v="20000"/>
    <x v="32"/>
    <n v="134000000"/>
    <x v="0"/>
    <x v="0"/>
    <d v="2019-03-20T00:00:00"/>
    <d v="2019-03-20T00:00:00"/>
    <s v="15/2AL"/>
    <s v="CONT 12/2019"/>
    <d v="2019-03-17T00:00:00"/>
    <m/>
    <d v="2019-03-19T00:00:00"/>
    <n v="20000"/>
    <m/>
    <m/>
    <m/>
    <m/>
    <m/>
    <m/>
    <n v="20000"/>
    <n v="0"/>
    <n v="0"/>
    <m/>
  </r>
  <r>
    <s v="17A/2019"/>
    <d v="2019-01-05T00:00:00"/>
    <s v="KIỀU THY"/>
    <s v="DP02"/>
    <x v="149"/>
    <x v="11"/>
    <s v="PROFUNDO"/>
    <m/>
    <s v="16.18"/>
    <n v="200"/>
    <s v="NL2018"/>
    <m/>
    <n v="50"/>
    <n v="10000"/>
    <x v="32"/>
    <n v="67000000"/>
    <x v="0"/>
    <x v="17"/>
    <d v="2019-04-02T00:00:00"/>
    <d v="2019-04-02T00:00:00"/>
    <s v="28/2AL"/>
    <s v="CONT 17/2019"/>
    <d v="2019-03-31T00:00:00"/>
    <m/>
    <d v="2019-04-15T00:00:00"/>
    <n v="10000"/>
    <m/>
    <m/>
    <m/>
    <m/>
    <m/>
    <m/>
    <n v="10000"/>
    <n v="0"/>
    <n v="0"/>
    <m/>
  </r>
  <r>
    <s v="156A/2019"/>
    <d v="2019-06-11T00:00:00"/>
    <s v="KIỀU THY"/>
    <s v="DP02"/>
    <x v="149"/>
    <x v="136"/>
    <s v="PARAGUAY"/>
    <m/>
    <s v="16.18"/>
    <n v="175"/>
    <s v="NL2018"/>
    <m/>
    <n v="2"/>
    <n v="350"/>
    <x v="13"/>
    <n v="2170000"/>
    <x v="0"/>
    <x v="28"/>
    <d v="2019-06-07T00:00:00"/>
    <d v="2019-06-07T00:00:00"/>
    <m/>
    <m/>
    <m/>
    <m/>
    <d v="2019-06-17T00:00:00"/>
    <n v="350"/>
    <m/>
    <m/>
    <m/>
    <m/>
    <m/>
    <m/>
    <n v="350"/>
    <n v="0"/>
    <n v="0"/>
    <m/>
  </r>
  <r>
    <s v="156A/2019"/>
    <d v="2019-03-29T00:00:00"/>
    <s v="KIỀU THY"/>
    <s v="DP02"/>
    <x v="149"/>
    <x v="79"/>
    <s v="MANISSA"/>
    <m/>
    <s v="16.18"/>
    <n v="200"/>
    <s v="NL2018"/>
    <m/>
    <n v="100"/>
    <n v="20000"/>
    <x v="164"/>
    <n v="138000000"/>
    <x v="0"/>
    <x v="1"/>
    <d v="2019-05-21T00:00:00"/>
    <d v="2019-05-21T00:00:00"/>
    <s v="17/4AL"/>
    <m/>
    <m/>
    <m/>
    <d v="2019-05-18T00:00:00"/>
    <n v="20000"/>
    <m/>
    <m/>
    <m/>
    <m/>
    <m/>
    <m/>
    <n v="20000"/>
    <n v="0"/>
    <n v="0"/>
    <m/>
  </r>
  <r>
    <s v="156A/2019"/>
    <d v="2019-03-29T00:00:00"/>
    <s v="KIỀU THY"/>
    <s v="DP02"/>
    <x v="149"/>
    <x v="79"/>
    <s v="MANISSA"/>
    <m/>
    <s v="16.18"/>
    <n v="200"/>
    <s v="NL2018"/>
    <m/>
    <n v="100"/>
    <n v="20000"/>
    <x v="164"/>
    <n v="138000000"/>
    <x v="0"/>
    <x v="28"/>
    <d v="2019-06-07T00:00:00"/>
    <d v="2019-06-07T00:00:00"/>
    <s v="05/5AL"/>
    <m/>
    <m/>
    <m/>
    <d v="2019-06-08T00:00:00"/>
    <n v="20000"/>
    <m/>
    <m/>
    <m/>
    <m/>
    <m/>
    <m/>
    <n v="20000"/>
    <n v="0"/>
    <n v="0"/>
    <m/>
  </r>
  <r>
    <s v="156A/2019"/>
    <d v="2019-03-29T00:00:00"/>
    <s v="KIỀU THY"/>
    <s v="DP02"/>
    <x v="149"/>
    <x v="79"/>
    <s v="MANISSA"/>
    <m/>
    <s v="16.18"/>
    <n v="200"/>
    <s v="NL2018"/>
    <m/>
    <n v="100"/>
    <n v="20000"/>
    <x v="66"/>
    <n v="140000000"/>
    <x v="3"/>
    <x v="3"/>
    <d v="2019-06-20T00:00:00"/>
    <d v="2019-06-20T00:00:00"/>
    <s v="30/5AL"/>
    <m/>
    <m/>
    <m/>
    <m/>
    <n v="0"/>
    <m/>
    <m/>
    <m/>
    <m/>
    <m/>
    <m/>
    <n v="0"/>
    <n v="20000"/>
    <n v="140000000"/>
    <m/>
  </r>
  <r>
    <s v="156A/2019"/>
    <d v="2019-06-14T00:00:00"/>
    <s v="KIỀU THY"/>
    <s v="DP02"/>
    <x v="149"/>
    <x v="79"/>
    <s v="MANISSA"/>
    <m/>
    <s v="16.18"/>
    <n v="200"/>
    <s v="NL2018"/>
    <m/>
    <n v="150"/>
    <n v="30000"/>
    <x v="66"/>
    <n v="210000000"/>
    <x v="4"/>
    <x v="4"/>
    <d v="2019-07-17T00:00:00"/>
    <d v="2019-07-17T00:00:00"/>
    <m/>
    <m/>
    <m/>
    <m/>
    <m/>
    <m/>
    <m/>
    <m/>
    <m/>
    <m/>
    <m/>
    <m/>
    <n v="0"/>
    <n v="30000"/>
    <n v="210000000"/>
    <m/>
  </r>
  <r>
    <s v="156A/2019"/>
    <d v="2019-06-11T00:00:00"/>
    <s v="KIỀU THY"/>
    <s v="DP02"/>
    <x v="149"/>
    <x v="79"/>
    <s v="MANISSA"/>
    <m/>
    <s v="16.18"/>
    <n v="200"/>
    <s v="NL2018"/>
    <m/>
    <n v="150"/>
    <n v="30000"/>
    <x v="56"/>
    <n v="216000000"/>
    <x v="2"/>
    <x v="40"/>
    <d v="2019-08-15T00:00:00"/>
    <d v="2019-08-15T00:00:00"/>
    <m/>
    <m/>
    <m/>
    <m/>
    <m/>
    <m/>
    <m/>
    <m/>
    <m/>
    <m/>
    <m/>
    <m/>
    <n v="0"/>
    <n v="30000"/>
    <n v="216000000"/>
    <m/>
  </r>
  <r>
    <s v="127A2019"/>
    <d v="2019-01-05T00:00:00"/>
    <s v="KIỀU THY"/>
    <s v="DP02"/>
    <x v="149"/>
    <x v="65"/>
    <s v="MANISSA"/>
    <m/>
    <s v="20.22"/>
    <n v="125"/>
    <s v="NL2018"/>
    <m/>
    <n v="320"/>
    <n v="40000"/>
    <x v="61"/>
    <n v="540000000"/>
    <x v="2"/>
    <x v="2"/>
    <d v="2019-09-29T00:00:00"/>
    <d v="2019-09-29T00:00:00"/>
    <s v="TẾT"/>
    <m/>
    <m/>
    <m/>
    <m/>
    <n v="0"/>
    <m/>
    <m/>
    <m/>
    <m/>
    <m/>
    <m/>
    <n v="0"/>
    <n v="40000"/>
    <n v="540000000"/>
    <m/>
  </r>
  <r>
    <s v="127A2019"/>
    <d v="2019-01-05T00:00:00"/>
    <s v="KIỀU THY"/>
    <s v="DP02"/>
    <x v="149"/>
    <x v="67"/>
    <s v="MANISSA"/>
    <m/>
    <s v="22.24"/>
    <n v="100"/>
    <s v="NL2018"/>
    <m/>
    <n v="200"/>
    <n v="20000"/>
    <x v="15"/>
    <n v="304000000"/>
    <x v="2"/>
    <x v="2"/>
    <d v="2019-09-29T00:00:00"/>
    <d v="2019-09-29T00:00:00"/>
    <s v="TẾT"/>
    <m/>
    <m/>
    <m/>
    <m/>
    <n v="0"/>
    <m/>
    <m/>
    <m/>
    <m/>
    <m/>
    <m/>
    <n v="0"/>
    <n v="20000"/>
    <n v="304000000"/>
    <m/>
  </r>
  <r>
    <s v="156A/2019"/>
    <d v="2019-03-29T00:00:00"/>
    <s v="KIỀU THY"/>
    <s v="DP02"/>
    <x v="149"/>
    <x v="79"/>
    <s v="MANISSA"/>
    <m/>
    <s v="16.18"/>
    <n v="200"/>
    <s v="NL2018"/>
    <m/>
    <n v="350"/>
    <n v="70000"/>
    <x v="106"/>
    <n v="0"/>
    <x v="2"/>
    <x v="26"/>
    <s v=""/>
    <s v=""/>
    <s v="Trừ dần trong các đợt hàng về"/>
    <m/>
    <m/>
    <m/>
    <m/>
    <n v="0"/>
    <m/>
    <m/>
    <m/>
    <m/>
    <m/>
    <m/>
    <n v="0"/>
    <n v="70000"/>
    <n v="0"/>
    <m/>
  </r>
  <r>
    <s v="17A/2019"/>
    <d v="2019-01-05T00:00:00"/>
    <s v="KIỀU THY"/>
    <s v="DP02"/>
    <x v="149"/>
    <x v="106"/>
    <s v="MANISSA"/>
    <s v="PR"/>
    <s v="16.18"/>
    <n v="200"/>
    <s v="NL2018"/>
    <m/>
    <n v="117"/>
    <n v="23400"/>
    <x v="51"/>
    <n v="140400000"/>
    <x v="0"/>
    <x v="17"/>
    <d v="2019-04-02T00:00:00"/>
    <d v="2019-04-02T00:00:00"/>
    <s v="28/2AL"/>
    <s v="CONT 16/2019"/>
    <d v="2019-03-31T00:00:00"/>
    <m/>
    <d v="2019-04-02T00:00:00"/>
    <n v="11400"/>
    <d v="2019-04-15T00:00:00"/>
    <n v="12000"/>
    <m/>
    <m/>
    <m/>
    <m/>
    <n v="23400"/>
    <n v="0"/>
    <n v="0"/>
    <m/>
  </r>
  <r>
    <s v="17A/2019"/>
    <d v="2019-01-05T00:00:00"/>
    <s v="KIỀU THY"/>
    <s v="DP02"/>
    <x v="149"/>
    <x v="79"/>
    <s v="MANISSA"/>
    <m/>
    <s v="16.18"/>
    <n v="200"/>
    <s v="NL2018"/>
    <m/>
    <n v="180"/>
    <n v="36000"/>
    <x v="32"/>
    <n v="241200000"/>
    <x v="0"/>
    <x v="17"/>
    <d v="2019-04-02T00:00:00"/>
    <d v="2019-04-02T00:00:00"/>
    <s v="28/2AL"/>
    <m/>
    <m/>
    <m/>
    <d v="2019-04-02T00:00:00"/>
    <n v="36000"/>
    <m/>
    <m/>
    <m/>
    <m/>
    <m/>
    <m/>
    <n v="36000"/>
    <n v="0"/>
    <n v="0"/>
    <m/>
  </r>
  <r>
    <s v="156A/2019"/>
    <d v="2019-03-29T00:00:00"/>
    <s v="KIỀU THY"/>
    <s v="DP02"/>
    <x v="149"/>
    <x v="27"/>
    <s v="MALDANO"/>
    <m/>
    <s v="16.18"/>
    <n v="200"/>
    <s v="NL2018"/>
    <m/>
    <n v="150"/>
    <n v="30000"/>
    <x v="6"/>
    <n v="162000000"/>
    <x v="0"/>
    <x v="1"/>
    <d v="2019-05-21T00:00:00"/>
    <d v="2019-05-21T00:00:00"/>
    <s v="17/4AL"/>
    <m/>
    <m/>
    <m/>
    <d v="2019-05-18T00:00:00"/>
    <n v="30000"/>
    <m/>
    <m/>
    <m/>
    <m/>
    <m/>
    <m/>
    <n v="30000"/>
    <n v="0"/>
    <n v="0"/>
    <m/>
  </r>
  <r>
    <s v="156A/2019"/>
    <d v="2019-03-29T00:00:00"/>
    <s v="KIỀU THY"/>
    <s v="DP02"/>
    <x v="149"/>
    <x v="81"/>
    <s v="BACARDI"/>
    <m/>
    <s v="16.18"/>
    <n v="200"/>
    <s v="NL2018"/>
    <m/>
    <n v="100"/>
    <n v="20000"/>
    <x v="71"/>
    <n v="136000000"/>
    <x v="0"/>
    <x v="1"/>
    <d v="2019-05-21T00:00:00"/>
    <d v="2019-05-21T00:00:00"/>
    <s v="17/4AL"/>
    <m/>
    <m/>
    <m/>
    <d v="2019-05-18T00:00:00"/>
    <n v="20000"/>
    <m/>
    <m/>
    <m/>
    <m/>
    <m/>
    <m/>
    <n v="20000"/>
    <n v="0"/>
    <n v="0"/>
    <m/>
  </r>
  <r>
    <s v="156A/2019"/>
    <d v="2019-03-29T00:00:00"/>
    <s v="KIỀU THY"/>
    <s v="DP02"/>
    <x v="149"/>
    <x v="81"/>
    <s v="BACARDI"/>
    <m/>
    <s v="16.18"/>
    <n v="200"/>
    <s v="NL2018"/>
    <m/>
    <n v="150"/>
    <n v="30000"/>
    <x v="164"/>
    <n v="207000000"/>
    <x v="0"/>
    <x v="28"/>
    <d v="2019-06-07T00:00:00"/>
    <d v="2019-06-07T00:00:00"/>
    <s v="05/5AL"/>
    <m/>
    <m/>
    <m/>
    <d v="2019-06-08T00:00:00"/>
    <n v="20000"/>
    <d v="2019-06-17T00:00:00"/>
    <n v="10000"/>
    <m/>
    <m/>
    <m/>
    <m/>
    <n v="30000"/>
    <n v="0"/>
    <n v="0"/>
    <m/>
  </r>
  <r>
    <s v="156A/2019"/>
    <d v="2019-03-29T00:00:00"/>
    <s v="KIỀU THY"/>
    <s v="DP02"/>
    <x v="149"/>
    <x v="81"/>
    <s v="BACARDI"/>
    <m/>
    <s v="16.18"/>
    <n v="200"/>
    <s v="NL2018"/>
    <m/>
    <n v="150"/>
    <n v="30000"/>
    <x v="66"/>
    <n v="210000000"/>
    <x v="4"/>
    <x v="4"/>
    <d v="2019-07-17T00:00:00"/>
    <d v="2019-07-17T00:00:00"/>
    <s v="05/6AL"/>
    <m/>
    <m/>
    <m/>
    <m/>
    <m/>
    <m/>
    <m/>
    <m/>
    <m/>
    <m/>
    <m/>
    <n v="0"/>
    <n v="30000"/>
    <n v="210000000"/>
    <m/>
  </r>
  <r>
    <s v="127A2019"/>
    <d v="2019-01-05T00:00:00"/>
    <s v="KIỀU THY"/>
    <s v="DP02"/>
    <x v="149"/>
    <x v="25"/>
    <s v="BACARDI"/>
    <m/>
    <s v="20.22"/>
    <n v="125"/>
    <s v="NL2018"/>
    <m/>
    <n v="240"/>
    <n v="30000"/>
    <x v="27"/>
    <n v="324000000"/>
    <x v="2"/>
    <x v="2"/>
    <d v="2019-09-29T00:00:00"/>
    <d v="2019-09-29T00:00:00"/>
    <s v="TẾT"/>
    <m/>
    <m/>
    <m/>
    <m/>
    <n v="0"/>
    <m/>
    <m/>
    <m/>
    <m/>
    <m/>
    <m/>
    <n v="0"/>
    <n v="30000"/>
    <n v="324000000"/>
    <m/>
  </r>
  <r>
    <s v="127A2019"/>
    <d v="2019-01-05T00:00:00"/>
    <s v="KIỀU THY"/>
    <s v="DP02"/>
    <x v="149"/>
    <x v="25"/>
    <s v="BACARDI"/>
    <m/>
    <s v="20.22"/>
    <n v="125"/>
    <s v="NL2018"/>
    <m/>
    <n v="80"/>
    <n v="10000"/>
    <x v="28"/>
    <n v="110000000"/>
    <x v="2"/>
    <x v="2"/>
    <d v="2019-09-29T00:00:00"/>
    <d v="2019-09-29T00:00:00"/>
    <s v="TẾT"/>
    <m/>
    <m/>
    <m/>
    <m/>
    <n v="0"/>
    <m/>
    <m/>
    <m/>
    <m/>
    <m/>
    <m/>
    <n v="0"/>
    <n v="10000"/>
    <n v="110000000"/>
    <m/>
  </r>
  <r>
    <s v="17A/2019"/>
    <d v="2019-01-05T00:00:00"/>
    <s v="KIỀU THY"/>
    <s v="DP02"/>
    <x v="149"/>
    <x v="81"/>
    <s v="BACARDI"/>
    <m/>
    <s v="16.18"/>
    <n v="200"/>
    <s v="NL2018"/>
    <m/>
    <n v="140"/>
    <n v="28000"/>
    <x v="75"/>
    <n v="176400000"/>
    <x v="0"/>
    <x v="6"/>
    <d v="2019-02-19T00:00:00"/>
    <d v="2019-02-19T00:00:00"/>
    <s v="15/1AL"/>
    <m/>
    <m/>
    <m/>
    <d v="2019-02-19T00:00:00"/>
    <n v="28000"/>
    <m/>
    <m/>
    <m/>
    <m/>
    <m/>
    <m/>
    <n v="28000"/>
    <n v="0"/>
    <n v="0"/>
    <m/>
  </r>
  <r>
    <s v="17A/2019"/>
    <d v="2019-01-05T00:00:00"/>
    <s v="KIỀU THY"/>
    <s v="DP02"/>
    <x v="149"/>
    <x v="81"/>
    <s v="BACARDI"/>
    <m/>
    <s v="16.18"/>
    <n v="200"/>
    <s v="NL2018"/>
    <m/>
    <n v="100"/>
    <n v="20000"/>
    <x v="75"/>
    <n v="126000000"/>
    <x v="0"/>
    <x v="0"/>
    <d v="2019-03-20T00:00:00"/>
    <d v="2019-03-20T00:00:00"/>
    <s v="15/2AL"/>
    <s v="CONT 11/2019"/>
    <d v="2019-03-17T00:00:00"/>
    <m/>
    <d v="2019-03-19T00:00:00"/>
    <n v="20000"/>
    <m/>
    <m/>
    <m/>
    <m/>
    <m/>
    <m/>
    <n v="20000"/>
    <n v="0"/>
    <n v="0"/>
    <m/>
  </r>
  <r>
    <s v="17A/2019"/>
    <d v="2019-01-05T00:00:00"/>
    <s v="KIỀU THY"/>
    <s v="DP02"/>
    <x v="149"/>
    <x v="81"/>
    <s v="BACARDI"/>
    <m/>
    <s v="16.18"/>
    <n v="200"/>
    <s v="NL2018"/>
    <m/>
    <n v="80"/>
    <n v="16000"/>
    <x v="75"/>
    <n v="100800000"/>
    <x v="0"/>
    <x v="17"/>
    <d v="2019-04-02T00:00:00"/>
    <d v="2019-04-02T00:00:00"/>
    <s v="28/2AL"/>
    <s v="CONT 14/2019"/>
    <d v="2019-03-31T00:00:00"/>
    <m/>
    <d v="2019-04-15T00:00:00"/>
    <n v="16000"/>
    <m/>
    <m/>
    <m/>
    <m/>
    <m/>
    <m/>
    <n v="16000"/>
    <n v="0"/>
    <n v="0"/>
    <s v="giảm 9000 củ do sl nhập về ko đủ"/>
  </r>
  <r>
    <s v="147B/2019"/>
    <d v="2019-04-01T00:00:00"/>
    <s v="THANH THÚY"/>
    <s v="DD01"/>
    <x v="150"/>
    <x v="33"/>
    <s v="TEBALDI"/>
    <m/>
    <s v="14.16"/>
    <n v="300"/>
    <s v="NL2018"/>
    <m/>
    <n v="7"/>
    <n v="2100"/>
    <x v="40"/>
    <n v="8820000"/>
    <x v="0"/>
    <x v="25"/>
    <d v="2019-04-14T00:00:00"/>
    <d v="2019-04-14T00:00:00"/>
    <s v="15/3AL"/>
    <m/>
    <m/>
    <m/>
    <d v="2019-04-17T00:00:00"/>
    <n v="2100"/>
    <m/>
    <m/>
    <m/>
    <m/>
    <m/>
    <m/>
    <n v="2100"/>
    <n v="0"/>
    <n v="0"/>
    <m/>
  </r>
  <r>
    <s v="130B/2019"/>
    <d v="2019-12-21T00:00:00"/>
    <s v="THANH THÚY"/>
    <s v="DD01"/>
    <x v="150"/>
    <x v="34"/>
    <s v="TEBALDI"/>
    <m/>
    <s v="16.18"/>
    <n v="200"/>
    <s v="NL2018"/>
    <m/>
    <n v="25"/>
    <n v="5000"/>
    <x v="42"/>
    <n v="30500000"/>
    <x v="2"/>
    <x v="2"/>
    <d v="2019-09-29T00:00:00"/>
    <d v="2019-09-29T00:00:00"/>
    <s v="TẾT"/>
    <m/>
    <m/>
    <m/>
    <m/>
    <m/>
    <m/>
    <m/>
    <m/>
    <m/>
    <m/>
    <m/>
    <n v="0"/>
    <n v="5000"/>
    <n v="30500000"/>
    <m/>
  </r>
  <r>
    <s v="130B/2019"/>
    <d v="2019-12-21T00:00:00"/>
    <s v="THANH THÚY"/>
    <s v="DD01"/>
    <x v="150"/>
    <x v="23"/>
    <s v="ROBINA"/>
    <m/>
    <s v="22.24"/>
    <n v="100"/>
    <s v="NL2018"/>
    <m/>
    <n v="70"/>
    <n v="7000"/>
    <x v="25"/>
    <n v="87500000"/>
    <x v="2"/>
    <x v="2"/>
    <d v="2019-09-29T00:00:00"/>
    <d v="2019-09-29T00:00:00"/>
    <s v="TẾT"/>
    <m/>
    <m/>
    <m/>
    <m/>
    <m/>
    <m/>
    <m/>
    <m/>
    <m/>
    <m/>
    <m/>
    <n v="0"/>
    <n v="7000"/>
    <n v="87500000"/>
    <m/>
  </r>
  <r>
    <s v="161B/2019"/>
    <d v="2019-04-08T00:00:00"/>
    <s v="THANH THÚY"/>
    <s v="DD01"/>
    <x v="150"/>
    <x v="40"/>
    <s v="PAVIA 2017"/>
    <m/>
    <s v="12.14"/>
    <n v="400"/>
    <s v="NL2017"/>
    <m/>
    <n v="13"/>
    <n v="5200"/>
    <x v="48"/>
    <n v="10400000"/>
    <x v="0"/>
    <x v="82"/>
    <d v="2019-04-08T00:00:00"/>
    <d v="2019-04-08T00:00:00"/>
    <s v="4/3AL"/>
    <m/>
    <m/>
    <m/>
    <d v="2019-04-08T00:00:00"/>
    <n v="5200"/>
    <m/>
    <m/>
    <m/>
    <m/>
    <m/>
    <m/>
    <n v="5200"/>
    <n v="0"/>
    <n v="0"/>
    <m/>
  </r>
  <r>
    <s v="147B/2019"/>
    <d v="2019-06-05T00:00:00"/>
    <s v="THANH THÚY"/>
    <s v="DD01"/>
    <x v="150"/>
    <x v="41"/>
    <s v="PAVIA"/>
    <m/>
    <s v="12.14"/>
    <n v="400"/>
    <s v="NL2018"/>
    <m/>
    <n v="8"/>
    <n v="3200"/>
    <x v="39"/>
    <n v="9280000"/>
    <x v="0"/>
    <x v="1"/>
    <d v="2019-05-21T00:00:00"/>
    <d v="2019-05-21T00:00:00"/>
    <s v="29/4AL"/>
    <m/>
    <m/>
    <m/>
    <d v="2019-06-06T00:00:00"/>
    <n v="3200"/>
    <m/>
    <m/>
    <m/>
    <m/>
    <m/>
    <m/>
    <n v="3200"/>
    <n v="0"/>
    <n v="0"/>
    <m/>
  </r>
  <r>
    <s v="11B/2019"/>
    <d v="2019-12-21T00:00:00"/>
    <s v="THANH THÚY"/>
    <s v="DD01"/>
    <x v="150"/>
    <x v="44"/>
    <s v="NELLO "/>
    <m/>
    <s v="12.14"/>
    <n v="400"/>
    <s v="NL2018"/>
    <m/>
    <n v="63"/>
    <n v="25200"/>
    <x v="26"/>
    <n v="75600000"/>
    <x v="0"/>
    <x v="6"/>
    <d v="2019-02-19T00:00:00"/>
    <d v="2019-02-19T00:00:00"/>
    <s v="15/1AL"/>
    <m/>
    <m/>
    <m/>
    <d v="2019-02-22T00:00:00"/>
    <n v="17600"/>
    <d v="2019-04-23T00:00:00"/>
    <n v="6000"/>
    <d v="2019-05-02T00:00:00"/>
    <n v="1600"/>
    <m/>
    <m/>
    <n v="25200"/>
    <n v="0"/>
    <n v="0"/>
    <m/>
  </r>
  <r>
    <s v="11B/2019"/>
    <d v="2019-12-21T00:00:00"/>
    <s v="THANH THÚY"/>
    <s v="DD01"/>
    <x v="150"/>
    <x v="44"/>
    <s v="NELLO "/>
    <m/>
    <s v="12.14"/>
    <n v="400"/>
    <s v="NL2018"/>
    <m/>
    <n v="75"/>
    <n v="30000"/>
    <x v="26"/>
    <n v="90000000"/>
    <x v="0"/>
    <x v="25"/>
    <d v="2019-04-14T00:00:00"/>
    <d v="2019-04-14T00:00:00"/>
    <s v="15/3AL"/>
    <s v="CONT 20/2019"/>
    <m/>
    <m/>
    <d v="2019-05-02T00:00:00"/>
    <n v="4400"/>
    <d v="2019-05-08T00:00:00"/>
    <n v="5200"/>
    <d v="2019-05-17T00:00:00"/>
    <n v="20400"/>
    <m/>
    <m/>
    <n v="30000"/>
    <n v="0"/>
    <n v="0"/>
    <m/>
  </r>
  <r>
    <s v="147B/2019"/>
    <d v="2019-04-01T00:00:00"/>
    <s v="THANH THÚY"/>
    <s v="DD01"/>
    <x v="150"/>
    <x v="44"/>
    <s v="NELLO "/>
    <m/>
    <s v="12.14"/>
    <n v="400"/>
    <s v="NL2018"/>
    <m/>
    <n v="10"/>
    <n v="4000"/>
    <x v="26"/>
    <n v="12000000"/>
    <x v="0"/>
    <x v="25"/>
    <d v="2019-04-14T00:00:00"/>
    <d v="2019-04-14T00:00:00"/>
    <s v="15/3AL"/>
    <m/>
    <m/>
    <m/>
    <m/>
    <n v="4000"/>
    <m/>
    <m/>
    <m/>
    <m/>
    <m/>
    <m/>
    <n v="4000"/>
    <n v="0"/>
    <n v="0"/>
    <m/>
  </r>
  <r>
    <s v="147B/2019"/>
    <d v="2019-04-01T00:00:00"/>
    <s v="THANH THÚY"/>
    <s v="DD01"/>
    <x v="150"/>
    <x v="44"/>
    <s v="NELLO "/>
    <m/>
    <s v="12.14"/>
    <n v="400"/>
    <s v="NL2018"/>
    <m/>
    <n v="49"/>
    <n v="19600"/>
    <x v="52"/>
    <n v="62720000"/>
    <x v="0"/>
    <x v="11"/>
    <d v="2019-06-02T00:00:00"/>
    <d v="2019-06-02T00:00:00"/>
    <s v="29/4AL"/>
    <m/>
    <m/>
    <m/>
    <d v="2019-06-14T00:00:00"/>
    <n v="5600"/>
    <d v="2019-06-17T00:00:00"/>
    <n v="8000"/>
    <d v="2019-06-23T00:00:00"/>
    <n v="6000"/>
    <m/>
    <m/>
    <n v="19600"/>
    <n v="0"/>
    <n v="0"/>
    <m/>
  </r>
  <r>
    <s v="130B/2019"/>
    <d v="2019-12-21T00:00:00"/>
    <s v="THANH THÚY"/>
    <s v="DD01"/>
    <x v="150"/>
    <x v="60"/>
    <s v="MANISSA"/>
    <m/>
    <s v="24+"/>
    <n v="75"/>
    <s v="NL2018"/>
    <m/>
    <n v="27"/>
    <n v="2025"/>
    <x v="57"/>
    <n v="32400000"/>
    <x v="2"/>
    <x v="2"/>
    <d v="2019-09-29T00:00:00"/>
    <d v="2019-09-29T00:00:00"/>
    <s v="TẾT"/>
    <m/>
    <m/>
    <m/>
    <m/>
    <m/>
    <m/>
    <m/>
    <m/>
    <m/>
    <m/>
    <m/>
    <n v="0"/>
    <n v="2025"/>
    <n v="32400000"/>
    <m/>
  </r>
  <r>
    <s v="11B/2019"/>
    <d v="2019-12-21T00:00:00"/>
    <s v="THANH THÚY"/>
    <s v="DD01"/>
    <x v="150"/>
    <x v="53"/>
    <s v="AMATERAS"/>
    <m/>
    <s v="12.14"/>
    <n v="400"/>
    <s v="NL2018"/>
    <m/>
    <n v="23"/>
    <n v="9200"/>
    <x v="37"/>
    <n v="25760000"/>
    <x v="0"/>
    <x v="0"/>
    <d v="2019-03-20T00:00:00"/>
    <d v="2019-03-20T00:00:00"/>
    <s v="15/2AL"/>
    <s v="CONT 9/2019"/>
    <m/>
    <m/>
    <d v="2019-03-29T00:00:00"/>
    <n v="4800"/>
    <d v="2019-04-01T00:00:00"/>
    <n v="4400"/>
    <m/>
    <m/>
    <m/>
    <m/>
    <n v="9200"/>
    <n v="0"/>
    <n v="0"/>
    <m/>
  </r>
  <r>
    <s v="147B/2019"/>
    <d v="2019-04-01T00:00:00"/>
    <s v="THANH THÚY"/>
    <s v="DD01"/>
    <x v="150"/>
    <x v="55"/>
    <s v="AMATERAS"/>
    <m/>
    <s v="14.16"/>
    <n v="275"/>
    <s v="NL2018"/>
    <m/>
    <n v="15"/>
    <n v="4125"/>
    <x v="40"/>
    <n v="17325000"/>
    <x v="0"/>
    <x v="83"/>
    <s v=""/>
    <s v=""/>
    <s v="15/3AL"/>
    <m/>
    <m/>
    <m/>
    <d v="2019-04-17T00:00:00"/>
    <n v="4125"/>
    <m/>
    <m/>
    <m/>
    <m/>
    <m/>
    <m/>
    <n v="4125"/>
    <n v="0"/>
    <n v="0"/>
    <m/>
  </r>
  <r>
    <s v="147B/2019"/>
    <d v="2019-04-01T00:00:00"/>
    <s v="THANH THÚY"/>
    <s v="DD01"/>
    <x v="150"/>
    <x v="54"/>
    <s v="AMATERAS"/>
    <m/>
    <s v="14.16"/>
    <n v="300"/>
    <s v="NL2018"/>
    <m/>
    <n v="0"/>
    <n v="0"/>
    <x v="14"/>
    <n v="0"/>
    <x v="1"/>
    <x v="11"/>
    <d v="2019-06-02T00:00:00"/>
    <d v="2019-06-02T00:00:00"/>
    <s v="29/4AL"/>
    <m/>
    <m/>
    <m/>
    <m/>
    <m/>
    <m/>
    <m/>
    <m/>
    <m/>
    <m/>
    <m/>
    <n v="0"/>
    <n v="0"/>
    <n v="0"/>
    <m/>
  </r>
  <r>
    <s v="107A/2019"/>
    <d v="2019-03-11T00:00:00"/>
    <s v="KIỀU THY"/>
    <s v="DT05"/>
    <x v="151"/>
    <x v="2"/>
    <s v="SERANO"/>
    <m/>
    <s v="14.16"/>
    <n v="300"/>
    <s v="NL2018"/>
    <m/>
    <n v="10"/>
    <n v="3000"/>
    <x v="108"/>
    <n v="10800000"/>
    <x v="0"/>
    <x v="1"/>
    <d v="2019-05-21T00:00:00"/>
    <d v="2019-05-21T00:00:00"/>
    <s v="15/4AL"/>
    <m/>
    <m/>
    <m/>
    <d v="2019-05-20T00:00:00"/>
    <n v="3000"/>
    <m/>
    <m/>
    <m/>
    <m/>
    <m/>
    <m/>
    <n v="3000"/>
    <n v="0"/>
    <n v="0"/>
    <m/>
  </r>
  <r>
    <s v="107A/2019"/>
    <d v="2019-03-11T00:00:00"/>
    <s v="KIỀU THY"/>
    <s v="DT05"/>
    <x v="151"/>
    <x v="3"/>
    <s v="ROBINA"/>
    <m/>
    <n v="16.18"/>
    <n v="200"/>
    <s v="NL2018"/>
    <m/>
    <n v="15"/>
    <n v="3000"/>
    <x v="43"/>
    <n v="14400000"/>
    <x v="0"/>
    <x v="5"/>
    <d v="2019-04-19T00:00:00"/>
    <d v="2019-04-19T00:00:00"/>
    <s v="15/3AL"/>
    <s v="CONT 25/2019"/>
    <d v="2019-04-14T00:00:00"/>
    <m/>
    <d v="2019-04-24T00:00:00"/>
    <n v="3000"/>
    <m/>
    <m/>
    <m/>
    <m/>
    <m/>
    <m/>
    <n v="3000"/>
    <n v="0"/>
    <n v="0"/>
    <m/>
  </r>
  <r>
    <s v="107A/2019"/>
    <d v="2019-03-11T00:00:00"/>
    <s v="KIỀU THY"/>
    <s v="DT05"/>
    <x v="151"/>
    <x v="3"/>
    <s v="ROBINA"/>
    <m/>
    <n v="16.18"/>
    <n v="200"/>
    <s v="NL2018"/>
    <m/>
    <n v="15"/>
    <n v="3000"/>
    <x v="43"/>
    <n v="14400000"/>
    <x v="0"/>
    <x v="5"/>
    <d v="2019-04-19T00:00:00"/>
    <d v="2019-04-19T00:00:00"/>
    <s v="15/3AL"/>
    <m/>
    <m/>
    <m/>
    <d v="2019-04-24T00:00:00"/>
    <n v="3000"/>
    <m/>
    <m/>
    <m/>
    <m/>
    <m/>
    <m/>
    <n v="3000"/>
    <n v="0"/>
    <n v="0"/>
    <m/>
  </r>
  <r>
    <s v="107A/2019"/>
    <d v="2019-03-11T00:00:00"/>
    <s v="KIỀU THY"/>
    <s v="DT05"/>
    <x v="151"/>
    <x v="3"/>
    <s v="ROBINA"/>
    <m/>
    <n v="16.18"/>
    <n v="200"/>
    <s v="NL2018"/>
    <m/>
    <n v="35"/>
    <n v="7000"/>
    <x v="8"/>
    <n v="35000000"/>
    <x v="0"/>
    <x v="1"/>
    <d v="2019-05-21T00:00:00"/>
    <d v="2019-05-21T00:00:00"/>
    <s v="15/4AL"/>
    <m/>
    <m/>
    <m/>
    <d v="2019-05-20T00:00:00"/>
    <n v="7000"/>
    <m/>
    <m/>
    <m/>
    <m/>
    <m/>
    <m/>
    <n v="7000"/>
    <n v="0"/>
    <n v="0"/>
    <m/>
  </r>
  <r>
    <s v="205A/2019"/>
    <d v="2019-04-24T00:00:00"/>
    <s v="KIỀU THY"/>
    <s v="DT05"/>
    <x v="151"/>
    <x v="3"/>
    <s v="ROBINA"/>
    <m/>
    <n v="16.18"/>
    <n v="200"/>
    <s v="NL2018"/>
    <m/>
    <n v="35"/>
    <n v="7000"/>
    <x v="30"/>
    <n v="40600000"/>
    <x v="2"/>
    <x v="2"/>
    <d v="2019-09-29T00:00:00"/>
    <d v="2019-09-29T00:00:00"/>
    <s v="TẾT"/>
    <m/>
    <m/>
    <m/>
    <m/>
    <m/>
    <m/>
    <m/>
    <m/>
    <m/>
    <m/>
    <m/>
    <n v="0"/>
    <n v="7000"/>
    <n v="40600000"/>
    <m/>
  </r>
  <r>
    <s v="107A/2019"/>
    <d v="2019-03-11T00:00:00"/>
    <s v="KIỀU THY"/>
    <s v="DT05"/>
    <x v="151"/>
    <x v="120"/>
    <s v="FELINO"/>
    <m/>
    <n v="15.16"/>
    <n v="250"/>
    <s v="NL2018"/>
    <m/>
    <n v="5"/>
    <n v="1250"/>
    <x v="85"/>
    <n v="7125000"/>
    <x v="0"/>
    <x v="5"/>
    <d v="2019-04-19T00:00:00"/>
    <d v="2019-04-19T00:00:00"/>
    <s v="15/3AL"/>
    <m/>
    <m/>
    <m/>
    <d v="2019-04-24T00:00:00"/>
    <n v="1250"/>
    <m/>
    <m/>
    <m/>
    <m/>
    <m/>
    <m/>
    <n v="1250"/>
    <n v="0"/>
    <n v="0"/>
    <m/>
  </r>
  <r>
    <s v="107A/2019"/>
    <d v="2019-03-11T00:00:00"/>
    <s v="KIỀU THY"/>
    <s v="DT05"/>
    <x v="151"/>
    <x v="6"/>
    <s v="CONCADOR"/>
    <m/>
    <n v="16.18"/>
    <n v="200"/>
    <s v="NL2018"/>
    <m/>
    <n v="5"/>
    <n v="1000"/>
    <x v="8"/>
    <n v="5000000"/>
    <x v="0"/>
    <x v="5"/>
    <d v="2019-04-19T00:00:00"/>
    <d v="2019-04-19T00:00:00"/>
    <s v="15/3AL"/>
    <s v="CONT 21/2019"/>
    <d v="2019-04-14T00:00:00"/>
    <m/>
    <d v="2019-04-24T00:00:00"/>
    <n v="1000"/>
    <m/>
    <m/>
    <m/>
    <m/>
    <m/>
    <m/>
    <n v="1000"/>
    <n v="0"/>
    <n v="0"/>
    <m/>
  </r>
  <r>
    <s v="205A/2019"/>
    <d v="2019-04-24T00:00:00"/>
    <s v="KIỀU THY"/>
    <s v="DT05"/>
    <x v="151"/>
    <x v="8"/>
    <s v="CONCADOR"/>
    <m/>
    <s v="18.20"/>
    <n v="150"/>
    <s v="NL2018"/>
    <m/>
    <n v="20"/>
    <n v="3000"/>
    <x v="9"/>
    <n v="24000000"/>
    <x v="2"/>
    <x v="2"/>
    <d v="2019-09-29T00:00:00"/>
    <d v="2019-09-29T00:00:00"/>
    <s v="TẾT"/>
    <m/>
    <m/>
    <m/>
    <m/>
    <m/>
    <m/>
    <m/>
    <m/>
    <m/>
    <m/>
    <m/>
    <n v="0"/>
    <n v="3000"/>
    <n v="24000000"/>
    <m/>
  </r>
  <r>
    <s v="221A/2019"/>
    <d v="2019-05-21T00:00:00"/>
    <s v="KIỀU THY"/>
    <s v="TD05"/>
    <x v="152"/>
    <x v="107"/>
    <s v="SERANO"/>
    <m/>
    <s v="18.20"/>
    <s v="150"/>
    <s v="NL2018"/>
    <m/>
    <n v="67"/>
    <n v="10050"/>
    <x v="11"/>
    <n v="77385000"/>
    <x v="2"/>
    <x v="2"/>
    <d v="2019-09-29T00:00:00"/>
    <d v="2019-09-29T00:00:00"/>
    <s v="TẾT"/>
    <m/>
    <m/>
    <m/>
    <m/>
    <m/>
    <m/>
    <m/>
    <m/>
    <m/>
    <m/>
    <m/>
    <n v="0"/>
    <n v="10050"/>
    <n v="77385000"/>
    <m/>
  </r>
  <r>
    <s v="221A/2019"/>
    <d v="2019-05-21T00:00:00"/>
    <s v="KIỀU THY"/>
    <s v="TD05"/>
    <x v="152"/>
    <x v="89"/>
    <s v="PROFUNDO"/>
    <m/>
    <s v="18.20"/>
    <s v="150"/>
    <s v="NL2018"/>
    <m/>
    <n v="67"/>
    <n v="10050"/>
    <x v="62"/>
    <n v="109545000"/>
    <x v="2"/>
    <x v="2"/>
    <d v="2019-09-29T00:00:00"/>
    <d v="2019-09-29T00:00:00"/>
    <s v="TẾT"/>
    <m/>
    <m/>
    <m/>
    <m/>
    <m/>
    <m/>
    <m/>
    <m/>
    <m/>
    <m/>
    <m/>
    <n v="0"/>
    <n v="10050"/>
    <n v="109545000"/>
    <m/>
  </r>
  <r>
    <s v="218A/2019"/>
    <d v="2019-06-18T00:00:00"/>
    <s v="KIỀU THY"/>
    <s v="TD05"/>
    <x v="152"/>
    <x v="61"/>
    <s v="NASHVILLE"/>
    <m/>
    <s v="14.16"/>
    <s v="300"/>
    <s v="NL2018"/>
    <m/>
    <n v="34"/>
    <n v="10200"/>
    <x v="38"/>
    <n v="41820000"/>
    <x v="4"/>
    <x v="4"/>
    <d v="2019-07-17T00:00:00"/>
    <d v="2019-07-17T00:00:00"/>
    <m/>
    <m/>
    <m/>
    <m/>
    <m/>
    <m/>
    <m/>
    <m/>
    <m/>
    <m/>
    <m/>
    <m/>
    <n v="0"/>
    <n v="10200"/>
    <n v="41820000"/>
    <m/>
  </r>
  <r>
    <s v="218A/2019"/>
    <d v="2019-05-21T00:00:00"/>
    <s v="KIỀU THY"/>
    <s v="TD05"/>
    <x v="152"/>
    <x v="50"/>
    <s v="EREMO"/>
    <m/>
    <s v="14.16"/>
    <s v="300"/>
    <s v="NL2018"/>
    <m/>
    <n v="7"/>
    <n v="2100"/>
    <x v="50"/>
    <n v="9240000"/>
    <x v="2"/>
    <x v="20"/>
    <d v="2019-07-27T00:00:00"/>
    <d v="2019-07-27T00:00:00"/>
    <m/>
    <m/>
    <m/>
    <m/>
    <m/>
    <m/>
    <m/>
    <m/>
    <m/>
    <m/>
    <m/>
    <m/>
    <n v="0"/>
    <n v="2100"/>
    <n v="9240000"/>
    <m/>
  </r>
  <r>
    <s v="218A/2019"/>
    <d v="2019-05-28T00:00:00"/>
    <s v="KIỀU THY"/>
    <s v="TD05"/>
    <x v="152"/>
    <x v="9"/>
    <s v="ARVANDRUD"/>
    <m/>
    <s v="16.18"/>
    <s v="200"/>
    <s v="NL2018"/>
    <m/>
    <n v="31"/>
    <n v="6200"/>
    <x v="6"/>
    <n v="33480000"/>
    <x v="0"/>
    <x v="1"/>
    <d v="2019-05-21T00:00:00"/>
    <d v="2019-05-21T00:00:00"/>
    <m/>
    <m/>
    <m/>
    <m/>
    <d v="2019-06-14T00:00:00"/>
    <n v="6200"/>
    <m/>
    <m/>
    <m/>
    <m/>
    <m/>
    <m/>
    <n v="6200"/>
    <n v="0"/>
    <n v="0"/>
    <m/>
  </r>
  <r>
    <s v="218A/2019"/>
    <d v="2019-05-18T00:00:00"/>
    <s v="KIỀU THY"/>
    <s v="TD05"/>
    <x v="152"/>
    <x v="54"/>
    <s v="AMATERAS"/>
    <m/>
    <s v="14.16"/>
    <s v="300"/>
    <s v="NL2018"/>
    <m/>
    <n v="34"/>
    <n v="10200"/>
    <x v="14"/>
    <n v="45900000"/>
    <x v="4"/>
    <x v="18"/>
    <d v="2019-07-02T00:00:00"/>
    <d v="2019-07-02T00:00:00"/>
    <m/>
    <m/>
    <m/>
    <m/>
    <m/>
    <m/>
    <m/>
    <m/>
    <m/>
    <m/>
    <m/>
    <m/>
    <n v="0"/>
    <n v="10200"/>
    <n v="45900000"/>
    <m/>
  </r>
  <r>
    <s v="218A/2019"/>
    <d v="2019-05-21T00:00:00"/>
    <s v="KIỀU THY"/>
    <s v="TD05"/>
    <x v="152"/>
    <x v="54"/>
    <s v="AMATERAS"/>
    <m/>
    <s v="14.16"/>
    <s v="300"/>
    <s v="NL2018"/>
    <m/>
    <n v="27"/>
    <n v="8100"/>
    <x v="29"/>
    <n v="37260000"/>
    <x v="2"/>
    <x v="20"/>
    <d v="2019-07-27T00:00:00"/>
    <d v="2019-07-27T00:00:00"/>
    <m/>
    <m/>
    <m/>
    <m/>
    <m/>
    <m/>
    <m/>
    <m/>
    <m/>
    <m/>
    <m/>
    <m/>
    <n v="0"/>
    <n v="8100"/>
    <n v="37260000"/>
    <m/>
  </r>
  <r>
    <s v="32A/2019"/>
    <d v="2019-01-15T00:00:00"/>
    <s v="KIỀU THY"/>
    <s v="TP01"/>
    <x v="153"/>
    <x v="0"/>
    <s v="YELLOWEEN"/>
    <m/>
    <s v="12.14"/>
    <n v="400"/>
    <s v="NL2018"/>
    <m/>
    <n v="6"/>
    <n v="2400"/>
    <x v="0"/>
    <n v="6240000"/>
    <x v="0"/>
    <x v="6"/>
    <d v="2019-02-19T00:00:00"/>
    <d v="2019-02-19T00:00:00"/>
    <s v="15/1AL"/>
    <m/>
    <m/>
    <s v="R"/>
    <d v="2019-02-22T00:00:00"/>
    <n v="2400"/>
    <m/>
    <m/>
    <m/>
    <m/>
    <m/>
    <m/>
    <n v="2400"/>
    <n v="0"/>
    <n v="0"/>
    <m/>
  </r>
  <r>
    <s v="32A/2019"/>
    <d v="2019-01-15T00:00:00"/>
    <s v="KIỀU THY"/>
    <s v="TP01"/>
    <x v="153"/>
    <x v="34"/>
    <s v="TEBALDI"/>
    <m/>
    <s v="16.18"/>
    <n v="200"/>
    <s v="NL2018"/>
    <m/>
    <n v="5"/>
    <n v="1000"/>
    <x v="42"/>
    <n v="6100000"/>
    <x v="2"/>
    <x v="2"/>
    <d v="2019-09-29T00:00:00"/>
    <d v="2019-09-29T00:00:00"/>
    <s v="TẾT"/>
    <m/>
    <m/>
    <m/>
    <m/>
    <m/>
    <m/>
    <m/>
    <m/>
    <m/>
    <m/>
    <m/>
    <n v="0"/>
    <n v="1000"/>
    <n v="6100000"/>
    <m/>
  </r>
  <r>
    <s v="32A/2019"/>
    <d v="2019-01-15T00:00:00"/>
    <s v="KIỀU THY"/>
    <s v="TP01"/>
    <x v="153"/>
    <x v="171"/>
    <s v="STENDHAL"/>
    <m/>
    <s v="16.18"/>
    <n v="200"/>
    <s v="NL2017"/>
    <m/>
    <n v="25"/>
    <n v="5000"/>
    <x v="8"/>
    <n v="25000000"/>
    <x v="0"/>
    <x v="16"/>
    <d v="2019-03-12T00:00:00"/>
    <d v="2019-03-12T00:00:00"/>
    <s v="07/2AL"/>
    <s v="CONT 87/2018"/>
    <m/>
    <s v="R"/>
    <d v="2019-03-16T00:00:00"/>
    <n v="5000"/>
    <m/>
    <m/>
    <m/>
    <m/>
    <m/>
    <m/>
    <n v="5000"/>
    <n v="0"/>
    <n v="0"/>
    <m/>
  </r>
  <r>
    <s v="32A/2019"/>
    <d v="2019-01-15T00:00:00"/>
    <s v="KIỀU THY"/>
    <s v="TP01"/>
    <x v="153"/>
    <x v="41"/>
    <s v="PAVIA"/>
    <m/>
    <s v="12.14"/>
    <n v="400"/>
    <s v="NL2018"/>
    <m/>
    <n v="6"/>
    <n v="2400"/>
    <x v="37"/>
    <n v="6720000"/>
    <x v="0"/>
    <x v="6"/>
    <d v="2019-02-19T00:00:00"/>
    <d v="2019-02-19T00:00:00"/>
    <s v="15/1AL"/>
    <m/>
    <m/>
    <s v="R"/>
    <d v="2019-02-22T00:00:00"/>
    <n v="2400"/>
    <m/>
    <m/>
    <m/>
    <m/>
    <m/>
    <m/>
    <n v="2400"/>
    <n v="0"/>
    <n v="0"/>
    <m/>
  </r>
  <r>
    <s v="32A/2019"/>
    <d v="2019-01-15T00:00:00"/>
    <s v="KIỀU THY"/>
    <s v="TP01"/>
    <x v="153"/>
    <x v="40"/>
    <s v="PAVIA"/>
    <m/>
    <s v="12.14"/>
    <n v="400"/>
    <s v="NL2017"/>
    <m/>
    <n v="18"/>
    <n v="7200"/>
    <x v="48"/>
    <n v="14400000"/>
    <x v="0"/>
    <x v="0"/>
    <d v="2019-03-20T00:00:00"/>
    <d v="2019-03-20T00:00:00"/>
    <s v="15/2AL"/>
    <s v="CONT 9/2019"/>
    <d v="2019-03-17T00:00:00"/>
    <s v="R"/>
    <d v="2019-03-19T00:00:00"/>
    <n v="7200"/>
    <m/>
    <m/>
    <m/>
    <m/>
    <m/>
    <m/>
    <n v="7200"/>
    <n v="0"/>
    <n v="0"/>
    <m/>
  </r>
  <r>
    <s v="32A/2019"/>
    <d v="2019-01-15T00:00:00"/>
    <s v="KIỀU THY"/>
    <s v="TP01"/>
    <x v="153"/>
    <x v="41"/>
    <s v="PAVIA"/>
    <m/>
    <s v="12.14"/>
    <n v="400"/>
    <s v="NL2018"/>
    <m/>
    <n v="6"/>
    <n v="2400"/>
    <x v="37"/>
    <n v="6720000"/>
    <x v="0"/>
    <x v="30"/>
    <d v="2019-04-04T00:00:00"/>
    <d v="2019-04-04T00:00:00"/>
    <s v="30/2AL"/>
    <s v="CONT 14/2019"/>
    <d v="2019-03-31T00:00:00"/>
    <s v="R"/>
    <d v="2019-04-03T00:00:00"/>
    <n v="2400"/>
    <m/>
    <m/>
    <m/>
    <m/>
    <m/>
    <m/>
    <n v="2400"/>
    <n v="0"/>
    <n v="0"/>
    <m/>
  </r>
  <r>
    <s v="32A/2019"/>
    <d v="2019-01-15T00:00:00"/>
    <s v="KIỀU THY"/>
    <s v="TP01"/>
    <x v="153"/>
    <x v="44"/>
    <s v="NELLO "/>
    <m/>
    <s v="12.14"/>
    <n v="400"/>
    <s v="NL2018"/>
    <m/>
    <n v="6"/>
    <n v="2400"/>
    <x v="26"/>
    <n v="7200000"/>
    <x v="0"/>
    <x v="6"/>
    <d v="2019-02-19T00:00:00"/>
    <d v="2019-02-19T00:00:00"/>
    <s v="15/1AL"/>
    <m/>
    <m/>
    <s v="R"/>
    <d v="2019-02-22T00:00:00"/>
    <n v="2400"/>
    <m/>
    <m/>
    <m/>
    <m/>
    <m/>
    <m/>
    <n v="2400"/>
    <n v="0"/>
    <n v="0"/>
    <m/>
  </r>
  <r>
    <s v="32A/2019"/>
    <d v="2019-01-15T00:00:00"/>
    <s v="KIỀU THY"/>
    <s v="TP01"/>
    <x v="153"/>
    <x v="53"/>
    <s v="AMATERAS"/>
    <m/>
    <s v="12.14"/>
    <n v="400"/>
    <s v="NL2018"/>
    <m/>
    <n v="12"/>
    <n v="4800"/>
    <x v="37"/>
    <n v="13440000"/>
    <x v="0"/>
    <x v="30"/>
    <d v="2019-04-04T00:00:00"/>
    <d v="2019-04-04T00:00:00"/>
    <s v="30/2AL"/>
    <s v="CONT 16/2019"/>
    <d v="2019-03-31T00:00:00"/>
    <s v="R"/>
    <d v="2019-04-03T00:00:00"/>
    <n v="4800"/>
    <m/>
    <m/>
    <m/>
    <m/>
    <m/>
    <m/>
    <n v="4800"/>
    <n v="0"/>
    <n v="0"/>
    <m/>
  </r>
  <r>
    <s v="51A/2019"/>
    <d v="2019-05-20T00:00:00"/>
    <s v="KIỀU THY"/>
    <s v="VQ01"/>
    <x v="154"/>
    <x v="4"/>
    <s v="ROBINA"/>
    <m/>
    <s v="20.22"/>
    <n v="125"/>
    <s v="NL2018"/>
    <m/>
    <n v="80"/>
    <n v="10000"/>
    <x v="34"/>
    <n v="107000000"/>
    <x v="2"/>
    <x v="2"/>
    <d v="2019-09-29T00:00:00"/>
    <d v="2019-09-29T00:00:00"/>
    <s v="TẾT"/>
    <m/>
    <m/>
    <m/>
    <m/>
    <m/>
    <m/>
    <m/>
    <m/>
    <m/>
    <m/>
    <m/>
    <n v="0"/>
    <n v="10000"/>
    <n v="107000000"/>
    <m/>
  </r>
  <r>
    <s v="51A/2019"/>
    <d v="2019-02-16T00:00:00"/>
    <s v="KIỀU THY"/>
    <s v="VQ01"/>
    <x v="154"/>
    <x v="6"/>
    <s v="CONCADOR "/>
    <m/>
    <s v="16.18"/>
    <n v="200"/>
    <s v="NL2018"/>
    <m/>
    <n v="0"/>
    <n v="0"/>
    <x v="12"/>
    <n v="0"/>
    <x v="1"/>
    <x v="40"/>
    <d v="2019-08-15T00:00:00"/>
    <d v="2019-08-15T00:00:00"/>
    <s v="NHẮC KH CỌC. KH TRỒNG RẰM THÁNG 7"/>
    <m/>
    <m/>
    <s v="CHƯA CỌC, CHƯA XẾP LỊCH"/>
    <m/>
    <n v="0"/>
    <m/>
    <m/>
    <m/>
    <m/>
    <m/>
    <m/>
    <n v="0"/>
    <n v="0"/>
    <n v="0"/>
    <m/>
  </r>
  <r>
    <s v="51A/2019"/>
    <d v="2019-05-20T00:00:00"/>
    <s v="KIỀU THY"/>
    <s v="VQ01"/>
    <x v="154"/>
    <x v="7"/>
    <s v="CONCADOR "/>
    <m/>
    <s v="20.22"/>
    <n v="125"/>
    <s v="NL2018"/>
    <m/>
    <n v="80"/>
    <n v="10000"/>
    <x v="35"/>
    <n v="106000000"/>
    <x v="2"/>
    <x v="2"/>
    <d v="2019-09-29T00:00:00"/>
    <d v="2019-09-29T00:00:00"/>
    <s v="TẾT"/>
    <m/>
    <m/>
    <m/>
    <m/>
    <m/>
    <m/>
    <m/>
    <m/>
    <m/>
    <m/>
    <m/>
    <n v="0"/>
    <n v="10000"/>
    <n v="106000000"/>
    <m/>
  </r>
  <r>
    <s v="164B/2019"/>
    <d v="2019-04-09T00:00:00"/>
    <s v="THANH THÚY"/>
    <s v="VT18"/>
    <x v="155"/>
    <x v="193"/>
    <s v="TARRANGO CHILE"/>
    <m/>
    <s v="20.22"/>
    <s v="125"/>
    <s v="CL2019"/>
    <m/>
    <n v="160"/>
    <n v="20000"/>
    <x v="194"/>
    <n v="246000000"/>
    <x v="2"/>
    <x v="2"/>
    <d v="2019-09-29T00:00:00"/>
    <d v="2019-09-29T00:00:00"/>
    <s v="TẾT"/>
    <m/>
    <m/>
    <m/>
    <m/>
    <n v="0"/>
    <m/>
    <m/>
    <m/>
    <m/>
    <m/>
    <m/>
    <n v="0"/>
    <n v="20000"/>
    <n v="246000000"/>
    <m/>
  </r>
  <r>
    <s v="164B/2019"/>
    <d v="2019-04-09T00:00:00"/>
    <s v="THANH THÚY"/>
    <s v="VT18"/>
    <x v="155"/>
    <x v="67"/>
    <s v="MANISSA"/>
    <m/>
    <s v="22.24"/>
    <s v="100"/>
    <s v="NL2018"/>
    <m/>
    <n v="200"/>
    <n v="20000"/>
    <x v="111"/>
    <n v="308000000"/>
    <x v="2"/>
    <x v="2"/>
    <d v="2019-09-29T00:00:00"/>
    <d v="2019-09-29T00:00:00"/>
    <s v="TẾT"/>
    <m/>
    <m/>
    <m/>
    <m/>
    <n v="0"/>
    <m/>
    <m/>
    <m/>
    <m/>
    <m/>
    <m/>
    <n v="0"/>
    <n v="20000"/>
    <n v="308000000"/>
    <m/>
  </r>
  <r>
    <s v="208A/2019"/>
    <d v="2019-04-29T00:00:00"/>
    <s v="KIỀU THY"/>
    <s v="DC03"/>
    <x v="156"/>
    <x v="78"/>
    <s v="YELLOWEEN"/>
    <m/>
    <s v="14.16"/>
    <s v="300"/>
    <s v="NL2018"/>
    <m/>
    <n v="20"/>
    <n v="6000"/>
    <x v="45"/>
    <n v="24000000"/>
    <x v="4"/>
    <x v="4"/>
    <d v="2019-07-17T00:00:00"/>
    <d v="2019-07-17T00:00:00"/>
    <m/>
    <m/>
    <m/>
    <m/>
    <m/>
    <m/>
    <m/>
    <m/>
    <m/>
    <m/>
    <m/>
    <m/>
    <n v="0"/>
    <n v="6000"/>
    <n v="24000000"/>
    <m/>
  </r>
  <r>
    <s v="208A/2019"/>
    <d v="2019-04-29T00:00:00"/>
    <s v="KIỀU THY"/>
    <s v="DC03"/>
    <x v="156"/>
    <x v="41"/>
    <s v="PAVIA"/>
    <m/>
    <s v="12.14"/>
    <s v="400"/>
    <s v="NL2018"/>
    <m/>
    <n v="18"/>
    <n v="7200"/>
    <x v="39"/>
    <n v="20880000"/>
    <x v="0"/>
    <x v="28"/>
    <d v="2019-06-07T00:00:00"/>
    <d v="2019-06-07T00:00:00"/>
    <s v="5/5AL"/>
    <m/>
    <m/>
    <m/>
    <d v="2019-06-08T00:00:00"/>
    <n v="5200"/>
    <d v="2019-06-18T00:00:00"/>
    <s v="2000"/>
    <m/>
    <m/>
    <m/>
    <m/>
    <n v="7200"/>
    <n v="0"/>
    <n v="0"/>
    <m/>
  </r>
  <r>
    <s v="208A/2019"/>
    <d v="2019-05-08T00:00:00"/>
    <s v="KIỀU THY"/>
    <s v="DC03"/>
    <x v="156"/>
    <x v="41"/>
    <s v="PAVIA"/>
    <m/>
    <s v="12.14"/>
    <s v="400"/>
    <s v="NL2018"/>
    <m/>
    <n v="0"/>
    <n v="0"/>
    <x v="39"/>
    <n v="0"/>
    <x v="1"/>
    <x v="46"/>
    <d v="2019-06-27T00:00:00"/>
    <d v="2019-06-27T00:00:00"/>
    <m/>
    <m/>
    <m/>
    <m/>
    <m/>
    <m/>
    <m/>
    <m/>
    <m/>
    <m/>
    <m/>
    <m/>
    <n v="0"/>
    <n v="0"/>
    <n v="0"/>
    <m/>
  </r>
  <r>
    <s v="208A/2019"/>
    <d v="2019-04-29T00:00:00"/>
    <s v="KIỀU THY"/>
    <s v="DC03"/>
    <x v="156"/>
    <x v="61"/>
    <s v="NASHVILLE"/>
    <m/>
    <s v="14.16"/>
    <s v="300"/>
    <s v="NL2018"/>
    <m/>
    <n v="14"/>
    <n v="4200"/>
    <x v="38"/>
    <n v="17220000"/>
    <x v="4"/>
    <x v="4"/>
    <d v="2019-07-17T00:00:00"/>
    <d v="2019-07-17T00:00:00"/>
    <m/>
    <m/>
    <m/>
    <m/>
    <m/>
    <m/>
    <m/>
    <m/>
    <m/>
    <m/>
    <m/>
    <m/>
    <n v="0"/>
    <n v="4200"/>
    <n v="17220000"/>
    <m/>
  </r>
  <r>
    <s v="208A/2019"/>
    <d v="2019-04-29T00:00:00"/>
    <s v="KIỀU THY"/>
    <s v="DC03"/>
    <x v="156"/>
    <x v="54"/>
    <s v="AMATERAS"/>
    <m/>
    <s v="14.16"/>
    <s v="300"/>
    <s v="NL2018"/>
    <m/>
    <n v="50"/>
    <n v="15000"/>
    <x v="14"/>
    <n v="67500000"/>
    <x v="0"/>
    <x v="28"/>
    <d v="2019-06-07T00:00:00"/>
    <d v="2019-06-07T00:00:00"/>
    <s v="5/5AL"/>
    <m/>
    <m/>
    <m/>
    <d v="2019-06-08T00:00:00"/>
    <n v="15000"/>
    <m/>
    <m/>
    <m/>
    <m/>
    <m/>
    <m/>
    <n v="15000"/>
    <n v="0"/>
    <n v="0"/>
    <m/>
  </r>
  <r>
    <s v="208A/2019"/>
    <d v="2019-05-08T00:00:00"/>
    <s v="KIỀU THY"/>
    <s v="DC03"/>
    <x v="156"/>
    <x v="55"/>
    <s v="AMATERAS"/>
    <m/>
    <s v="14.16"/>
    <s v="275"/>
    <s v="NL2018"/>
    <m/>
    <n v="0"/>
    <n v="0"/>
    <x v="14"/>
    <n v="0"/>
    <x v="1"/>
    <x v="3"/>
    <d v="2019-06-20T00:00:00"/>
    <d v="2019-06-20T00:00:00"/>
    <m/>
    <m/>
    <m/>
    <m/>
    <m/>
    <m/>
    <m/>
    <m/>
    <m/>
    <m/>
    <m/>
    <m/>
    <n v="0"/>
    <n v="0"/>
    <n v="0"/>
    <m/>
  </r>
  <r>
    <s v="62A/2019"/>
    <d v="2019-02-19T00:00:00"/>
    <s v="KIỀU THY"/>
    <s v="HT02"/>
    <x v="157"/>
    <x v="0"/>
    <s v="YELLOWEEN"/>
    <m/>
    <s v="12.14"/>
    <n v="400"/>
    <s v="NL2018"/>
    <m/>
    <n v="10"/>
    <n v="4000"/>
    <x v="0"/>
    <n v="10400000"/>
    <x v="0"/>
    <x v="6"/>
    <d v="2019-02-19T00:00:00"/>
    <d v="2019-02-19T00:00:00"/>
    <s v="15/1AL"/>
    <m/>
    <m/>
    <s v="R"/>
    <d v="2019-02-22T00:00:00"/>
    <n v="4000"/>
    <m/>
    <m/>
    <m/>
    <m/>
    <m/>
    <m/>
    <n v="4000"/>
    <n v="0"/>
    <n v="0"/>
    <m/>
  </r>
  <r>
    <s v="62A/2019"/>
    <d v="2019-02-19T00:00:00"/>
    <s v="KIỀU THY"/>
    <s v="HT02"/>
    <x v="157"/>
    <x v="0"/>
    <s v="YELLOWEEN"/>
    <m/>
    <s v="12.14"/>
    <n v="400"/>
    <s v="NL2018"/>
    <m/>
    <n v="5"/>
    <n v="2000"/>
    <x v="0"/>
    <n v="5200000"/>
    <x v="0"/>
    <x v="30"/>
    <d v="2019-04-04T00:00:00"/>
    <d v="2019-04-04T00:00:00"/>
    <s v="30/2AL"/>
    <s v="CONT 18/2019"/>
    <d v="2019-03-31T00:00:00"/>
    <m/>
    <d v="2019-04-03T00:00:00"/>
    <n v="2000"/>
    <m/>
    <m/>
    <m/>
    <m/>
    <m/>
    <m/>
    <n v="2000"/>
    <n v="0"/>
    <n v="0"/>
    <m/>
  </r>
  <r>
    <s v="62A/2019"/>
    <d v="2019-06-22T00:00:00"/>
    <s v="KIỀU THY"/>
    <s v="HT02"/>
    <x v="157"/>
    <x v="24"/>
    <s v="DALIAN"/>
    <m/>
    <s v="14.16"/>
    <s v="300"/>
    <s v="NL2018"/>
    <m/>
    <n v="2"/>
    <n v="600"/>
    <x v="10"/>
    <n v="3300000"/>
    <x v="3"/>
    <x v="84"/>
    <d v="2019-06-25T00:00:00"/>
    <d v="2019-06-25T00:00:00"/>
    <m/>
    <m/>
    <m/>
    <m/>
    <m/>
    <m/>
    <m/>
    <m/>
    <m/>
    <m/>
    <m/>
    <m/>
    <n v="0"/>
    <n v="600"/>
    <n v="3300000"/>
    <m/>
  </r>
  <r>
    <s v="252/2019"/>
    <d v="2019-06-22T00:00:00"/>
    <s v="KIỀU THY"/>
    <s v="HT02"/>
    <x v="157"/>
    <x v="194"/>
    <s v="MANISSA"/>
    <m/>
    <s v="24+"/>
    <s v="80"/>
    <s v="NL2018"/>
    <m/>
    <n v="63"/>
    <n v="5040"/>
    <x v="195"/>
    <n v="83160000"/>
    <x v="2"/>
    <x v="2"/>
    <d v="2019-09-29T00:00:00"/>
    <d v="2019-09-29T00:00:00"/>
    <m/>
    <m/>
    <m/>
    <m/>
    <m/>
    <m/>
    <m/>
    <m/>
    <m/>
    <m/>
    <m/>
    <m/>
    <n v="0"/>
    <n v="5040"/>
    <n v="83160000"/>
    <m/>
  </r>
  <r>
    <s v="252/2019"/>
    <d v="2019-06-22T00:00:00"/>
    <s v="KIỀU THY"/>
    <s v="HT02"/>
    <x v="157"/>
    <x v="62"/>
    <s v="DALIAN"/>
    <m/>
    <s v="20.22"/>
    <s v="125"/>
    <s v="NL2018"/>
    <m/>
    <n v="24"/>
    <n v="3000"/>
    <x v="124"/>
    <n v="42900000"/>
    <x v="2"/>
    <x v="2"/>
    <d v="2019-09-29T00:00:00"/>
    <d v="2019-09-29T00:00:00"/>
    <m/>
    <m/>
    <m/>
    <m/>
    <m/>
    <m/>
    <m/>
    <m/>
    <m/>
    <m/>
    <m/>
    <m/>
    <n v="0"/>
    <n v="3000"/>
    <n v="42900000"/>
    <m/>
  </r>
  <r>
    <s v="62A/2019"/>
    <d v="2019-02-19T00:00:00"/>
    <s v="KIỀU THY"/>
    <s v="HT02"/>
    <x v="157"/>
    <x v="61"/>
    <s v="NASHVILLE"/>
    <m/>
    <s v="14.16"/>
    <n v="300"/>
    <s v="NL2018"/>
    <m/>
    <n v="14"/>
    <n v="4200"/>
    <x v="64"/>
    <n v="15960000"/>
    <x v="0"/>
    <x v="1"/>
    <d v="2019-05-21T00:00:00"/>
    <d v="2019-05-21T00:00:00"/>
    <s v="30/3AL"/>
    <m/>
    <m/>
    <m/>
    <d v="2019-05-19T00:00:00"/>
    <n v="4200"/>
    <m/>
    <m/>
    <m/>
    <m/>
    <m/>
    <m/>
    <n v="4200"/>
    <n v="0"/>
    <n v="0"/>
    <m/>
  </r>
  <r>
    <s v="68A/2019"/>
    <d v="2019-02-22T00:00:00"/>
    <s v="KIỀU THY"/>
    <s v="TU05"/>
    <x v="158"/>
    <x v="33"/>
    <s v="TEBALDI"/>
    <m/>
    <s v="14.16"/>
    <n v="300"/>
    <s v="NL2018"/>
    <m/>
    <n v="10"/>
    <n v="3000"/>
    <x v="38"/>
    <n v="12300000"/>
    <x v="0"/>
    <x v="5"/>
    <d v="2019-04-19T00:00:00"/>
    <d v="2019-04-19T00:00:00"/>
    <s v="15/3AL"/>
    <s v="CONT 24/2019"/>
    <d v="2019-04-14T00:00:00"/>
    <m/>
    <d v="2019-04-03T00:00:00"/>
    <n v="3000"/>
    <m/>
    <m/>
    <m/>
    <m/>
    <m/>
    <m/>
    <n v="3000"/>
    <n v="0"/>
    <n v="0"/>
    <m/>
  </r>
  <r>
    <s v="68A/2019"/>
    <d v="2019-02-22T00:00:00"/>
    <s v="KIỀU THY"/>
    <s v="TU05"/>
    <x v="158"/>
    <x v="33"/>
    <s v="TEBALDI"/>
    <m/>
    <s v="14.16"/>
    <n v="300"/>
    <s v="NL2018"/>
    <m/>
    <n v="10"/>
    <n v="3000"/>
    <x v="38"/>
    <n v="12300000"/>
    <x v="0"/>
    <x v="1"/>
    <d v="2019-05-21T00:00:00"/>
    <d v="2019-05-21T00:00:00"/>
    <s v="30/3AL"/>
    <m/>
    <m/>
    <m/>
    <d v="2019-05-24T00:00:00"/>
    <n v="3000"/>
    <m/>
    <m/>
    <m/>
    <m/>
    <m/>
    <m/>
    <n v="3000"/>
    <n v="0"/>
    <n v="0"/>
    <m/>
  </r>
  <r>
    <s v="171A/2019"/>
    <d v="2019-04-04T00:00:00"/>
    <s v="KIỀU THY"/>
    <s v="TU05"/>
    <x v="158"/>
    <x v="34"/>
    <s v="TEBALDI"/>
    <m/>
    <s v="16.18"/>
    <n v="200"/>
    <s v="NL2018"/>
    <m/>
    <n v="25"/>
    <n v="5000"/>
    <x v="13"/>
    <n v="31000000"/>
    <x v="2"/>
    <x v="2"/>
    <d v="2019-09-29T00:00:00"/>
    <d v="2019-09-29T00:00:00"/>
    <s v="TẾT"/>
    <m/>
    <m/>
    <m/>
    <m/>
    <m/>
    <m/>
    <m/>
    <m/>
    <m/>
    <m/>
    <m/>
    <n v="0"/>
    <n v="5000"/>
    <n v="31000000"/>
    <m/>
  </r>
  <r>
    <s v="68A/2019"/>
    <d v="2019-02-22T00:00:00"/>
    <s v="KIỀU THY"/>
    <s v="TU05"/>
    <x v="158"/>
    <x v="33"/>
    <s v="TEBALDI"/>
    <m/>
    <s v="14.16"/>
    <n v="300"/>
    <s v="NL2018"/>
    <m/>
    <n v="10"/>
    <n v="3000"/>
    <x v="38"/>
    <n v="12300000"/>
    <x v="0"/>
    <x v="30"/>
    <d v="2019-04-04T00:00:00"/>
    <d v="2019-04-04T00:00:00"/>
    <s v="30/2AL"/>
    <s v="CONT 15/2019"/>
    <d v="2019-03-31T00:00:00"/>
    <s v="R"/>
    <d v="2019-05-09T00:00:00"/>
    <n v="3000"/>
    <m/>
    <m/>
    <m/>
    <m/>
    <m/>
    <m/>
    <n v="3000"/>
    <n v="0"/>
    <n v="0"/>
    <m/>
  </r>
  <r>
    <s v="68A/2019"/>
    <d v="2019-05-09T00:00:00"/>
    <s v="KIỀU THY"/>
    <s v="TU05"/>
    <x v="158"/>
    <x v="11"/>
    <s v="PROFUNDO"/>
    <m/>
    <s v="16.18"/>
    <n v="200"/>
    <s v="NL2018"/>
    <m/>
    <n v="5"/>
    <n v="1000"/>
    <x v="11"/>
    <n v="7700000"/>
    <x v="0"/>
    <x v="5"/>
    <d v="2019-04-19T00:00:00"/>
    <d v="2019-04-19T00:00:00"/>
    <s v="15/3AL"/>
    <m/>
    <m/>
    <m/>
    <d v="2019-05-09T00:00:00"/>
    <n v="1000"/>
    <m/>
    <m/>
    <m/>
    <m/>
    <m/>
    <m/>
    <n v="1000"/>
    <n v="0"/>
    <n v="0"/>
    <m/>
  </r>
  <r>
    <s v="171A/2019"/>
    <d v="2019-04-04T00:00:00"/>
    <s v="KIỀU THY"/>
    <s v="TU05"/>
    <x v="158"/>
    <x v="89"/>
    <s v="PROFUNDO"/>
    <m/>
    <s v="18.20"/>
    <n v="150"/>
    <s v="NL2018"/>
    <m/>
    <n v="34"/>
    <n v="5100"/>
    <x v="27"/>
    <n v="55080000"/>
    <x v="2"/>
    <x v="2"/>
    <d v="2019-09-29T00:00:00"/>
    <d v="2019-09-29T00:00:00"/>
    <s v="TẾT"/>
    <m/>
    <m/>
    <m/>
    <m/>
    <m/>
    <m/>
    <m/>
    <m/>
    <m/>
    <m/>
    <m/>
    <n v="0"/>
    <n v="5100"/>
    <n v="55080000"/>
    <m/>
  </r>
  <r>
    <s v="68A/2019"/>
    <d v="2019-02-22T00:00:00"/>
    <s v="KIỀU THY"/>
    <s v="TU05"/>
    <x v="158"/>
    <x v="41"/>
    <s v="PAVIA"/>
    <m/>
    <s v="12.14"/>
    <n v="400"/>
    <s v="NL2018"/>
    <m/>
    <n v="8"/>
    <n v="3200"/>
    <x v="37"/>
    <n v="8960000"/>
    <x v="0"/>
    <x v="5"/>
    <d v="2019-04-19T00:00:00"/>
    <d v="2019-04-19T00:00:00"/>
    <s v="15/3AL"/>
    <s v="CONT 20/2019"/>
    <d v="2019-04-14T00:00:00"/>
    <m/>
    <d v="2019-04-03T00:00:00"/>
    <n v="3200"/>
    <m/>
    <m/>
    <m/>
    <m/>
    <m/>
    <m/>
    <n v="3200"/>
    <n v="0"/>
    <n v="0"/>
    <m/>
  </r>
  <r>
    <s v="68A/2019"/>
    <d v="2019-02-22T00:00:00"/>
    <s v="KIỀU THY"/>
    <s v="TU05"/>
    <x v="158"/>
    <x v="41"/>
    <s v="PAVIA"/>
    <m/>
    <s v="12.14"/>
    <n v="400"/>
    <s v="NL2018"/>
    <m/>
    <n v="8"/>
    <n v="3200"/>
    <x v="37"/>
    <n v="8960000"/>
    <x v="0"/>
    <x v="30"/>
    <d v="2019-04-04T00:00:00"/>
    <d v="2019-04-04T00:00:00"/>
    <s v="30/2AL"/>
    <s v="CONT 14/2019"/>
    <d v="2019-03-31T00:00:00"/>
    <s v="R"/>
    <d v="2019-05-09T00:00:00"/>
    <n v="3200"/>
    <m/>
    <m/>
    <m/>
    <m/>
    <m/>
    <m/>
    <n v="3200"/>
    <n v="0"/>
    <n v="0"/>
    <m/>
  </r>
  <r>
    <s v="68A/2019"/>
    <d v="2019-05-30T00:00:00"/>
    <s v="KIỀU THY"/>
    <s v="TU05"/>
    <x v="158"/>
    <x v="61"/>
    <s v="NASHVILLE"/>
    <m/>
    <s v="14.16"/>
    <n v="300"/>
    <s v="NL2018"/>
    <m/>
    <n v="0"/>
    <n v="0"/>
    <x v="38"/>
    <n v="0"/>
    <x v="1"/>
    <x v="4"/>
    <d v="2019-07-17T00:00:00"/>
    <d v="2019-07-17T00:00:00"/>
    <m/>
    <m/>
    <m/>
    <m/>
    <m/>
    <m/>
    <m/>
    <m/>
    <m/>
    <m/>
    <m/>
    <m/>
    <n v="0"/>
    <n v="0"/>
    <n v="0"/>
    <m/>
  </r>
  <r>
    <s v="68A/2019"/>
    <d v="2019-02-22T00:00:00"/>
    <s v="KIỀU THY"/>
    <s v="TU05"/>
    <x v="158"/>
    <x v="61"/>
    <s v="NASHVILLE"/>
    <m/>
    <s v="14.16"/>
    <n v="300"/>
    <s v="NL2018"/>
    <m/>
    <n v="10"/>
    <n v="3000"/>
    <x v="64"/>
    <n v="11400000"/>
    <x v="0"/>
    <x v="1"/>
    <d v="2019-05-21T00:00:00"/>
    <d v="2019-05-21T00:00:00"/>
    <s v="30/3AL"/>
    <m/>
    <m/>
    <m/>
    <d v="2019-05-24T00:00:00"/>
    <n v="3000"/>
    <m/>
    <m/>
    <m/>
    <m/>
    <m/>
    <m/>
    <n v="3000"/>
    <n v="0"/>
    <n v="0"/>
    <m/>
  </r>
  <r>
    <s v="171A/2019"/>
    <d v="2019-04-04T00:00:00"/>
    <s v="KIỀU THY"/>
    <s v="TU05"/>
    <x v="158"/>
    <x v="67"/>
    <s v="MANISSA"/>
    <m/>
    <s v="22.24"/>
    <n v="100"/>
    <s v="NL2018"/>
    <m/>
    <n v="50"/>
    <n v="5000"/>
    <x v="111"/>
    <n v="77000000"/>
    <x v="2"/>
    <x v="2"/>
    <d v="2019-09-29T00:00:00"/>
    <d v="2019-09-29T00:00:00"/>
    <s v="TẾT"/>
    <m/>
    <m/>
    <m/>
    <m/>
    <m/>
    <m/>
    <m/>
    <m/>
    <m/>
    <m/>
    <m/>
    <n v="0"/>
    <n v="5000"/>
    <n v="77000000"/>
    <m/>
  </r>
  <r>
    <s v="68A/2019"/>
    <d v="2019-05-09T00:00:00"/>
    <s v="KIỀU THY"/>
    <s v="TU05"/>
    <x v="158"/>
    <x v="50"/>
    <s v="EREMO"/>
    <m/>
    <s v="14.16"/>
    <n v="300"/>
    <s v="NL2018"/>
    <m/>
    <n v="10"/>
    <n v="3000"/>
    <x v="40"/>
    <n v="12600000"/>
    <x v="0"/>
    <x v="28"/>
    <d v="2019-06-07T00:00:00"/>
    <d v="2019-06-07T00:00:00"/>
    <s v="5/5AL"/>
    <m/>
    <m/>
    <m/>
    <d v="2019-06-08T00:00:00"/>
    <n v="3000"/>
    <m/>
    <m/>
    <m/>
    <m/>
    <m/>
    <m/>
    <n v="3000"/>
    <n v="0"/>
    <n v="0"/>
    <m/>
  </r>
  <r>
    <s v="68A/2019"/>
    <d v="2019-05-30T00:00:00"/>
    <s v="KIỀU THY"/>
    <s v="TU05"/>
    <x v="158"/>
    <x v="50"/>
    <s v="EREMO"/>
    <m/>
    <s v="14.16"/>
    <n v="300"/>
    <s v="NL2018"/>
    <m/>
    <n v="0"/>
    <n v="0"/>
    <x v="50"/>
    <n v="0"/>
    <x v="1"/>
    <x v="4"/>
    <d v="2019-07-17T00:00:00"/>
    <d v="2019-07-17T00:00:00"/>
    <m/>
    <m/>
    <m/>
    <m/>
    <m/>
    <m/>
    <m/>
    <m/>
    <m/>
    <m/>
    <m/>
    <m/>
    <n v="0"/>
    <n v="0"/>
    <n v="0"/>
    <m/>
  </r>
  <r>
    <s v="68A/2019"/>
    <d v="2019-04-25T00:00:00"/>
    <s v="KIỀU THY"/>
    <s v="TU05"/>
    <x v="158"/>
    <x v="184"/>
    <s v="ELDIVO"/>
    <m/>
    <s v="14.16"/>
    <n v="300"/>
    <s v="NL2018"/>
    <m/>
    <n v="10"/>
    <n v="3000"/>
    <x v="12"/>
    <n v="14100000"/>
    <x v="0"/>
    <x v="28"/>
    <d v="2019-06-07T00:00:00"/>
    <d v="2019-06-07T00:00:00"/>
    <s v="5/5AL"/>
    <m/>
    <m/>
    <m/>
    <d v="2019-06-08T00:00:00"/>
    <n v="3000"/>
    <m/>
    <m/>
    <m/>
    <m/>
    <m/>
    <m/>
    <n v="3000"/>
    <n v="0"/>
    <n v="0"/>
    <m/>
  </r>
  <r>
    <s v="171A/2019"/>
    <d v="2019-04-04T00:00:00"/>
    <s v="KIỀU THY"/>
    <s v="TU05"/>
    <x v="158"/>
    <x v="7"/>
    <s v="CONCADOR"/>
    <m/>
    <s v="20.22"/>
    <n v="125"/>
    <s v="NL2018"/>
    <m/>
    <n v="80"/>
    <n v="10000"/>
    <x v="35"/>
    <n v="106000000"/>
    <x v="2"/>
    <x v="2"/>
    <d v="2019-09-29T00:00:00"/>
    <d v="2019-09-29T00:00:00"/>
    <s v="TẾT"/>
    <m/>
    <m/>
    <m/>
    <m/>
    <m/>
    <m/>
    <m/>
    <m/>
    <m/>
    <m/>
    <m/>
    <n v="0"/>
    <n v="10000"/>
    <n v="106000000"/>
    <m/>
  </r>
  <r>
    <s v="68A/2019"/>
    <d v="2019-06-14T00:00:00"/>
    <s v="KIỀU THY"/>
    <s v="TU05"/>
    <x v="158"/>
    <x v="9"/>
    <s v="ARVANDRUD"/>
    <m/>
    <s v="16.18"/>
    <n v="200"/>
    <s v="NL2018"/>
    <m/>
    <n v="15"/>
    <n v="3000"/>
    <x v="6"/>
    <n v="16200000"/>
    <x v="0"/>
    <x v="1"/>
    <d v="2019-05-21T00:00:00"/>
    <d v="2019-05-21T00:00:00"/>
    <m/>
    <m/>
    <m/>
    <m/>
    <d v="2019-06-14T00:00:00"/>
    <n v="3000"/>
    <m/>
    <m/>
    <m/>
    <m/>
    <m/>
    <m/>
    <n v="3000"/>
    <n v="0"/>
    <n v="0"/>
    <m/>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899">
  <r>
    <x v="0"/>
    <d v="2019-03-15T00:00:00"/>
    <s v="KIỀU THY"/>
    <x v="0"/>
    <x v="0"/>
    <x v="0"/>
    <x v="0"/>
    <x v="0"/>
    <x v="0"/>
    <x v="0"/>
    <s v="NL2018"/>
    <m/>
    <n v="8"/>
    <n v="3200"/>
    <x v="0"/>
    <n v="8320000"/>
    <x v="0"/>
    <d v="2019-02-15T00:00:00"/>
    <x v="0"/>
    <x v="0"/>
    <s v="15/02AL"/>
    <s v="CONT 12/2019"/>
    <d v="2019-03-17T00:00:00"/>
    <m/>
    <d v="2019-03-25T00:00:00"/>
    <n v="3200"/>
    <m/>
    <m/>
    <m/>
    <m/>
    <m/>
    <m/>
    <n v="3200"/>
    <n v="0"/>
    <n v="0"/>
    <m/>
  </r>
  <r>
    <x v="0"/>
    <d v="2019-03-15T00:00:00"/>
    <s v="KIỀU THY"/>
    <x v="0"/>
    <x v="0"/>
    <x v="0"/>
    <x v="0"/>
    <x v="0"/>
    <x v="0"/>
    <x v="0"/>
    <s v="NL2018"/>
    <m/>
    <n v="0"/>
    <n v="0"/>
    <x v="1"/>
    <n v="0"/>
    <x v="1"/>
    <d v="2019-04-17T00:00:00"/>
    <x v="1"/>
    <x v="1"/>
    <s v="30/3AL"/>
    <m/>
    <m/>
    <m/>
    <m/>
    <n v="0"/>
    <m/>
    <m/>
    <m/>
    <m/>
    <m/>
    <m/>
    <n v="0"/>
    <n v="0"/>
    <n v="0"/>
    <m/>
  </r>
  <r>
    <x v="1"/>
    <d v="2019-04-12T00:00:00"/>
    <s v="KIỀU THY"/>
    <x v="0"/>
    <x v="0"/>
    <x v="1"/>
    <x v="1"/>
    <x v="0"/>
    <x v="1"/>
    <x v="1"/>
    <s v="NL2018"/>
    <m/>
    <n v="34"/>
    <n v="5100"/>
    <x v="2"/>
    <n v="47430000"/>
    <x v="2"/>
    <d v="2019-09-01T00:00:00"/>
    <x v="2"/>
    <x v="2"/>
    <s v="TẾT"/>
    <m/>
    <m/>
    <m/>
    <m/>
    <m/>
    <m/>
    <m/>
    <m/>
    <m/>
    <m/>
    <m/>
    <n v="0"/>
    <n v="5100"/>
    <n v="47430000"/>
    <m/>
  </r>
  <r>
    <x v="0"/>
    <d v="2019-03-15T00:00:00"/>
    <s v="KIỀU THY"/>
    <x v="0"/>
    <x v="0"/>
    <x v="2"/>
    <x v="2"/>
    <x v="0"/>
    <x v="2"/>
    <x v="2"/>
    <s v="NL2018"/>
    <m/>
    <n v="24"/>
    <n v="7200"/>
    <x v="3"/>
    <n v="25200000"/>
    <x v="0"/>
    <d v="2019-02-15T00:00:00"/>
    <x v="0"/>
    <x v="0"/>
    <s v="15/02AL"/>
    <s v="CONT 10/2019"/>
    <d v="2019-03-17T00:00:00"/>
    <m/>
    <d v="2019-03-25T00:00:00"/>
    <n v="7200"/>
    <m/>
    <m/>
    <m/>
    <m/>
    <m/>
    <m/>
    <n v="7200"/>
    <n v="0"/>
    <n v="0"/>
    <m/>
  </r>
  <r>
    <x v="0"/>
    <d v="2019-03-15T00:00:00"/>
    <s v="KIỀU THY"/>
    <x v="0"/>
    <x v="0"/>
    <x v="3"/>
    <x v="3"/>
    <x v="0"/>
    <x v="3"/>
    <x v="3"/>
    <s v="NL2018"/>
    <m/>
    <n v="100"/>
    <n v="20000"/>
    <x v="4"/>
    <n v="103400000"/>
    <x v="0"/>
    <d v="2019-04-17T00:00:00"/>
    <x v="1"/>
    <x v="1"/>
    <s v="30/3AL"/>
    <m/>
    <m/>
    <m/>
    <d v="2019-05-20T00:00:00"/>
    <n v="10000"/>
    <d v="2019-06-08T00:00:00"/>
    <n v="10000"/>
    <m/>
    <m/>
    <m/>
    <m/>
    <n v="20000"/>
    <n v="0"/>
    <n v="0"/>
    <m/>
  </r>
  <r>
    <x v="1"/>
    <d v="2019-03-15T00:00:00"/>
    <s v="KIỀU THY"/>
    <x v="0"/>
    <x v="0"/>
    <x v="4"/>
    <x v="3"/>
    <x v="0"/>
    <x v="4"/>
    <x v="4"/>
    <s v="NL2018"/>
    <m/>
    <n v="160"/>
    <n v="20000"/>
    <x v="5"/>
    <n v="210000000"/>
    <x v="2"/>
    <d v="2019-09-01T00:00:00"/>
    <x v="2"/>
    <x v="2"/>
    <s v="TẾT"/>
    <m/>
    <m/>
    <m/>
    <m/>
    <m/>
    <m/>
    <m/>
    <m/>
    <m/>
    <m/>
    <m/>
    <n v="0"/>
    <n v="20000"/>
    <n v="210000000"/>
    <m/>
  </r>
  <r>
    <x v="2"/>
    <d v="2019-04-12T00:00:00"/>
    <s v="KIỀU THY"/>
    <x v="0"/>
    <x v="0"/>
    <x v="3"/>
    <x v="3"/>
    <x v="0"/>
    <x v="3"/>
    <x v="3"/>
    <s v="NL2018"/>
    <m/>
    <n v="25"/>
    <n v="5000"/>
    <x v="6"/>
    <n v="27000000"/>
    <x v="0"/>
    <d v="2019-05-18T00:00:00"/>
    <x v="3"/>
    <x v="3"/>
    <s v="18/5AL"/>
    <m/>
    <m/>
    <m/>
    <d v="2019-06-26T00:00:00"/>
    <n v="5000"/>
    <m/>
    <m/>
    <m/>
    <m/>
    <m/>
    <m/>
    <n v="5000"/>
    <n v="0"/>
    <n v="0"/>
    <m/>
  </r>
  <r>
    <x v="2"/>
    <d v="2019-06-08T00:00:00"/>
    <s v="KIỀU THY"/>
    <x v="0"/>
    <x v="0"/>
    <x v="3"/>
    <x v="3"/>
    <x v="0"/>
    <x v="3"/>
    <x v="3"/>
    <s v="NL2018"/>
    <m/>
    <n v="100"/>
    <n v="20000"/>
    <x v="6"/>
    <n v="108000000"/>
    <x v="3"/>
    <d v="2019-06-15T00:00:00"/>
    <x v="4"/>
    <x v="4"/>
    <m/>
    <m/>
    <m/>
    <m/>
    <m/>
    <m/>
    <m/>
    <m/>
    <m/>
    <m/>
    <m/>
    <m/>
    <n v="0"/>
    <n v="20000"/>
    <n v="108000000"/>
    <m/>
  </r>
  <r>
    <x v="3"/>
    <d v="2019-04-12T00:00:00"/>
    <s v="KIỀU THY"/>
    <x v="0"/>
    <x v="0"/>
    <x v="5"/>
    <x v="3"/>
    <x v="0"/>
    <x v="1"/>
    <x v="1"/>
    <s v="NL2018"/>
    <m/>
    <n v="0"/>
    <n v="0"/>
    <x v="7"/>
    <n v="0"/>
    <x v="1"/>
    <d v="2019-09-01T00:00:00"/>
    <x v="2"/>
    <x v="2"/>
    <s v="TẾT"/>
    <m/>
    <m/>
    <m/>
    <m/>
    <m/>
    <m/>
    <m/>
    <m/>
    <m/>
    <m/>
    <m/>
    <n v="0"/>
    <n v="0"/>
    <n v="0"/>
    <m/>
  </r>
  <r>
    <x v="0"/>
    <d v="2019-03-15T00:00:00"/>
    <s v="KIỀU THY"/>
    <x v="0"/>
    <x v="0"/>
    <x v="6"/>
    <x v="4"/>
    <x v="0"/>
    <x v="3"/>
    <x v="3"/>
    <s v="NL2018"/>
    <m/>
    <n v="50"/>
    <n v="10000"/>
    <x v="8"/>
    <n v="50000000"/>
    <x v="0"/>
    <d v="2019-03-15T00:00:00"/>
    <x v="5"/>
    <x v="5"/>
    <s v="15/3AL"/>
    <s v="CONT 21/2019"/>
    <d v="2019-04-14T00:00:00"/>
    <m/>
    <d v="2019-04-24T00:00:00"/>
    <n v="10000"/>
    <m/>
    <m/>
    <m/>
    <m/>
    <m/>
    <m/>
    <n v="10000"/>
    <n v="0"/>
    <n v="0"/>
    <m/>
  </r>
  <r>
    <x v="1"/>
    <d v="2019-03-15T00:00:00"/>
    <s v="KIỀU THY"/>
    <x v="0"/>
    <x v="0"/>
    <x v="7"/>
    <x v="4"/>
    <x v="0"/>
    <x v="4"/>
    <x v="4"/>
    <s v="NL2018"/>
    <m/>
    <n v="160"/>
    <n v="20000"/>
    <x v="5"/>
    <n v="210000000"/>
    <x v="2"/>
    <d v="2019-09-01T00:00:00"/>
    <x v="2"/>
    <x v="2"/>
    <s v="TẾT"/>
    <m/>
    <m/>
    <m/>
    <m/>
    <m/>
    <m/>
    <m/>
    <m/>
    <m/>
    <m/>
    <m/>
    <n v="0"/>
    <n v="20000"/>
    <n v="210000000"/>
    <m/>
  </r>
  <r>
    <x v="3"/>
    <d v="2019-04-12T00:00:00"/>
    <s v="KIỀU THY"/>
    <x v="0"/>
    <x v="0"/>
    <x v="8"/>
    <x v="4"/>
    <x v="0"/>
    <x v="1"/>
    <x v="1"/>
    <s v="NL2018"/>
    <m/>
    <n v="0"/>
    <n v="0"/>
    <x v="9"/>
    <n v="0"/>
    <x v="1"/>
    <d v="2019-09-01T00:00:00"/>
    <x v="2"/>
    <x v="2"/>
    <s v="TẾT"/>
    <m/>
    <m/>
    <m/>
    <m/>
    <m/>
    <m/>
    <m/>
    <m/>
    <m/>
    <m/>
    <m/>
    <n v="0"/>
    <n v="0"/>
    <n v="0"/>
    <m/>
  </r>
  <r>
    <x v="0"/>
    <d v="2019-03-15T00:00:00"/>
    <s v="KIỀU THY"/>
    <x v="0"/>
    <x v="0"/>
    <x v="9"/>
    <x v="5"/>
    <x v="0"/>
    <x v="3"/>
    <x v="3"/>
    <s v="NL2018"/>
    <m/>
    <n v="0"/>
    <n v="0"/>
    <x v="10"/>
    <n v="0"/>
    <x v="1"/>
    <d v="2019-03-15T00:00:00"/>
    <x v="5"/>
    <x v="5"/>
    <s v="15/3AL"/>
    <s v="CONT 21/2019"/>
    <d v="2019-04-14T00:00:00"/>
    <m/>
    <m/>
    <n v="0"/>
    <m/>
    <m/>
    <m/>
    <m/>
    <m/>
    <m/>
    <n v="0"/>
    <n v="0"/>
    <n v="0"/>
    <m/>
  </r>
  <r>
    <x v="4"/>
    <d v="2019-02-12T00:00:00"/>
    <s v="THANH THÚY"/>
    <x v="1"/>
    <x v="1"/>
    <x v="10"/>
    <x v="1"/>
    <x v="0"/>
    <x v="3"/>
    <x v="5"/>
    <s v="NL2018"/>
    <m/>
    <n v="50"/>
    <n v="10000"/>
    <x v="10"/>
    <n v="55000000"/>
    <x v="0"/>
    <d v="2019-02-15T00:00:00"/>
    <x v="0"/>
    <x v="0"/>
    <s v="15/2AL"/>
    <s v="CONT 12/2019"/>
    <m/>
    <m/>
    <d v="2019-03-20T00:00:00"/>
    <n v="6200"/>
    <d v="2019-04-01T00:00:00"/>
    <n v="3800"/>
    <m/>
    <m/>
    <m/>
    <m/>
    <n v="10000"/>
    <n v="0"/>
    <n v="0"/>
    <d v="2019-12-27T00:00:00"/>
  </r>
  <r>
    <x v="5"/>
    <d v="2019-04-17T00:00:00"/>
    <s v="THANH THÚY"/>
    <x v="1"/>
    <x v="1"/>
    <x v="11"/>
    <x v="6"/>
    <x v="0"/>
    <x v="3"/>
    <x v="5"/>
    <s v="NL2018"/>
    <m/>
    <n v="13"/>
    <n v="2600"/>
    <x v="11"/>
    <n v="20020000"/>
    <x v="0"/>
    <d v="2019-03-15T00:00:00"/>
    <x v="5"/>
    <x v="5"/>
    <s v="15/3AL"/>
    <m/>
    <m/>
    <m/>
    <d v="2019-05-03T00:00:00"/>
    <n v="2600"/>
    <m/>
    <m/>
    <m/>
    <m/>
    <m/>
    <m/>
    <n v="2600"/>
    <n v="0"/>
    <n v="0"/>
    <m/>
  </r>
  <r>
    <x v="5"/>
    <d v="2019-04-17T00:00:00"/>
    <s v="THANH THÚY"/>
    <x v="1"/>
    <x v="1"/>
    <x v="12"/>
    <x v="6"/>
    <x v="0"/>
    <x v="2"/>
    <x v="6"/>
    <s v="NL2018"/>
    <m/>
    <n v="2"/>
    <n v="600"/>
    <x v="8"/>
    <n v="3000000"/>
    <x v="0"/>
    <d v="2019-03-15T00:00:00"/>
    <x v="5"/>
    <x v="5"/>
    <s v="15/3AL"/>
    <m/>
    <m/>
    <m/>
    <d v="2019-05-04T00:00:00"/>
    <n v="600"/>
    <m/>
    <m/>
    <m/>
    <m/>
    <m/>
    <m/>
    <n v="600"/>
    <n v="0"/>
    <n v="0"/>
    <m/>
  </r>
  <r>
    <x v="4"/>
    <d v="2019-02-12T00:00:00"/>
    <s v="THANH THÚY"/>
    <x v="1"/>
    <x v="1"/>
    <x v="6"/>
    <x v="4"/>
    <x v="0"/>
    <x v="3"/>
    <x v="5"/>
    <s v="NL2018"/>
    <m/>
    <n v="50"/>
    <n v="10000"/>
    <x v="12"/>
    <n v="47000000"/>
    <x v="0"/>
    <d v="2019-02-15T00:00:00"/>
    <x v="0"/>
    <x v="0"/>
    <s v="15/2AL"/>
    <s v="CONT 11/2019"/>
    <m/>
    <m/>
    <d v="2019-03-20T00:00:00"/>
    <n v="5000"/>
    <d v="2019-04-01T00:00:00"/>
    <n v="5000"/>
    <m/>
    <m/>
    <m/>
    <m/>
    <n v="10000"/>
    <n v="0"/>
    <n v="0"/>
    <d v="2019-12-27T00:00:00"/>
  </r>
  <r>
    <x v="5"/>
    <d v="2019-04-17T00:00:00"/>
    <s v="THANH THÚY"/>
    <x v="1"/>
    <x v="1"/>
    <x v="6"/>
    <x v="4"/>
    <x v="0"/>
    <x v="3"/>
    <x v="5"/>
    <s v="NL2018"/>
    <m/>
    <n v="24"/>
    <n v="4800"/>
    <x v="13"/>
    <n v="29760000"/>
    <x v="0"/>
    <d v="2019-03-15T00:00:00"/>
    <x v="5"/>
    <x v="5"/>
    <s v="15/3AL"/>
    <m/>
    <m/>
    <m/>
    <d v="2019-04-24T00:00:00"/>
    <n v="4800"/>
    <m/>
    <m/>
    <m/>
    <m/>
    <m/>
    <m/>
    <n v="4800"/>
    <n v="0"/>
    <n v="0"/>
    <m/>
  </r>
  <r>
    <x v="5"/>
    <d v="2019-04-17T00:00:00"/>
    <s v="THANH THÚY"/>
    <x v="1"/>
    <x v="1"/>
    <x v="13"/>
    <x v="7"/>
    <x v="0"/>
    <x v="5"/>
    <x v="6"/>
    <s v="NL2018"/>
    <m/>
    <n v="16"/>
    <n v="4800"/>
    <x v="14"/>
    <n v="21600000"/>
    <x v="0"/>
    <d v="2019-03-15T00:00:00"/>
    <x v="5"/>
    <x v="5"/>
    <s v="15/3AL"/>
    <m/>
    <m/>
    <m/>
    <d v="2019-04-24T00:00:00"/>
    <n v="4800"/>
    <m/>
    <m/>
    <m/>
    <m/>
    <m/>
    <m/>
    <n v="4800"/>
    <n v="0"/>
    <n v="0"/>
    <m/>
  </r>
  <r>
    <x v="6"/>
    <d v="2019-06-24T00:00:00"/>
    <s v="THANH THÚY"/>
    <x v="1"/>
    <x v="1"/>
    <x v="14"/>
    <x v="4"/>
    <x v="0"/>
    <x v="6"/>
    <x v="7"/>
    <s v="NL2018"/>
    <m/>
    <n v="63"/>
    <n v="5040"/>
    <x v="15"/>
    <n v="76608000"/>
    <x v="2"/>
    <d v="2019-09-01T00:00:00"/>
    <x v="2"/>
    <x v="2"/>
    <s v="TẾT"/>
    <m/>
    <m/>
    <m/>
    <m/>
    <m/>
    <m/>
    <m/>
    <m/>
    <m/>
    <m/>
    <m/>
    <n v="0"/>
    <n v="5040"/>
    <n v="76608000"/>
    <m/>
  </r>
  <r>
    <x v="7"/>
    <d v="2019-02-11T00:00:00"/>
    <s v="THANH THÚY"/>
    <x v="2"/>
    <x v="2"/>
    <x v="0"/>
    <x v="0"/>
    <x v="0"/>
    <x v="7"/>
    <x v="8"/>
    <s v="NL2018"/>
    <m/>
    <n v="40"/>
    <n v="16000"/>
    <x v="0"/>
    <n v="41600000"/>
    <x v="0"/>
    <d v="2019-01-15T00:00:00"/>
    <x v="6"/>
    <x v="6"/>
    <s v="15/1AL"/>
    <m/>
    <m/>
    <m/>
    <d v="2019-02-19T00:00:00"/>
    <n v="16000"/>
    <m/>
    <m/>
    <m/>
    <m/>
    <m/>
    <m/>
    <n v="16000"/>
    <n v="0"/>
    <n v="0"/>
    <d v="2019-12-27T00:00:00"/>
  </r>
  <r>
    <x v="7"/>
    <d v="2019-02-11T00:00:00"/>
    <s v="THANH THÚY"/>
    <x v="2"/>
    <x v="2"/>
    <x v="15"/>
    <x v="8"/>
    <x v="0"/>
    <x v="3"/>
    <x v="5"/>
    <s v="NL2018"/>
    <m/>
    <n v="0"/>
    <n v="0"/>
    <x v="8"/>
    <n v="0"/>
    <x v="1"/>
    <d v="2019-02-05T00:00:00"/>
    <x v="7"/>
    <x v="7"/>
    <s v="07/2AL"/>
    <m/>
    <m/>
    <m/>
    <m/>
    <n v="0"/>
    <m/>
    <m/>
    <m/>
    <m/>
    <m/>
    <m/>
    <n v="0"/>
    <n v="0"/>
    <n v="0"/>
    <m/>
  </r>
  <r>
    <x v="7"/>
    <d v="2019-02-11T00:00:00"/>
    <s v="THANH THÚY"/>
    <x v="2"/>
    <x v="2"/>
    <x v="16"/>
    <x v="8"/>
    <x v="0"/>
    <x v="1"/>
    <x v="9"/>
    <s v="NL2018"/>
    <m/>
    <n v="0"/>
    <n v="0"/>
    <x v="8"/>
    <n v="0"/>
    <x v="1"/>
    <d v="2019-02-05T00:00:00"/>
    <x v="7"/>
    <x v="7"/>
    <s v="07/2AL"/>
    <m/>
    <m/>
    <m/>
    <m/>
    <n v="0"/>
    <m/>
    <m/>
    <m/>
    <m/>
    <m/>
    <m/>
    <n v="0"/>
    <n v="0"/>
    <n v="0"/>
    <m/>
  </r>
  <r>
    <x v="8"/>
    <d v="2019-04-19T00:00:00"/>
    <s v="THANH THÚY"/>
    <x v="3"/>
    <x v="3"/>
    <x v="17"/>
    <x v="9"/>
    <x v="1"/>
    <x v="7"/>
    <x v="8"/>
    <s v="NL2018"/>
    <m/>
    <n v="0"/>
    <n v="0"/>
    <x v="16"/>
    <n v="0"/>
    <x v="1"/>
    <d v="2019-03-18T00:00:00"/>
    <x v="8"/>
    <x v="8"/>
    <s v="18/3AL"/>
    <m/>
    <m/>
    <m/>
    <m/>
    <m/>
    <m/>
    <m/>
    <m/>
    <m/>
    <m/>
    <m/>
    <n v="0"/>
    <n v="0"/>
    <n v="0"/>
    <m/>
  </r>
  <r>
    <x v="8"/>
    <d v="2019-04-19T00:00:00"/>
    <s v="THANH THÚY"/>
    <x v="3"/>
    <x v="3"/>
    <x v="18"/>
    <x v="10"/>
    <x v="1"/>
    <x v="7"/>
    <x v="10"/>
    <s v="NL2018"/>
    <m/>
    <n v="0"/>
    <n v="0"/>
    <x v="17"/>
    <n v="0"/>
    <x v="1"/>
    <d v="2019-05-02T00:00:00"/>
    <x v="9"/>
    <x v="9"/>
    <s v="02/5AL"/>
    <m/>
    <m/>
    <m/>
    <m/>
    <m/>
    <m/>
    <m/>
    <m/>
    <m/>
    <m/>
    <m/>
    <n v="0"/>
    <n v="0"/>
    <n v="0"/>
    <m/>
  </r>
  <r>
    <x v="9"/>
    <d v="2019-02-15T00:00:00"/>
    <s v="THANH THÚY"/>
    <x v="3"/>
    <x v="3"/>
    <x v="3"/>
    <x v="3"/>
    <x v="0"/>
    <x v="3"/>
    <x v="5"/>
    <s v="NL2018"/>
    <m/>
    <n v="19"/>
    <n v="3800"/>
    <x v="18"/>
    <n v="18430000"/>
    <x v="0"/>
    <s v="29-Feb-19"/>
    <x v="10"/>
    <x v="10"/>
    <s v="30/2AL"/>
    <s v="CONT 13/2019"/>
    <m/>
    <m/>
    <d v="2019-04-02T00:00:00"/>
    <n v="3800"/>
    <m/>
    <m/>
    <m/>
    <m/>
    <m/>
    <m/>
    <n v="3800"/>
    <n v="0"/>
    <n v="0"/>
    <d v="2019-12-27T00:00:00"/>
  </r>
  <r>
    <x v="9"/>
    <d v="2019-02-15T00:00:00"/>
    <s v="THANH THÚY"/>
    <x v="3"/>
    <x v="3"/>
    <x v="5"/>
    <x v="3"/>
    <x v="0"/>
    <x v="1"/>
    <x v="9"/>
    <s v="NL2018"/>
    <m/>
    <n v="1031"/>
    <n v="154650"/>
    <x v="19"/>
    <n v="983264700"/>
    <x v="0"/>
    <s v="29-Feb-19"/>
    <x v="10"/>
    <x v="10"/>
    <s v="30/2AL"/>
    <s v="CONT 13/2019"/>
    <m/>
    <m/>
    <d v="2019-04-02T00:00:00"/>
    <n v="154650"/>
    <m/>
    <m/>
    <m/>
    <m/>
    <m/>
    <m/>
    <n v="154650"/>
    <n v="0"/>
    <n v="0"/>
    <d v="2019-12-27T00:00:00"/>
  </r>
  <r>
    <x v="8"/>
    <d v="2019-04-19T00:00:00"/>
    <s v="THANH THÚY"/>
    <x v="3"/>
    <x v="3"/>
    <x v="19"/>
    <x v="7"/>
    <x v="0"/>
    <x v="1"/>
    <x v="9"/>
    <s v="NL2018"/>
    <m/>
    <n v="152"/>
    <n v="22800"/>
    <x v="17"/>
    <n v="198360000"/>
    <x v="4"/>
    <d v="2019-04-29T00:00:00"/>
    <x v="11"/>
    <x v="11"/>
    <s v="29/4AL"/>
    <m/>
    <m/>
    <m/>
    <d v="2019-06-10T00:00:00"/>
    <n v="22500"/>
    <m/>
    <m/>
    <m/>
    <m/>
    <m/>
    <m/>
    <n v="22500"/>
    <n v="300"/>
    <n v="2610000"/>
    <m/>
  </r>
  <r>
    <x v="8"/>
    <d v="2019-04-19T00:00:00"/>
    <s v="THANH THÚY"/>
    <x v="3"/>
    <x v="3"/>
    <x v="19"/>
    <x v="7"/>
    <x v="0"/>
    <x v="1"/>
    <x v="9"/>
    <s v="NL2018"/>
    <m/>
    <n v="0"/>
    <n v="0"/>
    <x v="20"/>
    <n v="0"/>
    <x v="1"/>
    <d v="2019-05-29T00:00:00"/>
    <x v="12"/>
    <x v="12"/>
    <s v="29/5AL"/>
    <m/>
    <m/>
    <m/>
    <m/>
    <m/>
    <m/>
    <m/>
    <m/>
    <m/>
    <m/>
    <m/>
    <n v="0"/>
    <n v="0"/>
    <n v="0"/>
    <m/>
  </r>
  <r>
    <x v="8"/>
    <d v="2019-04-19T00:00:00"/>
    <s v="THANH THÚY"/>
    <x v="3"/>
    <x v="3"/>
    <x v="19"/>
    <x v="7"/>
    <x v="0"/>
    <x v="1"/>
    <x v="9"/>
    <s v="NL2018"/>
    <m/>
    <n v="0"/>
    <n v="0"/>
    <x v="21"/>
    <n v="0"/>
    <x v="1"/>
    <d v="2019-06-29T00:00:00"/>
    <x v="13"/>
    <x v="13"/>
    <s v="29/6AL"/>
    <m/>
    <m/>
    <m/>
    <m/>
    <m/>
    <m/>
    <m/>
    <m/>
    <m/>
    <m/>
    <m/>
    <n v="0"/>
    <n v="0"/>
    <n v="0"/>
    <m/>
  </r>
  <r>
    <x v="8"/>
    <d v="2019-04-19T00:00:00"/>
    <s v="THANH THÚY"/>
    <x v="3"/>
    <x v="3"/>
    <x v="19"/>
    <x v="7"/>
    <x v="0"/>
    <x v="1"/>
    <x v="9"/>
    <s v="NL2018"/>
    <m/>
    <n v="0"/>
    <n v="0"/>
    <x v="22"/>
    <n v="0"/>
    <x v="1"/>
    <d v="2019-07-29T00:00:00"/>
    <x v="14"/>
    <x v="14"/>
    <s v="29/6AL"/>
    <m/>
    <m/>
    <m/>
    <m/>
    <m/>
    <m/>
    <m/>
    <m/>
    <m/>
    <m/>
    <m/>
    <n v="0"/>
    <n v="0"/>
    <n v="0"/>
    <m/>
  </r>
  <r>
    <x v="8"/>
    <d v="2019-04-19T00:00:00"/>
    <s v="THANH THÚY"/>
    <x v="3"/>
    <x v="3"/>
    <x v="19"/>
    <x v="7"/>
    <x v="0"/>
    <x v="1"/>
    <x v="9"/>
    <s v="NL2018"/>
    <m/>
    <n v="0"/>
    <n v="0"/>
    <x v="23"/>
    <n v="0"/>
    <x v="1"/>
    <d v="2019-08-29T00:00:00"/>
    <x v="15"/>
    <x v="15"/>
    <s v="29/6AL"/>
    <m/>
    <m/>
    <m/>
    <m/>
    <m/>
    <m/>
    <m/>
    <m/>
    <m/>
    <m/>
    <m/>
    <n v="0"/>
    <n v="0"/>
    <n v="0"/>
    <m/>
  </r>
  <r>
    <x v="10"/>
    <d v="2019-03-04T00:00:00"/>
    <s v="KIỀU THY"/>
    <x v="4"/>
    <x v="4"/>
    <x v="20"/>
    <x v="6"/>
    <x v="0"/>
    <x v="8"/>
    <x v="11"/>
    <s v="NL2018"/>
    <m/>
    <n v="50"/>
    <n v="5000"/>
    <x v="24"/>
    <n v="71000000"/>
    <x v="2"/>
    <d v="2019-09-01T00:00:00"/>
    <x v="2"/>
    <x v="2"/>
    <s v="TẾT"/>
    <m/>
    <m/>
    <s v="R"/>
    <m/>
    <n v="0"/>
    <m/>
    <m/>
    <m/>
    <m/>
    <m/>
    <m/>
    <n v="0"/>
    <n v="5000"/>
    <n v="71000000"/>
    <m/>
  </r>
  <r>
    <x v="10"/>
    <d v="2019-03-04T00:00:00"/>
    <s v="KIỀU THY"/>
    <x v="4"/>
    <x v="4"/>
    <x v="21"/>
    <x v="4"/>
    <x v="0"/>
    <x v="8"/>
    <x v="11"/>
    <s v="NL2018"/>
    <m/>
    <n v="150"/>
    <n v="15000"/>
    <x v="25"/>
    <n v="187500000"/>
    <x v="2"/>
    <d v="2019-09-01T00:00:00"/>
    <x v="2"/>
    <x v="2"/>
    <s v="TẾT"/>
    <m/>
    <m/>
    <s v="R"/>
    <m/>
    <n v="0"/>
    <m/>
    <m/>
    <m/>
    <m/>
    <m/>
    <m/>
    <n v="0"/>
    <n v="15000"/>
    <n v="187500000"/>
    <m/>
  </r>
  <r>
    <x v="11"/>
    <d v="2019-03-13T00:00:00"/>
    <s v="KIỀU THY"/>
    <x v="5"/>
    <x v="5"/>
    <x v="22"/>
    <x v="3"/>
    <x v="0"/>
    <x v="9"/>
    <x v="12"/>
    <s v="NL2018"/>
    <m/>
    <n v="40"/>
    <n v="4000"/>
    <x v="25"/>
    <n v="50000000"/>
    <x v="2"/>
    <d v="2019-09-01T00:00:00"/>
    <x v="2"/>
    <x v="2"/>
    <s v="TẾT"/>
    <m/>
    <m/>
    <m/>
    <m/>
    <n v="0"/>
    <m/>
    <m/>
    <m/>
    <m/>
    <m/>
    <m/>
    <n v="0"/>
    <n v="4000"/>
    <n v="50000000"/>
    <m/>
  </r>
  <r>
    <x v="12"/>
    <d v="2019-05-27T00:00:00"/>
    <s v="KIỀU THY"/>
    <x v="5"/>
    <x v="5"/>
    <x v="23"/>
    <x v="11"/>
    <x v="0"/>
    <x v="2"/>
    <x v="2"/>
    <s v="NL2018"/>
    <m/>
    <n v="0"/>
    <n v="0"/>
    <x v="6"/>
    <n v="0"/>
    <x v="1"/>
    <d v="2019-04-17T00:00:00"/>
    <x v="1"/>
    <x v="1"/>
    <m/>
    <m/>
    <m/>
    <m/>
    <m/>
    <m/>
    <m/>
    <m/>
    <m/>
    <m/>
    <m/>
    <m/>
    <n v="0"/>
    <n v="0"/>
    <n v="0"/>
    <m/>
  </r>
  <r>
    <x v="11"/>
    <d v="2019-03-13T00:00:00"/>
    <s v="KIỀU THY"/>
    <x v="5"/>
    <x v="5"/>
    <x v="21"/>
    <x v="4"/>
    <x v="0"/>
    <x v="9"/>
    <x v="12"/>
    <s v="NL2018"/>
    <m/>
    <n v="100"/>
    <n v="10000"/>
    <x v="25"/>
    <n v="125000000"/>
    <x v="2"/>
    <d v="2019-09-01T00:00:00"/>
    <x v="2"/>
    <x v="2"/>
    <s v="TẾT"/>
    <m/>
    <m/>
    <m/>
    <m/>
    <n v="0"/>
    <m/>
    <m/>
    <m/>
    <m/>
    <m/>
    <m/>
    <n v="0"/>
    <n v="10000"/>
    <n v="125000000"/>
    <m/>
  </r>
  <r>
    <x v="11"/>
    <d v="2019-04-01T00:00:00"/>
    <s v="KIỀU THY"/>
    <x v="5"/>
    <x v="5"/>
    <x v="14"/>
    <x v="4"/>
    <x v="0"/>
    <x v="6"/>
    <x v="13"/>
    <s v="NL2018"/>
    <m/>
    <n v="25"/>
    <n v="2000"/>
    <x v="15"/>
    <n v="30400000"/>
    <x v="2"/>
    <d v="2019-09-01T00:00:00"/>
    <x v="2"/>
    <x v="2"/>
    <s v="TẾT"/>
    <m/>
    <m/>
    <m/>
    <m/>
    <m/>
    <m/>
    <m/>
    <m/>
    <m/>
    <m/>
    <m/>
    <n v="0"/>
    <n v="2000"/>
    <n v="30400000"/>
    <m/>
  </r>
  <r>
    <x v="11"/>
    <d v="2019-03-13T00:00:00"/>
    <s v="KIỀU THY"/>
    <x v="5"/>
    <x v="5"/>
    <x v="24"/>
    <x v="7"/>
    <x v="0"/>
    <x v="10"/>
    <x v="4"/>
    <s v="NL2018"/>
    <m/>
    <n v="16"/>
    <n v="2000"/>
    <x v="26"/>
    <n v="21600000"/>
    <x v="2"/>
    <d v="2019-09-01T00:00:00"/>
    <x v="2"/>
    <x v="2"/>
    <s v="TẾT"/>
    <m/>
    <m/>
    <m/>
    <m/>
    <n v="0"/>
    <m/>
    <m/>
    <m/>
    <m/>
    <m/>
    <m/>
    <n v="0"/>
    <n v="2000"/>
    <n v="21600000"/>
    <m/>
  </r>
  <r>
    <x v="11"/>
    <d v="2019-04-01T00:00:00"/>
    <s v="KIỀU THY"/>
    <x v="5"/>
    <x v="5"/>
    <x v="24"/>
    <x v="7"/>
    <x v="0"/>
    <x v="10"/>
    <x v="4"/>
    <s v="NL2018"/>
    <m/>
    <n v="16"/>
    <n v="2000"/>
    <x v="27"/>
    <n v="22000000"/>
    <x v="2"/>
    <d v="2019-09-01T00:00:00"/>
    <x v="2"/>
    <x v="2"/>
    <s v="TẾT"/>
    <m/>
    <m/>
    <m/>
    <m/>
    <m/>
    <m/>
    <m/>
    <m/>
    <m/>
    <m/>
    <m/>
    <n v="0"/>
    <n v="2000"/>
    <n v="22000000"/>
    <m/>
  </r>
  <r>
    <x v="12"/>
    <d v="2019-04-01T00:00:00"/>
    <s v="KIỀU THY"/>
    <x v="5"/>
    <x v="5"/>
    <x v="13"/>
    <x v="7"/>
    <x v="0"/>
    <x v="5"/>
    <x v="2"/>
    <s v="NL2018"/>
    <m/>
    <n v="17"/>
    <n v="5100"/>
    <x v="28"/>
    <n v="23460000"/>
    <x v="0"/>
    <d v="2019-04-17T00:00:00"/>
    <x v="1"/>
    <x v="1"/>
    <s v="10/4AL"/>
    <m/>
    <m/>
    <m/>
    <d v="2019-06-03T00:00:00"/>
    <n v="5100"/>
    <m/>
    <m/>
    <m/>
    <m/>
    <m/>
    <m/>
    <n v="5100"/>
    <n v="0"/>
    <n v="0"/>
    <m/>
  </r>
  <r>
    <x v="13"/>
    <d v="2019-01-05T00:00:00"/>
    <s v="KIỀU THY"/>
    <x v="6"/>
    <x v="6"/>
    <x v="25"/>
    <x v="12"/>
    <x v="0"/>
    <x v="3"/>
    <x v="5"/>
    <s v="NL2018"/>
    <m/>
    <n v="25"/>
    <n v="5000"/>
    <x v="10"/>
    <n v="27500000"/>
    <x v="0"/>
    <d v="2019-02-28T00:00:00"/>
    <x v="16"/>
    <x v="16"/>
    <s v="28/2AL"/>
    <s v="CONT 15/2019"/>
    <d v="2019-03-31T00:00:00"/>
    <m/>
    <d v="2019-04-02T00:00:00"/>
    <n v="5000"/>
    <m/>
    <m/>
    <m/>
    <m/>
    <m/>
    <m/>
    <n v="5000"/>
    <n v="0"/>
    <n v="0"/>
    <m/>
  </r>
  <r>
    <x v="13"/>
    <d v="2019-05-19T00:00:00"/>
    <s v="KIỀU THY"/>
    <x v="6"/>
    <x v="6"/>
    <x v="25"/>
    <x v="12"/>
    <x v="0"/>
    <x v="3"/>
    <x v="5"/>
    <s v="NL2018"/>
    <m/>
    <n v="51"/>
    <n v="10200"/>
    <x v="29"/>
    <n v="59160000"/>
    <x v="3"/>
    <d v="2019-05-30T00:00:00"/>
    <x v="17"/>
    <x v="17"/>
    <m/>
    <m/>
    <m/>
    <m/>
    <m/>
    <m/>
    <m/>
    <m/>
    <m/>
    <m/>
    <m/>
    <m/>
    <n v="0"/>
    <n v="10200"/>
    <n v="59160000"/>
    <m/>
  </r>
  <r>
    <x v="14"/>
    <d v="2019-03-12T00:00:00"/>
    <s v="KIỀU THY"/>
    <x v="6"/>
    <x v="6"/>
    <x v="22"/>
    <x v="3"/>
    <x v="0"/>
    <x v="8"/>
    <x v="11"/>
    <s v="NL2018"/>
    <m/>
    <n v="200"/>
    <n v="20000"/>
    <x v="25"/>
    <n v="250000000"/>
    <x v="2"/>
    <d v="2019-09-01T00:00:00"/>
    <x v="2"/>
    <x v="2"/>
    <s v="TẾT"/>
    <m/>
    <m/>
    <m/>
    <m/>
    <n v="0"/>
    <m/>
    <m/>
    <m/>
    <m/>
    <m/>
    <m/>
    <n v="0"/>
    <n v="20000"/>
    <n v="250000000"/>
    <m/>
  </r>
  <r>
    <x v="13"/>
    <d v="2019-06-17T00:00:00"/>
    <s v="KIỀU THY"/>
    <x v="6"/>
    <x v="6"/>
    <x v="5"/>
    <x v="3"/>
    <x v="0"/>
    <x v="1"/>
    <x v="9"/>
    <s v="NL2018"/>
    <m/>
    <n v="67"/>
    <n v="10050"/>
    <x v="30"/>
    <n v="75375000"/>
    <x v="3"/>
    <d v="2019-06-01T00:00:00"/>
    <x v="18"/>
    <x v="18"/>
    <s v="Hà Nội chuyển vô"/>
    <m/>
    <m/>
    <m/>
    <m/>
    <m/>
    <m/>
    <m/>
    <m/>
    <m/>
    <m/>
    <m/>
    <n v="0"/>
    <n v="10050"/>
    <n v="75375000"/>
    <m/>
  </r>
  <r>
    <x v="13"/>
    <d v="2019-05-19T00:00:00"/>
    <s v="KIỀU THY"/>
    <x v="6"/>
    <x v="6"/>
    <x v="26"/>
    <x v="13"/>
    <x v="0"/>
    <x v="3"/>
    <x v="5"/>
    <s v="NL2018"/>
    <m/>
    <n v="55"/>
    <n v="11000"/>
    <x v="6"/>
    <n v="59400000"/>
    <x v="0"/>
    <d v="2019-04-17T00:00:00"/>
    <x v="1"/>
    <x v="1"/>
    <m/>
    <m/>
    <m/>
    <m/>
    <d v="2019-05-20T00:00:00"/>
    <n v="11000"/>
    <m/>
    <m/>
    <m/>
    <m/>
    <m/>
    <m/>
    <n v="11000"/>
    <n v="0"/>
    <n v="0"/>
    <m/>
  </r>
  <r>
    <x v="13"/>
    <d v="2019-01-05T00:00:00"/>
    <s v="KIỀU THY"/>
    <x v="6"/>
    <x v="6"/>
    <x v="27"/>
    <x v="14"/>
    <x v="0"/>
    <x v="3"/>
    <x v="5"/>
    <s v="NL2018"/>
    <m/>
    <n v="50"/>
    <n v="10000"/>
    <x v="10"/>
    <n v="55000000"/>
    <x v="0"/>
    <d v="2019-03-15T00:00:00"/>
    <x v="5"/>
    <x v="5"/>
    <s v="15/3AL"/>
    <s v="CONT 27/2019"/>
    <d v="2019-04-14T00:00:00"/>
    <m/>
    <d v="2019-05-03T00:00:00"/>
    <n v="10000"/>
    <m/>
    <m/>
    <m/>
    <m/>
    <m/>
    <m/>
    <n v="10000"/>
    <n v="0"/>
    <n v="0"/>
    <m/>
  </r>
  <r>
    <x v="13"/>
    <d v="2019-06-17T00:00:00"/>
    <s v="KIỀU THY"/>
    <x v="6"/>
    <x v="6"/>
    <x v="28"/>
    <x v="15"/>
    <x v="0"/>
    <x v="3"/>
    <x v="5"/>
    <s v="NL2018"/>
    <m/>
    <n v="50"/>
    <n v="10000"/>
    <x v="31"/>
    <n v="67000000"/>
    <x v="2"/>
    <d v="2019-06-25T00:00:00"/>
    <x v="19"/>
    <x v="19"/>
    <m/>
    <m/>
    <m/>
    <m/>
    <m/>
    <m/>
    <m/>
    <m/>
    <m/>
    <m/>
    <m/>
    <m/>
    <n v="0"/>
    <n v="10000"/>
    <n v="67000000"/>
    <m/>
  </r>
  <r>
    <x v="13"/>
    <d v="2019-01-05T00:00:00"/>
    <s v="KIỀU THY"/>
    <x v="6"/>
    <x v="6"/>
    <x v="23"/>
    <x v="11"/>
    <x v="0"/>
    <x v="2"/>
    <x v="6"/>
    <s v="NL2018"/>
    <m/>
    <n v="0"/>
    <n v="0"/>
    <x v="32"/>
    <n v="0"/>
    <x v="1"/>
    <d v="2019-04-17T00:00:00"/>
    <x v="1"/>
    <x v="1"/>
    <s v="17/4AL"/>
    <m/>
    <m/>
    <m/>
    <m/>
    <n v="0"/>
    <m/>
    <m/>
    <m/>
    <m/>
    <m/>
    <m/>
    <n v="0"/>
    <n v="0"/>
    <n v="0"/>
    <m/>
  </r>
  <r>
    <x v="14"/>
    <d v="2019-03-12T00:00:00"/>
    <s v="KIỀU THY"/>
    <x v="6"/>
    <x v="6"/>
    <x v="21"/>
    <x v="4"/>
    <x v="0"/>
    <x v="8"/>
    <x v="11"/>
    <s v="NL2018"/>
    <m/>
    <n v="200"/>
    <n v="20000"/>
    <x v="25"/>
    <n v="250000000"/>
    <x v="2"/>
    <d v="2019-09-01T00:00:00"/>
    <x v="2"/>
    <x v="2"/>
    <s v="TẾT"/>
    <m/>
    <m/>
    <m/>
    <m/>
    <n v="0"/>
    <m/>
    <m/>
    <m/>
    <m/>
    <m/>
    <m/>
    <n v="0"/>
    <n v="20000"/>
    <n v="250000000"/>
    <m/>
  </r>
  <r>
    <x v="13"/>
    <d v="2019-06-17T00:00:00"/>
    <s v="KIỀU THY"/>
    <x v="6"/>
    <x v="6"/>
    <x v="6"/>
    <x v="4"/>
    <x v="0"/>
    <x v="3"/>
    <x v="5"/>
    <s v="NL2018"/>
    <m/>
    <n v="50"/>
    <n v="10000"/>
    <x v="29"/>
    <n v="58000000"/>
    <x v="0"/>
    <d v="2019-06-17T00:00:00"/>
    <x v="20"/>
    <x v="20"/>
    <m/>
    <m/>
    <m/>
    <m/>
    <d v="2019-06-17T00:00:00"/>
    <n v="10000"/>
    <m/>
    <m/>
    <m/>
    <m/>
    <m/>
    <m/>
    <n v="10000"/>
    <n v="0"/>
    <n v="0"/>
    <m/>
  </r>
  <r>
    <x v="13"/>
    <d v="2019-01-05T00:00:00"/>
    <s v="KIỀU THY"/>
    <x v="6"/>
    <x v="6"/>
    <x v="13"/>
    <x v="7"/>
    <x v="0"/>
    <x v="5"/>
    <x v="6"/>
    <s v="NL2018"/>
    <m/>
    <n v="67"/>
    <n v="20100"/>
    <x v="14"/>
    <n v="90450000"/>
    <x v="0"/>
    <d v="2019-01-15T00:00:00"/>
    <x v="6"/>
    <x v="6"/>
    <s v="15/1AL"/>
    <m/>
    <m/>
    <m/>
    <d v="2019-02-19T00:00:00"/>
    <n v="20100"/>
    <m/>
    <m/>
    <m/>
    <m/>
    <m/>
    <m/>
    <n v="20100"/>
    <n v="0"/>
    <n v="0"/>
    <m/>
  </r>
  <r>
    <x v="15"/>
    <d v="2019-04-09T00:00:00"/>
    <s v="KIỀU THY"/>
    <x v="7"/>
    <x v="7"/>
    <x v="4"/>
    <x v="3"/>
    <x v="0"/>
    <x v="4"/>
    <x v="4"/>
    <s v="NL2018"/>
    <m/>
    <n v="4"/>
    <n v="500"/>
    <x v="33"/>
    <n v="5350000"/>
    <x v="2"/>
    <d v="2019-09-01T00:00:00"/>
    <x v="2"/>
    <x v="2"/>
    <s v="TẾT"/>
    <m/>
    <m/>
    <m/>
    <m/>
    <m/>
    <m/>
    <m/>
    <m/>
    <m/>
    <m/>
    <m/>
    <n v="0"/>
    <n v="500"/>
    <n v="5350000"/>
    <m/>
  </r>
  <r>
    <x v="15"/>
    <d v="2019-04-09T00:00:00"/>
    <s v="KIỀU THY"/>
    <x v="7"/>
    <x v="7"/>
    <x v="7"/>
    <x v="4"/>
    <x v="0"/>
    <x v="4"/>
    <x v="4"/>
    <s v="NL2018"/>
    <m/>
    <n v="24"/>
    <n v="3000"/>
    <x v="34"/>
    <n v="31800000"/>
    <x v="2"/>
    <d v="2019-09-01T00:00:00"/>
    <x v="2"/>
    <x v="2"/>
    <s v="TẾT"/>
    <m/>
    <m/>
    <m/>
    <m/>
    <m/>
    <m/>
    <m/>
    <m/>
    <m/>
    <m/>
    <m/>
    <n v="0"/>
    <n v="3000"/>
    <n v="31800000"/>
    <m/>
  </r>
  <r>
    <x v="15"/>
    <d v="2019-04-09T00:00:00"/>
    <s v="KIỀU THY"/>
    <x v="7"/>
    <x v="7"/>
    <x v="14"/>
    <x v="4"/>
    <x v="0"/>
    <x v="6"/>
    <x v="13"/>
    <s v="NL2018"/>
    <m/>
    <n v="20"/>
    <n v="1600"/>
    <x v="15"/>
    <n v="24320000"/>
    <x v="2"/>
    <d v="2019-09-01T00:00:00"/>
    <x v="2"/>
    <x v="2"/>
    <s v="TẾT"/>
    <m/>
    <m/>
    <m/>
    <m/>
    <m/>
    <m/>
    <m/>
    <m/>
    <m/>
    <m/>
    <m/>
    <n v="0"/>
    <n v="1600"/>
    <n v="24320000"/>
    <m/>
  </r>
  <r>
    <x v="16"/>
    <d v="2019-05-14T00:00:00"/>
    <s v="THANH THÚY"/>
    <x v="8"/>
    <x v="8"/>
    <x v="29"/>
    <x v="16"/>
    <x v="2"/>
    <x v="7"/>
    <x v="8"/>
    <s v="NL2018"/>
    <m/>
    <n v="11"/>
    <n v="4400"/>
    <x v="35"/>
    <n v="13640000"/>
    <x v="0"/>
    <d v="2019-04-29T00:00:00"/>
    <x v="11"/>
    <x v="11"/>
    <m/>
    <m/>
    <m/>
    <m/>
    <d v="2019-06-08T00:00:00"/>
    <n v="4400"/>
    <m/>
    <m/>
    <m/>
    <m/>
    <m/>
    <m/>
    <n v="4400"/>
    <n v="0"/>
    <n v="0"/>
    <m/>
  </r>
  <r>
    <x v="17"/>
    <d v="2019-05-27T00:00:00"/>
    <s v="KIỀU THY"/>
    <x v="9"/>
    <x v="8"/>
    <x v="0"/>
    <x v="0"/>
    <x v="0"/>
    <x v="7"/>
    <x v="0"/>
    <s v="NL2018"/>
    <m/>
    <n v="9"/>
    <n v="3600"/>
    <x v="36"/>
    <n v="10080000"/>
    <x v="0"/>
    <d v="2019-03-15T00:00:00"/>
    <x v="5"/>
    <x v="5"/>
    <m/>
    <m/>
    <m/>
    <m/>
    <d v="2019-05-27T00:00:00"/>
    <n v="3600"/>
    <m/>
    <m/>
    <m/>
    <m/>
    <m/>
    <m/>
    <n v="3600"/>
    <n v="0"/>
    <n v="0"/>
    <m/>
  </r>
  <r>
    <x v="18"/>
    <d v="2019-03-19T00:00:00"/>
    <s v="THANH THÚY"/>
    <x v="8"/>
    <x v="8"/>
    <x v="30"/>
    <x v="17"/>
    <x v="2"/>
    <x v="1"/>
    <x v="9"/>
    <s v="NL2018"/>
    <m/>
    <n v="100"/>
    <n v="15000"/>
    <x v="13"/>
    <n v="93000000"/>
    <x v="2"/>
    <d v="2019-09-01T00:00:00"/>
    <x v="2"/>
    <x v="2"/>
    <s v="TẾT"/>
    <m/>
    <m/>
    <m/>
    <m/>
    <n v="0"/>
    <m/>
    <m/>
    <m/>
    <m/>
    <m/>
    <m/>
    <n v="0"/>
    <n v="15000"/>
    <n v="93000000"/>
    <d v="2019-12-27T00:00:00"/>
  </r>
  <r>
    <x v="16"/>
    <d v="2019-01-06T00:00:00"/>
    <s v="THANH THÚY"/>
    <x v="8"/>
    <x v="8"/>
    <x v="31"/>
    <x v="18"/>
    <x v="0"/>
    <x v="7"/>
    <x v="8"/>
    <s v="NL2018"/>
    <m/>
    <n v="150"/>
    <n v="60000"/>
    <x v="36"/>
    <n v="168000000"/>
    <x v="0"/>
    <d v="2019-01-23T00:00:00"/>
    <x v="21"/>
    <x v="21"/>
    <s v="23/1AL"/>
    <m/>
    <m/>
    <m/>
    <d v="2019-02-27T00:00:00"/>
    <n v="30000"/>
    <d v="2019-03-05T00:00:00"/>
    <n v="30000"/>
    <m/>
    <m/>
    <m/>
    <m/>
    <n v="60000"/>
    <n v="0"/>
    <n v="0"/>
    <d v="2019-12-28T00:00:00"/>
  </r>
  <r>
    <x v="16"/>
    <d v="2019-01-06T00:00:00"/>
    <s v="THANH THÚY"/>
    <x v="8"/>
    <x v="8"/>
    <x v="31"/>
    <x v="18"/>
    <x v="0"/>
    <x v="7"/>
    <x v="8"/>
    <s v="NL2018"/>
    <m/>
    <n v="175"/>
    <n v="70000"/>
    <x v="36"/>
    <n v="196000000"/>
    <x v="0"/>
    <d v="2019-03-15T00:00:00"/>
    <x v="5"/>
    <x v="5"/>
    <s v="15/3AL"/>
    <s v="CONT 24/2019"/>
    <m/>
    <m/>
    <d v="2019-04-20T00:00:00"/>
    <n v="4800"/>
    <d v="2019-04-22T00:00:00"/>
    <n v="65200"/>
    <m/>
    <m/>
    <m/>
    <m/>
    <n v="70000"/>
    <n v="0"/>
    <n v="0"/>
    <d v="2019-12-28T00:00:00"/>
  </r>
  <r>
    <x v="16"/>
    <d v="2019-01-06T00:00:00"/>
    <s v="THANH THÚY"/>
    <x v="8"/>
    <x v="8"/>
    <x v="32"/>
    <x v="18"/>
    <x v="0"/>
    <x v="2"/>
    <x v="6"/>
    <s v="NL2018"/>
    <m/>
    <n v="167"/>
    <n v="50100"/>
    <x v="37"/>
    <n v="205410000"/>
    <x v="0"/>
    <d v="2019-03-15T00:00:00"/>
    <x v="5"/>
    <x v="5"/>
    <s v="15/3AL"/>
    <s v="CONT 23/2019"/>
    <m/>
    <m/>
    <d v="2019-04-20T00:00:00"/>
    <n v="37200"/>
    <d v="2019-04-22T00:00:00"/>
    <n v="12900"/>
    <m/>
    <m/>
    <m/>
    <m/>
    <n v="50100"/>
    <n v="0"/>
    <n v="0"/>
    <d v="2019-12-28T00:00:00"/>
  </r>
  <r>
    <x v="16"/>
    <d v="2019-03-20T00:00:00"/>
    <s v="THANH THÚY"/>
    <x v="8"/>
    <x v="8"/>
    <x v="31"/>
    <x v="18"/>
    <x v="0"/>
    <x v="7"/>
    <x v="8"/>
    <s v="NL2018"/>
    <m/>
    <n v="157"/>
    <n v="62800"/>
    <x v="38"/>
    <n v="182120000"/>
    <x v="4"/>
    <d v="2019-04-17T00:00:00"/>
    <x v="1"/>
    <x v="1"/>
    <s v="17/4AL"/>
    <m/>
    <m/>
    <m/>
    <d v="2019-05-23T00:00:00"/>
    <n v="10400"/>
    <d v="2019-05-29T00:00:00"/>
    <n v="7200"/>
    <d v="2019-06-06T00:00:00"/>
    <n v="39200"/>
    <m/>
    <m/>
    <n v="56800"/>
    <n v="6000"/>
    <n v="17400000"/>
    <d v="2019-12-28T00:00:00"/>
  </r>
  <r>
    <x v="16"/>
    <d v="2019-03-20T00:00:00"/>
    <s v="THANH THÚY"/>
    <x v="8"/>
    <x v="8"/>
    <x v="32"/>
    <x v="18"/>
    <x v="0"/>
    <x v="2"/>
    <x v="6"/>
    <s v="NL2018"/>
    <m/>
    <n v="192"/>
    <n v="57600"/>
    <x v="39"/>
    <n v="241920000"/>
    <x v="0"/>
    <d v="2019-04-17T00:00:00"/>
    <x v="1"/>
    <x v="1"/>
    <s v="17/4AL"/>
    <m/>
    <m/>
    <m/>
    <d v="2019-05-22T00:00:00"/>
    <n v="12900"/>
    <d v="2019-05-23T00:00:00"/>
    <n v="27000"/>
    <d v="2019-06-06T00:00:00"/>
    <n v="17700"/>
    <m/>
    <m/>
    <n v="57600"/>
    <n v="0"/>
    <n v="0"/>
    <d v="2019-12-28T00:00:00"/>
  </r>
  <r>
    <x v="16"/>
    <d v="2019-01-06T00:00:00"/>
    <s v="THANH THÚY"/>
    <x v="8"/>
    <x v="8"/>
    <x v="32"/>
    <x v="18"/>
    <x v="0"/>
    <x v="2"/>
    <x v="6"/>
    <s v="NL2018"/>
    <m/>
    <n v="151"/>
    <n v="45300"/>
    <x v="39"/>
    <n v="190260000"/>
    <x v="4"/>
    <d v="2019-04-29T00:00:00"/>
    <x v="11"/>
    <x v="11"/>
    <s v="29/4AL"/>
    <m/>
    <m/>
    <m/>
    <d v="2019-06-08T00:00:00"/>
    <n v="32100"/>
    <m/>
    <m/>
    <m/>
    <m/>
    <m/>
    <m/>
    <n v="32100"/>
    <n v="13200"/>
    <n v="55440000"/>
    <d v="2019-12-27T00:00:00"/>
  </r>
  <r>
    <x v="16"/>
    <d v="2019-05-22T00:00:00"/>
    <s v="THANH THÚY"/>
    <x v="8"/>
    <x v="8"/>
    <x v="32"/>
    <x v="18"/>
    <x v="0"/>
    <x v="2"/>
    <x v="6"/>
    <s v="NL2018"/>
    <m/>
    <n v="39"/>
    <n v="11700"/>
    <x v="40"/>
    <n v="50310000"/>
    <x v="4"/>
    <d v="2019-05-20T00:00:00"/>
    <x v="22"/>
    <x v="22"/>
    <s v="20/5AL"/>
    <s v="CONT 56+57/2019"/>
    <m/>
    <m/>
    <m/>
    <m/>
    <m/>
    <m/>
    <m/>
    <m/>
    <m/>
    <m/>
    <n v="0"/>
    <n v="11700"/>
    <n v="50310000"/>
    <m/>
  </r>
  <r>
    <x v="18"/>
    <d v="2019-03-19T00:00:00"/>
    <s v="THANH THÚY"/>
    <x v="8"/>
    <x v="8"/>
    <x v="33"/>
    <x v="18"/>
    <x v="0"/>
    <x v="3"/>
    <x v="5"/>
    <s v="NL2018"/>
    <m/>
    <n v="250"/>
    <n v="50000"/>
    <x v="41"/>
    <n v="305000000"/>
    <x v="2"/>
    <d v="2019-09-01T00:00:00"/>
    <x v="2"/>
    <x v="2"/>
    <s v="TẾT"/>
    <m/>
    <m/>
    <m/>
    <m/>
    <n v="0"/>
    <m/>
    <m/>
    <m/>
    <m/>
    <m/>
    <m/>
    <n v="0"/>
    <n v="50000"/>
    <n v="305000000"/>
    <d v="2019-12-27T00:00:00"/>
  </r>
  <r>
    <x v="16"/>
    <d v="2019-01-06T00:00:00"/>
    <s v="THANH THÚY"/>
    <x v="8"/>
    <x v="8"/>
    <x v="31"/>
    <x v="18"/>
    <x v="0"/>
    <x v="7"/>
    <x v="8"/>
    <s v="NL2018"/>
    <m/>
    <n v="150"/>
    <n v="60000"/>
    <x v="36"/>
    <n v="168000000"/>
    <x v="0"/>
    <s v="29-Feb-19"/>
    <x v="10"/>
    <x v="10"/>
    <s v="28/2AL"/>
    <s v="CONT 15/2019"/>
    <m/>
    <m/>
    <d v="2019-04-02T00:00:00"/>
    <n v="60000"/>
    <m/>
    <m/>
    <m/>
    <m/>
    <m/>
    <m/>
    <n v="60000"/>
    <n v="0"/>
    <n v="0"/>
    <d v="2019-12-10T00:00:00"/>
  </r>
  <r>
    <x v="16"/>
    <d v="2019-01-06T00:00:00"/>
    <s v="THANH THÚY"/>
    <x v="8"/>
    <x v="8"/>
    <x v="32"/>
    <x v="18"/>
    <x v="0"/>
    <x v="2"/>
    <x v="6"/>
    <s v="NL2018"/>
    <m/>
    <n v="126"/>
    <n v="37800"/>
    <x v="37"/>
    <n v="154980000"/>
    <x v="0"/>
    <s v="29-Feb-19"/>
    <x v="10"/>
    <x v="10"/>
    <s v="28/2AL"/>
    <s v="CONT 15/2019"/>
    <m/>
    <m/>
    <d v="2019-04-03T00:00:00"/>
    <n v="31200"/>
    <d v="2019-05-04T00:00:00"/>
    <n v="6600"/>
    <m/>
    <m/>
    <m/>
    <m/>
    <n v="37800"/>
    <n v="0"/>
    <n v="0"/>
    <d v="2019-12-27T00:00:00"/>
  </r>
  <r>
    <x v="16"/>
    <d v="2019-01-06T00:00:00"/>
    <s v="THANH THÚY"/>
    <x v="8"/>
    <x v="8"/>
    <x v="10"/>
    <x v="1"/>
    <x v="0"/>
    <x v="3"/>
    <x v="5"/>
    <s v="NL2018"/>
    <m/>
    <n v="30"/>
    <n v="6000"/>
    <x v="10"/>
    <n v="33000000"/>
    <x v="0"/>
    <d v="2019-01-15T00:00:00"/>
    <x v="6"/>
    <x v="6"/>
    <s v="15/1AL"/>
    <m/>
    <m/>
    <m/>
    <d v="2019-02-19T00:00:00"/>
    <n v="6000"/>
    <m/>
    <m/>
    <m/>
    <m/>
    <m/>
    <m/>
    <n v="6000"/>
    <n v="0"/>
    <n v="0"/>
    <d v="2019-12-28T00:00:00"/>
  </r>
  <r>
    <x v="16"/>
    <d v="2019-01-06T00:00:00"/>
    <s v="THANH THÚY"/>
    <x v="8"/>
    <x v="8"/>
    <x v="34"/>
    <x v="1"/>
    <x v="0"/>
    <x v="2"/>
    <x v="6"/>
    <s v="NL2018"/>
    <m/>
    <n v="34"/>
    <n v="10200"/>
    <x v="28"/>
    <n v="46920000"/>
    <x v="0"/>
    <d v="2019-03-15T00:00:00"/>
    <x v="5"/>
    <x v="5"/>
    <s v="15/3AL"/>
    <s v="CONT 24/2019"/>
    <m/>
    <m/>
    <d v="2019-04-20T00:00:00"/>
    <n v="5100"/>
    <d v="2019-05-04T00:00:00"/>
    <n v="5100"/>
    <m/>
    <m/>
    <m/>
    <m/>
    <n v="10200"/>
    <n v="0"/>
    <n v="0"/>
    <d v="2019-12-28T00:00:00"/>
  </r>
  <r>
    <x v="16"/>
    <d v="2019-03-20T00:00:00"/>
    <s v="THANH THÚY"/>
    <x v="8"/>
    <x v="8"/>
    <x v="34"/>
    <x v="1"/>
    <x v="0"/>
    <x v="2"/>
    <x v="6"/>
    <s v="NL2018"/>
    <m/>
    <n v="50"/>
    <n v="15000"/>
    <x v="42"/>
    <n v="72000000"/>
    <x v="0"/>
    <d v="2019-04-17T00:00:00"/>
    <x v="1"/>
    <x v="1"/>
    <s v="17/4AL"/>
    <m/>
    <m/>
    <m/>
    <d v="2019-05-22T00:00:00"/>
    <n v="9000"/>
    <d v="2019-05-23T00:00:00"/>
    <n v="6000"/>
    <m/>
    <m/>
    <m/>
    <m/>
    <n v="15000"/>
    <n v="0"/>
    <n v="0"/>
    <d v="2019-12-28T00:00:00"/>
  </r>
  <r>
    <x v="16"/>
    <d v="2019-06-13T00:00:00"/>
    <s v="THANH THÚY"/>
    <x v="8"/>
    <x v="8"/>
    <x v="34"/>
    <x v="1"/>
    <x v="0"/>
    <x v="2"/>
    <x v="6"/>
    <s v="NL2018"/>
    <m/>
    <n v="22"/>
    <n v="6600"/>
    <x v="43"/>
    <n v="32340000"/>
    <x v="0"/>
    <d v="2019-05-13T00:00:00"/>
    <x v="23"/>
    <x v="23"/>
    <m/>
    <m/>
    <m/>
    <m/>
    <d v="2019-06-15T00:00:00"/>
    <n v="6600"/>
    <m/>
    <m/>
    <m/>
    <m/>
    <m/>
    <m/>
    <n v="6600"/>
    <n v="0"/>
    <n v="0"/>
    <m/>
  </r>
  <r>
    <x v="16"/>
    <d v="2019-01-06T00:00:00"/>
    <s v="THANH THÚY"/>
    <x v="8"/>
    <x v="8"/>
    <x v="34"/>
    <x v="1"/>
    <x v="0"/>
    <x v="2"/>
    <x v="6"/>
    <s v="NL2018"/>
    <m/>
    <n v="17"/>
    <n v="5100"/>
    <x v="28"/>
    <n v="23460000"/>
    <x v="0"/>
    <s v="29-Feb-19"/>
    <x v="10"/>
    <x v="10"/>
    <s v="28/2AL"/>
    <s v="CONT 17/2019"/>
    <m/>
    <m/>
    <d v="2019-04-03T00:00:00"/>
    <n v="5100"/>
    <m/>
    <m/>
    <m/>
    <m/>
    <m/>
    <m/>
    <n v="5100"/>
    <n v="0"/>
    <n v="0"/>
    <d v="2019-12-10T00:00:00"/>
  </r>
  <r>
    <x v="18"/>
    <d v="2019-03-19T00:00:00"/>
    <s v="THANH THÚY"/>
    <x v="8"/>
    <x v="8"/>
    <x v="1"/>
    <x v="1"/>
    <x v="0"/>
    <x v="1"/>
    <x v="9"/>
    <s v="NL2018"/>
    <m/>
    <n v="187"/>
    <n v="28050"/>
    <x v="20"/>
    <n v="246840000"/>
    <x v="2"/>
    <d v="2019-09-01T00:00:00"/>
    <x v="2"/>
    <x v="2"/>
    <s v="TẾT"/>
    <m/>
    <m/>
    <m/>
    <m/>
    <n v="0"/>
    <m/>
    <m/>
    <m/>
    <m/>
    <m/>
    <m/>
    <n v="0"/>
    <n v="28050"/>
    <n v="246840000"/>
    <d v="2019-12-27T00:00:00"/>
  </r>
  <r>
    <x v="16"/>
    <d v="2019-05-14T00:00:00"/>
    <s v="THANH THÚY"/>
    <x v="8"/>
    <x v="8"/>
    <x v="35"/>
    <x v="19"/>
    <x v="0"/>
    <x v="7"/>
    <x v="8"/>
    <s v="NL2018"/>
    <m/>
    <n v="8"/>
    <n v="3200"/>
    <x v="44"/>
    <n v="9600000"/>
    <x v="0"/>
    <d v="2019-04-29T00:00:00"/>
    <x v="11"/>
    <x v="11"/>
    <m/>
    <m/>
    <m/>
    <m/>
    <d v="2019-06-08T00:00:00"/>
    <n v="3200"/>
    <m/>
    <m/>
    <m/>
    <m/>
    <m/>
    <m/>
    <n v="3200"/>
    <n v="0"/>
    <n v="0"/>
    <m/>
  </r>
  <r>
    <x v="16"/>
    <d v="2019-01-06T00:00:00"/>
    <s v="THANH THÚY"/>
    <x v="8"/>
    <x v="8"/>
    <x v="36"/>
    <x v="20"/>
    <x v="0"/>
    <x v="7"/>
    <x v="8"/>
    <s v="NL2018"/>
    <m/>
    <n v="2"/>
    <n v="800"/>
    <x v="36"/>
    <n v="2240000"/>
    <x v="0"/>
    <d v="2019-03-10T00:00:00"/>
    <x v="24"/>
    <x v="24"/>
    <s v="15/3AL"/>
    <s v="CONT 20/2019"/>
    <m/>
    <m/>
    <m/>
    <n v="800"/>
    <m/>
    <m/>
    <m/>
    <m/>
    <m/>
    <m/>
    <n v="800"/>
    <n v="0"/>
    <n v="0"/>
    <d v="2019-12-28T00:00:00"/>
  </r>
  <r>
    <x v="16"/>
    <d v="2019-01-06T00:00:00"/>
    <s v="THANH THÚY"/>
    <x v="8"/>
    <x v="8"/>
    <x v="37"/>
    <x v="21"/>
    <x v="0"/>
    <x v="2"/>
    <x v="6"/>
    <s v="NL2018"/>
    <m/>
    <n v="5"/>
    <n v="1500"/>
    <x v="45"/>
    <n v="6000000"/>
    <x v="0"/>
    <d v="2019-02-15T00:00:00"/>
    <x v="0"/>
    <x v="0"/>
    <s v="15/2AL"/>
    <s v="CONT 9/2019"/>
    <m/>
    <m/>
    <d v="2019-03-20T00:00:00"/>
    <n v="1500"/>
    <m/>
    <m/>
    <m/>
    <m/>
    <m/>
    <m/>
    <n v="1500"/>
    <n v="0"/>
    <n v="0"/>
    <d v="2019-12-28T00:00:00"/>
  </r>
  <r>
    <x v="16"/>
    <d v="2019-01-06T00:00:00"/>
    <s v="THANH THÚY"/>
    <x v="8"/>
    <x v="8"/>
    <x v="25"/>
    <x v="12"/>
    <x v="0"/>
    <x v="3"/>
    <x v="5"/>
    <s v="NL2018"/>
    <m/>
    <n v="50"/>
    <n v="10000"/>
    <x v="10"/>
    <n v="55000000"/>
    <x v="0"/>
    <d v="2019-01-23T00:00:00"/>
    <x v="21"/>
    <x v="21"/>
    <s v="23/1AL"/>
    <m/>
    <m/>
    <m/>
    <d v="2019-02-27T00:00:00"/>
    <n v="10000"/>
    <m/>
    <m/>
    <m/>
    <m/>
    <m/>
    <m/>
    <n v="10000"/>
    <n v="0"/>
    <n v="0"/>
    <d v="2019-12-10T00:00:00"/>
  </r>
  <r>
    <x v="18"/>
    <d v="2019-03-19T00:00:00"/>
    <s v="THANH THÚY"/>
    <x v="8"/>
    <x v="8"/>
    <x v="5"/>
    <x v="3"/>
    <x v="0"/>
    <x v="1"/>
    <x v="9"/>
    <s v="NL2018"/>
    <m/>
    <n v="187"/>
    <n v="28050"/>
    <x v="30"/>
    <n v="210375000"/>
    <x v="2"/>
    <d v="2019-09-01T00:00:00"/>
    <x v="2"/>
    <x v="2"/>
    <s v="TẾT"/>
    <m/>
    <m/>
    <m/>
    <m/>
    <n v="0"/>
    <m/>
    <m/>
    <m/>
    <m/>
    <m/>
    <m/>
    <n v="0"/>
    <n v="28050"/>
    <n v="210375000"/>
    <d v="2019-12-27T00:00:00"/>
  </r>
  <r>
    <x v="18"/>
    <d v="2019-03-19T00:00:00"/>
    <s v="THANH THÚY"/>
    <x v="8"/>
    <x v="8"/>
    <x v="4"/>
    <x v="3"/>
    <x v="0"/>
    <x v="4"/>
    <x v="14"/>
    <s v="NL2018"/>
    <m/>
    <n v="408"/>
    <n v="51000"/>
    <x v="5"/>
    <n v="535500000"/>
    <x v="2"/>
    <d v="2019-09-01T00:00:00"/>
    <x v="2"/>
    <x v="2"/>
    <s v="TẾT"/>
    <m/>
    <m/>
    <m/>
    <m/>
    <n v="0"/>
    <m/>
    <m/>
    <m/>
    <m/>
    <m/>
    <m/>
    <n v="0"/>
    <n v="51000"/>
    <n v="535500000"/>
    <d v="2019-12-27T00:00:00"/>
  </r>
  <r>
    <x v="18"/>
    <d v="2019-05-14T00:00:00"/>
    <s v="THANH THÚY"/>
    <x v="8"/>
    <x v="8"/>
    <x v="5"/>
    <x v="3"/>
    <x v="0"/>
    <x v="1"/>
    <x v="9"/>
    <s v="NL2018"/>
    <m/>
    <n v="40"/>
    <n v="6000"/>
    <x v="46"/>
    <n v="51000000"/>
    <x v="2"/>
    <d v="2019-09-01T00:00:00"/>
    <x v="2"/>
    <x v="2"/>
    <s v="TẾT"/>
    <m/>
    <m/>
    <m/>
    <m/>
    <m/>
    <m/>
    <m/>
    <m/>
    <m/>
    <m/>
    <m/>
    <n v="0"/>
    <n v="6000"/>
    <n v="51000000"/>
    <m/>
  </r>
  <r>
    <x v="16"/>
    <d v="2019-03-20T00:00:00"/>
    <s v="THANH THÚY"/>
    <x v="8"/>
    <x v="8"/>
    <x v="12"/>
    <x v="6"/>
    <x v="0"/>
    <x v="2"/>
    <x v="6"/>
    <s v="NL2018"/>
    <m/>
    <n v="0"/>
    <n v="0"/>
    <x v="8"/>
    <n v="0"/>
    <x v="1"/>
    <d v="2019-03-15T00:00:00"/>
    <x v="5"/>
    <x v="5"/>
    <s v="15/3AL"/>
    <s v="CONT 23/2019"/>
    <m/>
    <m/>
    <m/>
    <m/>
    <m/>
    <m/>
    <m/>
    <m/>
    <m/>
    <m/>
    <n v="0"/>
    <n v="0"/>
    <n v="0"/>
    <m/>
  </r>
  <r>
    <x v="16"/>
    <d v="2019-03-20T00:00:00"/>
    <s v="THANH THÚY"/>
    <x v="8"/>
    <x v="8"/>
    <x v="11"/>
    <x v="6"/>
    <x v="0"/>
    <x v="3"/>
    <x v="5"/>
    <s v="NL2018"/>
    <m/>
    <n v="0"/>
    <n v="0"/>
    <x v="31"/>
    <n v="0"/>
    <x v="1"/>
    <d v="2019-03-15T00:00:00"/>
    <x v="5"/>
    <x v="5"/>
    <s v="15/3AL"/>
    <s v="CONT 23/2019"/>
    <m/>
    <m/>
    <m/>
    <m/>
    <m/>
    <m/>
    <m/>
    <m/>
    <m/>
    <m/>
    <n v="0"/>
    <n v="0"/>
    <n v="0"/>
    <m/>
  </r>
  <r>
    <x v="18"/>
    <d v="2019-03-19T00:00:00"/>
    <s v="THANH THÚY"/>
    <x v="8"/>
    <x v="8"/>
    <x v="38"/>
    <x v="6"/>
    <x v="0"/>
    <x v="4"/>
    <x v="14"/>
    <s v="NL2018"/>
    <m/>
    <n v="0"/>
    <n v="0"/>
    <x v="47"/>
    <n v="0"/>
    <x v="1"/>
    <d v="2019-09-01T00:00:00"/>
    <x v="2"/>
    <x v="2"/>
    <s v="TẾT"/>
    <m/>
    <m/>
    <m/>
    <m/>
    <n v="0"/>
    <m/>
    <m/>
    <m/>
    <m/>
    <m/>
    <m/>
    <n v="0"/>
    <n v="0"/>
    <n v="0"/>
    <d v="2019-12-27T00:00:00"/>
  </r>
  <r>
    <x v="16"/>
    <d v="2019-01-06T00:00:00"/>
    <s v="THANH THÚY"/>
    <x v="8"/>
    <x v="8"/>
    <x v="12"/>
    <x v="6"/>
    <x v="0"/>
    <x v="2"/>
    <x v="6"/>
    <s v="NL2018"/>
    <m/>
    <n v="57"/>
    <n v="17100"/>
    <x v="42"/>
    <n v="82080000"/>
    <x v="0"/>
    <s v="29-Feb-19"/>
    <x v="10"/>
    <x v="10"/>
    <s v="28/2AL"/>
    <s v="CONT 15/2019"/>
    <m/>
    <m/>
    <m/>
    <n v="17100"/>
    <m/>
    <m/>
    <m/>
    <m/>
    <m/>
    <m/>
    <n v="17100"/>
    <n v="0"/>
    <n v="0"/>
    <d v="2019-12-10T00:00:00"/>
  </r>
  <r>
    <x v="16"/>
    <d v="2019-03-20T00:00:00"/>
    <s v="THANH THÚY"/>
    <x v="8"/>
    <x v="8"/>
    <x v="11"/>
    <x v="6"/>
    <x v="0"/>
    <x v="3"/>
    <x v="5"/>
    <s v="NL2018"/>
    <m/>
    <n v="0"/>
    <n v="0"/>
    <x v="31"/>
    <n v="0"/>
    <x v="1"/>
    <s v="29-Feb-19"/>
    <x v="10"/>
    <x v="10"/>
    <s v="28/2AL"/>
    <m/>
    <m/>
    <m/>
    <m/>
    <m/>
    <m/>
    <m/>
    <m/>
    <m/>
    <m/>
    <m/>
    <n v="0"/>
    <n v="0"/>
    <n v="0"/>
    <m/>
  </r>
  <r>
    <x v="16"/>
    <d v="2019-01-06T00:00:00"/>
    <s v="THANH THÚY"/>
    <x v="8"/>
    <x v="8"/>
    <x v="39"/>
    <x v="22"/>
    <x v="0"/>
    <x v="7"/>
    <x v="8"/>
    <s v="NL2018"/>
    <m/>
    <n v="28"/>
    <n v="11200"/>
    <x v="36"/>
    <n v="31360000"/>
    <x v="0"/>
    <d v="2019-02-15T00:00:00"/>
    <x v="0"/>
    <x v="0"/>
    <s v="15/2AL"/>
    <s v="CONT 9/2019"/>
    <m/>
    <m/>
    <m/>
    <n v="11200"/>
    <m/>
    <m/>
    <m/>
    <m/>
    <m/>
    <m/>
    <n v="11200"/>
    <n v="0"/>
    <n v="0"/>
    <d v="2019-12-28T00:00:00"/>
  </r>
  <r>
    <x v="16"/>
    <d v="2019-06-01T00:00:00"/>
    <s v="THANH THÚY"/>
    <x v="8"/>
    <x v="8"/>
    <x v="39"/>
    <x v="22"/>
    <x v="0"/>
    <x v="7"/>
    <x v="8"/>
    <s v="NL2018"/>
    <m/>
    <n v="0"/>
    <n v="0"/>
    <x v="38"/>
    <n v="0"/>
    <x v="1"/>
    <d v="2019-04-29T00:00:00"/>
    <x v="11"/>
    <x v="11"/>
    <m/>
    <m/>
    <m/>
    <m/>
    <m/>
    <m/>
    <m/>
    <m/>
    <m/>
    <m/>
    <m/>
    <m/>
    <n v="0"/>
    <n v="0"/>
    <n v="0"/>
    <m/>
  </r>
  <r>
    <x v="18"/>
    <d v="2019-03-19T00:00:00"/>
    <s v="THANH THÚY"/>
    <x v="8"/>
    <x v="8"/>
    <x v="39"/>
    <x v="22"/>
    <x v="0"/>
    <x v="7"/>
    <x v="8"/>
    <s v="NL2018"/>
    <m/>
    <n v="33"/>
    <n v="13200"/>
    <x v="48"/>
    <n v="43560000"/>
    <x v="2"/>
    <d v="2019-09-01T00:00:00"/>
    <x v="2"/>
    <x v="2"/>
    <s v="TẾT"/>
    <m/>
    <m/>
    <m/>
    <m/>
    <n v="0"/>
    <m/>
    <m/>
    <m/>
    <m/>
    <m/>
    <m/>
    <n v="0"/>
    <n v="13200"/>
    <n v="43560000"/>
    <d v="2019-12-27T00:00:00"/>
  </r>
  <r>
    <x v="18"/>
    <d v="2019-03-19T00:00:00"/>
    <s v="THANH THÚY"/>
    <x v="8"/>
    <x v="8"/>
    <x v="40"/>
    <x v="22"/>
    <x v="0"/>
    <x v="2"/>
    <x v="6"/>
    <s v="NL2018"/>
    <m/>
    <n v="0"/>
    <n v="0"/>
    <x v="14"/>
    <n v="0"/>
    <x v="1"/>
    <d v="2019-09-01T00:00:00"/>
    <x v="2"/>
    <x v="2"/>
    <s v="TẾT"/>
    <m/>
    <m/>
    <m/>
    <m/>
    <n v="0"/>
    <m/>
    <m/>
    <m/>
    <m/>
    <m/>
    <m/>
    <n v="0"/>
    <n v="0"/>
    <n v="0"/>
    <d v="2019-12-27T00:00:00"/>
  </r>
  <r>
    <x v="18"/>
    <d v="2019-03-19T00:00:00"/>
    <s v="THANH THÚY"/>
    <x v="8"/>
    <x v="8"/>
    <x v="41"/>
    <x v="22"/>
    <x v="0"/>
    <x v="3"/>
    <x v="5"/>
    <s v="NL2018"/>
    <m/>
    <n v="25"/>
    <n v="5000"/>
    <x v="41"/>
    <n v="30500000"/>
    <x v="2"/>
    <d v="2019-09-01T00:00:00"/>
    <x v="2"/>
    <x v="2"/>
    <s v="TẾT"/>
    <m/>
    <m/>
    <m/>
    <m/>
    <n v="0"/>
    <m/>
    <m/>
    <m/>
    <m/>
    <m/>
    <m/>
    <n v="0"/>
    <n v="5000"/>
    <n v="30500000"/>
    <d v="2019-12-27T00:00:00"/>
  </r>
  <r>
    <x v="16"/>
    <d v="2019-06-14T00:00:00"/>
    <s v="THANH THÚY"/>
    <x v="8"/>
    <x v="8"/>
    <x v="40"/>
    <x v="22"/>
    <x v="0"/>
    <x v="2"/>
    <x v="6"/>
    <s v="NL2018"/>
    <m/>
    <n v="13"/>
    <n v="3900"/>
    <x v="49"/>
    <n v="17160000"/>
    <x v="4"/>
    <m/>
    <x v="25"/>
    <x v="25"/>
    <m/>
    <m/>
    <m/>
    <m/>
    <m/>
    <m/>
    <m/>
    <m/>
    <m/>
    <m/>
    <m/>
    <m/>
    <n v="0"/>
    <n v="3900"/>
    <n v="17160000"/>
    <m/>
  </r>
  <r>
    <x v="16"/>
    <d v="2019-03-20T00:00:00"/>
    <s v="THANH THÚY"/>
    <x v="8"/>
    <x v="8"/>
    <x v="42"/>
    <x v="23"/>
    <x v="0"/>
    <x v="7"/>
    <x v="8"/>
    <s v="NL2018"/>
    <m/>
    <n v="11"/>
    <n v="4400"/>
    <x v="44"/>
    <n v="13200000"/>
    <x v="0"/>
    <d v="2019-03-15T00:00:00"/>
    <x v="5"/>
    <x v="5"/>
    <s v="15/3AL"/>
    <m/>
    <m/>
    <m/>
    <m/>
    <n v="4400"/>
    <m/>
    <m/>
    <m/>
    <m/>
    <m/>
    <m/>
    <n v="4400"/>
    <n v="0"/>
    <n v="0"/>
    <d v="2019-12-28T00:00:00"/>
  </r>
  <r>
    <x v="16"/>
    <d v="2019-01-06T00:00:00"/>
    <s v="THANH THÚY"/>
    <x v="8"/>
    <x v="8"/>
    <x v="43"/>
    <x v="24"/>
    <x v="0"/>
    <x v="3"/>
    <x v="5"/>
    <s v="NL2018"/>
    <m/>
    <n v="45"/>
    <n v="9000"/>
    <x v="50"/>
    <n v="54000000"/>
    <x v="0"/>
    <d v="2019-01-23T00:00:00"/>
    <x v="21"/>
    <x v="21"/>
    <s v="23/1AL"/>
    <m/>
    <m/>
    <m/>
    <d v="2019-03-02T00:00:00"/>
    <n v="9000"/>
    <m/>
    <m/>
    <m/>
    <m/>
    <m/>
    <m/>
    <n v="9000"/>
    <n v="0"/>
    <n v="0"/>
    <d v="2019-12-10T00:00:00"/>
  </r>
  <r>
    <x v="16"/>
    <d v="2019-03-20T00:00:00"/>
    <s v="THANH THÚY"/>
    <x v="8"/>
    <x v="8"/>
    <x v="26"/>
    <x v="13"/>
    <x v="0"/>
    <x v="3"/>
    <x v="5"/>
    <s v="NL2018"/>
    <m/>
    <n v="0"/>
    <n v="0"/>
    <x v="8"/>
    <n v="0"/>
    <x v="1"/>
    <d v="2019-03-15T00:00:00"/>
    <x v="5"/>
    <x v="5"/>
    <s v="15/3AL"/>
    <s v="CONT 23/2019"/>
    <m/>
    <m/>
    <m/>
    <n v="0"/>
    <m/>
    <m/>
    <m/>
    <m/>
    <m/>
    <m/>
    <n v="0"/>
    <n v="0"/>
    <n v="0"/>
    <d v="2019-12-28T00:00:00"/>
  </r>
  <r>
    <x v="16"/>
    <d v="2019-03-20T00:00:00"/>
    <s v="THANH THÚY"/>
    <x v="8"/>
    <x v="8"/>
    <x v="26"/>
    <x v="13"/>
    <x v="0"/>
    <x v="3"/>
    <x v="5"/>
    <s v="NL2018"/>
    <m/>
    <n v="0"/>
    <n v="0"/>
    <x v="6"/>
    <n v="0"/>
    <x v="1"/>
    <d v="2019-04-10T00:00:00"/>
    <x v="26"/>
    <x v="26"/>
    <s v="10/4AL"/>
    <m/>
    <m/>
    <m/>
    <m/>
    <m/>
    <m/>
    <m/>
    <m/>
    <m/>
    <m/>
    <m/>
    <n v="0"/>
    <n v="0"/>
    <n v="0"/>
    <m/>
  </r>
  <r>
    <x v="16"/>
    <d v="2019-03-20T00:00:00"/>
    <s v="THANH THÚY"/>
    <x v="8"/>
    <x v="8"/>
    <x v="27"/>
    <x v="14"/>
    <x v="0"/>
    <x v="3"/>
    <x v="5"/>
    <s v="NL2018"/>
    <m/>
    <n v="2"/>
    <n v="400"/>
    <x v="29"/>
    <n v="2320000"/>
    <x v="0"/>
    <d v="2019-04-29T00:00:00"/>
    <x v="11"/>
    <x v="11"/>
    <s v="1/5AL"/>
    <m/>
    <m/>
    <m/>
    <d v="2019-06-08T00:00:00"/>
    <n v="400"/>
    <m/>
    <m/>
    <m/>
    <m/>
    <m/>
    <m/>
    <n v="400"/>
    <n v="0"/>
    <n v="0"/>
    <d v="2019-12-28T00:00:00"/>
  </r>
  <r>
    <x v="16"/>
    <d v="2019-06-18T00:00:00"/>
    <s v="THANH THÚY"/>
    <x v="8"/>
    <x v="8"/>
    <x v="44"/>
    <x v="25"/>
    <x v="0"/>
    <x v="7"/>
    <x v="8"/>
    <s v="NL2018"/>
    <m/>
    <n v="15"/>
    <n v="6000"/>
    <x v="51"/>
    <n v="19200000"/>
    <x v="3"/>
    <d v="2019-06-15T00:00:00"/>
    <x v="4"/>
    <x v="4"/>
    <m/>
    <m/>
    <m/>
    <m/>
    <m/>
    <m/>
    <m/>
    <m/>
    <m/>
    <m/>
    <m/>
    <m/>
    <n v="0"/>
    <n v="6000"/>
    <n v="19200000"/>
    <m/>
  </r>
  <r>
    <x v="16"/>
    <d v="2019-06-18T00:00:00"/>
    <s v="THANH THÚY"/>
    <x v="8"/>
    <x v="8"/>
    <x v="45"/>
    <x v="25"/>
    <x v="0"/>
    <x v="2"/>
    <x v="6"/>
    <s v="NL2018"/>
    <m/>
    <n v="48"/>
    <n v="14400"/>
    <x v="14"/>
    <n v="64800000"/>
    <x v="3"/>
    <d v="2019-06-15T00:00:00"/>
    <x v="4"/>
    <x v="4"/>
    <m/>
    <m/>
    <m/>
    <m/>
    <m/>
    <m/>
    <m/>
    <m/>
    <m/>
    <m/>
    <m/>
    <m/>
    <n v="0"/>
    <n v="14400"/>
    <n v="64800000"/>
    <m/>
  </r>
  <r>
    <x v="16"/>
    <d v="2019-01-06T00:00:00"/>
    <s v="THANH THÚY"/>
    <x v="8"/>
    <x v="8"/>
    <x v="46"/>
    <x v="26"/>
    <x v="0"/>
    <x v="5"/>
    <x v="6"/>
    <s v="NL2018"/>
    <m/>
    <n v="32.166666666666664"/>
    <n v="9650"/>
    <x v="52"/>
    <n v="51868750"/>
    <x v="0"/>
    <d v="2019-01-23T00:00:00"/>
    <x v="21"/>
    <x v="21"/>
    <s v="23/1AL"/>
    <m/>
    <m/>
    <m/>
    <d v="2019-02-27T00:00:00"/>
    <n v="9650"/>
    <m/>
    <m/>
    <m/>
    <m/>
    <m/>
    <m/>
    <n v="9650"/>
    <n v="0"/>
    <n v="0"/>
    <d v="2019-12-10T00:00:00"/>
  </r>
  <r>
    <x v="16"/>
    <d v="2019-06-06T00:00:00"/>
    <s v="THANH THÚY"/>
    <x v="8"/>
    <x v="8"/>
    <x v="47"/>
    <x v="27"/>
    <x v="0"/>
    <x v="2"/>
    <x v="6"/>
    <s v="NL2018"/>
    <m/>
    <n v="60"/>
    <n v="18000"/>
    <x v="40"/>
    <n v="77400000"/>
    <x v="4"/>
    <d v="2019-05-20T00:00:00"/>
    <x v="22"/>
    <x v="22"/>
    <m/>
    <m/>
    <m/>
    <m/>
    <m/>
    <m/>
    <m/>
    <m/>
    <m/>
    <m/>
    <m/>
    <m/>
    <n v="0"/>
    <n v="18000"/>
    <n v="77400000"/>
    <m/>
  </r>
  <r>
    <x v="18"/>
    <d v="2019-03-19T00:00:00"/>
    <s v="THANH THÚY"/>
    <x v="8"/>
    <x v="8"/>
    <x v="8"/>
    <x v="4"/>
    <x v="0"/>
    <x v="1"/>
    <x v="9"/>
    <s v="NL2018"/>
    <m/>
    <n v="20"/>
    <n v="3000"/>
    <x v="30"/>
    <n v="22500000"/>
    <x v="2"/>
    <d v="2019-09-01T00:00:00"/>
    <x v="2"/>
    <x v="2"/>
    <s v="TẾT"/>
    <m/>
    <m/>
    <m/>
    <m/>
    <n v="0"/>
    <m/>
    <m/>
    <m/>
    <m/>
    <m/>
    <m/>
    <n v="0"/>
    <n v="3000"/>
    <n v="22500000"/>
    <d v="2019-12-27T00:00:00"/>
  </r>
  <r>
    <x v="18"/>
    <d v="2019-03-19T00:00:00"/>
    <s v="THANH THÚY"/>
    <x v="8"/>
    <x v="8"/>
    <x v="7"/>
    <x v="4"/>
    <x v="0"/>
    <x v="4"/>
    <x v="14"/>
    <s v="NL2018"/>
    <m/>
    <n v="80"/>
    <n v="10000"/>
    <x v="34"/>
    <n v="106000000"/>
    <x v="2"/>
    <d v="2019-09-01T00:00:00"/>
    <x v="2"/>
    <x v="2"/>
    <s v="TẾT"/>
    <m/>
    <m/>
    <m/>
    <m/>
    <n v="0"/>
    <m/>
    <m/>
    <m/>
    <m/>
    <m/>
    <m/>
    <n v="0"/>
    <n v="10000"/>
    <n v="106000000"/>
    <d v="2019-12-27T00:00:00"/>
  </r>
  <r>
    <x v="16"/>
    <d v="2019-01-06T00:00:00"/>
    <s v="THANH THÚY"/>
    <x v="8"/>
    <x v="8"/>
    <x v="48"/>
    <x v="28"/>
    <x v="0"/>
    <x v="3"/>
    <x v="5"/>
    <s v="NL2018"/>
    <m/>
    <n v="3"/>
    <n v="600"/>
    <x v="31"/>
    <n v="4020000"/>
    <x v="0"/>
    <d v="2019-02-15T00:00:00"/>
    <x v="0"/>
    <x v="0"/>
    <s v="15/2AL"/>
    <s v="CONT 9/2019"/>
    <m/>
    <m/>
    <d v="2019-03-20T00:00:00"/>
    <n v="600"/>
    <m/>
    <m/>
    <m/>
    <m/>
    <m/>
    <m/>
    <n v="600"/>
    <n v="0"/>
    <n v="0"/>
    <d v="2019-12-28T00:00:00"/>
  </r>
  <r>
    <x v="18"/>
    <d v="2019-03-19T00:00:00"/>
    <s v="THANH THÚY"/>
    <x v="8"/>
    <x v="8"/>
    <x v="49"/>
    <x v="29"/>
    <x v="0"/>
    <x v="3"/>
    <x v="5"/>
    <s v="NL2018"/>
    <m/>
    <n v="0"/>
    <n v="0"/>
    <x v="53"/>
    <n v="0"/>
    <x v="1"/>
    <d v="2019-09-01T00:00:00"/>
    <x v="2"/>
    <x v="2"/>
    <s v="TẾT"/>
    <m/>
    <m/>
    <m/>
    <m/>
    <n v="0"/>
    <m/>
    <m/>
    <m/>
    <m/>
    <m/>
    <m/>
    <n v="0"/>
    <n v="0"/>
    <n v="0"/>
    <d v="2019-12-27T00:00:00"/>
  </r>
  <r>
    <x v="16"/>
    <d v="2019-01-06T00:00:00"/>
    <s v="THANH THÚY"/>
    <x v="8"/>
    <x v="8"/>
    <x v="50"/>
    <x v="30"/>
    <x v="0"/>
    <x v="7"/>
    <x v="8"/>
    <s v="NL2018"/>
    <m/>
    <n v="120"/>
    <n v="48000"/>
    <x v="36"/>
    <n v="134400000"/>
    <x v="0"/>
    <d v="2019-02-15T00:00:00"/>
    <x v="0"/>
    <x v="0"/>
    <s v="15/2AL"/>
    <s v="CONT 9/2019"/>
    <m/>
    <m/>
    <d v="2019-03-20T00:00:00"/>
    <n v="48000"/>
    <m/>
    <m/>
    <m/>
    <m/>
    <m/>
    <m/>
    <n v="48000"/>
    <n v="0"/>
    <n v="0"/>
    <d v="2019-12-27T00:00:00"/>
  </r>
  <r>
    <x v="16"/>
    <d v="2019-01-06T00:00:00"/>
    <s v="THANH THÚY"/>
    <x v="8"/>
    <x v="8"/>
    <x v="51"/>
    <x v="30"/>
    <x v="0"/>
    <x v="2"/>
    <x v="6"/>
    <s v="NL2018"/>
    <m/>
    <n v="149"/>
    <n v="44700"/>
    <x v="39"/>
    <n v="187740000"/>
    <x v="0"/>
    <d v="2019-02-15T00:00:00"/>
    <x v="0"/>
    <x v="0"/>
    <s v="15/2AL"/>
    <s v="CONT 9/2019"/>
    <m/>
    <m/>
    <d v="2019-03-20T00:00:00"/>
    <n v="44700"/>
    <m/>
    <m/>
    <m/>
    <m/>
    <m/>
    <m/>
    <n v="44700"/>
    <n v="0"/>
    <n v="0"/>
    <d v="2019-12-27T00:00:00"/>
  </r>
  <r>
    <x v="16"/>
    <d v="2019-03-20T00:00:00"/>
    <s v="THANH THÚY"/>
    <x v="8"/>
    <x v="8"/>
    <x v="52"/>
    <x v="30"/>
    <x v="0"/>
    <x v="2"/>
    <x v="15"/>
    <s v="NL2018"/>
    <m/>
    <n v="18"/>
    <n v="4950"/>
    <x v="39"/>
    <n v="20790000"/>
    <x v="0"/>
    <d v="2019-03-15T00:00:00"/>
    <x v="5"/>
    <x v="5"/>
    <s v="15/3AL"/>
    <m/>
    <m/>
    <m/>
    <m/>
    <n v="4950"/>
    <m/>
    <m/>
    <m/>
    <m/>
    <m/>
    <m/>
    <n v="4950"/>
    <n v="0"/>
    <n v="0"/>
    <d v="2019-12-28T00:00:00"/>
  </r>
  <r>
    <x v="16"/>
    <d v="2019-06-13T00:00:00"/>
    <s v="THANH THÚY"/>
    <x v="8"/>
    <x v="8"/>
    <x v="51"/>
    <x v="30"/>
    <x v="0"/>
    <x v="2"/>
    <x v="6"/>
    <s v="NL2018"/>
    <m/>
    <n v="267"/>
    <n v="80100"/>
    <x v="28"/>
    <n v="368460000"/>
    <x v="3"/>
    <d v="2019-06-15T00:00:00"/>
    <x v="4"/>
    <x v="4"/>
    <m/>
    <m/>
    <m/>
    <m/>
    <m/>
    <m/>
    <m/>
    <m/>
    <m/>
    <m/>
    <m/>
    <m/>
    <n v="0"/>
    <n v="80100"/>
    <n v="368460000"/>
    <m/>
  </r>
  <r>
    <x v="16"/>
    <d v="2019-01-06T00:00:00"/>
    <s v="THANH THÚY"/>
    <x v="8"/>
    <x v="8"/>
    <x v="52"/>
    <x v="30"/>
    <x v="0"/>
    <x v="2"/>
    <x v="15"/>
    <s v="NL2018"/>
    <m/>
    <n v="35"/>
    <n v="9625"/>
    <x v="49"/>
    <n v="42350000"/>
    <x v="0"/>
    <d v="2019-04-29T00:00:00"/>
    <x v="11"/>
    <x v="11"/>
    <s v="29/4AL"/>
    <m/>
    <m/>
    <m/>
    <d v="2019-06-08T00:00:00"/>
    <n v="9625"/>
    <m/>
    <m/>
    <m/>
    <m/>
    <m/>
    <m/>
    <n v="9625"/>
    <n v="0"/>
    <n v="0"/>
    <d v="2019-12-27T00:00:00"/>
  </r>
  <r>
    <x v="16"/>
    <d v="2019-01-06T00:00:00"/>
    <s v="THANH THÚY"/>
    <x v="8"/>
    <x v="8"/>
    <x v="51"/>
    <x v="30"/>
    <x v="0"/>
    <x v="2"/>
    <x v="6"/>
    <s v="NL2018"/>
    <m/>
    <n v="88"/>
    <n v="26400"/>
    <x v="49"/>
    <n v="116160000"/>
    <x v="0"/>
    <d v="2019-04-29T00:00:00"/>
    <x v="11"/>
    <x v="11"/>
    <s v="29/4AL"/>
    <m/>
    <m/>
    <m/>
    <d v="2019-06-08T00:00:00"/>
    <n v="26400"/>
    <m/>
    <m/>
    <m/>
    <m/>
    <m/>
    <m/>
    <n v="26400"/>
    <n v="0"/>
    <n v="0"/>
    <d v="2019-12-27T00:00:00"/>
  </r>
  <r>
    <x v="16"/>
    <d v="2019-06-12T00:00:00"/>
    <s v="THANH THÚY"/>
    <x v="8"/>
    <x v="8"/>
    <x v="52"/>
    <x v="30"/>
    <x v="0"/>
    <x v="2"/>
    <x v="15"/>
    <s v="NL2018"/>
    <m/>
    <n v="32"/>
    <n v="8800"/>
    <x v="49"/>
    <n v="38720000"/>
    <x v="4"/>
    <d v="2019-05-20T00:00:00"/>
    <x v="22"/>
    <x v="22"/>
    <m/>
    <m/>
    <m/>
    <m/>
    <m/>
    <m/>
    <m/>
    <m/>
    <m/>
    <m/>
    <m/>
    <m/>
    <n v="0"/>
    <n v="8800"/>
    <n v="38720000"/>
    <m/>
  </r>
  <r>
    <x v="16"/>
    <d v="2019-01-06T00:00:00"/>
    <s v="THANH THÚY"/>
    <x v="8"/>
    <x v="8"/>
    <x v="53"/>
    <x v="31"/>
    <x v="0"/>
    <x v="2"/>
    <x v="6"/>
    <s v="NL2018"/>
    <m/>
    <n v="50"/>
    <n v="15000"/>
    <x v="45"/>
    <n v="60000000"/>
    <x v="0"/>
    <d v="2019-01-23T00:00:00"/>
    <x v="21"/>
    <x v="21"/>
    <s v="23/1AL"/>
    <m/>
    <m/>
    <m/>
    <d v="2019-02-27T00:00:00"/>
    <n v="15000"/>
    <m/>
    <m/>
    <m/>
    <m/>
    <m/>
    <m/>
    <n v="15000"/>
    <n v="0"/>
    <n v="0"/>
    <d v="2019-12-10T00:00:00"/>
  </r>
  <r>
    <x v="19"/>
    <d v="2019-06-10T00:00:00"/>
    <s v="THANH THÚY"/>
    <x v="10"/>
    <x v="9"/>
    <x v="0"/>
    <x v="0"/>
    <x v="0"/>
    <x v="7"/>
    <x v="8"/>
    <s v="NL2018"/>
    <m/>
    <n v="13"/>
    <n v="5200"/>
    <x v="36"/>
    <n v="14560000"/>
    <x v="0"/>
    <d v="2019-05-05T00:00:00"/>
    <x v="27"/>
    <x v="27"/>
    <m/>
    <m/>
    <m/>
    <m/>
    <d v="2019-06-18T00:00:00"/>
    <n v="5200"/>
    <m/>
    <m/>
    <m/>
    <m/>
    <m/>
    <m/>
    <n v="5200"/>
    <n v="0"/>
    <n v="0"/>
    <m/>
  </r>
  <r>
    <x v="20"/>
    <d v="2019-03-08T00:00:00"/>
    <s v="THANH THÚY"/>
    <x v="10"/>
    <x v="9"/>
    <x v="54"/>
    <x v="0"/>
    <x v="0"/>
    <x v="3"/>
    <x v="5"/>
    <s v="NL2018"/>
    <m/>
    <n v="25"/>
    <n v="5000"/>
    <x v="54"/>
    <n v="28000000"/>
    <x v="2"/>
    <d v="2019-09-01T00:00:00"/>
    <x v="2"/>
    <x v="2"/>
    <s v="TẾT"/>
    <m/>
    <m/>
    <m/>
    <m/>
    <n v="0"/>
    <m/>
    <m/>
    <m/>
    <m/>
    <m/>
    <m/>
    <n v="0"/>
    <n v="5000"/>
    <n v="28000000"/>
    <m/>
  </r>
  <r>
    <x v="19"/>
    <d v="2019-03-08T00:00:00"/>
    <s v="THANH THÚY"/>
    <x v="10"/>
    <x v="9"/>
    <x v="3"/>
    <x v="3"/>
    <x v="0"/>
    <x v="3"/>
    <x v="5"/>
    <s v="NL2018"/>
    <m/>
    <n v="50"/>
    <n v="10000"/>
    <x v="8"/>
    <n v="50000000"/>
    <x v="0"/>
    <d v="2019-03-15T00:00:00"/>
    <x v="5"/>
    <x v="5"/>
    <s v="15/3AL"/>
    <s v="CONT 25/2019"/>
    <m/>
    <m/>
    <d v="2019-04-23T00:00:00"/>
    <n v="10000"/>
    <m/>
    <m/>
    <m/>
    <m/>
    <m/>
    <m/>
    <n v="10000"/>
    <n v="0"/>
    <n v="0"/>
    <m/>
  </r>
  <r>
    <x v="19"/>
    <d v="2019-03-08T00:00:00"/>
    <s v="THANH THÚY"/>
    <x v="10"/>
    <x v="9"/>
    <x v="3"/>
    <x v="3"/>
    <x v="0"/>
    <x v="3"/>
    <x v="5"/>
    <s v="NL2018"/>
    <m/>
    <n v="0"/>
    <n v="0"/>
    <x v="6"/>
    <n v="0"/>
    <x v="1"/>
    <d v="2019-05-02T00:00:00"/>
    <x v="9"/>
    <x v="9"/>
    <s v="02/5AL"/>
    <m/>
    <m/>
    <m/>
    <m/>
    <n v="0"/>
    <m/>
    <m/>
    <m/>
    <m/>
    <m/>
    <m/>
    <n v="0"/>
    <n v="0"/>
    <n v="0"/>
    <m/>
  </r>
  <r>
    <x v="20"/>
    <d v="2019-03-08T00:00:00"/>
    <s v="THANH THÚY"/>
    <x v="10"/>
    <x v="9"/>
    <x v="22"/>
    <x v="3"/>
    <x v="0"/>
    <x v="8"/>
    <x v="11"/>
    <s v="NL2018"/>
    <m/>
    <n v="100"/>
    <n v="10000"/>
    <x v="25"/>
    <n v="125000000"/>
    <x v="2"/>
    <d v="2019-09-01T00:00:00"/>
    <x v="2"/>
    <x v="2"/>
    <s v="TẾT"/>
    <m/>
    <m/>
    <m/>
    <m/>
    <n v="0"/>
    <m/>
    <m/>
    <m/>
    <m/>
    <m/>
    <m/>
    <n v="0"/>
    <n v="10000"/>
    <n v="125000000"/>
    <m/>
  </r>
  <r>
    <x v="20"/>
    <d v="2019-03-08T00:00:00"/>
    <s v="THANH THÚY"/>
    <x v="10"/>
    <x v="9"/>
    <x v="55"/>
    <x v="3"/>
    <x v="0"/>
    <x v="8"/>
    <x v="11"/>
    <s v="NZ2019"/>
    <m/>
    <n v="50"/>
    <n v="5000"/>
    <x v="47"/>
    <n v="65000000"/>
    <x v="2"/>
    <d v="2019-09-01T00:00:00"/>
    <x v="2"/>
    <x v="2"/>
    <s v="TẾT"/>
    <m/>
    <m/>
    <m/>
    <m/>
    <n v="0"/>
    <m/>
    <m/>
    <m/>
    <m/>
    <m/>
    <m/>
    <n v="0"/>
    <n v="5000"/>
    <n v="65000000"/>
    <m/>
  </r>
  <r>
    <x v="20"/>
    <d v="2019-03-08T00:00:00"/>
    <s v="THANH THÚY"/>
    <x v="10"/>
    <x v="9"/>
    <x v="21"/>
    <x v="4"/>
    <x v="0"/>
    <x v="8"/>
    <x v="11"/>
    <s v="NL2018"/>
    <m/>
    <n v="150"/>
    <n v="15000"/>
    <x v="25"/>
    <n v="187500000"/>
    <x v="2"/>
    <d v="2019-09-01T00:00:00"/>
    <x v="2"/>
    <x v="2"/>
    <s v="TẾT"/>
    <m/>
    <m/>
    <m/>
    <m/>
    <n v="0"/>
    <m/>
    <m/>
    <m/>
    <m/>
    <m/>
    <m/>
    <n v="0"/>
    <n v="15000"/>
    <n v="187500000"/>
    <m/>
  </r>
  <r>
    <x v="20"/>
    <d v="2019-04-08T00:00:00"/>
    <s v="THANH THÚY"/>
    <x v="10"/>
    <x v="9"/>
    <x v="8"/>
    <x v="4"/>
    <x v="0"/>
    <x v="1"/>
    <x v="9"/>
    <s v="NL2018"/>
    <m/>
    <n v="34"/>
    <n v="5100"/>
    <x v="9"/>
    <n v="40800000"/>
    <x v="2"/>
    <d v="2019-09-01T00:00:00"/>
    <x v="2"/>
    <x v="2"/>
    <s v="TẾT"/>
    <m/>
    <m/>
    <m/>
    <m/>
    <m/>
    <m/>
    <m/>
    <m/>
    <m/>
    <m/>
    <m/>
    <n v="0"/>
    <n v="5100"/>
    <n v="40800000"/>
    <m/>
  </r>
  <r>
    <x v="20"/>
    <d v="2019-04-08T00:00:00"/>
    <s v="THANH THÚY"/>
    <x v="10"/>
    <x v="9"/>
    <x v="7"/>
    <x v="4"/>
    <x v="0"/>
    <x v="4"/>
    <x v="14"/>
    <s v="NL2018"/>
    <m/>
    <n v="40"/>
    <n v="5000"/>
    <x v="34"/>
    <n v="53000000"/>
    <x v="2"/>
    <d v="2019-09-01T00:00:00"/>
    <x v="2"/>
    <x v="2"/>
    <s v="TẾT"/>
    <m/>
    <m/>
    <m/>
    <m/>
    <m/>
    <m/>
    <m/>
    <m/>
    <m/>
    <m/>
    <m/>
    <n v="0"/>
    <n v="5000"/>
    <n v="53000000"/>
    <m/>
  </r>
  <r>
    <x v="21"/>
    <d v="2019-03-19T00:00:00"/>
    <s v="KIỀU THY"/>
    <x v="11"/>
    <x v="10"/>
    <x v="4"/>
    <x v="3"/>
    <x v="0"/>
    <x v="4"/>
    <x v="4"/>
    <s v="NL2018"/>
    <m/>
    <n v="40"/>
    <n v="5000"/>
    <x v="5"/>
    <n v="52500000"/>
    <x v="2"/>
    <d v="2019-09-01T00:00:00"/>
    <x v="2"/>
    <x v="2"/>
    <s v="TẾT"/>
    <m/>
    <m/>
    <m/>
    <m/>
    <m/>
    <m/>
    <m/>
    <m/>
    <m/>
    <m/>
    <m/>
    <n v="0"/>
    <n v="5000"/>
    <n v="52500000"/>
    <m/>
  </r>
  <r>
    <x v="21"/>
    <d v="2019-03-19T00:00:00"/>
    <s v="KIỀU THY"/>
    <x v="11"/>
    <x v="10"/>
    <x v="22"/>
    <x v="3"/>
    <x v="0"/>
    <x v="8"/>
    <x v="12"/>
    <s v="NL2018"/>
    <m/>
    <n v="0"/>
    <n v="0"/>
    <x v="25"/>
    <n v="0"/>
    <x v="1"/>
    <d v="2019-09-01T00:00:00"/>
    <x v="2"/>
    <x v="2"/>
    <s v="TẾT"/>
    <m/>
    <m/>
    <m/>
    <m/>
    <m/>
    <m/>
    <m/>
    <m/>
    <m/>
    <m/>
    <m/>
    <n v="0"/>
    <n v="0"/>
    <n v="0"/>
    <m/>
  </r>
  <r>
    <x v="22"/>
    <d v="2019-03-19T00:00:00"/>
    <s v="KIỀU THY"/>
    <x v="11"/>
    <x v="10"/>
    <x v="39"/>
    <x v="22"/>
    <x v="0"/>
    <x v="7"/>
    <x v="0"/>
    <s v="NL2018"/>
    <m/>
    <n v="24"/>
    <n v="9600"/>
    <x v="36"/>
    <n v="26880000"/>
    <x v="0"/>
    <d v="2019-03-15T00:00:00"/>
    <x v="5"/>
    <x v="5"/>
    <s v="15/3AL"/>
    <s v="CONT 20/2019"/>
    <d v="2019-04-19T00:00:00"/>
    <m/>
    <d v="2019-04-23T00:00:00"/>
    <n v="9600"/>
    <m/>
    <m/>
    <m/>
    <m/>
    <m/>
    <m/>
    <n v="9600"/>
    <n v="0"/>
    <n v="0"/>
    <m/>
  </r>
  <r>
    <x v="22"/>
    <d v="2019-03-19T00:00:00"/>
    <s v="KIỀU THY"/>
    <x v="11"/>
    <x v="10"/>
    <x v="39"/>
    <x v="22"/>
    <x v="0"/>
    <x v="7"/>
    <x v="0"/>
    <s v="NL2018"/>
    <m/>
    <n v="0"/>
    <n v="0"/>
    <x v="36"/>
    <n v="0"/>
    <x v="1"/>
    <d v="2019-04-17T00:00:00"/>
    <x v="1"/>
    <x v="1"/>
    <s v="30/3AL"/>
    <m/>
    <m/>
    <m/>
    <m/>
    <m/>
    <m/>
    <m/>
    <m/>
    <m/>
    <m/>
    <m/>
    <n v="0"/>
    <n v="0"/>
    <n v="0"/>
    <m/>
  </r>
  <r>
    <x v="21"/>
    <d v="2019-03-19T00:00:00"/>
    <s v="KIỀU THY"/>
    <x v="11"/>
    <x v="10"/>
    <x v="41"/>
    <x v="22"/>
    <x v="0"/>
    <x v="3"/>
    <x v="3"/>
    <s v="NL2018"/>
    <m/>
    <n v="35"/>
    <n v="7000"/>
    <x v="41"/>
    <n v="42700000"/>
    <x v="2"/>
    <d v="2019-09-01T00:00:00"/>
    <x v="2"/>
    <x v="2"/>
    <s v="TẾT"/>
    <m/>
    <m/>
    <m/>
    <m/>
    <m/>
    <m/>
    <m/>
    <m/>
    <m/>
    <m/>
    <m/>
    <n v="0"/>
    <n v="7000"/>
    <n v="42700000"/>
    <m/>
  </r>
  <r>
    <x v="23"/>
    <d v="2019-04-04T00:00:00"/>
    <s v="KIỀU THY"/>
    <x v="11"/>
    <x v="10"/>
    <x v="39"/>
    <x v="22"/>
    <x v="0"/>
    <x v="7"/>
    <x v="0"/>
    <s v="NL2018"/>
    <m/>
    <n v="22"/>
    <n v="8800"/>
    <x v="35"/>
    <n v="27280000"/>
    <x v="0"/>
    <d v="2019-05-05T00:00:00"/>
    <x v="27"/>
    <x v="27"/>
    <s v="05/05AL"/>
    <m/>
    <m/>
    <m/>
    <d v="2019-06-08T00:00:00"/>
    <n v="8400"/>
    <d v="2019-06-10T00:00:00"/>
    <s v="400"/>
    <m/>
    <m/>
    <m/>
    <m/>
    <n v="8800"/>
    <n v="0"/>
    <n v="0"/>
    <m/>
  </r>
  <r>
    <x v="23"/>
    <d v="2019-06-01T00:00:00"/>
    <s v="KIỀU THY"/>
    <x v="11"/>
    <x v="10"/>
    <x v="39"/>
    <x v="22"/>
    <x v="0"/>
    <x v="7"/>
    <x v="0"/>
    <s v="NL2018"/>
    <m/>
    <n v="25"/>
    <n v="10000"/>
    <x v="44"/>
    <n v="30000000"/>
    <x v="3"/>
    <d v="2019-06-15T00:00:00"/>
    <x v="4"/>
    <x v="4"/>
    <m/>
    <m/>
    <m/>
    <m/>
    <m/>
    <m/>
    <m/>
    <m/>
    <m/>
    <m/>
    <m/>
    <m/>
    <n v="0"/>
    <n v="10000"/>
    <n v="30000000"/>
    <m/>
  </r>
  <r>
    <x v="21"/>
    <d v="2019-03-19T00:00:00"/>
    <s v="KIỀU THY"/>
    <x v="11"/>
    <x v="10"/>
    <x v="56"/>
    <x v="23"/>
    <x v="0"/>
    <x v="1"/>
    <x v="1"/>
    <s v="NL2018"/>
    <m/>
    <n v="20"/>
    <n v="3000"/>
    <x v="55"/>
    <n v="21600000"/>
    <x v="2"/>
    <d v="2019-09-01T00:00:00"/>
    <x v="2"/>
    <x v="2"/>
    <s v="TẾT"/>
    <m/>
    <m/>
    <m/>
    <m/>
    <m/>
    <m/>
    <m/>
    <m/>
    <m/>
    <m/>
    <m/>
    <n v="0"/>
    <n v="3000"/>
    <n v="21600000"/>
    <m/>
  </r>
  <r>
    <x v="23"/>
    <d v="2019-06-06T00:00:00"/>
    <s v="KIỀU THY"/>
    <x v="11"/>
    <x v="10"/>
    <x v="42"/>
    <x v="23"/>
    <x v="0"/>
    <x v="7"/>
    <x v="0"/>
    <s v="NL2018"/>
    <m/>
    <n v="8"/>
    <n v="3200"/>
    <x v="51"/>
    <n v="10240000"/>
    <x v="0"/>
    <d v="2019-05-05T00:00:00"/>
    <x v="27"/>
    <x v="27"/>
    <m/>
    <m/>
    <m/>
    <m/>
    <d v="2019-06-08T00:00:00"/>
    <n v="3200"/>
    <m/>
    <m/>
    <m/>
    <m/>
    <m/>
    <m/>
    <n v="3200"/>
    <n v="0"/>
    <n v="0"/>
    <m/>
  </r>
  <r>
    <x v="21"/>
    <d v="2019-03-19T00:00:00"/>
    <s v="KIỀU THY"/>
    <x v="11"/>
    <x v="10"/>
    <x v="57"/>
    <x v="32"/>
    <x v="0"/>
    <x v="11"/>
    <x v="16"/>
    <s v="NL2018"/>
    <m/>
    <n v="68"/>
    <n v="5100"/>
    <x v="56"/>
    <n v="81600000"/>
    <x v="2"/>
    <d v="2019-09-01T00:00:00"/>
    <x v="2"/>
    <x v="2"/>
    <s v="TẾT"/>
    <m/>
    <m/>
    <m/>
    <m/>
    <m/>
    <m/>
    <m/>
    <m/>
    <m/>
    <m/>
    <m/>
    <n v="0"/>
    <n v="5100"/>
    <n v="81600000"/>
    <m/>
  </r>
  <r>
    <x v="24"/>
    <d v="2019-01-06T00:00:00"/>
    <s v="KIỀU THY"/>
    <x v="12"/>
    <x v="11"/>
    <x v="54"/>
    <x v="0"/>
    <x v="0"/>
    <x v="3"/>
    <x v="5"/>
    <s v="NL2018"/>
    <m/>
    <n v="71"/>
    <n v="14200"/>
    <x v="8"/>
    <n v="71000000"/>
    <x v="0"/>
    <d v="2019-01-16T00:00:00"/>
    <x v="28"/>
    <x v="28"/>
    <s v="16/1AL"/>
    <m/>
    <m/>
    <m/>
    <d v="2019-02-20T00:00:00"/>
    <n v="14200"/>
    <m/>
    <m/>
    <m/>
    <m/>
    <m/>
    <m/>
    <n v="14200"/>
    <n v="0"/>
    <n v="0"/>
    <m/>
  </r>
  <r>
    <x v="24"/>
    <d v="2019-01-06T00:00:00"/>
    <s v="KIỀU THY"/>
    <x v="12"/>
    <x v="11"/>
    <x v="32"/>
    <x v="18"/>
    <x v="0"/>
    <x v="2"/>
    <x v="6"/>
    <s v="NL2018"/>
    <m/>
    <n v="3"/>
    <n v="900"/>
    <x v="37"/>
    <n v="3690000"/>
    <x v="0"/>
    <s v="30-Feb-19"/>
    <x v="29"/>
    <x v="29"/>
    <s v="30/2AL"/>
    <m/>
    <m/>
    <m/>
    <d v="2019-04-03T00:00:00"/>
    <n v="900"/>
    <m/>
    <m/>
    <m/>
    <m/>
    <m/>
    <m/>
    <n v="900"/>
    <n v="0"/>
    <n v="0"/>
    <m/>
  </r>
  <r>
    <x v="25"/>
    <d v="2019-05-13T00:00:00"/>
    <s v="KIỀU THY"/>
    <x v="12"/>
    <x v="11"/>
    <x v="32"/>
    <x v="18"/>
    <x v="0"/>
    <x v="2"/>
    <x v="6"/>
    <s v="NL2018"/>
    <m/>
    <n v="10"/>
    <n v="3000"/>
    <x v="39"/>
    <n v="12600000"/>
    <x v="0"/>
    <d v="2019-04-17T00:00:00"/>
    <x v="1"/>
    <x v="1"/>
    <s v="10/4AL"/>
    <m/>
    <m/>
    <m/>
    <d v="2019-05-19T00:00:00"/>
    <n v="3000"/>
    <m/>
    <m/>
    <m/>
    <m/>
    <m/>
    <m/>
    <n v="3000"/>
    <n v="0"/>
    <n v="0"/>
    <m/>
  </r>
  <r>
    <x v="26"/>
    <d v="2019-03-16T00:00:00"/>
    <s v="KIỀU THY"/>
    <x v="12"/>
    <x v="11"/>
    <x v="20"/>
    <x v="6"/>
    <x v="0"/>
    <x v="8"/>
    <x v="11"/>
    <s v="NL2018"/>
    <m/>
    <n v="60"/>
    <n v="6000"/>
    <x v="24"/>
    <n v="85200000"/>
    <x v="2"/>
    <d v="2019-09-01T00:00:00"/>
    <x v="2"/>
    <x v="2"/>
    <s v="TẾT"/>
    <m/>
    <m/>
    <m/>
    <m/>
    <m/>
    <m/>
    <m/>
    <m/>
    <m/>
    <m/>
    <m/>
    <n v="0"/>
    <n v="6000"/>
    <n v="85200000"/>
    <m/>
  </r>
  <r>
    <x v="27"/>
    <d v="2019-04-09T00:00:00"/>
    <s v="KIỀU THY"/>
    <x v="12"/>
    <x v="11"/>
    <x v="39"/>
    <x v="22"/>
    <x v="0"/>
    <x v="7"/>
    <x v="8"/>
    <s v="NL2018"/>
    <m/>
    <n v="5"/>
    <n v="2000"/>
    <x v="44"/>
    <n v="6000000"/>
    <x v="0"/>
    <d v="2019-03-15T00:00:00"/>
    <x v="5"/>
    <x v="5"/>
    <s v="15/3AL"/>
    <m/>
    <m/>
    <m/>
    <d v="2019-04-23T00:00:00"/>
    <n v="2000"/>
    <m/>
    <m/>
    <m/>
    <m/>
    <m/>
    <m/>
    <n v="2000"/>
    <n v="0"/>
    <n v="0"/>
    <m/>
  </r>
  <r>
    <x v="26"/>
    <d v="2019-03-16T00:00:00"/>
    <s v="KIỀU THY"/>
    <x v="12"/>
    <x v="11"/>
    <x v="56"/>
    <x v="23"/>
    <x v="0"/>
    <x v="1"/>
    <x v="9"/>
    <s v="NL2018"/>
    <m/>
    <n v="134"/>
    <n v="20100"/>
    <x v="55"/>
    <n v="144720000"/>
    <x v="2"/>
    <d v="2019-09-01T00:00:00"/>
    <x v="2"/>
    <x v="2"/>
    <s v="TẾT"/>
    <m/>
    <m/>
    <m/>
    <m/>
    <m/>
    <m/>
    <m/>
    <m/>
    <m/>
    <m/>
    <m/>
    <n v="0"/>
    <n v="20100"/>
    <n v="144720000"/>
    <m/>
  </r>
  <r>
    <x v="25"/>
    <d v="2019-05-13T00:00:00"/>
    <s v="KIỀU THY"/>
    <x v="12"/>
    <x v="11"/>
    <x v="58"/>
    <x v="33"/>
    <x v="0"/>
    <x v="2"/>
    <x v="6"/>
    <s v="NL2018"/>
    <m/>
    <n v="10"/>
    <n v="3000"/>
    <x v="57"/>
    <n v="11700000"/>
    <x v="0"/>
    <d v="2019-04-17T00:00:00"/>
    <x v="1"/>
    <x v="1"/>
    <s v="10/4AL"/>
    <m/>
    <m/>
    <m/>
    <d v="2019-05-19T00:00:00"/>
    <n v="3000"/>
    <m/>
    <m/>
    <m/>
    <m/>
    <m/>
    <m/>
    <n v="3000"/>
    <n v="0"/>
    <n v="0"/>
    <m/>
  </r>
  <r>
    <x v="26"/>
    <d v="2019-03-16T00:00:00"/>
    <s v="KIỀU THY"/>
    <x v="12"/>
    <x v="11"/>
    <x v="59"/>
    <x v="11"/>
    <x v="0"/>
    <x v="4"/>
    <x v="14"/>
    <s v="NL2018"/>
    <m/>
    <n v="24"/>
    <n v="3000"/>
    <x v="24"/>
    <n v="42600000"/>
    <x v="2"/>
    <d v="2019-09-01T00:00:00"/>
    <x v="2"/>
    <x v="2"/>
    <s v="TẾT"/>
    <m/>
    <m/>
    <m/>
    <m/>
    <m/>
    <m/>
    <m/>
    <m/>
    <m/>
    <m/>
    <m/>
    <n v="0"/>
    <n v="3000"/>
    <n v="42600000"/>
    <m/>
  </r>
  <r>
    <x v="25"/>
    <d v="2019-03-28T00:00:00"/>
    <s v="KIỀU THY"/>
    <x v="12"/>
    <x v="11"/>
    <x v="23"/>
    <x v="11"/>
    <x v="0"/>
    <x v="2"/>
    <x v="6"/>
    <s v="NL2018"/>
    <m/>
    <n v="4"/>
    <n v="1200"/>
    <x v="10"/>
    <n v="6600000"/>
    <x v="0"/>
    <d v="2019-04-17T00:00:00"/>
    <x v="1"/>
    <x v="1"/>
    <s v="10/4AL"/>
    <m/>
    <m/>
    <m/>
    <d v="2019-05-19T00:00:00"/>
    <n v="1200"/>
    <m/>
    <m/>
    <m/>
    <m/>
    <m/>
    <m/>
    <n v="1200"/>
    <n v="0"/>
    <n v="0"/>
    <m/>
  </r>
  <r>
    <x v="26"/>
    <d v="2019-03-16T00:00:00"/>
    <s v="KIỀU THY"/>
    <x v="12"/>
    <x v="11"/>
    <x v="7"/>
    <x v="4"/>
    <x v="0"/>
    <x v="4"/>
    <x v="14"/>
    <s v="NL2018"/>
    <m/>
    <n v="16"/>
    <n v="2000"/>
    <x v="5"/>
    <n v="21000000"/>
    <x v="2"/>
    <d v="2019-09-01T00:00:00"/>
    <x v="2"/>
    <x v="2"/>
    <s v="TẾT"/>
    <m/>
    <m/>
    <m/>
    <m/>
    <m/>
    <m/>
    <m/>
    <m/>
    <m/>
    <m/>
    <m/>
    <n v="0"/>
    <n v="2000"/>
    <n v="21000000"/>
    <m/>
  </r>
  <r>
    <x v="24"/>
    <d v="2019-01-06T00:00:00"/>
    <s v="KIỀU THY"/>
    <x v="12"/>
    <x v="11"/>
    <x v="60"/>
    <x v="7"/>
    <x v="0"/>
    <x v="5"/>
    <x v="17"/>
    <s v="NL2018"/>
    <m/>
    <n v="72"/>
    <n v="18000"/>
    <x v="49"/>
    <n v="79200000"/>
    <x v="0"/>
    <d v="2019-03-15T00:00:00"/>
    <x v="5"/>
    <x v="5"/>
    <s v="15/3AL"/>
    <s v="CONT 22/2019"/>
    <d v="2019-04-14T00:00:00"/>
    <m/>
    <d v="2019-04-17T00:00:00"/>
    <n v="18000"/>
    <m/>
    <m/>
    <m/>
    <m/>
    <m/>
    <m/>
    <n v="18000"/>
    <n v="0"/>
    <n v="0"/>
    <m/>
  </r>
  <r>
    <x v="26"/>
    <d v="2019-03-16T00:00:00"/>
    <s v="KIỀU THY"/>
    <x v="12"/>
    <x v="11"/>
    <x v="61"/>
    <x v="5"/>
    <x v="0"/>
    <x v="1"/>
    <x v="9"/>
    <s v="NL2018"/>
    <m/>
    <n v="14"/>
    <n v="2100"/>
    <x v="46"/>
    <n v="17850000"/>
    <x v="2"/>
    <d v="2019-09-01T00:00:00"/>
    <x v="2"/>
    <x v="2"/>
    <s v="TẾT"/>
    <m/>
    <m/>
    <m/>
    <m/>
    <m/>
    <m/>
    <m/>
    <m/>
    <m/>
    <m/>
    <m/>
    <n v="0"/>
    <n v="2100"/>
    <n v="17850000"/>
    <m/>
  </r>
  <r>
    <x v="24"/>
    <d v="2019-01-06T00:00:00"/>
    <s v="KIỀU THY"/>
    <x v="12"/>
    <x v="11"/>
    <x v="50"/>
    <x v="30"/>
    <x v="0"/>
    <x v="7"/>
    <x v="8"/>
    <s v="NL2018"/>
    <m/>
    <n v="25"/>
    <n v="10000"/>
    <x v="36"/>
    <n v="28000000"/>
    <x v="0"/>
    <d v="2019-01-15T00:00:00"/>
    <x v="6"/>
    <x v="6"/>
    <s v="15/1AL"/>
    <m/>
    <m/>
    <m/>
    <d v="2019-02-19T00:00:00"/>
    <n v="10000"/>
    <m/>
    <m/>
    <m/>
    <m/>
    <m/>
    <m/>
    <n v="10000"/>
    <n v="0"/>
    <n v="0"/>
    <m/>
  </r>
  <r>
    <x v="24"/>
    <d v="2019-01-06T00:00:00"/>
    <s v="KIỀU THY"/>
    <x v="12"/>
    <x v="11"/>
    <x v="50"/>
    <x v="30"/>
    <x v="0"/>
    <x v="7"/>
    <x v="8"/>
    <s v="NL2018"/>
    <m/>
    <n v="25"/>
    <n v="10000"/>
    <x v="36"/>
    <n v="28000000"/>
    <x v="0"/>
    <d v="2019-02-15T00:00:00"/>
    <x v="0"/>
    <x v="0"/>
    <s v="15/2AL"/>
    <s v="CONT 9/2019"/>
    <d v="2019-03-17T00:00:00"/>
    <m/>
    <d v="2019-03-19T00:00:00"/>
    <n v="10000"/>
    <m/>
    <m/>
    <m/>
    <m/>
    <m/>
    <m/>
    <n v="10000"/>
    <n v="0"/>
    <n v="0"/>
    <m/>
  </r>
  <r>
    <x v="24"/>
    <d v="2019-01-06T00:00:00"/>
    <s v="KIỀU THY"/>
    <x v="12"/>
    <x v="11"/>
    <x v="50"/>
    <x v="30"/>
    <x v="0"/>
    <x v="7"/>
    <x v="8"/>
    <s v="NL2018"/>
    <m/>
    <n v="48"/>
    <n v="19200"/>
    <x v="36"/>
    <n v="53760000"/>
    <x v="0"/>
    <s v="30-Feb-19"/>
    <x v="29"/>
    <x v="29"/>
    <s v="30/2AL"/>
    <s v="CONT 17/2019"/>
    <d v="2019-03-31T00:00:00"/>
    <m/>
    <d v="2019-04-03T00:00:00"/>
    <n v="19200"/>
    <m/>
    <m/>
    <m/>
    <m/>
    <m/>
    <m/>
    <n v="19200"/>
    <n v="0"/>
    <n v="0"/>
    <m/>
  </r>
  <r>
    <x v="27"/>
    <d v="2019-04-09T00:00:00"/>
    <s v="KIỀU THY"/>
    <x v="12"/>
    <x v="11"/>
    <x v="50"/>
    <x v="30"/>
    <x v="0"/>
    <x v="7"/>
    <x v="8"/>
    <s v="NL2018"/>
    <m/>
    <n v="9"/>
    <n v="3600"/>
    <x v="36"/>
    <n v="10080000"/>
    <x v="0"/>
    <d v="2019-03-15T00:00:00"/>
    <x v="5"/>
    <x v="5"/>
    <s v="15/3AL"/>
    <m/>
    <m/>
    <m/>
    <d v="2019-04-23T00:00:00"/>
    <n v="3600"/>
    <m/>
    <m/>
    <m/>
    <m/>
    <m/>
    <m/>
    <n v="3600"/>
    <n v="0"/>
    <n v="0"/>
    <m/>
  </r>
  <r>
    <x v="27"/>
    <d v="2019-05-15T00:00:00"/>
    <s v="KIỀU THY"/>
    <x v="12"/>
    <x v="11"/>
    <x v="51"/>
    <x v="30"/>
    <x v="0"/>
    <x v="2"/>
    <x v="6"/>
    <s v="NL2018"/>
    <m/>
    <n v="23"/>
    <n v="6900"/>
    <x v="58"/>
    <n v="30912000"/>
    <x v="0"/>
    <d v="2019-05-05T00:00:00"/>
    <x v="27"/>
    <x v="27"/>
    <m/>
    <m/>
    <m/>
    <m/>
    <d v="2019-06-08T00:00:00"/>
    <n v="5700"/>
    <d v="2019-06-22T00:00:00"/>
    <n v="1200"/>
    <m/>
    <m/>
    <m/>
    <m/>
    <n v="6900"/>
    <n v="0"/>
    <n v="0"/>
    <m/>
  </r>
  <r>
    <x v="27"/>
    <d v="2019-06-01T00:00:00"/>
    <s v="KIỀU THY"/>
    <x v="12"/>
    <x v="11"/>
    <x v="52"/>
    <x v="30"/>
    <x v="0"/>
    <x v="2"/>
    <x v="15"/>
    <s v="NL2018"/>
    <m/>
    <n v="68"/>
    <n v="18700"/>
    <x v="58"/>
    <n v="83776000"/>
    <x v="0"/>
    <d v="2019-05-18T00:00:00"/>
    <x v="3"/>
    <x v="3"/>
    <m/>
    <m/>
    <m/>
    <m/>
    <d v="2019-06-22T00:00:00"/>
    <n v="18700"/>
    <m/>
    <m/>
    <m/>
    <m/>
    <m/>
    <m/>
    <n v="18700"/>
    <n v="0"/>
    <n v="0"/>
    <m/>
  </r>
  <r>
    <x v="27"/>
    <d v="2019-05-15T00:00:00"/>
    <s v="KIỀU THY"/>
    <x v="12"/>
    <x v="11"/>
    <x v="51"/>
    <x v="30"/>
    <x v="0"/>
    <x v="2"/>
    <x v="6"/>
    <s v="NL2018"/>
    <m/>
    <n v="51"/>
    <n v="15300"/>
    <x v="59"/>
    <n v="69462000"/>
    <x v="3"/>
    <d v="2019-06-15T00:00:00"/>
    <x v="4"/>
    <x v="4"/>
    <m/>
    <m/>
    <m/>
    <m/>
    <m/>
    <m/>
    <m/>
    <m/>
    <m/>
    <m/>
    <m/>
    <m/>
    <n v="0"/>
    <n v="15300"/>
    <n v="69462000"/>
    <m/>
  </r>
  <r>
    <x v="27"/>
    <d v="2019-06-26T00:00:00"/>
    <s v="KIỀU THY"/>
    <x v="12"/>
    <x v="11"/>
    <x v="28"/>
    <x v="15"/>
    <x v="0"/>
    <x v="3"/>
    <x v="5"/>
    <s v="NL2018"/>
    <m/>
    <n v="50"/>
    <n v="10000"/>
    <x v="60"/>
    <n v="68000000"/>
    <x v="2"/>
    <d v="2019-07-01T00:00:00"/>
    <x v="30"/>
    <x v="30"/>
    <m/>
    <m/>
    <m/>
    <m/>
    <m/>
    <m/>
    <m/>
    <m/>
    <m/>
    <m/>
    <m/>
    <m/>
    <n v="0"/>
    <n v="10000"/>
    <n v="68000000"/>
    <m/>
  </r>
  <r>
    <x v="28"/>
    <d v="2019-03-16T00:00:00"/>
    <s v="KIỀU THY"/>
    <x v="12"/>
    <x v="12"/>
    <x v="33"/>
    <x v="18"/>
    <x v="0"/>
    <x v="3"/>
    <x v="5"/>
    <s v="NL2018"/>
    <m/>
    <n v="5"/>
    <n v="1000"/>
    <x v="41"/>
    <n v="6100000"/>
    <x v="2"/>
    <d v="2019-09-01T00:00:00"/>
    <x v="2"/>
    <x v="2"/>
    <s v="TẾT"/>
    <m/>
    <m/>
    <m/>
    <m/>
    <m/>
    <m/>
    <m/>
    <m/>
    <m/>
    <m/>
    <m/>
    <n v="0"/>
    <n v="1000"/>
    <n v="6100000"/>
    <m/>
  </r>
  <r>
    <x v="28"/>
    <d v="2019-03-16T00:00:00"/>
    <s v="KIỀU THY"/>
    <x v="12"/>
    <x v="12"/>
    <x v="41"/>
    <x v="22"/>
    <x v="0"/>
    <x v="3"/>
    <x v="5"/>
    <s v="NL2018"/>
    <m/>
    <n v="5"/>
    <n v="1000"/>
    <x v="41"/>
    <n v="6100000"/>
    <x v="2"/>
    <d v="2019-09-01T00:00:00"/>
    <x v="2"/>
    <x v="2"/>
    <s v="TẾT"/>
    <m/>
    <m/>
    <m/>
    <m/>
    <m/>
    <m/>
    <m/>
    <m/>
    <m/>
    <m/>
    <m/>
    <n v="0"/>
    <n v="1000"/>
    <n v="6100000"/>
    <m/>
  </r>
  <r>
    <x v="28"/>
    <d v="2019-03-16T00:00:00"/>
    <s v="KIỀU THY"/>
    <x v="12"/>
    <x v="12"/>
    <x v="62"/>
    <x v="32"/>
    <x v="0"/>
    <x v="4"/>
    <x v="14"/>
    <s v="NL2018"/>
    <m/>
    <n v="10"/>
    <n v="1250"/>
    <x v="61"/>
    <n v="16875000"/>
    <x v="2"/>
    <d v="2019-09-01T00:00:00"/>
    <x v="2"/>
    <x v="2"/>
    <s v="TẾT"/>
    <m/>
    <m/>
    <m/>
    <m/>
    <m/>
    <m/>
    <m/>
    <m/>
    <m/>
    <m/>
    <m/>
    <n v="0"/>
    <n v="1250"/>
    <n v="16875000"/>
    <m/>
  </r>
  <r>
    <x v="28"/>
    <d v="2019-03-16T00:00:00"/>
    <s v="KIỀU THY"/>
    <x v="12"/>
    <x v="12"/>
    <x v="7"/>
    <x v="4"/>
    <x v="0"/>
    <x v="4"/>
    <x v="14"/>
    <s v="NL2018"/>
    <m/>
    <n v="6"/>
    <n v="750"/>
    <x v="5"/>
    <n v="7875000"/>
    <x v="2"/>
    <d v="2019-09-01T00:00:00"/>
    <x v="2"/>
    <x v="2"/>
    <s v="TẾT"/>
    <m/>
    <m/>
    <m/>
    <m/>
    <m/>
    <m/>
    <m/>
    <m/>
    <m/>
    <m/>
    <m/>
    <n v="0"/>
    <n v="750"/>
    <n v="7875000"/>
    <m/>
  </r>
  <r>
    <x v="29"/>
    <d v="2019-03-26T00:00:00"/>
    <s v="KIỀU THY"/>
    <x v="13"/>
    <x v="13"/>
    <x v="33"/>
    <x v="18"/>
    <x v="0"/>
    <x v="3"/>
    <x v="3"/>
    <s v="NL2018"/>
    <m/>
    <n v="15"/>
    <n v="3000"/>
    <x v="41"/>
    <n v="18300000"/>
    <x v="2"/>
    <d v="2019-09-01T00:00:00"/>
    <x v="2"/>
    <x v="2"/>
    <s v="TẾT"/>
    <m/>
    <m/>
    <m/>
    <m/>
    <m/>
    <m/>
    <m/>
    <m/>
    <m/>
    <m/>
    <m/>
    <n v="0"/>
    <n v="3000"/>
    <n v="18300000"/>
    <m/>
  </r>
  <r>
    <x v="29"/>
    <d v="2019-03-26T00:00:00"/>
    <s v="KIỀU THY"/>
    <x v="13"/>
    <x v="13"/>
    <x v="62"/>
    <x v="32"/>
    <x v="0"/>
    <x v="4"/>
    <x v="4"/>
    <s v="NL2018"/>
    <m/>
    <n v="32"/>
    <n v="4000"/>
    <x v="61"/>
    <n v="54000000"/>
    <x v="2"/>
    <d v="2019-09-01T00:00:00"/>
    <x v="2"/>
    <x v="2"/>
    <s v="TẾT"/>
    <m/>
    <m/>
    <m/>
    <m/>
    <m/>
    <m/>
    <m/>
    <m/>
    <m/>
    <m/>
    <m/>
    <n v="0"/>
    <n v="4000"/>
    <n v="54000000"/>
    <m/>
  </r>
  <r>
    <x v="29"/>
    <d v="2019-03-26T00:00:00"/>
    <s v="KIỀU THY"/>
    <x v="13"/>
    <x v="13"/>
    <x v="24"/>
    <x v="7"/>
    <x v="0"/>
    <x v="4"/>
    <x v="4"/>
    <s v="NL2018"/>
    <m/>
    <n v="40"/>
    <n v="5000"/>
    <x v="26"/>
    <n v="54000000"/>
    <x v="2"/>
    <d v="2019-09-01T00:00:00"/>
    <x v="2"/>
    <x v="2"/>
    <s v="TẾT"/>
    <m/>
    <m/>
    <m/>
    <m/>
    <m/>
    <m/>
    <m/>
    <m/>
    <m/>
    <m/>
    <m/>
    <n v="0"/>
    <n v="5000"/>
    <n v="54000000"/>
    <m/>
  </r>
  <r>
    <x v="30"/>
    <d v="2019-03-14T00:00:00"/>
    <s v="THANH THÚY"/>
    <x v="14"/>
    <x v="14"/>
    <x v="63"/>
    <x v="1"/>
    <x v="0"/>
    <x v="4"/>
    <x v="4"/>
    <s v="NL2018"/>
    <m/>
    <n v="16"/>
    <n v="2000"/>
    <x v="62"/>
    <n v="21800000"/>
    <x v="2"/>
    <d v="2019-09-01T00:00:00"/>
    <x v="2"/>
    <x v="2"/>
    <s v="TẾT"/>
    <m/>
    <m/>
    <m/>
    <m/>
    <n v="0"/>
    <m/>
    <m/>
    <m/>
    <m/>
    <m/>
    <m/>
    <n v="0"/>
    <n v="2000"/>
    <n v="21800000"/>
    <m/>
  </r>
  <r>
    <x v="30"/>
    <d v="2019-03-14T00:00:00"/>
    <s v="THANH THÚY"/>
    <x v="14"/>
    <x v="14"/>
    <x v="1"/>
    <x v="1"/>
    <x v="0"/>
    <x v="1"/>
    <x v="1"/>
    <s v="NL2018"/>
    <m/>
    <n v="14"/>
    <n v="2100"/>
    <x v="23"/>
    <n v="19110000"/>
    <x v="2"/>
    <d v="2019-09-01T00:00:00"/>
    <x v="2"/>
    <x v="2"/>
    <s v="TẾT"/>
    <m/>
    <m/>
    <m/>
    <m/>
    <n v="0"/>
    <m/>
    <m/>
    <m/>
    <m/>
    <m/>
    <m/>
    <n v="0"/>
    <n v="2100"/>
    <n v="19110000"/>
    <m/>
  </r>
  <r>
    <x v="30"/>
    <d v="2019-03-14T00:00:00"/>
    <s v="THANH THÚY"/>
    <x v="14"/>
    <x v="14"/>
    <x v="22"/>
    <x v="3"/>
    <x v="0"/>
    <x v="8"/>
    <x v="12"/>
    <s v="NL2018"/>
    <m/>
    <n v="100"/>
    <n v="10000"/>
    <x v="25"/>
    <n v="125000000"/>
    <x v="2"/>
    <d v="2019-09-01T00:00:00"/>
    <x v="2"/>
    <x v="2"/>
    <s v="TẾT"/>
    <m/>
    <m/>
    <m/>
    <m/>
    <n v="0"/>
    <m/>
    <m/>
    <m/>
    <m/>
    <m/>
    <m/>
    <n v="0"/>
    <n v="10000"/>
    <n v="125000000"/>
    <m/>
  </r>
  <r>
    <x v="30"/>
    <d v="2019-03-14T00:00:00"/>
    <s v="THANH THÚY"/>
    <x v="14"/>
    <x v="14"/>
    <x v="4"/>
    <x v="3"/>
    <x v="0"/>
    <x v="4"/>
    <x v="4"/>
    <s v="NL2018"/>
    <m/>
    <n v="24"/>
    <n v="3000"/>
    <x v="33"/>
    <n v="32100000"/>
    <x v="2"/>
    <d v="2019-09-01T00:00:00"/>
    <x v="2"/>
    <x v="2"/>
    <s v="TẾT"/>
    <m/>
    <m/>
    <m/>
    <m/>
    <m/>
    <m/>
    <m/>
    <m/>
    <m/>
    <m/>
    <m/>
    <n v="0"/>
    <n v="3000"/>
    <n v="32100000"/>
    <m/>
  </r>
  <r>
    <x v="30"/>
    <d v="2019-03-14T00:00:00"/>
    <s v="THANH THÚY"/>
    <x v="14"/>
    <x v="14"/>
    <x v="64"/>
    <x v="32"/>
    <x v="0"/>
    <x v="8"/>
    <x v="12"/>
    <s v="NL2018"/>
    <m/>
    <n v="110"/>
    <n v="11000"/>
    <x v="15"/>
    <n v="167200000"/>
    <x v="2"/>
    <d v="2019-09-01T00:00:00"/>
    <x v="2"/>
    <x v="2"/>
    <s v="TẾT"/>
    <m/>
    <m/>
    <m/>
    <m/>
    <n v="0"/>
    <m/>
    <m/>
    <m/>
    <m/>
    <m/>
    <m/>
    <n v="0"/>
    <n v="11000"/>
    <n v="167200000"/>
    <m/>
  </r>
  <r>
    <x v="30"/>
    <d v="2019-03-14T00:00:00"/>
    <s v="THANH THÚY"/>
    <x v="14"/>
    <x v="14"/>
    <x v="65"/>
    <x v="14"/>
    <x v="0"/>
    <x v="8"/>
    <x v="12"/>
    <s v="NL2018"/>
    <m/>
    <n v="30"/>
    <n v="3000"/>
    <x v="63"/>
    <n v="34200000"/>
    <x v="2"/>
    <d v="2019-09-01T00:00:00"/>
    <x v="2"/>
    <x v="2"/>
    <s v="TẾT"/>
    <m/>
    <m/>
    <m/>
    <m/>
    <n v="0"/>
    <m/>
    <m/>
    <m/>
    <m/>
    <m/>
    <m/>
    <n v="0"/>
    <n v="3000"/>
    <n v="34200000"/>
    <m/>
  </r>
  <r>
    <x v="30"/>
    <d v="2019-03-14T00:00:00"/>
    <s v="THANH THÚY"/>
    <x v="14"/>
    <x v="14"/>
    <x v="21"/>
    <x v="4"/>
    <x v="0"/>
    <x v="8"/>
    <x v="12"/>
    <s v="NL2018"/>
    <m/>
    <n v="50"/>
    <n v="5000"/>
    <x v="25"/>
    <n v="62500000"/>
    <x v="2"/>
    <d v="2019-09-01T00:00:00"/>
    <x v="2"/>
    <x v="2"/>
    <s v="TẾT"/>
    <m/>
    <m/>
    <m/>
    <m/>
    <n v="0"/>
    <m/>
    <m/>
    <m/>
    <m/>
    <m/>
    <m/>
    <n v="0"/>
    <n v="5000"/>
    <n v="62500000"/>
    <m/>
  </r>
  <r>
    <x v="30"/>
    <d v="2019-03-14T00:00:00"/>
    <s v="THANH THÚY"/>
    <x v="14"/>
    <x v="14"/>
    <x v="7"/>
    <x v="4"/>
    <x v="0"/>
    <x v="4"/>
    <x v="4"/>
    <s v="NL2018"/>
    <m/>
    <n v="8"/>
    <n v="1000"/>
    <x v="34"/>
    <n v="10600000"/>
    <x v="2"/>
    <d v="2019-09-01T00:00:00"/>
    <x v="2"/>
    <x v="2"/>
    <s v="TẾT"/>
    <m/>
    <m/>
    <m/>
    <m/>
    <m/>
    <m/>
    <m/>
    <m/>
    <m/>
    <m/>
    <m/>
    <n v="0"/>
    <n v="1000"/>
    <n v="10600000"/>
    <m/>
  </r>
  <r>
    <x v="31"/>
    <d v="2019-01-05T00:00:00"/>
    <s v="THANH THÚY"/>
    <x v="15"/>
    <x v="15"/>
    <x v="54"/>
    <x v="0"/>
    <x v="0"/>
    <x v="3"/>
    <x v="5"/>
    <s v="NL2018"/>
    <m/>
    <n v="40"/>
    <n v="8000"/>
    <x v="8"/>
    <n v="40000000"/>
    <x v="0"/>
    <d v="2019-01-09T00:00:00"/>
    <x v="31"/>
    <x v="31"/>
    <s v="09/1AL"/>
    <m/>
    <m/>
    <m/>
    <d v="2019-02-20T00:00:00"/>
    <n v="8000"/>
    <m/>
    <m/>
    <m/>
    <m/>
    <m/>
    <m/>
    <n v="8000"/>
    <n v="0"/>
    <n v="0"/>
    <d v="2020-02-11T00:00:00"/>
  </r>
  <r>
    <x v="31"/>
    <d v="2019-01-05T00:00:00"/>
    <s v="THANH THÚY"/>
    <x v="15"/>
    <x v="15"/>
    <x v="54"/>
    <x v="0"/>
    <x v="0"/>
    <x v="3"/>
    <x v="5"/>
    <s v="NL2018"/>
    <m/>
    <n v="25"/>
    <n v="5000"/>
    <x v="8"/>
    <n v="25000000"/>
    <x v="0"/>
    <d v="2019-01-09T00:00:00"/>
    <x v="31"/>
    <x v="31"/>
    <s v="09/1AL"/>
    <m/>
    <m/>
    <m/>
    <d v="2019-03-06T00:00:00"/>
    <n v="5000"/>
    <m/>
    <m/>
    <m/>
    <m/>
    <m/>
    <m/>
    <n v="5000"/>
    <n v="0"/>
    <n v="0"/>
    <d v="2019-12-27T00:00:00"/>
  </r>
  <r>
    <x v="31"/>
    <d v="2019-01-05T00:00:00"/>
    <s v="THANH THÚY"/>
    <x v="15"/>
    <x v="15"/>
    <x v="66"/>
    <x v="34"/>
    <x v="0"/>
    <x v="12"/>
    <x v="10"/>
    <s v="NL2018"/>
    <m/>
    <n v="20"/>
    <n v="7000"/>
    <x v="64"/>
    <n v="30450000"/>
    <x v="0"/>
    <d v="2019-04-15T00:00:00"/>
    <x v="32"/>
    <x v="32"/>
    <s v="15/4AL"/>
    <m/>
    <m/>
    <m/>
    <d v="2019-05-22T00:00:00"/>
    <n v="7000"/>
    <m/>
    <m/>
    <m/>
    <m/>
    <m/>
    <m/>
    <n v="7000"/>
    <n v="0"/>
    <n v="0"/>
    <m/>
  </r>
  <r>
    <x v="31"/>
    <d v="2019-01-05T00:00:00"/>
    <s v="THANH THÚY"/>
    <x v="15"/>
    <x v="15"/>
    <x v="67"/>
    <x v="34"/>
    <x v="0"/>
    <x v="2"/>
    <x v="6"/>
    <s v="NL2018"/>
    <m/>
    <n v="9"/>
    <n v="2700"/>
    <x v="65"/>
    <n v="18900000"/>
    <x v="0"/>
    <d v="2019-04-15T00:00:00"/>
    <x v="32"/>
    <x v="32"/>
    <s v="15/4AL"/>
    <m/>
    <m/>
    <m/>
    <d v="2019-05-22T00:00:00"/>
    <n v="2700"/>
    <m/>
    <m/>
    <m/>
    <m/>
    <m/>
    <m/>
    <n v="2700"/>
    <n v="0"/>
    <n v="0"/>
    <m/>
  </r>
  <r>
    <x v="31"/>
    <d v="2019-01-05T00:00:00"/>
    <s v="THANH THÚY"/>
    <x v="15"/>
    <x v="15"/>
    <x v="10"/>
    <x v="1"/>
    <x v="0"/>
    <x v="3"/>
    <x v="5"/>
    <s v="NL2018"/>
    <m/>
    <n v="50"/>
    <n v="10000"/>
    <x v="10"/>
    <n v="55000000"/>
    <x v="0"/>
    <d v="2019-01-15T00:00:00"/>
    <x v="6"/>
    <x v="6"/>
    <s v="15/1AL"/>
    <m/>
    <m/>
    <m/>
    <d v="2019-02-19T00:00:00"/>
    <n v="10000"/>
    <m/>
    <m/>
    <m/>
    <m/>
    <m/>
    <m/>
    <n v="10000"/>
    <n v="0"/>
    <n v="0"/>
    <d v="2020-02-11T00:00:00"/>
  </r>
  <r>
    <x v="31"/>
    <d v="2019-01-05T00:00:00"/>
    <s v="THANH THÚY"/>
    <x v="15"/>
    <x v="15"/>
    <x v="10"/>
    <x v="1"/>
    <x v="0"/>
    <x v="3"/>
    <x v="5"/>
    <s v="NL2018"/>
    <m/>
    <n v="25"/>
    <n v="5000"/>
    <x v="10"/>
    <n v="27500000"/>
    <x v="0"/>
    <s v="29-Feb-19"/>
    <x v="10"/>
    <x v="10"/>
    <s v="30/2AL"/>
    <s v="CONT 14/2019"/>
    <m/>
    <m/>
    <d v="2019-04-09T00:00:00"/>
    <n v="5000"/>
    <m/>
    <m/>
    <m/>
    <m/>
    <m/>
    <m/>
    <n v="5000"/>
    <n v="0"/>
    <n v="0"/>
    <m/>
  </r>
  <r>
    <x v="31"/>
    <d v="2019-01-05T00:00:00"/>
    <s v="THANH THÚY"/>
    <x v="15"/>
    <x v="15"/>
    <x v="25"/>
    <x v="12"/>
    <x v="0"/>
    <x v="3"/>
    <x v="5"/>
    <s v="NL2018"/>
    <m/>
    <n v="25"/>
    <n v="5000"/>
    <x v="10"/>
    <n v="27500000"/>
    <x v="0"/>
    <s v="29-Feb-19"/>
    <x v="10"/>
    <x v="10"/>
    <s v="30/2AL"/>
    <s v="CONT 15/2019"/>
    <m/>
    <m/>
    <d v="2019-05-07T00:00:00"/>
    <n v="5000"/>
    <m/>
    <m/>
    <m/>
    <m/>
    <m/>
    <m/>
    <n v="5000"/>
    <n v="0"/>
    <n v="0"/>
    <d v="2020-01-01T00:00:00"/>
  </r>
  <r>
    <x v="31"/>
    <d v="2019-01-05T00:00:00"/>
    <s v="THANH THÚY"/>
    <x v="15"/>
    <x v="15"/>
    <x v="11"/>
    <x v="6"/>
    <x v="0"/>
    <x v="3"/>
    <x v="5"/>
    <s v="NL2018"/>
    <m/>
    <n v="25"/>
    <n v="5000"/>
    <x v="31"/>
    <n v="33500000"/>
    <x v="0"/>
    <d v="2019-03-15T00:00:00"/>
    <x v="5"/>
    <x v="5"/>
    <s v="15/3AL"/>
    <s v="CONT 23/2019"/>
    <m/>
    <m/>
    <m/>
    <n v="0"/>
    <m/>
    <m/>
    <m/>
    <m/>
    <m/>
    <m/>
    <n v="0"/>
    <n v="5000"/>
    <n v="33500000"/>
    <d v="2020-01-01T00:00:00"/>
  </r>
  <r>
    <x v="31"/>
    <d v="2019-01-05T00:00:00"/>
    <s v="THANH THÚY"/>
    <x v="15"/>
    <x v="15"/>
    <x v="11"/>
    <x v="6"/>
    <x v="0"/>
    <x v="3"/>
    <x v="5"/>
    <s v="NL2018"/>
    <m/>
    <n v="50"/>
    <n v="10000"/>
    <x v="31"/>
    <n v="67000000"/>
    <x v="0"/>
    <s v="29-Feb-19"/>
    <x v="10"/>
    <x v="10"/>
    <s v="30/2AL"/>
    <s v="CONT 17/2019"/>
    <m/>
    <m/>
    <d v="2019-04-03T00:00:00"/>
    <n v="5000"/>
    <d v="2019-04-09T00:00:00"/>
    <n v="5000"/>
    <m/>
    <m/>
    <m/>
    <m/>
    <n v="10000"/>
    <n v="0"/>
    <n v="0"/>
    <d v="2020-01-01T00:00:00"/>
  </r>
  <r>
    <x v="31"/>
    <d v="2019-01-05T00:00:00"/>
    <s v="THANH THÚY"/>
    <x v="15"/>
    <x v="15"/>
    <x v="68"/>
    <x v="35"/>
    <x v="0"/>
    <x v="3"/>
    <x v="5"/>
    <s v="NL2018"/>
    <m/>
    <n v="80"/>
    <n v="16000"/>
    <x v="13"/>
    <n v="99200000"/>
    <x v="0"/>
    <d v="2019-03-15T00:00:00"/>
    <x v="5"/>
    <x v="5"/>
    <s v="15/3AL"/>
    <s v="CONT 27/2019"/>
    <m/>
    <m/>
    <m/>
    <n v="0"/>
    <m/>
    <m/>
    <m/>
    <m/>
    <m/>
    <m/>
    <n v="0"/>
    <n v="16000"/>
    <n v="99200000"/>
    <d v="2020-01-01T00:00:00"/>
  </r>
  <r>
    <x v="31"/>
    <d v="2019-01-05T00:00:00"/>
    <s v="THANH THÚY"/>
    <x v="15"/>
    <x v="15"/>
    <x v="43"/>
    <x v="24"/>
    <x v="0"/>
    <x v="3"/>
    <x v="5"/>
    <s v="NL2018"/>
    <m/>
    <n v="25"/>
    <n v="5000"/>
    <x v="50"/>
    <n v="30000000"/>
    <x v="0"/>
    <s v="29-Feb-19"/>
    <x v="10"/>
    <x v="10"/>
    <s v="30/2AL"/>
    <s v="CONT 17/2019"/>
    <m/>
    <m/>
    <d v="2019-04-03T00:00:00"/>
    <n v="5000"/>
    <m/>
    <m/>
    <m/>
    <m/>
    <m/>
    <m/>
    <n v="5000"/>
    <n v="0"/>
    <n v="0"/>
    <d v="2020-01-01T00:00:00"/>
  </r>
  <r>
    <x v="31"/>
    <d v="2019-06-13T00:00:00"/>
    <s v="THANH THÚY"/>
    <x v="15"/>
    <x v="15"/>
    <x v="69"/>
    <x v="13"/>
    <x v="0"/>
    <x v="2"/>
    <x v="6"/>
    <s v="NL2018"/>
    <m/>
    <n v="27"/>
    <n v="8100"/>
    <x v="45"/>
    <n v="32400000"/>
    <x v="4"/>
    <d v="2019-05-05T00:00:00"/>
    <x v="27"/>
    <x v="27"/>
    <m/>
    <m/>
    <m/>
    <m/>
    <m/>
    <m/>
    <m/>
    <m/>
    <m/>
    <m/>
    <m/>
    <m/>
    <n v="0"/>
    <n v="8100"/>
    <n v="32400000"/>
    <m/>
  </r>
  <r>
    <x v="32"/>
    <d v="2019-06-21T00:00:00"/>
    <s v="THANH THÚY"/>
    <x v="15"/>
    <x v="15"/>
    <x v="70"/>
    <x v="13"/>
    <x v="0"/>
    <x v="1"/>
    <x v="9"/>
    <s v="NL2018"/>
    <m/>
    <n v="134"/>
    <n v="20100"/>
    <x v="66"/>
    <n v="164820000"/>
    <x v="2"/>
    <d v="2019-09-01T00:00:00"/>
    <x v="2"/>
    <x v="2"/>
    <s v="TẾT"/>
    <m/>
    <m/>
    <m/>
    <m/>
    <m/>
    <m/>
    <m/>
    <m/>
    <m/>
    <m/>
    <m/>
    <n v="0"/>
    <n v="20100"/>
    <n v="164820000"/>
    <m/>
  </r>
  <r>
    <x v="31"/>
    <d v="2019-01-05T00:00:00"/>
    <s v="THANH THÚY"/>
    <x v="15"/>
    <x v="15"/>
    <x v="6"/>
    <x v="4"/>
    <x v="0"/>
    <x v="3"/>
    <x v="5"/>
    <s v="NL2018"/>
    <m/>
    <n v="50"/>
    <n v="10000"/>
    <x v="8"/>
    <n v="50000000"/>
    <x v="0"/>
    <d v="2019-03-15T00:00:00"/>
    <x v="5"/>
    <x v="5"/>
    <s v="15/3AL"/>
    <s v="CONT 22/2019"/>
    <m/>
    <m/>
    <d v="2019-05-16T00:00:00"/>
    <n v="10000"/>
    <m/>
    <m/>
    <m/>
    <m/>
    <m/>
    <m/>
    <n v="10000"/>
    <n v="0"/>
    <n v="0"/>
    <d v="2020-01-01T00:00:00"/>
  </r>
  <r>
    <x v="31"/>
    <d v="2019-01-05T00:00:00"/>
    <s v="THANH THÚY"/>
    <x v="15"/>
    <x v="15"/>
    <x v="6"/>
    <x v="4"/>
    <x v="0"/>
    <x v="3"/>
    <x v="5"/>
    <s v="NL2018"/>
    <m/>
    <n v="0"/>
    <n v="0"/>
    <x v="8"/>
    <n v="0"/>
    <x v="1"/>
    <d v="2019-04-15T00:00:00"/>
    <x v="32"/>
    <x v="32"/>
    <s v="15/4AL"/>
    <s v="CONT 22/2019"/>
    <m/>
    <m/>
    <m/>
    <n v="0"/>
    <m/>
    <m/>
    <m/>
    <m/>
    <m/>
    <m/>
    <n v="0"/>
    <n v="0"/>
    <n v="0"/>
    <d v="2020-01-01T00:00:00"/>
  </r>
  <r>
    <x v="32"/>
    <d v="2019-03-21T00:00:00"/>
    <s v="THANH THÚY"/>
    <x v="15"/>
    <x v="15"/>
    <x v="7"/>
    <x v="4"/>
    <x v="0"/>
    <x v="4"/>
    <x v="14"/>
    <s v="NL2018"/>
    <m/>
    <n v="160"/>
    <n v="20000"/>
    <x v="5"/>
    <n v="210000000"/>
    <x v="2"/>
    <d v="2019-09-01T00:00:00"/>
    <x v="2"/>
    <x v="2"/>
    <s v="TẾT"/>
    <m/>
    <m/>
    <m/>
    <m/>
    <m/>
    <m/>
    <m/>
    <m/>
    <m/>
    <m/>
    <m/>
    <n v="0"/>
    <n v="20000"/>
    <n v="210000000"/>
    <m/>
  </r>
  <r>
    <x v="32"/>
    <d v="2019-06-25T00:00:00"/>
    <s v="THANH THÚY"/>
    <x v="15"/>
    <x v="15"/>
    <x v="54"/>
    <x v="0"/>
    <x v="0"/>
    <x v="3"/>
    <x v="5"/>
    <s v="NL2018"/>
    <m/>
    <n v="100"/>
    <n v="20000"/>
    <x v="54"/>
    <n v="112000000"/>
    <x v="2"/>
    <d v="2019-09-01T00:00:00"/>
    <x v="2"/>
    <x v="2"/>
    <s v="TẾT"/>
    <m/>
    <m/>
    <m/>
    <m/>
    <m/>
    <m/>
    <m/>
    <m/>
    <m/>
    <m/>
    <m/>
    <n v="0"/>
    <n v="20000"/>
    <n v="112000000"/>
    <m/>
  </r>
  <r>
    <x v="31"/>
    <d v="2019-01-05T00:00:00"/>
    <s v="THANH THÚY"/>
    <x v="15"/>
    <x v="15"/>
    <x v="6"/>
    <x v="4"/>
    <x v="0"/>
    <x v="3"/>
    <x v="5"/>
    <s v="NL2018"/>
    <m/>
    <n v="25"/>
    <n v="5000"/>
    <x v="12"/>
    <n v="23500000"/>
    <x v="0"/>
    <s v="29-Feb-19"/>
    <x v="10"/>
    <x v="10"/>
    <s v="30/2AL"/>
    <s v="CONT 17/2019"/>
    <m/>
    <m/>
    <d v="2019-05-07T00:00:00"/>
    <n v="5000"/>
    <m/>
    <m/>
    <m/>
    <m/>
    <m/>
    <m/>
    <n v="5000"/>
    <n v="0"/>
    <n v="0"/>
    <m/>
  </r>
  <r>
    <x v="31"/>
    <d v="2019-01-05T00:00:00"/>
    <s v="THANH THÚY"/>
    <x v="15"/>
    <x v="15"/>
    <x v="48"/>
    <x v="28"/>
    <x v="0"/>
    <x v="3"/>
    <x v="5"/>
    <s v="NL2018"/>
    <m/>
    <n v="100"/>
    <n v="20000"/>
    <x v="31"/>
    <n v="134000000"/>
    <x v="0"/>
    <d v="2019-03-15T00:00:00"/>
    <x v="5"/>
    <x v="5"/>
    <s v="15/3AL"/>
    <s v="CONT 20/2019"/>
    <m/>
    <m/>
    <d v="2019-05-22T00:00:00"/>
    <n v="20000"/>
    <m/>
    <m/>
    <m/>
    <m/>
    <m/>
    <m/>
    <n v="20000"/>
    <n v="0"/>
    <n v="0"/>
    <d v="2020-01-01T00:00:00"/>
  </r>
  <r>
    <x v="32"/>
    <d v="2019-05-21T00:00:00"/>
    <s v="THANH THÚY"/>
    <x v="15"/>
    <x v="15"/>
    <x v="24"/>
    <x v="7"/>
    <x v="0"/>
    <x v="4"/>
    <x v="14"/>
    <s v="NL2018"/>
    <m/>
    <n v="0"/>
    <n v="0"/>
    <x v="27"/>
    <n v="0"/>
    <x v="1"/>
    <d v="2019-09-01T00:00:00"/>
    <x v="2"/>
    <x v="2"/>
    <m/>
    <m/>
    <m/>
    <m/>
    <m/>
    <m/>
    <m/>
    <m/>
    <m/>
    <m/>
    <m/>
    <m/>
    <n v="0"/>
    <n v="0"/>
    <n v="0"/>
    <m/>
  </r>
  <r>
    <x v="31"/>
    <d v="2019-01-05T00:00:00"/>
    <s v="THANH THÚY"/>
    <x v="15"/>
    <x v="15"/>
    <x v="9"/>
    <x v="5"/>
    <x v="0"/>
    <x v="3"/>
    <x v="5"/>
    <s v="NL2018"/>
    <m/>
    <n v="25"/>
    <n v="5000"/>
    <x v="10"/>
    <n v="27500000"/>
    <x v="0"/>
    <d v="2019-03-15T00:00:00"/>
    <x v="5"/>
    <x v="5"/>
    <m/>
    <s v="CONT 21/2019"/>
    <m/>
    <m/>
    <m/>
    <n v="0"/>
    <m/>
    <m/>
    <m/>
    <m/>
    <m/>
    <m/>
    <n v="0"/>
    <n v="5000"/>
    <n v="27500000"/>
    <d v="2020-01-01T00:00:00"/>
  </r>
  <r>
    <x v="32"/>
    <d v="2019-03-21T00:00:00"/>
    <s v="THANH THÚY"/>
    <x v="15"/>
    <x v="15"/>
    <x v="61"/>
    <x v="5"/>
    <x v="0"/>
    <x v="1"/>
    <x v="9"/>
    <s v="NL2018"/>
    <m/>
    <n v="0"/>
    <n v="0"/>
    <x v="46"/>
    <n v="0"/>
    <x v="1"/>
    <d v="2019-09-01T00:00:00"/>
    <x v="2"/>
    <x v="2"/>
    <s v="TẾT"/>
    <m/>
    <m/>
    <m/>
    <m/>
    <m/>
    <m/>
    <m/>
    <m/>
    <m/>
    <m/>
    <m/>
    <n v="0"/>
    <n v="0"/>
    <n v="0"/>
    <m/>
  </r>
  <r>
    <x v="31"/>
    <d v="2019-06-13T00:00:00"/>
    <s v="THANH THÚY"/>
    <x v="15"/>
    <x v="15"/>
    <x v="53"/>
    <x v="31"/>
    <x v="0"/>
    <x v="2"/>
    <x v="6"/>
    <s v="NL2018"/>
    <m/>
    <n v="13"/>
    <n v="3900"/>
    <x v="45"/>
    <n v="15600000"/>
    <x v="4"/>
    <d v="2019-05-05T00:00:00"/>
    <x v="27"/>
    <x v="27"/>
    <m/>
    <m/>
    <m/>
    <m/>
    <m/>
    <m/>
    <m/>
    <m/>
    <m/>
    <m/>
    <m/>
    <m/>
    <n v="0"/>
    <n v="3900"/>
    <n v="15600000"/>
    <m/>
  </r>
  <r>
    <x v="33"/>
    <d v="2019-02-20T00:00:00"/>
    <s v="KIỀU THY"/>
    <x v="16"/>
    <x v="16"/>
    <x v="63"/>
    <x v="1"/>
    <x v="0"/>
    <x v="4"/>
    <x v="14"/>
    <s v="NL2018"/>
    <m/>
    <n v="40"/>
    <n v="5000"/>
    <x v="67"/>
    <n v="50500000"/>
    <x v="2"/>
    <d v="2019-09-01T00:00:00"/>
    <x v="2"/>
    <x v="2"/>
    <s v="TẾT"/>
    <m/>
    <m/>
    <s v="R"/>
    <m/>
    <n v="0"/>
    <m/>
    <m/>
    <m/>
    <m/>
    <m/>
    <m/>
    <n v="0"/>
    <n v="5000"/>
    <n v="50500000"/>
    <m/>
  </r>
  <r>
    <x v="33"/>
    <d v="2019-02-20T00:00:00"/>
    <s v="KIỀU THY"/>
    <x v="16"/>
    <x v="16"/>
    <x v="71"/>
    <x v="2"/>
    <x v="0"/>
    <x v="4"/>
    <x v="14"/>
    <s v="NL2018"/>
    <m/>
    <n v="40"/>
    <n v="5000"/>
    <x v="2"/>
    <n v="46500000"/>
    <x v="2"/>
    <d v="2019-09-01T00:00:00"/>
    <x v="2"/>
    <x v="2"/>
    <s v="TẾT"/>
    <m/>
    <m/>
    <s v="R"/>
    <m/>
    <n v="0"/>
    <m/>
    <m/>
    <m/>
    <m/>
    <m/>
    <m/>
    <n v="0"/>
    <n v="5000"/>
    <n v="46500000"/>
    <m/>
  </r>
  <r>
    <x v="33"/>
    <d v="2019-02-20T00:00:00"/>
    <s v="KIỀU THY"/>
    <x v="16"/>
    <x v="16"/>
    <x v="38"/>
    <x v="6"/>
    <x v="0"/>
    <x v="4"/>
    <x v="14"/>
    <s v="NL2018"/>
    <m/>
    <n v="80"/>
    <n v="10000"/>
    <x v="47"/>
    <n v="130000000"/>
    <x v="2"/>
    <d v="2019-09-01T00:00:00"/>
    <x v="2"/>
    <x v="2"/>
    <s v="TẾT"/>
    <m/>
    <m/>
    <s v="R"/>
    <m/>
    <n v="0"/>
    <m/>
    <m/>
    <m/>
    <m/>
    <m/>
    <m/>
    <n v="0"/>
    <n v="10000"/>
    <n v="130000000"/>
    <m/>
  </r>
  <r>
    <x v="33"/>
    <d v="2019-02-20T00:00:00"/>
    <s v="KIỀU THY"/>
    <x v="16"/>
    <x v="16"/>
    <x v="62"/>
    <x v="32"/>
    <x v="0"/>
    <x v="4"/>
    <x v="14"/>
    <s v="NL2018"/>
    <m/>
    <n v="80"/>
    <n v="10000"/>
    <x v="61"/>
    <n v="135000000"/>
    <x v="2"/>
    <d v="2019-09-01T00:00:00"/>
    <x v="2"/>
    <x v="2"/>
    <s v="TẾT"/>
    <m/>
    <m/>
    <s v="R"/>
    <m/>
    <n v="0"/>
    <m/>
    <m/>
    <m/>
    <m/>
    <m/>
    <m/>
    <n v="0"/>
    <n v="10000"/>
    <n v="135000000"/>
    <m/>
  </r>
  <r>
    <x v="34"/>
    <d v="2019-04-25T00:00:00"/>
    <s v="KIỀU THY"/>
    <x v="17"/>
    <x v="17"/>
    <x v="63"/>
    <x v="1"/>
    <x v="0"/>
    <x v="4"/>
    <x v="14"/>
    <s v="NL2018"/>
    <m/>
    <n v="16"/>
    <n v="2000"/>
    <x v="27"/>
    <n v="22000000"/>
    <x v="2"/>
    <d v="2019-09-01T00:00:00"/>
    <x v="2"/>
    <x v="2"/>
    <m/>
    <m/>
    <m/>
    <m/>
    <m/>
    <m/>
    <m/>
    <m/>
    <m/>
    <m/>
    <m/>
    <m/>
    <n v="0"/>
    <n v="2000"/>
    <n v="22000000"/>
    <m/>
  </r>
  <r>
    <x v="34"/>
    <d v="2019-02-16T00:00:00"/>
    <s v="KIỀU THY"/>
    <x v="17"/>
    <x v="17"/>
    <x v="71"/>
    <x v="2"/>
    <x v="0"/>
    <x v="4"/>
    <x v="14"/>
    <s v="NL2018"/>
    <m/>
    <n v="80"/>
    <n v="10000"/>
    <x v="2"/>
    <n v="93000000"/>
    <x v="2"/>
    <d v="2019-09-01T00:00:00"/>
    <x v="2"/>
    <x v="2"/>
    <s v="TẾT"/>
    <m/>
    <m/>
    <s v="CUỐI T1, NHẮC KHÁCH"/>
    <m/>
    <n v="0"/>
    <m/>
    <m/>
    <m/>
    <m/>
    <m/>
    <m/>
    <n v="0"/>
    <n v="10000"/>
    <n v="93000000"/>
    <m/>
  </r>
  <r>
    <x v="34"/>
    <d v="2019-02-16T00:00:00"/>
    <s v="KIỀU THY"/>
    <x v="17"/>
    <x v="17"/>
    <x v="4"/>
    <x v="3"/>
    <x v="0"/>
    <x v="10"/>
    <x v="14"/>
    <s v="NL2018"/>
    <m/>
    <n v="40"/>
    <n v="5000"/>
    <x v="5"/>
    <n v="52500000"/>
    <x v="2"/>
    <d v="2019-09-01T00:00:00"/>
    <x v="2"/>
    <x v="2"/>
    <s v="TẾT"/>
    <m/>
    <m/>
    <m/>
    <m/>
    <n v="0"/>
    <m/>
    <m/>
    <m/>
    <m/>
    <m/>
    <m/>
    <n v="0"/>
    <n v="5000"/>
    <n v="52500000"/>
    <m/>
  </r>
  <r>
    <x v="34"/>
    <d v="2019-02-16T00:00:00"/>
    <s v="KIỀU THY"/>
    <x v="17"/>
    <x v="17"/>
    <x v="38"/>
    <x v="6"/>
    <x v="0"/>
    <x v="4"/>
    <x v="14"/>
    <s v="NL2018"/>
    <m/>
    <n v="80"/>
    <n v="10000"/>
    <x v="47"/>
    <n v="130000000"/>
    <x v="2"/>
    <d v="2019-09-01T00:00:00"/>
    <x v="2"/>
    <x v="2"/>
    <s v="TẾT"/>
    <m/>
    <m/>
    <s v="CUỐI T1, NHẮC KHÁCH"/>
    <m/>
    <n v="0"/>
    <m/>
    <m/>
    <m/>
    <m/>
    <m/>
    <m/>
    <n v="0"/>
    <n v="10000"/>
    <n v="130000000"/>
    <m/>
  </r>
  <r>
    <x v="34"/>
    <d v="2019-02-16T00:00:00"/>
    <s v="KIỀU THY"/>
    <x v="17"/>
    <x v="17"/>
    <x v="7"/>
    <x v="4"/>
    <x v="0"/>
    <x v="4"/>
    <x v="14"/>
    <s v="NL2018"/>
    <m/>
    <n v="24"/>
    <n v="3000"/>
    <x v="5"/>
    <n v="31500000"/>
    <x v="2"/>
    <d v="2019-09-01T00:00:00"/>
    <x v="2"/>
    <x v="2"/>
    <s v="TẾT"/>
    <m/>
    <m/>
    <s v="CUỐI T1, NHẮC KHÁCH"/>
    <m/>
    <n v="0"/>
    <m/>
    <m/>
    <m/>
    <m/>
    <m/>
    <m/>
    <n v="0"/>
    <n v="3000"/>
    <n v="31500000"/>
    <m/>
  </r>
  <r>
    <x v="35"/>
    <d v="2019-02-23T00:00:00"/>
    <s v="KIỀU THY"/>
    <x v="18"/>
    <x v="18"/>
    <x v="63"/>
    <x v="1"/>
    <x v="0"/>
    <x v="4"/>
    <x v="14"/>
    <s v="NL2018"/>
    <m/>
    <n v="40"/>
    <n v="5000"/>
    <x v="67"/>
    <n v="50500000"/>
    <x v="2"/>
    <d v="2019-09-01T00:00:00"/>
    <x v="2"/>
    <x v="2"/>
    <s v="TẾT"/>
    <m/>
    <m/>
    <m/>
    <m/>
    <n v="0"/>
    <m/>
    <m/>
    <m/>
    <m/>
    <m/>
    <m/>
    <n v="0"/>
    <n v="5000"/>
    <n v="50500000"/>
    <m/>
  </r>
  <r>
    <x v="35"/>
    <d v="2019-02-23T00:00:00"/>
    <s v="KIỀU THY"/>
    <x v="18"/>
    <x v="18"/>
    <x v="71"/>
    <x v="2"/>
    <x v="0"/>
    <x v="4"/>
    <x v="14"/>
    <s v="NL2018"/>
    <m/>
    <n v="40"/>
    <n v="5000"/>
    <x v="2"/>
    <n v="46500000"/>
    <x v="2"/>
    <d v="2019-09-01T00:00:00"/>
    <x v="2"/>
    <x v="2"/>
    <s v="TẾT"/>
    <m/>
    <m/>
    <m/>
    <m/>
    <n v="0"/>
    <m/>
    <m/>
    <m/>
    <m/>
    <m/>
    <m/>
    <n v="0"/>
    <n v="5000"/>
    <n v="46500000"/>
    <m/>
  </r>
  <r>
    <x v="35"/>
    <d v="2019-02-23T00:00:00"/>
    <s v="KIỀU THY"/>
    <x v="18"/>
    <x v="18"/>
    <x v="38"/>
    <x v="6"/>
    <x v="0"/>
    <x v="4"/>
    <x v="14"/>
    <s v="NL2018"/>
    <m/>
    <n v="40"/>
    <n v="5000"/>
    <x v="47"/>
    <n v="65000000"/>
    <x v="2"/>
    <d v="2019-09-01T00:00:00"/>
    <x v="2"/>
    <x v="2"/>
    <s v="TẾT"/>
    <m/>
    <m/>
    <m/>
    <m/>
    <n v="0"/>
    <m/>
    <m/>
    <m/>
    <m/>
    <m/>
    <m/>
    <n v="0"/>
    <n v="5000"/>
    <n v="65000000"/>
    <m/>
  </r>
  <r>
    <x v="35"/>
    <d v="2019-02-23T00:00:00"/>
    <s v="KIỀU THY"/>
    <x v="18"/>
    <x v="18"/>
    <x v="39"/>
    <x v="22"/>
    <x v="0"/>
    <x v="7"/>
    <x v="8"/>
    <s v="NL2018"/>
    <m/>
    <n v="14"/>
    <n v="5600"/>
    <x v="36"/>
    <n v="15680000"/>
    <x v="0"/>
    <d v="2019-02-15T00:00:00"/>
    <x v="0"/>
    <x v="0"/>
    <s v="15/2AL"/>
    <s v="CONT 9/2019"/>
    <d v="2019-03-17T00:00:00"/>
    <m/>
    <d v="2019-03-19T00:00:00"/>
    <n v="5600"/>
    <m/>
    <m/>
    <m/>
    <m/>
    <m/>
    <m/>
    <n v="5600"/>
    <n v="0"/>
    <n v="0"/>
    <m/>
  </r>
  <r>
    <x v="35"/>
    <d v="2019-02-23T00:00:00"/>
    <s v="KIỀU THY"/>
    <x v="18"/>
    <x v="18"/>
    <x v="72"/>
    <x v="36"/>
    <x v="1"/>
    <x v="7"/>
    <x v="8"/>
    <s v="NL2018"/>
    <m/>
    <n v="1"/>
    <n v="400"/>
    <x v="9"/>
    <n v="3200000"/>
    <x v="0"/>
    <s v="30-Feb-19"/>
    <x v="29"/>
    <x v="29"/>
    <s v="30/2AL"/>
    <s v="CONT 17/2019"/>
    <d v="2019-03-31T00:00:00"/>
    <m/>
    <d v="2019-04-03T00:00:00"/>
    <n v="400"/>
    <m/>
    <m/>
    <m/>
    <m/>
    <m/>
    <m/>
    <n v="400"/>
    <n v="0"/>
    <n v="0"/>
    <m/>
  </r>
  <r>
    <x v="35"/>
    <d v="2019-02-23T00:00:00"/>
    <s v="KIỀU THY"/>
    <x v="18"/>
    <x v="18"/>
    <x v="64"/>
    <x v="32"/>
    <x v="0"/>
    <x v="8"/>
    <x v="11"/>
    <s v="NL2018"/>
    <m/>
    <n v="50"/>
    <n v="5000"/>
    <x v="15"/>
    <n v="76000000"/>
    <x v="2"/>
    <d v="2019-09-01T00:00:00"/>
    <x v="2"/>
    <x v="2"/>
    <s v="TẾT"/>
    <m/>
    <m/>
    <m/>
    <m/>
    <n v="0"/>
    <m/>
    <m/>
    <m/>
    <m/>
    <m/>
    <m/>
    <n v="0"/>
    <n v="5000"/>
    <n v="76000000"/>
    <m/>
  </r>
  <r>
    <x v="35"/>
    <d v="2019-02-23T00:00:00"/>
    <s v="KIỀU THY"/>
    <x v="18"/>
    <x v="18"/>
    <x v="24"/>
    <x v="7"/>
    <x v="0"/>
    <x v="4"/>
    <x v="14"/>
    <s v="NL2018"/>
    <m/>
    <n v="40"/>
    <n v="5000"/>
    <x v="26"/>
    <n v="54000000"/>
    <x v="2"/>
    <d v="2019-09-01T00:00:00"/>
    <x v="2"/>
    <x v="2"/>
    <s v="TẾT"/>
    <m/>
    <m/>
    <m/>
    <m/>
    <n v="0"/>
    <m/>
    <m/>
    <m/>
    <m/>
    <m/>
    <m/>
    <n v="0"/>
    <n v="5000"/>
    <n v="54000000"/>
    <m/>
  </r>
  <r>
    <x v="36"/>
    <d v="2019-01-01T00:00:00"/>
    <s v="KIỀU THY"/>
    <x v="19"/>
    <x v="19"/>
    <x v="0"/>
    <x v="0"/>
    <x v="0"/>
    <x v="7"/>
    <x v="8"/>
    <s v="NL2018"/>
    <m/>
    <n v="100"/>
    <n v="40000"/>
    <x v="0"/>
    <n v="104000000"/>
    <x v="0"/>
    <d v="2019-01-15T00:00:00"/>
    <x v="6"/>
    <x v="6"/>
    <s v="15/1AL"/>
    <m/>
    <m/>
    <m/>
    <d v="2019-02-19T00:00:00"/>
    <n v="40000"/>
    <m/>
    <m/>
    <m/>
    <m/>
    <m/>
    <m/>
    <n v="40000"/>
    <n v="0"/>
    <n v="0"/>
    <m/>
  </r>
  <r>
    <x v="36"/>
    <d v="2019-01-01T00:00:00"/>
    <s v="KIỀU THY"/>
    <x v="19"/>
    <x v="19"/>
    <x v="0"/>
    <x v="0"/>
    <x v="0"/>
    <x v="7"/>
    <x v="8"/>
    <s v="NL2018"/>
    <m/>
    <n v="40"/>
    <n v="16000"/>
    <x v="0"/>
    <n v="41600000"/>
    <x v="0"/>
    <d v="2019-03-15T00:00:00"/>
    <x v="5"/>
    <x v="5"/>
    <s v="15/3AL"/>
    <s v="CONT 24/2019"/>
    <d v="2019-04-14T00:00:00"/>
    <m/>
    <d v="2019-04-17T00:00:00"/>
    <n v="16000"/>
    <m/>
    <m/>
    <m/>
    <m/>
    <m/>
    <m/>
    <n v="16000"/>
    <n v="0"/>
    <n v="0"/>
    <m/>
  </r>
  <r>
    <x v="36"/>
    <d v="2019-01-01T00:00:00"/>
    <s v="KIỀU THY"/>
    <x v="19"/>
    <x v="19"/>
    <x v="73"/>
    <x v="0"/>
    <x v="3"/>
    <x v="3"/>
    <x v="5"/>
    <s v="NL2018"/>
    <m/>
    <n v="75"/>
    <n v="15000"/>
    <x v="10"/>
    <n v="82500000"/>
    <x v="0"/>
    <d v="2019-04-17T00:00:00"/>
    <x v="1"/>
    <x v="1"/>
    <s v="10/4AL"/>
    <m/>
    <m/>
    <m/>
    <d v="2019-05-19T00:00:00"/>
    <n v="15000"/>
    <m/>
    <m/>
    <m/>
    <m/>
    <m/>
    <m/>
    <n v="15000"/>
    <n v="0"/>
    <n v="0"/>
    <m/>
  </r>
  <r>
    <x v="36"/>
    <d v="2019-06-13T00:00:00"/>
    <s v="KIỀU THY"/>
    <x v="19"/>
    <x v="19"/>
    <x v="74"/>
    <x v="0"/>
    <x v="0"/>
    <x v="2"/>
    <x v="6"/>
    <s v="NL2018"/>
    <m/>
    <n v="30"/>
    <n v="9000"/>
    <x v="45"/>
    <n v="36000000"/>
    <x v="3"/>
    <d v="2019-06-15T00:00:00"/>
    <x v="4"/>
    <x v="4"/>
    <s v="20/6AL"/>
    <m/>
    <m/>
    <m/>
    <m/>
    <m/>
    <m/>
    <m/>
    <m/>
    <m/>
    <m/>
    <m/>
    <n v="0"/>
    <n v="9000"/>
    <n v="36000000"/>
    <m/>
  </r>
  <r>
    <x v="36"/>
    <d v="2019-06-13T00:00:00"/>
    <s v="KIỀU THY"/>
    <x v="19"/>
    <x v="19"/>
    <x v="73"/>
    <x v="0"/>
    <x v="3"/>
    <x v="3"/>
    <x v="5"/>
    <s v="NL2018"/>
    <m/>
    <n v="30"/>
    <n v="6000"/>
    <x v="50"/>
    <n v="36000000"/>
    <x v="3"/>
    <d v="2019-06-15T00:00:00"/>
    <x v="4"/>
    <x v="4"/>
    <s v="20/6AL"/>
    <m/>
    <m/>
    <m/>
    <m/>
    <m/>
    <m/>
    <m/>
    <m/>
    <m/>
    <m/>
    <m/>
    <n v="0"/>
    <n v="6000"/>
    <n v="36000000"/>
    <m/>
  </r>
  <r>
    <x v="36"/>
    <d v="2019-06-13T00:00:00"/>
    <s v="KIỀU THY"/>
    <x v="19"/>
    <x v="19"/>
    <x v="73"/>
    <x v="0"/>
    <x v="3"/>
    <x v="3"/>
    <x v="5"/>
    <s v="NL2018"/>
    <m/>
    <n v="30"/>
    <n v="6000"/>
    <x v="68"/>
    <n v="36540000"/>
    <x v="2"/>
    <d v="2019-07-01T00:00:00"/>
    <x v="30"/>
    <x v="30"/>
    <m/>
    <m/>
    <m/>
    <m/>
    <m/>
    <m/>
    <m/>
    <m/>
    <m/>
    <m/>
    <m/>
    <m/>
    <n v="0"/>
    <n v="6000"/>
    <n v="36540000"/>
    <m/>
  </r>
  <r>
    <x v="36"/>
    <d v="2019-06-13T00:00:00"/>
    <s v="KIỀU THY"/>
    <x v="19"/>
    <x v="19"/>
    <x v="74"/>
    <x v="0"/>
    <x v="0"/>
    <x v="2"/>
    <x v="6"/>
    <s v="NL2018"/>
    <m/>
    <n v="30"/>
    <n v="9000"/>
    <x v="45"/>
    <n v="36000000"/>
    <x v="2"/>
    <d v="2019-07-01T00:00:00"/>
    <x v="30"/>
    <x v="30"/>
    <m/>
    <m/>
    <m/>
    <m/>
    <m/>
    <m/>
    <m/>
    <m/>
    <m/>
    <m/>
    <m/>
    <m/>
    <n v="0"/>
    <n v="9000"/>
    <n v="36000000"/>
    <m/>
  </r>
  <r>
    <x v="37"/>
    <d v="2019-02-21T00:00:00"/>
    <s v="KIỀU THY"/>
    <x v="19"/>
    <x v="19"/>
    <x v="63"/>
    <x v="1"/>
    <x v="0"/>
    <x v="4"/>
    <x v="14"/>
    <s v="NL2018"/>
    <m/>
    <n v="64"/>
    <n v="8000"/>
    <x v="67"/>
    <n v="80800000"/>
    <x v="2"/>
    <d v="2019-09-01T00:00:00"/>
    <x v="2"/>
    <x v="2"/>
    <s v="TẾT"/>
    <m/>
    <m/>
    <m/>
    <m/>
    <m/>
    <m/>
    <m/>
    <m/>
    <m/>
    <m/>
    <m/>
    <n v="0"/>
    <n v="8000"/>
    <n v="80800000"/>
    <m/>
  </r>
  <r>
    <x v="36"/>
    <d v="2019-01-01T00:00:00"/>
    <s v="KIỀU THY"/>
    <x v="19"/>
    <x v="19"/>
    <x v="34"/>
    <x v="1"/>
    <x v="0"/>
    <x v="2"/>
    <x v="6"/>
    <s v="NL2018"/>
    <m/>
    <n v="20"/>
    <n v="6000"/>
    <x v="28"/>
    <n v="27600000"/>
    <x v="0"/>
    <d v="2019-01-15T00:00:00"/>
    <x v="6"/>
    <x v="6"/>
    <s v="15/1AL"/>
    <m/>
    <m/>
    <m/>
    <d v="2019-02-19T00:00:00"/>
    <n v="6000"/>
    <m/>
    <m/>
    <m/>
    <m/>
    <m/>
    <m/>
    <n v="6000"/>
    <n v="0"/>
    <n v="0"/>
    <m/>
  </r>
  <r>
    <x v="36"/>
    <d v="2019-01-01T00:00:00"/>
    <s v="KIỀU THY"/>
    <x v="19"/>
    <x v="19"/>
    <x v="10"/>
    <x v="1"/>
    <x v="0"/>
    <x v="3"/>
    <x v="5"/>
    <s v="NL2018"/>
    <m/>
    <n v="20"/>
    <n v="4000"/>
    <x v="10"/>
    <n v="22000000"/>
    <x v="0"/>
    <d v="2019-01-15T00:00:00"/>
    <x v="6"/>
    <x v="6"/>
    <s v="15/1AL"/>
    <m/>
    <m/>
    <m/>
    <d v="2019-02-19T00:00:00"/>
    <n v="4000"/>
    <m/>
    <m/>
    <m/>
    <m/>
    <m/>
    <m/>
    <n v="4000"/>
    <n v="0"/>
    <n v="0"/>
    <m/>
  </r>
  <r>
    <x v="36"/>
    <d v="2019-01-01T00:00:00"/>
    <s v="KIỀU THY"/>
    <x v="19"/>
    <x v="19"/>
    <x v="34"/>
    <x v="1"/>
    <x v="0"/>
    <x v="2"/>
    <x v="6"/>
    <s v="NL2018"/>
    <m/>
    <n v="20"/>
    <n v="6000"/>
    <x v="28"/>
    <n v="27600000"/>
    <x v="0"/>
    <d v="2019-03-15T00:00:00"/>
    <x v="5"/>
    <x v="5"/>
    <s v="15/3AL"/>
    <s v="CONT 24/2019"/>
    <d v="2019-04-14T00:00:00"/>
    <m/>
    <d v="2019-04-17T00:00:00"/>
    <n v="6000"/>
    <m/>
    <m/>
    <m/>
    <m/>
    <m/>
    <m/>
    <n v="6000"/>
    <n v="0"/>
    <n v="0"/>
    <m/>
  </r>
  <r>
    <x v="36"/>
    <d v="2019-01-01T00:00:00"/>
    <s v="KIỀU THY"/>
    <x v="19"/>
    <x v="19"/>
    <x v="10"/>
    <x v="1"/>
    <x v="0"/>
    <x v="3"/>
    <x v="5"/>
    <s v="NL2018"/>
    <m/>
    <n v="20"/>
    <n v="4000"/>
    <x v="10"/>
    <n v="22000000"/>
    <x v="0"/>
    <d v="2019-03-15T00:00:00"/>
    <x v="5"/>
    <x v="5"/>
    <s v="15/3AL"/>
    <s v="CONT 26/2019"/>
    <d v="2019-04-14T00:00:00"/>
    <m/>
    <d v="2019-04-17T00:00:00"/>
    <n v="4000"/>
    <m/>
    <m/>
    <m/>
    <m/>
    <m/>
    <m/>
    <n v="4000"/>
    <n v="0"/>
    <n v="0"/>
    <m/>
  </r>
  <r>
    <x v="36"/>
    <d v="2019-01-01T00:00:00"/>
    <s v="KIỀU THY"/>
    <x v="19"/>
    <x v="19"/>
    <x v="34"/>
    <x v="1"/>
    <x v="0"/>
    <x v="2"/>
    <x v="6"/>
    <s v="NL2018"/>
    <m/>
    <n v="20"/>
    <n v="6000"/>
    <x v="69"/>
    <n v="27900000"/>
    <x v="0"/>
    <d v="2019-04-17T00:00:00"/>
    <x v="1"/>
    <x v="1"/>
    <s v="10/4AL"/>
    <m/>
    <m/>
    <m/>
    <d v="2019-05-19T00:00:00"/>
    <n v="6000"/>
    <m/>
    <m/>
    <m/>
    <m/>
    <m/>
    <m/>
    <n v="6000"/>
    <n v="0"/>
    <n v="0"/>
    <m/>
  </r>
  <r>
    <x v="36"/>
    <d v="2019-06-13T00:00:00"/>
    <s v="KIỀU THY"/>
    <x v="19"/>
    <x v="19"/>
    <x v="34"/>
    <x v="1"/>
    <x v="0"/>
    <x v="2"/>
    <x v="6"/>
    <s v="NL2018"/>
    <m/>
    <n v="20"/>
    <n v="6000"/>
    <x v="8"/>
    <n v="30000000"/>
    <x v="3"/>
    <d v="2019-06-15T00:00:00"/>
    <x v="4"/>
    <x v="4"/>
    <s v="20/6AL"/>
    <m/>
    <m/>
    <m/>
    <m/>
    <m/>
    <m/>
    <m/>
    <m/>
    <m/>
    <m/>
    <m/>
    <n v="0"/>
    <n v="6000"/>
    <n v="30000000"/>
    <m/>
  </r>
  <r>
    <x v="36"/>
    <d v="2019-06-13T00:00:00"/>
    <s v="KIỀU THY"/>
    <x v="19"/>
    <x v="19"/>
    <x v="34"/>
    <x v="1"/>
    <x v="0"/>
    <x v="2"/>
    <x v="6"/>
    <s v="NL2018"/>
    <m/>
    <n v="30"/>
    <n v="9000"/>
    <x v="8"/>
    <n v="45000000"/>
    <x v="2"/>
    <d v="2019-07-01T00:00:00"/>
    <x v="30"/>
    <x v="30"/>
    <m/>
    <m/>
    <m/>
    <m/>
    <m/>
    <m/>
    <m/>
    <m/>
    <m/>
    <m/>
    <m/>
    <m/>
    <n v="0"/>
    <n v="9000"/>
    <n v="45000000"/>
    <m/>
  </r>
  <r>
    <x v="37"/>
    <d v="2019-02-21T00:00:00"/>
    <s v="KIỀU THY"/>
    <x v="19"/>
    <x v="19"/>
    <x v="71"/>
    <x v="2"/>
    <x v="0"/>
    <x v="4"/>
    <x v="14"/>
    <s v="NL2018"/>
    <m/>
    <n v="48"/>
    <n v="6000"/>
    <x v="2"/>
    <n v="55800000"/>
    <x v="2"/>
    <d v="2019-09-01T00:00:00"/>
    <x v="2"/>
    <x v="2"/>
    <s v="TẾT"/>
    <m/>
    <m/>
    <m/>
    <m/>
    <m/>
    <m/>
    <m/>
    <m/>
    <m/>
    <m/>
    <m/>
    <n v="0"/>
    <n v="6000"/>
    <n v="55800000"/>
    <m/>
  </r>
  <r>
    <x v="37"/>
    <d v="2019-04-18T00:00:00"/>
    <s v="KIỀU THY"/>
    <x v="19"/>
    <x v="19"/>
    <x v="4"/>
    <x v="3"/>
    <x v="0"/>
    <x v="4"/>
    <x v="14"/>
    <s v="NL2018"/>
    <m/>
    <n v="24"/>
    <n v="3000"/>
    <x v="33"/>
    <n v="32100000"/>
    <x v="2"/>
    <d v="2019-09-01T00:00:00"/>
    <x v="2"/>
    <x v="2"/>
    <s v="TẾT"/>
    <m/>
    <m/>
    <m/>
    <m/>
    <m/>
    <m/>
    <m/>
    <m/>
    <m/>
    <m/>
    <m/>
    <n v="0"/>
    <n v="3000"/>
    <n v="32100000"/>
    <m/>
  </r>
  <r>
    <x v="37"/>
    <d v="2019-02-21T00:00:00"/>
    <s v="KIỀU THY"/>
    <x v="19"/>
    <x v="19"/>
    <x v="38"/>
    <x v="6"/>
    <x v="0"/>
    <x v="4"/>
    <x v="14"/>
    <s v="NL2018"/>
    <m/>
    <n v="80"/>
    <n v="10000"/>
    <x v="47"/>
    <n v="130000000"/>
    <x v="2"/>
    <d v="2019-09-01T00:00:00"/>
    <x v="2"/>
    <x v="2"/>
    <s v="TẾT"/>
    <m/>
    <m/>
    <m/>
    <m/>
    <m/>
    <m/>
    <m/>
    <m/>
    <m/>
    <m/>
    <m/>
    <n v="0"/>
    <n v="10000"/>
    <n v="130000000"/>
    <m/>
  </r>
  <r>
    <x v="36"/>
    <d v="2019-01-01T00:00:00"/>
    <s v="KIỀU THY"/>
    <x v="19"/>
    <x v="19"/>
    <x v="11"/>
    <x v="6"/>
    <x v="0"/>
    <x v="3"/>
    <x v="5"/>
    <s v="NL2018"/>
    <m/>
    <n v="40"/>
    <n v="8000"/>
    <x v="31"/>
    <n v="53600000"/>
    <x v="0"/>
    <d v="2019-01-15T00:00:00"/>
    <x v="6"/>
    <x v="6"/>
    <s v="15/1AL"/>
    <m/>
    <m/>
    <m/>
    <d v="2019-02-19T00:00:00"/>
    <n v="8000"/>
    <m/>
    <m/>
    <m/>
    <m/>
    <m/>
    <m/>
    <n v="8000"/>
    <n v="0"/>
    <n v="0"/>
    <m/>
  </r>
  <r>
    <x v="36"/>
    <d v="2019-01-01T00:00:00"/>
    <s v="KIỀU THY"/>
    <x v="19"/>
    <x v="19"/>
    <x v="11"/>
    <x v="6"/>
    <x v="0"/>
    <x v="3"/>
    <x v="5"/>
    <s v="NL2018"/>
    <m/>
    <n v="30"/>
    <n v="6000"/>
    <x v="31"/>
    <n v="40200000"/>
    <x v="0"/>
    <d v="2019-03-15T00:00:00"/>
    <x v="5"/>
    <x v="5"/>
    <s v="15/3AL"/>
    <s v="CONT 23/2019"/>
    <d v="2019-04-14T00:00:00"/>
    <m/>
    <d v="2019-04-17T00:00:00"/>
    <n v="6000"/>
    <m/>
    <m/>
    <m/>
    <m/>
    <m/>
    <m/>
    <n v="6000"/>
    <n v="0"/>
    <n v="0"/>
    <m/>
  </r>
  <r>
    <x v="36"/>
    <d v="2019-01-01T00:00:00"/>
    <s v="KIỀU THY"/>
    <x v="19"/>
    <x v="19"/>
    <x v="11"/>
    <x v="6"/>
    <x v="0"/>
    <x v="3"/>
    <x v="5"/>
    <s v="NL2018"/>
    <m/>
    <n v="25"/>
    <n v="5000"/>
    <x v="60"/>
    <n v="34000000"/>
    <x v="0"/>
    <d v="2019-04-17T00:00:00"/>
    <x v="1"/>
    <x v="1"/>
    <s v="10/4AL"/>
    <m/>
    <m/>
    <m/>
    <d v="2019-05-19T00:00:00"/>
    <n v="5000"/>
    <m/>
    <m/>
    <m/>
    <m/>
    <m/>
    <m/>
    <n v="5000"/>
    <n v="0"/>
    <n v="0"/>
    <m/>
  </r>
  <r>
    <x v="36"/>
    <d v="2019-06-13T00:00:00"/>
    <s v="KIỀU THY"/>
    <x v="19"/>
    <x v="19"/>
    <x v="11"/>
    <x v="6"/>
    <x v="0"/>
    <x v="3"/>
    <x v="5"/>
    <s v="NL2018"/>
    <m/>
    <n v="40"/>
    <n v="8000"/>
    <x v="7"/>
    <n v="64800000"/>
    <x v="2"/>
    <d v="2019-07-01T00:00:00"/>
    <x v="30"/>
    <x v="30"/>
    <m/>
    <m/>
    <m/>
    <m/>
    <m/>
    <m/>
    <m/>
    <m/>
    <m/>
    <m/>
    <m/>
    <m/>
    <n v="0"/>
    <n v="8000"/>
    <n v="64800000"/>
    <m/>
  </r>
  <r>
    <x v="36"/>
    <d v="2019-02-11T00:00:00"/>
    <s v="KIỀU THY"/>
    <x v="19"/>
    <x v="19"/>
    <x v="39"/>
    <x v="22"/>
    <x v="0"/>
    <x v="7"/>
    <x v="8"/>
    <s v="NL2018"/>
    <m/>
    <n v="20"/>
    <n v="8000"/>
    <x v="36"/>
    <n v="22400000"/>
    <x v="0"/>
    <d v="2019-02-15T00:00:00"/>
    <x v="0"/>
    <x v="0"/>
    <s v="15/2AL"/>
    <s v="CONT 9/2019"/>
    <d v="2019-03-17T00:00:00"/>
    <m/>
    <d v="2019-03-19T00:00:00"/>
    <n v="8000"/>
    <m/>
    <m/>
    <m/>
    <m/>
    <m/>
    <m/>
    <n v="8000"/>
    <n v="0"/>
    <n v="0"/>
    <m/>
  </r>
  <r>
    <x v="36"/>
    <d v="2019-02-11T00:00:00"/>
    <s v="KIỀU THY"/>
    <x v="19"/>
    <x v="19"/>
    <x v="39"/>
    <x v="22"/>
    <x v="0"/>
    <x v="7"/>
    <x v="8"/>
    <s v="NL2018"/>
    <m/>
    <n v="0"/>
    <n v="0"/>
    <x v="36"/>
    <n v="0"/>
    <x v="1"/>
    <d v="2019-03-15T00:00:00"/>
    <x v="5"/>
    <x v="5"/>
    <s v="15/3AL"/>
    <s v="CONT 20/2019"/>
    <d v="2019-04-14T00:00:00"/>
    <m/>
    <m/>
    <n v="0"/>
    <m/>
    <m/>
    <m/>
    <m/>
    <m/>
    <m/>
    <n v="0"/>
    <n v="0"/>
    <n v="0"/>
    <s v="check lai co bi trung"/>
  </r>
  <r>
    <x v="36"/>
    <d v="2019-06-13T00:00:00"/>
    <s v="KIỀU THY"/>
    <x v="19"/>
    <x v="19"/>
    <x v="39"/>
    <x v="22"/>
    <x v="0"/>
    <x v="7"/>
    <x v="8"/>
    <s v="NL2018"/>
    <m/>
    <n v="10"/>
    <n v="4000"/>
    <x v="44"/>
    <n v="12000000"/>
    <x v="3"/>
    <d v="2019-06-15T00:00:00"/>
    <x v="4"/>
    <x v="4"/>
    <s v="20/6AL"/>
    <m/>
    <m/>
    <m/>
    <m/>
    <m/>
    <m/>
    <m/>
    <m/>
    <m/>
    <m/>
    <m/>
    <n v="0"/>
    <n v="4000"/>
    <n v="12000000"/>
    <m/>
  </r>
  <r>
    <x v="36"/>
    <d v="2019-02-21T00:00:00"/>
    <s v="KIỀU THY"/>
    <x v="19"/>
    <x v="19"/>
    <x v="42"/>
    <x v="23"/>
    <x v="0"/>
    <x v="7"/>
    <x v="8"/>
    <s v="NL2018"/>
    <m/>
    <n v="0"/>
    <n v="0"/>
    <x v="44"/>
    <n v="0"/>
    <x v="1"/>
    <d v="2019-03-13T00:00:00"/>
    <x v="33"/>
    <x v="33"/>
    <s v="15/3AL"/>
    <s v="CONT 20/2019"/>
    <d v="2019-04-14T00:00:00"/>
    <m/>
    <m/>
    <n v="0"/>
    <m/>
    <m/>
    <m/>
    <m/>
    <m/>
    <m/>
    <n v="0"/>
    <n v="0"/>
    <n v="0"/>
    <m/>
  </r>
  <r>
    <x v="37"/>
    <d v="2019-02-21T00:00:00"/>
    <s v="KIỀU THY"/>
    <x v="19"/>
    <x v="19"/>
    <x v="64"/>
    <x v="32"/>
    <x v="0"/>
    <x v="8"/>
    <x v="11"/>
    <s v="NL2018"/>
    <m/>
    <n v="70"/>
    <n v="7000"/>
    <x v="15"/>
    <n v="106400000"/>
    <x v="2"/>
    <d v="2019-09-01T00:00:00"/>
    <x v="2"/>
    <x v="2"/>
    <s v="TẾT"/>
    <m/>
    <m/>
    <m/>
    <m/>
    <m/>
    <m/>
    <m/>
    <m/>
    <m/>
    <m/>
    <m/>
    <n v="0"/>
    <n v="7000"/>
    <n v="106400000"/>
    <m/>
  </r>
  <r>
    <x v="37"/>
    <d v="2019-02-21T00:00:00"/>
    <s v="KIỀU THY"/>
    <x v="19"/>
    <x v="19"/>
    <x v="62"/>
    <x v="32"/>
    <x v="0"/>
    <x v="4"/>
    <x v="14"/>
    <s v="NL2018"/>
    <m/>
    <n v="32"/>
    <n v="4000"/>
    <x v="61"/>
    <n v="54000000"/>
    <x v="2"/>
    <d v="2019-09-01T00:00:00"/>
    <x v="2"/>
    <x v="2"/>
    <s v="TẾT"/>
    <m/>
    <m/>
    <m/>
    <m/>
    <m/>
    <m/>
    <m/>
    <m/>
    <m/>
    <m/>
    <m/>
    <n v="0"/>
    <n v="4000"/>
    <n v="54000000"/>
    <m/>
  </r>
  <r>
    <x v="36"/>
    <d v="2019-06-13T00:00:00"/>
    <s v="KIỀU THY"/>
    <x v="19"/>
    <x v="19"/>
    <x v="75"/>
    <x v="32"/>
    <x v="0"/>
    <x v="3"/>
    <x v="5"/>
    <s v="NL2018"/>
    <m/>
    <n v="30"/>
    <n v="6000"/>
    <x v="70"/>
    <n v="42600000"/>
    <x v="3"/>
    <d v="2019-06-15T00:00:00"/>
    <x v="4"/>
    <x v="4"/>
    <s v="20/6AL"/>
    <m/>
    <m/>
    <m/>
    <m/>
    <m/>
    <m/>
    <m/>
    <m/>
    <m/>
    <m/>
    <m/>
    <n v="0"/>
    <n v="6000"/>
    <n v="42600000"/>
    <m/>
  </r>
  <r>
    <x v="36"/>
    <d v="2019-06-13T00:00:00"/>
    <s v="KIỀU THY"/>
    <x v="19"/>
    <x v="19"/>
    <x v="75"/>
    <x v="32"/>
    <x v="0"/>
    <x v="3"/>
    <x v="5"/>
    <s v="NL2018"/>
    <m/>
    <n v="40"/>
    <n v="8000"/>
    <x v="55"/>
    <n v="57600000"/>
    <x v="2"/>
    <d v="2019-07-01T00:00:00"/>
    <x v="30"/>
    <x v="30"/>
    <m/>
    <m/>
    <m/>
    <m/>
    <m/>
    <m/>
    <m/>
    <m/>
    <m/>
    <m/>
    <m/>
    <m/>
    <n v="0"/>
    <n v="8000"/>
    <n v="57600000"/>
    <m/>
  </r>
  <r>
    <x v="36"/>
    <d v="2019-01-01T00:00:00"/>
    <s v="KIỀU THY"/>
    <x v="19"/>
    <x v="19"/>
    <x v="26"/>
    <x v="13"/>
    <x v="0"/>
    <x v="3"/>
    <x v="5"/>
    <s v="NL2018"/>
    <m/>
    <n v="20"/>
    <n v="4000"/>
    <x v="71"/>
    <n v="20800000"/>
    <x v="0"/>
    <d v="2019-04-17T00:00:00"/>
    <x v="1"/>
    <x v="1"/>
    <s v="10/4AL"/>
    <m/>
    <m/>
    <m/>
    <d v="2019-05-19T00:00:00"/>
    <n v="4000"/>
    <m/>
    <m/>
    <m/>
    <m/>
    <m/>
    <m/>
    <n v="4000"/>
    <n v="0"/>
    <n v="0"/>
    <m/>
  </r>
  <r>
    <x v="36"/>
    <d v="2019-06-13T00:00:00"/>
    <s v="KIỀU THY"/>
    <x v="19"/>
    <x v="19"/>
    <x v="69"/>
    <x v="13"/>
    <x v="0"/>
    <x v="2"/>
    <x v="6"/>
    <s v="NL2018"/>
    <m/>
    <n v="20"/>
    <n v="6000"/>
    <x v="14"/>
    <n v="27000000"/>
    <x v="3"/>
    <d v="2019-06-15T00:00:00"/>
    <x v="4"/>
    <x v="4"/>
    <s v="20/6AL"/>
    <m/>
    <m/>
    <m/>
    <m/>
    <m/>
    <m/>
    <m/>
    <m/>
    <m/>
    <m/>
    <m/>
    <n v="0"/>
    <n v="6000"/>
    <n v="27000000"/>
    <m/>
  </r>
  <r>
    <x v="37"/>
    <d v="2019-05-21T00:00:00"/>
    <s v="KIỀU THY"/>
    <x v="19"/>
    <x v="19"/>
    <x v="76"/>
    <x v="15"/>
    <x v="0"/>
    <x v="1"/>
    <x v="9"/>
    <s v="NL2018"/>
    <m/>
    <n v="20"/>
    <n v="3000"/>
    <x v="67"/>
    <n v="30300000"/>
    <x v="2"/>
    <d v="2019-09-01T00:00:00"/>
    <x v="2"/>
    <x v="2"/>
    <s v="TẾT"/>
    <m/>
    <m/>
    <m/>
    <m/>
    <m/>
    <m/>
    <m/>
    <m/>
    <m/>
    <m/>
    <m/>
    <n v="0"/>
    <n v="3000"/>
    <n v="30300000"/>
    <m/>
  </r>
  <r>
    <x v="36"/>
    <d v="2019-06-13T00:00:00"/>
    <s v="KIỀU THY"/>
    <x v="19"/>
    <x v="19"/>
    <x v="23"/>
    <x v="11"/>
    <x v="0"/>
    <x v="2"/>
    <x v="6"/>
    <s v="NL2018"/>
    <m/>
    <n v="20"/>
    <n v="6000"/>
    <x v="54"/>
    <n v="33600000"/>
    <x v="3"/>
    <d v="2019-06-15T00:00:00"/>
    <x v="4"/>
    <x v="4"/>
    <s v="20/6AL"/>
    <m/>
    <m/>
    <m/>
    <m/>
    <m/>
    <m/>
    <m/>
    <m/>
    <m/>
    <m/>
    <m/>
    <n v="0"/>
    <n v="6000"/>
    <n v="33600000"/>
    <m/>
  </r>
  <r>
    <x v="37"/>
    <d v="2019-02-21T00:00:00"/>
    <s v="KIỀU THY"/>
    <x v="19"/>
    <x v="19"/>
    <x v="7"/>
    <x v="4"/>
    <x v="0"/>
    <x v="4"/>
    <x v="14"/>
    <s v="NL2018"/>
    <m/>
    <n v="64"/>
    <n v="8000"/>
    <x v="5"/>
    <n v="84000000"/>
    <x v="2"/>
    <d v="2019-09-01T00:00:00"/>
    <x v="2"/>
    <x v="2"/>
    <s v="TẾT"/>
    <m/>
    <m/>
    <m/>
    <m/>
    <m/>
    <m/>
    <m/>
    <m/>
    <m/>
    <m/>
    <m/>
    <n v="0"/>
    <n v="8000"/>
    <n v="84000000"/>
    <m/>
  </r>
  <r>
    <x v="36"/>
    <d v="2019-01-01T00:00:00"/>
    <s v="KIỀU THY"/>
    <x v="19"/>
    <x v="19"/>
    <x v="6"/>
    <x v="4"/>
    <x v="0"/>
    <x v="3"/>
    <x v="5"/>
    <s v="NL2018"/>
    <m/>
    <n v="35"/>
    <n v="7000"/>
    <x v="8"/>
    <n v="35000000"/>
    <x v="0"/>
    <d v="2019-01-15T00:00:00"/>
    <x v="6"/>
    <x v="6"/>
    <s v="15/1AL"/>
    <m/>
    <m/>
    <m/>
    <d v="2019-02-19T00:00:00"/>
    <n v="7000"/>
    <m/>
    <m/>
    <m/>
    <m/>
    <m/>
    <m/>
    <n v="7000"/>
    <n v="0"/>
    <n v="0"/>
    <m/>
  </r>
  <r>
    <x v="36"/>
    <d v="2019-01-01T00:00:00"/>
    <s v="KIỀU THY"/>
    <x v="19"/>
    <x v="19"/>
    <x v="6"/>
    <x v="4"/>
    <x v="0"/>
    <x v="3"/>
    <x v="5"/>
    <s v="NL2018"/>
    <m/>
    <n v="35"/>
    <n v="7000"/>
    <x v="8"/>
    <n v="35000000"/>
    <x v="0"/>
    <d v="2019-03-15T00:00:00"/>
    <x v="5"/>
    <x v="5"/>
    <s v="15/3AL"/>
    <s v="CONT 22/2019"/>
    <d v="2019-04-14T00:00:00"/>
    <m/>
    <d v="2019-04-17T00:00:00"/>
    <n v="7000"/>
    <m/>
    <m/>
    <m/>
    <m/>
    <m/>
    <m/>
    <n v="7000"/>
    <n v="0"/>
    <n v="0"/>
    <m/>
  </r>
  <r>
    <x v="36"/>
    <d v="2019-01-01T00:00:00"/>
    <s v="KIỀU THY"/>
    <x v="19"/>
    <x v="19"/>
    <x v="6"/>
    <x v="4"/>
    <x v="0"/>
    <x v="3"/>
    <x v="5"/>
    <s v="NL2018"/>
    <m/>
    <n v="25"/>
    <n v="5000"/>
    <x v="50"/>
    <n v="30000000"/>
    <x v="0"/>
    <d v="2019-04-17T00:00:00"/>
    <x v="1"/>
    <x v="1"/>
    <s v="10/4AL"/>
    <m/>
    <m/>
    <m/>
    <d v="2019-05-19T00:00:00"/>
    <n v="5000"/>
    <m/>
    <m/>
    <m/>
    <m/>
    <m/>
    <m/>
    <n v="5000"/>
    <n v="0"/>
    <n v="0"/>
    <m/>
  </r>
  <r>
    <x v="37"/>
    <d v="2019-05-21T00:00:00"/>
    <s v="KIỀU THY"/>
    <x v="19"/>
    <x v="19"/>
    <x v="24"/>
    <x v="7"/>
    <x v="0"/>
    <x v="4"/>
    <x v="14"/>
    <s v="NL2018"/>
    <m/>
    <n v="24"/>
    <n v="3000"/>
    <x v="27"/>
    <n v="33000000"/>
    <x v="2"/>
    <d v="2019-09-01T00:00:00"/>
    <x v="2"/>
    <x v="2"/>
    <s v="TẾT"/>
    <m/>
    <m/>
    <m/>
    <m/>
    <m/>
    <m/>
    <m/>
    <m/>
    <m/>
    <m/>
    <m/>
    <n v="0"/>
    <n v="3000"/>
    <n v="33000000"/>
    <m/>
  </r>
  <r>
    <x v="36"/>
    <d v="2019-02-11T00:00:00"/>
    <s v="KIỀU THY"/>
    <x v="19"/>
    <x v="19"/>
    <x v="13"/>
    <x v="7"/>
    <x v="0"/>
    <x v="5"/>
    <x v="6"/>
    <s v="NL2018"/>
    <m/>
    <n v="0"/>
    <n v="0"/>
    <x v="72"/>
    <n v="0"/>
    <x v="1"/>
    <d v="2019-03-15T00:00:00"/>
    <x v="5"/>
    <x v="5"/>
    <s v="15/3AL"/>
    <s v="CONT 22/2019"/>
    <d v="2019-04-14T00:00:00"/>
    <m/>
    <m/>
    <n v="0"/>
    <m/>
    <m/>
    <m/>
    <m/>
    <m/>
    <m/>
    <n v="0"/>
    <n v="0"/>
    <n v="0"/>
    <m/>
  </r>
  <r>
    <x v="36"/>
    <d v="2019-02-11T00:00:00"/>
    <s v="KIỀU THY"/>
    <x v="19"/>
    <x v="19"/>
    <x v="77"/>
    <x v="7"/>
    <x v="0"/>
    <x v="3"/>
    <x v="5"/>
    <s v="NL2018"/>
    <m/>
    <n v="32"/>
    <n v="6400"/>
    <x v="73"/>
    <n v="40320000"/>
    <x v="0"/>
    <d v="2019-03-15T00:00:00"/>
    <x v="5"/>
    <x v="5"/>
    <m/>
    <s v="CONT 20/2019"/>
    <d v="2019-04-14T00:00:00"/>
    <m/>
    <d v="2019-04-23T00:00:00"/>
    <n v="6400"/>
    <m/>
    <m/>
    <m/>
    <m/>
    <m/>
    <m/>
    <n v="6400"/>
    <n v="0"/>
    <n v="0"/>
    <m/>
  </r>
  <r>
    <x v="36"/>
    <d v="2019-02-11T00:00:00"/>
    <s v="KIỀU THY"/>
    <x v="19"/>
    <x v="19"/>
    <x v="50"/>
    <x v="30"/>
    <x v="0"/>
    <x v="7"/>
    <x v="8"/>
    <s v="NL2018"/>
    <m/>
    <n v="20"/>
    <n v="8000"/>
    <x v="36"/>
    <n v="22400000"/>
    <x v="0"/>
    <d v="2019-02-15T00:00:00"/>
    <x v="0"/>
    <x v="0"/>
    <s v="15/2AL"/>
    <s v="CONT 9/2019"/>
    <d v="2019-03-17T00:00:00"/>
    <m/>
    <d v="2019-03-19T00:00:00"/>
    <n v="8000"/>
    <m/>
    <m/>
    <m/>
    <m/>
    <m/>
    <m/>
    <n v="8000"/>
    <n v="0"/>
    <n v="0"/>
    <m/>
  </r>
  <r>
    <x v="36"/>
    <d v="2019-02-11T00:00:00"/>
    <s v="KIỀU THY"/>
    <x v="19"/>
    <x v="19"/>
    <x v="50"/>
    <x v="30"/>
    <x v="0"/>
    <x v="7"/>
    <x v="8"/>
    <s v="NL2018"/>
    <m/>
    <n v="0"/>
    <n v="0"/>
    <x v="36"/>
    <n v="0"/>
    <x v="1"/>
    <d v="2019-03-15T00:00:00"/>
    <x v="5"/>
    <x v="5"/>
    <s v="15/3AL"/>
    <s v="CONT 20/2019"/>
    <d v="2019-04-14T00:00:00"/>
    <m/>
    <m/>
    <n v="0"/>
    <m/>
    <m/>
    <m/>
    <m/>
    <m/>
    <m/>
    <n v="0"/>
    <n v="0"/>
    <n v="0"/>
    <s v="check lai don cua chu Tra co bi trung ko, nhập ve chi 3600"/>
  </r>
  <r>
    <x v="38"/>
    <d v="2019-02-21T00:00:00"/>
    <s v="KIỀU THY"/>
    <x v="19"/>
    <x v="20"/>
    <x v="71"/>
    <x v="2"/>
    <x v="0"/>
    <x v="4"/>
    <x v="14"/>
    <s v="NL2018"/>
    <m/>
    <n v="16"/>
    <n v="2000"/>
    <x v="2"/>
    <n v="18600000"/>
    <x v="2"/>
    <d v="2019-09-01T00:00:00"/>
    <x v="2"/>
    <x v="2"/>
    <s v="TẾT"/>
    <m/>
    <m/>
    <m/>
    <m/>
    <m/>
    <m/>
    <m/>
    <m/>
    <m/>
    <m/>
    <m/>
    <n v="0"/>
    <n v="2000"/>
    <n v="18600000"/>
    <m/>
  </r>
  <r>
    <x v="38"/>
    <d v="2019-04-24T00:00:00"/>
    <s v="KIỀU THY"/>
    <x v="19"/>
    <x v="20"/>
    <x v="71"/>
    <x v="2"/>
    <x v="0"/>
    <x v="4"/>
    <x v="14"/>
    <s v="NL2018"/>
    <m/>
    <n v="8"/>
    <n v="1000"/>
    <x v="74"/>
    <n v="9600000"/>
    <x v="2"/>
    <d v="2019-09-01T00:00:00"/>
    <x v="2"/>
    <x v="2"/>
    <s v="TẾT"/>
    <m/>
    <m/>
    <m/>
    <m/>
    <m/>
    <m/>
    <m/>
    <m/>
    <m/>
    <m/>
    <m/>
    <n v="0"/>
    <n v="1000"/>
    <n v="9600000"/>
    <m/>
  </r>
  <r>
    <x v="38"/>
    <d v="2019-02-21T00:00:00"/>
    <s v="KIỀU THY"/>
    <x v="19"/>
    <x v="20"/>
    <x v="4"/>
    <x v="3"/>
    <x v="0"/>
    <x v="4"/>
    <x v="14"/>
    <s v="NL2018"/>
    <m/>
    <n v="24"/>
    <n v="3000"/>
    <x v="33"/>
    <n v="32100000"/>
    <x v="2"/>
    <d v="2019-09-01T00:00:00"/>
    <x v="2"/>
    <x v="2"/>
    <s v="TẾT"/>
    <m/>
    <m/>
    <m/>
    <m/>
    <m/>
    <m/>
    <m/>
    <m/>
    <m/>
    <m/>
    <m/>
    <n v="0"/>
    <n v="3000"/>
    <n v="32100000"/>
    <m/>
  </r>
  <r>
    <x v="38"/>
    <d v="2019-02-21T00:00:00"/>
    <s v="KIỀU THY"/>
    <x v="19"/>
    <x v="20"/>
    <x v="38"/>
    <x v="6"/>
    <x v="0"/>
    <x v="4"/>
    <x v="14"/>
    <s v="NL2018"/>
    <m/>
    <n v="56"/>
    <n v="7000"/>
    <x v="47"/>
    <n v="91000000"/>
    <x v="2"/>
    <d v="2019-09-01T00:00:00"/>
    <x v="2"/>
    <x v="2"/>
    <s v="TẾT"/>
    <m/>
    <m/>
    <m/>
    <m/>
    <m/>
    <m/>
    <m/>
    <m/>
    <m/>
    <m/>
    <m/>
    <n v="0"/>
    <n v="7000"/>
    <n v="91000000"/>
    <m/>
  </r>
  <r>
    <x v="38"/>
    <d v="2019-02-21T00:00:00"/>
    <s v="KIỀU THY"/>
    <x v="19"/>
    <x v="20"/>
    <x v="62"/>
    <x v="32"/>
    <x v="0"/>
    <x v="4"/>
    <x v="14"/>
    <s v="NL2018"/>
    <m/>
    <n v="24"/>
    <n v="3000"/>
    <x v="61"/>
    <n v="40500000"/>
    <x v="2"/>
    <d v="2019-09-01T00:00:00"/>
    <x v="2"/>
    <x v="2"/>
    <s v="TẾT"/>
    <m/>
    <m/>
    <m/>
    <m/>
    <m/>
    <m/>
    <m/>
    <m/>
    <m/>
    <m/>
    <m/>
    <n v="0"/>
    <n v="3000"/>
    <n v="40500000"/>
    <m/>
  </r>
  <r>
    <x v="38"/>
    <d v="2019-02-21T00:00:00"/>
    <s v="KIỀU THY"/>
    <x v="19"/>
    <x v="20"/>
    <x v="7"/>
    <x v="4"/>
    <x v="0"/>
    <x v="4"/>
    <x v="14"/>
    <s v="NL2018"/>
    <m/>
    <n v="32"/>
    <n v="4000"/>
    <x v="34"/>
    <n v="42400000"/>
    <x v="2"/>
    <d v="2019-09-01T00:00:00"/>
    <x v="2"/>
    <x v="2"/>
    <s v="TẾT"/>
    <m/>
    <m/>
    <m/>
    <m/>
    <m/>
    <m/>
    <m/>
    <m/>
    <m/>
    <m/>
    <m/>
    <n v="0"/>
    <n v="4000"/>
    <n v="42400000"/>
    <m/>
  </r>
  <r>
    <x v="39"/>
    <d v="2019-02-21T00:00:00"/>
    <s v="KIỀU THY"/>
    <x v="19"/>
    <x v="21"/>
    <x v="63"/>
    <x v="1"/>
    <x v="0"/>
    <x v="4"/>
    <x v="14"/>
    <s v="NL2018"/>
    <m/>
    <n v="28"/>
    <n v="3500"/>
    <x v="67"/>
    <n v="35350000"/>
    <x v="2"/>
    <d v="2019-09-01T00:00:00"/>
    <x v="2"/>
    <x v="2"/>
    <s v="TẾT"/>
    <m/>
    <m/>
    <m/>
    <m/>
    <m/>
    <m/>
    <m/>
    <m/>
    <m/>
    <m/>
    <m/>
    <n v="0"/>
    <n v="3500"/>
    <n v="35350000"/>
    <m/>
  </r>
  <r>
    <x v="39"/>
    <d v="2019-02-21T00:00:00"/>
    <s v="KIỀU THY"/>
    <x v="19"/>
    <x v="21"/>
    <x v="71"/>
    <x v="2"/>
    <x v="0"/>
    <x v="4"/>
    <x v="14"/>
    <s v="NL2018"/>
    <m/>
    <n v="46"/>
    <n v="5750"/>
    <x v="2"/>
    <n v="53475000"/>
    <x v="2"/>
    <d v="2019-09-01T00:00:00"/>
    <x v="2"/>
    <x v="2"/>
    <s v="TẾT"/>
    <m/>
    <m/>
    <m/>
    <m/>
    <m/>
    <m/>
    <m/>
    <m/>
    <m/>
    <m/>
    <m/>
    <n v="0"/>
    <n v="5750"/>
    <n v="53475000"/>
    <m/>
  </r>
  <r>
    <x v="39"/>
    <d v="2019-04-24T00:00:00"/>
    <s v="KIỀU THY"/>
    <x v="19"/>
    <x v="21"/>
    <x v="71"/>
    <x v="2"/>
    <x v="0"/>
    <x v="4"/>
    <x v="14"/>
    <s v="NL2018"/>
    <m/>
    <n v="50"/>
    <n v="6250"/>
    <x v="74"/>
    <n v="60000000"/>
    <x v="2"/>
    <d v="2019-09-01T00:00:00"/>
    <x v="2"/>
    <x v="2"/>
    <s v="TẾT"/>
    <m/>
    <m/>
    <m/>
    <m/>
    <m/>
    <m/>
    <m/>
    <m/>
    <m/>
    <m/>
    <m/>
    <n v="0"/>
    <n v="6250"/>
    <n v="60000000"/>
    <m/>
  </r>
  <r>
    <x v="39"/>
    <d v="2019-02-21T00:00:00"/>
    <s v="KIỀU THY"/>
    <x v="19"/>
    <x v="21"/>
    <x v="38"/>
    <x v="6"/>
    <x v="0"/>
    <x v="4"/>
    <x v="14"/>
    <s v="NL2018"/>
    <m/>
    <n v="84"/>
    <n v="10500"/>
    <x v="47"/>
    <n v="136500000"/>
    <x v="2"/>
    <d v="2019-09-01T00:00:00"/>
    <x v="2"/>
    <x v="2"/>
    <s v="TẾT"/>
    <m/>
    <m/>
    <m/>
    <m/>
    <m/>
    <m/>
    <m/>
    <m/>
    <m/>
    <m/>
    <m/>
    <n v="0"/>
    <n v="10500"/>
    <n v="136500000"/>
    <m/>
  </r>
  <r>
    <x v="39"/>
    <d v="2019-02-21T00:00:00"/>
    <s v="KIỀU THY"/>
    <x v="19"/>
    <x v="21"/>
    <x v="7"/>
    <x v="4"/>
    <x v="0"/>
    <x v="4"/>
    <x v="14"/>
    <s v="NL2018"/>
    <m/>
    <n v="6"/>
    <n v="750"/>
    <x v="5"/>
    <n v="7875000"/>
    <x v="2"/>
    <d v="2019-09-01T00:00:00"/>
    <x v="2"/>
    <x v="2"/>
    <s v="TẾT"/>
    <m/>
    <m/>
    <m/>
    <m/>
    <m/>
    <m/>
    <m/>
    <m/>
    <m/>
    <m/>
    <m/>
    <n v="0"/>
    <n v="750"/>
    <n v="7875000"/>
    <m/>
  </r>
  <r>
    <x v="39"/>
    <d v="2019-02-21T00:00:00"/>
    <s v="KIỀU THY"/>
    <x v="19"/>
    <x v="21"/>
    <x v="7"/>
    <x v="4"/>
    <x v="0"/>
    <x v="4"/>
    <x v="14"/>
    <s v="NL2018"/>
    <m/>
    <n v="10"/>
    <n v="1250"/>
    <x v="34"/>
    <n v="13250000"/>
    <x v="2"/>
    <d v="2019-09-01T00:00:00"/>
    <x v="2"/>
    <x v="2"/>
    <s v="TẾT"/>
    <m/>
    <m/>
    <m/>
    <m/>
    <m/>
    <m/>
    <m/>
    <m/>
    <m/>
    <m/>
    <m/>
    <n v="0"/>
    <n v="1250"/>
    <n v="13250000"/>
    <m/>
  </r>
  <r>
    <x v="40"/>
    <d v="2019-02-03T00:00:00"/>
    <s v="KIỀU THY"/>
    <x v="20"/>
    <x v="22"/>
    <x v="54"/>
    <x v="0"/>
    <x v="0"/>
    <x v="3"/>
    <x v="5"/>
    <s v="NL2018"/>
    <m/>
    <n v="25"/>
    <n v="5000"/>
    <x v="10"/>
    <n v="27500000"/>
    <x v="2"/>
    <d v="2019-09-01T00:00:00"/>
    <x v="2"/>
    <x v="2"/>
    <s v="TẾT"/>
    <m/>
    <m/>
    <m/>
    <m/>
    <n v="0"/>
    <m/>
    <m/>
    <m/>
    <m/>
    <m/>
    <m/>
    <n v="0"/>
    <n v="5000"/>
    <n v="27500000"/>
    <m/>
  </r>
  <r>
    <x v="40"/>
    <d v="2019-02-03T00:00:00"/>
    <s v="KIỀU THY"/>
    <x v="20"/>
    <x v="22"/>
    <x v="5"/>
    <x v="3"/>
    <x v="0"/>
    <x v="1"/>
    <x v="9"/>
    <s v="NL2018"/>
    <m/>
    <n v="0"/>
    <n v="0"/>
    <x v="55"/>
    <n v="0"/>
    <x v="1"/>
    <d v="2019-09-01T00:00:00"/>
    <x v="2"/>
    <x v="2"/>
    <s v="TẾT"/>
    <m/>
    <m/>
    <m/>
    <m/>
    <n v="0"/>
    <m/>
    <m/>
    <m/>
    <m/>
    <m/>
    <m/>
    <n v="0"/>
    <n v="0"/>
    <n v="0"/>
    <m/>
  </r>
  <r>
    <x v="40"/>
    <d v="2019-02-03T00:00:00"/>
    <s v="KIỀU THY"/>
    <x v="20"/>
    <x v="22"/>
    <x v="22"/>
    <x v="3"/>
    <x v="0"/>
    <x v="8"/>
    <x v="11"/>
    <s v="NL2018"/>
    <m/>
    <n v="0"/>
    <n v="0"/>
    <x v="25"/>
    <n v="0"/>
    <x v="1"/>
    <d v="2019-09-01T00:00:00"/>
    <x v="2"/>
    <x v="2"/>
    <s v="TẾT"/>
    <m/>
    <m/>
    <m/>
    <m/>
    <n v="0"/>
    <m/>
    <m/>
    <m/>
    <m/>
    <m/>
    <m/>
    <n v="0"/>
    <n v="0"/>
    <n v="0"/>
    <m/>
  </r>
  <r>
    <x v="41"/>
    <d v="2019-02-03T00:00:00"/>
    <s v="KIỀU THY"/>
    <x v="20"/>
    <x v="22"/>
    <x v="3"/>
    <x v="3"/>
    <x v="0"/>
    <x v="3"/>
    <x v="5"/>
    <s v="NL2018"/>
    <m/>
    <n v="0"/>
    <n v="0"/>
    <x v="8"/>
    <n v="0"/>
    <x v="1"/>
    <d v="2019-03-15T00:00:00"/>
    <x v="5"/>
    <x v="5"/>
    <s v="15/3AL"/>
    <s v="CONT 26/2019"/>
    <d v="2019-04-14T00:00:00"/>
    <s v="R"/>
    <m/>
    <n v="0"/>
    <m/>
    <m/>
    <m/>
    <m/>
    <m/>
    <m/>
    <n v="0"/>
    <n v="0"/>
    <n v="0"/>
    <s v="check lai gia"/>
  </r>
  <r>
    <x v="41"/>
    <d v="2019-02-03T00:00:00"/>
    <s v="KIỀU THY"/>
    <x v="20"/>
    <x v="22"/>
    <x v="5"/>
    <x v="3"/>
    <x v="0"/>
    <x v="1"/>
    <x v="9"/>
    <s v="NL2018"/>
    <m/>
    <n v="100"/>
    <n v="15000"/>
    <x v="73"/>
    <n v="94500000"/>
    <x v="0"/>
    <d v="2019-03-15T00:00:00"/>
    <x v="5"/>
    <x v="5"/>
    <s v="15/3AL"/>
    <s v="CONT 25/2019"/>
    <d v="2019-04-14T00:00:00"/>
    <s v="R"/>
    <d v="2019-05-15T00:00:00"/>
    <n v="15000"/>
    <m/>
    <m/>
    <m/>
    <m/>
    <m/>
    <m/>
    <n v="15000"/>
    <n v="0"/>
    <n v="0"/>
    <m/>
  </r>
  <r>
    <x v="41"/>
    <d v="2019-02-03T00:00:00"/>
    <s v="KIỀU THY"/>
    <x v="20"/>
    <x v="22"/>
    <x v="3"/>
    <x v="3"/>
    <x v="0"/>
    <x v="3"/>
    <x v="5"/>
    <s v="NL2018"/>
    <m/>
    <n v="0"/>
    <n v="0"/>
    <x v="75"/>
    <n v="0"/>
    <x v="1"/>
    <d v="2019-06-15T00:00:00"/>
    <x v="4"/>
    <x v="4"/>
    <s v="15/3AL"/>
    <m/>
    <m/>
    <m/>
    <m/>
    <m/>
    <m/>
    <m/>
    <m/>
    <m/>
    <m/>
    <m/>
    <n v="0"/>
    <n v="0"/>
    <n v="0"/>
    <m/>
  </r>
  <r>
    <x v="41"/>
    <d v="2019-02-03T00:00:00"/>
    <s v="KIỀU THY"/>
    <x v="20"/>
    <x v="22"/>
    <x v="3"/>
    <x v="3"/>
    <x v="0"/>
    <x v="3"/>
    <x v="5"/>
    <s v="NL2018"/>
    <m/>
    <n v="0"/>
    <n v="0"/>
    <x v="76"/>
    <n v="0"/>
    <x v="1"/>
    <d v="2019-05-18T00:00:00"/>
    <x v="3"/>
    <x v="3"/>
    <m/>
    <m/>
    <m/>
    <m/>
    <m/>
    <m/>
    <m/>
    <m/>
    <m/>
    <m/>
    <m/>
    <m/>
    <n v="0"/>
    <n v="0"/>
    <n v="0"/>
    <m/>
  </r>
  <r>
    <x v="41"/>
    <d v="2019-02-03T00:00:00"/>
    <s v="KIỀU THY"/>
    <x v="20"/>
    <x v="22"/>
    <x v="3"/>
    <x v="3"/>
    <x v="0"/>
    <x v="3"/>
    <x v="5"/>
    <s v="NL2018"/>
    <m/>
    <n v="0"/>
    <n v="0"/>
    <x v="42"/>
    <n v="0"/>
    <x v="1"/>
    <s v="30-Feb-19"/>
    <x v="29"/>
    <x v="29"/>
    <s v="30/2AL"/>
    <s v="CONT 15/2019"/>
    <d v="2019-03-31T00:00:00"/>
    <s v="R"/>
    <m/>
    <n v="0"/>
    <m/>
    <m/>
    <m/>
    <m/>
    <m/>
    <m/>
    <n v="0"/>
    <n v="0"/>
    <n v="0"/>
    <m/>
  </r>
  <r>
    <x v="40"/>
    <d v="2019-02-03T00:00:00"/>
    <s v="KIỀU THY"/>
    <x v="20"/>
    <x v="22"/>
    <x v="38"/>
    <x v="6"/>
    <x v="0"/>
    <x v="4"/>
    <x v="14"/>
    <s v="NL2018"/>
    <m/>
    <n v="40"/>
    <n v="5000"/>
    <x v="47"/>
    <n v="65000000"/>
    <x v="2"/>
    <d v="2019-09-01T00:00:00"/>
    <x v="2"/>
    <x v="2"/>
    <s v="TẾT"/>
    <m/>
    <m/>
    <m/>
    <m/>
    <n v="0"/>
    <m/>
    <m/>
    <m/>
    <m/>
    <m/>
    <m/>
    <n v="0"/>
    <n v="5000"/>
    <n v="65000000"/>
    <m/>
  </r>
  <r>
    <x v="41"/>
    <d v="2019-02-03T00:00:00"/>
    <s v="KIỀU THY"/>
    <x v="20"/>
    <x v="22"/>
    <x v="12"/>
    <x v="6"/>
    <x v="0"/>
    <x v="2"/>
    <x v="6"/>
    <s v="NL2018"/>
    <m/>
    <n v="34"/>
    <n v="10200"/>
    <x v="71"/>
    <n v="53040000"/>
    <x v="0"/>
    <d v="2019-02-15T00:00:00"/>
    <x v="0"/>
    <x v="0"/>
    <s v="15/2AL"/>
    <s v="CONT 12/2019"/>
    <d v="2019-03-17T00:00:00"/>
    <s v="R"/>
    <d v="2019-03-19T00:00:00"/>
    <n v="10200"/>
    <m/>
    <m/>
    <m/>
    <m/>
    <m/>
    <m/>
    <n v="10200"/>
    <n v="0"/>
    <n v="0"/>
    <m/>
  </r>
  <r>
    <x v="41"/>
    <d v="2019-02-03T00:00:00"/>
    <s v="KIỀU THY"/>
    <x v="20"/>
    <x v="22"/>
    <x v="11"/>
    <x v="6"/>
    <x v="0"/>
    <x v="3"/>
    <x v="5"/>
    <s v="NL2018"/>
    <m/>
    <n v="100"/>
    <n v="20000"/>
    <x v="31"/>
    <n v="134000000"/>
    <x v="0"/>
    <d v="2019-02-15T00:00:00"/>
    <x v="0"/>
    <x v="0"/>
    <s v="15/2AL"/>
    <s v="CONT 12/2019"/>
    <d v="2019-03-17T00:00:00"/>
    <s v="R"/>
    <d v="2019-04-03T00:00:00"/>
    <n v="5000"/>
    <d v="2019-04-15T00:00:00"/>
    <n v="5000"/>
    <d v="2019-04-26T00:00:00"/>
    <n v="10000"/>
    <m/>
    <m/>
    <n v="20000"/>
    <n v="0"/>
    <n v="0"/>
    <m/>
  </r>
  <r>
    <x v="41"/>
    <d v="2019-02-03T00:00:00"/>
    <s v="KIỀU THY"/>
    <x v="20"/>
    <x v="22"/>
    <x v="78"/>
    <x v="6"/>
    <x v="0"/>
    <x v="2"/>
    <x v="15"/>
    <s v="NL2018"/>
    <m/>
    <n v="15"/>
    <n v="4125"/>
    <x v="8"/>
    <n v="20625000"/>
    <x v="4"/>
    <d v="2019-04-17T00:00:00"/>
    <x v="1"/>
    <x v="1"/>
    <s v="30/3AL"/>
    <m/>
    <m/>
    <m/>
    <m/>
    <m/>
    <m/>
    <m/>
    <m/>
    <m/>
    <m/>
    <m/>
    <n v="0"/>
    <n v="4125"/>
    <n v="20625000"/>
    <m/>
  </r>
  <r>
    <x v="41"/>
    <d v="2019-02-03T00:00:00"/>
    <s v="KIỀU THY"/>
    <x v="20"/>
    <x v="22"/>
    <x v="12"/>
    <x v="6"/>
    <x v="0"/>
    <x v="2"/>
    <x v="6"/>
    <s v="NL2018"/>
    <m/>
    <n v="20"/>
    <n v="6000"/>
    <x v="8"/>
    <n v="30000000"/>
    <x v="0"/>
    <d v="2019-04-17T00:00:00"/>
    <x v="1"/>
    <x v="1"/>
    <m/>
    <m/>
    <m/>
    <m/>
    <d v="2019-06-17T00:00:00"/>
    <n v="6000"/>
    <m/>
    <m/>
    <m/>
    <m/>
    <m/>
    <m/>
    <n v="6000"/>
    <n v="0"/>
    <n v="0"/>
    <m/>
  </r>
  <r>
    <x v="41"/>
    <d v="2019-02-03T00:00:00"/>
    <s v="KIỀU THY"/>
    <x v="20"/>
    <x v="22"/>
    <x v="11"/>
    <x v="6"/>
    <x v="0"/>
    <x v="3"/>
    <x v="5"/>
    <s v="NL2018"/>
    <m/>
    <n v="0"/>
    <n v="0"/>
    <x v="31"/>
    <n v="0"/>
    <x v="1"/>
    <d v="2019-05-05T00:00:00"/>
    <x v="27"/>
    <x v="27"/>
    <s v="15/3AL"/>
    <s v="CONT 23/2019"/>
    <d v="2019-04-14T00:00:00"/>
    <s v="R"/>
    <m/>
    <n v="0"/>
    <m/>
    <m/>
    <m/>
    <m/>
    <m/>
    <m/>
    <n v="0"/>
    <n v="0"/>
    <n v="0"/>
    <m/>
  </r>
  <r>
    <x v="41"/>
    <d v="2019-05-25T00:00:00"/>
    <s v="KIỀU THY"/>
    <x v="20"/>
    <x v="22"/>
    <x v="79"/>
    <x v="32"/>
    <x v="0"/>
    <x v="2"/>
    <x v="6"/>
    <s v="NL2018"/>
    <m/>
    <n v="17"/>
    <n v="5100"/>
    <x v="77"/>
    <n v="19380000"/>
    <x v="0"/>
    <d v="2019-05-05T00:00:00"/>
    <x v="27"/>
    <x v="27"/>
    <m/>
    <m/>
    <m/>
    <m/>
    <d v="2019-06-17T00:00:00"/>
    <n v="5100"/>
    <m/>
    <m/>
    <m/>
    <m/>
    <m/>
    <m/>
    <n v="5100"/>
    <n v="0"/>
    <n v="0"/>
    <m/>
  </r>
  <r>
    <x v="40"/>
    <d v="2019-06-19T00:00:00"/>
    <s v="KIỀU THY"/>
    <x v="20"/>
    <x v="22"/>
    <x v="76"/>
    <x v="15"/>
    <x v="0"/>
    <x v="1"/>
    <x v="9"/>
    <s v="NL2018"/>
    <m/>
    <n v="67"/>
    <n v="10050"/>
    <x v="78"/>
    <n v="100500000"/>
    <x v="2"/>
    <d v="2019-09-01T00:00:00"/>
    <x v="2"/>
    <x v="2"/>
    <s v="TẾT"/>
    <m/>
    <m/>
    <m/>
    <m/>
    <m/>
    <m/>
    <m/>
    <m/>
    <m/>
    <m/>
    <m/>
    <n v="0"/>
    <n v="10050"/>
    <n v="100500000"/>
    <m/>
  </r>
  <r>
    <x v="41"/>
    <d v="2019-02-03T00:00:00"/>
    <s v="KIỀU THY"/>
    <x v="20"/>
    <x v="22"/>
    <x v="80"/>
    <x v="15"/>
    <x v="0"/>
    <x v="2"/>
    <x v="6"/>
    <s v="NL2018"/>
    <m/>
    <n v="39"/>
    <n v="11700"/>
    <x v="12"/>
    <n v="54990000"/>
    <x v="0"/>
    <s v="30-Feb-19"/>
    <x v="29"/>
    <x v="29"/>
    <s v="30/2AL"/>
    <s v="CONT 14/2019"/>
    <d v="2019-03-31T00:00:00"/>
    <s v="R"/>
    <d v="2019-04-15T00:00:00"/>
    <n v="5100"/>
    <d v="2019-05-06T00:00:00"/>
    <n v="6600"/>
    <m/>
    <m/>
    <m/>
    <m/>
    <n v="11700"/>
    <n v="0"/>
    <n v="0"/>
    <m/>
  </r>
  <r>
    <x v="41"/>
    <d v="2019-02-03T00:00:00"/>
    <s v="KIỀU THY"/>
    <x v="20"/>
    <x v="22"/>
    <x v="23"/>
    <x v="11"/>
    <x v="0"/>
    <x v="2"/>
    <x v="6"/>
    <s v="NL2018"/>
    <m/>
    <n v="21"/>
    <n v="6300"/>
    <x v="79"/>
    <n v="34101900"/>
    <x v="0"/>
    <d v="2019-03-30T00:00:00"/>
    <x v="34"/>
    <x v="34"/>
    <s v="15/3AL"/>
    <m/>
    <m/>
    <m/>
    <d v="2019-05-27T00:00:00"/>
    <n v="5100"/>
    <d v="2019-06-17T00:00:00"/>
    <n v="1200"/>
    <m/>
    <m/>
    <m/>
    <m/>
    <n v="6300"/>
    <n v="0"/>
    <n v="0"/>
    <m/>
  </r>
  <r>
    <x v="41"/>
    <d v="2019-02-03T00:00:00"/>
    <s v="KIỀU THY"/>
    <x v="20"/>
    <x v="22"/>
    <x v="23"/>
    <x v="11"/>
    <x v="0"/>
    <x v="2"/>
    <x v="6"/>
    <s v="NL2018"/>
    <m/>
    <n v="13"/>
    <n v="3900"/>
    <x v="79"/>
    <n v="21110700"/>
    <x v="0"/>
    <d v="2019-04-17T00:00:00"/>
    <x v="1"/>
    <x v="1"/>
    <s v="15/3AL"/>
    <s v="CONT 23/2019"/>
    <d v="2019-04-14T00:00:00"/>
    <m/>
    <d v="2019-06-17T00:00:00"/>
    <n v="3900"/>
    <m/>
    <m/>
    <m/>
    <m/>
    <m/>
    <m/>
    <n v="3900"/>
    <n v="0"/>
    <n v="0"/>
    <m/>
  </r>
  <r>
    <x v="40"/>
    <d v="2019-02-03T00:00:00"/>
    <s v="KIỀU THY"/>
    <x v="20"/>
    <x v="22"/>
    <x v="81"/>
    <x v="37"/>
    <x v="0"/>
    <x v="4"/>
    <x v="14"/>
    <s v="NZ2019"/>
    <m/>
    <n v="8"/>
    <n v="1000"/>
    <x v="80"/>
    <n v="12000000"/>
    <x v="2"/>
    <d v="2019-09-01T00:00:00"/>
    <x v="35"/>
    <x v="35"/>
    <s v="TẾT"/>
    <m/>
    <m/>
    <m/>
    <m/>
    <n v="0"/>
    <m/>
    <m/>
    <m/>
    <m/>
    <m/>
    <m/>
    <n v="0"/>
    <n v="1000"/>
    <n v="12000000"/>
    <m/>
  </r>
  <r>
    <x v="41"/>
    <d v="2019-02-03T00:00:00"/>
    <s v="KIỀU THY"/>
    <x v="20"/>
    <x v="22"/>
    <x v="82"/>
    <x v="38"/>
    <x v="0"/>
    <x v="2"/>
    <x v="17"/>
    <s v="NL2018"/>
    <m/>
    <n v="80"/>
    <n v="20000"/>
    <x v="81"/>
    <n v="74000000"/>
    <x v="0"/>
    <d v="2019-01-15T00:00:00"/>
    <x v="6"/>
    <x v="6"/>
    <s v="15/1AL"/>
    <m/>
    <m/>
    <s v="R"/>
    <d v="2019-02-19T00:00:00"/>
    <n v="10000"/>
    <d v="2019-03-04T00:00:00"/>
    <n v="10000"/>
    <m/>
    <m/>
    <m/>
    <m/>
    <n v="20000"/>
    <n v="0"/>
    <n v="0"/>
    <m/>
  </r>
  <r>
    <x v="40"/>
    <d v="2019-02-03T00:00:00"/>
    <s v="KIỀU THY"/>
    <x v="20"/>
    <x v="22"/>
    <x v="8"/>
    <x v="39"/>
    <x v="0"/>
    <x v="1"/>
    <x v="9"/>
    <s v="NL2018"/>
    <m/>
    <n v="34"/>
    <n v="5100"/>
    <x v="55"/>
    <n v="36720000"/>
    <x v="2"/>
    <d v="2019-09-01T00:00:00"/>
    <x v="2"/>
    <x v="2"/>
    <s v="TẾT"/>
    <m/>
    <m/>
    <m/>
    <m/>
    <n v="0"/>
    <m/>
    <m/>
    <m/>
    <m/>
    <m/>
    <m/>
    <n v="0"/>
    <n v="5100"/>
    <n v="36720000"/>
    <m/>
  </r>
  <r>
    <x v="40"/>
    <d v="2019-02-03T00:00:00"/>
    <s v="KIỀU THY"/>
    <x v="20"/>
    <x v="22"/>
    <x v="21"/>
    <x v="39"/>
    <x v="0"/>
    <x v="8"/>
    <x v="11"/>
    <s v="NL2018"/>
    <m/>
    <n v="40"/>
    <n v="4000"/>
    <x v="25"/>
    <n v="50000000"/>
    <x v="2"/>
    <d v="2019-09-01T00:00:00"/>
    <x v="2"/>
    <x v="2"/>
    <s v="TẾT"/>
    <m/>
    <m/>
    <m/>
    <m/>
    <n v="0"/>
    <m/>
    <m/>
    <m/>
    <m/>
    <m/>
    <m/>
    <n v="0"/>
    <n v="4000"/>
    <n v="50000000"/>
    <m/>
  </r>
  <r>
    <x v="41"/>
    <d v="2019-02-03T00:00:00"/>
    <s v="KIỀU THY"/>
    <x v="20"/>
    <x v="22"/>
    <x v="6"/>
    <x v="39"/>
    <x v="0"/>
    <x v="3"/>
    <x v="5"/>
    <s v="NL2018"/>
    <m/>
    <n v="2"/>
    <n v="400"/>
    <x v="12"/>
    <n v="1880000"/>
    <x v="0"/>
    <d v="2019-02-15T00:00:00"/>
    <x v="0"/>
    <x v="0"/>
    <s v="15/2AL"/>
    <s v="CONT 11/2019"/>
    <d v="2019-03-17T00:00:00"/>
    <s v="R"/>
    <d v="2019-03-19T00:00:00"/>
    <n v="400"/>
    <m/>
    <m/>
    <m/>
    <m/>
    <m/>
    <m/>
    <n v="400"/>
    <n v="0"/>
    <n v="0"/>
    <m/>
  </r>
  <r>
    <x v="41"/>
    <d v="2019-02-03T00:00:00"/>
    <s v="KIỀU THY"/>
    <x v="20"/>
    <x v="22"/>
    <x v="6"/>
    <x v="39"/>
    <x v="0"/>
    <x v="3"/>
    <x v="5"/>
    <s v="NL2018"/>
    <m/>
    <n v="13"/>
    <n v="2600"/>
    <x v="12"/>
    <n v="12220000"/>
    <x v="0"/>
    <d v="2019-02-15T00:00:00"/>
    <x v="0"/>
    <x v="0"/>
    <s v="15/2AL"/>
    <s v="CONT 10/2019"/>
    <d v="2019-03-17T00:00:00"/>
    <s v="R"/>
    <d v="2019-03-19T00:00:00"/>
    <n v="2600"/>
    <m/>
    <m/>
    <m/>
    <m/>
    <m/>
    <m/>
    <n v="2600"/>
    <n v="0"/>
    <n v="0"/>
    <m/>
  </r>
  <r>
    <x v="41"/>
    <d v="2019-02-03T00:00:00"/>
    <s v="KIỀU THY"/>
    <x v="20"/>
    <x v="22"/>
    <x v="6"/>
    <x v="39"/>
    <x v="0"/>
    <x v="3"/>
    <x v="5"/>
    <s v="NL2018"/>
    <m/>
    <n v="50"/>
    <n v="10000"/>
    <x v="12"/>
    <n v="47000000"/>
    <x v="0"/>
    <d v="2019-03-15T00:00:00"/>
    <x v="5"/>
    <x v="5"/>
    <s v="15/3AL"/>
    <s v="CONT 22/2019"/>
    <d v="2019-04-14T00:00:00"/>
    <s v="R"/>
    <d v="2019-04-03T00:00:00"/>
    <n v="5000"/>
    <d v="2019-04-15T00:00:00"/>
    <n v="5000"/>
    <m/>
    <m/>
    <m/>
    <m/>
    <n v="10000"/>
    <n v="0"/>
    <n v="0"/>
    <s v="check lai gia va sl"/>
  </r>
  <r>
    <x v="41"/>
    <d v="2019-02-03T00:00:00"/>
    <s v="KIỀU THY"/>
    <x v="20"/>
    <x v="22"/>
    <x v="6"/>
    <x v="39"/>
    <x v="0"/>
    <x v="3"/>
    <x v="5"/>
    <s v="NL2018"/>
    <m/>
    <n v="50"/>
    <n v="10000"/>
    <x v="12"/>
    <n v="47000000"/>
    <x v="0"/>
    <s v="30-Feb-19"/>
    <x v="29"/>
    <x v="29"/>
    <s v="30/2AL"/>
    <s v="CONT 16/2019"/>
    <d v="2019-03-31T00:00:00"/>
    <s v="R"/>
    <d v="2019-04-26T00:00:00"/>
    <n v="5000"/>
    <d v="2019-05-06T00:00:00"/>
    <n v="5000"/>
    <m/>
    <m/>
    <m/>
    <m/>
    <n v="10000"/>
    <n v="0"/>
    <n v="0"/>
    <m/>
  </r>
  <r>
    <x v="41"/>
    <d v="2019-05-25T00:00:00"/>
    <s v="KIỀU THY"/>
    <x v="20"/>
    <x v="22"/>
    <x v="6"/>
    <x v="4"/>
    <x v="0"/>
    <x v="3"/>
    <x v="5"/>
    <s v="NL2018"/>
    <m/>
    <n v="25"/>
    <n v="5000"/>
    <x v="8"/>
    <n v="25000000"/>
    <x v="0"/>
    <d v="2019-04-17T00:00:00"/>
    <x v="1"/>
    <x v="1"/>
    <m/>
    <m/>
    <m/>
    <m/>
    <d v="2019-05-27T00:00:00"/>
    <n v="5000"/>
    <m/>
    <m/>
    <m/>
    <m/>
    <m/>
    <m/>
    <n v="5000"/>
    <n v="0"/>
    <n v="0"/>
    <m/>
  </r>
  <r>
    <x v="42"/>
    <d v="2019-02-20T00:00:00"/>
    <s v="THANH THÚY"/>
    <x v="21"/>
    <x v="23"/>
    <x v="74"/>
    <x v="0"/>
    <x v="0"/>
    <x v="2"/>
    <x v="6"/>
    <s v="NL2018"/>
    <m/>
    <n v="27"/>
    <n v="8100"/>
    <x v="77"/>
    <n v="30780000"/>
    <x v="0"/>
    <s v="30-Feb-19"/>
    <x v="29"/>
    <x v="29"/>
    <s v="15/3AL"/>
    <s v="CONT 20/2019"/>
    <m/>
    <m/>
    <d v="2019-04-03T00:00:00"/>
    <n v="4200"/>
    <d v="2019-04-16T00:00:00"/>
    <n v="3900"/>
    <m/>
    <m/>
    <m/>
    <m/>
    <n v="8100"/>
    <n v="0"/>
    <n v="0"/>
    <m/>
  </r>
  <r>
    <x v="42"/>
    <d v="2019-05-18T00:00:00"/>
    <s v="THANH THÚY"/>
    <x v="21"/>
    <x v="23"/>
    <x v="73"/>
    <x v="0"/>
    <x v="3"/>
    <x v="3"/>
    <x v="5"/>
    <s v="NL2018"/>
    <m/>
    <n v="10"/>
    <n v="2000"/>
    <x v="10"/>
    <n v="11000000"/>
    <x v="0"/>
    <d v="2019-04-17T00:00:00"/>
    <x v="1"/>
    <x v="1"/>
    <m/>
    <m/>
    <m/>
    <m/>
    <m/>
    <m/>
    <m/>
    <m/>
    <m/>
    <m/>
    <m/>
    <m/>
    <n v="0"/>
    <n v="2000"/>
    <n v="11000000"/>
    <m/>
  </r>
  <r>
    <x v="43"/>
    <d v="2019-04-03T00:00:00"/>
    <s v="THANH THÚY"/>
    <x v="21"/>
    <x v="23"/>
    <x v="74"/>
    <x v="0"/>
    <x v="0"/>
    <x v="2"/>
    <x v="6"/>
    <s v="NL2018"/>
    <m/>
    <n v="34"/>
    <n v="10200"/>
    <x v="45"/>
    <n v="40800000"/>
    <x v="3"/>
    <d v="2019-05-28T00:00:00"/>
    <x v="36"/>
    <x v="36"/>
    <s v="28/5AL"/>
    <m/>
    <m/>
    <m/>
    <m/>
    <m/>
    <m/>
    <m/>
    <m/>
    <m/>
    <m/>
    <m/>
    <n v="0"/>
    <n v="10200"/>
    <n v="40800000"/>
    <m/>
  </r>
  <r>
    <x v="44"/>
    <d v="2019-02-20T00:00:00"/>
    <s v="THANH THÚY"/>
    <x v="21"/>
    <x v="23"/>
    <x v="33"/>
    <x v="18"/>
    <x v="0"/>
    <x v="3"/>
    <x v="5"/>
    <s v="NL2018"/>
    <m/>
    <n v="25"/>
    <n v="5000"/>
    <x v="41"/>
    <n v="30500000"/>
    <x v="2"/>
    <d v="2019-09-01T00:00:00"/>
    <x v="2"/>
    <x v="2"/>
    <s v="TẾT"/>
    <m/>
    <m/>
    <m/>
    <m/>
    <n v="0"/>
    <m/>
    <m/>
    <m/>
    <m/>
    <m/>
    <m/>
    <n v="0"/>
    <n v="5000"/>
    <n v="30500000"/>
    <m/>
  </r>
  <r>
    <x v="43"/>
    <d v="2019-04-03T00:00:00"/>
    <s v="THANH THÚY"/>
    <x v="21"/>
    <x v="23"/>
    <x v="34"/>
    <x v="1"/>
    <x v="0"/>
    <x v="2"/>
    <x v="6"/>
    <s v="NL2018"/>
    <m/>
    <n v="20"/>
    <n v="6000"/>
    <x v="42"/>
    <n v="28800000"/>
    <x v="3"/>
    <d v="2019-05-28T00:00:00"/>
    <x v="36"/>
    <x v="36"/>
    <s v="28/5AL"/>
    <m/>
    <m/>
    <m/>
    <m/>
    <m/>
    <m/>
    <m/>
    <m/>
    <m/>
    <m/>
    <m/>
    <n v="0"/>
    <n v="6000"/>
    <n v="28800000"/>
    <m/>
  </r>
  <r>
    <x v="44"/>
    <d v="2019-02-20T00:00:00"/>
    <s v="THANH THÚY"/>
    <x v="21"/>
    <x v="23"/>
    <x v="63"/>
    <x v="1"/>
    <x v="0"/>
    <x v="4"/>
    <x v="14"/>
    <s v="NL2018"/>
    <m/>
    <n v="40"/>
    <n v="5000"/>
    <x v="27"/>
    <n v="55000000"/>
    <x v="2"/>
    <d v="2019-09-01T00:00:00"/>
    <x v="2"/>
    <x v="2"/>
    <s v="TẾT"/>
    <m/>
    <m/>
    <m/>
    <m/>
    <n v="0"/>
    <m/>
    <m/>
    <m/>
    <m/>
    <m/>
    <m/>
    <n v="0"/>
    <n v="5000"/>
    <n v="55000000"/>
    <d v="2020-01-06T00:00:00"/>
  </r>
  <r>
    <x v="42"/>
    <d v="2019-02-20T00:00:00"/>
    <s v="THANH THÚY"/>
    <x v="21"/>
    <x v="23"/>
    <x v="3"/>
    <x v="3"/>
    <x v="0"/>
    <x v="3"/>
    <x v="5"/>
    <s v="NL2018"/>
    <m/>
    <n v="50"/>
    <n v="10000"/>
    <x v="8"/>
    <n v="50000000"/>
    <x v="0"/>
    <s v="30-Feb-19"/>
    <x v="29"/>
    <x v="29"/>
    <s v="15/3AL"/>
    <s v="CONT 26/2019"/>
    <m/>
    <m/>
    <d v="2019-04-03T00:00:00"/>
    <n v="5000"/>
    <d v="2019-04-16T00:00:00"/>
    <n v="5000"/>
    <m/>
    <m/>
    <m/>
    <m/>
    <n v="10000"/>
    <n v="0"/>
    <n v="0"/>
    <d v="2020-01-05T00:00:00"/>
  </r>
  <r>
    <x v="43"/>
    <d v="2019-04-03T00:00:00"/>
    <s v="THANH THÚY"/>
    <x v="21"/>
    <x v="23"/>
    <x v="3"/>
    <x v="3"/>
    <x v="0"/>
    <x v="3"/>
    <x v="5"/>
    <s v="NL2018"/>
    <m/>
    <n v="0"/>
    <n v="0"/>
    <x v="6"/>
    <n v="0"/>
    <x v="1"/>
    <d v="2019-05-28T00:00:00"/>
    <x v="36"/>
    <x v="36"/>
    <s v="28/5AL"/>
    <m/>
    <m/>
    <m/>
    <m/>
    <m/>
    <m/>
    <m/>
    <m/>
    <m/>
    <m/>
    <m/>
    <n v="0"/>
    <n v="0"/>
    <n v="0"/>
    <m/>
  </r>
  <r>
    <x v="44"/>
    <d v="2019-02-20T00:00:00"/>
    <s v="THANH THÚY"/>
    <x v="21"/>
    <x v="23"/>
    <x v="38"/>
    <x v="6"/>
    <x v="0"/>
    <x v="4"/>
    <x v="14"/>
    <s v="NL2018"/>
    <m/>
    <n v="80"/>
    <n v="10000"/>
    <x v="47"/>
    <n v="130000000"/>
    <x v="2"/>
    <d v="2019-09-01T00:00:00"/>
    <x v="2"/>
    <x v="2"/>
    <s v="TẾT"/>
    <m/>
    <m/>
    <m/>
    <m/>
    <n v="0"/>
    <m/>
    <m/>
    <m/>
    <m/>
    <m/>
    <m/>
    <n v="0"/>
    <n v="10000"/>
    <n v="130000000"/>
    <d v="2020-01-06T00:00:00"/>
  </r>
  <r>
    <x v="42"/>
    <d v="2019-05-18T00:00:00"/>
    <s v="THANH THÚY"/>
    <x v="21"/>
    <x v="23"/>
    <x v="39"/>
    <x v="22"/>
    <x v="0"/>
    <x v="7"/>
    <x v="8"/>
    <s v="NL2018"/>
    <m/>
    <n v="5"/>
    <n v="2000"/>
    <x v="38"/>
    <n v="5800000"/>
    <x v="0"/>
    <d v="2019-04-17T00:00:00"/>
    <x v="1"/>
    <x v="1"/>
    <m/>
    <m/>
    <m/>
    <m/>
    <d v="2019-06-03T00:00:00"/>
    <n v="2000"/>
    <m/>
    <m/>
    <m/>
    <m/>
    <m/>
    <m/>
    <n v="2000"/>
    <n v="0"/>
    <n v="0"/>
    <m/>
  </r>
  <r>
    <x v="42"/>
    <d v="2019-02-20T00:00:00"/>
    <s v="THANH THÚY"/>
    <x v="21"/>
    <x v="23"/>
    <x v="42"/>
    <x v="23"/>
    <x v="0"/>
    <x v="7"/>
    <x v="8"/>
    <s v="NL2018"/>
    <m/>
    <n v="5"/>
    <n v="2000"/>
    <x v="44"/>
    <n v="6000000"/>
    <x v="0"/>
    <d v="2019-03-15T00:00:00"/>
    <x v="5"/>
    <x v="5"/>
    <s v="15/3AL"/>
    <s v="CONT 20/2019"/>
    <m/>
    <m/>
    <d v="2019-04-23T00:00:00"/>
    <n v="2000"/>
    <m/>
    <m/>
    <m/>
    <m/>
    <m/>
    <m/>
    <n v="2000"/>
    <n v="0"/>
    <n v="0"/>
    <m/>
  </r>
  <r>
    <x v="42"/>
    <d v="2019-05-18T00:00:00"/>
    <s v="THANH THÚY"/>
    <x v="21"/>
    <x v="23"/>
    <x v="26"/>
    <x v="13"/>
    <x v="0"/>
    <x v="3"/>
    <x v="5"/>
    <s v="NL2018"/>
    <m/>
    <n v="20"/>
    <n v="4000"/>
    <x v="6"/>
    <n v="21600000"/>
    <x v="0"/>
    <d v="2019-04-17T00:00:00"/>
    <x v="1"/>
    <x v="1"/>
    <m/>
    <m/>
    <m/>
    <m/>
    <d v="2019-05-19T00:00:00"/>
    <n v="4000"/>
    <m/>
    <m/>
    <m/>
    <m/>
    <m/>
    <m/>
    <n v="4000"/>
    <n v="0"/>
    <n v="0"/>
    <m/>
  </r>
  <r>
    <x v="43"/>
    <d v="2019-05-20T00:00:00"/>
    <s v="THANH THÚY"/>
    <x v="21"/>
    <x v="23"/>
    <x v="26"/>
    <x v="13"/>
    <x v="0"/>
    <x v="3"/>
    <x v="5"/>
    <s v="NL2018"/>
    <m/>
    <n v="50"/>
    <n v="10000"/>
    <x v="10"/>
    <n v="55000000"/>
    <x v="3"/>
    <d v="2019-05-28T00:00:00"/>
    <x v="36"/>
    <x v="36"/>
    <s v="28/5AL"/>
    <m/>
    <m/>
    <m/>
    <m/>
    <m/>
    <m/>
    <m/>
    <m/>
    <m/>
    <m/>
    <m/>
    <n v="0"/>
    <n v="10000"/>
    <n v="55000000"/>
    <m/>
  </r>
  <r>
    <x v="43"/>
    <d v="2019-05-20T00:00:00"/>
    <s v="THANH THÚY"/>
    <x v="21"/>
    <x v="23"/>
    <x v="69"/>
    <x v="13"/>
    <x v="0"/>
    <x v="2"/>
    <x v="2"/>
    <s v="NL2018"/>
    <m/>
    <n v="14"/>
    <n v="4200"/>
    <x v="37"/>
    <n v="17220000"/>
    <x v="3"/>
    <d v="2019-05-28T00:00:00"/>
    <x v="36"/>
    <x v="36"/>
    <s v="28/5AL"/>
    <m/>
    <m/>
    <m/>
    <m/>
    <m/>
    <m/>
    <m/>
    <m/>
    <m/>
    <m/>
    <m/>
    <n v="0"/>
    <n v="4200"/>
    <n v="17220000"/>
    <m/>
  </r>
  <r>
    <x v="42"/>
    <d v="2019-02-20T00:00:00"/>
    <s v="THANH THÚY"/>
    <x v="21"/>
    <x v="23"/>
    <x v="6"/>
    <x v="4"/>
    <x v="0"/>
    <x v="3"/>
    <x v="5"/>
    <s v="NL2018"/>
    <m/>
    <n v="10"/>
    <n v="2000"/>
    <x v="12"/>
    <n v="9400000"/>
    <x v="0"/>
    <s v="30-Feb-19"/>
    <x v="29"/>
    <x v="29"/>
    <s v="15/3AL"/>
    <s v="CONT 21/2019"/>
    <m/>
    <m/>
    <d v="2019-04-03T00:00:00"/>
    <n v="2000"/>
    <m/>
    <m/>
    <m/>
    <m/>
    <m/>
    <m/>
    <n v="2000"/>
    <n v="0"/>
    <n v="0"/>
    <m/>
  </r>
  <r>
    <x v="42"/>
    <d v="2019-02-20T00:00:00"/>
    <s v="THANH THÚY"/>
    <x v="21"/>
    <x v="23"/>
    <x v="6"/>
    <x v="4"/>
    <x v="0"/>
    <x v="3"/>
    <x v="5"/>
    <s v="NL2018"/>
    <m/>
    <n v="20"/>
    <n v="4000"/>
    <x v="12"/>
    <n v="18800000"/>
    <x v="0"/>
    <s v="30-Feb-19"/>
    <x v="29"/>
    <x v="29"/>
    <m/>
    <m/>
    <m/>
    <m/>
    <d v="2019-04-16T00:00:00"/>
    <n v="4000"/>
    <m/>
    <m/>
    <m/>
    <m/>
    <m/>
    <m/>
    <n v="4000"/>
    <n v="0"/>
    <n v="0"/>
    <m/>
  </r>
  <r>
    <x v="44"/>
    <d v="2019-02-20T00:00:00"/>
    <s v="THANH THÚY"/>
    <x v="21"/>
    <x v="23"/>
    <x v="21"/>
    <x v="4"/>
    <x v="0"/>
    <x v="8"/>
    <x v="11"/>
    <s v="NL2018"/>
    <m/>
    <n v="50"/>
    <n v="5000"/>
    <x v="25"/>
    <n v="62500000"/>
    <x v="2"/>
    <d v="2019-09-01T00:00:00"/>
    <x v="2"/>
    <x v="2"/>
    <s v="TẾT"/>
    <m/>
    <m/>
    <m/>
    <m/>
    <n v="0"/>
    <m/>
    <m/>
    <m/>
    <m/>
    <m/>
    <m/>
    <n v="0"/>
    <n v="5000"/>
    <n v="62500000"/>
    <m/>
  </r>
  <r>
    <x v="42"/>
    <d v="2019-02-20T00:00:00"/>
    <s v="THANH THÚY"/>
    <x v="21"/>
    <x v="23"/>
    <x v="60"/>
    <x v="7"/>
    <x v="0"/>
    <x v="5"/>
    <x v="17"/>
    <s v="NL2018"/>
    <m/>
    <n v="8"/>
    <n v="2000"/>
    <x v="14"/>
    <n v="9000000"/>
    <x v="0"/>
    <d v="2019-03-15T00:00:00"/>
    <x v="5"/>
    <x v="5"/>
    <s v="15/3AL"/>
    <s v="CONT 20/2019"/>
    <m/>
    <m/>
    <d v="2019-04-23T00:00:00"/>
    <n v="2000"/>
    <m/>
    <m/>
    <m/>
    <m/>
    <m/>
    <m/>
    <n v="2000"/>
    <n v="0"/>
    <n v="0"/>
    <m/>
  </r>
  <r>
    <x v="45"/>
    <d v="2019-04-26T00:00:00"/>
    <s v="KIỀU THY"/>
    <x v="22"/>
    <x v="24"/>
    <x v="74"/>
    <x v="0"/>
    <x v="0"/>
    <x v="2"/>
    <x v="2"/>
    <s v="NL2018"/>
    <m/>
    <n v="0"/>
    <n v="0"/>
    <x v="77"/>
    <n v="0"/>
    <x v="1"/>
    <d v="2019-03-15T00:00:00"/>
    <x v="5"/>
    <x v="5"/>
    <s v="15/4AL XẢ "/>
    <m/>
    <m/>
    <m/>
    <m/>
    <m/>
    <m/>
    <m/>
    <m/>
    <m/>
    <m/>
    <m/>
    <n v="0"/>
    <n v="0"/>
    <n v="0"/>
    <m/>
  </r>
  <r>
    <x v="45"/>
    <d v="2019-04-26T00:00:00"/>
    <s v="KIỀU THY"/>
    <x v="22"/>
    <x v="24"/>
    <x v="74"/>
    <x v="0"/>
    <x v="0"/>
    <x v="2"/>
    <x v="2"/>
    <s v="NL2018"/>
    <m/>
    <n v="0"/>
    <n v="0"/>
    <x v="77"/>
    <n v="0"/>
    <x v="1"/>
    <d v="2019-04-17T00:00:00"/>
    <x v="1"/>
    <x v="1"/>
    <s v="23/4AL XẢ"/>
    <m/>
    <m/>
    <m/>
    <m/>
    <m/>
    <m/>
    <m/>
    <m/>
    <m/>
    <m/>
    <m/>
    <n v="0"/>
    <n v="0"/>
    <n v="0"/>
    <m/>
  </r>
  <r>
    <x v="45"/>
    <d v="2019-04-26T00:00:00"/>
    <s v="KIỀU THY"/>
    <x v="22"/>
    <x v="24"/>
    <x v="74"/>
    <x v="0"/>
    <x v="0"/>
    <x v="2"/>
    <x v="2"/>
    <s v="NL2018"/>
    <m/>
    <n v="0"/>
    <n v="0"/>
    <x v="57"/>
    <n v="0"/>
    <x v="1"/>
    <d v="2019-05-05T00:00:00"/>
    <x v="27"/>
    <x v="27"/>
    <s v="5/5AL XẢ 1/2+ 15/5 xả 1/2"/>
    <m/>
    <m/>
    <m/>
    <m/>
    <m/>
    <m/>
    <m/>
    <m/>
    <m/>
    <m/>
    <m/>
    <n v="0"/>
    <n v="0"/>
    <n v="0"/>
    <m/>
  </r>
  <r>
    <x v="45"/>
    <d v="2019-04-26T00:00:00"/>
    <s v="KIỀU THY"/>
    <x v="22"/>
    <x v="24"/>
    <x v="83"/>
    <x v="2"/>
    <x v="0"/>
    <x v="3"/>
    <x v="3"/>
    <s v="NL2018"/>
    <m/>
    <n v="0"/>
    <n v="0"/>
    <x v="32"/>
    <n v="0"/>
    <x v="1"/>
    <d v="2019-05-05T00:00:00"/>
    <x v="27"/>
    <x v="27"/>
    <s v="5/5AL XẢ 1/2+ 15/5 xả 1/2"/>
    <m/>
    <m/>
    <m/>
    <m/>
    <m/>
    <m/>
    <m/>
    <m/>
    <m/>
    <m/>
    <m/>
    <n v="0"/>
    <n v="0"/>
    <n v="0"/>
    <m/>
  </r>
  <r>
    <x v="45"/>
    <d v="2019-04-26T00:00:00"/>
    <s v="KIỀU THY"/>
    <x v="22"/>
    <x v="24"/>
    <x v="3"/>
    <x v="3"/>
    <x v="0"/>
    <x v="3"/>
    <x v="3"/>
    <s v="NL2018"/>
    <m/>
    <n v="0"/>
    <n v="0"/>
    <x v="10"/>
    <n v="0"/>
    <x v="1"/>
    <d v="2019-05-05T00:00:00"/>
    <x v="27"/>
    <x v="27"/>
    <s v="5/5AL XẢ 1/2+ 15/5 xả 1/2"/>
    <m/>
    <m/>
    <m/>
    <m/>
    <m/>
    <m/>
    <m/>
    <m/>
    <m/>
    <m/>
    <m/>
    <n v="0"/>
    <n v="0"/>
    <n v="0"/>
    <m/>
  </r>
  <r>
    <x v="45"/>
    <d v="2019-04-26T00:00:00"/>
    <s v="KIỀU THY"/>
    <x v="22"/>
    <x v="24"/>
    <x v="84"/>
    <x v="40"/>
    <x v="0"/>
    <x v="4"/>
    <x v="4"/>
    <s v="CL2019"/>
    <m/>
    <n v="0"/>
    <n v="0"/>
    <x v="82"/>
    <m/>
    <x v="1"/>
    <d v="2019-09-01T00:00:00"/>
    <x v="2"/>
    <x v="2"/>
    <s v="TẾT"/>
    <m/>
    <m/>
    <m/>
    <m/>
    <m/>
    <m/>
    <m/>
    <m/>
    <m/>
    <m/>
    <m/>
    <n v="0"/>
    <n v="0"/>
    <e v="#VALUE!"/>
    <m/>
  </r>
  <r>
    <x v="45"/>
    <d v="2019-04-26T00:00:00"/>
    <s v="KIỀU THY"/>
    <x v="22"/>
    <x v="24"/>
    <x v="11"/>
    <x v="6"/>
    <x v="0"/>
    <x v="3"/>
    <x v="3"/>
    <s v="NL2018"/>
    <m/>
    <n v="0"/>
    <n v="0"/>
    <x v="11"/>
    <n v="0"/>
    <x v="1"/>
    <d v="2019-04-05T00:00:00"/>
    <x v="37"/>
    <x v="37"/>
    <s v="15/4AL XẢ "/>
    <m/>
    <m/>
    <m/>
    <m/>
    <m/>
    <m/>
    <m/>
    <m/>
    <m/>
    <m/>
    <m/>
    <n v="0"/>
    <n v="0"/>
    <n v="0"/>
    <m/>
  </r>
  <r>
    <x v="45"/>
    <d v="2019-04-26T00:00:00"/>
    <s v="KIỀU THY"/>
    <x v="22"/>
    <x v="24"/>
    <x v="11"/>
    <x v="6"/>
    <x v="0"/>
    <x v="3"/>
    <x v="3"/>
    <s v="NL2018"/>
    <m/>
    <n v="0"/>
    <n v="0"/>
    <x v="11"/>
    <n v="0"/>
    <x v="1"/>
    <d v="2019-04-05T00:00:00"/>
    <x v="37"/>
    <x v="37"/>
    <s v="23/4AL XẢ"/>
    <m/>
    <m/>
    <m/>
    <m/>
    <m/>
    <m/>
    <m/>
    <m/>
    <m/>
    <m/>
    <m/>
    <n v="0"/>
    <n v="0"/>
    <n v="0"/>
    <m/>
  </r>
  <r>
    <x v="45"/>
    <d v="2019-04-26T00:00:00"/>
    <s v="KIỀU THY"/>
    <x v="22"/>
    <x v="24"/>
    <x v="85"/>
    <x v="6"/>
    <x v="0"/>
    <x v="1"/>
    <x v="1"/>
    <s v="NL2018"/>
    <m/>
    <n v="0"/>
    <n v="0"/>
    <x v="62"/>
    <n v="0"/>
    <x v="1"/>
    <d v="2019-09-01T00:00:00"/>
    <x v="2"/>
    <x v="2"/>
    <s v="TẾT"/>
    <m/>
    <m/>
    <m/>
    <m/>
    <m/>
    <m/>
    <m/>
    <m/>
    <m/>
    <m/>
    <m/>
    <n v="0"/>
    <n v="0"/>
    <n v="0"/>
    <m/>
  </r>
  <r>
    <x v="45"/>
    <d v="2019-04-26T00:00:00"/>
    <s v="KIỀU THY"/>
    <x v="22"/>
    <x v="24"/>
    <x v="23"/>
    <x v="11"/>
    <x v="0"/>
    <x v="2"/>
    <x v="2"/>
    <s v="NL2018"/>
    <m/>
    <n v="0"/>
    <n v="0"/>
    <x v="6"/>
    <n v="0"/>
    <x v="1"/>
    <d v="2019-04-05T00:00:00"/>
    <x v="37"/>
    <x v="37"/>
    <s v="15/4AL XẢ "/>
    <m/>
    <m/>
    <m/>
    <m/>
    <m/>
    <m/>
    <m/>
    <m/>
    <m/>
    <m/>
    <m/>
    <n v="0"/>
    <n v="0"/>
    <n v="0"/>
    <m/>
  </r>
  <r>
    <x v="45"/>
    <d v="2019-04-26T00:00:00"/>
    <s v="KIỀU THY"/>
    <x v="22"/>
    <x v="24"/>
    <x v="6"/>
    <x v="4"/>
    <x v="0"/>
    <x v="3"/>
    <x v="3"/>
    <s v="NL2018"/>
    <m/>
    <n v="0"/>
    <n v="0"/>
    <x v="83"/>
    <n v="0"/>
    <x v="1"/>
    <d v="2019-04-17T00:00:00"/>
    <x v="1"/>
    <x v="1"/>
    <s v="23/4AL XẢ"/>
    <m/>
    <m/>
    <m/>
    <m/>
    <m/>
    <m/>
    <m/>
    <m/>
    <m/>
    <m/>
    <m/>
    <n v="0"/>
    <n v="0"/>
    <n v="0"/>
    <m/>
  </r>
  <r>
    <x v="45"/>
    <d v="2019-04-26T00:00:00"/>
    <s v="KIỀU THY"/>
    <x v="22"/>
    <x v="24"/>
    <x v="7"/>
    <x v="4"/>
    <x v="0"/>
    <x v="4"/>
    <x v="4"/>
    <s v="NL2018"/>
    <m/>
    <n v="0"/>
    <n v="0"/>
    <x v="34"/>
    <n v="0"/>
    <x v="1"/>
    <d v="2019-09-01T00:00:00"/>
    <x v="2"/>
    <x v="2"/>
    <s v="TẾT"/>
    <m/>
    <m/>
    <m/>
    <m/>
    <m/>
    <m/>
    <m/>
    <m/>
    <m/>
    <m/>
    <m/>
    <n v="0"/>
    <n v="0"/>
    <n v="0"/>
    <m/>
  </r>
  <r>
    <x v="45"/>
    <d v="2019-04-26T00:00:00"/>
    <s v="KIỀU THY"/>
    <x v="22"/>
    <x v="24"/>
    <x v="14"/>
    <x v="4"/>
    <x v="0"/>
    <x v="6"/>
    <x v="13"/>
    <s v="NL2018"/>
    <m/>
    <n v="0"/>
    <n v="0"/>
    <x v="15"/>
    <n v="0"/>
    <x v="1"/>
    <d v="2019-09-01T00:00:00"/>
    <x v="2"/>
    <x v="2"/>
    <s v="TẾT"/>
    <m/>
    <m/>
    <m/>
    <m/>
    <m/>
    <m/>
    <m/>
    <m/>
    <m/>
    <m/>
    <m/>
    <n v="0"/>
    <n v="0"/>
    <n v="0"/>
    <m/>
  </r>
  <r>
    <x v="45"/>
    <d v="2019-04-26T00:00:00"/>
    <s v="KIỀU THY"/>
    <x v="22"/>
    <x v="24"/>
    <x v="9"/>
    <x v="5"/>
    <x v="0"/>
    <x v="3"/>
    <x v="3"/>
    <s v="NL2018"/>
    <m/>
    <n v="0"/>
    <n v="0"/>
    <x v="84"/>
    <n v="0"/>
    <x v="1"/>
    <d v="2019-04-17T00:00:00"/>
    <x v="1"/>
    <x v="1"/>
    <s v="23/4AL XẢ"/>
    <m/>
    <m/>
    <m/>
    <m/>
    <m/>
    <m/>
    <m/>
    <m/>
    <m/>
    <m/>
    <m/>
    <n v="0"/>
    <n v="0"/>
    <n v="0"/>
    <m/>
  </r>
  <r>
    <x v="45"/>
    <d v="2019-04-26T00:00:00"/>
    <s v="KIỀU THY"/>
    <x v="22"/>
    <x v="24"/>
    <x v="9"/>
    <x v="5"/>
    <x v="0"/>
    <x v="3"/>
    <x v="3"/>
    <s v="NL2018"/>
    <m/>
    <n v="0"/>
    <n v="0"/>
    <x v="29"/>
    <n v="0"/>
    <x v="1"/>
    <d v="2019-05-05T00:00:00"/>
    <x v="27"/>
    <x v="27"/>
    <s v="5/5AL XẢ 1/2+ 15/5 xả 1/2"/>
    <m/>
    <m/>
    <m/>
    <m/>
    <m/>
    <m/>
    <m/>
    <m/>
    <m/>
    <m/>
    <m/>
    <n v="0"/>
    <n v="0"/>
    <n v="0"/>
    <m/>
  </r>
  <r>
    <x v="46"/>
    <d v="2019-05-23T00:00:00"/>
    <s v="THANH THÚY"/>
    <x v="23"/>
    <x v="25"/>
    <x v="34"/>
    <x v="41"/>
    <x v="0"/>
    <x v="2"/>
    <x v="2"/>
    <s v="NL2018"/>
    <m/>
    <n v="34"/>
    <n v="10200"/>
    <x v="42"/>
    <n v="48960000"/>
    <x v="0"/>
    <d v="2019-04-19T00:00:00"/>
    <x v="38"/>
    <x v="38"/>
    <m/>
    <m/>
    <m/>
    <m/>
    <d v="2019-05-23T00:00:00"/>
    <n v="10200"/>
    <m/>
    <m/>
    <m/>
    <m/>
    <m/>
    <m/>
    <n v="10200"/>
    <n v="0"/>
    <n v="0"/>
    <m/>
  </r>
  <r>
    <x v="46"/>
    <d v="2019-05-23T00:00:00"/>
    <s v="THANH THÚY"/>
    <x v="23"/>
    <x v="25"/>
    <x v="39"/>
    <x v="22"/>
    <x v="0"/>
    <x v="7"/>
    <x v="0"/>
    <s v="NL2018"/>
    <m/>
    <n v="25"/>
    <n v="10000"/>
    <x v="38"/>
    <n v="29000000"/>
    <x v="0"/>
    <d v="2019-04-19T00:00:00"/>
    <x v="38"/>
    <x v="38"/>
    <m/>
    <m/>
    <m/>
    <m/>
    <d v="2019-05-23T00:00:00"/>
    <n v="10000"/>
    <m/>
    <m/>
    <m/>
    <m/>
    <m/>
    <m/>
    <n v="10000"/>
    <n v="0"/>
    <n v="0"/>
    <m/>
  </r>
  <r>
    <x v="47"/>
    <d v="2019-05-30T00:00:00"/>
    <s v="KIỀU THY"/>
    <x v="24"/>
    <x v="26"/>
    <x v="86"/>
    <x v="42"/>
    <x v="0"/>
    <x v="4"/>
    <x v="4"/>
    <s v="NZ2019"/>
    <m/>
    <n v="40"/>
    <n v="5000"/>
    <x v="25"/>
    <n v="62500000"/>
    <x v="2"/>
    <d v="2019-09-01T00:00:00"/>
    <x v="2"/>
    <x v="2"/>
    <m/>
    <m/>
    <m/>
    <m/>
    <m/>
    <m/>
    <m/>
    <m/>
    <m/>
    <m/>
    <m/>
    <m/>
    <n v="0"/>
    <n v="5000"/>
    <n v="62500000"/>
    <m/>
  </r>
  <r>
    <x v="47"/>
    <d v="2019-05-30T00:00:00"/>
    <s v="KIỀU THY"/>
    <x v="24"/>
    <x v="26"/>
    <x v="4"/>
    <x v="3"/>
    <x v="0"/>
    <x v="4"/>
    <x v="4"/>
    <s v="NL2018"/>
    <m/>
    <n v="64"/>
    <n v="8000"/>
    <x v="33"/>
    <n v="85600000"/>
    <x v="2"/>
    <d v="2019-09-01T00:00:00"/>
    <x v="2"/>
    <x v="2"/>
    <m/>
    <m/>
    <m/>
    <m/>
    <m/>
    <m/>
    <m/>
    <m/>
    <m/>
    <m/>
    <m/>
    <m/>
    <n v="0"/>
    <n v="8000"/>
    <n v="85600000"/>
    <m/>
  </r>
  <r>
    <x v="47"/>
    <d v="2019-05-30T00:00:00"/>
    <s v="KIỀU THY"/>
    <x v="24"/>
    <x v="26"/>
    <x v="87"/>
    <x v="3"/>
    <x v="0"/>
    <x v="11"/>
    <x v="16"/>
    <s v="NL2018"/>
    <m/>
    <n v="134"/>
    <n v="10050"/>
    <x v="85"/>
    <n v="153765000"/>
    <x v="2"/>
    <d v="2019-09-01T00:00:00"/>
    <x v="2"/>
    <x v="2"/>
    <m/>
    <m/>
    <m/>
    <m/>
    <m/>
    <m/>
    <m/>
    <m/>
    <m/>
    <m/>
    <m/>
    <m/>
    <n v="0"/>
    <n v="10050"/>
    <n v="153765000"/>
    <m/>
  </r>
  <r>
    <x v="47"/>
    <d v="2019-05-30T00:00:00"/>
    <s v="KIỀU THY"/>
    <x v="24"/>
    <x v="26"/>
    <x v="7"/>
    <x v="4"/>
    <x v="0"/>
    <x v="4"/>
    <x v="4"/>
    <s v="NL2018"/>
    <m/>
    <n v="56"/>
    <n v="7000"/>
    <x v="34"/>
    <n v="74200000"/>
    <x v="2"/>
    <d v="2019-09-01T00:00:00"/>
    <x v="2"/>
    <x v="2"/>
    <m/>
    <m/>
    <m/>
    <m/>
    <m/>
    <m/>
    <m/>
    <m/>
    <m/>
    <m/>
    <m/>
    <m/>
    <n v="0"/>
    <n v="7000"/>
    <n v="74200000"/>
    <m/>
  </r>
  <r>
    <x v="47"/>
    <d v="2019-05-30T00:00:00"/>
    <s v="KIỀU THY"/>
    <x v="24"/>
    <x v="26"/>
    <x v="14"/>
    <x v="4"/>
    <x v="0"/>
    <x v="6"/>
    <x v="13"/>
    <s v="NL2018"/>
    <m/>
    <n v="125"/>
    <n v="10000"/>
    <x v="15"/>
    <n v="152000000"/>
    <x v="2"/>
    <d v="2019-09-01T00:00:00"/>
    <x v="2"/>
    <x v="2"/>
    <m/>
    <m/>
    <m/>
    <m/>
    <m/>
    <m/>
    <m/>
    <m/>
    <m/>
    <m/>
    <m/>
    <m/>
    <n v="0"/>
    <n v="10000"/>
    <n v="152000000"/>
    <m/>
  </r>
  <r>
    <x v="47"/>
    <d v="2019-05-31T00:00:00"/>
    <s v="KIỀU THY"/>
    <x v="24"/>
    <x v="26"/>
    <x v="8"/>
    <x v="4"/>
    <x v="0"/>
    <x v="1"/>
    <x v="1"/>
    <s v="NL2018"/>
    <m/>
    <n v="34"/>
    <n v="5100"/>
    <x v="9"/>
    <n v="40800000"/>
    <x v="2"/>
    <d v="2019-09-01T00:00:00"/>
    <x v="2"/>
    <x v="2"/>
    <m/>
    <m/>
    <m/>
    <m/>
    <m/>
    <m/>
    <m/>
    <m/>
    <m/>
    <m/>
    <m/>
    <m/>
    <n v="0"/>
    <n v="5100"/>
    <n v="40800000"/>
    <m/>
  </r>
  <r>
    <x v="48"/>
    <d v="2019-06-18T00:00:00"/>
    <s v="THANH THÚY"/>
    <x v="25"/>
    <x v="27"/>
    <x v="74"/>
    <x v="43"/>
    <x v="0"/>
    <x v="2"/>
    <x v="2"/>
    <s v="NL2018"/>
    <m/>
    <n v="100"/>
    <n v="30000"/>
    <x v="45"/>
    <n v="120000000"/>
    <x v="2"/>
    <d v="2019-06-15T00:00:00"/>
    <x v="4"/>
    <x v="4"/>
    <m/>
    <m/>
    <m/>
    <m/>
    <m/>
    <m/>
    <m/>
    <m/>
    <m/>
    <m/>
    <m/>
    <m/>
    <n v="0"/>
    <n v="30000"/>
    <n v="120000000"/>
    <m/>
  </r>
  <r>
    <x v="48"/>
    <d v="2019-05-29T00:00:00"/>
    <s v="THANH THÚY"/>
    <x v="25"/>
    <x v="27"/>
    <x v="17"/>
    <x v="9"/>
    <x v="1"/>
    <x v="7"/>
    <x v="8"/>
    <s v="NL2018"/>
    <m/>
    <n v="0"/>
    <n v="0"/>
    <x v="17"/>
    <n v="0"/>
    <x v="1"/>
    <d v="2019-04-29T00:00:00"/>
    <x v="11"/>
    <x v="11"/>
    <m/>
    <m/>
    <m/>
    <m/>
    <m/>
    <m/>
    <m/>
    <m/>
    <m/>
    <m/>
    <m/>
    <m/>
    <n v="0"/>
    <n v="0"/>
    <n v="0"/>
    <m/>
  </r>
  <r>
    <x v="48"/>
    <d v="2019-02-19T00:00:00"/>
    <s v="THANH THÚY"/>
    <x v="25"/>
    <x v="27"/>
    <x v="5"/>
    <x v="3"/>
    <x v="0"/>
    <x v="1"/>
    <x v="9"/>
    <s v="NL2018"/>
    <m/>
    <n v="200"/>
    <n v="30000"/>
    <x v="86"/>
    <n v="194100000"/>
    <x v="0"/>
    <d v="2019-04-17T00:00:00"/>
    <x v="1"/>
    <x v="1"/>
    <s v="17/4AL"/>
    <m/>
    <m/>
    <m/>
    <d v="2019-05-19T00:00:00"/>
    <n v="15000"/>
    <d v="2019-06-08T00:00:00"/>
    <n v="15000"/>
    <m/>
    <m/>
    <m/>
    <m/>
    <n v="30000"/>
    <n v="0"/>
    <n v="0"/>
    <d v="2020-01-06T00:00:00"/>
  </r>
  <r>
    <x v="48"/>
    <d v="2019-02-19T00:00:00"/>
    <s v="THANH THÚY"/>
    <x v="25"/>
    <x v="27"/>
    <x v="5"/>
    <x v="3"/>
    <x v="0"/>
    <x v="1"/>
    <x v="9"/>
    <s v="NL2018"/>
    <m/>
    <n v="145"/>
    <n v="21750"/>
    <x v="87"/>
    <n v="142027500"/>
    <x v="4"/>
    <d v="2019-04-29T00:00:00"/>
    <x v="11"/>
    <x v="11"/>
    <s v="29/4AL"/>
    <m/>
    <m/>
    <m/>
    <m/>
    <n v="0"/>
    <m/>
    <m/>
    <m/>
    <m/>
    <m/>
    <m/>
    <n v="0"/>
    <n v="21750"/>
    <n v="142027500"/>
    <d v="2020-01-06T00:00:00"/>
  </r>
  <r>
    <x v="48"/>
    <d v="2019-02-19T00:00:00"/>
    <s v="THANH THÚY"/>
    <x v="25"/>
    <x v="27"/>
    <x v="5"/>
    <x v="3"/>
    <x v="0"/>
    <x v="1"/>
    <x v="9"/>
    <s v="NL2018"/>
    <m/>
    <n v="55"/>
    <n v="8250"/>
    <x v="87"/>
    <n v="53872500"/>
    <x v="4"/>
    <d v="2019-05-18T00:00:00"/>
    <x v="3"/>
    <x v="3"/>
    <s v="29/4AL"/>
    <m/>
    <m/>
    <m/>
    <m/>
    <m/>
    <m/>
    <m/>
    <m/>
    <m/>
    <m/>
    <m/>
    <n v="0"/>
    <n v="8250"/>
    <n v="53872500"/>
    <m/>
  </r>
  <r>
    <x v="48"/>
    <d v="2019-02-19T00:00:00"/>
    <s v="THANH THÚY"/>
    <x v="25"/>
    <x v="27"/>
    <x v="5"/>
    <x v="3"/>
    <x v="0"/>
    <x v="1"/>
    <x v="9"/>
    <s v="NL2018"/>
    <m/>
    <n v="134"/>
    <n v="20100"/>
    <x v="87"/>
    <n v="131253000"/>
    <x v="3"/>
    <d v="2019-05-29T00:00:00"/>
    <x v="12"/>
    <x v="12"/>
    <s v="29/5AL"/>
    <m/>
    <m/>
    <m/>
    <m/>
    <n v="0"/>
    <m/>
    <m/>
    <m/>
    <m/>
    <m/>
    <m/>
    <n v="0"/>
    <n v="20100"/>
    <n v="131253000"/>
    <d v="2020-01-06T00:00:00"/>
  </r>
  <r>
    <x v="48"/>
    <d v="2019-02-19T00:00:00"/>
    <s v="THANH THÚY"/>
    <x v="25"/>
    <x v="27"/>
    <x v="3"/>
    <x v="3"/>
    <x v="0"/>
    <x v="3"/>
    <x v="5"/>
    <s v="NL2018"/>
    <m/>
    <n v="150"/>
    <n v="30000"/>
    <x v="42"/>
    <n v="144000000"/>
    <x v="0"/>
    <s v="30-Feb-19"/>
    <x v="29"/>
    <x v="29"/>
    <s v="30/2AL"/>
    <s v="CONT 18/2019"/>
    <m/>
    <m/>
    <d v="2019-04-03T00:00:00"/>
    <n v="15000"/>
    <d v="2019-04-12T00:00:00"/>
    <n v="15000"/>
    <m/>
    <m/>
    <m/>
    <m/>
    <n v="30000"/>
    <n v="0"/>
    <n v="0"/>
    <d v="2020-01-06T00:00:00"/>
  </r>
  <r>
    <x v="49"/>
    <d v="2019-03-20T00:00:00"/>
    <s v="THANH THÚY"/>
    <x v="25"/>
    <x v="27"/>
    <x v="4"/>
    <x v="3"/>
    <x v="0"/>
    <x v="4"/>
    <x v="14"/>
    <s v="NL2018"/>
    <m/>
    <n v="160"/>
    <n v="20000"/>
    <x v="5"/>
    <n v="210000000"/>
    <x v="2"/>
    <d v="2019-09-01T00:00:00"/>
    <x v="2"/>
    <x v="2"/>
    <s v="TẾT"/>
    <m/>
    <m/>
    <m/>
    <m/>
    <m/>
    <m/>
    <m/>
    <m/>
    <m/>
    <m/>
    <m/>
    <n v="0"/>
    <n v="20000"/>
    <n v="210000000"/>
    <m/>
  </r>
  <r>
    <x v="48"/>
    <d v="2019-02-19T00:00:00"/>
    <s v="THANH THÚY"/>
    <x v="25"/>
    <x v="27"/>
    <x v="26"/>
    <x v="13"/>
    <x v="0"/>
    <x v="3"/>
    <x v="5"/>
    <s v="NL2018"/>
    <m/>
    <n v="100"/>
    <n v="20000"/>
    <x v="71"/>
    <n v="104000000"/>
    <x v="0"/>
    <d v="2019-04-17T00:00:00"/>
    <x v="1"/>
    <x v="1"/>
    <s v="17/4AL"/>
    <m/>
    <m/>
    <m/>
    <d v="2019-06-01T00:00:00"/>
    <n v="10000"/>
    <d v="2019-06-21T00:00:00"/>
    <n v="10000"/>
    <m/>
    <m/>
    <m/>
    <m/>
    <n v="20000"/>
    <n v="0"/>
    <n v="0"/>
    <d v="2020-01-06T00:00:00"/>
  </r>
  <r>
    <x v="48"/>
    <d v="2019-02-19T00:00:00"/>
    <s v="THANH THÚY"/>
    <x v="25"/>
    <x v="27"/>
    <x v="26"/>
    <x v="13"/>
    <x v="0"/>
    <x v="3"/>
    <x v="5"/>
    <s v="NL2018"/>
    <m/>
    <n v="100"/>
    <n v="20000"/>
    <x v="32"/>
    <n v="106000000"/>
    <x v="4"/>
    <d v="2019-04-29T00:00:00"/>
    <x v="11"/>
    <x v="11"/>
    <s v="29/4AL"/>
    <m/>
    <m/>
    <m/>
    <m/>
    <n v="0"/>
    <m/>
    <m/>
    <m/>
    <m/>
    <m/>
    <m/>
    <n v="0"/>
    <n v="20000"/>
    <n v="106000000"/>
    <d v="2020-01-06T00:00:00"/>
  </r>
  <r>
    <x v="48"/>
    <d v="2019-02-19T00:00:00"/>
    <s v="THANH THÚY"/>
    <x v="25"/>
    <x v="27"/>
    <x v="88"/>
    <x v="13"/>
    <x v="0"/>
    <x v="5"/>
    <x v="6"/>
    <s v="NL2018"/>
    <m/>
    <n v="0"/>
    <n v="0"/>
    <x v="57"/>
    <n v="0"/>
    <x v="1"/>
    <s v="30-Feb-19"/>
    <x v="29"/>
    <x v="29"/>
    <s v="30/2AL"/>
    <m/>
    <m/>
    <m/>
    <m/>
    <n v="0"/>
    <m/>
    <m/>
    <m/>
    <m/>
    <m/>
    <m/>
    <n v="0"/>
    <n v="0"/>
    <n v="0"/>
    <d v="2020-01-06T00:00:00"/>
  </r>
  <r>
    <x v="48"/>
    <d v="2019-02-19T00:00:00"/>
    <s v="THANH THÚY"/>
    <x v="25"/>
    <x v="27"/>
    <x v="6"/>
    <x v="39"/>
    <x v="0"/>
    <x v="3"/>
    <x v="5"/>
    <s v="NL2018"/>
    <m/>
    <n v="150"/>
    <n v="30000"/>
    <x v="8"/>
    <n v="150000000"/>
    <x v="0"/>
    <d v="2019-03-15T00:00:00"/>
    <x v="5"/>
    <x v="5"/>
    <s v="15/3AL"/>
    <s v="CONT 22/2019"/>
    <m/>
    <m/>
    <d v="2019-04-18T00:00:00"/>
    <n v="10000"/>
    <d v="2019-05-19T00:00:00"/>
    <n v="20000"/>
    <m/>
    <m/>
    <m/>
    <m/>
    <n v="30000"/>
    <n v="0"/>
    <n v="0"/>
    <d v="2020-01-06T00:00:00"/>
  </r>
  <r>
    <x v="49"/>
    <d v="2019-03-20T00:00:00"/>
    <s v="THANH THÚY"/>
    <x v="25"/>
    <x v="27"/>
    <x v="7"/>
    <x v="4"/>
    <x v="0"/>
    <x v="4"/>
    <x v="14"/>
    <s v="NL2018"/>
    <m/>
    <n v="80"/>
    <n v="10000"/>
    <x v="5"/>
    <n v="105000000"/>
    <x v="2"/>
    <d v="2019-09-01T00:00:00"/>
    <x v="2"/>
    <x v="2"/>
    <s v="TẾT"/>
    <m/>
    <m/>
    <m/>
    <m/>
    <m/>
    <m/>
    <m/>
    <m/>
    <m/>
    <m/>
    <m/>
    <n v="0"/>
    <n v="10000"/>
    <n v="105000000"/>
    <m/>
  </r>
  <r>
    <x v="49"/>
    <d v="2019-03-20T00:00:00"/>
    <s v="THANH THÚY"/>
    <x v="25"/>
    <x v="27"/>
    <x v="8"/>
    <x v="4"/>
    <x v="0"/>
    <x v="1"/>
    <x v="9"/>
    <s v="NL2018"/>
    <m/>
    <n v="67"/>
    <n v="10050"/>
    <x v="30"/>
    <n v="75375000"/>
    <x v="2"/>
    <d v="2019-09-01T00:00:00"/>
    <x v="2"/>
    <x v="2"/>
    <s v="TẾT"/>
    <m/>
    <m/>
    <m/>
    <m/>
    <m/>
    <m/>
    <m/>
    <m/>
    <m/>
    <m/>
    <m/>
    <n v="0"/>
    <n v="10050"/>
    <n v="75375000"/>
    <m/>
  </r>
  <r>
    <x v="48"/>
    <d v="2019-02-19T00:00:00"/>
    <s v="THANH THÚY"/>
    <x v="25"/>
    <x v="27"/>
    <x v="60"/>
    <x v="7"/>
    <x v="0"/>
    <x v="5"/>
    <x v="17"/>
    <s v="NL2018"/>
    <m/>
    <n v="0"/>
    <n v="0"/>
    <x v="72"/>
    <n v="0"/>
    <x v="1"/>
    <d v="2019-03-15T00:00:00"/>
    <x v="5"/>
    <x v="5"/>
    <s v="15/3AL"/>
    <m/>
    <m/>
    <m/>
    <m/>
    <m/>
    <m/>
    <m/>
    <m/>
    <m/>
    <m/>
    <m/>
    <n v="0"/>
    <n v="0"/>
    <n v="0"/>
    <m/>
  </r>
  <r>
    <x v="48"/>
    <d v="2019-02-19T00:00:00"/>
    <s v="THANH THÚY"/>
    <x v="25"/>
    <x v="27"/>
    <x v="13"/>
    <x v="7"/>
    <x v="0"/>
    <x v="5"/>
    <x v="6"/>
    <s v="NL2018"/>
    <m/>
    <n v="34"/>
    <n v="10200"/>
    <x v="72"/>
    <n v="44574000"/>
    <x v="0"/>
    <s v="30-Feb-19"/>
    <x v="29"/>
    <x v="29"/>
    <s v="30/2AL"/>
    <s v="CONT 14/2019"/>
    <m/>
    <m/>
    <d v="2019-04-03T00:00:00"/>
    <n v="10200"/>
    <m/>
    <m/>
    <m/>
    <m/>
    <m/>
    <m/>
    <n v="10200"/>
    <n v="0"/>
    <n v="0"/>
    <m/>
  </r>
  <r>
    <x v="49"/>
    <d v="2019-03-20T00:00:00"/>
    <s v="THANH THÚY"/>
    <x v="25"/>
    <x v="27"/>
    <x v="24"/>
    <x v="7"/>
    <x v="0"/>
    <x v="4"/>
    <x v="14"/>
    <s v="NL2018"/>
    <m/>
    <n v="80"/>
    <n v="10000"/>
    <x v="26"/>
    <n v="108000000"/>
    <x v="2"/>
    <d v="2019-09-01T00:00:00"/>
    <x v="2"/>
    <x v="2"/>
    <s v="TẾT"/>
    <m/>
    <m/>
    <m/>
    <m/>
    <m/>
    <m/>
    <m/>
    <m/>
    <m/>
    <m/>
    <m/>
    <n v="0"/>
    <n v="10000"/>
    <n v="108000000"/>
    <m/>
  </r>
  <r>
    <x v="48"/>
    <d v="2019-06-19T00:00:00"/>
    <s v="THANH THÚY"/>
    <x v="25"/>
    <x v="27"/>
    <x v="9"/>
    <x v="5"/>
    <x v="0"/>
    <x v="3"/>
    <x v="5"/>
    <s v="NL2018"/>
    <m/>
    <n v="100"/>
    <n v="20000"/>
    <x v="32"/>
    <n v="106000000"/>
    <x v="2"/>
    <d v="2019-06-25T00:00:00"/>
    <x v="19"/>
    <x v="19"/>
    <m/>
    <m/>
    <m/>
    <m/>
    <m/>
    <m/>
    <m/>
    <m/>
    <m/>
    <m/>
    <m/>
    <m/>
    <n v="0"/>
    <n v="20000"/>
    <n v="106000000"/>
    <m/>
  </r>
  <r>
    <x v="48"/>
    <d v="2019-06-19T00:00:00"/>
    <s v="THANH THÚY"/>
    <x v="25"/>
    <x v="27"/>
    <x v="9"/>
    <x v="5"/>
    <x v="0"/>
    <x v="3"/>
    <x v="5"/>
    <s v="NL2018"/>
    <m/>
    <n v="150"/>
    <n v="30000"/>
    <x v="6"/>
    <n v="162000000"/>
    <x v="2"/>
    <d v="2019-07-15T00:00:00"/>
    <x v="39"/>
    <x v="39"/>
    <m/>
    <m/>
    <m/>
    <m/>
    <m/>
    <m/>
    <m/>
    <m/>
    <m/>
    <m/>
    <m/>
    <m/>
    <n v="0"/>
    <n v="30000"/>
    <n v="162000000"/>
    <m/>
  </r>
  <r>
    <x v="48"/>
    <d v="2019-06-19T00:00:00"/>
    <s v="THANH THÚY"/>
    <x v="25"/>
    <x v="27"/>
    <x v="61"/>
    <x v="5"/>
    <x v="0"/>
    <x v="1"/>
    <x v="9"/>
    <s v="NL2018"/>
    <m/>
    <n v="334"/>
    <n v="50100"/>
    <x v="88"/>
    <n v="380760000"/>
    <x v="2"/>
    <d v="2019-07-15T00:00:00"/>
    <x v="39"/>
    <x v="39"/>
    <s v="KH lấy củ + Phí Kho lạnh"/>
    <m/>
    <m/>
    <m/>
    <m/>
    <m/>
    <m/>
    <m/>
    <m/>
    <m/>
    <m/>
    <m/>
    <n v="0"/>
    <n v="50100"/>
    <n v="380760000"/>
    <m/>
  </r>
  <r>
    <x v="50"/>
    <d v="2019-05-07T00:00:00"/>
    <s v="THANH THÚY"/>
    <x v="25"/>
    <x v="27"/>
    <x v="9"/>
    <x v="5"/>
    <x v="0"/>
    <x v="3"/>
    <x v="5"/>
    <s v="NL2018"/>
    <m/>
    <n v="50"/>
    <n v="10000"/>
    <x v="54"/>
    <n v="56000000"/>
    <x v="0"/>
    <m/>
    <x v="35"/>
    <x v="35"/>
    <m/>
    <m/>
    <m/>
    <m/>
    <d v="2019-05-09T00:00:00"/>
    <n v="10000"/>
    <m/>
    <m/>
    <m/>
    <m/>
    <m/>
    <m/>
    <n v="10000"/>
    <n v="0"/>
    <n v="0"/>
    <d v="2020-01-06T00:00:00"/>
  </r>
  <r>
    <x v="51"/>
    <d v="2019-01-05T00:00:00"/>
    <s v="KIỀU THY"/>
    <x v="26"/>
    <x v="28"/>
    <x v="10"/>
    <x v="1"/>
    <x v="0"/>
    <x v="3"/>
    <x v="5"/>
    <s v="NL2018"/>
    <m/>
    <n v="50"/>
    <n v="10000"/>
    <x v="89"/>
    <n v="57700000"/>
    <x v="4"/>
    <d v="2019-05-12T00:00:00"/>
    <x v="40"/>
    <x v="40"/>
    <s v="T5/AL"/>
    <m/>
    <m/>
    <m/>
    <m/>
    <n v="0"/>
    <m/>
    <m/>
    <m/>
    <m/>
    <m/>
    <m/>
    <n v="0"/>
    <n v="10000"/>
    <n v="57700000"/>
    <m/>
  </r>
  <r>
    <x v="51"/>
    <d v="2019-01-05T00:00:00"/>
    <s v="KIỀU THY"/>
    <x v="26"/>
    <x v="28"/>
    <x v="10"/>
    <x v="1"/>
    <x v="0"/>
    <x v="3"/>
    <x v="5"/>
    <s v="NL2018"/>
    <m/>
    <n v="50"/>
    <n v="10000"/>
    <x v="90"/>
    <n v="57550000"/>
    <x v="3"/>
    <d v="2019-06-08T00:00:00"/>
    <x v="41"/>
    <x v="41"/>
    <s v="T6/AL"/>
    <m/>
    <m/>
    <m/>
    <m/>
    <n v="0"/>
    <m/>
    <m/>
    <m/>
    <m/>
    <m/>
    <m/>
    <n v="0"/>
    <n v="10000"/>
    <n v="57550000"/>
    <m/>
  </r>
  <r>
    <x v="51"/>
    <d v="2019-01-05T00:00:00"/>
    <s v="KIỀU THY"/>
    <x v="26"/>
    <x v="28"/>
    <x v="10"/>
    <x v="1"/>
    <x v="0"/>
    <x v="3"/>
    <x v="5"/>
    <s v="NL2018"/>
    <m/>
    <n v="50"/>
    <n v="10000"/>
    <x v="91"/>
    <n v="58400000"/>
    <x v="2"/>
    <d v="2019-07-09T00:00:00"/>
    <x v="42"/>
    <x v="42"/>
    <s v="T7/AL"/>
    <m/>
    <m/>
    <m/>
    <m/>
    <n v="0"/>
    <m/>
    <m/>
    <m/>
    <m/>
    <m/>
    <m/>
    <n v="0"/>
    <n v="10000"/>
    <n v="58400000"/>
    <m/>
  </r>
  <r>
    <x v="51"/>
    <d v="2019-01-05T00:00:00"/>
    <s v="KIỀU THY"/>
    <x v="26"/>
    <x v="28"/>
    <x v="10"/>
    <x v="1"/>
    <x v="0"/>
    <x v="3"/>
    <x v="5"/>
    <s v="NL2018"/>
    <m/>
    <n v="50"/>
    <n v="10000"/>
    <x v="92"/>
    <n v="60100000"/>
    <x v="2"/>
    <d v="2019-09-10T00:00:00"/>
    <x v="43"/>
    <x v="43"/>
    <s v="T9/AL"/>
    <m/>
    <m/>
    <m/>
    <m/>
    <n v="0"/>
    <m/>
    <m/>
    <m/>
    <m/>
    <m/>
    <m/>
    <n v="0"/>
    <n v="10000"/>
    <n v="60100000"/>
    <m/>
  </r>
  <r>
    <x v="52"/>
    <d v="2019-01-05T00:00:00"/>
    <s v="KIỀU THY"/>
    <x v="26"/>
    <x v="28"/>
    <x v="10"/>
    <x v="1"/>
    <x v="0"/>
    <x v="3"/>
    <x v="5"/>
    <s v="NL2018"/>
    <m/>
    <n v="50"/>
    <n v="10000"/>
    <x v="10"/>
    <n v="55000000"/>
    <x v="0"/>
    <d v="2019-01-15T00:00:00"/>
    <x v="6"/>
    <x v="6"/>
    <s v="15/1AL"/>
    <m/>
    <m/>
    <m/>
    <d v="2019-02-19T00:00:00"/>
    <n v="10000"/>
    <m/>
    <m/>
    <m/>
    <m/>
    <m/>
    <m/>
    <n v="10000"/>
    <n v="0"/>
    <n v="0"/>
    <m/>
  </r>
  <r>
    <x v="53"/>
    <d v="2019-01-05T00:00:00"/>
    <s v="KIỀU THY"/>
    <x v="26"/>
    <x v="28"/>
    <x v="1"/>
    <x v="1"/>
    <x v="0"/>
    <x v="1"/>
    <x v="9"/>
    <s v="NL2018"/>
    <m/>
    <n v="34"/>
    <n v="5100"/>
    <x v="23"/>
    <n v="46410000"/>
    <x v="2"/>
    <d v="2019-09-01T00:00:00"/>
    <x v="2"/>
    <x v="2"/>
    <s v="TẾT"/>
    <m/>
    <m/>
    <m/>
    <m/>
    <n v="0"/>
    <m/>
    <m/>
    <m/>
    <m/>
    <m/>
    <m/>
    <n v="0"/>
    <n v="5100"/>
    <n v="46410000"/>
    <m/>
  </r>
  <r>
    <x v="51"/>
    <d v="2019-05-11T00:00:00"/>
    <s v="KIỀU THY"/>
    <x v="26"/>
    <x v="28"/>
    <x v="5"/>
    <x v="3"/>
    <x v="0"/>
    <x v="1"/>
    <x v="9"/>
    <s v="NL2018"/>
    <s v="STEEN"/>
    <n v="134"/>
    <n v="20100"/>
    <x v="9"/>
    <n v="160800000"/>
    <x v="4"/>
    <d v="2019-05-05T00:00:00"/>
    <x v="27"/>
    <x v="27"/>
    <s v="T5/AL"/>
    <m/>
    <m/>
    <m/>
    <d v="2019-06-08T00:00:00"/>
    <n v="10050"/>
    <m/>
    <m/>
    <m/>
    <m/>
    <m/>
    <m/>
    <n v="10050"/>
    <n v="10050"/>
    <n v="80400000"/>
    <m/>
  </r>
  <r>
    <x v="51"/>
    <d v="2019-01-05T00:00:00"/>
    <s v="KIỀU THY"/>
    <x v="26"/>
    <x v="28"/>
    <x v="5"/>
    <x v="3"/>
    <x v="0"/>
    <x v="1"/>
    <x v="9"/>
    <s v="NL2018"/>
    <m/>
    <n v="67"/>
    <n v="10050"/>
    <x v="93"/>
    <n v="66460650"/>
    <x v="0"/>
    <d v="2019-05-05T00:00:00"/>
    <x v="27"/>
    <x v="27"/>
    <m/>
    <m/>
    <m/>
    <m/>
    <d v="2019-06-08T00:00:00"/>
    <n v="10050"/>
    <m/>
    <m/>
    <m/>
    <m/>
    <m/>
    <m/>
    <n v="10050"/>
    <n v="0"/>
    <n v="0"/>
    <m/>
  </r>
  <r>
    <x v="51"/>
    <d v="2019-01-05T00:00:00"/>
    <s v="KIỀU THY"/>
    <x v="26"/>
    <x v="28"/>
    <x v="5"/>
    <x v="3"/>
    <x v="0"/>
    <x v="1"/>
    <x v="9"/>
    <s v="NL2018"/>
    <m/>
    <n v="67"/>
    <n v="10050"/>
    <x v="94"/>
    <n v="66330000"/>
    <x v="3"/>
    <d v="2019-06-08T00:00:00"/>
    <x v="41"/>
    <x v="41"/>
    <s v="T6/AL"/>
    <m/>
    <m/>
    <m/>
    <m/>
    <n v="0"/>
    <m/>
    <m/>
    <m/>
    <m/>
    <m/>
    <m/>
    <n v="0"/>
    <n v="10050"/>
    <n v="66330000"/>
    <m/>
  </r>
  <r>
    <x v="51"/>
    <d v="2019-01-05T00:00:00"/>
    <s v="KIỀU THY"/>
    <x v="26"/>
    <x v="28"/>
    <x v="5"/>
    <x v="3"/>
    <x v="0"/>
    <x v="1"/>
    <x v="9"/>
    <s v="NL2018"/>
    <m/>
    <n v="134"/>
    <n v="20100"/>
    <x v="31"/>
    <n v="134670000"/>
    <x v="2"/>
    <d v="2019-07-09T00:00:00"/>
    <x v="42"/>
    <x v="42"/>
    <s v="T7/AL"/>
    <m/>
    <m/>
    <m/>
    <m/>
    <n v="0"/>
    <m/>
    <m/>
    <m/>
    <m/>
    <m/>
    <m/>
    <n v="0"/>
    <n v="20100"/>
    <n v="134670000"/>
    <m/>
  </r>
  <r>
    <x v="51"/>
    <d v="2019-01-05T00:00:00"/>
    <s v="KIỀU THY"/>
    <x v="26"/>
    <x v="28"/>
    <x v="5"/>
    <x v="3"/>
    <x v="0"/>
    <x v="1"/>
    <x v="9"/>
    <s v="NL2018"/>
    <m/>
    <n v="200"/>
    <n v="30000"/>
    <x v="60"/>
    <n v="204000000"/>
    <x v="2"/>
    <d v="2019-08-10T00:00:00"/>
    <x v="44"/>
    <x v="44"/>
    <s v="T8/AL"/>
    <m/>
    <m/>
    <m/>
    <m/>
    <n v="0"/>
    <m/>
    <m/>
    <m/>
    <m/>
    <m/>
    <m/>
    <n v="0"/>
    <n v="30000"/>
    <n v="204000000"/>
    <m/>
  </r>
  <r>
    <x v="53"/>
    <d v="2019-01-05T00:00:00"/>
    <s v="KIỀU THY"/>
    <x v="26"/>
    <x v="28"/>
    <x v="4"/>
    <x v="3"/>
    <x v="0"/>
    <x v="4"/>
    <x v="14"/>
    <s v="NL2018"/>
    <m/>
    <n v="80"/>
    <n v="10000"/>
    <x v="5"/>
    <n v="105000000"/>
    <x v="2"/>
    <d v="2019-09-01T00:00:00"/>
    <x v="2"/>
    <x v="2"/>
    <s v="TẾT"/>
    <m/>
    <m/>
    <m/>
    <m/>
    <n v="0"/>
    <m/>
    <m/>
    <m/>
    <m/>
    <m/>
    <m/>
    <n v="0"/>
    <n v="10000"/>
    <n v="105000000"/>
    <m/>
  </r>
  <r>
    <x v="52"/>
    <d v="2019-01-05T00:00:00"/>
    <s v="KIỀU THY"/>
    <x v="26"/>
    <x v="28"/>
    <x v="5"/>
    <x v="3"/>
    <x v="0"/>
    <x v="1"/>
    <x v="9"/>
    <s v="NL2018"/>
    <m/>
    <n v="67"/>
    <n v="10050"/>
    <x v="95"/>
    <n v="65606400"/>
    <x v="0"/>
    <d v="2019-04-17T00:00:00"/>
    <x v="1"/>
    <x v="1"/>
    <s v="15/4AL"/>
    <m/>
    <m/>
    <m/>
    <m/>
    <n v="0"/>
    <d v="2019-05-27T00:00:00"/>
    <n v="10050"/>
    <m/>
    <m/>
    <m/>
    <m/>
    <n v="10050"/>
    <n v="0"/>
    <n v="0"/>
    <m/>
  </r>
  <r>
    <x v="52"/>
    <d v="2019-01-05T00:00:00"/>
    <s v="KIỀU THY"/>
    <x v="26"/>
    <x v="28"/>
    <x v="5"/>
    <x v="3"/>
    <x v="0"/>
    <x v="1"/>
    <x v="9"/>
    <s v="NL2018"/>
    <m/>
    <n v="67"/>
    <n v="10050"/>
    <x v="73"/>
    <n v="63315000"/>
    <x v="0"/>
    <d v="2019-01-23T00:00:00"/>
    <x v="21"/>
    <x v="21"/>
    <s v="23/1AL"/>
    <m/>
    <m/>
    <m/>
    <d v="2019-02-27T00:00:00"/>
    <n v="10050"/>
    <m/>
    <m/>
    <m/>
    <m/>
    <m/>
    <m/>
    <n v="10050"/>
    <n v="0"/>
    <n v="0"/>
    <m/>
  </r>
  <r>
    <x v="52"/>
    <d v="2019-01-05T00:00:00"/>
    <s v="KIỀU THY"/>
    <x v="26"/>
    <x v="28"/>
    <x v="5"/>
    <x v="3"/>
    <x v="0"/>
    <x v="1"/>
    <x v="9"/>
    <s v="NL2018"/>
    <m/>
    <n v="15"/>
    <n v="2250"/>
    <x v="73"/>
    <n v="14175000"/>
    <x v="0"/>
    <d v="2019-01-23T00:00:00"/>
    <x v="21"/>
    <x v="21"/>
    <s v="23/1AL"/>
    <m/>
    <m/>
    <m/>
    <d v="2019-03-19T00:00:00"/>
    <n v="2250"/>
    <m/>
    <m/>
    <m/>
    <m/>
    <m/>
    <m/>
    <n v="2250"/>
    <n v="0"/>
    <n v="0"/>
    <m/>
  </r>
  <r>
    <x v="52"/>
    <d v="2019-01-05T00:00:00"/>
    <s v="KIỀU THY"/>
    <x v="26"/>
    <x v="28"/>
    <x v="5"/>
    <x v="3"/>
    <x v="0"/>
    <x v="1"/>
    <x v="9"/>
    <s v="NL2018"/>
    <m/>
    <n v="60"/>
    <n v="9000"/>
    <x v="73"/>
    <n v="56700000"/>
    <x v="0"/>
    <d v="2019-02-15T00:00:00"/>
    <x v="0"/>
    <x v="0"/>
    <s v="15/2AL"/>
    <s v="CONT 10/2019"/>
    <d v="2019-03-17T00:00:00"/>
    <m/>
    <d v="2019-03-19T00:00:00"/>
    <n v="9000"/>
    <m/>
    <m/>
    <m/>
    <m/>
    <m/>
    <m/>
    <n v="9000"/>
    <n v="0"/>
    <n v="0"/>
    <m/>
  </r>
  <r>
    <x v="52"/>
    <d v="2019-01-05T00:00:00"/>
    <s v="KIỀU THY"/>
    <x v="26"/>
    <x v="28"/>
    <x v="5"/>
    <x v="3"/>
    <x v="0"/>
    <x v="1"/>
    <x v="9"/>
    <s v="NL2018"/>
    <m/>
    <n v="167"/>
    <n v="25050"/>
    <x v="73"/>
    <n v="157815000"/>
    <x v="0"/>
    <d v="2019-03-15T00:00:00"/>
    <x v="5"/>
    <x v="5"/>
    <s v="15/3AL"/>
    <s v="CONT 25/2019"/>
    <d v="2019-04-14T00:00:00"/>
    <m/>
    <d v="2019-04-23T00:00:00"/>
    <n v="12000"/>
    <d v="2019-05-04T00:00:00"/>
    <n v="13050"/>
    <m/>
    <m/>
    <m/>
    <m/>
    <n v="25050"/>
    <n v="0"/>
    <n v="0"/>
    <m/>
  </r>
  <r>
    <x v="54"/>
    <d v="2019-04-08T00:00:00"/>
    <s v="KIỀU THY"/>
    <x v="26"/>
    <x v="28"/>
    <x v="11"/>
    <x v="6"/>
    <x v="0"/>
    <x v="3"/>
    <x v="5"/>
    <s v="NL2018"/>
    <m/>
    <n v="25"/>
    <n v="5000"/>
    <x v="31"/>
    <n v="33500000"/>
    <x v="0"/>
    <s v="30-Feb-19"/>
    <x v="29"/>
    <x v="29"/>
    <s v="30/2AL"/>
    <m/>
    <m/>
    <m/>
    <d v="2019-04-12T00:00:00"/>
    <n v="5000"/>
    <m/>
    <m/>
    <m/>
    <m/>
    <m/>
    <m/>
    <n v="5000"/>
    <n v="0"/>
    <n v="0"/>
    <m/>
  </r>
  <r>
    <x v="52"/>
    <d v="2019-01-05T00:00:00"/>
    <s v="KIỀU THY"/>
    <x v="26"/>
    <x v="28"/>
    <x v="11"/>
    <x v="6"/>
    <x v="0"/>
    <x v="3"/>
    <x v="5"/>
    <s v="NL2018"/>
    <m/>
    <n v="35"/>
    <n v="7000"/>
    <x v="96"/>
    <n v="45500000"/>
    <x v="0"/>
    <d v="2019-01-15T00:00:00"/>
    <x v="6"/>
    <x v="6"/>
    <s v="15/1AL"/>
    <m/>
    <m/>
    <m/>
    <d v="2019-02-19T00:00:00"/>
    <n v="7000"/>
    <m/>
    <m/>
    <m/>
    <m/>
    <m/>
    <m/>
    <n v="7000"/>
    <n v="0"/>
    <n v="0"/>
    <m/>
  </r>
  <r>
    <x v="52"/>
    <d v="2019-01-05T00:00:00"/>
    <s v="KIỀU THY"/>
    <x v="26"/>
    <x v="28"/>
    <x v="11"/>
    <x v="6"/>
    <x v="0"/>
    <x v="3"/>
    <x v="5"/>
    <s v="NL2018"/>
    <m/>
    <n v="50"/>
    <n v="10000"/>
    <x v="31"/>
    <n v="67000000"/>
    <x v="0"/>
    <d v="2019-02-15T00:00:00"/>
    <x v="0"/>
    <x v="0"/>
    <s v="15/2AL"/>
    <s v="CONT 12/2019"/>
    <d v="2019-03-17T00:00:00"/>
    <m/>
    <d v="2019-03-19T00:00:00"/>
    <n v="10000"/>
    <m/>
    <m/>
    <m/>
    <m/>
    <m/>
    <m/>
    <n v="10000"/>
    <n v="0"/>
    <n v="0"/>
    <m/>
  </r>
  <r>
    <x v="51"/>
    <d v="2019-01-05T00:00:00"/>
    <s v="KIỀU THY"/>
    <x v="26"/>
    <x v="28"/>
    <x v="89"/>
    <x v="44"/>
    <x v="0"/>
    <x v="3"/>
    <x v="5"/>
    <s v="NL2018"/>
    <m/>
    <n v="50"/>
    <n v="10000"/>
    <x v="97"/>
    <n v="56700000"/>
    <x v="4"/>
    <d v="2019-05-12T00:00:00"/>
    <x v="40"/>
    <x v="40"/>
    <s v="T5/AL"/>
    <m/>
    <m/>
    <m/>
    <m/>
    <n v="0"/>
    <m/>
    <m/>
    <m/>
    <m/>
    <m/>
    <m/>
    <n v="0"/>
    <n v="10000"/>
    <n v="56700000"/>
    <m/>
  </r>
  <r>
    <x v="51"/>
    <d v="2019-01-05T00:00:00"/>
    <s v="KIỀU THY"/>
    <x v="26"/>
    <x v="28"/>
    <x v="89"/>
    <x v="44"/>
    <x v="0"/>
    <x v="3"/>
    <x v="5"/>
    <s v="NL2018"/>
    <m/>
    <n v="150"/>
    <n v="30000"/>
    <x v="98"/>
    <n v="177750000"/>
    <x v="2"/>
    <d v="2019-08-10T00:00:00"/>
    <x v="44"/>
    <x v="44"/>
    <s v="T8/AL"/>
    <m/>
    <m/>
    <m/>
    <m/>
    <n v="0"/>
    <m/>
    <m/>
    <m/>
    <m/>
    <m/>
    <m/>
    <n v="0"/>
    <n v="30000"/>
    <n v="177750000"/>
    <m/>
  </r>
  <r>
    <x v="52"/>
    <d v="2019-01-05T00:00:00"/>
    <s v="KIỀU THY"/>
    <x v="26"/>
    <x v="28"/>
    <x v="89"/>
    <x v="44"/>
    <x v="0"/>
    <x v="3"/>
    <x v="5"/>
    <s v="NL2018"/>
    <m/>
    <n v="75"/>
    <n v="15000"/>
    <x v="10"/>
    <n v="82500000"/>
    <x v="0"/>
    <s v="30-Feb-19"/>
    <x v="29"/>
    <x v="29"/>
    <s v="30/2AL"/>
    <s v="CONT 14/2019"/>
    <d v="2019-03-31T00:00:00"/>
    <m/>
    <d v="2019-04-12T00:00:00"/>
    <n v="15000"/>
    <m/>
    <m/>
    <m/>
    <m/>
    <m/>
    <m/>
    <n v="15000"/>
    <n v="0"/>
    <n v="0"/>
    <m/>
  </r>
  <r>
    <x v="51"/>
    <d v="2019-01-05T00:00:00"/>
    <s v="KIỀU THY"/>
    <x v="26"/>
    <x v="28"/>
    <x v="6"/>
    <x v="39"/>
    <x v="0"/>
    <x v="3"/>
    <x v="5"/>
    <s v="NL2018"/>
    <s v="STEEN"/>
    <n v="18"/>
    <n v="3600"/>
    <x v="99"/>
    <n v="21002400"/>
    <x v="0"/>
    <d v="2019-05-05T00:00:00"/>
    <x v="27"/>
    <x v="27"/>
    <s v="T5/AL"/>
    <m/>
    <m/>
    <m/>
    <d v="2019-06-25T00:00:00"/>
    <n v="3600"/>
    <m/>
    <m/>
    <m/>
    <m/>
    <m/>
    <m/>
    <n v="3600"/>
    <n v="0"/>
    <n v="0"/>
    <m/>
  </r>
  <r>
    <x v="51"/>
    <d v="2019-01-05T00:00:00"/>
    <s v="KIỀU THY"/>
    <x v="26"/>
    <x v="28"/>
    <x v="6"/>
    <x v="39"/>
    <x v="0"/>
    <x v="3"/>
    <x v="5"/>
    <s v="NL2018"/>
    <s v="STEEN"/>
    <n v="25"/>
    <n v="5000"/>
    <x v="100"/>
    <n v="29380000"/>
    <x v="0"/>
    <d v="2019-05-18T00:00:00"/>
    <x v="3"/>
    <x v="3"/>
    <m/>
    <m/>
    <m/>
    <m/>
    <d v="2019-06-25T00:00:00"/>
    <n v="5000"/>
    <m/>
    <m/>
    <m/>
    <m/>
    <m/>
    <m/>
    <n v="5000"/>
    <n v="0"/>
    <n v="0"/>
    <m/>
  </r>
  <r>
    <x v="51"/>
    <d v="2019-01-05T00:00:00"/>
    <s v="KIỀU THY"/>
    <x v="26"/>
    <x v="28"/>
    <x v="6"/>
    <x v="39"/>
    <x v="0"/>
    <x v="3"/>
    <x v="5"/>
    <s v="NL2018"/>
    <m/>
    <n v="0"/>
    <n v="0"/>
    <x v="4"/>
    <n v="0"/>
    <x v="1"/>
    <d v="2019-05-05T00:00:00"/>
    <x v="27"/>
    <x v="27"/>
    <m/>
    <m/>
    <m/>
    <m/>
    <m/>
    <m/>
    <m/>
    <m/>
    <m/>
    <m/>
    <m/>
    <m/>
    <n v="0"/>
    <n v="0"/>
    <n v="0"/>
    <m/>
  </r>
  <r>
    <x v="51"/>
    <d v="2019-01-05T00:00:00"/>
    <s v="KIỀU THY"/>
    <x v="26"/>
    <x v="28"/>
    <x v="6"/>
    <x v="39"/>
    <x v="0"/>
    <x v="3"/>
    <x v="5"/>
    <s v="NL2018"/>
    <m/>
    <n v="50"/>
    <n v="10000"/>
    <x v="101"/>
    <n v="52550000"/>
    <x v="3"/>
    <d v="2019-06-08T00:00:00"/>
    <x v="41"/>
    <x v="41"/>
    <s v="T6/AL"/>
    <m/>
    <m/>
    <m/>
    <m/>
    <n v="0"/>
    <m/>
    <m/>
    <m/>
    <m/>
    <m/>
    <m/>
    <n v="0"/>
    <n v="10000"/>
    <n v="52550000"/>
    <m/>
  </r>
  <r>
    <x v="51"/>
    <d v="2019-01-05T00:00:00"/>
    <s v="KIỀU THY"/>
    <x v="26"/>
    <x v="28"/>
    <x v="6"/>
    <x v="39"/>
    <x v="0"/>
    <x v="3"/>
    <x v="5"/>
    <s v="NL2018"/>
    <m/>
    <n v="100"/>
    <n v="20000"/>
    <x v="102"/>
    <n v="106800000"/>
    <x v="2"/>
    <d v="2019-07-09T00:00:00"/>
    <x v="42"/>
    <x v="42"/>
    <s v="T7/AL"/>
    <m/>
    <m/>
    <m/>
    <m/>
    <n v="0"/>
    <m/>
    <m/>
    <m/>
    <m/>
    <m/>
    <m/>
    <n v="0"/>
    <n v="20000"/>
    <n v="106800000"/>
    <m/>
  </r>
  <r>
    <x v="52"/>
    <d v="2019-01-05T00:00:00"/>
    <s v="KIỀU THY"/>
    <x v="26"/>
    <x v="28"/>
    <x v="6"/>
    <x v="39"/>
    <x v="0"/>
    <x v="3"/>
    <x v="3"/>
    <s v="NL2018"/>
    <m/>
    <n v="35"/>
    <n v="7000"/>
    <x v="103"/>
    <n v="35595000"/>
    <x v="0"/>
    <d v="2019-03-15T00:00:00"/>
    <x v="5"/>
    <x v="5"/>
    <s v="15/3AL"/>
    <m/>
    <m/>
    <m/>
    <d v="2019-05-13T00:00:00"/>
    <n v="7000"/>
    <m/>
    <m/>
    <m/>
    <m/>
    <m/>
    <m/>
    <n v="7000"/>
    <n v="0"/>
    <n v="0"/>
    <m/>
  </r>
  <r>
    <x v="52"/>
    <d v="2019-01-05T00:00:00"/>
    <s v="KIỀU THY"/>
    <x v="26"/>
    <x v="28"/>
    <x v="6"/>
    <x v="39"/>
    <x v="0"/>
    <x v="3"/>
    <x v="5"/>
    <s v="NL2018"/>
    <m/>
    <n v="65"/>
    <n v="13000"/>
    <x v="4"/>
    <n v="67210000"/>
    <x v="0"/>
    <d v="2019-04-17T00:00:00"/>
    <x v="1"/>
    <x v="1"/>
    <s v="30/03AL"/>
    <m/>
    <m/>
    <m/>
    <d v="2019-05-23T00:00:00"/>
    <n v="2600"/>
    <d v="2019-05-27T00:00:00"/>
    <n v="10400"/>
    <m/>
    <m/>
    <m/>
    <m/>
    <n v="13000"/>
    <n v="0"/>
    <n v="0"/>
    <m/>
  </r>
  <r>
    <x v="52"/>
    <d v="2019-01-05T00:00:00"/>
    <s v="KIỀU THY"/>
    <x v="26"/>
    <x v="28"/>
    <x v="6"/>
    <x v="39"/>
    <x v="0"/>
    <x v="3"/>
    <x v="5"/>
    <s v="NL2018"/>
    <m/>
    <n v="40"/>
    <n v="8000"/>
    <x v="28"/>
    <n v="36800000"/>
    <x v="0"/>
    <d v="2019-01-15T00:00:00"/>
    <x v="6"/>
    <x v="6"/>
    <s v="15/1AL"/>
    <m/>
    <m/>
    <m/>
    <d v="2019-02-19T00:00:00"/>
    <n v="8000"/>
    <m/>
    <m/>
    <m/>
    <m/>
    <m/>
    <m/>
    <n v="8000"/>
    <n v="0"/>
    <n v="0"/>
    <m/>
  </r>
  <r>
    <x v="53"/>
    <d v="2019-01-05T00:00:00"/>
    <s v="KIỀU THY"/>
    <x v="26"/>
    <x v="28"/>
    <x v="8"/>
    <x v="4"/>
    <x v="0"/>
    <x v="1"/>
    <x v="9"/>
    <s v="NL2018"/>
    <m/>
    <n v="134"/>
    <n v="20100"/>
    <x v="55"/>
    <n v="144720000"/>
    <x v="2"/>
    <d v="2019-09-01T00:00:00"/>
    <x v="2"/>
    <x v="2"/>
    <s v="TẾT"/>
    <m/>
    <m/>
    <m/>
    <m/>
    <n v="0"/>
    <m/>
    <m/>
    <m/>
    <m/>
    <m/>
    <m/>
    <n v="0"/>
    <n v="20100"/>
    <n v="144720000"/>
    <m/>
  </r>
  <r>
    <x v="53"/>
    <d v="2019-01-05T00:00:00"/>
    <s v="KIỀU THY"/>
    <x v="26"/>
    <x v="28"/>
    <x v="7"/>
    <x v="4"/>
    <x v="0"/>
    <x v="4"/>
    <x v="14"/>
    <s v="NL2018"/>
    <m/>
    <n v="24"/>
    <n v="3000"/>
    <x v="5"/>
    <n v="31500000"/>
    <x v="2"/>
    <d v="2019-09-01T00:00:00"/>
    <x v="2"/>
    <x v="2"/>
    <s v="TẾT"/>
    <m/>
    <m/>
    <m/>
    <m/>
    <n v="0"/>
    <m/>
    <m/>
    <m/>
    <m/>
    <m/>
    <m/>
    <n v="0"/>
    <n v="3000"/>
    <n v="31500000"/>
    <m/>
  </r>
  <r>
    <x v="52"/>
    <d v="2019-01-05T00:00:00"/>
    <s v="KIỀU THY"/>
    <x v="26"/>
    <x v="28"/>
    <x v="6"/>
    <x v="4"/>
    <x v="0"/>
    <x v="3"/>
    <x v="5"/>
    <s v="NL2018"/>
    <m/>
    <n v="50"/>
    <n v="10000"/>
    <x v="28"/>
    <n v="46000000"/>
    <x v="0"/>
    <d v="2019-02-15T00:00:00"/>
    <x v="0"/>
    <x v="0"/>
    <s v="15/2AL"/>
    <s v="CONT 10/2019"/>
    <d v="2019-03-17T00:00:00"/>
    <m/>
    <d v="2019-03-19T00:00:00"/>
    <n v="10000"/>
    <m/>
    <m/>
    <m/>
    <m/>
    <m/>
    <m/>
    <n v="10000"/>
    <n v="0"/>
    <n v="0"/>
    <m/>
  </r>
  <r>
    <x v="55"/>
    <d v="2019-02-23T00:00:00"/>
    <s v="THANH THÚY"/>
    <x v="27"/>
    <x v="29"/>
    <x v="3"/>
    <x v="3"/>
    <x v="0"/>
    <x v="3"/>
    <x v="5"/>
    <s v="NL2018"/>
    <m/>
    <n v="100"/>
    <n v="20000"/>
    <x v="8"/>
    <n v="100000000"/>
    <x v="0"/>
    <d v="2019-03-15T00:00:00"/>
    <x v="5"/>
    <x v="5"/>
    <s v="30/3AL"/>
    <m/>
    <m/>
    <m/>
    <d v="2019-05-14T00:00:00"/>
    <n v="20000"/>
    <m/>
    <m/>
    <m/>
    <m/>
    <m/>
    <m/>
    <n v="20000"/>
    <n v="0"/>
    <n v="0"/>
    <d v="2020-01-05T00:00:00"/>
  </r>
  <r>
    <x v="56"/>
    <d v="2019-03-26T00:00:00"/>
    <s v="THANH THÚY"/>
    <x v="27"/>
    <x v="29"/>
    <x v="4"/>
    <x v="3"/>
    <x v="0"/>
    <x v="4"/>
    <x v="14"/>
    <s v="NL2018"/>
    <m/>
    <n v="240"/>
    <n v="30000"/>
    <x v="5"/>
    <n v="315000000"/>
    <x v="2"/>
    <d v="2019-09-01T00:00:00"/>
    <x v="2"/>
    <x v="2"/>
    <s v="TẾT"/>
    <m/>
    <m/>
    <m/>
    <m/>
    <n v="0"/>
    <m/>
    <m/>
    <m/>
    <m/>
    <m/>
    <m/>
    <n v="0"/>
    <n v="30000"/>
    <n v="315000000"/>
    <d v="2020-01-05T00:00:00"/>
  </r>
  <r>
    <x v="56"/>
    <d v="2019-03-26T00:00:00"/>
    <s v="THANH THÚY"/>
    <x v="27"/>
    <x v="29"/>
    <x v="8"/>
    <x v="4"/>
    <x v="0"/>
    <x v="1"/>
    <x v="9"/>
    <s v="NL2018"/>
    <m/>
    <n v="400"/>
    <n v="60000"/>
    <x v="9"/>
    <n v="480000000"/>
    <x v="2"/>
    <d v="2019-09-01T00:00:00"/>
    <x v="2"/>
    <x v="2"/>
    <s v="TẾT"/>
    <m/>
    <m/>
    <m/>
    <m/>
    <m/>
    <m/>
    <m/>
    <m/>
    <m/>
    <m/>
    <m/>
    <n v="0"/>
    <n v="60000"/>
    <n v="480000000"/>
    <m/>
  </r>
  <r>
    <x v="57"/>
    <d v="2019-04-22T00:00:00"/>
    <s v="KIỀU THY"/>
    <x v="28"/>
    <x v="30"/>
    <x v="90"/>
    <x v="45"/>
    <x v="0"/>
    <x v="3"/>
    <x v="5"/>
    <s v="NL2018"/>
    <m/>
    <n v="20"/>
    <n v="4000"/>
    <x v="73"/>
    <n v="25200000"/>
    <x v="0"/>
    <d v="2019-05-05T00:00:00"/>
    <x v="27"/>
    <x v="27"/>
    <s v="29/4AL"/>
    <m/>
    <m/>
    <m/>
    <d v="2019-06-13T00:00:00"/>
    <n v="4000"/>
    <m/>
    <m/>
    <m/>
    <m/>
    <m/>
    <m/>
    <n v="4000"/>
    <n v="0"/>
    <n v="0"/>
    <m/>
  </r>
  <r>
    <x v="57"/>
    <d v="2019-04-22T00:00:00"/>
    <s v="KIỀU THY"/>
    <x v="28"/>
    <x v="30"/>
    <x v="91"/>
    <x v="45"/>
    <x v="0"/>
    <x v="1"/>
    <x v="9"/>
    <s v="NL2018"/>
    <m/>
    <n v="23"/>
    <n v="3450"/>
    <x v="55"/>
    <n v="24840000"/>
    <x v="0"/>
    <d v="2019-05-05T00:00:00"/>
    <x v="27"/>
    <x v="27"/>
    <s v="29/4AL"/>
    <m/>
    <m/>
    <m/>
    <d v="2019-06-13T00:00:00"/>
    <n v="3450"/>
    <m/>
    <m/>
    <m/>
    <m/>
    <m/>
    <m/>
    <n v="3450"/>
    <n v="0"/>
    <n v="0"/>
    <m/>
  </r>
  <r>
    <x v="57"/>
    <d v="2019-06-10T00:00:00"/>
    <s v="KIỀU THY"/>
    <x v="28"/>
    <x v="30"/>
    <x v="0"/>
    <x v="0"/>
    <x v="0"/>
    <x v="7"/>
    <x v="8"/>
    <s v="NL2018"/>
    <m/>
    <n v="23"/>
    <n v="9200"/>
    <x v="36"/>
    <n v="25760000"/>
    <x v="0"/>
    <d v="2019-05-05T00:00:00"/>
    <x v="27"/>
    <x v="27"/>
    <m/>
    <m/>
    <m/>
    <m/>
    <d v="2019-06-13T00:00:00"/>
    <n v="9200"/>
    <m/>
    <m/>
    <m/>
    <m/>
    <m/>
    <m/>
    <n v="9200"/>
    <n v="0"/>
    <n v="0"/>
    <m/>
  </r>
  <r>
    <x v="57"/>
    <d v="2019-06-10T00:00:00"/>
    <s v="KIỀU THY"/>
    <x v="28"/>
    <x v="30"/>
    <x v="73"/>
    <x v="0"/>
    <x v="3"/>
    <x v="3"/>
    <x v="5"/>
    <s v="NL2018"/>
    <m/>
    <n v="15"/>
    <n v="3000"/>
    <x v="50"/>
    <n v="18000000"/>
    <x v="0"/>
    <d v="2019-05-05T00:00:00"/>
    <x v="27"/>
    <x v="27"/>
    <m/>
    <m/>
    <m/>
    <m/>
    <d v="2019-06-13T00:00:00"/>
    <n v="3000"/>
    <m/>
    <m/>
    <m/>
    <m/>
    <m/>
    <m/>
    <n v="3000"/>
    <n v="0"/>
    <n v="0"/>
    <m/>
  </r>
  <r>
    <x v="58"/>
    <d v="2019-06-12T00:00:00"/>
    <s v="KIỀU THY"/>
    <x v="28"/>
    <x v="30"/>
    <x v="74"/>
    <x v="0"/>
    <x v="0"/>
    <x v="2"/>
    <x v="6"/>
    <s v="NL2018"/>
    <m/>
    <n v="34"/>
    <n v="10200"/>
    <x v="45"/>
    <n v="40800000"/>
    <x v="2"/>
    <d v="2019-06-29T00:00:00"/>
    <x v="13"/>
    <x v="13"/>
    <m/>
    <m/>
    <m/>
    <m/>
    <m/>
    <m/>
    <m/>
    <m/>
    <m/>
    <m/>
    <m/>
    <m/>
    <n v="0"/>
    <n v="10200"/>
    <n v="40800000"/>
    <m/>
  </r>
  <r>
    <x v="58"/>
    <d v="2019-06-14T00:00:00"/>
    <s v="KIỀU THY"/>
    <x v="28"/>
    <x v="30"/>
    <x v="0"/>
    <x v="0"/>
    <x v="0"/>
    <x v="7"/>
    <x v="8"/>
    <s v="NL2018"/>
    <m/>
    <n v="50"/>
    <n v="20000"/>
    <x v="38"/>
    <n v="58000000"/>
    <x v="2"/>
    <d v="2019-06-25T00:00:00"/>
    <x v="19"/>
    <x v="19"/>
    <m/>
    <m/>
    <m/>
    <m/>
    <m/>
    <m/>
    <m/>
    <m/>
    <m/>
    <m/>
    <m/>
    <m/>
    <n v="0"/>
    <n v="20000"/>
    <n v="58000000"/>
    <m/>
  </r>
  <r>
    <x v="57"/>
    <d v="2019-04-22T00:00:00"/>
    <s v="KIỀU THY"/>
    <x v="28"/>
    <x v="30"/>
    <x v="0"/>
    <x v="0"/>
    <x v="0"/>
    <x v="7"/>
    <x v="8"/>
    <s v="NL2018"/>
    <m/>
    <n v="50"/>
    <n v="20000"/>
    <x v="36"/>
    <n v="56000000"/>
    <x v="3"/>
    <d v="2019-05-20T00:00:00"/>
    <x v="22"/>
    <x v="22"/>
    <s v="15/5AL"/>
    <m/>
    <m/>
    <m/>
    <m/>
    <m/>
    <m/>
    <m/>
    <m/>
    <m/>
    <m/>
    <m/>
    <n v="0"/>
    <n v="20000"/>
    <n v="56000000"/>
    <m/>
  </r>
  <r>
    <x v="59"/>
    <d v="2019-05-03T00:00:00"/>
    <s v="KIỀU THY"/>
    <x v="28"/>
    <x v="30"/>
    <x v="74"/>
    <x v="0"/>
    <x v="0"/>
    <x v="2"/>
    <x v="6"/>
    <s v="NL2018"/>
    <m/>
    <n v="34"/>
    <n v="10200"/>
    <x v="77"/>
    <n v="38760000"/>
    <x v="0"/>
    <d v="2019-03-15T00:00:00"/>
    <x v="5"/>
    <x v="5"/>
    <m/>
    <m/>
    <m/>
    <m/>
    <d v="2019-04-20T00:00:00"/>
    <n v="10200"/>
    <m/>
    <m/>
    <m/>
    <m/>
    <m/>
    <m/>
    <n v="10200"/>
    <n v="0"/>
    <n v="0"/>
    <m/>
  </r>
  <r>
    <x v="60"/>
    <d v="2019-02-22T00:00:00"/>
    <s v="KIỀU THY"/>
    <x v="28"/>
    <x v="30"/>
    <x v="74"/>
    <x v="0"/>
    <x v="0"/>
    <x v="2"/>
    <x v="6"/>
    <s v="NL2018"/>
    <m/>
    <n v="28"/>
    <n v="8400"/>
    <x v="77"/>
    <n v="31920000"/>
    <x v="0"/>
    <s v="30-Feb-19"/>
    <x v="29"/>
    <x v="29"/>
    <s v="30/2AL"/>
    <s v="CONT 14/2019"/>
    <d v="2019-03-31T00:00:00"/>
    <s v="R"/>
    <d v="2019-04-20T00:00:00"/>
    <n v="8400"/>
    <m/>
    <m/>
    <m/>
    <m/>
    <m/>
    <m/>
    <n v="8400"/>
    <n v="0"/>
    <n v="0"/>
    <s v="Check lai, dieu chinh sl cho chan khay"/>
  </r>
  <r>
    <x v="57"/>
    <d v="2019-05-03T00:00:00"/>
    <s v="KIỀU THY"/>
    <x v="28"/>
    <x v="30"/>
    <x v="34"/>
    <x v="1"/>
    <x v="0"/>
    <x v="2"/>
    <x v="6"/>
    <s v="NL2018"/>
    <m/>
    <n v="33"/>
    <n v="9900"/>
    <x v="43"/>
    <n v="48510000"/>
    <x v="4"/>
    <d v="2019-05-18T00:00:00"/>
    <x v="3"/>
    <x v="3"/>
    <s v="15/5AL"/>
    <m/>
    <m/>
    <m/>
    <m/>
    <m/>
    <m/>
    <m/>
    <m/>
    <m/>
    <m/>
    <m/>
    <n v="0"/>
    <n v="9900"/>
    <n v="48510000"/>
    <m/>
  </r>
  <r>
    <x v="60"/>
    <d v="2019-02-22T00:00:00"/>
    <s v="KIỀU THY"/>
    <x v="28"/>
    <x v="30"/>
    <x v="34"/>
    <x v="1"/>
    <x v="0"/>
    <x v="2"/>
    <x v="6"/>
    <s v="NL2018"/>
    <m/>
    <n v="39"/>
    <n v="11700"/>
    <x v="28"/>
    <n v="53820000"/>
    <x v="0"/>
    <d v="2019-02-15T00:00:00"/>
    <x v="0"/>
    <x v="0"/>
    <s v="15/2AL"/>
    <s v="CONT 10/2019"/>
    <d v="2019-03-17T00:00:00"/>
    <s v="R"/>
    <d v="2019-03-20T00:00:00"/>
    <n v="11700"/>
    <m/>
    <m/>
    <m/>
    <m/>
    <m/>
    <m/>
    <n v="11700"/>
    <n v="0"/>
    <n v="0"/>
    <m/>
  </r>
  <r>
    <x v="60"/>
    <d v="2019-02-22T00:00:00"/>
    <s v="KIỀU THY"/>
    <x v="28"/>
    <x v="30"/>
    <x v="34"/>
    <x v="1"/>
    <x v="0"/>
    <x v="2"/>
    <x v="6"/>
    <s v="NL2018"/>
    <m/>
    <n v="17"/>
    <n v="5100"/>
    <x v="28"/>
    <n v="23460000"/>
    <x v="0"/>
    <s v="30-Feb-19"/>
    <x v="29"/>
    <x v="29"/>
    <s v="30/2AL"/>
    <s v="CONT 17/2019"/>
    <d v="2019-03-31T00:00:00"/>
    <s v="R"/>
    <d v="2019-04-20T00:00:00"/>
    <n v="5100"/>
    <m/>
    <m/>
    <m/>
    <m/>
    <m/>
    <m/>
    <n v="5100"/>
    <n v="0"/>
    <n v="0"/>
    <m/>
  </r>
  <r>
    <x v="57"/>
    <d v="2019-04-22T00:00:00"/>
    <s v="KIỀU THY"/>
    <x v="28"/>
    <x v="30"/>
    <x v="92"/>
    <x v="46"/>
    <x v="0"/>
    <x v="3"/>
    <x v="5"/>
    <s v="NL2018"/>
    <m/>
    <n v="18"/>
    <n v="3600"/>
    <x v="104"/>
    <n v="26280000"/>
    <x v="0"/>
    <d v="2019-05-05T00:00:00"/>
    <x v="27"/>
    <x v="27"/>
    <s v="29/4AL"/>
    <m/>
    <m/>
    <m/>
    <d v="2019-06-13T00:00:00"/>
    <n v="3600"/>
    <m/>
    <m/>
    <m/>
    <m/>
    <m/>
    <m/>
    <n v="3600"/>
    <n v="0"/>
    <n v="0"/>
    <m/>
  </r>
  <r>
    <x v="61"/>
    <d v="2019-02-22T00:00:00"/>
    <s v="KIỀU THY"/>
    <x v="28"/>
    <x v="30"/>
    <x v="4"/>
    <x v="3"/>
    <x v="0"/>
    <x v="4"/>
    <x v="14"/>
    <s v="NL2018"/>
    <m/>
    <n v="160"/>
    <n v="20000"/>
    <x v="5"/>
    <n v="210000000"/>
    <x v="2"/>
    <d v="2019-09-01T00:00:00"/>
    <x v="2"/>
    <x v="2"/>
    <s v="TẾT"/>
    <m/>
    <m/>
    <s v="R"/>
    <m/>
    <n v="0"/>
    <m/>
    <m/>
    <m/>
    <m/>
    <m/>
    <m/>
    <n v="0"/>
    <n v="20000"/>
    <n v="210000000"/>
    <m/>
  </r>
  <r>
    <x v="58"/>
    <d v="2019-06-12T00:00:00"/>
    <s v="KIỀU THY"/>
    <x v="28"/>
    <x v="30"/>
    <x v="93"/>
    <x v="3"/>
    <x v="0"/>
    <x v="2"/>
    <x v="6"/>
    <s v="NL2018"/>
    <m/>
    <n v="34"/>
    <n v="10200"/>
    <x v="77"/>
    <n v="38760000"/>
    <x v="2"/>
    <d v="2019-06-29T00:00:00"/>
    <x v="13"/>
    <x v="13"/>
    <m/>
    <m/>
    <m/>
    <m/>
    <m/>
    <m/>
    <m/>
    <m/>
    <m/>
    <m/>
    <m/>
    <m/>
    <n v="0"/>
    <n v="10200"/>
    <n v="38760000"/>
    <m/>
  </r>
  <r>
    <x v="60"/>
    <d v="2019-02-22T00:00:00"/>
    <s v="KIỀU THY"/>
    <x v="28"/>
    <x v="30"/>
    <x v="12"/>
    <x v="6"/>
    <x v="0"/>
    <x v="2"/>
    <x v="6"/>
    <s v="NL2018"/>
    <m/>
    <n v="17"/>
    <n v="5100"/>
    <x v="42"/>
    <n v="24480000"/>
    <x v="0"/>
    <s v="30-Feb-19"/>
    <x v="29"/>
    <x v="29"/>
    <s v="30/2AL"/>
    <s v="CONT 15/2019"/>
    <d v="2019-03-31T00:00:00"/>
    <s v="R"/>
    <d v="2019-04-20T00:00:00"/>
    <n v="5100"/>
    <m/>
    <m/>
    <m/>
    <m/>
    <m/>
    <m/>
    <n v="5100"/>
    <n v="0"/>
    <n v="0"/>
    <m/>
  </r>
  <r>
    <x v="61"/>
    <d v="2019-02-22T00:00:00"/>
    <s v="KIỀU THY"/>
    <x v="28"/>
    <x v="30"/>
    <x v="62"/>
    <x v="32"/>
    <x v="0"/>
    <x v="4"/>
    <x v="14"/>
    <s v="NL2018"/>
    <m/>
    <n v="80"/>
    <n v="10000"/>
    <x v="61"/>
    <n v="135000000"/>
    <x v="2"/>
    <d v="2019-09-01T00:00:00"/>
    <x v="2"/>
    <x v="2"/>
    <s v="TẾT"/>
    <m/>
    <m/>
    <s v="R"/>
    <m/>
    <n v="0"/>
    <m/>
    <m/>
    <m/>
    <m/>
    <m/>
    <m/>
    <n v="0"/>
    <n v="10000"/>
    <n v="135000000"/>
    <m/>
  </r>
  <r>
    <x v="57"/>
    <d v="2019-06-14T00:00:00"/>
    <s v="KIỀU THY"/>
    <x v="28"/>
    <x v="30"/>
    <x v="79"/>
    <x v="32"/>
    <x v="0"/>
    <x v="2"/>
    <x v="6"/>
    <s v="NL2018"/>
    <m/>
    <n v="7"/>
    <n v="2100"/>
    <x v="77"/>
    <n v="7980000"/>
    <x v="4"/>
    <d v="2019-05-05T00:00:00"/>
    <x v="27"/>
    <x v="27"/>
    <m/>
    <m/>
    <m/>
    <m/>
    <m/>
    <m/>
    <m/>
    <m/>
    <m/>
    <m/>
    <m/>
    <m/>
    <n v="0"/>
    <n v="2100"/>
    <n v="7980000"/>
    <m/>
  </r>
  <r>
    <x v="57"/>
    <d v="2019-04-22T00:00:00"/>
    <s v="KIỀU THY"/>
    <x v="28"/>
    <x v="30"/>
    <x v="94"/>
    <x v="47"/>
    <x v="0"/>
    <x v="12"/>
    <x v="8"/>
    <s v="NL2018"/>
    <m/>
    <n v="25"/>
    <n v="10000"/>
    <x v="3"/>
    <n v="35000000"/>
    <x v="0"/>
    <d v="2019-05-05T00:00:00"/>
    <x v="27"/>
    <x v="27"/>
    <s v="15/5AL"/>
    <m/>
    <m/>
    <m/>
    <d v="2019-06-13T00:00:00"/>
    <n v="10000"/>
    <m/>
    <m/>
    <m/>
    <m/>
    <m/>
    <m/>
    <n v="10000"/>
    <n v="0"/>
    <n v="0"/>
    <m/>
  </r>
  <r>
    <x v="58"/>
    <d v="2019-06-12T00:00:00"/>
    <s v="KIỀU THY"/>
    <x v="28"/>
    <x v="30"/>
    <x v="95"/>
    <x v="48"/>
    <x v="0"/>
    <x v="3"/>
    <x v="5"/>
    <s v="NL2018"/>
    <m/>
    <n v="14"/>
    <n v="2800"/>
    <x v="94"/>
    <n v="18480000"/>
    <x v="3"/>
    <d v="2019-06-15T00:00:00"/>
    <x v="4"/>
    <x v="4"/>
    <m/>
    <m/>
    <m/>
    <m/>
    <m/>
    <m/>
    <m/>
    <m/>
    <m/>
    <m/>
    <m/>
    <m/>
    <n v="0"/>
    <n v="2800"/>
    <n v="18480000"/>
    <m/>
  </r>
  <r>
    <x v="60"/>
    <d v="2019-02-22T00:00:00"/>
    <s v="KIỀU THY"/>
    <x v="28"/>
    <x v="30"/>
    <x v="23"/>
    <x v="11"/>
    <x v="0"/>
    <x v="2"/>
    <x v="6"/>
    <s v="NL2018"/>
    <m/>
    <n v="33"/>
    <n v="9900"/>
    <x v="32"/>
    <n v="52470000"/>
    <x v="0"/>
    <s v="30-Feb-19"/>
    <x v="29"/>
    <x v="29"/>
    <s v="30/2AL"/>
    <s v="CONT 17/2019"/>
    <d v="2019-03-31T00:00:00"/>
    <s v="R"/>
    <d v="2019-04-20T00:00:00"/>
    <n v="9900"/>
    <m/>
    <m/>
    <m/>
    <m/>
    <m/>
    <m/>
    <n v="9900"/>
    <n v="0"/>
    <n v="0"/>
    <s v="CHECK LAI SL"/>
  </r>
  <r>
    <x v="61"/>
    <d v="2019-02-22T00:00:00"/>
    <s v="KIỀU THY"/>
    <x v="28"/>
    <x v="30"/>
    <x v="8"/>
    <x v="49"/>
    <x v="0"/>
    <x v="1"/>
    <x v="9"/>
    <s v="NL2018"/>
    <m/>
    <n v="208"/>
    <n v="31200"/>
    <x v="55"/>
    <n v="224640000"/>
    <x v="2"/>
    <d v="2019-09-01T00:00:00"/>
    <x v="2"/>
    <x v="2"/>
    <s v="TẾT"/>
    <m/>
    <m/>
    <s v="R"/>
    <m/>
    <n v="0"/>
    <m/>
    <m/>
    <m/>
    <m/>
    <m/>
    <m/>
    <n v="0"/>
    <n v="31200"/>
    <n v="224640000"/>
    <m/>
  </r>
  <r>
    <x v="61"/>
    <d v="2019-02-22T00:00:00"/>
    <s v="KIỀU THY"/>
    <x v="28"/>
    <x v="30"/>
    <x v="8"/>
    <x v="49"/>
    <x v="0"/>
    <x v="1"/>
    <x v="9"/>
    <s v="NL2018"/>
    <m/>
    <n v="40"/>
    <n v="6000"/>
    <x v="30"/>
    <n v="45000000"/>
    <x v="2"/>
    <d v="2019-09-01T00:00:00"/>
    <x v="2"/>
    <x v="2"/>
    <s v="TẾT"/>
    <m/>
    <m/>
    <m/>
    <m/>
    <m/>
    <m/>
    <m/>
    <m/>
    <m/>
    <m/>
    <m/>
    <n v="0"/>
    <n v="6000"/>
    <n v="45000000"/>
    <m/>
  </r>
  <r>
    <x v="60"/>
    <d v="2019-02-22T00:00:00"/>
    <s v="KIỀU THY"/>
    <x v="28"/>
    <x v="30"/>
    <x v="6"/>
    <x v="49"/>
    <x v="0"/>
    <x v="3"/>
    <x v="5"/>
    <s v="NL2018"/>
    <m/>
    <n v="50"/>
    <n v="10000"/>
    <x v="12"/>
    <n v="47000000"/>
    <x v="0"/>
    <d v="2019-02-15T00:00:00"/>
    <x v="0"/>
    <x v="0"/>
    <s v="15/2AL"/>
    <s v="CONT 10/2019"/>
    <d v="2019-03-17T00:00:00"/>
    <s v="R"/>
    <d v="2019-03-20T00:00:00"/>
    <n v="10000"/>
    <m/>
    <m/>
    <m/>
    <m/>
    <m/>
    <m/>
    <n v="10000"/>
    <n v="0"/>
    <n v="0"/>
    <m/>
  </r>
  <r>
    <x v="62"/>
    <d v="2019-03-19T00:00:00"/>
    <s v="THANH THÚY"/>
    <x v="29"/>
    <x v="31"/>
    <x v="74"/>
    <x v="0"/>
    <x v="0"/>
    <x v="2"/>
    <x v="6"/>
    <s v="NL2018"/>
    <m/>
    <n v="10"/>
    <n v="3000"/>
    <x v="77"/>
    <n v="11400000"/>
    <x v="0"/>
    <d v="2019-03-15T00:00:00"/>
    <x v="5"/>
    <x v="5"/>
    <s v="15/3AL"/>
    <s v="CONT 20/2019"/>
    <m/>
    <m/>
    <d v="2019-05-03T00:00:00"/>
    <n v="3000"/>
    <m/>
    <m/>
    <m/>
    <m/>
    <m/>
    <m/>
    <n v="3000"/>
    <n v="0"/>
    <n v="0"/>
    <m/>
  </r>
  <r>
    <x v="62"/>
    <d v="2019-05-23T00:00:00"/>
    <s v="THANH THÚY"/>
    <x v="29"/>
    <x v="31"/>
    <x v="0"/>
    <x v="0"/>
    <x v="0"/>
    <x v="7"/>
    <x v="8"/>
    <s v="NL2018"/>
    <m/>
    <n v="0"/>
    <n v="0"/>
    <x v="36"/>
    <n v="0"/>
    <x v="1"/>
    <d v="2019-04-17T00:00:00"/>
    <x v="1"/>
    <x v="1"/>
    <m/>
    <m/>
    <m/>
    <m/>
    <m/>
    <m/>
    <m/>
    <m/>
    <m/>
    <m/>
    <m/>
    <m/>
    <n v="0"/>
    <n v="0"/>
    <n v="0"/>
    <m/>
  </r>
  <r>
    <x v="62"/>
    <d v="2019-03-19T00:00:00"/>
    <s v="THANH THÚY"/>
    <x v="29"/>
    <x v="31"/>
    <x v="3"/>
    <x v="3"/>
    <x v="0"/>
    <x v="3"/>
    <x v="5"/>
    <s v="NL2018"/>
    <m/>
    <n v="50"/>
    <n v="10000"/>
    <x v="8"/>
    <n v="50000000"/>
    <x v="0"/>
    <d v="2019-03-15T00:00:00"/>
    <x v="5"/>
    <x v="5"/>
    <s v="15/3AL"/>
    <s v="CONT 20/2019"/>
    <m/>
    <m/>
    <d v="2019-05-03T00:00:00"/>
    <n v="10000"/>
    <m/>
    <m/>
    <m/>
    <m/>
    <m/>
    <m/>
    <n v="10000"/>
    <n v="0"/>
    <n v="0"/>
    <m/>
  </r>
  <r>
    <x v="62"/>
    <d v="2019-03-19T00:00:00"/>
    <s v="THANH THÚY"/>
    <x v="29"/>
    <x v="31"/>
    <x v="12"/>
    <x v="6"/>
    <x v="0"/>
    <x v="2"/>
    <x v="6"/>
    <s v="NL2018"/>
    <m/>
    <n v="0"/>
    <n v="0"/>
    <x v="8"/>
    <n v="0"/>
    <x v="1"/>
    <d v="2019-03-15T00:00:00"/>
    <x v="5"/>
    <x v="5"/>
    <s v="15/3AL"/>
    <m/>
    <m/>
    <m/>
    <m/>
    <m/>
    <m/>
    <m/>
    <m/>
    <m/>
    <m/>
    <m/>
    <n v="0"/>
    <n v="0"/>
    <n v="0"/>
    <m/>
  </r>
  <r>
    <x v="62"/>
    <d v="2019-03-19T00:00:00"/>
    <s v="THANH THÚY"/>
    <x v="29"/>
    <x v="31"/>
    <x v="11"/>
    <x v="6"/>
    <x v="0"/>
    <x v="3"/>
    <x v="5"/>
    <s v="NL2018"/>
    <m/>
    <n v="0"/>
    <n v="0"/>
    <x v="30"/>
    <n v="0"/>
    <x v="1"/>
    <d v="2019-03-15T00:00:00"/>
    <x v="5"/>
    <x v="5"/>
    <s v="15/3AL"/>
    <m/>
    <m/>
    <m/>
    <m/>
    <m/>
    <m/>
    <m/>
    <m/>
    <m/>
    <m/>
    <m/>
    <n v="0"/>
    <n v="0"/>
    <n v="0"/>
    <m/>
  </r>
  <r>
    <x v="63"/>
    <d v="2019-05-14T00:00:00"/>
    <s v="KIỀU THY"/>
    <x v="30"/>
    <x v="32"/>
    <x v="74"/>
    <x v="0"/>
    <x v="0"/>
    <x v="2"/>
    <x v="6"/>
    <s v="NL2018"/>
    <m/>
    <n v="10"/>
    <n v="3000"/>
    <x v="45"/>
    <n v="12000000"/>
    <x v="2"/>
    <d v="2019-06-29T00:00:00"/>
    <x v="13"/>
    <x v="13"/>
    <m/>
    <m/>
    <m/>
    <m/>
    <m/>
    <m/>
    <m/>
    <m/>
    <m/>
    <m/>
    <m/>
    <m/>
    <n v="0"/>
    <n v="3000"/>
    <n v="12000000"/>
    <m/>
  </r>
  <r>
    <x v="63"/>
    <d v="2019-05-14T00:00:00"/>
    <s v="KIỀU THY"/>
    <x v="30"/>
    <x v="32"/>
    <x v="74"/>
    <x v="0"/>
    <x v="0"/>
    <x v="2"/>
    <x v="6"/>
    <s v="NL2018"/>
    <m/>
    <n v="10"/>
    <n v="3000"/>
    <x v="45"/>
    <n v="12000000"/>
    <x v="2"/>
    <d v="2019-07-29T00:00:00"/>
    <x v="14"/>
    <x v="14"/>
    <m/>
    <m/>
    <m/>
    <m/>
    <m/>
    <m/>
    <m/>
    <m/>
    <m/>
    <m/>
    <m/>
    <m/>
    <n v="0"/>
    <n v="3000"/>
    <n v="12000000"/>
    <m/>
  </r>
  <r>
    <x v="63"/>
    <d v="2019-02-21T00:00:00"/>
    <s v="KIỀU THY"/>
    <x v="30"/>
    <x v="32"/>
    <x v="74"/>
    <x v="0"/>
    <x v="0"/>
    <x v="2"/>
    <x v="6"/>
    <s v="NL2018"/>
    <m/>
    <n v="8"/>
    <n v="2400"/>
    <x v="77"/>
    <n v="9120000"/>
    <x v="0"/>
    <s v="30-Feb-19"/>
    <x v="29"/>
    <x v="29"/>
    <s v="30/2AL"/>
    <s v="CONT 14/2019"/>
    <d v="2019-03-31T00:00:00"/>
    <s v="R"/>
    <d v="2019-04-08T00:00:00"/>
    <n v="2400"/>
    <m/>
    <m/>
    <m/>
    <m/>
    <m/>
    <m/>
    <n v="2400"/>
    <n v="0"/>
    <n v="0"/>
    <m/>
  </r>
  <r>
    <x v="63"/>
    <m/>
    <m/>
    <x v="30"/>
    <x v="32"/>
    <x v="32"/>
    <x v="18"/>
    <x v="0"/>
    <x v="2"/>
    <x v="6"/>
    <s v="NL2018"/>
    <m/>
    <n v="10"/>
    <n v="3000"/>
    <x v="40"/>
    <n v="12900000"/>
    <x v="0"/>
    <d v="2019-05-05T00:00:00"/>
    <x v="27"/>
    <x v="27"/>
    <m/>
    <m/>
    <m/>
    <m/>
    <d v="2019-06-10T00:00:00"/>
    <n v="3000"/>
    <m/>
    <m/>
    <m/>
    <m/>
    <m/>
    <m/>
    <n v="3000"/>
    <n v="0"/>
    <n v="0"/>
    <m/>
  </r>
  <r>
    <x v="63"/>
    <d v="2019-05-14T00:00:00"/>
    <s v="KIỀU THY"/>
    <x v="30"/>
    <x v="32"/>
    <x v="32"/>
    <x v="18"/>
    <x v="0"/>
    <x v="2"/>
    <x v="6"/>
    <s v="NL2018"/>
    <m/>
    <n v="0"/>
    <n v="0"/>
    <x v="49"/>
    <n v="0"/>
    <x v="1"/>
    <d v="2019-06-29T00:00:00"/>
    <x v="13"/>
    <x v="13"/>
    <m/>
    <m/>
    <m/>
    <m/>
    <m/>
    <m/>
    <m/>
    <m/>
    <m/>
    <m/>
    <m/>
    <m/>
    <n v="0"/>
    <n v="0"/>
    <n v="0"/>
    <m/>
  </r>
  <r>
    <x v="63"/>
    <d v="2019-05-14T00:00:00"/>
    <s v="KIỀU THY"/>
    <x v="30"/>
    <x v="32"/>
    <x v="32"/>
    <x v="18"/>
    <x v="0"/>
    <x v="2"/>
    <x v="6"/>
    <s v="NL2018"/>
    <m/>
    <n v="0"/>
    <n v="0"/>
    <x v="49"/>
    <n v="0"/>
    <x v="1"/>
    <d v="2019-07-29T00:00:00"/>
    <x v="14"/>
    <x v="14"/>
    <m/>
    <m/>
    <m/>
    <m/>
    <m/>
    <m/>
    <m/>
    <m/>
    <m/>
    <m/>
    <m/>
    <m/>
    <n v="0"/>
    <n v="0"/>
    <n v="0"/>
    <m/>
  </r>
  <r>
    <x v="63"/>
    <d v="2019-02-21T00:00:00"/>
    <s v="KIỀU THY"/>
    <x v="30"/>
    <x v="32"/>
    <x v="32"/>
    <x v="18"/>
    <x v="0"/>
    <x v="2"/>
    <x v="6"/>
    <s v="NL2018"/>
    <m/>
    <n v="9"/>
    <n v="2700"/>
    <x v="37"/>
    <n v="11070000"/>
    <x v="0"/>
    <s v="30-Feb-19"/>
    <x v="29"/>
    <x v="29"/>
    <s v="30/2AL"/>
    <s v="CONT 15/2019"/>
    <d v="2019-03-31T00:00:00"/>
    <s v="R"/>
    <d v="2019-04-08T00:00:00"/>
    <n v="2700"/>
    <m/>
    <m/>
    <m/>
    <m/>
    <m/>
    <m/>
    <n v="2700"/>
    <n v="0"/>
    <n v="0"/>
    <m/>
  </r>
  <r>
    <x v="63"/>
    <d v="2019-02-21T00:00:00"/>
    <s v="KIỀU THY"/>
    <x v="30"/>
    <x v="32"/>
    <x v="3"/>
    <x v="3"/>
    <x v="0"/>
    <x v="3"/>
    <x v="5"/>
    <s v="NL2018"/>
    <m/>
    <n v="13"/>
    <n v="2600"/>
    <x v="4"/>
    <n v="13442000"/>
    <x v="0"/>
    <d v="2019-04-17T00:00:00"/>
    <x v="1"/>
    <x v="1"/>
    <s v="T4AL"/>
    <m/>
    <m/>
    <s v="R"/>
    <d v="2019-05-21T00:00:00"/>
    <n v="1400"/>
    <d v="2019-05-27T00:00:00"/>
    <n v="1200"/>
    <m/>
    <m/>
    <m/>
    <m/>
    <n v="2600"/>
    <n v="0"/>
    <n v="0"/>
    <m/>
  </r>
  <r>
    <x v="63"/>
    <d v="2019-05-14T00:00:00"/>
    <s v="KIỀU THY"/>
    <x v="30"/>
    <x v="32"/>
    <x v="42"/>
    <x v="23"/>
    <x v="0"/>
    <x v="7"/>
    <x v="8"/>
    <s v="NL2018"/>
    <m/>
    <n v="0"/>
    <n v="0"/>
    <x v="51"/>
    <n v="0"/>
    <x v="1"/>
    <d v="2019-05-25T00:00:00"/>
    <x v="45"/>
    <x v="45"/>
    <m/>
    <m/>
    <m/>
    <m/>
    <m/>
    <m/>
    <m/>
    <m/>
    <m/>
    <m/>
    <m/>
    <m/>
    <n v="0"/>
    <n v="0"/>
    <n v="0"/>
    <m/>
  </r>
  <r>
    <x v="63"/>
    <d v="2019-02-21T00:00:00"/>
    <s v="KIỀU THY"/>
    <x v="30"/>
    <x v="32"/>
    <x v="6"/>
    <x v="39"/>
    <x v="0"/>
    <x v="3"/>
    <x v="5"/>
    <s v="NL2018"/>
    <m/>
    <n v="12"/>
    <n v="2400"/>
    <x v="4"/>
    <n v="12408000"/>
    <x v="0"/>
    <d v="2019-04-17T00:00:00"/>
    <x v="1"/>
    <x v="1"/>
    <s v="T4AL"/>
    <m/>
    <m/>
    <s v="R"/>
    <d v="2019-05-21T00:00:00"/>
    <n v="1200"/>
    <d v="2019-05-27T00:00:00"/>
    <n v="1200"/>
    <m/>
    <m/>
    <m/>
    <m/>
    <n v="2400"/>
    <n v="0"/>
    <n v="0"/>
    <m/>
  </r>
  <r>
    <x v="64"/>
    <d v="2019-02-21T00:00:00"/>
    <s v="THANH THÚY"/>
    <x v="31"/>
    <x v="33"/>
    <x v="38"/>
    <x v="6"/>
    <x v="0"/>
    <x v="4"/>
    <x v="14"/>
    <s v="NL2018"/>
    <m/>
    <n v="48"/>
    <n v="6000"/>
    <x v="47"/>
    <n v="78000000"/>
    <x v="2"/>
    <d v="2019-09-01T00:00:00"/>
    <x v="2"/>
    <x v="2"/>
    <s v="TẾT"/>
    <m/>
    <m/>
    <m/>
    <m/>
    <n v="0"/>
    <m/>
    <m/>
    <m/>
    <m/>
    <m/>
    <m/>
    <n v="0"/>
    <n v="6000"/>
    <n v="78000000"/>
    <d v="2020-01-05T00:00:00"/>
  </r>
  <r>
    <x v="64"/>
    <d v="2019-02-21T00:00:00"/>
    <s v="THANH THÚY"/>
    <x v="31"/>
    <x v="33"/>
    <x v="7"/>
    <x v="4"/>
    <x v="0"/>
    <x v="4"/>
    <x v="14"/>
    <s v="NL2018"/>
    <m/>
    <n v="13"/>
    <n v="1625"/>
    <x v="105"/>
    <n v="0"/>
    <x v="2"/>
    <d v="2019-09-01T00:00:00"/>
    <x v="2"/>
    <x v="2"/>
    <s v="TẾT.BÙ CỦ"/>
    <m/>
    <m/>
    <m/>
    <m/>
    <n v="0"/>
    <m/>
    <m/>
    <m/>
    <m/>
    <m/>
    <m/>
    <n v="0"/>
    <n v="1625"/>
    <n v="0"/>
    <d v="2020-01-05T00:00:00"/>
  </r>
  <r>
    <x v="64"/>
    <d v="2019-02-21T00:00:00"/>
    <s v="THANH THÚY"/>
    <x v="31"/>
    <x v="33"/>
    <x v="21"/>
    <x v="4"/>
    <x v="0"/>
    <x v="8"/>
    <x v="11"/>
    <s v="NL2018"/>
    <m/>
    <n v="60"/>
    <n v="6000"/>
    <x v="25"/>
    <n v="75000000"/>
    <x v="2"/>
    <d v="2019-09-01T00:00:00"/>
    <x v="2"/>
    <x v="2"/>
    <s v="TẾT"/>
    <m/>
    <m/>
    <m/>
    <m/>
    <n v="0"/>
    <m/>
    <m/>
    <m/>
    <m/>
    <m/>
    <m/>
    <n v="0"/>
    <n v="6000"/>
    <n v="75000000"/>
    <d v="2020-01-05T00:00:00"/>
  </r>
  <r>
    <x v="65"/>
    <d v="2019-03-08T00:00:00"/>
    <s v="THANH THÚY"/>
    <x v="32"/>
    <x v="34"/>
    <x v="54"/>
    <x v="0"/>
    <x v="0"/>
    <x v="3"/>
    <x v="5"/>
    <s v="NL2018"/>
    <m/>
    <n v="25"/>
    <n v="5000"/>
    <x v="54"/>
    <n v="28000000"/>
    <x v="2"/>
    <d v="2019-09-01T00:00:00"/>
    <x v="2"/>
    <x v="2"/>
    <s v="TẾT"/>
    <m/>
    <m/>
    <m/>
    <m/>
    <n v="0"/>
    <m/>
    <m/>
    <m/>
    <m/>
    <m/>
    <m/>
    <n v="0"/>
    <n v="5000"/>
    <n v="28000000"/>
    <m/>
  </r>
  <r>
    <x v="65"/>
    <d v="2019-03-08T00:00:00"/>
    <s v="THANH THÚY"/>
    <x v="32"/>
    <x v="34"/>
    <x v="5"/>
    <x v="3"/>
    <x v="0"/>
    <x v="1"/>
    <x v="9"/>
    <s v="NL2018"/>
    <m/>
    <n v="27"/>
    <n v="4050"/>
    <x v="55"/>
    <n v="29160000"/>
    <x v="2"/>
    <d v="2019-09-01T00:00:00"/>
    <x v="2"/>
    <x v="2"/>
    <s v="TẾT"/>
    <m/>
    <m/>
    <m/>
    <m/>
    <n v="0"/>
    <m/>
    <m/>
    <m/>
    <m/>
    <m/>
    <m/>
    <n v="0"/>
    <n v="4050"/>
    <n v="29160000"/>
    <m/>
  </r>
  <r>
    <x v="65"/>
    <d v="2019-03-08T00:00:00"/>
    <s v="THANH THÚY"/>
    <x v="32"/>
    <x v="34"/>
    <x v="22"/>
    <x v="3"/>
    <x v="0"/>
    <x v="8"/>
    <x v="11"/>
    <s v="NL2018"/>
    <m/>
    <n v="60"/>
    <n v="6000"/>
    <x v="25"/>
    <n v="75000000"/>
    <x v="2"/>
    <d v="2019-09-01T00:00:00"/>
    <x v="2"/>
    <x v="2"/>
    <s v="TẾT"/>
    <m/>
    <m/>
    <m/>
    <m/>
    <n v="0"/>
    <m/>
    <m/>
    <m/>
    <m/>
    <m/>
    <m/>
    <n v="0"/>
    <n v="6000"/>
    <n v="75000000"/>
    <m/>
  </r>
  <r>
    <x v="65"/>
    <d v="2019-03-08T00:00:00"/>
    <s v="THANH THÚY"/>
    <x v="32"/>
    <x v="34"/>
    <x v="7"/>
    <x v="4"/>
    <x v="0"/>
    <x v="4"/>
    <x v="14"/>
    <s v="NL2018"/>
    <m/>
    <n v="48"/>
    <n v="6000"/>
    <x v="5"/>
    <n v="63000000"/>
    <x v="2"/>
    <d v="2019-09-01T00:00:00"/>
    <x v="2"/>
    <x v="2"/>
    <s v="TẾT"/>
    <m/>
    <m/>
    <m/>
    <m/>
    <n v="0"/>
    <m/>
    <m/>
    <m/>
    <m/>
    <m/>
    <m/>
    <n v="0"/>
    <n v="6000"/>
    <n v="63000000"/>
    <m/>
  </r>
  <r>
    <x v="66"/>
    <m/>
    <s v="KIỀU THY"/>
    <x v="33"/>
    <x v="35"/>
    <x v="2"/>
    <x v="2"/>
    <x v="0"/>
    <x v="2"/>
    <x v="2"/>
    <s v="NL2018"/>
    <m/>
    <n v="34"/>
    <n v="10200"/>
    <x v="106"/>
    <n v="36720000"/>
    <x v="0"/>
    <d v="2019-02-15T00:00:00"/>
    <x v="0"/>
    <x v="0"/>
    <s v="15/2AL"/>
    <s v="CONT 10/2019"/>
    <d v="2019-03-17T00:00:00"/>
    <m/>
    <d v="2019-03-19T00:00:00"/>
    <n v="10200"/>
    <m/>
    <m/>
    <m/>
    <m/>
    <m/>
    <m/>
    <n v="10200"/>
    <n v="0"/>
    <n v="0"/>
    <m/>
  </r>
  <r>
    <x v="66"/>
    <m/>
    <s v="KIỀU THY"/>
    <x v="33"/>
    <x v="35"/>
    <x v="23"/>
    <x v="11"/>
    <x v="0"/>
    <x v="2"/>
    <x v="6"/>
    <s v="NL2018"/>
    <m/>
    <n v="7"/>
    <n v="2100"/>
    <x v="32"/>
    <n v="11130000"/>
    <x v="0"/>
    <d v="2019-02-15T00:00:00"/>
    <x v="0"/>
    <x v="0"/>
    <s v="15/2AL"/>
    <s v="CONT 11/2019"/>
    <d v="2019-03-17T00:00:00"/>
    <m/>
    <d v="2019-03-19T00:00:00"/>
    <n v="2100"/>
    <m/>
    <m/>
    <m/>
    <m/>
    <m/>
    <m/>
    <n v="2100"/>
    <n v="0"/>
    <n v="0"/>
    <m/>
  </r>
  <r>
    <x v="67"/>
    <d v="2019-03-27T00:00:00"/>
    <s v="KIỀU THY"/>
    <x v="33"/>
    <x v="35"/>
    <x v="53"/>
    <x v="31"/>
    <x v="0"/>
    <x v="2"/>
    <x v="2"/>
    <s v="NL2018"/>
    <m/>
    <n v="7"/>
    <n v="2100"/>
    <x v="45"/>
    <n v="8400000"/>
    <x v="0"/>
    <s v="30-02-2019"/>
    <x v="35"/>
    <x v="35"/>
    <s v="15/2AL"/>
    <m/>
    <m/>
    <m/>
    <d v="2019-04-03T00:00:00"/>
    <n v="2100"/>
    <m/>
    <m/>
    <m/>
    <m/>
    <m/>
    <m/>
    <n v="2100"/>
    <n v="0"/>
    <n v="0"/>
    <m/>
  </r>
  <r>
    <x v="68"/>
    <d v="2019-06-24T00:00:00"/>
    <s v="KIỀU THY"/>
    <x v="33"/>
    <x v="35"/>
    <x v="59"/>
    <x v="11"/>
    <x v="0"/>
    <x v="4"/>
    <x v="4"/>
    <s v="NL2018"/>
    <m/>
    <n v="40"/>
    <n v="5000"/>
    <x v="107"/>
    <n v="71500000"/>
    <x v="2"/>
    <d v="2019-09-01T00:00:00"/>
    <x v="2"/>
    <x v="2"/>
    <m/>
    <m/>
    <m/>
    <m/>
    <m/>
    <m/>
    <m/>
    <m/>
    <m/>
    <m/>
    <m/>
    <m/>
    <n v="0"/>
    <n v="5000"/>
    <n v="71500000"/>
    <m/>
  </r>
  <r>
    <x v="69"/>
    <d v="2019-03-11T00:00:00"/>
    <s v="KIỀU THY"/>
    <x v="34"/>
    <x v="36"/>
    <x v="74"/>
    <x v="0"/>
    <x v="0"/>
    <x v="2"/>
    <x v="6"/>
    <s v="NL2018"/>
    <m/>
    <n v="17"/>
    <n v="5100"/>
    <x v="77"/>
    <n v="19380000"/>
    <x v="0"/>
    <d v="2019-03-15T00:00:00"/>
    <x v="5"/>
    <x v="5"/>
    <s v="15/3AL"/>
    <s v="CONT 20/2019"/>
    <d v="2019-04-14T00:00:00"/>
    <m/>
    <d v="2019-04-26T00:00:00"/>
    <n v="5100"/>
    <m/>
    <m/>
    <m/>
    <m/>
    <m/>
    <m/>
    <n v="5100"/>
    <n v="0"/>
    <n v="0"/>
    <m/>
  </r>
  <r>
    <x v="69"/>
    <d v="2019-03-11T00:00:00"/>
    <s v="KIỀU THY"/>
    <x v="34"/>
    <x v="36"/>
    <x v="74"/>
    <x v="0"/>
    <x v="0"/>
    <x v="2"/>
    <x v="6"/>
    <s v="NL2018"/>
    <m/>
    <n v="17"/>
    <n v="5100"/>
    <x v="77"/>
    <n v="19380000"/>
    <x v="0"/>
    <d v="2019-03-15T00:00:00"/>
    <x v="5"/>
    <x v="5"/>
    <s v="17/4AL"/>
    <m/>
    <m/>
    <m/>
    <m/>
    <n v="5100"/>
    <m/>
    <m/>
    <m/>
    <m/>
    <m/>
    <m/>
    <n v="5100"/>
    <n v="0"/>
    <n v="0"/>
    <m/>
  </r>
  <r>
    <x v="70"/>
    <d v="2019-01-15T00:00:00"/>
    <s v="KIỀU THY"/>
    <x v="34"/>
    <x v="36"/>
    <x v="54"/>
    <x v="0"/>
    <x v="0"/>
    <x v="3"/>
    <x v="5"/>
    <s v="NL2018"/>
    <m/>
    <n v="25"/>
    <n v="5000"/>
    <x v="8"/>
    <n v="25000000"/>
    <x v="0"/>
    <d v="2019-01-15T00:00:00"/>
    <x v="6"/>
    <x v="6"/>
    <s v="15/1AL"/>
    <m/>
    <m/>
    <s v="R"/>
    <d v="2019-03-09T00:00:00"/>
    <n v="5000"/>
    <m/>
    <m/>
    <m/>
    <m/>
    <m/>
    <m/>
    <n v="5000"/>
    <n v="0"/>
    <n v="0"/>
    <m/>
  </r>
  <r>
    <x v="70"/>
    <d v="2019-01-15T00:00:00"/>
    <s v="KIỀU THY"/>
    <x v="34"/>
    <x v="36"/>
    <x v="74"/>
    <x v="0"/>
    <x v="0"/>
    <x v="2"/>
    <x v="6"/>
    <s v="NL2018"/>
    <m/>
    <n v="20"/>
    <n v="6000"/>
    <x v="77"/>
    <n v="22800000"/>
    <x v="0"/>
    <d v="2019-02-15T00:00:00"/>
    <x v="0"/>
    <x v="0"/>
    <s v="15/2AL"/>
    <s v="CONT 10/2019"/>
    <d v="2019-03-17T00:00:00"/>
    <s v="R"/>
    <d v="2019-03-19T00:00:00"/>
    <n v="6000"/>
    <m/>
    <m/>
    <m/>
    <m/>
    <m/>
    <m/>
    <n v="6000"/>
    <n v="0"/>
    <n v="0"/>
    <m/>
  </r>
  <r>
    <x v="70"/>
    <d v="2019-04-23T00:00:00"/>
    <s v="KIỀU THY"/>
    <x v="34"/>
    <x v="36"/>
    <x v="34"/>
    <x v="1"/>
    <x v="0"/>
    <x v="2"/>
    <x v="6"/>
    <s v="NL2018"/>
    <m/>
    <n v="34"/>
    <n v="10200"/>
    <x v="43"/>
    <n v="49980000"/>
    <x v="0"/>
    <d v="2019-05-05T00:00:00"/>
    <x v="27"/>
    <x v="27"/>
    <s v="10/5AL"/>
    <m/>
    <m/>
    <m/>
    <d v="2019-06-08T00:00:00"/>
    <n v="10200"/>
    <m/>
    <m/>
    <m/>
    <m/>
    <m/>
    <m/>
    <n v="10200"/>
    <n v="0"/>
    <n v="0"/>
    <m/>
  </r>
  <r>
    <x v="70"/>
    <d v="2019-04-23T00:00:00"/>
    <s v="KIỀU THY"/>
    <x v="34"/>
    <x v="36"/>
    <x v="34"/>
    <x v="1"/>
    <x v="0"/>
    <x v="2"/>
    <x v="6"/>
    <s v="NL2018"/>
    <m/>
    <n v="33"/>
    <n v="9900"/>
    <x v="43"/>
    <n v="48510000"/>
    <x v="4"/>
    <d v="2019-05-18T00:00:00"/>
    <x v="3"/>
    <x v="3"/>
    <s v="25/5AL"/>
    <m/>
    <m/>
    <m/>
    <m/>
    <m/>
    <m/>
    <m/>
    <m/>
    <m/>
    <m/>
    <m/>
    <n v="0"/>
    <n v="9900"/>
    <n v="48510000"/>
    <m/>
  </r>
  <r>
    <x v="69"/>
    <d v="2019-03-11T00:00:00"/>
    <s v="KIỀU THY"/>
    <x v="34"/>
    <x v="36"/>
    <x v="2"/>
    <x v="2"/>
    <x v="0"/>
    <x v="2"/>
    <x v="6"/>
    <s v="NL2018"/>
    <m/>
    <n v="17"/>
    <n v="5100"/>
    <x v="3"/>
    <n v="17850000"/>
    <x v="0"/>
    <s v="30-Feb-19"/>
    <x v="29"/>
    <x v="29"/>
    <s v="30/2AL"/>
    <s v="CONT 17/2019"/>
    <d v="2019-03-31T00:00:00"/>
    <m/>
    <d v="2019-04-16T00:00:00"/>
    <n v="5100"/>
    <m/>
    <m/>
    <m/>
    <m/>
    <m/>
    <m/>
    <n v="5100"/>
    <n v="0"/>
    <n v="0"/>
    <m/>
  </r>
  <r>
    <x v="70"/>
    <d v="2019-03-28T00:00:00"/>
    <s v="KIỀU THY"/>
    <x v="34"/>
    <x v="36"/>
    <x v="2"/>
    <x v="2"/>
    <x v="0"/>
    <x v="2"/>
    <x v="6"/>
    <s v="NL2018"/>
    <m/>
    <n v="16"/>
    <n v="4800"/>
    <x v="81"/>
    <n v="17760000"/>
    <x v="0"/>
    <d v="2019-04-17T00:00:00"/>
    <x v="1"/>
    <x v="1"/>
    <s v="17/4AL"/>
    <m/>
    <m/>
    <m/>
    <m/>
    <n v="5100"/>
    <m/>
    <m/>
    <m/>
    <m/>
    <m/>
    <m/>
    <n v="5100"/>
    <n v="-300"/>
    <n v="-1110000"/>
    <m/>
  </r>
  <r>
    <x v="70"/>
    <d v="2019-03-28T00:00:00"/>
    <s v="KIỀU THY"/>
    <x v="34"/>
    <x v="36"/>
    <x v="83"/>
    <x v="2"/>
    <x v="0"/>
    <x v="3"/>
    <x v="5"/>
    <s v="NL2018"/>
    <m/>
    <n v="50"/>
    <n v="10000"/>
    <x v="71"/>
    <n v="52000000"/>
    <x v="0"/>
    <d v="2019-05-05T00:00:00"/>
    <x v="27"/>
    <x v="27"/>
    <s v="10/5AL"/>
    <m/>
    <m/>
    <m/>
    <d v="2019-06-25T00:00:00"/>
    <n v="10000"/>
    <m/>
    <m/>
    <m/>
    <m/>
    <m/>
    <m/>
    <n v="10000"/>
    <n v="0"/>
    <n v="0"/>
    <m/>
  </r>
  <r>
    <x v="70"/>
    <d v="2019-04-23T00:00:00"/>
    <s v="KIỀU THY"/>
    <x v="34"/>
    <x v="36"/>
    <x v="83"/>
    <x v="2"/>
    <x v="0"/>
    <x v="3"/>
    <x v="5"/>
    <s v="NL2018"/>
    <m/>
    <n v="50"/>
    <n v="10000"/>
    <x v="71"/>
    <n v="52000000"/>
    <x v="3"/>
    <d v="2019-05-30T00:00:00"/>
    <x v="17"/>
    <x v="17"/>
    <s v="10/5AL"/>
    <m/>
    <m/>
    <m/>
    <m/>
    <m/>
    <m/>
    <m/>
    <m/>
    <m/>
    <m/>
    <m/>
    <n v="0"/>
    <n v="10000"/>
    <n v="52000000"/>
    <m/>
  </r>
  <r>
    <x v="70"/>
    <d v="2019-03-28T00:00:00"/>
    <s v="KIỀU THY"/>
    <x v="34"/>
    <x v="36"/>
    <x v="83"/>
    <x v="2"/>
    <x v="0"/>
    <x v="3"/>
    <x v="5"/>
    <s v="NL2018"/>
    <m/>
    <n v="100"/>
    <n v="20000"/>
    <x v="32"/>
    <n v="106000000"/>
    <x v="2"/>
    <d v="2019-06-29T00:00:00"/>
    <x v="13"/>
    <x v="13"/>
    <s v="10/6AL"/>
    <m/>
    <m/>
    <m/>
    <m/>
    <m/>
    <m/>
    <m/>
    <m/>
    <m/>
    <m/>
    <m/>
    <n v="0"/>
    <n v="20000"/>
    <n v="106000000"/>
    <m/>
  </r>
  <r>
    <x v="70"/>
    <d v="2019-05-06T00:00:00"/>
    <s v="KIỀU THY"/>
    <x v="34"/>
    <x v="36"/>
    <x v="83"/>
    <x v="2"/>
    <x v="0"/>
    <x v="3"/>
    <x v="5"/>
    <s v="NL2018"/>
    <m/>
    <n v="125"/>
    <n v="25000"/>
    <x v="32"/>
    <n v="132500000"/>
    <x v="2"/>
    <d v="2019-07-20T00:00:00"/>
    <x v="46"/>
    <x v="46"/>
    <s v="T6/AL"/>
    <m/>
    <m/>
    <m/>
    <m/>
    <m/>
    <m/>
    <m/>
    <m/>
    <m/>
    <m/>
    <m/>
    <n v="0"/>
    <n v="25000"/>
    <n v="132500000"/>
    <m/>
  </r>
  <r>
    <x v="70"/>
    <d v="2019-05-06T00:00:00"/>
    <s v="KIỀU THY"/>
    <x v="34"/>
    <x v="36"/>
    <x v="83"/>
    <x v="2"/>
    <x v="0"/>
    <x v="3"/>
    <x v="5"/>
    <s v="NL2018"/>
    <m/>
    <n v="125"/>
    <n v="25000"/>
    <x v="6"/>
    <n v="135000000"/>
    <x v="2"/>
    <d v="2019-08-10T00:00:00"/>
    <x v="44"/>
    <x v="44"/>
    <s v="T7/AL"/>
    <m/>
    <m/>
    <m/>
    <m/>
    <m/>
    <m/>
    <m/>
    <m/>
    <m/>
    <m/>
    <m/>
    <n v="0"/>
    <n v="25000"/>
    <n v="135000000"/>
    <m/>
  </r>
  <r>
    <x v="69"/>
    <d v="2019-03-11T00:00:00"/>
    <s v="KIỀU THY"/>
    <x v="34"/>
    <x v="36"/>
    <x v="3"/>
    <x v="3"/>
    <x v="0"/>
    <x v="3"/>
    <x v="5"/>
    <s v="NL2018"/>
    <m/>
    <n v="25"/>
    <n v="5000"/>
    <x v="8"/>
    <n v="25000000"/>
    <x v="0"/>
    <d v="2019-03-15T00:00:00"/>
    <x v="5"/>
    <x v="5"/>
    <s v="15/3AL"/>
    <s v="CONT 26/2019"/>
    <d v="2019-04-14T00:00:00"/>
    <m/>
    <d v="2019-04-26T00:00:00"/>
    <n v="5000"/>
    <m/>
    <m/>
    <m/>
    <m/>
    <m/>
    <m/>
    <n v="5000"/>
    <n v="0"/>
    <n v="0"/>
    <m/>
  </r>
  <r>
    <x v="69"/>
    <d v="2019-03-11T00:00:00"/>
    <s v="KIỀU THY"/>
    <x v="34"/>
    <x v="36"/>
    <x v="5"/>
    <x v="3"/>
    <x v="0"/>
    <x v="1"/>
    <x v="9"/>
    <s v="NL2018"/>
    <m/>
    <n v="34"/>
    <n v="5100"/>
    <x v="73"/>
    <n v="32130000"/>
    <x v="0"/>
    <d v="2019-03-15T00:00:00"/>
    <x v="5"/>
    <x v="5"/>
    <s v="15/3AL"/>
    <s v="CONT 25/2019"/>
    <d v="2019-04-14T00:00:00"/>
    <m/>
    <d v="2019-04-26T00:00:00"/>
    <n v="5100"/>
    <m/>
    <m/>
    <m/>
    <m/>
    <m/>
    <m/>
    <n v="5100"/>
    <n v="0"/>
    <n v="0"/>
    <m/>
  </r>
  <r>
    <x v="69"/>
    <d v="2019-03-11T00:00:00"/>
    <s v="KIỀU THY"/>
    <x v="34"/>
    <x v="36"/>
    <x v="3"/>
    <x v="3"/>
    <x v="0"/>
    <x v="3"/>
    <x v="5"/>
    <s v="NL2018"/>
    <m/>
    <n v="25"/>
    <n v="5000"/>
    <x v="32"/>
    <n v="26500000"/>
    <x v="0"/>
    <d v="2019-03-15T00:00:00"/>
    <x v="5"/>
    <x v="5"/>
    <s v="17/4AL"/>
    <m/>
    <m/>
    <m/>
    <m/>
    <n v="5000"/>
    <m/>
    <m/>
    <m/>
    <m/>
    <m/>
    <m/>
    <n v="5000"/>
    <n v="0"/>
    <n v="0"/>
    <m/>
  </r>
  <r>
    <x v="69"/>
    <d v="2019-01-15T00:00:00"/>
    <s v="KIỀU THY"/>
    <x v="34"/>
    <x v="36"/>
    <x v="3"/>
    <x v="3"/>
    <x v="0"/>
    <x v="3"/>
    <x v="5"/>
    <s v="NL2018"/>
    <m/>
    <n v="40"/>
    <n v="8000"/>
    <x v="8"/>
    <n v="40000000"/>
    <x v="0"/>
    <s v="30-Feb-19"/>
    <x v="29"/>
    <x v="29"/>
    <s v="30/2AL"/>
    <s v="CONT 15/2019"/>
    <d v="2019-03-31T00:00:00"/>
    <s v="R"/>
    <d v="2019-04-06T00:00:00"/>
    <n v="8000"/>
    <m/>
    <m/>
    <m/>
    <m/>
    <m/>
    <m/>
    <n v="8000"/>
    <n v="0"/>
    <n v="0"/>
    <s v="check lai gia 4800 hay 5000"/>
  </r>
  <r>
    <x v="70"/>
    <d v="2019-03-28T00:00:00"/>
    <s v="KIỀU THY"/>
    <x v="34"/>
    <x v="36"/>
    <x v="5"/>
    <x v="3"/>
    <x v="0"/>
    <x v="1"/>
    <x v="9"/>
    <s v="NL2018"/>
    <m/>
    <n v="164"/>
    <n v="24600"/>
    <x v="55"/>
    <n v="177120000"/>
    <x v="4"/>
    <d v="2019-05-05T00:00:00"/>
    <x v="27"/>
    <x v="27"/>
    <s v="10/5AL"/>
    <m/>
    <m/>
    <m/>
    <d v="2019-06-08T00:00:00"/>
    <n v="10050"/>
    <d v="2019-06-25T00:00:00"/>
    <n v="10050"/>
    <m/>
    <m/>
    <m/>
    <m/>
    <n v="20100"/>
    <n v="4500"/>
    <n v="32400000"/>
    <m/>
  </r>
  <r>
    <x v="70"/>
    <d v="2019-03-28T00:00:00"/>
    <s v="KIỀU THY"/>
    <x v="34"/>
    <x v="36"/>
    <x v="5"/>
    <x v="3"/>
    <x v="0"/>
    <x v="1"/>
    <x v="9"/>
    <s v="NL2018"/>
    <m/>
    <n v="168"/>
    <n v="25200"/>
    <x v="104"/>
    <n v="183960000"/>
    <x v="4"/>
    <d v="2019-05-18T00:00:00"/>
    <x v="3"/>
    <x v="3"/>
    <s v="10/6AL"/>
    <m/>
    <m/>
    <m/>
    <m/>
    <m/>
    <m/>
    <m/>
    <m/>
    <m/>
    <m/>
    <m/>
    <n v="0"/>
    <n v="25200"/>
    <n v="183960000"/>
    <m/>
  </r>
  <r>
    <x v="70"/>
    <d v="2019-01-15T00:00:00"/>
    <s v="KIỀU THY"/>
    <x v="34"/>
    <x v="36"/>
    <x v="5"/>
    <x v="3"/>
    <x v="0"/>
    <x v="1"/>
    <x v="9"/>
    <s v="NL2018"/>
    <m/>
    <n v="34"/>
    <n v="5100"/>
    <x v="73"/>
    <n v="32130000"/>
    <x v="0"/>
    <d v="2019-02-15T00:00:00"/>
    <x v="0"/>
    <x v="0"/>
    <s v="15/2AL"/>
    <s v="CONT 11/2019"/>
    <d v="2019-03-17T00:00:00"/>
    <m/>
    <d v="2019-03-19T00:00:00"/>
    <n v="5100"/>
    <m/>
    <m/>
    <m/>
    <m/>
    <m/>
    <m/>
    <n v="5100"/>
    <n v="0"/>
    <n v="0"/>
    <m/>
  </r>
  <r>
    <x v="69"/>
    <d v="2019-04-23T00:00:00"/>
    <s v="KIỀU THY"/>
    <x v="34"/>
    <x v="36"/>
    <x v="11"/>
    <x v="6"/>
    <x v="0"/>
    <x v="3"/>
    <x v="5"/>
    <s v="NL2018"/>
    <m/>
    <n v="15"/>
    <n v="3000"/>
    <x v="11"/>
    <n v="23100000"/>
    <x v="0"/>
    <d v="2019-03-15T00:00:00"/>
    <x v="5"/>
    <x v="5"/>
    <s v="15/3AL"/>
    <m/>
    <m/>
    <m/>
    <d v="2019-04-26T00:00:00"/>
    <n v="3000"/>
    <m/>
    <m/>
    <m/>
    <m/>
    <m/>
    <m/>
    <n v="3000"/>
    <n v="0"/>
    <n v="0"/>
    <m/>
  </r>
  <r>
    <x v="69"/>
    <d v="2019-04-25T00:00:00"/>
    <s v="KIỀU THY"/>
    <x v="34"/>
    <x v="36"/>
    <x v="11"/>
    <x v="6"/>
    <x v="0"/>
    <x v="3"/>
    <x v="5"/>
    <s v="NL2018"/>
    <m/>
    <n v="5"/>
    <n v="1000"/>
    <x v="11"/>
    <n v="7700000"/>
    <x v="0"/>
    <d v="2019-02-28T00:00:00"/>
    <x v="16"/>
    <x v="16"/>
    <s v="28/2AL"/>
    <m/>
    <m/>
    <m/>
    <d v="2019-04-26T00:00:00"/>
    <n v="1000"/>
    <m/>
    <m/>
    <m/>
    <m/>
    <m/>
    <m/>
    <n v="1000"/>
    <n v="0"/>
    <n v="0"/>
    <m/>
  </r>
  <r>
    <x v="70"/>
    <d v="2019-01-15T00:00:00"/>
    <s v="KIỀU THY"/>
    <x v="34"/>
    <x v="36"/>
    <x v="11"/>
    <x v="6"/>
    <x v="0"/>
    <x v="3"/>
    <x v="5"/>
    <s v="NL2018"/>
    <m/>
    <n v="25"/>
    <n v="5000"/>
    <x v="31"/>
    <n v="33500000"/>
    <x v="0"/>
    <d v="2019-02-15T00:00:00"/>
    <x v="0"/>
    <x v="0"/>
    <s v="15/2AL"/>
    <s v="CONT 12/2019"/>
    <d v="2019-03-17T00:00:00"/>
    <m/>
    <d v="2019-03-19T00:00:00"/>
    <n v="5000"/>
    <m/>
    <m/>
    <m/>
    <m/>
    <m/>
    <m/>
    <n v="5000"/>
    <n v="0"/>
    <n v="0"/>
    <m/>
  </r>
  <r>
    <x v="71"/>
    <d v="2019-01-15T00:00:00"/>
    <s v="KIỀU THY"/>
    <x v="34"/>
    <x v="36"/>
    <x v="20"/>
    <x v="6"/>
    <x v="0"/>
    <x v="8"/>
    <x v="11"/>
    <s v="NL2018"/>
    <m/>
    <n v="50"/>
    <n v="5000"/>
    <x v="24"/>
    <n v="71000000"/>
    <x v="2"/>
    <d v="2019-09-01T00:00:00"/>
    <x v="2"/>
    <x v="2"/>
    <s v="TẾT"/>
    <m/>
    <m/>
    <m/>
    <m/>
    <n v="0"/>
    <m/>
    <m/>
    <m/>
    <m/>
    <m/>
    <m/>
    <n v="0"/>
    <n v="5000"/>
    <n v="71000000"/>
    <m/>
  </r>
  <r>
    <x v="70"/>
    <d v="2019-04-23T00:00:00"/>
    <s v="KIỀU THY"/>
    <x v="34"/>
    <x v="36"/>
    <x v="26"/>
    <x v="13"/>
    <x v="0"/>
    <x v="3"/>
    <x v="5"/>
    <s v="NL2018"/>
    <m/>
    <n v="10"/>
    <n v="2000"/>
    <x v="32"/>
    <n v="10600000"/>
    <x v="0"/>
    <d v="2019-04-17T00:00:00"/>
    <x v="1"/>
    <x v="1"/>
    <s v="17/4AL"/>
    <m/>
    <m/>
    <m/>
    <d v="2019-05-19T00:00:00"/>
    <n v="2000"/>
    <m/>
    <m/>
    <m/>
    <m/>
    <m/>
    <m/>
    <n v="2000"/>
    <n v="0"/>
    <n v="0"/>
    <m/>
  </r>
  <r>
    <x v="69"/>
    <d v="2019-03-11T00:00:00"/>
    <s v="KIỀU THY"/>
    <x v="34"/>
    <x v="36"/>
    <x v="23"/>
    <x v="11"/>
    <x v="0"/>
    <x v="2"/>
    <x v="6"/>
    <s v="NL2018"/>
    <m/>
    <n v="17"/>
    <n v="5100"/>
    <x v="32"/>
    <n v="27030000"/>
    <x v="0"/>
    <d v="2019-03-30T00:00:00"/>
    <x v="34"/>
    <x v="34"/>
    <s v="17/4AL"/>
    <m/>
    <m/>
    <m/>
    <d v="2019-05-19T00:00:00"/>
    <n v="5100"/>
    <m/>
    <m/>
    <m/>
    <m/>
    <m/>
    <m/>
    <n v="5100"/>
    <n v="0"/>
    <n v="0"/>
    <m/>
  </r>
  <r>
    <x v="71"/>
    <d v="2019-01-15T00:00:00"/>
    <s v="KIỀU THY"/>
    <x v="34"/>
    <x v="36"/>
    <x v="59"/>
    <x v="11"/>
    <x v="0"/>
    <x v="4"/>
    <x v="14"/>
    <s v="NL2018"/>
    <m/>
    <n v="40"/>
    <n v="5000"/>
    <x v="24"/>
    <n v="71000000"/>
    <x v="2"/>
    <d v="2019-09-01T00:00:00"/>
    <x v="2"/>
    <x v="2"/>
    <s v="TẾT"/>
    <m/>
    <m/>
    <m/>
    <m/>
    <n v="0"/>
    <m/>
    <m/>
    <m/>
    <m/>
    <m/>
    <m/>
    <n v="0"/>
    <n v="5000"/>
    <n v="71000000"/>
    <m/>
  </r>
  <r>
    <x v="69"/>
    <d v="2019-01-15T00:00:00"/>
    <s v="KIỀU THY"/>
    <x v="34"/>
    <x v="36"/>
    <x v="6"/>
    <x v="39"/>
    <x v="0"/>
    <x v="3"/>
    <x v="5"/>
    <s v="NL2018"/>
    <m/>
    <n v="30"/>
    <n v="6000"/>
    <x v="12"/>
    <n v="28200000"/>
    <x v="0"/>
    <s v="30-Feb-19"/>
    <x v="29"/>
    <x v="29"/>
    <s v="30/2AL"/>
    <s v="CONT 17/2019"/>
    <d v="2019-03-31T00:00:00"/>
    <m/>
    <d v="2019-04-16T00:00:00"/>
    <n v="6000"/>
    <m/>
    <m/>
    <m/>
    <m/>
    <m/>
    <m/>
    <n v="6000"/>
    <n v="0"/>
    <n v="0"/>
    <m/>
  </r>
  <r>
    <x v="70"/>
    <d v="2019-01-15T00:00:00"/>
    <s v="KIỀU THY"/>
    <x v="34"/>
    <x v="36"/>
    <x v="6"/>
    <x v="39"/>
    <x v="0"/>
    <x v="3"/>
    <x v="5"/>
    <s v="NL2018"/>
    <m/>
    <n v="30"/>
    <n v="6000"/>
    <x v="28"/>
    <n v="27600000"/>
    <x v="0"/>
    <d v="2019-01-15T00:00:00"/>
    <x v="6"/>
    <x v="6"/>
    <s v="15/1AL"/>
    <m/>
    <m/>
    <s v="R"/>
    <d v="2019-03-02T00:00:00"/>
    <n v="6000"/>
    <m/>
    <m/>
    <m/>
    <m/>
    <m/>
    <m/>
    <n v="6000"/>
    <n v="0"/>
    <n v="0"/>
    <m/>
  </r>
  <r>
    <x v="69"/>
    <d v="2019-03-11T00:00:00"/>
    <s v="KIỀU THY"/>
    <x v="34"/>
    <x v="36"/>
    <x v="6"/>
    <x v="4"/>
    <x v="0"/>
    <x v="3"/>
    <x v="5"/>
    <s v="NL2018"/>
    <m/>
    <n v="25"/>
    <n v="5000"/>
    <x v="8"/>
    <n v="25000000"/>
    <x v="0"/>
    <d v="2019-03-15T00:00:00"/>
    <x v="5"/>
    <x v="5"/>
    <s v="15/3AL"/>
    <s v="CONT 21/2019"/>
    <d v="2019-04-14T00:00:00"/>
    <m/>
    <d v="2019-04-26T00:00:00"/>
    <n v="5000"/>
    <m/>
    <m/>
    <m/>
    <m/>
    <m/>
    <m/>
    <n v="5000"/>
    <n v="0"/>
    <n v="0"/>
    <m/>
  </r>
  <r>
    <x v="70"/>
    <d v="2019-03-28T00:00:00"/>
    <s v="KIỀU THY"/>
    <x v="34"/>
    <x v="36"/>
    <x v="6"/>
    <x v="4"/>
    <x v="0"/>
    <x v="3"/>
    <x v="5"/>
    <s v="NL2018"/>
    <m/>
    <n v="26"/>
    <n v="5200"/>
    <x v="50"/>
    <n v="31200000"/>
    <x v="0"/>
    <d v="2019-04-17T00:00:00"/>
    <x v="1"/>
    <x v="1"/>
    <s v="17/4AL"/>
    <m/>
    <m/>
    <m/>
    <d v="2019-05-19T00:00:00"/>
    <n v="5000"/>
    <m/>
    <m/>
    <m/>
    <m/>
    <m/>
    <m/>
    <n v="5000"/>
    <n v="200"/>
    <n v="1200000"/>
    <m/>
  </r>
  <r>
    <x v="71"/>
    <d v="2019-01-15T00:00:00"/>
    <s v="KIỀU THY"/>
    <x v="34"/>
    <x v="36"/>
    <x v="7"/>
    <x v="4"/>
    <x v="0"/>
    <x v="4"/>
    <x v="14"/>
    <s v="NL2018"/>
    <m/>
    <n v="40"/>
    <n v="5000"/>
    <x v="5"/>
    <n v="52500000"/>
    <x v="2"/>
    <d v="2019-09-01T00:00:00"/>
    <x v="2"/>
    <x v="2"/>
    <s v="TẾT"/>
    <m/>
    <m/>
    <m/>
    <m/>
    <n v="0"/>
    <m/>
    <m/>
    <m/>
    <m/>
    <m/>
    <m/>
    <n v="0"/>
    <n v="5000"/>
    <n v="52500000"/>
    <m/>
  </r>
  <r>
    <x v="71"/>
    <d v="2019-01-15T00:00:00"/>
    <s v="KIỀU THY"/>
    <x v="34"/>
    <x v="36"/>
    <x v="21"/>
    <x v="4"/>
    <x v="0"/>
    <x v="8"/>
    <x v="11"/>
    <s v="NL2018"/>
    <m/>
    <n v="100"/>
    <n v="10000"/>
    <x v="25"/>
    <n v="125000000"/>
    <x v="2"/>
    <d v="2019-09-01T00:00:00"/>
    <x v="2"/>
    <x v="2"/>
    <s v="TẾT"/>
    <m/>
    <m/>
    <m/>
    <m/>
    <n v="0"/>
    <m/>
    <m/>
    <m/>
    <m/>
    <m/>
    <m/>
    <n v="0"/>
    <n v="10000"/>
    <n v="125000000"/>
    <m/>
  </r>
  <r>
    <x v="69"/>
    <d v="2019-01-15T00:00:00"/>
    <s v="KIỀU THY"/>
    <x v="34"/>
    <x v="36"/>
    <x v="77"/>
    <x v="7"/>
    <x v="0"/>
    <x v="3"/>
    <x v="5"/>
    <s v="NL2018"/>
    <m/>
    <n v="20"/>
    <n v="4000"/>
    <x v="73"/>
    <n v="25200000"/>
    <x v="0"/>
    <s v="30-Feb-19"/>
    <x v="29"/>
    <x v="29"/>
    <s v="30/2AL"/>
    <s v="CONT 14/2019"/>
    <d v="2019-03-31T00:00:00"/>
    <m/>
    <d v="2019-04-16T00:00:00"/>
    <n v="4000"/>
    <m/>
    <m/>
    <m/>
    <m/>
    <m/>
    <m/>
    <n v="4000"/>
    <n v="0"/>
    <n v="0"/>
    <m/>
  </r>
  <r>
    <x v="70"/>
    <d v="2019-01-15T00:00:00"/>
    <s v="KIỀU THY"/>
    <x v="34"/>
    <x v="36"/>
    <x v="77"/>
    <x v="7"/>
    <x v="0"/>
    <x v="3"/>
    <x v="5"/>
    <s v="NL2018"/>
    <m/>
    <n v="20"/>
    <n v="4000"/>
    <x v="73"/>
    <n v="25200000"/>
    <x v="0"/>
    <d v="2019-01-15T00:00:00"/>
    <x v="6"/>
    <x v="6"/>
    <s v="15/1AL"/>
    <m/>
    <m/>
    <s v="R"/>
    <d v="2019-03-09T00:00:00"/>
    <n v="4000"/>
    <m/>
    <m/>
    <m/>
    <m/>
    <m/>
    <m/>
    <n v="4000"/>
    <n v="0"/>
    <n v="0"/>
    <m/>
  </r>
  <r>
    <x v="71"/>
    <d v="2019-01-15T00:00:00"/>
    <s v="KIỀU THY"/>
    <x v="34"/>
    <x v="36"/>
    <x v="96"/>
    <x v="7"/>
    <x v="0"/>
    <x v="8"/>
    <x v="18"/>
    <s v="NL2018"/>
    <m/>
    <n v="59"/>
    <n v="5015"/>
    <x v="108"/>
    <n v="58174000"/>
    <x v="2"/>
    <d v="2019-09-01T00:00:00"/>
    <x v="2"/>
    <x v="2"/>
    <s v="TẾT"/>
    <m/>
    <m/>
    <m/>
    <m/>
    <n v="0"/>
    <m/>
    <m/>
    <m/>
    <m/>
    <m/>
    <m/>
    <n v="0"/>
    <n v="5015"/>
    <n v="58174000"/>
    <m/>
  </r>
  <r>
    <x v="70"/>
    <d v="2019-03-28T00:00:00"/>
    <s v="KIỀU THY"/>
    <x v="34"/>
    <x v="36"/>
    <x v="9"/>
    <x v="5"/>
    <x v="0"/>
    <x v="3"/>
    <x v="5"/>
    <s v="NL2018"/>
    <m/>
    <n v="25"/>
    <n v="5000"/>
    <x v="29"/>
    <n v="29000000"/>
    <x v="0"/>
    <d v="2019-03-15T00:00:00"/>
    <x v="5"/>
    <x v="5"/>
    <s v="17/4AL"/>
    <m/>
    <m/>
    <m/>
    <d v="2019-05-23T00:00:00"/>
    <n v="5000"/>
    <m/>
    <m/>
    <m/>
    <m/>
    <m/>
    <m/>
    <n v="5000"/>
    <n v="0"/>
    <n v="0"/>
    <m/>
  </r>
  <r>
    <x v="72"/>
    <d v="2019-03-13T00:00:00"/>
    <s v="KIỀU THY"/>
    <x v="35"/>
    <x v="37"/>
    <x v="74"/>
    <x v="0"/>
    <x v="0"/>
    <x v="2"/>
    <x v="6"/>
    <s v="NL2018"/>
    <m/>
    <n v="0"/>
    <n v="0"/>
    <x v="77"/>
    <n v="0"/>
    <x v="1"/>
    <d v="2019-03-15T00:00:00"/>
    <x v="5"/>
    <x v="5"/>
    <s v="15/3AL"/>
    <s v="CONT 27/2019"/>
    <d v="2019-04-14T00:00:00"/>
    <m/>
    <m/>
    <m/>
    <m/>
    <m/>
    <m/>
    <m/>
    <m/>
    <m/>
    <n v="0"/>
    <n v="0"/>
    <n v="0"/>
    <m/>
  </r>
  <r>
    <x v="72"/>
    <d v="2019-03-13T00:00:00"/>
    <s v="KIỀU THY"/>
    <x v="35"/>
    <x v="37"/>
    <x v="0"/>
    <x v="0"/>
    <x v="0"/>
    <x v="7"/>
    <x v="0"/>
    <s v="NL2018"/>
    <m/>
    <n v="0"/>
    <n v="0"/>
    <x v="0"/>
    <n v="0"/>
    <x v="1"/>
    <s v="30-Feb-19"/>
    <x v="29"/>
    <x v="29"/>
    <s v="9-16/4 KH LÊN THANH TOÁN VÀ GIAO HÀNG"/>
    <s v="CONT 18/2019"/>
    <d v="2019-03-31T00:00:00"/>
    <m/>
    <m/>
    <n v="0"/>
    <m/>
    <m/>
    <m/>
    <m/>
    <m/>
    <m/>
    <n v="0"/>
    <n v="0"/>
    <n v="0"/>
    <m/>
  </r>
  <r>
    <x v="73"/>
    <d v="2019-04-09T00:00:00"/>
    <s v="KIỀU THY"/>
    <x v="35"/>
    <x v="37"/>
    <x v="34"/>
    <x v="1"/>
    <x v="0"/>
    <x v="2"/>
    <x v="2"/>
    <s v="NL2018"/>
    <m/>
    <n v="6"/>
    <n v="1800"/>
    <x v="12"/>
    <n v="8460000"/>
    <x v="0"/>
    <s v="30-Feb-19"/>
    <x v="29"/>
    <x v="29"/>
    <s v="9-16/4 KH LÊN THANH TOÁN VÀ GIAO HÀNG"/>
    <m/>
    <m/>
    <m/>
    <d v="2019-04-23T00:00:00"/>
    <n v="1800"/>
    <m/>
    <m/>
    <m/>
    <m/>
    <m/>
    <m/>
    <n v="1800"/>
    <n v="0"/>
    <n v="0"/>
    <m/>
  </r>
  <r>
    <x v="72"/>
    <d v="2019-03-13T00:00:00"/>
    <s v="KIỀU THY"/>
    <x v="35"/>
    <x v="37"/>
    <x v="9"/>
    <x v="5"/>
    <x v="0"/>
    <x v="3"/>
    <x v="3"/>
    <s v="NL2018"/>
    <m/>
    <n v="25"/>
    <n v="5000"/>
    <x v="10"/>
    <n v="27500000"/>
    <x v="0"/>
    <d v="2019-03-15T00:00:00"/>
    <x v="5"/>
    <x v="5"/>
    <s v="30/3AL"/>
    <m/>
    <m/>
    <m/>
    <d v="2019-05-24T00:00:00"/>
    <n v="5000"/>
    <m/>
    <m/>
    <m/>
    <m/>
    <m/>
    <m/>
    <n v="5000"/>
    <n v="0"/>
    <n v="0"/>
    <m/>
  </r>
  <r>
    <x v="74"/>
    <m/>
    <s v="KIỀU THY"/>
    <x v="36"/>
    <x v="38"/>
    <x v="2"/>
    <x v="2"/>
    <x v="0"/>
    <x v="2"/>
    <x v="2"/>
    <s v="NL2018"/>
    <m/>
    <n v="0"/>
    <n v="0"/>
    <x v="81"/>
    <n v="0"/>
    <x v="1"/>
    <d v="2019-02-15T00:00:00"/>
    <x v="0"/>
    <x v="0"/>
    <s v="15/2AL"/>
    <s v="CONT 10/2019"/>
    <d v="2019-03-17T00:00:00"/>
    <m/>
    <m/>
    <m/>
    <m/>
    <m/>
    <m/>
    <m/>
    <m/>
    <m/>
    <n v="0"/>
    <n v="0"/>
    <n v="0"/>
    <m/>
  </r>
  <r>
    <x v="74"/>
    <d v="2019-05-25T00:00:00"/>
    <s v="KIỀU THY"/>
    <x v="36"/>
    <x v="38"/>
    <x v="4"/>
    <x v="3"/>
    <x v="0"/>
    <x v="4"/>
    <x v="4"/>
    <s v="NL2018"/>
    <m/>
    <n v="80"/>
    <n v="10000"/>
    <x v="33"/>
    <n v="107000000"/>
    <x v="2"/>
    <d v="2019-09-01T00:00:00"/>
    <x v="2"/>
    <x v="2"/>
    <m/>
    <m/>
    <m/>
    <m/>
    <m/>
    <m/>
    <m/>
    <m/>
    <m/>
    <m/>
    <m/>
    <m/>
    <n v="0"/>
    <n v="10000"/>
    <n v="107000000"/>
    <m/>
  </r>
  <r>
    <x v="74"/>
    <d v="2019-05-25T00:00:00"/>
    <s v="KIỀU THY"/>
    <x v="36"/>
    <x v="38"/>
    <x v="7"/>
    <x v="4"/>
    <x v="0"/>
    <x v="4"/>
    <x v="4"/>
    <s v="NL2018"/>
    <m/>
    <n v="40"/>
    <n v="5000"/>
    <x v="34"/>
    <n v="53000000"/>
    <x v="2"/>
    <d v="2019-09-01T00:00:00"/>
    <x v="2"/>
    <x v="2"/>
    <m/>
    <m/>
    <m/>
    <m/>
    <m/>
    <m/>
    <m/>
    <m/>
    <m/>
    <m/>
    <m/>
    <m/>
    <n v="0"/>
    <n v="5000"/>
    <n v="53000000"/>
    <m/>
  </r>
  <r>
    <x v="75"/>
    <d v="2019-06-01T00:00:00"/>
    <s v="THANH THÚY"/>
    <x v="37"/>
    <x v="39"/>
    <x v="74"/>
    <x v="0"/>
    <x v="0"/>
    <x v="13"/>
    <x v="6"/>
    <s v="NL2018"/>
    <m/>
    <n v="20"/>
    <n v="6000"/>
    <x v="77"/>
    <n v="22800000"/>
    <x v="0"/>
    <d v="2019-04-17T00:00:00"/>
    <x v="1"/>
    <x v="1"/>
    <m/>
    <m/>
    <m/>
    <m/>
    <d v="2019-06-01T00:00:00"/>
    <n v="6000"/>
    <m/>
    <m/>
    <m/>
    <m/>
    <m/>
    <m/>
    <n v="6000"/>
    <n v="0"/>
    <n v="0"/>
    <m/>
  </r>
  <r>
    <x v="75"/>
    <d v="2019-06-13T00:00:00"/>
    <s v="THANH THÚY"/>
    <x v="37"/>
    <x v="39"/>
    <x v="74"/>
    <x v="0"/>
    <x v="0"/>
    <x v="2"/>
    <x v="6"/>
    <s v="NL2018"/>
    <m/>
    <n v="27"/>
    <n v="8100"/>
    <x v="45"/>
    <n v="32400000"/>
    <x v="2"/>
    <d v="2019-07-10T00:00:00"/>
    <x v="47"/>
    <x v="47"/>
    <m/>
    <m/>
    <m/>
    <m/>
    <m/>
    <m/>
    <m/>
    <m/>
    <m/>
    <m/>
    <m/>
    <m/>
    <n v="0"/>
    <n v="8100"/>
    <n v="32400000"/>
    <m/>
  </r>
  <r>
    <x v="75"/>
    <d v="2019-03-07T00:00:00"/>
    <s v="THANH THÚY"/>
    <x v="37"/>
    <x v="39"/>
    <x v="34"/>
    <x v="1"/>
    <x v="0"/>
    <x v="2"/>
    <x v="6"/>
    <s v="NL2018"/>
    <m/>
    <n v="10"/>
    <n v="3000"/>
    <x v="28"/>
    <n v="13800000"/>
    <x v="0"/>
    <d v="2019-03-15T00:00:00"/>
    <x v="5"/>
    <x v="5"/>
    <s v="15/3AL"/>
    <s v="CONT 26/2019"/>
    <m/>
    <m/>
    <d v="2019-04-19T00:00:00"/>
    <n v="3000"/>
    <m/>
    <m/>
    <m/>
    <m/>
    <m/>
    <m/>
    <n v="3000"/>
    <n v="0"/>
    <n v="0"/>
    <d v="2020-01-05T00:00:00"/>
  </r>
  <r>
    <x v="76"/>
    <d v="2019-04-03T00:00:00"/>
    <s v="THANH THÚY"/>
    <x v="37"/>
    <x v="39"/>
    <x v="34"/>
    <x v="1"/>
    <x v="0"/>
    <x v="2"/>
    <x v="6"/>
    <s v="NL2018"/>
    <m/>
    <n v="10"/>
    <n v="3000"/>
    <x v="28"/>
    <n v="13800000"/>
    <x v="0"/>
    <d v="2019-03-15T00:00:00"/>
    <x v="5"/>
    <x v="5"/>
    <s v="15/3AL"/>
    <m/>
    <m/>
    <m/>
    <m/>
    <n v="3000"/>
    <m/>
    <m/>
    <m/>
    <m/>
    <m/>
    <m/>
    <n v="3000"/>
    <n v="0"/>
    <n v="0"/>
    <m/>
  </r>
  <r>
    <x v="76"/>
    <d v="2019-04-03T00:00:00"/>
    <s v="THANH THÚY"/>
    <x v="37"/>
    <x v="39"/>
    <x v="10"/>
    <x v="1"/>
    <x v="0"/>
    <x v="3"/>
    <x v="5"/>
    <s v="NL2018"/>
    <m/>
    <n v="15"/>
    <n v="3000"/>
    <x v="10"/>
    <n v="16500000"/>
    <x v="0"/>
    <d v="2019-03-15T00:00:00"/>
    <x v="5"/>
    <x v="5"/>
    <s v="15/3AL"/>
    <m/>
    <m/>
    <m/>
    <d v="2019-05-16T00:00:00"/>
    <n v="3000"/>
    <m/>
    <m/>
    <m/>
    <m/>
    <m/>
    <m/>
    <n v="3000"/>
    <n v="0"/>
    <n v="0"/>
    <m/>
  </r>
  <r>
    <x v="75"/>
    <d v="2019-03-07T00:00:00"/>
    <s v="THANH THÚY"/>
    <x v="37"/>
    <x v="39"/>
    <x v="3"/>
    <x v="3"/>
    <x v="0"/>
    <x v="3"/>
    <x v="5"/>
    <s v="NL2018"/>
    <m/>
    <n v="15"/>
    <n v="3000"/>
    <x v="8"/>
    <n v="15000000"/>
    <x v="0"/>
    <d v="2019-03-15T00:00:00"/>
    <x v="5"/>
    <x v="5"/>
    <s v="15/3AL"/>
    <s v="CONT 26/2019"/>
    <m/>
    <m/>
    <d v="2019-06-05T00:00:00"/>
    <n v="0"/>
    <m/>
    <m/>
    <m/>
    <m/>
    <m/>
    <m/>
    <n v="0"/>
    <n v="3000"/>
    <n v="15000000"/>
    <d v="2020-01-05T00:00:00"/>
  </r>
  <r>
    <x v="75"/>
    <d v="2019-05-27T00:00:00"/>
    <s v="THANH THÚY"/>
    <x v="37"/>
    <x v="39"/>
    <x v="93"/>
    <x v="3"/>
    <x v="0"/>
    <x v="13"/>
    <x v="6"/>
    <s v="NL2018"/>
    <m/>
    <n v="17"/>
    <n v="5100"/>
    <x v="77"/>
    <n v="19380000"/>
    <x v="0"/>
    <d v="2019-05-05T00:00:00"/>
    <x v="27"/>
    <x v="27"/>
    <m/>
    <m/>
    <m/>
    <m/>
    <d v="2019-06-15T00:00:00"/>
    <n v="5100"/>
    <m/>
    <m/>
    <m/>
    <m/>
    <m/>
    <m/>
    <n v="5100"/>
    <n v="0"/>
    <n v="0"/>
    <m/>
  </r>
  <r>
    <x v="75"/>
    <d v="2019-06-13T00:00:00"/>
    <s v="THANH THÚY"/>
    <x v="37"/>
    <x v="39"/>
    <x v="3"/>
    <x v="3"/>
    <x v="0"/>
    <x v="3"/>
    <x v="5"/>
    <s v="NL2018"/>
    <m/>
    <n v="25"/>
    <n v="5000"/>
    <x v="84"/>
    <n v="28500000"/>
    <x v="2"/>
    <d v="2019-07-10T00:00:00"/>
    <x v="47"/>
    <x v="47"/>
    <m/>
    <m/>
    <m/>
    <m/>
    <m/>
    <m/>
    <m/>
    <m/>
    <m/>
    <m/>
    <m/>
    <m/>
    <n v="0"/>
    <n v="5000"/>
    <n v="28500000"/>
    <m/>
  </r>
  <r>
    <x v="76"/>
    <d v="2019-04-03T00:00:00"/>
    <s v="THANH THÚY"/>
    <x v="37"/>
    <x v="39"/>
    <x v="3"/>
    <x v="3"/>
    <x v="0"/>
    <x v="3"/>
    <x v="5"/>
    <s v="NL2018"/>
    <m/>
    <n v="0"/>
    <n v="0"/>
    <x v="6"/>
    <n v="0"/>
    <x v="1"/>
    <d v="2019-04-17T00:00:00"/>
    <x v="1"/>
    <x v="1"/>
    <s v="10/4AL"/>
    <m/>
    <m/>
    <m/>
    <m/>
    <m/>
    <m/>
    <m/>
    <m/>
    <m/>
    <m/>
    <m/>
    <n v="0"/>
    <n v="0"/>
    <n v="0"/>
    <m/>
  </r>
  <r>
    <x v="77"/>
    <d v="2019-04-03T00:00:00"/>
    <s v="THANH THÚY"/>
    <x v="37"/>
    <x v="39"/>
    <x v="4"/>
    <x v="3"/>
    <x v="0"/>
    <x v="4"/>
    <x v="14"/>
    <s v="NL2018"/>
    <m/>
    <n v="80"/>
    <n v="10000"/>
    <x v="33"/>
    <n v="107000000"/>
    <x v="2"/>
    <d v="2019-09-01T00:00:00"/>
    <x v="2"/>
    <x v="2"/>
    <s v="TẾT"/>
    <m/>
    <m/>
    <m/>
    <m/>
    <m/>
    <m/>
    <m/>
    <m/>
    <m/>
    <m/>
    <m/>
    <n v="0"/>
    <n v="10000"/>
    <n v="107000000"/>
    <m/>
  </r>
  <r>
    <x v="75"/>
    <d v="2019-06-07T00:00:00"/>
    <s v="THANH THÚY"/>
    <x v="37"/>
    <x v="39"/>
    <x v="12"/>
    <x v="6"/>
    <x v="0"/>
    <x v="13"/>
    <x v="6"/>
    <s v="NL2018"/>
    <m/>
    <n v="5"/>
    <n v="1500"/>
    <x v="109"/>
    <n v="7650000"/>
    <x v="0"/>
    <d v="2019-05-05T00:00:00"/>
    <x v="27"/>
    <x v="27"/>
    <m/>
    <m/>
    <m/>
    <m/>
    <d v="2019-06-15T00:00:00"/>
    <n v="1500"/>
    <m/>
    <m/>
    <m/>
    <m/>
    <m/>
    <m/>
    <n v="1500"/>
    <n v="0"/>
    <n v="0"/>
    <m/>
  </r>
  <r>
    <x v="75"/>
    <d v="2019-06-07T00:00:00"/>
    <s v="THANH THÚY"/>
    <x v="37"/>
    <x v="39"/>
    <x v="78"/>
    <x v="6"/>
    <x v="0"/>
    <x v="13"/>
    <x v="15"/>
    <s v="NL2018"/>
    <m/>
    <n v="17"/>
    <n v="4675"/>
    <x v="109"/>
    <n v="23842500"/>
    <x v="0"/>
    <d v="2019-04-17T00:00:00"/>
    <x v="1"/>
    <x v="1"/>
    <m/>
    <m/>
    <m/>
    <m/>
    <d v="2019-06-15T00:00:00"/>
    <n v="4675"/>
    <m/>
    <m/>
    <m/>
    <m/>
    <m/>
    <m/>
    <n v="4675"/>
    <n v="0"/>
    <n v="0"/>
    <m/>
  </r>
  <r>
    <x v="75"/>
    <d v="2019-03-07T00:00:00"/>
    <s v="THANH THÚY"/>
    <x v="37"/>
    <x v="39"/>
    <x v="75"/>
    <x v="32"/>
    <x v="0"/>
    <x v="3"/>
    <x v="5"/>
    <s v="NL2018"/>
    <m/>
    <n v="25"/>
    <n v="5000"/>
    <x v="31"/>
    <n v="33500000"/>
    <x v="0"/>
    <d v="2019-03-15T00:00:00"/>
    <x v="5"/>
    <x v="5"/>
    <s v="15/3AL"/>
    <s v="CONT 27/2019"/>
    <m/>
    <m/>
    <d v="2019-05-16T00:00:00"/>
    <n v="5000"/>
    <m/>
    <m/>
    <m/>
    <m/>
    <m/>
    <m/>
    <n v="5000"/>
    <n v="0"/>
    <n v="0"/>
    <d v="2020-01-05T00:00:00"/>
  </r>
  <r>
    <x v="76"/>
    <d v="2019-04-03T00:00:00"/>
    <s v="THANH THÚY"/>
    <x v="37"/>
    <x v="39"/>
    <x v="75"/>
    <x v="32"/>
    <x v="0"/>
    <x v="3"/>
    <x v="5"/>
    <s v="NL2018"/>
    <m/>
    <n v="25"/>
    <n v="5000"/>
    <x v="31"/>
    <n v="33500000"/>
    <x v="0"/>
    <d v="2019-03-15T00:00:00"/>
    <x v="5"/>
    <x v="5"/>
    <s v="15/3AL"/>
    <m/>
    <m/>
    <m/>
    <d v="2019-05-16T00:00:00"/>
    <n v="5000"/>
    <m/>
    <m/>
    <m/>
    <m/>
    <m/>
    <m/>
    <n v="5000"/>
    <n v="0"/>
    <n v="0"/>
    <m/>
  </r>
  <r>
    <x v="77"/>
    <d v="2019-04-03T00:00:00"/>
    <s v="THANH THÚY"/>
    <x v="37"/>
    <x v="39"/>
    <x v="64"/>
    <x v="32"/>
    <x v="0"/>
    <x v="8"/>
    <x v="11"/>
    <s v="NL2018"/>
    <m/>
    <n v="100"/>
    <n v="10000"/>
    <x v="110"/>
    <n v="154000000"/>
    <x v="2"/>
    <d v="2019-09-01T00:00:00"/>
    <x v="2"/>
    <x v="2"/>
    <s v="TẾT"/>
    <m/>
    <m/>
    <m/>
    <m/>
    <m/>
    <m/>
    <m/>
    <m/>
    <m/>
    <m/>
    <m/>
    <n v="0"/>
    <n v="10000"/>
    <n v="154000000"/>
    <m/>
  </r>
  <r>
    <x v="75"/>
    <d v="2019-06-13T00:00:00"/>
    <s v="THANH THÚY"/>
    <x v="37"/>
    <x v="39"/>
    <x v="69"/>
    <x v="13"/>
    <x v="0"/>
    <x v="2"/>
    <x v="6"/>
    <s v="NL2018"/>
    <m/>
    <n v="7"/>
    <n v="2100"/>
    <x v="14"/>
    <n v="9450000"/>
    <x v="0"/>
    <d v="2019-05-05T00:00:00"/>
    <x v="27"/>
    <x v="27"/>
    <m/>
    <m/>
    <m/>
    <m/>
    <d v="2019-06-15T00:00:00"/>
    <n v="2100"/>
    <m/>
    <m/>
    <m/>
    <m/>
    <m/>
    <m/>
    <n v="2100"/>
    <n v="0"/>
    <n v="0"/>
    <m/>
  </r>
  <r>
    <x v="75"/>
    <d v="2019-06-13T00:00:00"/>
    <s v="THANH THÚY"/>
    <x v="37"/>
    <x v="39"/>
    <x v="69"/>
    <x v="13"/>
    <x v="0"/>
    <x v="2"/>
    <x v="6"/>
    <s v="NL2018"/>
    <m/>
    <n v="17"/>
    <n v="5100"/>
    <x v="28"/>
    <n v="23460000"/>
    <x v="2"/>
    <d v="2019-07-10T00:00:00"/>
    <x v="47"/>
    <x v="47"/>
    <m/>
    <m/>
    <m/>
    <m/>
    <m/>
    <m/>
    <m/>
    <m/>
    <m/>
    <m/>
    <m/>
    <m/>
    <n v="0"/>
    <n v="5100"/>
    <n v="23460000"/>
    <m/>
  </r>
  <r>
    <x v="75"/>
    <d v="2019-06-26T00:00:00"/>
    <s v="THANH THÚY"/>
    <x v="37"/>
    <x v="39"/>
    <x v="3"/>
    <x v="3"/>
    <x v="0"/>
    <x v="3"/>
    <x v="5"/>
    <s v="NL2018"/>
    <m/>
    <n v="40"/>
    <n v="8000"/>
    <x v="10"/>
    <n v="44000000"/>
    <x v="4"/>
    <d v="2019-05-18T00:00:00"/>
    <x v="3"/>
    <x v="3"/>
    <m/>
    <m/>
    <m/>
    <m/>
    <m/>
    <m/>
    <m/>
    <m/>
    <m/>
    <m/>
    <m/>
    <m/>
    <n v="0"/>
    <n v="8000"/>
    <n v="44000000"/>
    <m/>
  </r>
  <r>
    <x v="75"/>
    <d v="2019-06-26T00:00:00"/>
    <s v="THANH THÚY"/>
    <x v="37"/>
    <x v="39"/>
    <x v="6"/>
    <x v="50"/>
    <x v="0"/>
    <x v="3"/>
    <x v="5"/>
    <s v="NL2018"/>
    <m/>
    <n v="10"/>
    <n v="2000"/>
    <x v="96"/>
    <n v="13000000"/>
    <x v="4"/>
    <d v="2019-05-05T00:00:00"/>
    <x v="27"/>
    <x v="27"/>
    <m/>
    <m/>
    <m/>
    <m/>
    <m/>
    <m/>
    <m/>
    <m/>
    <m/>
    <m/>
    <m/>
    <m/>
    <n v="0"/>
    <n v="2000"/>
    <n v="13000000"/>
    <m/>
  </r>
  <r>
    <x v="76"/>
    <d v="2019-05-19T00:00:00"/>
    <s v="THANH THÚY"/>
    <x v="37"/>
    <x v="39"/>
    <x v="26"/>
    <x v="13"/>
    <x v="0"/>
    <x v="3"/>
    <x v="5"/>
    <s v="NL2018"/>
    <m/>
    <n v="20"/>
    <n v="4000"/>
    <x v="6"/>
    <n v="21600000"/>
    <x v="0"/>
    <d v="2019-04-10T00:00:00"/>
    <x v="26"/>
    <x v="26"/>
    <m/>
    <m/>
    <m/>
    <m/>
    <d v="2019-05-19T00:00:00"/>
    <n v="4000"/>
    <m/>
    <m/>
    <m/>
    <m/>
    <m/>
    <m/>
    <n v="4000"/>
    <n v="0"/>
    <n v="0"/>
    <m/>
  </r>
  <r>
    <x v="78"/>
    <d v="2019-05-18T00:00:00"/>
    <s v="THANH THÚY"/>
    <x v="37"/>
    <x v="39"/>
    <x v="26"/>
    <x v="13"/>
    <x v="0"/>
    <x v="3"/>
    <x v="5"/>
    <s v="NL2018"/>
    <m/>
    <n v="20"/>
    <n v="4000"/>
    <x v="6"/>
    <n v="21600000"/>
    <x v="0"/>
    <d v="2019-04-14T00:00:00"/>
    <x v="48"/>
    <x v="48"/>
    <s v="10/4AL"/>
    <m/>
    <m/>
    <m/>
    <m/>
    <n v="4000"/>
    <m/>
    <m/>
    <m/>
    <m/>
    <m/>
    <m/>
    <n v="4000"/>
    <n v="0"/>
    <n v="0"/>
    <m/>
  </r>
  <r>
    <x v="77"/>
    <d v="2019-04-03T00:00:00"/>
    <s v="THANH THÚY"/>
    <x v="37"/>
    <x v="39"/>
    <x v="70"/>
    <x v="13"/>
    <x v="0"/>
    <x v="1"/>
    <x v="9"/>
    <s v="NL2018"/>
    <m/>
    <n v="34"/>
    <n v="5100"/>
    <x v="46"/>
    <n v="43350000"/>
    <x v="2"/>
    <d v="2019-09-01T00:00:00"/>
    <x v="2"/>
    <x v="2"/>
    <s v="TẾT"/>
    <m/>
    <m/>
    <m/>
    <m/>
    <m/>
    <m/>
    <m/>
    <m/>
    <m/>
    <m/>
    <m/>
    <n v="0"/>
    <n v="5100"/>
    <n v="43350000"/>
    <m/>
  </r>
  <r>
    <x v="75"/>
    <d v="2019-03-07T00:00:00"/>
    <s v="THANH THÚY"/>
    <x v="37"/>
    <x v="39"/>
    <x v="23"/>
    <x v="11"/>
    <x v="0"/>
    <x v="13"/>
    <x v="6"/>
    <s v="NL2018"/>
    <m/>
    <n v="17"/>
    <n v="5100"/>
    <x v="32"/>
    <n v="27030000"/>
    <x v="0"/>
    <d v="2019-04-17T00:00:00"/>
    <x v="1"/>
    <x v="1"/>
    <s v="30/3AL"/>
    <m/>
    <m/>
    <m/>
    <d v="2019-06-05T00:00:00"/>
    <n v="5100"/>
    <m/>
    <m/>
    <m/>
    <m/>
    <m/>
    <m/>
    <n v="5100"/>
    <n v="0"/>
    <n v="0"/>
    <d v="2020-01-05T00:00:00"/>
  </r>
  <r>
    <x v="75"/>
    <d v="2019-03-07T00:00:00"/>
    <s v="THANH THÚY"/>
    <x v="37"/>
    <x v="39"/>
    <x v="23"/>
    <x v="11"/>
    <x v="0"/>
    <x v="13"/>
    <x v="6"/>
    <s v="NL2018"/>
    <m/>
    <n v="0"/>
    <n v="0"/>
    <x v="111"/>
    <n v="0"/>
    <x v="1"/>
    <d v="2019-04-17T00:00:00"/>
    <x v="1"/>
    <x v="1"/>
    <s v="17/4AL"/>
    <m/>
    <m/>
    <m/>
    <m/>
    <n v="0"/>
    <m/>
    <m/>
    <m/>
    <m/>
    <m/>
    <m/>
    <n v="0"/>
    <n v="0"/>
    <n v="0"/>
    <d v="2020-01-05T00:00:00"/>
  </r>
  <r>
    <x v="77"/>
    <d v="2019-04-03T00:00:00"/>
    <s v="THANH THÚY"/>
    <x v="37"/>
    <x v="39"/>
    <x v="7"/>
    <x v="4"/>
    <x v="0"/>
    <x v="4"/>
    <x v="14"/>
    <s v="NL2018"/>
    <m/>
    <n v="80"/>
    <n v="10000"/>
    <x v="34"/>
    <n v="106000000"/>
    <x v="2"/>
    <d v="2019-09-01T00:00:00"/>
    <x v="2"/>
    <x v="2"/>
    <s v="TẾT"/>
    <m/>
    <m/>
    <m/>
    <m/>
    <m/>
    <m/>
    <m/>
    <m/>
    <m/>
    <m/>
    <m/>
    <n v="0"/>
    <n v="10000"/>
    <n v="106000000"/>
    <m/>
  </r>
  <r>
    <x v="77"/>
    <d v="2019-04-03T00:00:00"/>
    <s v="THANH THÚY"/>
    <x v="37"/>
    <x v="39"/>
    <x v="24"/>
    <x v="7"/>
    <x v="0"/>
    <x v="4"/>
    <x v="14"/>
    <s v="NL2018"/>
    <m/>
    <n v="48"/>
    <n v="6000"/>
    <x v="27"/>
    <n v="66000000"/>
    <x v="2"/>
    <d v="2019-09-01T00:00:00"/>
    <x v="2"/>
    <x v="2"/>
    <s v="TẾT"/>
    <m/>
    <m/>
    <m/>
    <m/>
    <m/>
    <m/>
    <m/>
    <m/>
    <m/>
    <m/>
    <m/>
    <n v="0"/>
    <n v="6000"/>
    <n v="66000000"/>
    <m/>
  </r>
  <r>
    <x v="75"/>
    <d v="2019-03-07T00:00:00"/>
    <s v="THANH THÚY"/>
    <x v="37"/>
    <x v="39"/>
    <x v="9"/>
    <x v="5"/>
    <x v="0"/>
    <x v="3"/>
    <x v="5"/>
    <s v="NL2018"/>
    <m/>
    <n v="0"/>
    <n v="0"/>
    <x v="10"/>
    <n v="0"/>
    <x v="1"/>
    <d v="2019-03-15T00:00:00"/>
    <x v="5"/>
    <x v="5"/>
    <s v="15/3AL"/>
    <s v="CONT 21/2019"/>
    <m/>
    <m/>
    <m/>
    <n v="0"/>
    <m/>
    <m/>
    <m/>
    <m/>
    <m/>
    <m/>
    <n v="0"/>
    <n v="0"/>
    <n v="0"/>
    <m/>
  </r>
  <r>
    <x v="75"/>
    <d v="2019-06-13T00:00:00"/>
    <s v="THANH THÚY"/>
    <x v="37"/>
    <x v="39"/>
    <x v="9"/>
    <x v="5"/>
    <x v="0"/>
    <x v="3"/>
    <x v="5"/>
    <s v="NL2018"/>
    <m/>
    <n v="25"/>
    <n v="5000"/>
    <x v="54"/>
    <n v="28000000"/>
    <x v="2"/>
    <d v="2019-07-10T00:00:00"/>
    <x v="47"/>
    <x v="47"/>
    <m/>
    <m/>
    <m/>
    <m/>
    <m/>
    <m/>
    <m/>
    <m/>
    <m/>
    <m/>
    <m/>
    <m/>
    <n v="0"/>
    <n v="5000"/>
    <n v="28000000"/>
    <m/>
  </r>
  <r>
    <x v="76"/>
    <d v="2019-05-19T00:00:00"/>
    <s v="THANH THÚY"/>
    <x v="37"/>
    <x v="39"/>
    <x v="9"/>
    <x v="5"/>
    <x v="0"/>
    <x v="3"/>
    <x v="5"/>
    <s v="NL2018"/>
    <m/>
    <n v="25"/>
    <n v="5000"/>
    <x v="29"/>
    <n v="29000000"/>
    <x v="0"/>
    <d v="2019-04-10T00:00:00"/>
    <x v="26"/>
    <x v="26"/>
    <m/>
    <m/>
    <m/>
    <m/>
    <d v="2019-05-02T00:00:00"/>
    <n v="5000"/>
    <m/>
    <m/>
    <m/>
    <m/>
    <m/>
    <m/>
    <n v="5000"/>
    <n v="0"/>
    <n v="0"/>
    <m/>
  </r>
  <r>
    <x v="76"/>
    <d v="2019-04-03T00:00:00"/>
    <s v="THANH THÚY"/>
    <x v="37"/>
    <x v="39"/>
    <x v="9"/>
    <x v="5"/>
    <x v="0"/>
    <x v="3"/>
    <x v="5"/>
    <s v="NL2018"/>
    <m/>
    <n v="25"/>
    <n v="5000"/>
    <x v="29"/>
    <n v="29000000"/>
    <x v="0"/>
    <d v="2019-04-10T00:00:00"/>
    <x v="26"/>
    <x v="26"/>
    <s v="10/4AL"/>
    <m/>
    <m/>
    <m/>
    <d v="2019-05-02T00:00:00"/>
    <n v="5000"/>
    <m/>
    <m/>
    <m/>
    <m/>
    <m/>
    <m/>
    <n v="5000"/>
    <n v="0"/>
    <n v="0"/>
    <m/>
  </r>
  <r>
    <x v="79"/>
    <d v="2019-05-29T00:00:00"/>
    <s v="KIỀU THY"/>
    <x v="38"/>
    <x v="40"/>
    <x v="34"/>
    <x v="1"/>
    <x v="0"/>
    <x v="2"/>
    <x v="2"/>
    <s v="NL2018"/>
    <m/>
    <n v="14"/>
    <n v="4200"/>
    <x v="42"/>
    <n v="20160000"/>
    <x v="0"/>
    <d v="2019-04-17T00:00:00"/>
    <x v="1"/>
    <x v="1"/>
    <m/>
    <m/>
    <m/>
    <m/>
    <d v="2019-05-29T00:00:00"/>
    <n v="4200"/>
    <m/>
    <m/>
    <m/>
    <m/>
    <m/>
    <m/>
    <n v="4200"/>
    <n v="0"/>
    <n v="0"/>
    <m/>
  </r>
  <r>
    <x v="80"/>
    <d v="2019-06-01T00:00:00"/>
    <s v="KIỀU THY"/>
    <x v="38"/>
    <x v="40"/>
    <x v="63"/>
    <x v="1"/>
    <x v="0"/>
    <x v="4"/>
    <x v="4"/>
    <s v="NL2018"/>
    <m/>
    <n v="48"/>
    <n v="6000"/>
    <x v="27"/>
    <n v="66000000"/>
    <x v="2"/>
    <d v="2019-09-01T00:00:00"/>
    <x v="2"/>
    <x v="2"/>
    <m/>
    <m/>
    <m/>
    <m/>
    <m/>
    <m/>
    <m/>
    <m/>
    <m/>
    <m/>
    <m/>
    <m/>
    <n v="0"/>
    <n v="6000"/>
    <n v="66000000"/>
    <m/>
  </r>
  <r>
    <x v="80"/>
    <d v="2019-06-01T00:00:00"/>
    <s v="KIỀU THY"/>
    <x v="38"/>
    <x v="40"/>
    <x v="4"/>
    <x v="51"/>
    <x v="0"/>
    <x v="4"/>
    <x v="4"/>
    <s v="NL2018"/>
    <m/>
    <n v="48"/>
    <n v="6000"/>
    <x v="25"/>
    <n v="75000000"/>
    <x v="2"/>
    <d v="2019-09-01T00:00:00"/>
    <x v="2"/>
    <x v="2"/>
    <m/>
    <m/>
    <m/>
    <m/>
    <m/>
    <m/>
    <m/>
    <m/>
    <m/>
    <m/>
    <m/>
    <m/>
    <n v="0"/>
    <n v="6000"/>
    <n v="75000000"/>
    <m/>
  </r>
  <r>
    <x v="79"/>
    <d v="2019-06-01T00:00:00"/>
    <s v="KIỀU THY"/>
    <x v="38"/>
    <x v="40"/>
    <x v="58"/>
    <x v="33"/>
    <x v="0"/>
    <x v="2"/>
    <x v="2"/>
    <s v="NL2018"/>
    <m/>
    <n v="0"/>
    <n v="0"/>
    <x v="37"/>
    <n v="0"/>
    <x v="1"/>
    <d v="2019-07-20T00:00:00"/>
    <x v="46"/>
    <x v="46"/>
    <m/>
    <m/>
    <m/>
    <m/>
    <m/>
    <m/>
    <m/>
    <m/>
    <m/>
    <m/>
    <m/>
    <m/>
    <n v="0"/>
    <n v="0"/>
    <n v="0"/>
    <m/>
  </r>
  <r>
    <x v="79"/>
    <d v="2019-06-04T00:00:00"/>
    <s v="KIỀU THY"/>
    <x v="38"/>
    <x v="40"/>
    <x v="23"/>
    <x v="11"/>
    <x v="0"/>
    <x v="2"/>
    <x v="2"/>
    <s v="NL2018"/>
    <m/>
    <n v="1"/>
    <n v="300"/>
    <x v="10"/>
    <n v="1650000"/>
    <x v="0"/>
    <d v="2019-04-17T00:00:00"/>
    <x v="1"/>
    <x v="1"/>
    <m/>
    <m/>
    <m/>
    <m/>
    <d v="2019-06-04T00:00:00"/>
    <n v="300"/>
    <m/>
    <m/>
    <m/>
    <m/>
    <m/>
    <m/>
    <n v="300"/>
    <n v="0"/>
    <n v="0"/>
    <m/>
  </r>
  <r>
    <x v="80"/>
    <d v="2019-06-01T00:00:00"/>
    <s v="KIỀU THY"/>
    <x v="38"/>
    <x v="40"/>
    <x v="7"/>
    <x v="37"/>
    <x v="0"/>
    <x v="4"/>
    <x v="4"/>
    <s v="NL2018"/>
    <m/>
    <n v="40"/>
    <n v="5000"/>
    <x v="80"/>
    <n v="60000000"/>
    <x v="2"/>
    <d v="2019-09-01T00:00:00"/>
    <x v="2"/>
    <x v="2"/>
    <m/>
    <m/>
    <m/>
    <m/>
    <m/>
    <m/>
    <m/>
    <m/>
    <m/>
    <m/>
    <m/>
    <m/>
    <n v="0"/>
    <n v="5000"/>
    <n v="60000000"/>
    <m/>
  </r>
  <r>
    <x v="79"/>
    <d v="2019-06-01T00:00:00"/>
    <s v="KIỀU THY"/>
    <x v="38"/>
    <x v="40"/>
    <x v="51"/>
    <x v="30"/>
    <x v="0"/>
    <x v="2"/>
    <x v="2"/>
    <s v="NL2018"/>
    <m/>
    <n v="0"/>
    <n v="0"/>
    <x v="28"/>
    <n v="0"/>
    <x v="1"/>
    <d v="2019-07-20T00:00:00"/>
    <x v="46"/>
    <x v="46"/>
    <m/>
    <m/>
    <m/>
    <m/>
    <m/>
    <m/>
    <m/>
    <m/>
    <m/>
    <m/>
    <m/>
    <m/>
    <n v="0"/>
    <n v="0"/>
    <n v="0"/>
    <m/>
  </r>
  <r>
    <x v="81"/>
    <d v="2019-03-09T00:00:00"/>
    <s v="KIỀU THY"/>
    <x v="39"/>
    <x v="41"/>
    <x v="74"/>
    <x v="0"/>
    <x v="0"/>
    <x v="2"/>
    <x v="6"/>
    <s v="NL2018"/>
    <m/>
    <n v="17"/>
    <n v="5100"/>
    <x v="77"/>
    <n v="19380000"/>
    <x v="0"/>
    <d v="2019-04-17T00:00:00"/>
    <x v="1"/>
    <x v="1"/>
    <s v="30/3AL"/>
    <m/>
    <m/>
    <m/>
    <d v="2019-05-18T00:00:00"/>
    <n v="5100"/>
    <m/>
    <m/>
    <m/>
    <m/>
    <m/>
    <m/>
    <n v="5100"/>
    <n v="0"/>
    <n v="0"/>
    <m/>
  </r>
  <r>
    <x v="81"/>
    <d v="2019-05-13T00:00:00"/>
    <s v="KIỀU THY"/>
    <x v="39"/>
    <x v="41"/>
    <x v="74"/>
    <x v="0"/>
    <x v="0"/>
    <x v="2"/>
    <x v="6"/>
    <s v="NL2018"/>
    <m/>
    <n v="0"/>
    <n v="0"/>
    <x v="57"/>
    <n v="0"/>
    <x v="1"/>
    <d v="2019-05-05T00:00:00"/>
    <x v="27"/>
    <x v="27"/>
    <m/>
    <m/>
    <m/>
    <m/>
    <m/>
    <m/>
    <m/>
    <m/>
    <m/>
    <m/>
    <m/>
    <m/>
    <n v="0"/>
    <n v="0"/>
    <n v="0"/>
    <m/>
  </r>
  <r>
    <x v="81"/>
    <d v="2019-06-12T00:00:00"/>
    <s v="KIỀU THY"/>
    <x v="39"/>
    <x v="41"/>
    <x v="34"/>
    <x v="1"/>
    <x v="0"/>
    <x v="2"/>
    <x v="6"/>
    <s v="NL2018"/>
    <m/>
    <n v="17"/>
    <n v="5100"/>
    <x v="43"/>
    <n v="24990000"/>
    <x v="0"/>
    <d v="2019-04-17T00:00:00"/>
    <x v="1"/>
    <x v="1"/>
    <m/>
    <m/>
    <m/>
    <m/>
    <d v="2019-06-22T00:00:00"/>
    <n v="5100"/>
    <m/>
    <m/>
    <m/>
    <m/>
    <m/>
    <m/>
    <n v="5100"/>
    <n v="0"/>
    <n v="0"/>
    <m/>
  </r>
  <r>
    <x v="81"/>
    <d v="2019-06-12T00:00:00"/>
    <s v="KIỀU THY"/>
    <x v="39"/>
    <x v="41"/>
    <x v="34"/>
    <x v="1"/>
    <x v="0"/>
    <x v="2"/>
    <x v="6"/>
    <s v="NL2018"/>
    <m/>
    <n v="8"/>
    <n v="2400"/>
    <x v="8"/>
    <n v="12000000"/>
    <x v="3"/>
    <d v="2019-06-15T00:00:00"/>
    <x v="4"/>
    <x v="4"/>
    <m/>
    <m/>
    <m/>
    <m/>
    <m/>
    <m/>
    <m/>
    <m/>
    <m/>
    <m/>
    <m/>
    <m/>
    <n v="0"/>
    <n v="2400"/>
    <n v="12000000"/>
    <m/>
  </r>
  <r>
    <x v="82"/>
    <d v="2019-03-09T00:00:00"/>
    <s v="KIỀU THY"/>
    <x v="39"/>
    <x v="41"/>
    <x v="97"/>
    <x v="52"/>
    <x v="0"/>
    <x v="4"/>
    <x v="14"/>
    <s v="NL2018"/>
    <m/>
    <n v="24"/>
    <n v="3000"/>
    <x v="62"/>
    <n v="32700000"/>
    <x v="2"/>
    <d v="2019-09-01T00:00:00"/>
    <x v="2"/>
    <x v="2"/>
    <s v="TẾT"/>
    <m/>
    <m/>
    <m/>
    <m/>
    <n v="0"/>
    <m/>
    <m/>
    <m/>
    <m/>
    <m/>
    <m/>
    <n v="0"/>
    <n v="3000"/>
    <n v="32700000"/>
    <m/>
  </r>
  <r>
    <x v="82"/>
    <d v="2019-03-09T00:00:00"/>
    <s v="KIỀU THY"/>
    <x v="39"/>
    <x v="41"/>
    <x v="4"/>
    <x v="3"/>
    <x v="0"/>
    <x v="4"/>
    <x v="14"/>
    <s v="NL2018"/>
    <m/>
    <n v="16"/>
    <n v="2000"/>
    <x v="5"/>
    <n v="21000000"/>
    <x v="2"/>
    <d v="2019-09-01T00:00:00"/>
    <x v="2"/>
    <x v="2"/>
    <s v="TẾT"/>
    <m/>
    <m/>
    <m/>
    <m/>
    <n v="0"/>
    <m/>
    <m/>
    <m/>
    <m/>
    <m/>
    <m/>
    <n v="0"/>
    <n v="2000"/>
    <n v="21000000"/>
    <m/>
  </r>
  <r>
    <x v="81"/>
    <d v="2019-06-12T00:00:00"/>
    <s v="KIỀU THY"/>
    <x v="39"/>
    <x v="41"/>
    <x v="51"/>
    <x v="30"/>
    <x v="0"/>
    <x v="2"/>
    <x v="6"/>
    <s v="NL2018"/>
    <m/>
    <n v="9"/>
    <n v="2700"/>
    <x v="28"/>
    <n v="12420000"/>
    <x v="3"/>
    <d v="2019-06-15T00:00:00"/>
    <x v="4"/>
    <x v="4"/>
    <m/>
    <m/>
    <m/>
    <m/>
    <m/>
    <m/>
    <m/>
    <m/>
    <m/>
    <m/>
    <m/>
    <m/>
    <n v="0"/>
    <n v="2700"/>
    <n v="12420000"/>
    <m/>
  </r>
  <r>
    <x v="83"/>
    <d v="2019-03-18T00:00:00"/>
    <s v="KIỀU THY"/>
    <x v="40"/>
    <x v="42"/>
    <x v="22"/>
    <x v="3"/>
    <x v="0"/>
    <x v="8"/>
    <x v="12"/>
    <s v="NL2018"/>
    <m/>
    <n v="120"/>
    <n v="12000"/>
    <x v="25"/>
    <n v="150000000"/>
    <x v="2"/>
    <d v="2019-09-01T00:00:00"/>
    <x v="2"/>
    <x v="2"/>
    <m/>
    <m/>
    <m/>
    <m/>
    <m/>
    <m/>
    <m/>
    <m/>
    <m/>
    <m/>
    <m/>
    <m/>
    <n v="0"/>
    <n v="12000"/>
    <n v="150000000"/>
    <m/>
  </r>
  <r>
    <x v="83"/>
    <d v="2019-03-30T00:00:00"/>
    <s v="KIỀU THY"/>
    <x v="40"/>
    <x v="42"/>
    <x v="4"/>
    <x v="3"/>
    <x v="0"/>
    <x v="4"/>
    <x v="4"/>
    <s v="NL2018"/>
    <m/>
    <n v="40"/>
    <n v="5000"/>
    <x v="33"/>
    <n v="53500000"/>
    <x v="2"/>
    <d v="2019-09-01T00:00:00"/>
    <x v="2"/>
    <x v="2"/>
    <m/>
    <m/>
    <m/>
    <m/>
    <m/>
    <m/>
    <m/>
    <m/>
    <m/>
    <m/>
    <m/>
    <m/>
    <n v="0"/>
    <n v="5000"/>
    <n v="53500000"/>
    <m/>
  </r>
  <r>
    <x v="83"/>
    <d v="2019-03-18T00:00:00"/>
    <s v="KIỀU THY"/>
    <x v="40"/>
    <x v="42"/>
    <x v="56"/>
    <x v="23"/>
    <x v="0"/>
    <x v="1"/>
    <x v="1"/>
    <s v="NL2018"/>
    <m/>
    <n v="34"/>
    <n v="5100"/>
    <x v="55"/>
    <n v="36720000"/>
    <x v="2"/>
    <d v="2019-09-01T00:00:00"/>
    <x v="2"/>
    <x v="2"/>
    <m/>
    <m/>
    <m/>
    <m/>
    <m/>
    <m/>
    <m/>
    <m/>
    <m/>
    <m/>
    <m/>
    <m/>
    <n v="0"/>
    <n v="5100"/>
    <n v="36720000"/>
    <m/>
  </r>
  <r>
    <x v="83"/>
    <d v="2019-03-30T00:00:00"/>
    <s v="KIỀU THY"/>
    <x v="40"/>
    <x v="42"/>
    <x v="7"/>
    <x v="4"/>
    <x v="0"/>
    <x v="4"/>
    <x v="4"/>
    <s v="NL2018"/>
    <m/>
    <n v="40"/>
    <n v="5000"/>
    <x v="34"/>
    <n v="53000000"/>
    <x v="2"/>
    <d v="2019-09-01T00:00:00"/>
    <x v="2"/>
    <x v="2"/>
    <m/>
    <m/>
    <m/>
    <m/>
    <m/>
    <m/>
    <m/>
    <m/>
    <m/>
    <m/>
    <m/>
    <m/>
    <n v="0"/>
    <n v="5000"/>
    <n v="53000000"/>
    <m/>
  </r>
  <r>
    <x v="83"/>
    <d v="2019-03-18T00:00:00"/>
    <s v="KIỀU THY"/>
    <x v="40"/>
    <x v="42"/>
    <x v="7"/>
    <x v="4"/>
    <x v="0"/>
    <x v="4"/>
    <x v="4"/>
    <s v="NL2018"/>
    <m/>
    <n v="64"/>
    <n v="8000"/>
    <x v="5"/>
    <n v="84000000"/>
    <x v="2"/>
    <d v="2019-09-01T00:00:00"/>
    <x v="2"/>
    <x v="2"/>
    <m/>
    <m/>
    <m/>
    <m/>
    <m/>
    <m/>
    <m/>
    <m/>
    <m/>
    <m/>
    <m/>
    <m/>
    <n v="0"/>
    <n v="8000"/>
    <n v="84000000"/>
    <m/>
  </r>
  <r>
    <x v="84"/>
    <d v="2019-05-21T00:00:00"/>
    <s v="THANH THÚY"/>
    <x v="41"/>
    <x v="43"/>
    <x v="4"/>
    <x v="3"/>
    <x v="0"/>
    <x v="4"/>
    <x v="4"/>
    <s v="NL2018"/>
    <m/>
    <n v="0"/>
    <n v="0"/>
    <x v="33"/>
    <n v="0"/>
    <x v="1"/>
    <d v="2019-09-01T00:00:00"/>
    <x v="2"/>
    <x v="2"/>
    <m/>
    <m/>
    <m/>
    <m/>
    <m/>
    <m/>
    <m/>
    <m/>
    <m/>
    <m/>
    <m/>
    <m/>
    <n v="0"/>
    <n v="0"/>
    <n v="0"/>
    <m/>
  </r>
  <r>
    <x v="84"/>
    <d v="2019-05-21T00:00:00"/>
    <s v="THANH THÚY"/>
    <x v="41"/>
    <x v="43"/>
    <x v="76"/>
    <x v="15"/>
    <x v="0"/>
    <x v="1"/>
    <x v="1"/>
    <s v="NL2018"/>
    <m/>
    <n v="134"/>
    <n v="20100"/>
    <x v="67"/>
    <n v="203010000"/>
    <x v="2"/>
    <d v="2019-09-01T00:00:00"/>
    <x v="2"/>
    <x v="2"/>
    <m/>
    <m/>
    <m/>
    <m/>
    <m/>
    <m/>
    <m/>
    <m/>
    <m/>
    <m/>
    <m/>
    <m/>
    <n v="0"/>
    <n v="20100"/>
    <n v="203010000"/>
    <m/>
  </r>
  <r>
    <x v="84"/>
    <d v="2019-05-21T00:00:00"/>
    <s v="THANH THÚY"/>
    <x v="41"/>
    <x v="43"/>
    <x v="7"/>
    <x v="4"/>
    <x v="0"/>
    <x v="4"/>
    <x v="4"/>
    <s v="NL2018"/>
    <m/>
    <n v="160"/>
    <n v="20000"/>
    <x v="34"/>
    <n v="212000000"/>
    <x v="2"/>
    <d v="2019-09-01T00:00:00"/>
    <x v="2"/>
    <x v="2"/>
    <m/>
    <m/>
    <m/>
    <m/>
    <m/>
    <m/>
    <m/>
    <m/>
    <m/>
    <m/>
    <m/>
    <m/>
    <n v="0"/>
    <n v="20000"/>
    <n v="212000000"/>
    <m/>
  </r>
  <r>
    <x v="85"/>
    <d v="2019-03-29T00:00:00"/>
    <s v="KIỀU THY"/>
    <x v="42"/>
    <x v="44"/>
    <x v="0"/>
    <x v="0"/>
    <x v="0"/>
    <x v="7"/>
    <x v="8"/>
    <s v="NL2018"/>
    <m/>
    <n v="22"/>
    <n v="8800"/>
    <x v="1"/>
    <n v="23760000"/>
    <x v="0"/>
    <d v="2019-03-15T00:00:00"/>
    <x v="5"/>
    <x v="5"/>
    <s v="Chia làm 3 cử"/>
    <m/>
    <m/>
    <m/>
    <d v="2019-04-26T00:00:00"/>
    <n v="4000"/>
    <d v="2019-05-02T00:00:00"/>
    <n v="1200"/>
    <d v="2019-05-27T00:00:00"/>
    <n v="3600"/>
    <m/>
    <m/>
    <n v="8800"/>
    <n v="0"/>
    <n v="0"/>
    <m/>
  </r>
  <r>
    <x v="86"/>
    <d v="2019-01-15T00:00:00"/>
    <s v="KIỀU THY"/>
    <x v="42"/>
    <x v="44"/>
    <x v="0"/>
    <x v="0"/>
    <x v="0"/>
    <x v="7"/>
    <x v="8"/>
    <s v="NL2018"/>
    <m/>
    <n v="25"/>
    <n v="10000"/>
    <x v="0"/>
    <n v="26000000"/>
    <x v="0"/>
    <s v="29-Feb-19"/>
    <x v="10"/>
    <x v="10"/>
    <m/>
    <s v="CONT 18/2019"/>
    <d v="2019-03-31T00:00:00"/>
    <s v="R"/>
    <d v="2019-04-13T00:00:00"/>
    <n v="3200"/>
    <d v="2019-05-09T00:00:00"/>
    <n v="6800"/>
    <m/>
    <m/>
    <m/>
    <m/>
    <n v="10000"/>
    <n v="0"/>
    <n v="0"/>
    <m/>
  </r>
  <r>
    <x v="85"/>
    <d v="2019-03-29T00:00:00"/>
    <s v="KIỀU THY"/>
    <x v="42"/>
    <x v="44"/>
    <x v="34"/>
    <x v="1"/>
    <x v="0"/>
    <x v="2"/>
    <x v="6"/>
    <s v="NL2018"/>
    <m/>
    <n v="15"/>
    <n v="4500"/>
    <x v="42"/>
    <n v="21600000"/>
    <x v="0"/>
    <d v="2019-04-17T00:00:00"/>
    <x v="1"/>
    <x v="1"/>
    <s v="10/4AL_MỖI CỬ VỀ 4.500/15 NGÀY"/>
    <m/>
    <m/>
    <m/>
    <d v="2019-06-04T00:00:00"/>
    <n v="3000"/>
    <m/>
    <m/>
    <m/>
    <m/>
    <m/>
    <m/>
    <n v="3000"/>
    <n v="1500"/>
    <n v="7200000"/>
    <m/>
  </r>
  <r>
    <x v="85"/>
    <d v="2019-03-29T00:00:00"/>
    <s v="KIỀU THY"/>
    <x v="42"/>
    <x v="44"/>
    <x v="34"/>
    <x v="1"/>
    <x v="0"/>
    <x v="2"/>
    <x v="6"/>
    <s v="NL2018"/>
    <m/>
    <n v="29"/>
    <n v="8700"/>
    <x v="42"/>
    <n v="41760000"/>
    <x v="4"/>
    <d v="2019-05-05T00:00:00"/>
    <x v="27"/>
    <x v="27"/>
    <m/>
    <m/>
    <m/>
    <m/>
    <m/>
    <m/>
    <d v="2019-06-20T00:00:00"/>
    <n v="4200"/>
    <m/>
    <m/>
    <m/>
    <m/>
    <n v="4200"/>
    <n v="4500"/>
    <n v="21600000"/>
    <m/>
  </r>
  <r>
    <x v="85"/>
    <d v="2019-03-29T00:00:00"/>
    <s v="KIỀU THY"/>
    <x v="42"/>
    <x v="44"/>
    <x v="34"/>
    <x v="1"/>
    <x v="0"/>
    <x v="2"/>
    <x v="6"/>
    <s v="NL2018"/>
    <m/>
    <n v="15"/>
    <n v="4500"/>
    <x v="42"/>
    <n v="21600000"/>
    <x v="4"/>
    <d v="2019-05-18T00:00:00"/>
    <x v="3"/>
    <x v="3"/>
    <m/>
    <m/>
    <m/>
    <m/>
    <m/>
    <m/>
    <m/>
    <m/>
    <m/>
    <m/>
    <m/>
    <m/>
    <n v="0"/>
    <n v="4500"/>
    <n v="21600000"/>
    <m/>
  </r>
  <r>
    <x v="85"/>
    <d v="2019-03-29T00:00:00"/>
    <s v="KIỀU THY"/>
    <x v="42"/>
    <x v="44"/>
    <x v="34"/>
    <x v="1"/>
    <x v="0"/>
    <x v="2"/>
    <x v="6"/>
    <s v="NL2018"/>
    <m/>
    <n v="15"/>
    <n v="4500"/>
    <x v="42"/>
    <n v="21600000"/>
    <x v="3"/>
    <d v="2019-05-30T00:00:00"/>
    <x v="17"/>
    <x v="17"/>
    <s v="T5/AL"/>
    <m/>
    <m/>
    <m/>
    <m/>
    <m/>
    <m/>
    <m/>
    <m/>
    <m/>
    <m/>
    <m/>
    <n v="0"/>
    <n v="4500"/>
    <n v="21600000"/>
    <m/>
  </r>
  <r>
    <x v="86"/>
    <d v="2019-01-15T00:00:00"/>
    <s v="KIỀU THY"/>
    <x v="42"/>
    <x v="44"/>
    <x v="2"/>
    <x v="2"/>
    <x v="0"/>
    <x v="2"/>
    <x v="6"/>
    <s v="NL2018"/>
    <m/>
    <n v="10"/>
    <n v="3000"/>
    <x v="3"/>
    <n v="10500000"/>
    <x v="0"/>
    <s v="29-Feb-19"/>
    <x v="10"/>
    <x v="10"/>
    <m/>
    <s v="CONT 17/2019"/>
    <d v="2019-03-31T00:00:00"/>
    <s v="R"/>
    <d v="2019-04-20T00:00:00"/>
    <n v="3000"/>
    <m/>
    <m/>
    <m/>
    <m/>
    <m/>
    <m/>
    <n v="3000"/>
    <n v="0"/>
    <n v="0"/>
    <m/>
  </r>
  <r>
    <x v="86"/>
    <d v="2019-01-15T00:00:00"/>
    <s v="KIỀU THY"/>
    <x v="42"/>
    <x v="44"/>
    <x v="3"/>
    <x v="3"/>
    <x v="0"/>
    <x v="3"/>
    <x v="5"/>
    <s v="NL2018"/>
    <m/>
    <n v="50"/>
    <n v="10000"/>
    <x v="42"/>
    <n v="48000000"/>
    <x v="0"/>
    <d v="2019-02-15T00:00:00"/>
    <x v="0"/>
    <x v="0"/>
    <m/>
    <s v="CONT 11/2019"/>
    <d v="2019-03-17T00:00:00"/>
    <s v="R"/>
    <d v="2019-03-19T00:00:00"/>
    <n v="5000"/>
    <d v="2019-04-02T00:00:00"/>
    <n v="5000"/>
    <m/>
    <m/>
    <m/>
    <m/>
    <n v="10000"/>
    <n v="0"/>
    <n v="0"/>
    <m/>
  </r>
  <r>
    <x v="85"/>
    <d v="2019-03-29T00:00:00"/>
    <s v="KIỀU THY"/>
    <x v="42"/>
    <x v="44"/>
    <x v="3"/>
    <x v="3"/>
    <x v="0"/>
    <x v="3"/>
    <x v="5"/>
    <s v="NL2018"/>
    <m/>
    <n v="70"/>
    <n v="14000"/>
    <x v="6"/>
    <n v="75600000"/>
    <x v="0"/>
    <d v="2019-04-17T00:00:00"/>
    <x v="1"/>
    <x v="1"/>
    <s v="10/4AL_MỖI CỬ VỀ 7.000/15 NGÀY"/>
    <m/>
    <m/>
    <m/>
    <d v="2019-05-18T00:00:00"/>
    <n v="6000"/>
    <d v="2019-05-22T00:00:00"/>
    <n v="200"/>
    <d v="2019-06-04T00:00:00"/>
    <n v="7800"/>
    <m/>
    <m/>
    <n v="14000"/>
    <n v="0"/>
    <n v="0"/>
    <m/>
  </r>
  <r>
    <x v="85"/>
    <d v="2019-03-29T00:00:00"/>
    <s v="KIỀU THY"/>
    <x v="42"/>
    <x v="44"/>
    <x v="3"/>
    <x v="3"/>
    <x v="0"/>
    <x v="3"/>
    <x v="5"/>
    <s v="NL2018"/>
    <m/>
    <n v="35"/>
    <n v="7000"/>
    <x v="10"/>
    <n v="38500000"/>
    <x v="0"/>
    <d v="2019-05-05T00:00:00"/>
    <x v="27"/>
    <x v="27"/>
    <m/>
    <m/>
    <m/>
    <m/>
    <d v="2019-06-22T00:00:00"/>
    <n v="7000"/>
    <m/>
    <m/>
    <m/>
    <m/>
    <m/>
    <m/>
    <n v="7000"/>
    <n v="0"/>
    <n v="0"/>
    <m/>
  </r>
  <r>
    <x v="85"/>
    <d v="2019-03-29T00:00:00"/>
    <s v="KIỀU THY"/>
    <x v="42"/>
    <x v="44"/>
    <x v="3"/>
    <x v="3"/>
    <x v="0"/>
    <x v="3"/>
    <x v="5"/>
    <s v="NL2018"/>
    <m/>
    <n v="35"/>
    <n v="7000"/>
    <x v="10"/>
    <n v="38500000"/>
    <x v="4"/>
    <d v="2019-05-18T00:00:00"/>
    <x v="3"/>
    <x v="3"/>
    <m/>
    <m/>
    <m/>
    <m/>
    <d v="2019-06-24T00:00:00"/>
    <n v="400"/>
    <m/>
    <m/>
    <m/>
    <m/>
    <m/>
    <m/>
    <n v="400"/>
    <n v="6600"/>
    <n v="36300000"/>
    <m/>
  </r>
  <r>
    <x v="85"/>
    <d v="2019-03-29T00:00:00"/>
    <s v="KIỀU THY"/>
    <x v="42"/>
    <x v="44"/>
    <x v="3"/>
    <x v="3"/>
    <x v="0"/>
    <x v="3"/>
    <x v="5"/>
    <s v="NL2018"/>
    <m/>
    <n v="35"/>
    <n v="7000"/>
    <x v="10"/>
    <n v="38500000"/>
    <x v="3"/>
    <d v="2019-06-15T00:00:00"/>
    <x v="4"/>
    <x v="4"/>
    <m/>
    <m/>
    <m/>
    <m/>
    <m/>
    <m/>
    <m/>
    <m/>
    <m/>
    <m/>
    <m/>
    <m/>
    <n v="0"/>
    <n v="7000"/>
    <n v="38500000"/>
    <m/>
  </r>
  <r>
    <x v="85"/>
    <d v="2019-03-29T00:00:00"/>
    <s v="KIỀU THY"/>
    <x v="42"/>
    <x v="44"/>
    <x v="3"/>
    <x v="3"/>
    <x v="0"/>
    <x v="3"/>
    <x v="5"/>
    <s v="NL2018"/>
    <m/>
    <n v="35"/>
    <n v="7000"/>
    <x v="54"/>
    <n v="39200000"/>
    <x v="2"/>
    <d v="2019-06-29T00:00:00"/>
    <x v="13"/>
    <x v="13"/>
    <m/>
    <m/>
    <m/>
    <m/>
    <m/>
    <m/>
    <m/>
    <m/>
    <m/>
    <m/>
    <m/>
    <m/>
    <n v="0"/>
    <n v="7000"/>
    <n v="39200000"/>
    <m/>
  </r>
  <r>
    <x v="85"/>
    <d v="2019-03-29T00:00:00"/>
    <s v="KIỀU THY"/>
    <x v="42"/>
    <x v="44"/>
    <x v="3"/>
    <x v="3"/>
    <x v="0"/>
    <x v="3"/>
    <x v="5"/>
    <s v="NL2018"/>
    <m/>
    <n v="290"/>
    <n v="58000"/>
    <x v="112"/>
    <m/>
    <x v="2"/>
    <d v="2019-08-01T00:00:00"/>
    <x v="49"/>
    <x v="49"/>
    <s v="T5/AL TRỞ ĐI"/>
    <m/>
    <m/>
    <m/>
    <m/>
    <m/>
    <m/>
    <m/>
    <m/>
    <m/>
    <m/>
    <m/>
    <n v="0"/>
    <n v="58000"/>
    <e v="#VALUE!"/>
    <m/>
  </r>
  <r>
    <x v="86"/>
    <d v="2019-03-30T00:00:00"/>
    <s v="KIỀU THY"/>
    <x v="42"/>
    <x v="44"/>
    <x v="5"/>
    <x v="3"/>
    <x v="0"/>
    <x v="1"/>
    <x v="9"/>
    <s v="NL2018"/>
    <m/>
    <n v="40"/>
    <n v="6000"/>
    <x v="11"/>
    <n v="46200000"/>
    <x v="2"/>
    <d v="2019-09-01T00:00:00"/>
    <x v="2"/>
    <x v="2"/>
    <s v="TẾT"/>
    <m/>
    <m/>
    <m/>
    <m/>
    <m/>
    <m/>
    <m/>
    <m/>
    <m/>
    <m/>
    <m/>
    <n v="0"/>
    <n v="6000"/>
    <n v="46200000"/>
    <m/>
  </r>
  <r>
    <x v="86"/>
    <d v="2019-03-30T00:00:00"/>
    <s v="KIỀU THY"/>
    <x v="42"/>
    <x v="44"/>
    <x v="4"/>
    <x v="3"/>
    <x v="0"/>
    <x v="4"/>
    <x v="14"/>
    <s v="NL2018"/>
    <m/>
    <n v="32"/>
    <n v="4000"/>
    <x v="33"/>
    <n v="42800000"/>
    <x v="2"/>
    <d v="2019-09-01T00:00:00"/>
    <x v="2"/>
    <x v="2"/>
    <s v="TẾT"/>
    <m/>
    <m/>
    <m/>
    <m/>
    <m/>
    <m/>
    <m/>
    <m/>
    <m/>
    <m/>
    <m/>
    <n v="0"/>
    <n v="4000"/>
    <n v="42800000"/>
    <m/>
  </r>
  <r>
    <x v="86"/>
    <d v="2019-01-15T00:00:00"/>
    <s v="KIỀU THY"/>
    <x v="42"/>
    <x v="44"/>
    <x v="4"/>
    <x v="3"/>
    <x v="0"/>
    <x v="4"/>
    <x v="14"/>
    <s v="NL2018"/>
    <m/>
    <n v="72"/>
    <n v="9000"/>
    <x v="5"/>
    <n v="94500000"/>
    <x v="2"/>
    <d v="2019-09-01T00:00:00"/>
    <x v="2"/>
    <x v="2"/>
    <s v="TẾT"/>
    <m/>
    <m/>
    <s v="R"/>
    <m/>
    <n v="0"/>
    <m/>
    <m/>
    <m/>
    <m/>
    <m/>
    <m/>
    <n v="0"/>
    <n v="9000"/>
    <n v="94500000"/>
    <m/>
  </r>
  <r>
    <x v="86"/>
    <d v="2019-01-15T00:00:00"/>
    <s v="KIỀU THY"/>
    <x v="42"/>
    <x v="44"/>
    <x v="22"/>
    <x v="3"/>
    <x v="0"/>
    <x v="8"/>
    <x v="11"/>
    <s v="NL2018"/>
    <m/>
    <n v="50"/>
    <n v="5000"/>
    <x v="25"/>
    <n v="62500000"/>
    <x v="2"/>
    <d v="2019-09-01T00:00:00"/>
    <x v="2"/>
    <x v="2"/>
    <s v="TẾT"/>
    <m/>
    <m/>
    <s v="R"/>
    <m/>
    <n v="0"/>
    <m/>
    <m/>
    <m/>
    <m/>
    <m/>
    <m/>
    <n v="0"/>
    <n v="5000"/>
    <n v="62500000"/>
    <m/>
  </r>
  <r>
    <x v="86"/>
    <d v="2019-01-15T00:00:00"/>
    <s v="KIỀU THY"/>
    <x v="42"/>
    <x v="44"/>
    <x v="3"/>
    <x v="3"/>
    <x v="0"/>
    <x v="3"/>
    <x v="5"/>
    <s v="NL2018"/>
    <m/>
    <n v="95"/>
    <n v="19000"/>
    <x v="42"/>
    <n v="91200000"/>
    <x v="0"/>
    <s v="29-Feb-19"/>
    <x v="10"/>
    <x v="10"/>
    <s v="30/2AL"/>
    <s v="CONT 15/2019"/>
    <d v="2019-03-31T00:00:00"/>
    <s v="R"/>
    <d v="2019-04-02T00:00:00"/>
    <n v="2000"/>
    <d v="2019-04-20T00:00:00"/>
    <n v="10000"/>
    <d v="2019-05-03T00:00:00"/>
    <n v="7000"/>
    <m/>
    <m/>
    <n v="19000"/>
    <n v="0"/>
    <n v="0"/>
    <m/>
  </r>
  <r>
    <x v="86"/>
    <d v="2019-03-30T00:00:00"/>
    <s v="KIỀU THY"/>
    <x v="42"/>
    <x v="44"/>
    <x v="20"/>
    <x v="6"/>
    <x v="0"/>
    <x v="8"/>
    <x v="11"/>
    <s v="NL2018"/>
    <m/>
    <n v="30"/>
    <n v="3000"/>
    <x v="113"/>
    <n v="43800000"/>
    <x v="2"/>
    <d v="2019-09-01T00:00:00"/>
    <x v="2"/>
    <x v="2"/>
    <s v="TẾT"/>
    <m/>
    <m/>
    <m/>
    <m/>
    <m/>
    <m/>
    <m/>
    <m/>
    <m/>
    <m/>
    <m/>
    <n v="0"/>
    <n v="3000"/>
    <n v="43800000"/>
    <m/>
  </r>
  <r>
    <x v="86"/>
    <d v="2019-01-15T00:00:00"/>
    <s v="KIỀU THY"/>
    <x v="42"/>
    <x v="44"/>
    <x v="72"/>
    <x v="36"/>
    <x v="1"/>
    <x v="7"/>
    <x v="8"/>
    <s v="NL2018"/>
    <m/>
    <n v="1"/>
    <n v="400"/>
    <x v="9"/>
    <n v="3200000"/>
    <x v="0"/>
    <s v="29-Feb-19"/>
    <x v="10"/>
    <x v="10"/>
    <m/>
    <s v="CONT 17/2019"/>
    <d v="2019-03-31T00:00:00"/>
    <s v="R"/>
    <d v="2019-04-20T00:00:00"/>
    <n v="400"/>
    <m/>
    <m/>
    <m/>
    <m/>
    <m/>
    <m/>
    <n v="400"/>
    <n v="0"/>
    <n v="0"/>
    <m/>
  </r>
  <r>
    <x v="86"/>
    <d v="2019-01-15T00:00:00"/>
    <s v="KIỀU THY"/>
    <x v="42"/>
    <x v="44"/>
    <x v="62"/>
    <x v="32"/>
    <x v="0"/>
    <x v="4"/>
    <x v="14"/>
    <s v="NL2018"/>
    <m/>
    <n v="40"/>
    <n v="5000"/>
    <x v="61"/>
    <n v="67500000"/>
    <x v="2"/>
    <d v="2019-09-01T00:00:00"/>
    <x v="2"/>
    <x v="2"/>
    <s v="TẾT"/>
    <m/>
    <m/>
    <s v="R"/>
    <m/>
    <n v="0"/>
    <m/>
    <m/>
    <m/>
    <m/>
    <m/>
    <m/>
    <n v="0"/>
    <n v="5000"/>
    <n v="67500000"/>
    <m/>
  </r>
  <r>
    <x v="86"/>
    <d v="2019-01-15T00:00:00"/>
    <s v="KIỀU THY"/>
    <x v="42"/>
    <x v="44"/>
    <x v="64"/>
    <x v="32"/>
    <x v="0"/>
    <x v="8"/>
    <x v="11"/>
    <s v="NL2018"/>
    <m/>
    <n v="30"/>
    <n v="3000"/>
    <x v="15"/>
    <n v="45600000"/>
    <x v="2"/>
    <d v="2019-09-01T00:00:00"/>
    <x v="2"/>
    <x v="2"/>
    <s v="TẾT"/>
    <m/>
    <m/>
    <s v="R"/>
    <m/>
    <n v="0"/>
    <m/>
    <m/>
    <m/>
    <m/>
    <m/>
    <m/>
    <n v="0"/>
    <n v="3000"/>
    <n v="45600000"/>
    <m/>
  </r>
  <r>
    <x v="86"/>
    <d v="2019-01-15T00:00:00"/>
    <s v="KIỀU THY"/>
    <x v="42"/>
    <x v="44"/>
    <x v="57"/>
    <x v="32"/>
    <x v="0"/>
    <x v="11"/>
    <x v="19"/>
    <s v="NL2018"/>
    <m/>
    <n v="54"/>
    <n v="4050"/>
    <x v="56"/>
    <n v="64800000"/>
    <x v="2"/>
    <d v="2019-09-01T00:00:00"/>
    <x v="2"/>
    <x v="2"/>
    <s v="TẾT"/>
    <m/>
    <m/>
    <s v="R"/>
    <m/>
    <n v="0"/>
    <m/>
    <m/>
    <m/>
    <m/>
    <m/>
    <m/>
    <n v="0"/>
    <n v="4050"/>
    <n v="64800000"/>
    <m/>
  </r>
  <r>
    <x v="86"/>
    <d v="2019-01-15T00:00:00"/>
    <s v="KIỀU THY"/>
    <x v="42"/>
    <x v="44"/>
    <x v="75"/>
    <x v="32"/>
    <x v="0"/>
    <x v="3"/>
    <x v="5"/>
    <s v="NL2018"/>
    <m/>
    <n v="60"/>
    <n v="12000"/>
    <x v="31"/>
    <n v="80400000"/>
    <x v="0"/>
    <s v="29-Feb-19"/>
    <x v="10"/>
    <x v="10"/>
    <m/>
    <s v="CONT 16/2019"/>
    <d v="2019-03-31T00:00:00"/>
    <s v="R"/>
    <d v="2019-04-02T00:00:00"/>
    <n v="3000"/>
    <d v="2019-04-20T00:00:00"/>
    <n v="9000"/>
    <m/>
    <m/>
    <m/>
    <m/>
    <n v="12000"/>
    <n v="0"/>
    <n v="0"/>
    <m/>
  </r>
  <r>
    <x v="86"/>
    <d v="2019-01-15T00:00:00"/>
    <s v="KIỀU THY"/>
    <x v="42"/>
    <x v="44"/>
    <x v="98"/>
    <x v="32"/>
    <x v="4"/>
    <x v="3"/>
    <x v="5"/>
    <s v="NL2018"/>
    <m/>
    <n v="15"/>
    <n v="3000"/>
    <x v="50"/>
    <n v="18000000"/>
    <x v="0"/>
    <m/>
    <x v="35"/>
    <x v="35"/>
    <m/>
    <m/>
    <m/>
    <m/>
    <d v="2019-04-02T00:00:00"/>
    <n v="3000"/>
    <m/>
    <m/>
    <m/>
    <m/>
    <m/>
    <m/>
    <n v="3000"/>
    <n v="0"/>
    <n v="0"/>
    <m/>
  </r>
  <r>
    <x v="86"/>
    <d v="2019-01-15T00:00:00"/>
    <s v="KIỀU THY"/>
    <x v="42"/>
    <x v="44"/>
    <x v="6"/>
    <x v="39"/>
    <x v="0"/>
    <x v="3"/>
    <x v="5"/>
    <s v="NL2018"/>
    <m/>
    <n v="54"/>
    <n v="10800"/>
    <x v="12"/>
    <n v="50760000"/>
    <x v="0"/>
    <d v="2019-01-15T00:00:00"/>
    <x v="6"/>
    <x v="6"/>
    <m/>
    <m/>
    <m/>
    <s v="R"/>
    <d v="2019-02-19T00:00:00"/>
    <n v="3000"/>
    <d v="2019-03-05T00:00:00"/>
    <n v="7800"/>
    <m/>
    <m/>
    <m/>
    <m/>
    <n v="10800"/>
    <n v="0"/>
    <n v="0"/>
    <m/>
  </r>
  <r>
    <x v="86"/>
    <d v="2019-01-15T00:00:00"/>
    <s v="KIỀU THY"/>
    <x v="42"/>
    <x v="44"/>
    <x v="6"/>
    <x v="39"/>
    <x v="0"/>
    <x v="3"/>
    <x v="5"/>
    <s v="NL2018"/>
    <m/>
    <n v="25"/>
    <n v="5000"/>
    <x v="8"/>
    <n v="25000000"/>
    <x v="0"/>
    <d v="2019-03-15T00:00:00"/>
    <x v="5"/>
    <x v="5"/>
    <m/>
    <s v="CONT 22/2019"/>
    <d v="2019-04-14T00:00:00"/>
    <s v="R"/>
    <d v="2019-04-26T00:00:00"/>
    <n v="2000"/>
    <d v="2019-05-09T00:00:00"/>
    <n v="3000"/>
    <m/>
    <m/>
    <m/>
    <m/>
    <n v="5000"/>
    <n v="0"/>
    <n v="0"/>
    <s v="check lai gia"/>
  </r>
  <r>
    <x v="86"/>
    <d v="2019-01-15T00:00:00"/>
    <s v="KIỀU THY"/>
    <x v="42"/>
    <x v="44"/>
    <x v="6"/>
    <x v="39"/>
    <x v="0"/>
    <x v="3"/>
    <x v="5"/>
    <s v="NL2018"/>
    <m/>
    <n v="25"/>
    <n v="5000"/>
    <x v="12"/>
    <n v="23500000"/>
    <x v="0"/>
    <s v="29-Feb-19"/>
    <x v="10"/>
    <x v="10"/>
    <m/>
    <s v="CONT 17/2019"/>
    <d v="2019-03-31T00:00:00"/>
    <s v="R"/>
    <d v="2019-04-13T00:00:00"/>
    <n v="2000"/>
    <d v="2019-04-26T00:00:00"/>
    <n v="3000"/>
    <m/>
    <m/>
    <m/>
    <m/>
    <n v="5000"/>
    <n v="0"/>
    <n v="0"/>
    <m/>
  </r>
  <r>
    <x v="86"/>
    <d v="2019-03-30T00:00:00"/>
    <s v="KIỀU THY"/>
    <x v="42"/>
    <x v="44"/>
    <x v="8"/>
    <x v="4"/>
    <x v="0"/>
    <x v="1"/>
    <x v="9"/>
    <s v="NL2018"/>
    <m/>
    <n v="60"/>
    <n v="9000"/>
    <x v="9"/>
    <n v="72000000"/>
    <x v="2"/>
    <d v="2019-09-01T00:00:00"/>
    <x v="2"/>
    <x v="2"/>
    <s v="TẾT"/>
    <m/>
    <m/>
    <m/>
    <m/>
    <m/>
    <m/>
    <m/>
    <m/>
    <m/>
    <m/>
    <m/>
    <n v="0"/>
    <n v="9000"/>
    <n v="72000000"/>
    <m/>
  </r>
  <r>
    <x v="86"/>
    <d v="2019-01-15T00:00:00"/>
    <s v="KIỀU THY"/>
    <x v="42"/>
    <x v="44"/>
    <x v="7"/>
    <x v="4"/>
    <x v="0"/>
    <x v="4"/>
    <x v="14"/>
    <s v="NL2018"/>
    <m/>
    <n v="128"/>
    <n v="16000"/>
    <x v="5"/>
    <n v="168000000"/>
    <x v="2"/>
    <d v="2019-09-01T00:00:00"/>
    <x v="2"/>
    <x v="2"/>
    <s v="TẾT"/>
    <m/>
    <m/>
    <s v="R"/>
    <m/>
    <n v="0"/>
    <m/>
    <m/>
    <m/>
    <m/>
    <m/>
    <m/>
    <n v="0"/>
    <n v="16000"/>
    <n v="168000000"/>
    <m/>
  </r>
  <r>
    <x v="86"/>
    <d v="2019-01-15T00:00:00"/>
    <s v="KIỀU THY"/>
    <x v="42"/>
    <x v="44"/>
    <x v="21"/>
    <x v="4"/>
    <x v="0"/>
    <x v="8"/>
    <x v="11"/>
    <s v="NL2018"/>
    <m/>
    <n v="50"/>
    <n v="5000"/>
    <x v="25"/>
    <n v="62500000"/>
    <x v="2"/>
    <d v="2019-09-01T00:00:00"/>
    <x v="2"/>
    <x v="2"/>
    <s v="TẾT"/>
    <m/>
    <m/>
    <s v="R"/>
    <m/>
    <n v="0"/>
    <m/>
    <m/>
    <m/>
    <m/>
    <m/>
    <m/>
    <n v="0"/>
    <n v="5000"/>
    <n v="62500000"/>
    <m/>
  </r>
  <r>
    <x v="85"/>
    <d v="2019-05-19T00:00:00"/>
    <s v="KIỀU THY"/>
    <x v="42"/>
    <x v="44"/>
    <x v="77"/>
    <x v="7"/>
    <x v="0"/>
    <x v="3"/>
    <x v="5"/>
    <s v="NL2018"/>
    <m/>
    <n v="3"/>
    <n v="600"/>
    <x v="65"/>
    <n v="4200000"/>
    <x v="0"/>
    <d v="2019-04-17T00:00:00"/>
    <x v="1"/>
    <x v="1"/>
    <m/>
    <m/>
    <m/>
    <m/>
    <d v="2019-06-04T00:00:00"/>
    <n v="600"/>
    <m/>
    <m/>
    <m/>
    <m/>
    <m/>
    <m/>
    <n v="600"/>
    <n v="0"/>
    <n v="0"/>
    <m/>
  </r>
  <r>
    <x v="85"/>
    <d v="2019-05-19T00:00:00"/>
    <s v="KIỀU THY"/>
    <x v="42"/>
    <x v="44"/>
    <x v="13"/>
    <x v="7"/>
    <x v="0"/>
    <x v="5"/>
    <x v="6"/>
    <s v="NL2018"/>
    <m/>
    <n v="8"/>
    <n v="2400"/>
    <x v="14"/>
    <n v="10800000"/>
    <x v="0"/>
    <d v="2019-04-17T00:00:00"/>
    <x v="1"/>
    <x v="1"/>
    <m/>
    <m/>
    <m/>
    <m/>
    <d v="2019-06-04T00:00:00"/>
    <n v="300"/>
    <d v="2019-06-20T00:00:00"/>
    <n v="2100"/>
    <m/>
    <m/>
    <m/>
    <m/>
    <n v="2400"/>
    <n v="0"/>
    <n v="0"/>
    <m/>
  </r>
  <r>
    <x v="85"/>
    <d v="2019-05-19T00:00:00"/>
    <s v="KIỀU THY"/>
    <x v="42"/>
    <x v="44"/>
    <x v="60"/>
    <x v="7"/>
    <x v="0"/>
    <x v="5"/>
    <x v="17"/>
    <s v="NL2018"/>
    <m/>
    <n v="8"/>
    <n v="2000"/>
    <x v="14"/>
    <n v="9000000"/>
    <x v="0"/>
    <d v="2019-03-15T00:00:00"/>
    <x v="5"/>
    <x v="5"/>
    <m/>
    <m/>
    <m/>
    <m/>
    <d v="2019-06-04T00:00:00"/>
    <n v="2000"/>
    <m/>
    <m/>
    <m/>
    <m/>
    <m/>
    <m/>
    <n v="2000"/>
    <n v="0"/>
    <n v="0"/>
    <m/>
  </r>
  <r>
    <x v="85"/>
    <d v="2019-05-19T00:00:00"/>
    <s v="KIỀU THY"/>
    <x v="42"/>
    <x v="44"/>
    <x v="19"/>
    <x v="7"/>
    <x v="0"/>
    <x v="1"/>
    <x v="9"/>
    <s v="NL2018"/>
    <m/>
    <n v="31"/>
    <n v="4650"/>
    <x v="22"/>
    <n v="41850000"/>
    <x v="2"/>
    <d v="2019-08-30T00:00:00"/>
    <x v="50"/>
    <x v="50"/>
    <m/>
    <m/>
    <m/>
    <m/>
    <m/>
    <m/>
    <m/>
    <m/>
    <m/>
    <m/>
    <m/>
    <m/>
    <n v="0"/>
    <n v="4650"/>
    <n v="41850000"/>
    <m/>
  </r>
  <r>
    <x v="87"/>
    <d v="2019-06-01T00:00:00"/>
    <s v="KIỀU THY"/>
    <x v="43"/>
    <x v="45"/>
    <x v="81"/>
    <x v="37"/>
    <x v="0"/>
    <x v="4"/>
    <x v="4"/>
    <s v="NZ2019"/>
    <m/>
    <n v="40"/>
    <n v="5000"/>
    <x v="80"/>
    <n v="60000000"/>
    <x v="2"/>
    <d v="2019-09-01T00:00:00"/>
    <x v="2"/>
    <x v="2"/>
    <m/>
    <m/>
    <m/>
    <m/>
    <m/>
    <m/>
    <m/>
    <m/>
    <m/>
    <m/>
    <m/>
    <m/>
    <n v="0"/>
    <n v="5000"/>
    <n v="60000000"/>
    <m/>
  </r>
  <r>
    <x v="87"/>
    <d v="2019-06-01T00:00:00"/>
    <s v="KIỀU THY"/>
    <x v="43"/>
    <x v="45"/>
    <x v="8"/>
    <x v="4"/>
    <x v="0"/>
    <x v="1"/>
    <x v="1"/>
    <s v="NL2018"/>
    <m/>
    <n v="34"/>
    <n v="5100"/>
    <x v="9"/>
    <n v="40800000"/>
    <x v="2"/>
    <d v="2019-09-01T00:00:00"/>
    <x v="2"/>
    <x v="2"/>
    <m/>
    <m/>
    <m/>
    <m/>
    <m/>
    <m/>
    <m/>
    <m/>
    <m/>
    <m/>
    <m/>
    <m/>
    <n v="0"/>
    <n v="5100"/>
    <n v="40800000"/>
    <m/>
  </r>
  <r>
    <x v="87"/>
    <d v="2019-06-01T00:00:00"/>
    <s v="KIỀU THY"/>
    <x v="43"/>
    <x v="45"/>
    <x v="7"/>
    <x v="4"/>
    <x v="0"/>
    <x v="4"/>
    <x v="4"/>
    <s v="NL2018"/>
    <m/>
    <n v="80"/>
    <n v="10000"/>
    <x v="34"/>
    <n v="106000000"/>
    <x v="2"/>
    <d v="2019-09-01T00:00:00"/>
    <x v="2"/>
    <x v="2"/>
    <m/>
    <m/>
    <m/>
    <m/>
    <m/>
    <m/>
    <m/>
    <m/>
    <m/>
    <m/>
    <m/>
    <m/>
    <n v="0"/>
    <n v="10000"/>
    <n v="106000000"/>
    <m/>
  </r>
  <r>
    <x v="88"/>
    <d v="2019-06-14T00:00:00"/>
    <s v="KIỀU THY"/>
    <x v="44"/>
    <x v="46"/>
    <x v="99"/>
    <x v="2"/>
    <x v="0"/>
    <x v="1"/>
    <x v="9"/>
    <s v="NL2018"/>
    <m/>
    <n v="14"/>
    <n v="2100"/>
    <x v="11"/>
    <n v="16170000"/>
    <x v="2"/>
    <d v="2019-09-01T00:00:00"/>
    <x v="2"/>
    <x v="2"/>
    <m/>
    <m/>
    <m/>
    <m/>
    <m/>
    <m/>
    <m/>
    <m/>
    <m/>
    <m/>
    <m/>
    <m/>
    <n v="0"/>
    <n v="2100"/>
    <n v="16170000"/>
    <m/>
  </r>
  <r>
    <x v="89"/>
    <d v="2019-02-14T00:00:00"/>
    <s v="KIỀU THY"/>
    <x v="44"/>
    <x v="46"/>
    <x v="5"/>
    <x v="3"/>
    <x v="0"/>
    <x v="1"/>
    <x v="9"/>
    <s v="NL2018"/>
    <m/>
    <n v="7"/>
    <n v="1050"/>
    <x v="73"/>
    <n v="6615000"/>
    <x v="0"/>
    <d v="2019-02-15T00:00:00"/>
    <x v="0"/>
    <x v="0"/>
    <s v="15/2AL"/>
    <s v="CONT 10/2019"/>
    <d v="2019-03-17T00:00:00"/>
    <s v="R"/>
    <d v="2019-03-19T00:00:00"/>
    <n v="1050"/>
    <m/>
    <m/>
    <m/>
    <m/>
    <m/>
    <m/>
    <n v="1050"/>
    <n v="0"/>
    <n v="0"/>
    <m/>
  </r>
  <r>
    <x v="88"/>
    <d v="2019-06-03T00:00:00"/>
    <s v="KIỀU THY"/>
    <x v="44"/>
    <x v="46"/>
    <x v="4"/>
    <x v="3"/>
    <x v="0"/>
    <x v="4"/>
    <x v="14"/>
    <s v="NL2018"/>
    <m/>
    <n v="8"/>
    <n v="1000"/>
    <x v="114"/>
    <n v="11700000"/>
    <x v="2"/>
    <d v="2019-09-01T00:00:00"/>
    <x v="2"/>
    <x v="2"/>
    <m/>
    <m/>
    <m/>
    <m/>
    <m/>
    <m/>
    <m/>
    <m/>
    <m/>
    <m/>
    <m/>
    <m/>
    <n v="0"/>
    <n v="1000"/>
    <n v="11700000"/>
    <m/>
  </r>
  <r>
    <x v="88"/>
    <d v="2019-06-03T00:00:00"/>
    <s v="KIỀU THY"/>
    <x v="44"/>
    <x v="46"/>
    <x v="62"/>
    <x v="32"/>
    <x v="0"/>
    <x v="4"/>
    <x v="14"/>
    <s v="NL2018"/>
    <m/>
    <n v="16"/>
    <n v="2000"/>
    <x v="113"/>
    <n v="29200000"/>
    <x v="2"/>
    <d v="2019-09-01T00:00:00"/>
    <x v="2"/>
    <x v="2"/>
    <m/>
    <m/>
    <m/>
    <m/>
    <m/>
    <m/>
    <m/>
    <m/>
    <m/>
    <m/>
    <m/>
    <m/>
    <n v="0"/>
    <n v="2000"/>
    <n v="29200000"/>
    <m/>
  </r>
  <r>
    <x v="90"/>
    <d v="2019-04-12T00:00:00"/>
    <s v="KIỀU THY"/>
    <x v="44"/>
    <x v="46"/>
    <x v="100"/>
    <x v="26"/>
    <x v="0"/>
    <x v="3"/>
    <x v="5"/>
    <s v="NL2018"/>
    <m/>
    <n v="8"/>
    <n v="1600"/>
    <x v="115"/>
    <n v="11840000"/>
    <x v="0"/>
    <d v="2019-03-15T00:00:00"/>
    <x v="5"/>
    <x v="5"/>
    <s v="15/3AL"/>
    <m/>
    <m/>
    <m/>
    <d v="2019-04-20T00:00:00"/>
    <n v="800"/>
    <d v="2019-05-24T00:00:00"/>
    <n v="800"/>
    <m/>
    <m/>
    <m/>
    <m/>
    <n v="1600"/>
    <n v="0"/>
    <n v="0"/>
    <m/>
  </r>
  <r>
    <x v="91"/>
    <d v="2019-05-30T00:00:00"/>
    <s v="KIỀU THY"/>
    <x v="45"/>
    <x v="47"/>
    <x v="86"/>
    <x v="53"/>
    <x v="0"/>
    <x v="4"/>
    <x v="4"/>
    <s v="NZ2019"/>
    <m/>
    <n v="64"/>
    <n v="8000"/>
    <x v="25"/>
    <n v="100000000"/>
    <x v="2"/>
    <d v="2019-09-01T00:00:00"/>
    <x v="2"/>
    <x v="2"/>
    <m/>
    <m/>
    <m/>
    <m/>
    <m/>
    <m/>
    <m/>
    <m/>
    <m/>
    <m/>
    <m/>
    <m/>
    <n v="0"/>
    <n v="8000"/>
    <n v="100000000"/>
    <m/>
  </r>
  <r>
    <x v="91"/>
    <d v="2019-05-30T00:00:00"/>
    <s v="KIỀU THY"/>
    <x v="45"/>
    <x v="47"/>
    <x v="55"/>
    <x v="53"/>
    <x v="0"/>
    <x v="8"/>
    <x v="12"/>
    <s v="NZ2019"/>
    <m/>
    <n v="70"/>
    <n v="7000"/>
    <x v="47"/>
    <n v="91000000"/>
    <x v="2"/>
    <d v="2019-09-01T00:00:00"/>
    <x v="2"/>
    <x v="2"/>
    <m/>
    <m/>
    <m/>
    <m/>
    <m/>
    <m/>
    <m/>
    <m/>
    <m/>
    <m/>
    <m/>
    <m/>
    <n v="0"/>
    <n v="7000"/>
    <n v="91000000"/>
    <m/>
  </r>
  <r>
    <x v="91"/>
    <d v="2019-05-30T00:00:00"/>
    <s v="KIỀU THY"/>
    <x v="45"/>
    <x v="47"/>
    <x v="4"/>
    <x v="3"/>
    <x v="0"/>
    <x v="4"/>
    <x v="4"/>
    <s v="NL2018"/>
    <m/>
    <n v="0"/>
    <n v="0"/>
    <x v="33"/>
    <n v="0"/>
    <x v="1"/>
    <d v="2019-09-01T00:00:00"/>
    <x v="35"/>
    <x v="35"/>
    <m/>
    <m/>
    <m/>
    <m/>
    <m/>
    <m/>
    <m/>
    <m/>
    <m/>
    <m/>
    <m/>
    <m/>
    <n v="0"/>
    <n v="0"/>
    <n v="0"/>
    <m/>
  </r>
  <r>
    <x v="91"/>
    <d v="2019-05-30T00:00:00"/>
    <s v="KIỀU THY"/>
    <x v="45"/>
    <x v="47"/>
    <x v="22"/>
    <x v="3"/>
    <x v="0"/>
    <x v="8"/>
    <x v="12"/>
    <s v="NL2018"/>
    <m/>
    <n v="0"/>
    <n v="0"/>
    <x v="25"/>
    <n v="0"/>
    <x v="1"/>
    <d v="2019-09-01T00:00:00"/>
    <x v="35"/>
    <x v="35"/>
    <m/>
    <m/>
    <m/>
    <m/>
    <m/>
    <m/>
    <m/>
    <m/>
    <m/>
    <m/>
    <m/>
    <m/>
    <n v="0"/>
    <n v="0"/>
    <n v="0"/>
    <m/>
  </r>
  <r>
    <x v="91"/>
    <d v="2019-05-30T00:00:00"/>
    <s v="KIỀU THY"/>
    <x v="45"/>
    <x v="47"/>
    <x v="7"/>
    <x v="4"/>
    <x v="0"/>
    <x v="4"/>
    <x v="4"/>
    <s v="NL2018"/>
    <m/>
    <n v="0"/>
    <n v="0"/>
    <x v="34"/>
    <n v="0"/>
    <x v="1"/>
    <d v="2019-09-01T00:00:00"/>
    <x v="35"/>
    <x v="35"/>
    <m/>
    <m/>
    <m/>
    <m/>
    <m/>
    <m/>
    <m/>
    <m/>
    <m/>
    <m/>
    <m/>
    <m/>
    <n v="0"/>
    <n v="0"/>
    <n v="0"/>
    <m/>
  </r>
  <r>
    <x v="91"/>
    <d v="2019-05-30T00:00:00"/>
    <s v="KIỀU THY"/>
    <x v="45"/>
    <x v="47"/>
    <x v="21"/>
    <x v="4"/>
    <x v="0"/>
    <x v="8"/>
    <x v="12"/>
    <s v="NL2018"/>
    <m/>
    <n v="0"/>
    <n v="0"/>
    <x v="25"/>
    <n v="0"/>
    <x v="1"/>
    <d v="2019-09-01T00:00:00"/>
    <x v="35"/>
    <x v="35"/>
    <m/>
    <m/>
    <m/>
    <m/>
    <m/>
    <m/>
    <m/>
    <m/>
    <m/>
    <m/>
    <m/>
    <m/>
    <n v="0"/>
    <n v="0"/>
    <n v="0"/>
    <m/>
  </r>
  <r>
    <x v="91"/>
    <d v="2019-06-03T00:00:00"/>
    <s v="KIỀU THY"/>
    <x v="45"/>
    <x v="47"/>
    <x v="8"/>
    <x v="4"/>
    <x v="0"/>
    <x v="1"/>
    <x v="1"/>
    <s v="NL2018"/>
    <m/>
    <n v="34"/>
    <n v="5100"/>
    <x v="9"/>
    <n v="40800000"/>
    <x v="2"/>
    <d v="2019-09-01T00:00:00"/>
    <x v="2"/>
    <x v="2"/>
    <m/>
    <m/>
    <m/>
    <m/>
    <m/>
    <m/>
    <m/>
    <m/>
    <m/>
    <m/>
    <m/>
    <m/>
    <n v="0"/>
    <n v="5100"/>
    <n v="40800000"/>
    <m/>
  </r>
  <r>
    <x v="91"/>
    <d v="2019-06-03T00:00:00"/>
    <s v="KIỀU THY"/>
    <x v="45"/>
    <x v="47"/>
    <x v="81"/>
    <x v="4"/>
    <x v="0"/>
    <x v="4"/>
    <x v="4"/>
    <s v="NZ2019"/>
    <m/>
    <n v="200"/>
    <n v="25000"/>
    <x v="80"/>
    <n v="300000000"/>
    <x v="2"/>
    <d v="2019-09-01T00:00:00"/>
    <x v="2"/>
    <x v="2"/>
    <m/>
    <m/>
    <m/>
    <m/>
    <m/>
    <m/>
    <m/>
    <m/>
    <m/>
    <m/>
    <m/>
    <m/>
    <n v="0"/>
    <n v="25000"/>
    <n v="300000000"/>
    <m/>
  </r>
  <r>
    <x v="92"/>
    <d v="2019-06-14T00:00:00"/>
    <s v="KIỀU THY"/>
    <x v="46"/>
    <x v="48"/>
    <x v="87"/>
    <x v="3"/>
    <x v="0"/>
    <x v="11"/>
    <x v="16"/>
    <s v="NL2018"/>
    <m/>
    <n v="11"/>
    <n v="825"/>
    <x v="85"/>
    <n v="12622500"/>
    <x v="2"/>
    <d v="2019-09-01T00:00:00"/>
    <x v="2"/>
    <x v="2"/>
    <m/>
    <m/>
    <m/>
    <m/>
    <m/>
    <m/>
    <m/>
    <m/>
    <m/>
    <m/>
    <m/>
    <m/>
    <n v="0"/>
    <n v="825"/>
    <n v="12622500"/>
    <m/>
  </r>
  <r>
    <x v="92"/>
    <d v="2019-06-14T00:00:00"/>
    <s v="KIỀU THY"/>
    <x v="46"/>
    <x v="48"/>
    <x v="101"/>
    <x v="32"/>
    <x v="0"/>
    <x v="6"/>
    <x v="13"/>
    <s v="NL2018"/>
    <m/>
    <n v="5"/>
    <n v="400"/>
    <x v="116"/>
    <n v="6480000"/>
    <x v="2"/>
    <d v="2019-09-01T00:00:00"/>
    <x v="2"/>
    <x v="2"/>
    <m/>
    <m/>
    <m/>
    <m/>
    <m/>
    <m/>
    <m/>
    <m/>
    <m/>
    <m/>
    <m/>
    <m/>
    <n v="0"/>
    <n v="400"/>
    <n v="6480000"/>
    <m/>
  </r>
  <r>
    <x v="93"/>
    <d v="2019-03-05T00:00:00"/>
    <s v="KIỀU THY"/>
    <x v="47"/>
    <x v="49"/>
    <x v="74"/>
    <x v="0"/>
    <x v="0"/>
    <x v="2"/>
    <x v="6"/>
    <s v="NL2018"/>
    <m/>
    <n v="10"/>
    <n v="3000"/>
    <x v="77"/>
    <n v="11400000"/>
    <x v="0"/>
    <d v="2019-03-15T00:00:00"/>
    <x v="5"/>
    <x v="5"/>
    <s v="15/3AL"/>
    <s v="CONT 20/2019"/>
    <d v="2019-04-14T00:00:00"/>
    <m/>
    <d v="2019-06-03T00:00:00"/>
    <n v="3000"/>
    <m/>
    <m/>
    <m/>
    <m/>
    <m/>
    <m/>
    <n v="3000"/>
    <n v="0"/>
    <n v="0"/>
    <m/>
  </r>
  <r>
    <x v="93"/>
    <d v="2019-03-05T00:00:00"/>
    <s v="KIỀU THY"/>
    <x v="47"/>
    <x v="49"/>
    <x v="74"/>
    <x v="0"/>
    <x v="0"/>
    <x v="2"/>
    <x v="6"/>
    <s v="NL2018"/>
    <m/>
    <n v="10"/>
    <n v="3000"/>
    <x v="77"/>
    <n v="11400000"/>
    <x v="0"/>
    <d v="2019-04-17T00:00:00"/>
    <x v="1"/>
    <x v="1"/>
    <s v="30/3AL"/>
    <m/>
    <m/>
    <m/>
    <d v="2019-04-29T00:00:00"/>
    <n v="3000"/>
    <m/>
    <m/>
    <m/>
    <m/>
    <m/>
    <m/>
    <n v="3000"/>
    <n v="0"/>
    <n v="0"/>
    <m/>
  </r>
  <r>
    <x v="94"/>
    <d v="2019-03-05T00:00:00"/>
    <s v="KIỀU THY"/>
    <x v="47"/>
    <x v="49"/>
    <x v="22"/>
    <x v="3"/>
    <x v="0"/>
    <x v="8"/>
    <x v="11"/>
    <s v="NL2018"/>
    <m/>
    <n v="0"/>
    <n v="0"/>
    <x v="25"/>
    <n v="0"/>
    <x v="1"/>
    <d v="2019-09-01T00:00:00"/>
    <x v="2"/>
    <x v="2"/>
    <s v="TẾT"/>
    <m/>
    <m/>
    <m/>
    <m/>
    <m/>
    <m/>
    <m/>
    <m/>
    <m/>
    <m/>
    <m/>
    <n v="0"/>
    <n v="0"/>
    <n v="0"/>
    <m/>
  </r>
  <r>
    <x v="94"/>
    <d v="2019-03-05T00:00:00"/>
    <s v="KIỀU THY"/>
    <x v="47"/>
    <x v="49"/>
    <x v="7"/>
    <x v="4"/>
    <x v="0"/>
    <x v="4"/>
    <x v="14"/>
    <s v="NL2018"/>
    <m/>
    <n v="0"/>
    <n v="0"/>
    <x v="5"/>
    <n v="0"/>
    <x v="1"/>
    <d v="2019-09-01T00:00:00"/>
    <x v="2"/>
    <x v="2"/>
    <s v="TẾT"/>
    <m/>
    <m/>
    <m/>
    <m/>
    <m/>
    <m/>
    <m/>
    <m/>
    <m/>
    <m/>
    <m/>
    <n v="0"/>
    <n v="0"/>
    <n v="0"/>
    <m/>
  </r>
  <r>
    <x v="93"/>
    <d v="2019-03-05T00:00:00"/>
    <s v="KIỀU THY"/>
    <x v="47"/>
    <x v="49"/>
    <x v="6"/>
    <x v="4"/>
    <x v="0"/>
    <x v="3"/>
    <x v="5"/>
    <s v="NL2018"/>
    <m/>
    <n v="25"/>
    <n v="5000"/>
    <x v="8"/>
    <n v="25000000"/>
    <x v="0"/>
    <d v="2019-03-15T00:00:00"/>
    <x v="5"/>
    <x v="5"/>
    <s v="15/3AL"/>
    <s v="CONT 21/2019"/>
    <d v="2019-04-14T00:00:00"/>
    <m/>
    <d v="2019-04-22T00:00:00"/>
    <n v="5000"/>
    <m/>
    <m/>
    <m/>
    <m/>
    <m/>
    <m/>
    <n v="5000"/>
    <n v="0"/>
    <n v="0"/>
    <m/>
  </r>
  <r>
    <x v="93"/>
    <d v="2019-03-05T00:00:00"/>
    <s v="KIỀU THY"/>
    <x v="47"/>
    <x v="49"/>
    <x v="6"/>
    <x v="4"/>
    <x v="0"/>
    <x v="3"/>
    <x v="5"/>
    <s v="NL2018"/>
    <m/>
    <n v="0"/>
    <n v="0"/>
    <x v="50"/>
    <n v="0"/>
    <x v="1"/>
    <d v="2019-04-17T00:00:00"/>
    <x v="1"/>
    <x v="1"/>
    <s v="30/3AL"/>
    <m/>
    <m/>
    <m/>
    <m/>
    <m/>
    <m/>
    <m/>
    <m/>
    <m/>
    <m/>
    <m/>
    <n v="0"/>
    <n v="0"/>
    <n v="0"/>
    <m/>
  </r>
  <r>
    <x v="93"/>
    <d v="2019-03-05T00:00:00"/>
    <s v="KIỀU THY"/>
    <x v="47"/>
    <x v="49"/>
    <x v="9"/>
    <x v="5"/>
    <x v="0"/>
    <x v="3"/>
    <x v="5"/>
    <s v="NL2018"/>
    <m/>
    <n v="10"/>
    <n v="2000"/>
    <x v="10"/>
    <n v="11000000"/>
    <x v="0"/>
    <d v="2019-03-15T00:00:00"/>
    <x v="5"/>
    <x v="5"/>
    <s v="15/3AL"/>
    <s v="CONT 22/2019"/>
    <d v="2019-04-14T00:00:00"/>
    <m/>
    <d v="2019-04-29T00:00:00"/>
    <n v="2000"/>
    <m/>
    <m/>
    <m/>
    <m/>
    <m/>
    <m/>
    <n v="2000"/>
    <n v="0"/>
    <n v="0"/>
    <m/>
  </r>
  <r>
    <x v="93"/>
    <d v="2019-03-05T00:00:00"/>
    <s v="KIỀU THY"/>
    <x v="47"/>
    <x v="49"/>
    <x v="9"/>
    <x v="5"/>
    <x v="0"/>
    <x v="3"/>
    <x v="5"/>
    <s v="NL2018"/>
    <m/>
    <n v="15"/>
    <n v="3000"/>
    <x v="10"/>
    <n v="16500000"/>
    <x v="0"/>
    <d v="2019-04-17T00:00:00"/>
    <x v="1"/>
    <x v="1"/>
    <s v="30/3AL"/>
    <m/>
    <m/>
    <m/>
    <d v="2019-06-03T00:00:00"/>
    <n v="3000"/>
    <m/>
    <m/>
    <m/>
    <m/>
    <m/>
    <m/>
    <n v="3000"/>
    <n v="0"/>
    <n v="0"/>
    <m/>
  </r>
  <r>
    <x v="95"/>
    <d v="2019-04-20T00:00:00"/>
    <s v="THANH THÚY"/>
    <x v="48"/>
    <x v="50"/>
    <x v="102"/>
    <x v="9"/>
    <x v="1"/>
    <x v="2"/>
    <x v="2"/>
    <s v="NL2018"/>
    <m/>
    <n v="7"/>
    <n v="2100"/>
    <x v="117"/>
    <n v="29190000"/>
    <x v="2"/>
    <d v="2019-09-01T00:00:00"/>
    <x v="2"/>
    <x v="2"/>
    <s v="TẾT"/>
    <m/>
    <m/>
    <m/>
    <m/>
    <m/>
    <m/>
    <m/>
    <m/>
    <m/>
    <m/>
    <m/>
    <n v="0"/>
    <n v="2100"/>
    <n v="29190000"/>
    <m/>
  </r>
  <r>
    <x v="96"/>
    <d v="2019-04-20T00:00:00"/>
    <s v="THANH THÚY"/>
    <x v="48"/>
    <x v="50"/>
    <x v="3"/>
    <x v="3"/>
    <x v="0"/>
    <x v="3"/>
    <x v="3"/>
    <s v="NL2018"/>
    <m/>
    <n v="50"/>
    <n v="10000"/>
    <x v="32"/>
    <n v="53000000"/>
    <x v="0"/>
    <d v="2019-03-18T00:00:00"/>
    <x v="8"/>
    <x v="8"/>
    <m/>
    <m/>
    <m/>
    <m/>
    <d v="2019-04-23T00:00:00"/>
    <n v="10000"/>
    <m/>
    <m/>
    <m/>
    <m/>
    <m/>
    <m/>
    <n v="10000"/>
    <n v="0"/>
    <n v="0"/>
    <m/>
  </r>
  <r>
    <x v="96"/>
    <d v="2019-04-20T00:00:00"/>
    <s v="THANH THÚY"/>
    <x v="48"/>
    <x v="50"/>
    <x v="12"/>
    <x v="6"/>
    <x v="0"/>
    <x v="2"/>
    <x v="2"/>
    <s v="NL2018"/>
    <m/>
    <n v="34"/>
    <n v="10200"/>
    <x v="8"/>
    <n v="51000000"/>
    <x v="0"/>
    <d v="2019-03-18T00:00:00"/>
    <x v="8"/>
    <x v="8"/>
    <m/>
    <m/>
    <m/>
    <m/>
    <d v="2019-05-13T00:00:00"/>
    <n v="10200"/>
    <m/>
    <m/>
    <m/>
    <m/>
    <m/>
    <m/>
    <n v="10200"/>
    <n v="0"/>
    <n v="0"/>
    <m/>
  </r>
  <r>
    <x v="96"/>
    <d v="2019-04-20T00:00:00"/>
    <s v="THANH THÚY"/>
    <x v="48"/>
    <x v="50"/>
    <x v="103"/>
    <x v="54"/>
    <x v="0"/>
    <x v="3"/>
    <x v="3"/>
    <s v="NL2018"/>
    <m/>
    <n v="24"/>
    <n v="4800"/>
    <x v="70"/>
    <n v="34080000"/>
    <x v="0"/>
    <d v="2019-03-18T00:00:00"/>
    <x v="8"/>
    <x v="8"/>
    <m/>
    <m/>
    <m/>
    <m/>
    <d v="2019-04-22T00:00:00"/>
    <n v="4800"/>
    <m/>
    <m/>
    <m/>
    <m/>
    <m/>
    <m/>
    <n v="4800"/>
    <n v="0"/>
    <n v="0"/>
    <m/>
  </r>
  <r>
    <x v="96"/>
    <d v="2019-04-20T00:00:00"/>
    <s v="THANH THÚY"/>
    <x v="48"/>
    <x v="50"/>
    <x v="27"/>
    <x v="14"/>
    <x v="0"/>
    <x v="3"/>
    <x v="3"/>
    <s v="NL2018"/>
    <m/>
    <n v="50"/>
    <n v="10000"/>
    <x v="29"/>
    <n v="58000000"/>
    <x v="4"/>
    <d v="2019-04-29T00:00:00"/>
    <x v="11"/>
    <x v="11"/>
    <s v="29/4AL"/>
    <m/>
    <m/>
    <m/>
    <m/>
    <m/>
    <m/>
    <m/>
    <m/>
    <m/>
    <m/>
    <m/>
    <n v="0"/>
    <n v="10000"/>
    <n v="58000000"/>
    <m/>
  </r>
  <r>
    <x v="95"/>
    <d v="2019-04-20T00:00:00"/>
    <s v="THANH THÚY"/>
    <x v="48"/>
    <x v="50"/>
    <x v="65"/>
    <x v="14"/>
    <x v="0"/>
    <x v="8"/>
    <x v="12"/>
    <s v="NL2018"/>
    <m/>
    <n v="200"/>
    <n v="20000"/>
    <x v="118"/>
    <n v="230000000"/>
    <x v="2"/>
    <d v="2019-09-01T00:00:00"/>
    <x v="2"/>
    <x v="2"/>
    <s v="TẾT"/>
    <m/>
    <m/>
    <m/>
    <m/>
    <m/>
    <m/>
    <m/>
    <m/>
    <m/>
    <m/>
    <m/>
    <n v="0"/>
    <n v="20000"/>
    <n v="230000000"/>
    <m/>
  </r>
  <r>
    <x v="96"/>
    <d v="2019-05-20T00:00:00"/>
    <s v="THANH THÚY"/>
    <x v="48"/>
    <x v="50"/>
    <x v="23"/>
    <x v="11"/>
    <x v="0"/>
    <x v="2"/>
    <x v="2"/>
    <s v="NL2018"/>
    <m/>
    <n v="5"/>
    <n v="1500"/>
    <x v="10"/>
    <n v="8250000"/>
    <x v="0"/>
    <d v="2019-04-17T00:00:00"/>
    <x v="1"/>
    <x v="1"/>
    <m/>
    <m/>
    <m/>
    <m/>
    <d v="2019-05-21T00:00:00"/>
    <n v="1500"/>
    <m/>
    <m/>
    <m/>
    <m/>
    <m/>
    <m/>
    <n v="1500"/>
    <n v="0"/>
    <n v="0"/>
    <m/>
  </r>
  <r>
    <x v="96"/>
    <d v="2019-06-14T00:00:00"/>
    <s v="THANH THÚY"/>
    <x v="48"/>
    <x v="50"/>
    <x v="23"/>
    <x v="11"/>
    <x v="0"/>
    <x v="2"/>
    <x v="2"/>
    <s v="NL2018"/>
    <m/>
    <n v="33"/>
    <n v="9900"/>
    <x v="10"/>
    <n v="54450000"/>
    <x v="0"/>
    <m/>
    <x v="25"/>
    <x v="25"/>
    <m/>
    <m/>
    <m/>
    <m/>
    <d v="2019-06-14T00:00:00"/>
    <n v="9900"/>
    <m/>
    <m/>
    <m/>
    <m/>
    <m/>
    <m/>
    <n v="9900"/>
    <n v="0"/>
    <n v="0"/>
    <m/>
  </r>
  <r>
    <x v="95"/>
    <d v="2019-04-20T00:00:00"/>
    <s v="THANH THÚY"/>
    <x v="48"/>
    <x v="50"/>
    <x v="104"/>
    <x v="4"/>
    <x v="0"/>
    <x v="11"/>
    <x v="16"/>
    <s v="NL2018"/>
    <m/>
    <n v="85"/>
    <n v="6375"/>
    <x v="15"/>
    <n v="96900000"/>
    <x v="2"/>
    <d v="2019-09-01T00:00:00"/>
    <x v="2"/>
    <x v="2"/>
    <s v="TẾT"/>
    <m/>
    <m/>
    <m/>
    <m/>
    <m/>
    <m/>
    <m/>
    <m/>
    <m/>
    <m/>
    <m/>
    <n v="0"/>
    <n v="6375"/>
    <n v="96900000"/>
    <m/>
  </r>
  <r>
    <x v="95"/>
    <d v="2019-06-21T00:00:00"/>
    <s v="THANH THÚY"/>
    <x v="48"/>
    <x v="50"/>
    <x v="14"/>
    <x v="4"/>
    <x v="0"/>
    <x v="6"/>
    <x v="13"/>
    <s v="NL2018"/>
    <m/>
    <n v="41"/>
    <n v="3280"/>
    <x v="15"/>
    <n v="49856000"/>
    <x v="2"/>
    <d v="2019-09-01T00:00:00"/>
    <x v="2"/>
    <x v="2"/>
    <s v="TẾT"/>
    <m/>
    <m/>
    <m/>
    <m/>
    <m/>
    <m/>
    <m/>
    <m/>
    <m/>
    <m/>
    <m/>
    <n v="0"/>
    <n v="3280"/>
    <n v="49856000"/>
    <m/>
  </r>
  <r>
    <x v="96"/>
    <d v="2019-04-20T00:00:00"/>
    <s v="THANH THÚY"/>
    <x v="48"/>
    <x v="50"/>
    <x v="13"/>
    <x v="7"/>
    <x v="0"/>
    <x v="5"/>
    <x v="2"/>
    <s v="NL2018"/>
    <m/>
    <n v="0"/>
    <n v="0"/>
    <x v="14"/>
    <n v="0"/>
    <x v="1"/>
    <d v="2019-03-18T00:00:00"/>
    <x v="8"/>
    <x v="8"/>
    <m/>
    <m/>
    <m/>
    <m/>
    <m/>
    <m/>
    <m/>
    <m/>
    <m/>
    <m/>
    <m/>
    <m/>
    <n v="0"/>
    <n v="0"/>
    <n v="0"/>
    <m/>
  </r>
  <r>
    <x v="96"/>
    <d v="2019-04-20T00:00:00"/>
    <s v="THANH THÚY"/>
    <x v="48"/>
    <x v="50"/>
    <x v="60"/>
    <x v="7"/>
    <x v="0"/>
    <x v="5"/>
    <x v="20"/>
    <s v="NL2018"/>
    <m/>
    <n v="0"/>
    <n v="0"/>
    <x v="14"/>
    <n v="0"/>
    <x v="1"/>
    <d v="2019-03-18T00:00:00"/>
    <x v="8"/>
    <x v="8"/>
    <m/>
    <m/>
    <m/>
    <m/>
    <m/>
    <m/>
    <m/>
    <m/>
    <m/>
    <m/>
    <m/>
    <m/>
    <n v="0"/>
    <n v="0"/>
    <n v="0"/>
    <m/>
  </r>
  <r>
    <x v="97"/>
    <d v="2019-02-22T00:00:00"/>
    <s v="KIỀU THY"/>
    <x v="49"/>
    <x v="51"/>
    <x v="74"/>
    <x v="0"/>
    <x v="0"/>
    <x v="2"/>
    <x v="6"/>
    <s v="NL2018"/>
    <m/>
    <n v="14"/>
    <n v="4200"/>
    <x v="77"/>
    <n v="15960000"/>
    <x v="0"/>
    <d v="2019-03-15T00:00:00"/>
    <x v="5"/>
    <x v="5"/>
    <s v="15/3AL"/>
    <s v="CONT 20/2019"/>
    <d v="2019-04-14T00:00:00"/>
    <s v="R"/>
    <d v="2019-04-26T00:00:00"/>
    <n v="4200"/>
    <m/>
    <m/>
    <m/>
    <m/>
    <m/>
    <m/>
    <n v="4200"/>
    <n v="0"/>
    <n v="0"/>
    <m/>
  </r>
  <r>
    <x v="97"/>
    <d v="2019-02-22T00:00:00"/>
    <s v="KIỀU THY"/>
    <x v="49"/>
    <x v="51"/>
    <x v="54"/>
    <x v="0"/>
    <x v="0"/>
    <x v="3"/>
    <x v="5"/>
    <s v="NL2018"/>
    <m/>
    <n v="0"/>
    <n v="0"/>
    <x v="53"/>
    <n v="0"/>
    <x v="1"/>
    <d v="2019-05-01T00:00:00"/>
    <x v="51"/>
    <x v="51"/>
    <s v="1/5AL"/>
    <m/>
    <m/>
    <s v="R"/>
    <m/>
    <n v="0"/>
    <m/>
    <m/>
    <m/>
    <m/>
    <m/>
    <m/>
    <n v="0"/>
    <n v="0"/>
    <n v="0"/>
    <m/>
  </r>
  <r>
    <x v="97"/>
    <d v="2019-02-22T00:00:00"/>
    <s v="KIỀU THY"/>
    <x v="49"/>
    <x v="51"/>
    <x v="31"/>
    <x v="18"/>
    <x v="0"/>
    <x v="7"/>
    <x v="8"/>
    <s v="NL2018"/>
    <m/>
    <n v="2"/>
    <n v="800"/>
    <x v="36"/>
    <n v="2240000"/>
    <x v="0"/>
    <d v="2019-02-28T00:00:00"/>
    <x v="16"/>
    <x v="16"/>
    <s v="15/3AL"/>
    <s v="CONT 15/2019"/>
    <d v="2019-03-31T00:00:00"/>
    <s v="R"/>
    <d v="2019-04-26T00:00:00"/>
    <n v="800"/>
    <m/>
    <m/>
    <m/>
    <m/>
    <m/>
    <m/>
    <n v="800"/>
    <n v="0"/>
    <n v="0"/>
    <m/>
  </r>
  <r>
    <x v="98"/>
    <d v="2019-02-22T00:00:00"/>
    <s v="KIỀU THY"/>
    <x v="49"/>
    <x v="51"/>
    <x v="22"/>
    <x v="3"/>
    <x v="0"/>
    <x v="8"/>
    <x v="11"/>
    <s v="NL2018"/>
    <m/>
    <n v="55"/>
    <n v="5500"/>
    <x v="25"/>
    <n v="68750000"/>
    <x v="2"/>
    <d v="2019-09-01T00:00:00"/>
    <x v="2"/>
    <x v="2"/>
    <s v="TẾT"/>
    <m/>
    <m/>
    <s v="R"/>
    <m/>
    <n v="0"/>
    <m/>
    <m/>
    <m/>
    <m/>
    <m/>
    <m/>
    <n v="0"/>
    <n v="5500"/>
    <n v="68750000"/>
    <m/>
  </r>
  <r>
    <x v="98"/>
    <d v="2019-02-22T00:00:00"/>
    <s v="KIỀU THY"/>
    <x v="49"/>
    <x v="51"/>
    <x v="38"/>
    <x v="6"/>
    <x v="0"/>
    <x v="4"/>
    <x v="14"/>
    <s v="NL2018"/>
    <m/>
    <n v="20"/>
    <n v="2500"/>
    <x v="47"/>
    <n v="32500000"/>
    <x v="2"/>
    <d v="2019-09-01T00:00:00"/>
    <x v="2"/>
    <x v="2"/>
    <s v="TẾT"/>
    <m/>
    <m/>
    <s v="R"/>
    <m/>
    <n v="0"/>
    <m/>
    <m/>
    <m/>
    <m/>
    <m/>
    <m/>
    <n v="0"/>
    <n v="2500"/>
    <n v="32500000"/>
    <m/>
  </r>
  <r>
    <x v="98"/>
    <d v="2019-02-22T00:00:00"/>
    <s v="KIỀU THY"/>
    <x v="49"/>
    <x v="51"/>
    <x v="20"/>
    <x v="6"/>
    <x v="0"/>
    <x v="8"/>
    <x v="11"/>
    <s v="NL2018"/>
    <m/>
    <n v="25"/>
    <n v="2500"/>
    <x v="24"/>
    <n v="35500000"/>
    <x v="2"/>
    <d v="2019-09-01T00:00:00"/>
    <x v="2"/>
    <x v="2"/>
    <s v="TẾT"/>
    <m/>
    <m/>
    <s v="R"/>
    <m/>
    <n v="0"/>
    <m/>
    <m/>
    <m/>
    <m/>
    <m/>
    <m/>
    <n v="0"/>
    <n v="2500"/>
    <n v="35500000"/>
    <m/>
  </r>
  <r>
    <x v="97"/>
    <d v="2019-02-22T00:00:00"/>
    <s v="KIỀU THY"/>
    <x v="49"/>
    <x v="51"/>
    <x v="11"/>
    <x v="6"/>
    <x v="0"/>
    <x v="3"/>
    <x v="5"/>
    <s v="NL2018"/>
    <m/>
    <n v="55"/>
    <n v="11000"/>
    <x v="31"/>
    <n v="73700000"/>
    <x v="0"/>
    <d v="2019-03-15T00:00:00"/>
    <x v="5"/>
    <x v="5"/>
    <s v="15/3AL"/>
    <s v="CONT 23/2019"/>
    <d v="2019-04-14T00:00:00"/>
    <s v="R"/>
    <d v="2019-04-26T00:00:00"/>
    <n v="11000"/>
    <m/>
    <m/>
    <m/>
    <m/>
    <m/>
    <m/>
    <n v="11000"/>
    <n v="0"/>
    <n v="0"/>
    <m/>
  </r>
  <r>
    <x v="98"/>
    <d v="2019-02-22T00:00:00"/>
    <s v="KIỀU THY"/>
    <x v="49"/>
    <x v="51"/>
    <x v="21"/>
    <x v="49"/>
    <x v="0"/>
    <x v="8"/>
    <x v="11"/>
    <s v="NL2018"/>
    <m/>
    <n v="80"/>
    <n v="8000"/>
    <x v="25"/>
    <n v="100000000"/>
    <x v="2"/>
    <d v="2019-09-01T00:00:00"/>
    <x v="2"/>
    <x v="2"/>
    <s v="TẾT"/>
    <m/>
    <m/>
    <s v="R"/>
    <m/>
    <n v="0"/>
    <m/>
    <m/>
    <m/>
    <m/>
    <m/>
    <m/>
    <n v="0"/>
    <n v="8000"/>
    <n v="100000000"/>
    <m/>
  </r>
  <r>
    <x v="99"/>
    <d v="2019-03-14T00:00:00"/>
    <s v="KIỀU THY"/>
    <x v="50"/>
    <x v="52"/>
    <x v="31"/>
    <x v="18"/>
    <x v="0"/>
    <x v="7"/>
    <x v="0"/>
    <s v="NL2018"/>
    <m/>
    <n v="8"/>
    <n v="3200"/>
    <x v="35"/>
    <n v="9920000"/>
    <x v="2"/>
    <d v="2019-07-25T00:00:00"/>
    <x v="52"/>
    <x v="52"/>
    <s v="TRỒNG NGÀY 25/7 AL"/>
    <m/>
    <m/>
    <m/>
    <m/>
    <n v="0"/>
    <m/>
    <m/>
    <m/>
    <m/>
    <m/>
    <m/>
    <n v="0"/>
    <n v="3200"/>
    <n v="9920000"/>
    <m/>
  </r>
  <r>
    <x v="100"/>
    <d v="2019-03-14T00:00:00"/>
    <s v="KIỀU THY"/>
    <x v="50"/>
    <x v="52"/>
    <x v="32"/>
    <x v="18"/>
    <x v="0"/>
    <x v="2"/>
    <x v="2"/>
    <s v="NL2018"/>
    <m/>
    <n v="44"/>
    <n v="13200"/>
    <x v="28"/>
    <n v="60720000"/>
    <x v="2"/>
    <d v="2019-09-01T00:00:00"/>
    <x v="2"/>
    <x v="2"/>
    <s v="TẾT"/>
    <m/>
    <m/>
    <m/>
    <m/>
    <n v="0"/>
    <m/>
    <m/>
    <m/>
    <m/>
    <m/>
    <m/>
    <n v="0"/>
    <n v="13200"/>
    <n v="60720000"/>
    <m/>
  </r>
  <r>
    <x v="100"/>
    <d v="2019-03-14T00:00:00"/>
    <s v="KIỀU THY"/>
    <x v="50"/>
    <x v="52"/>
    <x v="4"/>
    <x v="3"/>
    <x v="0"/>
    <x v="4"/>
    <x v="4"/>
    <s v="NL2018"/>
    <m/>
    <n v="16"/>
    <n v="2000"/>
    <x v="5"/>
    <n v="21000000"/>
    <x v="2"/>
    <d v="2019-09-01T00:00:00"/>
    <x v="2"/>
    <x v="2"/>
    <s v="TẾT"/>
    <m/>
    <m/>
    <m/>
    <m/>
    <n v="0"/>
    <m/>
    <m/>
    <m/>
    <m/>
    <m/>
    <m/>
    <n v="0"/>
    <n v="2000"/>
    <n v="21000000"/>
    <m/>
  </r>
  <r>
    <x v="100"/>
    <d v="2019-04-03T00:00:00"/>
    <s v="KIỀU THY"/>
    <x v="50"/>
    <x v="52"/>
    <x v="4"/>
    <x v="3"/>
    <x v="0"/>
    <x v="4"/>
    <x v="4"/>
    <s v="NL2018"/>
    <m/>
    <n v="16"/>
    <n v="2000"/>
    <x v="33"/>
    <n v="21400000"/>
    <x v="2"/>
    <d v="2019-09-01T00:00:00"/>
    <x v="2"/>
    <x v="2"/>
    <s v="TẾT"/>
    <m/>
    <m/>
    <m/>
    <m/>
    <m/>
    <m/>
    <m/>
    <m/>
    <m/>
    <m/>
    <m/>
    <n v="0"/>
    <n v="2000"/>
    <n v="21400000"/>
    <m/>
  </r>
  <r>
    <x v="100"/>
    <d v="2019-03-14T00:00:00"/>
    <s v="KIỀU THY"/>
    <x v="50"/>
    <x v="52"/>
    <x v="105"/>
    <x v="55"/>
    <x v="0"/>
    <x v="1"/>
    <x v="1"/>
    <s v="NL2018"/>
    <m/>
    <n v="14"/>
    <n v="2100"/>
    <x v="5"/>
    <n v="22050000"/>
    <x v="2"/>
    <d v="2019-09-01T00:00:00"/>
    <x v="2"/>
    <x v="2"/>
    <s v="TẾT"/>
    <m/>
    <m/>
    <m/>
    <m/>
    <n v="0"/>
    <m/>
    <m/>
    <m/>
    <m/>
    <m/>
    <m/>
    <n v="0"/>
    <n v="2100"/>
    <n v="22050000"/>
    <m/>
  </r>
  <r>
    <x v="100"/>
    <d v="2019-04-03T00:00:00"/>
    <s v="KIỀU THY"/>
    <x v="50"/>
    <x v="52"/>
    <x v="105"/>
    <x v="55"/>
    <x v="0"/>
    <x v="1"/>
    <x v="1"/>
    <s v="NL2018"/>
    <m/>
    <n v="14"/>
    <n v="2100"/>
    <x v="5"/>
    <n v="22050000"/>
    <x v="2"/>
    <d v="2019-09-01T00:00:00"/>
    <x v="2"/>
    <x v="2"/>
    <s v="TẾT"/>
    <m/>
    <m/>
    <m/>
    <m/>
    <m/>
    <m/>
    <m/>
    <m/>
    <m/>
    <m/>
    <m/>
    <n v="0"/>
    <n v="2100"/>
    <n v="22050000"/>
    <m/>
  </r>
  <r>
    <x v="100"/>
    <d v="2019-03-14T00:00:00"/>
    <s v="KIỀU THY"/>
    <x v="50"/>
    <x v="52"/>
    <x v="85"/>
    <x v="6"/>
    <x v="0"/>
    <x v="1"/>
    <x v="1"/>
    <s v="NL2018"/>
    <m/>
    <n v="14"/>
    <n v="2100"/>
    <x v="26"/>
    <n v="22680000"/>
    <x v="2"/>
    <d v="2019-09-01T00:00:00"/>
    <x v="2"/>
    <x v="2"/>
    <s v="TẾT"/>
    <m/>
    <m/>
    <m/>
    <m/>
    <n v="0"/>
    <m/>
    <m/>
    <m/>
    <m/>
    <m/>
    <m/>
    <n v="0"/>
    <n v="2100"/>
    <n v="22680000"/>
    <m/>
  </r>
  <r>
    <x v="99"/>
    <d v="2019-03-14T00:00:00"/>
    <s v="KIỀU THY"/>
    <x v="50"/>
    <x v="52"/>
    <x v="58"/>
    <x v="33"/>
    <x v="0"/>
    <x v="2"/>
    <x v="2"/>
    <s v="NL2018"/>
    <m/>
    <n v="10"/>
    <n v="3000"/>
    <x v="40"/>
    <n v="12900000"/>
    <x v="2"/>
    <d v="2019-07-25T00:00:00"/>
    <x v="52"/>
    <x v="52"/>
    <s v="TRỒNG NGÀY 25/7 AL"/>
    <m/>
    <m/>
    <m/>
    <m/>
    <n v="0"/>
    <m/>
    <m/>
    <m/>
    <m/>
    <m/>
    <m/>
    <n v="0"/>
    <n v="3000"/>
    <n v="12900000"/>
    <m/>
  </r>
  <r>
    <x v="100"/>
    <d v="2019-03-14T00:00:00"/>
    <s v="KIỀU THY"/>
    <x v="50"/>
    <x v="52"/>
    <x v="62"/>
    <x v="32"/>
    <x v="0"/>
    <x v="4"/>
    <x v="4"/>
    <s v="NL2018"/>
    <m/>
    <n v="8"/>
    <n v="1000"/>
    <x v="61"/>
    <n v="13500000"/>
    <x v="2"/>
    <d v="2019-09-01T00:00:00"/>
    <x v="2"/>
    <x v="2"/>
    <s v="TẾT"/>
    <m/>
    <m/>
    <m/>
    <m/>
    <n v="0"/>
    <m/>
    <m/>
    <m/>
    <m/>
    <m/>
    <m/>
    <n v="0"/>
    <n v="1000"/>
    <n v="13500000"/>
    <m/>
  </r>
  <r>
    <x v="100"/>
    <d v="2019-04-03T00:00:00"/>
    <s v="KIỀU THY"/>
    <x v="50"/>
    <x v="52"/>
    <x v="106"/>
    <x v="32"/>
    <x v="0"/>
    <x v="1"/>
    <x v="1"/>
    <s v="NL2018"/>
    <m/>
    <n v="14"/>
    <n v="2100"/>
    <x v="119"/>
    <n v="21630000"/>
    <x v="2"/>
    <d v="2019-09-01T00:00:00"/>
    <x v="2"/>
    <x v="2"/>
    <s v="TẾT"/>
    <m/>
    <m/>
    <m/>
    <m/>
    <m/>
    <m/>
    <m/>
    <m/>
    <m/>
    <m/>
    <m/>
    <n v="0"/>
    <n v="2100"/>
    <n v="21630000"/>
    <m/>
  </r>
  <r>
    <x v="100"/>
    <d v="2019-03-14T00:00:00"/>
    <s v="KIỀU THY"/>
    <x v="50"/>
    <x v="52"/>
    <x v="7"/>
    <x v="4"/>
    <x v="0"/>
    <x v="4"/>
    <x v="4"/>
    <s v="NL2018"/>
    <m/>
    <n v="40"/>
    <n v="5000"/>
    <x v="5"/>
    <n v="52500000"/>
    <x v="2"/>
    <d v="2019-09-01T00:00:00"/>
    <x v="2"/>
    <x v="2"/>
    <s v="TẾT"/>
    <m/>
    <m/>
    <m/>
    <m/>
    <n v="0"/>
    <m/>
    <m/>
    <m/>
    <m/>
    <m/>
    <m/>
    <n v="0"/>
    <n v="5000"/>
    <n v="52500000"/>
    <m/>
  </r>
  <r>
    <x v="100"/>
    <d v="2019-04-03T00:00:00"/>
    <s v="KIỀU THY"/>
    <x v="50"/>
    <x v="52"/>
    <x v="7"/>
    <x v="4"/>
    <x v="0"/>
    <x v="4"/>
    <x v="4"/>
    <s v="NL2018"/>
    <m/>
    <n v="8"/>
    <n v="1000"/>
    <x v="34"/>
    <n v="10600000"/>
    <x v="2"/>
    <d v="2019-09-01T00:00:00"/>
    <x v="2"/>
    <x v="2"/>
    <s v="TẾT"/>
    <m/>
    <m/>
    <m/>
    <m/>
    <m/>
    <m/>
    <m/>
    <m/>
    <m/>
    <m/>
    <m/>
    <n v="0"/>
    <n v="1000"/>
    <n v="10600000"/>
    <m/>
  </r>
  <r>
    <x v="101"/>
    <d v="2019-04-12T00:00:00"/>
    <s v="KIỀU THY"/>
    <x v="51"/>
    <x v="53"/>
    <x v="2"/>
    <x v="2"/>
    <x v="0"/>
    <x v="2"/>
    <x v="2"/>
    <s v="NL2018"/>
    <m/>
    <n v="0"/>
    <n v="0"/>
    <x v="81"/>
    <n v="0"/>
    <x v="1"/>
    <d v="2019-04-17T00:00:00"/>
    <x v="1"/>
    <x v="1"/>
    <s v="17/4AL"/>
    <m/>
    <m/>
    <m/>
    <m/>
    <m/>
    <m/>
    <m/>
    <m/>
    <m/>
    <m/>
    <m/>
    <n v="0"/>
    <n v="0"/>
    <n v="0"/>
    <m/>
  </r>
  <r>
    <x v="101"/>
    <d v="2019-04-12T00:00:00"/>
    <s v="KIỀU THY"/>
    <x v="51"/>
    <x v="53"/>
    <x v="3"/>
    <x v="3"/>
    <x v="0"/>
    <x v="3"/>
    <x v="3"/>
    <s v="NL2018"/>
    <m/>
    <n v="0"/>
    <n v="0"/>
    <x v="32"/>
    <n v="0"/>
    <x v="1"/>
    <d v="2019-04-17T00:00:00"/>
    <x v="1"/>
    <x v="1"/>
    <s v="17/4AL"/>
    <m/>
    <m/>
    <m/>
    <m/>
    <m/>
    <m/>
    <m/>
    <m/>
    <m/>
    <m/>
    <m/>
    <n v="0"/>
    <n v="0"/>
    <n v="0"/>
    <m/>
  </r>
  <r>
    <x v="101"/>
    <d v="2019-04-12T00:00:00"/>
    <s v="KIỀU THY"/>
    <x v="51"/>
    <x v="53"/>
    <x v="39"/>
    <x v="22"/>
    <x v="0"/>
    <x v="7"/>
    <x v="0"/>
    <s v="NL2018"/>
    <m/>
    <n v="0"/>
    <n v="0"/>
    <x v="44"/>
    <n v="0"/>
    <x v="1"/>
    <d v="2019-04-17T00:00:00"/>
    <x v="1"/>
    <x v="1"/>
    <s v="17/4AL"/>
    <m/>
    <m/>
    <m/>
    <m/>
    <m/>
    <m/>
    <m/>
    <m/>
    <m/>
    <m/>
    <m/>
    <n v="0"/>
    <n v="0"/>
    <n v="0"/>
    <m/>
  </r>
  <r>
    <x v="101"/>
    <d v="2019-04-12T00:00:00"/>
    <s v="KIỀU THY"/>
    <x v="51"/>
    <x v="53"/>
    <x v="107"/>
    <x v="56"/>
    <x v="0"/>
    <x v="2"/>
    <x v="21"/>
    <s v="NL2018"/>
    <m/>
    <n v="18"/>
    <n v="4950"/>
    <x v="28"/>
    <n v="22770000"/>
    <x v="0"/>
    <d v="2019-03-15T00:00:00"/>
    <x v="5"/>
    <x v="5"/>
    <s v="15/3AL"/>
    <m/>
    <m/>
    <m/>
    <d v="2019-04-17T00:00:00"/>
    <n v="4950"/>
    <m/>
    <m/>
    <m/>
    <m/>
    <m/>
    <m/>
    <n v="4950"/>
    <n v="0"/>
    <n v="0"/>
    <m/>
  </r>
  <r>
    <x v="102"/>
    <d v="2019-04-11T00:00:00"/>
    <s v="KIỀU THY"/>
    <x v="52"/>
    <x v="54"/>
    <x v="0"/>
    <x v="0"/>
    <x v="0"/>
    <x v="7"/>
    <x v="0"/>
    <s v="NL2018"/>
    <m/>
    <n v="5"/>
    <n v="2000"/>
    <x v="1"/>
    <n v="5400000"/>
    <x v="0"/>
    <d v="2019-03-15T00:00:00"/>
    <x v="5"/>
    <x v="5"/>
    <m/>
    <m/>
    <m/>
    <m/>
    <d v="2019-05-28T00:00:00"/>
    <n v="2000"/>
    <m/>
    <m/>
    <m/>
    <m/>
    <m/>
    <m/>
    <n v="2000"/>
    <n v="0"/>
    <n v="0"/>
    <m/>
  </r>
  <r>
    <x v="103"/>
    <d v="2019-05-28T00:00:00"/>
    <s v="KIỀU THY"/>
    <x v="52"/>
    <x v="54"/>
    <x v="108"/>
    <x v="57"/>
    <x v="0"/>
    <x v="3"/>
    <x v="3"/>
    <s v="NL2018"/>
    <m/>
    <n v="5"/>
    <n v="1000"/>
    <x v="65"/>
    <n v="7000000"/>
    <x v="2"/>
    <d v="2019-09-01T00:00:00"/>
    <x v="2"/>
    <x v="2"/>
    <m/>
    <m/>
    <m/>
    <m/>
    <m/>
    <m/>
    <m/>
    <m/>
    <m/>
    <m/>
    <m/>
    <m/>
    <n v="0"/>
    <n v="1000"/>
    <n v="7000000"/>
    <m/>
  </r>
  <r>
    <x v="103"/>
    <d v="2019-05-28T00:00:00"/>
    <s v="KIỀU THY"/>
    <x v="52"/>
    <x v="54"/>
    <x v="109"/>
    <x v="46"/>
    <x v="0"/>
    <x v="1"/>
    <x v="1"/>
    <s v="NL2018"/>
    <m/>
    <n v="13.333333333333334"/>
    <n v="2000"/>
    <x v="67"/>
    <n v="20200000"/>
    <x v="2"/>
    <d v="2019-09-01T00:00:00"/>
    <x v="2"/>
    <x v="2"/>
    <m/>
    <m/>
    <m/>
    <m/>
    <m/>
    <m/>
    <m/>
    <m/>
    <m/>
    <m/>
    <m/>
    <m/>
    <n v="0"/>
    <n v="2000"/>
    <n v="20200000"/>
    <m/>
  </r>
  <r>
    <x v="102"/>
    <d v="2019-04-11T00:00:00"/>
    <s v="KIỀU THY"/>
    <x v="52"/>
    <x v="54"/>
    <x v="58"/>
    <x v="33"/>
    <x v="0"/>
    <x v="2"/>
    <x v="2"/>
    <s v="NL2018"/>
    <m/>
    <n v="0"/>
    <n v="0"/>
    <x v="57"/>
    <n v="0"/>
    <x v="1"/>
    <d v="2019-05-30T00:00:00"/>
    <x v="17"/>
    <x v="17"/>
    <m/>
    <m/>
    <m/>
    <m/>
    <m/>
    <m/>
    <m/>
    <m/>
    <m/>
    <m/>
    <m/>
    <m/>
    <n v="0"/>
    <n v="0"/>
    <n v="0"/>
    <m/>
  </r>
  <r>
    <x v="103"/>
    <d v="2019-05-28T00:00:00"/>
    <s v="KIỀU THY"/>
    <x v="52"/>
    <x v="54"/>
    <x v="58"/>
    <x v="33"/>
    <x v="0"/>
    <x v="2"/>
    <x v="2"/>
    <s v="NL2018"/>
    <m/>
    <n v="4"/>
    <n v="1200"/>
    <x v="39"/>
    <n v="5040000"/>
    <x v="2"/>
    <d v="2019-09-01T00:00:00"/>
    <x v="2"/>
    <x v="2"/>
    <m/>
    <m/>
    <m/>
    <m/>
    <m/>
    <m/>
    <m/>
    <m/>
    <m/>
    <m/>
    <m/>
    <m/>
    <n v="0"/>
    <n v="1200"/>
    <n v="5040000"/>
    <m/>
  </r>
  <r>
    <x v="102"/>
    <d v="2019-04-11T00:00:00"/>
    <s v="KIỀU THY"/>
    <x v="52"/>
    <x v="54"/>
    <x v="75"/>
    <x v="32"/>
    <x v="0"/>
    <x v="3"/>
    <x v="3"/>
    <s v="NL2018"/>
    <m/>
    <n v="14"/>
    <n v="2800"/>
    <x v="120"/>
    <n v="19432000"/>
    <x v="4"/>
    <d v="2019-03-15T00:00:00"/>
    <x v="5"/>
    <x v="5"/>
    <m/>
    <m/>
    <m/>
    <m/>
    <d v="2019-05-28T00:00:00"/>
    <n v="1000"/>
    <m/>
    <m/>
    <m/>
    <m/>
    <m/>
    <m/>
    <n v="1000"/>
    <n v="1800"/>
    <n v="12492000"/>
    <m/>
  </r>
  <r>
    <x v="103"/>
    <d v="2019-05-28T00:00:00"/>
    <s v="KIỀU THY"/>
    <x v="52"/>
    <x v="54"/>
    <x v="106"/>
    <x v="32"/>
    <x v="0"/>
    <x v="1"/>
    <x v="1"/>
    <s v="NL2018"/>
    <m/>
    <n v="14"/>
    <n v="2100"/>
    <x v="119"/>
    <n v="21630000"/>
    <x v="2"/>
    <d v="2019-09-01T00:00:00"/>
    <x v="2"/>
    <x v="2"/>
    <m/>
    <m/>
    <m/>
    <m/>
    <m/>
    <m/>
    <m/>
    <m/>
    <m/>
    <m/>
    <m/>
    <m/>
    <n v="0"/>
    <n v="2100"/>
    <n v="21630000"/>
    <m/>
  </r>
  <r>
    <x v="102"/>
    <d v="2019-06-04T00:00:00"/>
    <s v="KIỀU THY"/>
    <x v="52"/>
    <x v="54"/>
    <x v="69"/>
    <x v="13"/>
    <x v="0"/>
    <x v="2"/>
    <x v="2"/>
    <s v="NL2018"/>
    <m/>
    <n v="4"/>
    <n v="1200"/>
    <x v="45"/>
    <n v="4800000"/>
    <x v="0"/>
    <d v="2019-05-05T00:00:00"/>
    <x v="27"/>
    <x v="27"/>
    <m/>
    <m/>
    <m/>
    <m/>
    <d v="2019-06-10T00:00:00"/>
    <n v="1200"/>
    <m/>
    <m/>
    <m/>
    <m/>
    <m/>
    <m/>
    <n v="1200"/>
    <n v="0"/>
    <n v="0"/>
    <m/>
  </r>
  <r>
    <x v="102"/>
    <d v="2019-04-11T00:00:00"/>
    <s v="KIỀU THY"/>
    <x v="52"/>
    <x v="54"/>
    <x v="27"/>
    <x v="14"/>
    <x v="0"/>
    <x v="3"/>
    <x v="3"/>
    <s v="NL2018"/>
    <m/>
    <n v="10"/>
    <n v="2000"/>
    <x v="84"/>
    <n v="11400000"/>
    <x v="4"/>
    <d v="2019-05-05T00:00:00"/>
    <x v="27"/>
    <x v="27"/>
    <m/>
    <m/>
    <m/>
    <m/>
    <d v="2019-06-10T00:00:00"/>
    <n v="1000"/>
    <m/>
    <m/>
    <m/>
    <m/>
    <m/>
    <m/>
    <n v="1000"/>
    <n v="1000"/>
    <n v="5700000"/>
    <m/>
  </r>
  <r>
    <x v="103"/>
    <d v="2019-05-28T00:00:00"/>
    <s v="KIỀU THY"/>
    <x v="52"/>
    <x v="54"/>
    <x v="27"/>
    <x v="14"/>
    <x v="0"/>
    <x v="3"/>
    <x v="3"/>
    <s v="NL2018"/>
    <m/>
    <n v="5"/>
    <n v="1000"/>
    <x v="41"/>
    <n v="6100000"/>
    <x v="2"/>
    <d v="2019-09-01T00:00:00"/>
    <x v="2"/>
    <x v="2"/>
    <m/>
    <m/>
    <m/>
    <m/>
    <m/>
    <m/>
    <m/>
    <m/>
    <m/>
    <m/>
    <m/>
    <m/>
    <n v="0"/>
    <n v="1000"/>
    <n v="6100000"/>
    <m/>
  </r>
  <r>
    <x v="103"/>
    <d v="2019-05-28T00:00:00"/>
    <s v="KIỀU THY"/>
    <x v="52"/>
    <x v="54"/>
    <x v="65"/>
    <x v="14"/>
    <x v="0"/>
    <x v="8"/>
    <x v="12"/>
    <s v="NL2018"/>
    <m/>
    <n v="20"/>
    <n v="2000"/>
    <x v="63"/>
    <n v="22800000"/>
    <x v="2"/>
    <d v="2019-09-01T00:00:00"/>
    <x v="2"/>
    <x v="2"/>
    <m/>
    <m/>
    <m/>
    <m/>
    <m/>
    <m/>
    <m/>
    <m/>
    <m/>
    <m/>
    <m/>
    <m/>
    <n v="0"/>
    <n v="2000"/>
    <n v="22800000"/>
    <m/>
  </r>
  <r>
    <x v="103"/>
    <d v="2019-05-28T00:00:00"/>
    <s v="KIỀU THY"/>
    <x v="52"/>
    <x v="54"/>
    <x v="7"/>
    <x v="4"/>
    <x v="0"/>
    <x v="4"/>
    <x v="4"/>
    <s v="NL2018"/>
    <m/>
    <n v="16"/>
    <n v="2000"/>
    <x v="34"/>
    <n v="21200000"/>
    <x v="2"/>
    <d v="2019-09-01T00:00:00"/>
    <x v="2"/>
    <x v="2"/>
    <m/>
    <m/>
    <m/>
    <m/>
    <m/>
    <m/>
    <m/>
    <m/>
    <m/>
    <m/>
    <m/>
    <m/>
    <n v="0"/>
    <n v="2000"/>
    <n v="21200000"/>
    <m/>
  </r>
  <r>
    <x v="103"/>
    <d v="2019-05-28T00:00:00"/>
    <s v="KIỀU THY"/>
    <x v="52"/>
    <x v="54"/>
    <x v="14"/>
    <x v="4"/>
    <x v="0"/>
    <x v="6"/>
    <x v="13"/>
    <s v="NL2018"/>
    <m/>
    <n v="25"/>
    <n v="2000"/>
    <x v="15"/>
    <n v="30400000"/>
    <x v="2"/>
    <d v="2019-09-01T00:00:00"/>
    <x v="2"/>
    <x v="2"/>
    <m/>
    <m/>
    <m/>
    <m/>
    <m/>
    <m/>
    <m/>
    <m/>
    <m/>
    <m/>
    <m/>
    <m/>
    <n v="0"/>
    <n v="2000"/>
    <n v="30400000"/>
    <m/>
  </r>
  <r>
    <x v="104"/>
    <d v="2019-04-24T00:00:00"/>
    <s v="THANH THÚY"/>
    <x v="53"/>
    <x v="55"/>
    <x v="3"/>
    <x v="3"/>
    <x v="0"/>
    <x v="3"/>
    <x v="3"/>
    <s v="NL2018"/>
    <m/>
    <n v="50"/>
    <n v="10000"/>
    <x v="10"/>
    <n v="55000000"/>
    <x v="4"/>
    <d v="2019-05-18T00:00:00"/>
    <x v="3"/>
    <x v="3"/>
    <s v="02/5AL"/>
    <m/>
    <m/>
    <m/>
    <m/>
    <m/>
    <m/>
    <m/>
    <m/>
    <m/>
    <m/>
    <m/>
    <n v="0"/>
    <n v="10000"/>
    <n v="55000000"/>
    <m/>
  </r>
  <r>
    <x v="104"/>
    <d v="2019-04-24T00:00:00"/>
    <s v="THANH THÚY"/>
    <x v="53"/>
    <x v="55"/>
    <x v="5"/>
    <x v="3"/>
    <x v="0"/>
    <x v="1"/>
    <x v="1"/>
    <s v="NL2018"/>
    <m/>
    <n v="67"/>
    <n v="10050"/>
    <x v="104"/>
    <n v="73365000"/>
    <x v="4"/>
    <d v="2019-04-29T00:00:00"/>
    <x v="11"/>
    <x v="11"/>
    <s v="29/4AL"/>
    <m/>
    <m/>
    <m/>
    <m/>
    <m/>
    <m/>
    <m/>
    <m/>
    <m/>
    <m/>
    <m/>
    <n v="0"/>
    <n v="10050"/>
    <n v="73365000"/>
    <m/>
  </r>
  <r>
    <x v="104"/>
    <d v="2019-04-24T00:00:00"/>
    <s v="THANH THÚY"/>
    <x v="53"/>
    <x v="55"/>
    <x v="13"/>
    <x v="7"/>
    <x v="0"/>
    <x v="5"/>
    <x v="2"/>
    <s v="NL2018"/>
    <m/>
    <n v="20"/>
    <n v="6000"/>
    <x v="14"/>
    <n v="27000000"/>
    <x v="0"/>
    <d v="2019-03-15T00:00:00"/>
    <x v="5"/>
    <x v="5"/>
    <s v="15/3AL"/>
    <m/>
    <m/>
    <m/>
    <d v="2019-04-24T00:00:00"/>
    <n v="3000"/>
    <d v="2019-04-26T00:00:00"/>
    <s v="3000"/>
    <m/>
    <m/>
    <m/>
    <m/>
    <n v="6000"/>
    <n v="0"/>
    <n v="0"/>
    <m/>
  </r>
  <r>
    <x v="104"/>
    <d v="2019-04-24T00:00:00"/>
    <s v="THANH THÚY"/>
    <x v="53"/>
    <x v="55"/>
    <x v="60"/>
    <x v="7"/>
    <x v="0"/>
    <x v="5"/>
    <x v="20"/>
    <s v="NL2018"/>
    <m/>
    <n v="20"/>
    <n v="5000"/>
    <x v="14"/>
    <n v="22500000"/>
    <x v="0"/>
    <d v="2019-03-15T00:00:00"/>
    <x v="5"/>
    <x v="5"/>
    <s v="15/3AL"/>
    <m/>
    <m/>
    <m/>
    <d v="2019-04-24T00:00:00"/>
    <n v="3000"/>
    <d v="2019-04-26T00:00:00"/>
    <s v="2000"/>
    <m/>
    <m/>
    <m/>
    <m/>
    <n v="5000"/>
    <n v="0"/>
    <n v="0"/>
    <m/>
  </r>
  <r>
    <x v="105"/>
    <d v="2019-05-04T00:00:00"/>
    <s v="THANH THÚY"/>
    <x v="54"/>
    <x v="56"/>
    <x v="74"/>
    <x v="0"/>
    <x v="0"/>
    <x v="2"/>
    <x v="6"/>
    <s v="NL2018"/>
    <m/>
    <n v="5"/>
    <n v="1500"/>
    <x v="77"/>
    <n v="5700000"/>
    <x v="0"/>
    <d v="2019-03-15T00:00:00"/>
    <x v="35"/>
    <x v="35"/>
    <m/>
    <m/>
    <m/>
    <m/>
    <d v="2019-05-04T00:00:00"/>
    <n v="1500"/>
    <m/>
    <m/>
    <m/>
    <m/>
    <m/>
    <m/>
    <n v="1500"/>
    <n v="0"/>
    <n v="0"/>
    <m/>
  </r>
  <r>
    <x v="105"/>
    <d v="2019-03-23T00:00:00"/>
    <s v="THANH THÚY"/>
    <x v="54"/>
    <x v="56"/>
    <x v="2"/>
    <x v="2"/>
    <x v="0"/>
    <x v="2"/>
    <x v="6"/>
    <s v="NL2018"/>
    <m/>
    <n v="0"/>
    <n v="0"/>
    <x v="106"/>
    <n v="0"/>
    <x v="1"/>
    <d v="2019-02-15T00:00:00"/>
    <x v="35"/>
    <x v="35"/>
    <s v="15/2AL"/>
    <m/>
    <m/>
    <m/>
    <m/>
    <m/>
    <m/>
    <m/>
    <m/>
    <m/>
    <m/>
    <m/>
    <n v="0"/>
    <n v="0"/>
    <n v="0"/>
    <m/>
  </r>
  <r>
    <x v="106"/>
    <d v="2019-05-30T00:00:00"/>
    <s v="KIỀU THY"/>
    <x v="54"/>
    <x v="56"/>
    <x v="86"/>
    <x v="53"/>
    <x v="0"/>
    <x v="4"/>
    <x v="4"/>
    <s v="NZ2019"/>
    <m/>
    <n v="16"/>
    <n v="2000"/>
    <x v="25"/>
    <n v="25000000"/>
    <x v="2"/>
    <d v="2019-09-01T00:00:00"/>
    <x v="2"/>
    <x v="2"/>
    <m/>
    <m/>
    <m/>
    <m/>
    <m/>
    <m/>
    <m/>
    <m/>
    <m/>
    <m/>
    <m/>
    <m/>
    <n v="0"/>
    <n v="2000"/>
    <n v="25000000"/>
    <m/>
  </r>
  <r>
    <x v="106"/>
    <d v="2019-05-30T00:00:00"/>
    <s v="KIỀU THY"/>
    <x v="54"/>
    <x v="56"/>
    <x v="55"/>
    <x v="53"/>
    <x v="0"/>
    <x v="8"/>
    <x v="12"/>
    <s v="NZ2019"/>
    <m/>
    <n v="50"/>
    <n v="5000"/>
    <x v="47"/>
    <n v="65000000"/>
    <x v="2"/>
    <d v="2019-09-01T00:00:00"/>
    <x v="2"/>
    <x v="2"/>
    <m/>
    <m/>
    <m/>
    <m/>
    <m/>
    <m/>
    <m/>
    <m/>
    <m/>
    <m/>
    <m/>
    <m/>
    <n v="0"/>
    <n v="5000"/>
    <n v="65000000"/>
    <m/>
  </r>
  <r>
    <x v="106"/>
    <d v="2019-05-30T00:00:00"/>
    <s v="KIỀU THY"/>
    <x v="54"/>
    <x v="56"/>
    <x v="4"/>
    <x v="3"/>
    <x v="0"/>
    <x v="4"/>
    <x v="4"/>
    <s v="NL2018"/>
    <m/>
    <n v="0"/>
    <n v="0"/>
    <x v="33"/>
    <n v="0"/>
    <x v="1"/>
    <d v="2019-09-01T00:00:00"/>
    <x v="35"/>
    <x v="35"/>
    <m/>
    <m/>
    <m/>
    <m/>
    <m/>
    <m/>
    <m/>
    <m/>
    <m/>
    <m/>
    <m/>
    <m/>
    <n v="0"/>
    <n v="0"/>
    <n v="0"/>
    <m/>
  </r>
  <r>
    <x v="106"/>
    <d v="2019-05-30T00:00:00"/>
    <s v="KIỀU THY"/>
    <x v="54"/>
    <x v="56"/>
    <x v="81"/>
    <x v="37"/>
    <x v="0"/>
    <x v="4"/>
    <x v="4"/>
    <s v="NZ2019"/>
    <m/>
    <n v="144"/>
    <n v="18000"/>
    <x v="80"/>
    <n v="216000000"/>
    <x v="2"/>
    <d v="2019-09-01T00:00:00"/>
    <x v="2"/>
    <x v="2"/>
    <m/>
    <m/>
    <m/>
    <m/>
    <m/>
    <m/>
    <m/>
    <m/>
    <m/>
    <m/>
    <m/>
    <m/>
    <n v="0"/>
    <n v="18000"/>
    <n v="216000000"/>
    <m/>
  </r>
  <r>
    <x v="106"/>
    <d v="2019-05-30T00:00:00"/>
    <s v="KIỀU THY"/>
    <x v="54"/>
    <x v="56"/>
    <x v="7"/>
    <x v="4"/>
    <x v="0"/>
    <x v="4"/>
    <x v="4"/>
    <s v="NL2018"/>
    <m/>
    <n v="0"/>
    <n v="0"/>
    <x v="34"/>
    <n v="0"/>
    <x v="1"/>
    <d v="2019-09-01T00:00:00"/>
    <x v="35"/>
    <x v="35"/>
    <m/>
    <m/>
    <m/>
    <m/>
    <m/>
    <m/>
    <m/>
    <m/>
    <m/>
    <m/>
    <m/>
    <m/>
    <n v="0"/>
    <n v="0"/>
    <n v="0"/>
    <m/>
  </r>
  <r>
    <x v="107"/>
    <d v="2019-02-11T00:00:00"/>
    <s v="KIỀU THY"/>
    <x v="55"/>
    <x v="57"/>
    <x v="54"/>
    <x v="0"/>
    <x v="0"/>
    <x v="3"/>
    <x v="5"/>
    <s v="NL2018"/>
    <m/>
    <n v="75"/>
    <n v="15000"/>
    <x v="8"/>
    <n v="75000000"/>
    <x v="0"/>
    <d v="2019-01-15T00:00:00"/>
    <x v="6"/>
    <x v="6"/>
    <s v="15/1AL"/>
    <m/>
    <m/>
    <s v="R"/>
    <d v="2019-03-02T00:00:00"/>
    <n v="5000"/>
    <d v="2019-03-13T00:00:00"/>
    <n v="5000"/>
    <d v="2019-03-20T00:00:00"/>
    <n v="5000"/>
    <m/>
    <m/>
    <n v="15000"/>
    <n v="0"/>
    <n v="0"/>
    <m/>
  </r>
  <r>
    <x v="107"/>
    <d v="2019-02-11T00:00:00"/>
    <s v="KIỀU THY"/>
    <x v="55"/>
    <x v="57"/>
    <x v="74"/>
    <x v="0"/>
    <x v="0"/>
    <x v="2"/>
    <x v="6"/>
    <s v="NL2018"/>
    <m/>
    <n v="34"/>
    <n v="10200"/>
    <x v="77"/>
    <n v="38760000"/>
    <x v="0"/>
    <d v="2019-02-15T00:00:00"/>
    <x v="0"/>
    <x v="0"/>
    <s v="15/2AL"/>
    <s v="CONT 12/2019"/>
    <d v="2019-03-17T00:00:00"/>
    <s v="R"/>
    <d v="2019-04-05T00:00:00"/>
    <n v="10200"/>
    <m/>
    <m/>
    <m/>
    <m/>
    <m/>
    <m/>
    <n v="10200"/>
    <n v="0"/>
    <n v="0"/>
    <m/>
  </r>
  <r>
    <x v="107"/>
    <d v="2019-02-11T00:00:00"/>
    <s v="KIỀU THY"/>
    <x v="55"/>
    <x v="57"/>
    <x v="3"/>
    <x v="3"/>
    <x v="0"/>
    <x v="3"/>
    <x v="5"/>
    <s v="NL2018"/>
    <m/>
    <n v="50"/>
    <n v="10000"/>
    <x v="42"/>
    <n v="48000000"/>
    <x v="0"/>
    <d v="2019-02-15T00:00:00"/>
    <x v="0"/>
    <x v="0"/>
    <s v="15/2AL"/>
    <s v="CONT 11/2019"/>
    <d v="2019-03-17T00:00:00"/>
    <s v="R"/>
    <d v="2019-04-03T00:00:00"/>
    <n v="5000"/>
    <d v="2019-04-26T00:00:00"/>
    <n v="5000"/>
    <m/>
    <m/>
    <m/>
    <m/>
    <n v="10000"/>
    <n v="0"/>
    <n v="0"/>
    <m/>
  </r>
  <r>
    <x v="107"/>
    <d v="2019-02-11T00:00:00"/>
    <s v="KIỀU THY"/>
    <x v="55"/>
    <x v="57"/>
    <x v="12"/>
    <x v="6"/>
    <x v="0"/>
    <x v="2"/>
    <x v="6"/>
    <s v="NL2018"/>
    <m/>
    <n v="34"/>
    <n v="10200"/>
    <x v="71"/>
    <n v="53040000"/>
    <x v="3"/>
    <d v="2019-06-15T00:00:00"/>
    <x v="4"/>
    <x v="4"/>
    <s v="17/4AL"/>
    <m/>
    <m/>
    <s v="R"/>
    <m/>
    <n v="0"/>
    <m/>
    <m/>
    <m/>
    <m/>
    <m/>
    <m/>
    <n v="0"/>
    <n v="10200"/>
    <n v="53040000"/>
    <m/>
  </r>
  <r>
    <x v="107"/>
    <d v="2019-06-01T00:00:00"/>
    <s v="KIỀU THY"/>
    <x v="55"/>
    <x v="57"/>
    <x v="12"/>
    <x v="6"/>
    <x v="0"/>
    <x v="2"/>
    <x v="6"/>
    <s v="NL2018"/>
    <m/>
    <n v="34"/>
    <n v="10200"/>
    <x v="109"/>
    <n v="52020000"/>
    <x v="0"/>
    <d v="2019-05-05T00:00:00"/>
    <x v="27"/>
    <x v="27"/>
    <m/>
    <m/>
    <m/>
    <m/>
    <d v="2019-06-14T00:00:00"/>
    <n v="10200"/>
    <m/>
    <m/>
    <m/>
    <m/>
    <m/>
    <m/>
    <n v="10200"/>
    <n v="0"/>
    <n v="0"/>
    <m/>
  </r>
  <r>
    <x v="107"/>
    <d v="2019-02-11T00:00:00"/>
    <s v="KIỀU THY"/>
    <x v="55"/>
    <x v="57"/>
    <x v="11"/>
    <x v="6"/>
    <x v="0"/>
    <x v="3"/>
    <x v="5"/>
    <s v="NL2018"/>
    <m/>
    <n v="0"/>
    <n v="0"/>
    <x v="31"/>
    <n v="0"/>
    <x v="1"/>
    <d v="2019-04-17T00:00:00"/>
    <x v="1"/>
    <x v="1"/>
    <s v="17/4AL"/>
    <m/>
    <m/>
    <s v="R"/>
    <m/>
    <n v="0"/>
    <m/>
    <m/>
    <m/>
    <m/>
    <m/>
    <m/>
    <n v="0"/>
    <n v="0"/>
    <n v="0"/>
    <m/>
  </r>
  <r>
    <x v="107"/>
    <d v="2019-02-11T00:00:00"/>
    <s v="KIỀU THY"/>
    <x v="55"/>
    <x v="57"/>
    <x v="12"/>
    <x v="6"/>
    <x v="0"/>
    <x v="2"/>
    <x v="6"/>
    <s v="NL2018"/>
    <m/>
    <n v="17"/>
    <n v="5100"/>
    <x v="42"/>
    <n v="24480000"/>
    <x v="0"/>
    <s v="30-Feb-19"/>
    <x v="29"/>
    <x v="29"/>
    <s v="30/2AL"/>
    <s v="CONT 15/2019"/>
    <d v="2019-03-31T00:00:00"/>
    <s v="R"/>
    <d v="2019-04-19T00:00:00"/>
    <n v="5100"/>
    <m/>
    <m/>
    <m/>
    <m/>
    <m/>
    <m/>
    <n v="5100"/>
    <n v="0"/>
    <n v="0"/>
    <s v="check lai gia 4800 hay 5200"/>
  </r>
  <r>
    <x v="107"/>
    <d v="2019-02-11T00:00:00"/>
    <s v="KIỀU THY"/>
    <x v="55"/>
    <x v="57"/>
    <x v="11"/>
    <x v="6"/>
    <x v="0"/>
    <x v="3"/>
    <x v="5"/>
    <s v="NL2018"/>
    <m/>
    <n v="25"/>
    <n v="5000"/>
    <x v="31"/>
    <n v="33500000"/>
    <x v="0"/>
    <s v="30-Feb-19"/>
    <x v="29"/>
    <x v="29"/>
    <s v="30/2AL"/>
    <s v="CONT 17/2019"/>
    <d v="2019-03-31T00:00:00"/>
    <s v="R"/>
    <d v="2019-04-05T00:00:00"/>
    <n v="5000"/>
    <m/>
    <m/>
    <m/>
    <m/>
    <m/>
    <m/>
    <n v="5000"/>
    <n v="0"/>
    <n v="0"/>
    <m/>
  </r>
  <r>
    <x v="108"/>
    <d v="2019-02-11T00:00:00"/>
    <s v="KIỀU THY"/>
    <x v="55"/>
    <x v="57"/>
    <x v="64"/>
    <x v="32"/>
    <x v="0"/>
    <x v="8"/>
    <x v="11"/>
    <s v="NL2018"/>
    <m/>
    <n v="100"/>
    <n v="10000"/>
    <x v="15"/>
    <n v="152000000"/>
    <x v="2"/>
    <d v="2019-09-01T00:00:00"/>
    <x v="2"/>
    <x v="2"/>
    <s v="TẾT"/>
    <m/>
    <m/>
    <m/>
    <m/>
    <n v="0"/>
    <m/>
    <m/>
    <m/>
    <m/>
    <m/>
    <m/>
    <n v="0"/>
    <n v="10000"/>
    <n v="152000000"/>
    <m/>
  </r>
  <r>
    <x v="107"/>
    <d v="2019-02-11T00:00:00"/>
    <s v="KIỀU THY"/>
    <x v="55"/>
    <x v="57"/>
    <x v="6"/>
    <x v="39"/>
    <x v="0"/>
    <x v="3"/>
    <x v="5"/>
    <s v="NL2018"/>
    <m/>
    <n v="10"/>
    <n v="2000"/>
    <x v="12"/>
    <n v="9400000"/>
    <x v="0"/>
    <d v="2019-03-15T00:00:00"/>
    <x v="5"/>
    <x v="5"/>
    <s v="15/3AL"/>
    <m/>
    <m/>
    <m/>
    <d v="2019-04-19T00:00:00"/>
    <n v="2000"/>
    <m/>
    <m/>
    <m/>
    <m/>
    <m/>
    <m/>
    <n v="2000"/>
    <n v="0"/>
    <n v="0"/>
    <m/>
  </r>
  <r>
    <x v="107"/>
    <d v="2019-02-11T00:00:00"/>
    <s v="KIỀU THY"/>
    <x v="55"/>
    <x v="57"/>
    <x v="6"/>
    <x v="39"/>
    <x v="0"/>
    <x v="3"/>
    <x v="5"/>
    <s v="NL2018"/>
    <m/>
    <n v="40"/>
    <n v="8000"/>
    <x v="12"/>
    <n v="37600000"/>
    <x v="0"/>
    <s v="30-Feb-19"/>
    <x v="29"/>
    <x v="29"/>
    <s v="30/2AL"/>
    <s v="CONT 17/2019"/>
    <d v="2019-03-31T00:00:00"/>
    <s v="R"/>
    <d v="2019-04-12T00:00:00"/>
    <n v="8000"/>
    <m/>
    <m/>
    <m/>
    <m/>
    <m/>
    <m/>
    <n v="8000"/>
    <n v="0"/>
    <n v="0"/>
    <m/>
  </r>
  <r>
    <x v="109"/>
    <d v="2019-04-16T00:00:00"/>
    <s v="KIỀU THY"/>
    <x v="56"/>
    <x v="58"/>
    <x v="0"/>
    <x v="0"/>
    <x v="0"/>
    <x v="7"/>
    <x v="8"/>
    <s v="NL2018"/>
    <m/>
    <n v="20"/>
    <n v="8000"/>
    <x v="1"/>
    <n v="21600000"/>
    <x v="0"/>
    <d v="2019-03-15T00:00:00"/>
    <x v="5"/>
    <x v="5"/>
    <s v="15/3AL"/>
    <m/>
    <m/>
    <m/>
    <d v="2019-04-17T00:00:00"/>
    <n v="8000"/>
    <m/>
    <m/>
    <m/>
    <m/>
    <m/>
    <m/>
    <n v="8000"/>
    <n v="0"/>
    <n v="0"/>
    <m/>
  </r>
  <r>
    <x v="109"/>
    <d v="2019-04-29T00:00:00"/>
    <s v="KIỀU THY"/>
    <x v="56"/>
    <x v="58"/>
    <x v="0"/>
    <x v="0"/>
    <x v="0"/>
    <x v="7"/>
    <x v="8"/>
    <s v="NL2018"/>
    <m/>
    <n v="25"/>
    <n v="10000"/>
    <x v="1"/>
    <n v="27000000"/>
    <x v="0"/>
    <d v="2019-03-15T00:00:00"/>
    <x v="5"/>
    <x v="5"/>
    <s v="15/3AL"/>
    <m/>
    <m/>
    <m/>
    <d v="2019-04-29T00:00:00"/>
    <n v="10000"/>
    <m/>
    <m/>
    <m/>
    <m/>
    <m/>
    <m/>
    <n v="10000"/>
    <n v="0"/>
    <n v="0"/>
    <m/>
  </r>
  <r>
    <x v="110"/>
    <d v="2019-03-07T00:00:00"/>
    <s v="KIỀU THY"/>
    <x v="56"/>
    <x v="58"/>
    <x v="32"/>
    <x v="18"/>
    <x v="0"/>
    <x v="2"/>
    <x v="6"/>
    <s v="NL2018"/>
    <m/>
    <n v="53"/>
    <n v="15900"/>
    <x v="121"/>
    <n v="70437000"/>
    <x v="0"/>
    <d v="2019-05-05T00:00:00"/>
    <x v="27"/>
    <x v="27"/>
    <s v="1/5AL"/>
    <m/>
    <m/>
    <m/>
    <d v="2019-06-08T00:00:00"/>
    <n v="15000"/>
    <d v="2019-06-22T00:00:00"/>
    <n v="900"/>
    <m/>
    <m/>
    <m/>
    <m/>
    <n v="15900"/>
    <n v="0"/>
    <n v="0"/>
    <m/>
  </r>
  <r>
    <x v="110"/>
    <d v="2019-03-07T00:00:00"/>
    <s v="KIỀU THY"/>
    <x v="56"/>
    <x v="58"/>
    <x v="32"/>
    <x v="18"/>
    <x v="0"/>
    <x v="2"/>
    <x v="6"/>
    <s v="NL2018"/>
    <m/>
    <n v="67"/>
    <n v="20100"/>
    <x v="49"/>
    <n v="88440000"/>
    <x v="0"/>
    <d v="2019-04-17T00:00:00"/>
    <x v="1"/>
    <x v="1"/>
    <s v="10/4AL"/>
    <m/>
    <m/>
    <m/>
    <d v="2019-05-27T00:00:00"/>
    <n v="20100"/>
    <m/>
    <m/>
    <m/>
    <m/>
    <m/>
    <m/>
    <n v="20100"/>
    <n v="0"/>
    <n v="0"/>
    <m/>
  </r>
  <r>
    <x v="109"/>
    <d v="2019-03-07T00:00:00"/>
    <s v="KIỀU THY"/>
    <x v="56"/>
    <x v="58"/>
    <x v="32"/>
    <x v="18"/>
    <x v="0"/>
    <x v="2"/>
    <x v="6"/>
    <s v="NL2018"/>
    <m/>
    <n v="51"/>
    <n v="15300"/>
    <x v="37"/>
    <n v="62730000"/>
    <x v="0"/>
    <d v="2019-03-15T00:00:00"/>
    <x v="5"/>
    <x v="5"/>
    <s v="15/3AL"/>
    <s v="CONT 23/2019"/>
    <d v="2019-04-14T00:00:00"/>
    <s v="R"/>
    <d v="2019-04-17T00:00:00"/>
    <n v="15300"/>
    <m/>
    <m/>
    <m/>
    <m/>
    <m/>
    <m/>
    <n v="15300"/>
    <n v="0"/>
    <n v="0"/>
    <m/>
  </r>
  <r>
    <x v="109"/>
    <d v="2019-03-07T00:00:00"/>
    <s v="KIỀU THY"/>
    <x v="56"/>
    <x v="58"/>
    <x v="32"/>
    <x v="18"/>
    <x v="0"/>
    <x v="2"/>
    <x v="6"/>
    <s v="NL2018"/>
    <m/>
    <n v="56"/>
    <n v="16800"/>
    <x v="37"/>
    <n v="68880000"/>
    <x v="0"/>
    <s v="29-Feb-19"/>
    <x v="10"/>
    <x v="10"/>
    <s v="30/2AL"/>
    <s v="CONT 15/2019"/>
    <d v="2019-03-31T00:00:00"/>
    <s v="R"/>
    <d v="2019-04-03T00:00:00"/>
    <n v="16800"/>
    <m/>
    <m/>
    <m/>
    <m/>
    <m/>
    <m/>
    <n v="16800"/>
    <n v="0"/>
    <n v="0"/>
    <m/>
  </r>
  <r>
    <x v="111"/>
    <d v="2019-03-26T00:00:00"/>
    <s v="KIỀU THY"/>
    <x v="56"/>
    <x v="58"/>
    <x v="63"/>
    <x v="1"/>
    <x v="0"/>
    <x v="4"/>
    <x v="14"/>
    <s v="NL2018"/>
    <s v="VWS"/>
    <n v="96"/>
    <n v="12000"/>
    <x v="26"/>
    <n v="129600000"/>
    <x v="2"/>
    <d v="2019-09-01T00:00:00"/>
    <x v="2"/>
    <x v="2"/>
    <s v="TẾT"/>
    <m/>
    <m/>
    <m/>
    <m/>
    <n v="0"/>
    <m/>
    <m/>
    <m/>
    <m/>
    <m/>
    <m/>
    <n v="0"/>
    <n v="12000"/>
    <n v="129600000"/>
    <m/>
  </r>
  <r>
    <x v="111"/>
    <d v="2019-03-26T00:00:00"/>
    <s v="KIỀU THY"/>
    <x v="56"/>
    <x v="58"/>
    <x v="4"/>
    <x v="3"/>
    <x v="0"/>
    <x v="4"/>
    <x v="14"/>
    <s v="NL2018"/>
    <s v="DLW"/>
    <n v="96"/>
    <n v="12000"/>
    <x v="5"/>
    <n v="126000000"/>
    <x v="2"/>
    <d v="2019-09-01T00:00:00"/>
    <x v="2"/>
    <x v="2"/>
    <s v="TẾT"/>
    <m/>
    <m/>
    <m/>
    <m/>
    <n v="0"/>
    <m/>
    <m/>
    <m/>
    <m/>
    <m/>
    <m/>
    <n v="0"/>
    <n v="12000"/>
    <n v="126000000"/>
    <m/>
  </r>
  <r>
    <x v="110"/>
    <d v="2019-03-07T00:00:00"/>
    <s v="KIỀU THY"/>
    <x v="56"/>
    <x v="58"/>
    <x v="40"/>
    <x v="22"/>
    <x v="0"/>
    <x v="2"/>
    <x v="6"/>
    <s v="NL2018"/>
    <m/>
    <n v="67"/>
    <n v="20100"/>
    <x v="121"/>
    <n v="89043000"/>
    <x v="0"/>
    <d v="2019-05-05T00:00:00"/>
    <x v="27"/>
    <x v="27"/>
    <s v="1/5AL"/>
    <m/>
    <m/>
    <m/>
    <d v="2019-06-22T00:00:00"/>
    <n v="20100"/>
    <m/>
    <m/>
    <m/>
    <m/>
    <m/>
    <m/>
    <n v="20100"/>
    <n v="0"/>
    <n v="0"/>
    <m/>
  </r>
  <r>
    <x v="110"/>
    <d v="2019-06-14T00:00:00"/>
    <s v="KIỀU THY"/>
    <x v="56"/>
    <x v="58"/>
    <x v="39"/>
    <x v="22"/>
    <x v="0"/>
    <x v="7"/>
    <x v="8"/>
    <s v="NL2018"/>
    <m/>
    <n v="50"/>
    <n v="20000"/>
    <x v="44"/>
    <n v="60000000"/>
    <x v="3"/>
    <d v="2019-06-15T00:00:00"/>
    <x v="4"/>
    <x v="4"/>
    <m/>
    <m/>
    <m/>
    <m/>
    <m/>
    <m/>
    <m/>
    <m/>
    <m/>
    <m/>
    <m/>
    <m/>
    <n v="0"/>
    <n v="20000"/>
    <n v="60000000"/>
    <m/>
  </r>
  <r>
    <x v="110"/>
    <d v="2019-06-25T00:00:00"/>
    <s v="KIỀU THY"/>
    <x v="56"/>
    <x v="58"/>
    <x v="110"/>
    <x v="58"/>
    <x v="0"/>
    <x v="2"/>
    <x v="6"/>
    <s v="NL2018"/>
    <m/>
    <n v="34"/>
    <n v="10200"/>
    <x v="43"/>
    <n v="49980000"/>
    <x v="2"/>
    <d v="2019-07-15T00:00:00"/>
    <x v="39"/>
    <x v="39"/>
    <m/>
    <m/>
    <m/>
    <m/>
    <m/>
    <m/>
    <m/>
    <m/>
    <m/>
    <m/>
    <m/>
    <m/>
    <n v="0"/>
    <n v="10200"/>
    <n v="49980000"/>
    <m/>
  </r>
  <r>
    <x v="110"/>
    <d v="2019-06-25T00:00:00"/>
    <s v="KIỀU THY"/>
    <x v="56"/>
    <x v="58"/>
    <x v="40"/>
    <x v="22"/>
    <x v="0"/>
    <x v="2"/>
    <x v="6"/>
    <s v="NL2018"/>
    <m/>
    <n v="34"/>
    <n v="10200"/>
    <x v="14"/>
    <n v="45900000"/>
    <x v="2"/>
    <d v="2019-07-15T00:00:00"/>
    <x v="39"/>
    <x v="39"/>
    <m/>
    <m/>
    <m/>
    <m/>
    <m/>
    <m/>
    <m/>
    <m/>
    <m/>
    <m/>
    <m/>
    <m/>
    <n v="0"/>
    <n v="10200"/>
    <n v="45900000"/>
    <m/>
  </r>
  <r>
    <x v="110"/>
    <d v="2019-06-22T00:00:00"/>
    <s v="KIỀU THY"/>
    <x v="56"/>
    <x v="58"/>
    <x v="40"/>
    <x v="22"/>
    <x v="0"/>
    <x v="2"/>
    <x v="6"/>
    <s v="NL2018"/>
    <m/>
    <n v="34"/>
    <n v="10200"/>
    <x v="14"/>
    <n v="45900000"/>
    <x v="2"/>
    <d v="2019-07-01T00:00:00"/>
    <x v="30"/>
    <x v="30"/>
    <m/>
    <m/>
    <m/>
    <m/>
    <m/>
    <m/>
    <m/>
    <m/>
    <m/>
    <m/>
    <m/>
    <m/>
    <n v="0"/>
    <n v="10200"/>
    <n v="45900000"/>
    <m/>
  </r>
  <r>
    <x v="110"/>
    <d v="2019-03-07T00:00:00"/>
    <s v="KIỀU THY"/>
    <x v="56"/>
    <x v="58"/>
    <x v="40"/>
    <x v="22"/>
    <x v="0"/>
    <x v="2"/>
    <x v="6"/>
    <s v="NL2018"/>
    <m/>
    <n v="100"/>
    <n v="30000"/>
    <x v="49"/>
    <n v="132000000"/>
    <x v="0"/>
    <d v="2019-04-17T00:00:00"/>
    <x v="1"/>
    <x v="1"/>
    <s v="10/4AL"/>
    <m/>
    <m/>
    <m/>
    <d v="2019-05-27T00:00:00"/>
    <n v="30000"/>
    <m/>
    <m/>
    <m/>
    <m/>
    <m/>
    <m/>
    <n v="30000"/>
    <n v="0"/>
    <n v="0"/>
    <m/>
  </r>
  <r>
    <x v="110"/>
    <d v="2019-05-07T00:00:00"/>
    <s v="KIỀU THY"/>
    <x v="56"/>
    <x v="58"/>
    <x v="39"/>
    <x v="22"/>
    <x v="0"/>
    <x v="7"/>
    <x v="8"/>
    <s v="NL2018"/>
    <m/>
    <n v="25"/>
    <n v="10000"/>
    <x v="38"/>
    <n v="29000000"/>
    <x v="0"/>
    <d v="2019-04-17T00:00:00"/>
    <x v="1"/>
    <x v="1"/>
    <s v="10/4AL"/>
    <m/>
    <m/>
    <m/>
    <d v="2019-05-27T00:00:00"/>
    <n v="10000"/>
    <m/>
    <m/>
    <m/>
    <m/>
    <m/>
    <m/>
    <n v="10000"/>
    <n v="0"/>
    <n v="0"/>
    <m/>
  </r>
  <r>
    <x v="111"/>
    <d v="2019-03-26T00:00:00"/>
    <s v="KIỀU THY"/>
    <x v="56"/>
    <x v="58"/>
    <x v="40"/>
    <x v="22"/>
    <x v="0"/>
    <x v="2"/>
    <x v="6"/>
    <s v="NL2018"/>
    <m/>
    <n v="50"/>
    <n v="15000"/>
    <x v="28"/>
    <n v="69000000"/>
    <x v="2"/>
    <d v="2019-09-01T00:00:00"/>
    <x v="2"/>
    <x v="2"/>
    <s v="TẾT"/>
    <m/>
    <m/>
    <m/>
    <m/>
    <n v="0"/>
    <m/>
    <m/>
    <m/>
    <m/>
    <m/>
    <m/>
    <n v="0"/>
    <n v="15000"/>
    <n v="69000000"/>
    <m/>
  </r>
  <r>
    <x v="109"/>
    <d v="2019-03-07T00:00:00"/>
    <s v="KIỀU THY"/>
    <x v="56"/>
    <x v="58"/>
    <x v="40"/>
    <x v="22"/>
    <x v="0"/>
    <x v="2"/>
    <x v="6"/>
    <s v="NL2018"/>
    <m/>
    <n v="20"/>
    <n v="6000"/>
    <x v="39"/>
    <n v="25200000"/>
    <x v="0"/>
    <d v="2019-02-15T00:00:00"/>
    <x v="0"/>
    <x v="0"/>
    <s v="15/2AL"/>
    <s v="CONT 10/2019"/>
    <d v="2019-03-19T00:00:00"/>
    <s v="R"/>
    <d v="2019-03-19T00:00:00"/>
    <n v="6000"/>
    <m/>
    <m/>
    <m/>
    <m/>
    <m/>
    <m/>
    <n v="6000"/>
    <n v="0"/>
    <n v="0"/>
    <m/>
  </r>
  <r>
    <x v="109"/>
    <d v="2019-03-07T00:00:00"/>
    <s v="KIỀU THY"/>
    <x v="56"/>
    <x v="58"/>
    <x v="40"/>
    <x v="22"/>
    <x v="0"/>
    <x v="2"/>
    <x v="6"/>
    <s v="NL2018"/>
    <m/>
    <n v="67"/>
    <n v="20100"/>
    <x v="39"/>
    <n v="84420000"/>
    <x v="0"/>
    <d v="2019-03-15T00:00:00"/>
    <x v="5"/>
    <x v="5"/>
    <s v="15/3AL"/>
    <s v="CONT 23/2019"/>
    <d v="2019-04-14T00:00:00"/>
    <s v="R"/>
    <d v="2019-04-17T00:00:00"/>
    <n v="20100"/>
    <m/>
    <m/>
    <m/>
    <m/>
    <m/>
    <m/>
    <n v="20100"/>
    <n v="0"/>
    <n v="0"/>
    <m/>
  </r>
  <r>
    <x v="109"/>
    <d v="2019-03-07T00:00:00"/>
    <s v="KIỀU THY"/>
    <x v="56"/>
    <x v="58"/>
    <x v="39"/>
    <x v="22"/>
    <x v="0"/>
    <x v="7"/>
    <x v="8"/>
    <s v="NL2018"/>
    <m/>
    <n v="31"/>
    <n v="12400"/>
    <x v="36"/>
    <n v="34720000"/>
    <x v="0"/>
    <s v="29-Feb-19"/>
    <x v="10"/>
    <x v="10"/>
    <s v="30/2AL"/>
    <s v="CONT 14/2019"/>
    <d v="2019-03-31T00:00:00"/>
    <s v="R"/>
    <d v="2019-04-03T00:00:00"/>
    <n v="12400"/>
    <m/>
    <m/>
    <m/>
    <m/>
    <m/>
    <m/>
    <n v="12400"/>
    <n v="0"/>
    <n v="0"/>
    <m/>
  </r>
  <r>
    <x v="111"/>
    <d v="2019-03-26T00:00:00"/>
    <s v="KIỀU THY"/>
    <x v="56"/>
    <x v="58"/>
    <x v="56"/>
    <x v="23"/>
    <x v="0"/>
    <x v="1"/>
    <x v="9"/>
    <s v="NL2018"/>
    <m/>
    <n v="100"/>
    <n v="15000"/>
    <x v="55"/>
    <n v="108000000"/>
    <x v="2"/>
    <d v="2019-09-01T00:00:00"/>
    <x v="2"/>
    <x v="2"/>
    <s v="TẾT"/>
    <m/>
    <m/>
    <m/>
    <m/>
    <n v="0"/>
    <m/>
    <m/>
    <m/>
    <m/>
    <m/>
    <m/>
    <n v="0"/>
    <n v="15000"/>
    <n v="108000000"/>
    <m/>
  </r>
  <r>
    <x v="110"/>
    <d v="2019-06-03T00:00:00"/>
    <s v="KIỀU THY"/>
    <x v="56"/>
    <x v="58"/>
    <x v="58"/>
    <x v="33"/>
    <x v="0"/>
    <x v="2"/>
    <x v="6"/>
    <s v="NL2018"/>
    <m/>
    <n v="7"/>
    <n v="2100"/>
    <x v="57"/>
    <n v="8190000"/>
    <x v="0"/>
    <d v="2019-04-17T00:00:00"/>
    <x v="1"/>
    <x v="1"/>
    <m/>
    <m/>
    <m/>
    <m/>
    <d v="2019-06-05T00:00:00"/>
    <n v="2100"/>
    <m/>
    <m/>
    <m/>
    <m/>
    <m/>
    <m/>
    <n v="2100"/>
    <n v="0"/>
    <n v="0"/>
    <m/>
  </r>
  <r>
    <x v="110"/>
    <d v="2019-06-13T00:00:00"/>
    <s v="KIỀU THY"/>
    <x v="56"/>
    <x v="58"/>
    <x v="58"/>
    <x v="33"/>
    <x v="0"/>
    <x v="2"/>
    <x v="6"/>
    <s v="NL2018"/>
    <m/>
    <n v="0"/>
    <n v="0"/>
    <x v="37"/>
    <n v="0"/>
    <x v="1"/>
    <d v="2019-06-15T00:00:00"/>
    <x v="4"/>
    <x v="4"/>
    <m/>
    <m/>
    <m/>
    <m/>
    <m/>
    <m/>
    <m/>
    <m/>
    <m/>
    <m/>
    <m/>
    <m/>
    <n v="0"/>
    <n v="0"/>
    <n v="0"/>
    <m/>
  </r>
  <r>
    <x v="111"/>
    <d v="2019-03-26T00:00:00"/>
    <s v="KIỀU THY"/>
    <x v="56"/>
    <x v="58"/>
    <x v="62"/>
    <x v="32"/>
    <x v="0"/>
    <x v="4"/>
    <x v="14"/>
    <s v="NL2018"/>
    <s v="DLW"/>
    <n v="96"/>
    <n v="12000"/>
    <x v="61"/>
    <n v="162000000"/>
    <x v="2"/>
    <d v="2019-09-01T00:00:00"/>
    <x v="2"/>
    <x v="2"/>
    <s v="TẾT"/>
    <m/>
    <m/>
    <m/>
    <m/>
    <n v="0"/>
    <m/>
    <m/>
    <m/>
    <m/>
    <m/>
    <m/>
    <n v="0"/>
    <n v="12000"/>
    <n v="162000000"/>
    <m/>
  </r>
  <r>
    <x v="110"/>
    <d v="2019-03-07T00:00:00"/>
    <s v="KIỀU THY"/>
    <x v="56"/>
    <x v="58"/>
    <x v="47"/>
    <x v="27"/>
    <x v="0"/>
    <x v="2"/>
    <x v="6"/>
    <s v="NL2018"/>
    <m/>
    <n v="44"/>
    <n v="13200"/>
    <x v="122"/>
    <n v="55836000"/>
    <x v="0"/>
    <d v="2019-05-05T00:00:00"/>
    <x v="27"/>
    <x v="27"/>
    <s v="1/5AL"/>
    <m/>
    <m/>
    <m/>
    <d v="2019-06-22T00:00:00"/>
    <n v="13200"/>
    <m/>
    <m/>
    <m/>
    <m/>
    <m/>
    <m/>
    <n v="13200"/>
    <n v="0"/>
    <n v="0"/>
    <m/>
  </r>
  <r>
    <x v="110"/>
    <d v="2019-05-28T00:00:00"/>
    <s v="KIỀU THY"/>
    <x v="56"/>
    <x v="58"/>
    <x v="47"/>
    <x v="27"/>
    <x v="0"/>
    <x v="2"/>
    <x v="6"/>
    <s v="NL2018"/>
    <m/>
    <n v="0"/>
    <n v="0"/>
    <x v="40"/>
    <n v="0"/>
    <x v="1"/>
    <d v="2019-05-18T00:00:00"/>
    <x v="3"/>
    <x v="3"/>
    <m/>
    <m/>
    <m/>
    <m/>
    <m/>
    <m/>
    <m/>
    <m/>
    <m/>
    <m/>
    <m/>
    <m/>
    <n v="0"/>
    <n v="0"/>
    <n v="0"/>
    <m/>
  </r>
  <r>
    <x v="110"/>
    <d v="2019-06-13T00:00:00"/>
    <s v="KIỀU THY"/>
    <x v="56"/>
    <x v="58"/>
    <x v="47"/>
    <x v="27"/>
    <x v="0"/>
    <x v="2"/>
    <x v="6"/>
    <s v="NL2018"/>
    <m/>
    <n v="3"/>
    <n v="900"/>
    <x v="49"/>
    <n v="3960000"/>
    <x v="3"/>
    <d v="2019-06-15T00:00:00"/>
    <x v="4"/>
    <x v="4"/>
    <m/>
    <m/>
    <m/>
    <m/>
    <m/>
    <m/>
    <m/>
    <m/>
    <m/>
    <m/>
    <m/>
    <m/>
    <n v="0"/>
    <n v="900"/>
    <n v="3960000"/>
    <m/>
  </r>
  <r>
    <x v="109"/>
    <d v="2019-03-07T00:00:00"/>
    <s v="KIỀU THY"/>
    <x v="56"/>
    <x v="58"/>
    <x v="47"/>
    <x v="27"/>
    <x v="0"/>
    <x v="2"/>
    <x v="6"/>
    <s v="NL2018"/>
    <m/>
    <n v="50"/>
    <n v="15000"/>
    <x v="45"/>
    <n v="60000000"/>
    <x v="0"/>
    <d v="2019-03-15T00:00:00"/>
    <x v="5"/>
    <x v="5"/>
    <s v="15/3AL"/>
    <s v="CONT 21/2019"/>
    <d v="2019-04-14T00:00:00"/>
    <s v="R"/>
    <d v="2019-04-17T00:00:00"/>
    <n v="15000"/>
    <m/>
    <m/>
    <m/>
    <m/>
    <m/>
    <m/>
    <n v="15000"/>
    <n v="0"/>
    <n v="0"/>
    <m/>
  </r>
  <r>
    <x v="111"/>
    <d v="2019-04-16T00:00:00"/>
    <s v="KIỀU THY"/>
    <x v="56"/>
    <x v="58"/>
    <x v="110"/>
    <x v="58"/>
    <x v="0"/>
    <x v="2"/>
    <x v="6"/>
    <s v="NL2018"/>
    <m/>
    <n v="49.666666666666664"/>
    <n v="14900"/>
    <x v="42"/>
    <n v="71520000"/>
    <x v="2"/>
    <d v="2019-09-01T00:00:00"/>
    <x v="2"/>
    <x v="2"/>
    <s v="TẾT"/>
    <m/>
    <m/>
    <m/>
    <m/>
    <m/>
    <m/>
    <m/>
    <m/>
    <m/>
    <m/>
    <m/>
    <n v="0"/>
    <n v="14900"/>
    <n v="71520000"/>
    <m/>
  </r>
  <r>
    <x v="111"/>
    <d v="2019-04-16T00:00:00"/>
    <s v="KIỀU THY"/>
    <x v="56"/>
    <x v="58"/>
    <x v="111"/>
    <x v="58"/>
    <x v="0"/>
    <x v="3"/>
    <x v="5"/>
    <s v="NL2018"/>
    <m/>
    <n v="51"/>
    <n v="10200"/>
    <x v="83"/>
    <n v="65280000"/>
    <x v="2"/>
    <d v="2019-09-01T00:00:00"/>
    <x v="2"/>
    <x v="2"/>
    <s v="TẾT"/>
    <m/>
    <m/>
    <m/>
    <m/>
    <m/>
    <m/>
    <m/>
    <m/>
    <m/>
    <m/>
    <m/>
    <n v="0"/>
    <n v="10200"/>
    <n v="65280000"/>
    <m/>
  </r>
  <r>
    <x v="110"/>
    <d v="2019-05-10T00:00:00"/>
    <s v="KIỀU THY"/>
    <x v="56"/>
    <x v="58"/>
    <x v="51"/>
    <x v="30"/>
    <x v="0"/>
    <x v="2"/>
    <x v="6"/>
    <s v="NL2018"/>
    <m/>
    <n v="40"/>
    <n v="12000"/>
    <x v="121"/>
    <n v="53160000"/>
    <x v="0"/>
    <d v="2019-05-05T00:00:00"/>
    <x v="27"/>
    <x v="27"/>
    <m/>
    <m/>
    <m/>
    <m/>
    <d v="2019-06-22T00:00:00"/>
    <n v="12000"/>
    <m/>
    <m/>
    <m/>
    <m/>
    <m/>
    <m/>
    <n v="12000"/>
    <n v="0"/>
    <n v="0"/>
    <m/>
  </r>
  <r>
    <x v="110"/>
    <d v="2019-06-03T00:00:00"/>
    <s v="KIỀU THY"/>
    <x v="56"/>
    <x v="58"/>
    <x v="51"/>
    <x v="30"/>
    <x v="0"/>
    <x v="2"/>
    <x v="6"/>
    <s v="NL2018"/>
    <m/>
    <n v="16"/>
    <n v="4800"/>
    <x v="121"/>
    <n v="21264000"/>
    <x v="0"/>
    <d v="2019-05-05T00:00:00"/>
    <x v="27"/>
    <x v="27"/>
    <m/>
    <m/>
    <m/>
    <m/>
    <d v="2019-06-22T00:00:00"/>
    <n v="4800"/>
    <m/>
    <m/>
    <m/>
    <m/>
    <m/>
    <m/>
    <n v="4800"/>
    <n v="0"/>
    <n v="0"/>
    <m/>
  </r>
  <r>
    <x v="110"/>
    <d v="2019-05-28T00:00:00"/>
    <s v="KIỀU THY"/>
    <x v="56"/>
    <x v="58"/>
    <x v="51"/>
    <x v="30"/>
    <x v="0"/>
    <x v="2"/>
    <x v="6"/>
    <s v="NL2018"/>
    <m/>
    <n v="69"/>
    <n v="20700"/>
    <x v="28"/>
    <n v="95220000"/>
    <x v="3"/>
    <d v="2019-06-15T00:00:00"/>
    <x v="4"/>
    <x v="4"/>
    <m/>
    <m/>
    <m/>
    <m/>
    <m/>
    <m/>
    <m/>
    <m/>
    <m/>
    <m/>
    <m/>
    <m/>
    <n v="0"/>
    <n v="20700"/>
    <n v="95220000"/>
    <m/>
  </r>
  <r>
    <x v="112"/>
    <d v="2019-02-22T00:00:00"/>
    <s v="KIỀU THY"/>
    <x v="57"/>
    <x v="59"/>
    <x v="10"/>
    <x v="1"/>
    <x v="0"/>
    <x v="3"/>
    <x v="5"/>
    <s v="NL2018"/>
    <m/>
    <n v="25"/>
    <n v="5000"/>
    <x v="10"/>
    <n v="27500000"/>
    <x v="0"/>
    <d v="2019-03-15T00:00:00"/>
    <x v="5"/>
    <x v="5"/>
    <s v="15/3AL"/>
    <s v="CONT 26/2019"/>
    <d v="2019-04-14T00:00:00"/>
    <s v="R"/>
    <d v="2019-04-17T00:00:00"/>
    <n v="5000"/>
    <m/>
    <m/>
    <m/>
    <m/>
    <m/>
    <m/>
    <n v="5000"/>
    <n v="0"/>
    <n v="0"/>
    <m/>
  </r>
  <r>
    <x v="112"/>
    <d v="2019-02-22T00:00:00"/>
    <s v="KIỀU THY"/>
    <x v="57"/>
    <x v="59"/>
    <x v="6"/>
    <x v="49"/>
    <x v="0"/>
    <x v="3"/>
    <x v="5"/>
    <s v="NL2018"/>
    <m/>
    <n v="25"/>
    <n v="5000"/>
    <x v="8"/>
    <n v="25000000"/>
    <x v="0"/>
    <d v="2019-03-15T00:00:00"/>
    <x v="5"/>
    <x v="5"/>
    <s v="15/3AL"/>
    <s v="CONT 22/2019"/>
    <d v="2019-04-14T00:00:00"/>
    <s v="R"/>
    <d v="2019-04-17T00:00:00"/>
    <n v="5000"/>
    <m/>
    <m/>
    <m/>
    <m/>
    <m/>
    <m/>
    <n v="5000"/>
    <n v="0"/>
    <n v="0"/>
    <m/>
  </r>
  <r>
    <x v="113"/>
    <d v="2019-04-02T00:00:00"/>
    <s v="KIỀU THY"/>
    <x v="58"/>
    <x v="60"/>
    <x v="0"/>
    <x v="0"/>
    <x v="0"/>
    <x v="7"/>
    <x v="0"/>
    <s v="NL2018"/>
    <m/>
    <n v="0"/>
    <n v="0"/>
    <x v="1"/>
    <n v="0"/>
    <x v="1"/>
    <d v="2019-04-17T00:00:00"/>
    <x v="1"/>
    <x v="1"/>
    <s v="10/4AL"/>
    <m/>
    <m/>
    <m/>
    <m/>
    <m/>
    <m/>
    <m/>
    <m/>
    <m/>
    <m/>
    <m/>
    <n v="0"/>
    <n v="0"/>
    <n v="0"/>
    <m/>
  </r>
  <r>
    <x v="113"/>
    <d v="2019-04-02T00:00:00"/>
    <s v="KIỀU THY"/>
    <x v="58"/>
    <x v="60"/>
    <x v="74"/>
    <x v="0"/>
    <x v="0"/>
    <x v="2"/>
    <x v="2"/>
    <s v="NL2018"/>
    <m/>
    <n v="0"/>
    <n v="0"/>
    <x v="77"/>
    <n v="0"/>
    <x v="1"/>
    <d v="2019-04-17T00:00:00"/>
    <x v="1"/>
    <x v="1"/>
    <s v="10/4AL"/>
    <m/>
    <m/>
    <m/>
    <m/>
    <m/>
    <m/>
    <m/>
    <m/>
    <m/>
    <m/>
    <m/>
    <n v="0"/>
    <n v="0"/>
    <n v="0"/>
    <m/>
  </r>
  <r>
    <x v="113"/>
    <d v="2019-04-02T00:00:00"/>
    <s v="KIỀU THY"/>
    <x v="58"/>
    <x v="60"/>
    <x v="34"/>
    <x v="1"/>
    <x v="0"/>
    <x v="2"/>
    <x v="2"/>
    <s v="NL2018"/>
    <m/>
    <n v="34"/>
    <n v="10200"/>
    <x v="28"/>
    <n v="46920000"/>
    <x v="0"/>
    <d v="2019-04-17T00:00:00"/>
    <x v="1"/>
    <x v="1"/>
    <s v="10/4AL"/>
    <m/>
    <m/>
    <m/>
    <d v="2019-06-18T00:00:00"/>
    <n v="10200"/>
    <m/>
    <m/>
    <m/>
    <m/>
    <m/>
    <m/>
    <n v="10200"/>
    <n v="0"/>
    <n v="0"/>
    <m/>
  </r>
  <r>
    <x v="114"/>
    <d v="2019-04-02T00:00:00"/>
    <s v="KIỀU THY"/>
    <x v="58"/>
    <x v="60"/>
    <x v="63"/>
    <x v="1"/>
    <x v="0"/>
    <x v="4"/>
    <x v="4"/>
    <s v="NL2018"/>
    <m/>
    <n v="0"/>
    <n v="0"/>
    <x v="27"/>
    <n v="0"/>
    <x v="1"/>
    <d v="2019-09-01T00:00:00"/>
    <x v="2"/>
    <x v="2"/>
    <s v="TẾT, KH nhờ bán hộ"/>
    <m/>
    <m/>
    <m/>
    <m/>
    <m/>
    <m/>
    <m/>
    <m/>
    <m/>
    <m/>
    <m/>
    <n v="0"/>
    <n v="0"/>
    <n v="0"/>
    <m/>
  </r>
  <r>
    <x v="113"/>
    <d v="2019-04-02T00:00:00"/>
    <s v="KIỀU THY"/>
    <x v="58"/>
    <x v="60"/>
    <x v="107"/>
    <x v="56"/>
    <x v="0"/>
    <x v="2"/>
    <x v="21"/>
    <s v="NL2018"/>
    <m/>
    <n v="31"/>
    <n v="8525"/>
    <x v="42"/>
    <n v="40920000"/>
    <x v="0"/>
    <d v="2019-03-15T00:00:00"/>
    <x v="5"/>
    <x v="5"/>
    <s v="15/3AL"/>
    <m/>
    <m/>
    <m/>
    <d v="2019-04-24T00:00:00"/>
    <n v="8525"/>
    <m/>
    <m/>
    <m/>
    <m/>
    <m/>
    <m/>
    <n v="8525"/>
    <n v="0"/>
    <n v="0"/>
    <m/>
  </r>
  <r>
    <x v="114"/>
    <d v="2019-04-02T00:00:00"/>
    <s v="KIỀU THY"/>
    <x v="58"/>
    <x v="60"/>
    <x v="57"/>
    <x v="32"/>
    <x v="0"/>
    <x v="11"/>
    <x v="16"/>
    <s v="NL2018"/>
    <m/>
    <n v="0"/>
    <n v="0"/>
    <x v="56"/>
    <n v="0"/>
    <x v="1"/>
    <d v="2019-09-01T00:00:00"/>
    <x v="2"/>
    <x v="2"/>
    <s v="TẾT, KH nhờ bán hộ"/>
    <m/>
    <m/>
    <m/>
    <m/>
    <m/>
    <m/>
    <m/>
    <m/>
    <m/>
    <m/>
    <m/>
    <n v="0"/>
    <n v="0"/>
    <n v="0"/>
    <m/>
  </r>
  <r>
    <x v="113"/>
    <d v="2019-05-02T00:00:00"/>
    <s v="KIỀU THY"/>
    <x v="58"/>
    <x v="60"/>
    <x v="112"/>
    <x v="26"/>
    <x v="0"/>
    <x v="14"/>
    <x v="20"/>
    <s v="NL2018"/>
    <m/>
    <n v="2"/>
    <n v="500"/>
    <x v="84"/>
    <n v="2850000"/>
    <x v="0"/>
    <d v="2019-03-15T00:00:00"/>
    <x v="5"/>
    <x v="5"/>
    <s v="15/3AL"/>
    <m/>
    <m/>
    <m/>
    <d v="2019-05-03T00:00:00"/>
    <n v="500"/>
    <m/>
    <m/>
    <m/>
    <m/>
    <m/>
    <m/>
    <n v="500"/>
    <n v="0"/>
    <n v="0"/>
    <m/>
  </r>
  <r>
    <x v="113"/>
    <d v="2019-04-02T00:00:00"/>
    <s v="KIỀU THY"/>
    <x v="58"/>
    <x v="60"/>
    <x v="23"/>
    <x v="11"/>
    <x v="0"/>
    <x v="2"/>
    <x v="2"/>
    <s v="NL2018"/>
    <m/>
    <n v="26"/>
    <n v="7800"/>
    <x v="6"/>
    <n v="42120000"/>
    <x v="0"/>
    <d v="2019-03-30T00:00:00"/>
    <x v="34"/>
    <x v="34"/>
    <s v="30/3AL"/>
    <m/>
    <m/>
    <m/>
    <d v="2019-05-22T00:00:00"/>
    <n v="7800"/>
    <m/>
    <m/>
    <m/>
    <m/>
    <m/>
    <m/>
    <n v="7800"/>
    <n v="0"/>
    <n v="0"/>
    <m/>
  </r>
  <r>
    <x v="115"/>
    <d v="2019-02-23T00:00:00"/>
    <s v="KIỀU THY"/>
    <x v="59"/>
    <x v="61"/>
    <x v="22"/>
    <x v="3"/>
    <x v="0"/>
    <x v="8"/>
    <x v="11"/>
    <s v="NL2018"/>
    <m/>
    <n v="210"/>
    <n v="21000"/>
    <x v="25"/>
    <n v="262500000"/>
    <x v="2"/>
    <d v="2019-09-01T00:00:00"/>
    <x v="2"/>
    <x v="2"/>
    <s v="TẾT"/>
    <m/>
    <m/>
    <s v="R"/>
    <m/>
    <n v="0"/>
    <m/>
    <m/>
    <m/>
    <m/>
    <m/>
    <m/>
    <n v="0"/>
    <n v="21000"/>
    <n v="262500000"/>
    <m/>
  </r>
  <r>
    <x v="115"/>
    <d v="2019-02-23T00:00:00"/>
    <s v="KIỀU THY"/>
    <x v="59"/>
    <x v="61"/>
    <x v="21"/>
    <x v="49"/>
    <x v="0"/>
    <x v="8"/>
    <x v="11"/>
    <s v="NL2018"/>
    <m/>
    <n v="350"/>
    <n v="35000"/>
    <x v="25"/>
    <n v="437500000"/>
    <x v="2"/>
    <d v="2019-09-01T00:00:00"/>
    <x v="2"/>
    <x v="2"/>
    <s v="TẾT"/>
    <m/>
    <m/>
    <s v="R"/>
    <m/>
    <m/>
    <m/>
    <m/>
    <m/>
    <m/>
    <m/>
    <m/>
    <n v="0"/>
    <n v="35000"/>
    <n v="437500000"/>
    <m/>
  </r>
  <r>
    <x v="116"/>
    <d v="2019-02-25T00:00:00"/>
    <s v="KIỀU THY"/>
    <x v="60"/>
    <x v="62"/>
    <x v="22"/>
    <x v="3"/>
    <x v="0"/>
    <x v="8"/>
    <x v="11"/>
    <s v="NL2018"/>
    <m/>
    <n v="120"/>
    <n v="12000"/>
    <x v="25"/>
    <n v="150000000"/>
    <x v="2"/>
    <d v="2019-09-01T00:00:00"/>
    <x v="2"/>
    <x v="2"/>
    <s v="TẾT"/>
    <m/>
    <m/>
    <s v="R"/>
    <m/>
    <n v="0"/>
    <m/>
    <m/>
    <m/>
    <m/>
    <m/>
    <m/>
    <n v="0"/>
    <n v="12000"/>
    <n v="150000000"/>
    <m/>
  </r>
  <r>
    <x v="116"/>
    <d v="2019-02-25T00:00:00"/>
    <s v="KIỀU THY"/>
    <x v="60"/>
    <x v="62"/>
    <x v="101"/>
    <x v="32"/>
    <x v="0"/>
    <x v="6"/>
    <x v="7"/>
    <s v="NL2018"/>
    <m/>
    <n v="63"/>
    <n v="5040"/>
    <x v="56"/>
    <n v="80640000"/>
    <x v="2"/>
    <d v="2019-09-01T00:00:00"/>
    <x v="2"/>
    <x v="2"/>
    <s v="TẾT"/>
    <m/>
    <m/>
    <s v="R"/>
    <m/>
    <n v="0"/>
    <m/>
    <m/>
    <m/>
    <m/>
    <m/>
    <m/>
    <n v="0"/>
    <n v="5040"/>
    <n v="80640000"/>
    <m/>
  </r>
  <r>
    <x v="116"/>
    <d v="2019-02-25T00:00:00"/>
    <s v="KIỀU THY"/>
    <x v="60"/>
    <x v="62"/>
    <x v="21"/>
    <x v="49"/>
    <x v="0"/>
    <x v="8"/>
    <x v="11"/>
    <s v="NL2018"/>
    <m/>
    <n v="150"/>
    <n v="15000"/>
    <x v="25"/>
    <n v="187500000"/>
    <x v="2"/>
    <d v="2019-09-01T00:00:00"/>
    <x v="2"/>
    <x v="2"/>
    <s v="TẾT"/>
    <m/>
    <m/>
    <s v="R"/>
    <m/>
    <n v="0"/>
    <m/>
    <m/>
    <m/>
    <m/>
    <m/>
    <m/>
    <n v="0"/>
    <n v="15000"/>
    <n v="187500000"/>
    <m/>
  </r>
  <r>
    <x v="117"/>
    <d v="2019-04-18T00:00:00"/>
    <s v="THANH THÚY"/>
    <x v="61"/>
    <x v="63"/>
    <x v="2"/>
    <x v="2"/>
    <x v="0"/>
    <x v="2"/>
    <x v="2"/>
    <s v="NL2018"/>
    <m/>
    <n v="8"/>
    <n v="2400"/>
    <x v="106"/>
    <n v="8640000"/>
    <x v="0"/>
    <d v="2019-04-17T00:00:00"/>
    <x v="1"/>
    <x v="1"/>
    <s v="17/4AL"/>
    <m/>
    <m/>
    <m/>
    <d v="2019-04-18T00:00:00"/>
    <n v="2400"/>
    <m/>
    <m/>
    <m/>
    <m/>
    <m/>
    <m/>
    <n v="2400"/>
    <n v="0"/>
    <n v="0"/>
    <m/>
  </r>
  <r>
    <x v="117"/>
    <d v="2019-04-18T00:00:00"/>
    <s v="THANH THÚY"/>
    <x v="61"/>
    <x v="63"/>
    <x v="2"/>
    <x v="2"/>
    <x v="0"/>
    <x v="2"/>
    <x v="2"/>
    <s v="NL2018"/>
    <m/>
    <n v="22"/>
    <n v="6600"/>
    <x v="106"/>
    <n v="23760000"/>
    <x v="0"/>
    <d v="2019-04-17T00:00:00"/>
    <x v="1"/>
    <x v="1"/>
    <s v="17/4AL"/>
    <m/>
    <m/>
    <m/>
    <d v="2019-05-20T00:00:00"/>
    <n v="2400"/>
    <d v="2019-06-06T00:00:00"/>
    <s v="3000"/>
    <s v="20 JUN"/>
    <s v="1200"/>
    <m/>
    <m/>
    <n v="6600"/>
    <n v="0"/>
    <n v="0"/>
    <m/>
  </r>
  <r>
    <x v="117"/>
    <d v="2019-04-18T00:00:00"/>
    <s v="THANH THÚY"/>
    <x v="61"/>
    <x v="63"/>
    <x v="2"/>
    <x v="2"/>
    <x v="0"/>
    <x v="2"/>
    <x v="2"/>
    <s v="NL2018"/>
    <m/>
    <n v="9"/>
    <n v="2700"/>
    <x v="106"/>
    <n v="9720000"/>
    <x v="0"/>
    <d v="2019-05-12T00:00:00"/>
    <x v="40"/>
    <x v="40"/>
    <s v="12/5AL"/>
    <m/>
    <m/>
    <m/>
    <d v="2019-06-20T00:00:00"/>
    <n v="2700"/>
    <m/>
    <m/>
    <m/>
    <m/>
    <m/>
    <m/>
    <n v="2700"/>
    <n v="0"/>
    <n v="0"/>
    <m/>
  </r>
  <r>
    <x v="117"/>
    <d v="2019-06-15T00:00:00"/>
    <s v="THANH THÚY"/>
    <x v="61"/>
    <x v="63"/>
    <x v="2"/>
    <x v="2"/>
    <x v="0"/>
    <x v="2"/>
    <x v="2"/>
    <s v="NL2018"/>
    <m/>
    <n v="17"/>
    <n v="5100"/>
    <x v="77"/>
    <n v="19380000"/>
    <x v="3"/>
    <d v="2019-06-15T00:00:00"/>
    <x v="4"/>
    <x v="4"/>
    <m/>
    <m/>
    <m/>
    <m/>
    <m/>
    <m/>
    <m/>
    <m/>
    <m/>
    <m/>
    <m/>
    <m/>
    <n v="0"/>
    <n v="5100"/>
    <n v="19380000"/>
    <m/>
  </r>
  <r>
    <x v="118"/>
    <d v="2019-04-18T00:00:00"/>
    <s v="THANH THÚY"/>
    <x v="61"/>
    <x v="63"/>
    <x v="86"/>
    <x v="42"/>
    <x v="0"/>
    <x v="4"/>
    <x v="4"/>
    <s v="NZ2019"/>
    <m/>
    <n v="24"/>
    <n v="3000"/>
    <x v="25"/>
    <n v="37500000"/>
    <x v="2"/>
    <d v="2019-09-01T00:00:00"/>
    <x v="2"/>
    <x v="2"/>
    <s v="TẾT"/>
    <m/>
    <m/>
    <m/>
    <m/>
    <n v="0"/>
    <m/>
    <m/>
    <m/>
    <m/>
    <m/>
    <m/>
    <n v="0"/>
    <n v="3000"/>
    <n v="37500000"/>
    <m/>
  </r>
  <r>
    <x v="117"/>
    <d v="2019-04-18T00:00:00"/>
    <s v="THANH THÚY"/>
    <x v="61"/>
    <x v="63"/>
    <x v="93"/>
    <x v="3"/>
    <x v="0"/>
    <x v="2"/>
    <x v="2"/>
    <s v="NL2018"/>
    <m/>
    <n v="17"/>
    <n v="5100"/>
    <x v="77"/>
    <n v="19380000"/>
    <x v="3"/>
    <d v="2019-06-15T00:00:00"/>
    <x v="4"/>
    <x v="4"/>
    <s v="15/6AL"/>
    <m/>
    <m/>
    <m/>
    <m/>
    <m/>
    <m/>
    <m/>
    <m/>
    <m/>
    <m/>
    <m/>
    <n v="0"/>
    <n v="5100"/>
    <n v="19380000"/>
    <m/>
  </r>
  <r>
    <x v="117"/>
    <d v="2019-06-15T00:00:00"/>
    <s v="THANH THÚY"/>
    <x v="61"/>
    <x v="63"/>
    <x v="3"/>
    <x v="3"/>
    <x v="0"/>
    <x v="3"/>
    <x v="5"/>
    <s v="NL2018"/>
    <m/>
    <n v="20"/>
    <n v="4000"/>
    <x v="81"/>
    <n v="14800000"/>
    <x v="3"/>
    <d v="2019-06-15T00:00:00"/>
    <x v="4"/>
    <x v="4"/>
    <m/>
    <m/>
    <m/>
    <m/>
    <m/>
    <m/>
    <m/>
    <m/>
    <m/>
    <m/>
    <m/>
    <m/>
    <n v="0"/>
    <n v="4000"/>
    <n v="14800000"/>
    <m/>
  </r>
  <r>
    <x v="118"/>
    <d v="2019-04-18T00:00:00"/>
    <s v="THANH THÚY"/>
    <x v="61"/>
    <x v="63"/>
    <x v="4"/>
    <x v="3"/>
    <x v="0"/>
    <x v="4"/>
    <x v="4"/>
    <s v="NL2018"/>
    <m/>
    <n v="56"/>
    <n v="7000"/>
    <x v="33"/>
    <n v="74900000"/>
    <x v="2"/>
    <d v="2019-09-01T00:00:00"/>
    <x v="2"/>
    <x v="2"/>
    <s v="TẾT"/>
    <m/>
    <m/>
    <m/>
    <m/>
    <n v="0"/>
    <m/>
    <m/>
    <m/>
    <m/>
    <m/>
    <m/>
    <n v="0"/>
    <n v="7000"/>
    <n v="74900000"/>
    <m/>
  </r>
  <r>
    <x v="117"/>
    <d v="2019-04-18T00:00:00"/>
    <s v="THANH THÚY"/>
    <x v="61"/>
    <x v="63"/>
    <x v="75"/>
    <x v="32"/>
    <x v="0"/>
    <x v="3"/>
    <x v="5"/>
    <s v="NL2018"/>
    <m/>
    <n v="0"/>
    <n v="0"/>
    <x v="65"/>
    <n v="0"/>
    <x v="1"/>
    <d v="2019-06-15T00:00:00"/>
    <x v="4"/>
    <x v="4"/>
    <s v="15/6AL"/>
    <m/>
    <m/>
    <m/>
    <m/>
    <m/>
    <m/>
    <m/>
    <m/>
    <m/>
    <m/>
    <m/>
    <n v="0"/>
    <n v="0"/>
    <n v="0"/>
    <m/>
  </r>
  <r>
    <x v="117"/>
    <d v="2019-06-15T00:00:00"/>
    <s v="THANH THÚY"/>
    <x v="61"/>
    <x v="63"/>
    <x v="75"/>
    <x v="32"/>
    <x v="0"/>
    <x v="3"/>
    <x v="5"/>
    <s v="NL2018"/>
    <m/>
    <n v="50"/>
    <n v="10000"/>
    <x v="65"/>
    <n v="70000000"/>
    <x v="4"/>
    <d v="2019-05-18T00:00:00"/>
    <x v="3"/>
    <x v="3"/>
    <m/>
    <m/>
    <m/>
    <m/>
    <m/>
    <m/>
    <m/>
    <m/>
    <m/>
    <m/>
    <m/>
    <m/>
    <n v="0"/>
    <n v="10000"/>
    <n v="70000000"/>
    <m/>
  </r>
  <r>
    <x v="117"/>
    <d v="2019-05-19T00:00:00"/>
    <s v="THANH THÚY"/>
    <x v="61"/>
    <x v="63"/>
    <x v="23"/>
    <x v="11"/>
    <x v="0"/>
    <x v="2"/>
    <x v="2"/>
    <s v="NL2018"/>
    <m/>
    <n v="18"/>
    <n v="5400"/>
    <x v="6"/>
    <n v="29160000"/>
    <x v="0"/>
    <d v="2019-04-17T00:00:00"/>
    <x v="1"/>
    <x v="1"/>
    <s v="17/4AL"/>
    <m/>
    <m/>
    <m/>
    <d v="2019-06-20T00:00:00"/>
    <n v="5400"/>
    <m/>
    <m/>
    <m/>
    <m/>
    <m/>
    <m/>
    <n v="5400"/>
    <n v="0"/>
    <n v="0"/>
    <m/>
  </r>
  <r>
    <x v="117"/>
    <d v="2019-04-18T00:00:00"/>
    <s v="THANH THÚY"/>
    <x v="61"/>
    <x v="63"/>
    <x v="23"/>
    <x v="11"/>
    <x v="0"/>
    <x v="2"/>
    <x v="2"/>
    <s v="NL2018"/>
    <m/>
    <n v="17"/>
    <n v="5100"/>
    <x v="6"/>
    <n v="27540000"/>
    <x v="3"/>
    <d v="2019-06-15T00:00:00"/>
    <x v="4"/>
    <x v="4"/>
    <s v="15/6AL"/>
    <m/>
    <m/>
    <m/>
    <m/>
    <m/>
    <m/>
    <m/>
    <m/>
    <m/>
    <m/>
    <m/>
    <n v="0"/>
    <n v="5100"/>
    <n v="27540000"/>
    <m/>
  </r>
  <r>
    <x v="117"/>
    <d v="2019-06-15T00:00:00"/>
    <s v="THANH THÚY"/>
    <x v="61"/>
    <x v="63"/>
    <x v="23"/>
    <x v="11"/>
    <x v="0"/>
    <x v="2"/>
    <x v="2"/>
    <s v="NL2018"/>
    <m/>
    <n v="17"/>
    <n v="5100"/>
    <x v="54"/>
    <n v="28560000"/>
    <x v="2"/>
    <d v="2019-06-25T00:00:00"/>
    <x v="19"/>
    <x v="19"/>
    <m/>
    <m/>
    <m/>
    <m/>
    <m/>
    <m/>
    <m/>
    <m/>
    <m/>
    <m/>
    <m/>
    <m/>
    <n v="0"/>
    <n v="5100"/>
    <n v="28560000"/>
    <m/>
  </r>
  <r>
    <x v="118"/>
    <d v="2019-04-18T00:00:00"/>
    <s v="THANH THÚY"/>
    <x v="61"/>
    <x v="63"/>
    <x v="59"/>
    <x v="11"/>
    <x v="0"/>
    <x v="4"/>
    <x v="4"/>
    <s v="NL2018"/>
    <m/>
    <n v="40"/>
    <n v="5000"/>
    <x v="107"/>
    <n v="71500000"/>
    <x v="2"/>
    <d v="2019-09-01T00:00:00"/>
    <x v="2"/>
    <x v="2"/>
    <s v="TẾT"/>
    <m/>
    <m/>
    <m/>
    <m/>
    <n v="0"/>
    <m/>
    <m/>
    <m/>
    <m/>
    <m/>
    <m/>
    <n v="0"/>
    <n v="5000"/>
    <n v="71500000"/>
    <m/>
  </r>
  <r>
    <x v="118"/>
    <d v="2019-04-18T00:00:00"/>
    <s v="THANH THÚY"/>
    <x v="61"/>
    <x v="63"/>
    <x v="8"/>
    <x v="4"/>
    <x v="0"/>
    <x v="1"/>
    <x v="1"/>
    <s v="NL2018"/>
    <m/>
    <n v="0"/>
    <n v="0"/>
    <x v="9"/>
    <n v="0"/>
    <x v="1"/>
    <d v="2019-09-01T00:00:00"/>
    <x v="2"/>
    <x v="2"/>
    <s v="TẾT"/>
    <m/>
    <m/>
    <m/>
    <m/>
    <n v="0"/>
    <m/>
    <m/>
    <m/>
    <m/>
    <m/>
    <m/>
    <n v="0"/>
    <n v="0"/>
    <n v="0"/>
    <m/>
  </r>
  <r>
    <x v="118"/>
    <d v="2019-04-18T00:00:00"/>
    <s v="THANH THÚY"/>
    <x v="61"/>
    <x v="63"/>
    <x v="7"/>
    <x v="4"/>
    <x v="0"/>
    <x v="4"/>
    <x v="4"/>
    <s v="NL2018"/>
    <m/>
    <n v="104"/>
    <n v="13000"/>
    <x v="34"/>
    <n v="137800000"/>
    <x v="2"/>
    <d v="2019-09-01T00:00:00"/>
    <x v="2"/>
    <x v="2"/>
    <s v="TẾT"/>
    <m/>
    <m/>
    <m/>
    <m/>
    <n v="0"/>
    <m/>
    <m/>
    <m/>
    <m/>
    <m/>
    <m/>
    <n v="0"/>
    <n v="13000"/>
    <n v="137800000"/>
    <m/>
  </r>
  <r>
    <x v="117"/>
    <d v="2019-04-18T00:00:00"/>
    <s v="THANH THÚY"/>
    <x v="61"/>
    <x v="63"/>
    <x v="13"/>
    <x v="7"/>
    <x v="0"/>
    <x v="5"/>
    <x v="2"/>
    <s v="NL2018"/>
    <m/>
    <n v="34"/>
    <n v="10200"/>
    <x v="14"/>
    <n v="45900000"/>
    <x v="4"/>
    <d v="2019-04-17T00:00:00"/>
    <x v="1"/>
    <x v="1"/>
    <s v="17/4AL"/>
    <m/>
    <m/>
    <m/>
    <d v="2019-05-20T00:00:00"/>
    <n v="3900"/>
    <d v="2019-06-15T00:00:00"/>
    <s v="4200"/>
    <m/>
    <m/>
    <m/>
    <m/>
    <n v="8100"/>
    <n v="2100"/>
    <n v="9450000"/>
    <m/>
  </r>
  <r>
    <x v="117"/>
    <d v="2019-04-18T00:00:00"/>
    <s v="THANH THÚY"/>
    <x v="61"/>
    <x v="63"/>
    <x v="13"/>
    <x v="7"/>
    <x v="0"/>
    <x v="5"/>
    <x v="2"/>
    <s v="NL2018"/>
    <m/>
    <n v="0"/>
    <n v="0"/>
    <x v="14"/>
    <n v="0"/>
    <x v="1"/>
    <d v="2019-03-15T00:00:00"/>
    <x v="5"/>
    <x v="5"/>
    <s v="15/3AL"/>
    <m/>
    <m/>
    <m/>
    <m/>
    <n v="0"/>
    <m/>
    <m/>
    <m/>
    <m/>
    <m/>
    <m/>
    <n v="0"/>
    <n v="0"/>
    <n v="0"/>
    <m/>
  </r>
  <r>
    <x v="117"/>
    <d v="2019-04-18T00:00:00"/>
    <s v="THANH THÚY"/>
    <x v="61"/>
    <x v="63"/>
    <x v="53"/>
    <x v="31"/>
    <x v="0"/>
    <x v="2"/>
    <x v="2"/>
    <s v="NL2018"/>
    <m/>
    <n v="2"/>
    <n v="600"/>
    <x v="45"/>
    <n v="2400000"/>
    <x v="0"/>
    <m/>
    <x v="35"/>
    <x v="35"/>
    <m/>
    <m/>
    <m/>
    <m/>
    <d v="2019-04-18T00:00:00"/>
    <n v="600"/>
    <m/>
    <m/>
    <m/>
    <m/>
    <m/>
    <m/>
    <n v="600"/>
    <n v="0"/>
    <n v="0"/>
    <m/>
  </r>
  <r>
    <x v="119"/>
    <d v="2019-06-15T00:00:00"/>
    <s v="THANH THÚY"/>
    <x v="62"/>
    <x v="64"/>
    <x v="74"/>
    <x v="0"/>
    <x v="0"/>
    <x v="2"/>
    <x v="6"/>
    <s v="NL2018"/>
    <m/>
    <n v="50"/>
    <n v="15000"/>
    <x v="45"/>
    <n v="60000000"/>
    <x v="3"/>
    <d v="2019-06-15T00:00:00"/>
    <x v="4"/>
    <x v="4"/>
    <m/>
    <m/>
    <m/>
    <m/>
    <m/>
    <m/>
    <m/>
    <m/>
    <m/>
    <m/>
    <m/>
    <m/>
    <n v="0"/>
    <n v="15000"/>
    <n v="60000000"/>
    <m/>
  </r>
  <r>
    <x v="119"/>
    <d v="2019-06-15T00:00:00"/>
    <s v="THANH THÚY"/>
    <x v="62"/>
    <x v="64"/>
    <x v="74"/>
    <x v="0"/>
    <x v="0"/>
    <x v="2"/>
    <x v="6"/>
    <s v="NL2018"/>
    <m/>
    <n v="50"/>
    <n v="15000"/>
    <x v="45"/>
    <n v="60000000"/>
    <x v="2"/>
    <d v="2019-07-15T00:00:00"/>
    <x v="39"/>
    <x v="39"/>
    <m/>
    <m/>
    <m/>
    <m/>
    <m/>
    <m/>
    <m/>
    <m/>
    <m/>
    <m/>
    <m/>
    <m/>
    <n v="0"/>
    <n v="15000"/>
    <n v="60000000"/>
    <m/>
  </r>
  <r>
    <x v="119"/>
    <d v="2019-06-15T00:00:00"/>
    <s v="THANH THÚY"/>
    <x v="62"/>
    <x v="64"/>
    <x v="74"/>
    <x v="0"/>
    <x v="0"/>
    <x v="2"/>
    <x v="6"/>
    <s v="NL2018"/>
    <m/>
    <n v="50"/>
    <n v="15000"/>
    <x v="37"/>
    <n v="61500000"/>
    <x v="2"/>
    <d v="2019-08-15T00:00:00"/>
    <x v="53"/>
    <x v="53"/>
    <m/>
    <m/>
    <m/>
    <m/>
    <m/>
    <m/>
    <m/>
    <m/>
    <m/>
    <m/>
    <m/>
    <m/>
    <n v="0"/>
    <n v="15000"/>
    <n v="61500000"/>
    <m/>
  </r>
  <r>
    <x v="119"/>
    <d v="2019-03-30T00:00:00"/>
    <s v="THANH THÚY"/>
    <x v="62"/>
    <x v="64"/>
    <x v="34"/>
    <x v="1"/>
    <x v="0"/>
    <x v="2"/>
    <x v="6"/>
    <s v="NL2018"/>
    <m/>
    <n v="33"/>
    <n v="9900"/>
    <x v="28"/>
    <n v="45540000"/>
    <x v="0"/>
    <d v="2019-03-15T00:00:00"/>
    <x v="5"/>
    <x v="5"/>
    <s v="15/3AL"/>
    <m/>
    <m/>
    <m/>
    <d v="2019-05-17T00:00:00"/>
    <n v="9900"/>
    <m/>
    <m/>
    <m/>
    <m/>
    <m/>
    <m/>
    <n v="9900"/>
    <n v="0"/>
    <n v="0"/>
    <d v="2020-01-05T00:00:00"/>
  </r>
  <r>
    <x v="120"/>
    <d v="2019-02-12T00:00:00"/>
    <s v="THANH THÚY"/>
    <x v="62"/>
    <x v="64"/>
    <x v="48"/>
    <x v="28"/>
    <x v="0"/>
    <x v="3"/>
    <x v="5"/>
    <s v="NL2018"/>
    <m/>
    <n v="100"/>
    <n v="20000"/>
    <x v="31"/>
    <n v="134000000"/>
    <x v="0"/>
    <d v="2019-02-15T00:00:00"/>
    <x v="0"/>
    <x v="0"/>
    <s v="15/2AL"/>
    <s v="CONT 9/2019"/>
    <m/>
    <m/>
    <d v="2019-03-19T00:00:00"/>
    <n v="5000"/>
    <d v="2019-03-28T00:00:00"/>
    <n v="15000"/>
    <m/>
    <m/>
    <m/>
    <m/>
    <n v="20000"/>
    <n v="0"/>
    <n v="0"/>
    <d v="2020-01-05T00:00:00"/>
  </r>
  <r>
    <x v="121"/>
    <d v="2019-05-09T00:00:00"/>
    <s v="KIỀU THY"/>
    <x v="63"/>
    <x v="65"/>
    <x v="17"/>
    <x v="9"/>
    <x v="1"/>
    <x v="7"/>
    <x v="0"/>
    <s v="NL2018"/>
    <m/>
    <n v="0"/>
    <n v="0"/>
    <x v="21"/>
    <n v="0"/>
    <x v="1"/>
    <d v="2019-11-25T00:00:00"/>
    <x v="54"/>
    <x v="54"/>
    <m/>
    <m/>
    <m/>
    <m/>
    <m/>
    <m/>
    <m/>
    <m/>
    <m/>
    <m/>
    <m/>
    <m/>
    <n v="0"/>
    <n v="0"/>
    <n v="0"/>
    <m/>
  </r>
  <r>
    <x v="122"/>
    <d v="2019-05-02T00:00:00"/>
    <s v="KIỀU THY"/>
    <x v="63"/>
    <x v="65"/>
    <x v="113"/>
    <x v="10"/>
    <x v="1"/>
    <x v="2"/>
    <x v="2"/>
    <s v="NL2018"/>
    <m/>
    <n v="0"/>
    <n v="0"/>
    <x v="117"/>
    <n v="0"/>
    <x v="1"/>
    <d v="2019-09-01T00:00:00"/>
    <x v="2"/>
    <x v="2"/>
    <s v="TẾT"/>
    <m/>
    <m/>
    <m/>
    <m/>
    <m/>
    <m/>
    <m/>
    <m/>
    <m/>
    <m/>
    <m/>
    <n v="0"/>
    <n v="0"/>
    <n v="0"/>
    <m/>
  </r>
  <r>
    <x v="121"/>
    <d v="2019-05-02T00:00:00"/>
    <s v="KIỀU THY"/>
    <x v="63"/>
    <x v="65"/>
    <x v="3"/>
    <x v="3"/>
    <x v="0"/>
    <x v="3"/>
    <x v="3"/>
    <s v="NL2018"/>
    <m/>
    <n v="70"/>
    <n v="14000"/>
    <x v="10"/>
    <n v="77000000"/>
    <x v="4"/>
    <d v="2019-05-18T00:00:00"/>
    <x v="3"/>
    <x v="3"/>
    <s v="5/5AL_1 lần trồng 8.000 cách nhau 15 ngay"/>
    <m/>
    <m/>
    <m/>
    <m/>
    <m/>
    <m/>
    <m/>
    <m/>
    <m/>
    <m/>
    <m/>
    <n v="0"/>
    <n v="14000"/>
    <n v="77000000"/>
    <m/>
  </r>
  <r>
    <x v="121"/>
    <d v="2019-05-02T00:00:00"/>
    <s v="KIỀU THY"/>
    <x v="63"/>
    <x v="65"/>
    <x v="3"/>
    <x v="3"/>
    <x v="0"/>
    <x v="3"/>
    <x v="3"/>
    <s v="NL2018"/>
    <m/>
    <n v="70"/>
    <n v="14000"/>
    <x v="54"/>
    <n v="78400000"/>
    <x v="3"/>
    <d v="2019-06-15T00:00:00"/>
    <x v="4"/>
    <x v="4"/>
    <m/>
    <m/>
    <m/>
    <m/>
    <m/>
    <m/>
    <m/>
    <m/>
    <m/>
    <m/>
    <m/>
    <m/>
    <n v="0"/>
    <n v="14000"/>
    <n v="78400000"/>
    <m/>
  </r>
  <r>
    <x v="121"/>
    <d v="2019-05-02T00:00:00"/>
    <s v="KIỀU THY"/>
    <x v="63"/>
    <x v="65"/>
    <x v="3"/>
    <x v="3"/>
    <x v="0"/>
    <x v="3"/>
    <x v="3"/>
    <s v="NL2018"/>
    <m/>
    <n v="35"/>
    <n v="7000"/>
    <x v="54"/>
    <n v="39200000"/>
    <x v="2"/>
    <d v="2019-07-10T00:00:00"/>
    <x v="47"/>
    <x v="47"/>
    <m/>
    <m/>
    <m/>
    <m/>
    <m/>
    <m/>
    <m/>
    <m/>
    <m/>
    <m/>
    <m/>
    <m/>
    <n v="0"/>
    <n v="7000"/>
    <n v="39200000"/>
    <m/>
  </r>
  <r>
    <x v="121"/>
    <d v="2019-05-09T00:00:00"/>
    <s v="KIỀU THY"/>
    <x v="63"/>
    <x v="65"/>
    <x v="3"/>
    <x v="3"/>
    <x v="0"/>
    <x v="3"/>
    <x v="3"/>
    <s v="NL2018"/>
    <m/>
    <n v="50"/>
    <n v="10000"/>
    <x v="50"/>
    <n v="60000000"/>
    <x v="2"/>
    <d v="2019-11-25T00:00:00"/>
    <x v="54"/>
    <x v="54"/>
    <m/>
    <m/>
    <m/>
    <m/>
    <m/>
    <m/>
    <m/>
    <m/>
    <m/>
    <m/>
    <m/>
    <m/>
    <n v="0"/>
    <n v="10000"/>
    <n v="60000000"/>
    <m/>
  </r>
  <r>
    <x v="122"/>
    <d v="2019-05-02T00:00:00"/>
    <s v="KIỀU THY"/>
    <x v="63"/>
    <x v="65"/>
    <x v="4"/>
    <x v="3"/>
    <x v="0"/>
    <x v="4"/>
    <x v="4"/>
    <s v="NL2018"/>
    <m/>
    <n v="80"/>
    <n v="10000"/>
    <x v="33"/>
    <n v="107000000"/>
    <x v="2"/>
    <d v="2019-09-01T00:00:00"/>
    <x v="2"/>
    <x v="2"/>
    <s v="TẾT"/>
    <m/>
    <m/>
    <m/>
    <m/>
    <m/>
    <m/>
    <m/>
    <m/>
    <m/>
    <m/>
    <m/>
    <n v="0"/>
    <n v="10000"/>
    <n v="107000000"/>
    <m/>
  </r>
  <r>
    <x v="122"/>
    <d v="2019-05-02T00:00:00"/>
    <s v="KIỀU THY"/>
    <x v="63"/>
    <x v="65"/>
    <x v="85"/>
    <x v="6"/>
    <x v="0"/>
    <x v="1"/>
    <x v="1"/>
    <s v="NL2018"/>
    <m/>
    <n v="34"/>
    <n v="5100"/>
    <x v="62"/>
    <n v="55590000"/>
    <x v="2"/>
    <d v="2019-09-01T00:00:00"/>
    <x v="2"/>
    <x v="2"/>
    <s v="TẾT"/>
    <m/>
    <m/>
    <m/>
    <m/>
    <m/>
    <m/>
    <m/>
    <m/>
    <m/>
    <m/>
    <m/>
    <n v="0"/>
    <n v="5100"/>
    <n v="55590000"/>
    <m/>
  </r>
  <r>
    <x v="121"/>
    <d v="2019-05-02T00:00:00"/>
    <s v="KIỀU THY"/>
    <x v="63"/>
    <x v="65"/>
    <x v="72"/>
    <x v="36"/>
    <x v="1"/>
    <x v="0"/>
    <x v="0"/>
    <s v="NL2018"/>
    <m/>
    <n v="1"/>
    <n v="400"/>
    <x v="16"/>
    <n v="3440000"/>
    <x v="4"/>
    <d v="2019-05-18T00:00:00"/>
    <x v="3"/>
    <x v="3"/>
    <s v="5/5AL_1 lần trồng 8.000 cách nhau 15 ngay"/>
    <m/>
    <m/>
    <m/>
    <m/>
    <m/>
    <m/>
    <m/>
    <m/>
    <m/>
    <m/>
    <m/>
    <n v="0"/>
    <n v="400"/>
    <n v="3440000"/>
    <m/>
  </r>
  <r>
    <x v="121"/>
    <d v="2019-05-02T00:00:00"/>
    <s v="KIỀU THY"/>
    <x v="63"/>
    <x v="65"/>
    <x v="72"/>
    <x v="36"/>
    <x v="1"/>
    <x v="0"/>
    <x v="0"/>
    <s v="NL2018"/>
    <m/>
    <n v="0"/>
    <n v="0"/>
    <x v="17"/>
    <n v="0"/>
    <x v="1"/>
    <d v="2019-06-15T00:00:00"/>
    <x v="4"/>
    <x v="4"/>
    <m/>
    <m/>
    <m/>
    <m/>
    <m/>
    <m/>
    <m/>
    <m/>
    <m/>
    <m/>
    <m/>
    <m/>
    <n v="0"/>
    <n v="0"/>
    <n v="0"/>
    <m/>
  </r>
  <r>
    <x v="121"/>
    <d v="2019-05-02T00:00:00"/>
    <s v="KIỀU THY"/>
    <x v="63"/>
    <x v="65"/>
    <x v="72"/>
    <x v="36"/>
    <x v="1"/>
    <x v="0"/>
    <x v="0"/>
    <s v="NL2018"/>
    <m/>
    <n v="0"/>
    <n v="0"/>
    <x v="17"/>
    <n v="0"/>
    <x v="1"/>
    <d v="2019-07-10T00:00:00"/>
    <x v="47"/>
    <x v="47"/>
    <m/>
    <m/>
    <m/>
    <m/>
    <m/>
    <m/>
    <m/>
    <m/>
    <m/>
    <m/>
    <m/>
    <m/>
    <n v="0"/>
    <n v="0"/>
    <n v="0"/>
    <m/>
  </r>
  <r>
    <x v="122"/>
    <d v="2019-05-02T00:00:00"/>
    <s v="KIỀU THY"/>
    <x v="63"/>
    <x v="65"/>
    <x v="72"/>
    <x v="36"/>
    <x v="1"/>
    <x v="7"/>
    <x v="0"/>
    <s v="NL2018"/>
    <m/>
    <n v="0"/>
    <n v="0"/>
    <x v="20"/>
    <n v="0"/>
    <x v="1"/>
    <d v="2019-09-01T00:00:00"/>
    <x v="2"/>
    <x v="2"/>
    <s v="TẾT"/>
    <m/>
    <m/>
    <m/>
    <m/>
    <m/>
    <m/>
    <m/>
    <m/>
    <m/>
    <m/>
    <m/>
    <n v="0"/>
    <n v="0"/>
    <n v="0"/>
    <m/>
  </r>
  <r>
    <x v="123"/>
    <d v="2019-02-09T00:00:00"/>
    <s v="KIỀU THY"/>
    <x v="64"/>
    <x v="66"/>
    <x v="0"/>
    <x v="0"/>
    <x v="0"/>
    <x v="7"/>
    <x v="8"/>
    <s v="NL2018"/>
    <m/>
    <n v="15"/>
    <n v="6000"/>
    <x v="0"/>
    <n v="15600000"/>
    <x v="0"/>
    <d v="2019-01-16T00:00:00"/>
    <x v="28"/>
    <x v="28"/>
    <s v="16/1AL"/>
    <m/>
    <m/>
    <s v="R"/>
    <d v="2019-02-20T00:00:00"/>
    <n v="6000"/>
    <m/>
    <m/>
    <m/>
    <m/>
    <m/>
    <m/>
    <n v="6000"/>
    <n v="0"/>
    <n v="0"/>
    <m/>
  </r>
  <r>
    <x v="123"/>
    <d v="2019-02-09T00:00:00"/>
    <s v="KIỀU THY"/>
    <x v="64"/>
    <x v="66"/>
    <x v="0"/>
    <x v="0"/>
    <x v="0"/>
    <x v="7"/>
    <x v="8"/>
    <s v="NL2018"/>
    <m/>
    <n v="15"/>
    <n v="6000"/>
    <x v="0"/>
    <n v="15600000"/>
    <x v="0"/>
    <d v="2019-01-28T00:00:00"/>
    <x v="55"/>
    <x v="55"/>
    <s v="28/1AL"/>
    <m/>
    <m/>
    <s v="R"/>
    <d v="2019-03-04T00:00:00"/>
    <n v="6000"/>
    <m/>
    <m/>
    <m/>
    <m/>
    <m/>
    <m/>
    <n v="6000"/>
    <n v="0"/>
    <n v="0"/>
    <m/>
  </r>
  <r>
    <x v="123"/>
    <d v="2019-02-09T00:00:00"/>
    <s v="KIỀU THY"/>
    <x v="64"/>
    <x v="66"/>
    <x v="0"/>
    <x v="0"/>
    <x v="0"/>
    <x v="7"/>
    <x v="8"/>
    <s v="NL2018"/>
    <m/>
    <n v="8"/>
    <n v="3200"/>
    <x v="0"/>
    <n v="8320000"/>
    <x v="0"/>
    <d v="2019-02-15T00:00:00"/>
    <x v="0"/>
    <x v="0"/>
    <s v="15/02AL"/>
    <s v="CONT 12/2019"/>
    <d v="2019-03-17T00:00:00"/>
    <m/>
    <d v="2019-05-02T00:00:00"/>
    <n v="3200"/>
    <m/>
    <m/>
    <m/>
    <m/>
    <m/>
    <m/>
    <n v="3200"/>
    <n v="0"/>
    <n v="0"/>
    <m/>
  </r>
  <r>
    <x v="123"/>
    <d v="2019-02-09T00:00:00"/>
    <s v="KIỀU THY"/>
    <x v="64"/>
    <x v="66"/>
    <x v="0"/>
    <x v="0"/>
    <x v="0"/>
    <x v="7"/>
    <x v="8"/>
    <s v="NL2018"/>
    <m/>
    <n v="15"/>
    <n v="6000"/>
    <x v="0"/>
    <n v="15600000"/>
    <x v="0"/>
    <d v="2019-02-28T00:00:00"/>
    <x v="16"/>
    <x v="16"/>
    <s v="28/2AL"/>
    <s v="CONT 18/2019"/>
    <d v="2019-03-31T00:00:00"/>
    <s v="R"/>
    <d v="2019-04-17T00:00:00"/>
    <n v="6000"/>
    <m/>
    <m/>
    <m/>
    <m/>
    <m/>
    <m/>
    <n v="6000"/>
    <n v="0"/>
    <n v="0"/>
    <s v="CHECK LAI SL"/>
  </r>
  <r>
    <x v="123"/>
    <d v="2019-02-09T00:00:00"/>
    <s v="KIỀU THY"/>
    <x v="64"/>
    <x v="66"/>
    <x v="0"/>
    <x v="0"/>
    <x v="0"/>
    <x v="7"/>
    <x v="8"/>
    <s v="NL2018"/>
    <m/>
    <n v="15"/>
    <n v="6000"/>
    <x v="0"/>
    <n v="15600000"/>
    <x v="0"/>
    <d v="2019-03-15T00:00:00"/>
    <x v="5"/>
    <x v="5"/>
    <s v="15/3AL"/>
    <s v="CONT 24/2019"/>
    <d v="2019-04-14T00:00:00"/>
    <s v="R"/>
    <d v="2019-04-03T00:00:00"/>
    <n v="6000"/>
    <m/>
    <m/>
    <m/>
    <m/>
    <m/>
    <m/>
    <n v="6000"/>
    <n v="0"/>
    <n v="0"/>
    <s v="CHECK LAI SL"/>
  </r>
  <r>
    <x v="123"/>
    <d v="2019-02-09T00:00:00"/>
    <s v="KIỀU THY"/>
    <x v="64"/>
    <x v="66"/>
    <x v="0"/>
    <x v="0"/>
    <x v="0"/>
    <x v="7"/>
    <x v="8"/>
    <s v="NL2018"/>
    <m/>
    <n v="8"/>
    <n v="3200"/>
    <x v="0"/>
    <n v="8320000"/>
    <x v="0"/>
    <d v="2019-03-15T00:00:00"/>
    <x v="5"/>
    <x v="5"/>
    <s v="15/3AL"/>
    <s v="CONT 24/2019"/>
    <d v="2019-04-14T00:00:00"/>
    <s v="R"/>
    <d v="2019-03-20T00:00:00"/>
    <n v="3200"/>
    <m/>
    <m/>
    <m/>
    <m/>
    <m/>
    <m/>
    <n v="3200"/>
    <n v="0"/>
    <n v="0"/>
    <m/>
  </r>
  <r>
    <x v="123"/>
    <d v="2019-04-25T00:00:00"/>
    <s v="KIỀU THY"/>
    <x v="64"/>
    <x v="66"/>
    <x v="0"/>
    <x v="0"/>
    <x v="0"/>
    <x v="7"/>
    <x v="8"/>
    <s v="NL2018"/>
    <m/>
    <n v="25"/>
    <n v="10000"/>
    <x v="36"/>
    <n v="28000000"/>
    <x v="0"/>
    <d v="2019-03-15T00:00:00"/>
    <x v="5"/>
    <x v="5"/>
    <s v="15/3AL"/>
    <m/>
    <m/>
    <m/>
    <d v="2019-05-02T00:00:00"/>
    <n v="3200"/>
    <d v="2019-06-03T00:00:00"/>
    <n v="6800"/>
    <m/>
    <m/>
    <m/>
    <m/>
    <n v="10000"/>
    <n v="0"/>
    <n v="0"/>
    <m/>
  </r>
  <r>
    <x v="123"/>
    <d v="2019-05-06T00:00:00"/>
    <s v="KIỀU THY"/>
    <x v="64"/>
    <x v="66"/>
    <x v="0"/>
    <x v="0"/>
    <x v="0"/>
    <x v="7"/>
    <x v="8"/>
    <s v="NL2018"/>
    <m/>
    <n v="13"/>
    <n v="5200"/>
    <x v="36"/>
    <n v="14560000"/>
    <x v="0"/>
    <d v="2019-04-17T00:00:00"/>
    <x v="1"/>
    <x v="1"/>
    <m/>
    <m/>
    <m/>
    <m/>
    <d v="2019-05-17T00:00:00"/>
    <n v="5200"/>
    <m/>
    <m/>
    <m/>
    <m/>
    <m/>
    <m/>
    <n v="5200"/>
    <n v="0"/>
    <n v="0"/>
    <m/>
  </r>
  <r>
    <x v="123"/>
    <d v="2019-06-17T00:00:00"/>
    <s v="KIỀU THY"/>
    <x v="64"/>
    <x v="66"/>
    <x v="0"/>
    <x v="0"/>
    <x v="0"/>
    <x v="7"/>
    <x v="8"/>
    <s v="NL2018"/>
    <m/>
    <n v="13"/>
    <n v="5200"/>
    <x v="36"/>
    <n v="14560000"/>
    <x v="0"/>
    <d v="2019-06-17T00:00:00"/>
    <x v="20"/>
    <x v="20"/>
    <m/>
    <m/>
    <m/>
    <m/>
    <d v="2019-06-17T00:00:00"/>
    <n v="5200"/>
    <m/>
    <m/>
    <m/>
    <m/>
    <m/>
    <m/>
    <n v="5200"/>
    <n v="0"/>
    <n v="0"/>
    <m/>
  </r>
  <r>
    <x v="123"/>
    <d v="2019-05-06T00:00:00"/>
    <s v="KIỀU THY"/>
    <x v="64"/>
    <x v="66"/>
    <x v="0"/>
    <x v="0"/>
    <x v="0"/>
    <x v="7"/>
    <x v="8"/>
    <s v="NL2018"/>
    <m/>
    <n v="25"/>
    <n v="10000"/>
    <x v="36"/>
    <n v="28000000"/>
    <x v="3"/>
    <d v="2019-06-15T00:00:00"/>
    <x v="4"/>
    <x v="4"/>
    <m/>
    <m/>
    <m/>
    <m/>
    <m/>
    <m/>
    <m/>
    <m/>
    <m/>
    <m/>
    <m/>
    <m/>
    <n v="0"/>
    <n v="10000"/>
    <n v="28000000"/>
    <m/>
  </r>
  <r>
    <x v="123"/>
    <d v="2019-06-18T00:00:00"/>
    <s v="KIỀU THY"/>
    <x v="64"/>
    <x v="66"/>
    <x v="74"/>
    <x v="0"/>
    <x v="0"/>
    <x v="2"/>
    <x v="6"/>
    <s v="NL2018"/>
    <m/>
    <n v="27"/>
    <n v="8100"/>
    <x v="45"/>
    <n v="32400000"/>
    <x v="2"/>
    <d v="2019-07-15T00:00:00"/>
    <x v="39"/>
    <x v="39"/>
    <m/>
    <m/>
    <m/>
    <m/>
    <m/>
    <m/>
    <m/>
    <m/>
    <m/>
    <m/>
    <m/>
    <m/>
    <n v="0"/>
    <n v="8100"/>
    <n v="32400000"/>
    <m/>
  </r>
  <r>
    <x v="123"/>
    <d v="2019-06-18T00:00:00"/>
    <s v="KIỀU THY"/>
    <x v="64"/>
    <x v="66"/>
    <x v="74"/>
    <x v="0"/>
    <x v="0"/>
    <x v="2"/>
    <x v="6"/>
    <s v="NL2018"/>
    <m/>
    <n v="24"/>
    <n v="7200"/>
    <x v="37"/>
    <n v="29520000"/>
    <x v="2"/>
    <d v="2019-08-01T00:00:00"/>
    <x v="49"/>
    <x v="49"/>
    <m/>
    <m/>
    <m/>
    <m/>
    <m/>
    <m/>
    <m/>
    <m/>
    <m/>
    <m/>
    <m/>
    <m/>
    <n v="0"/>
    <n v="7200"/>
    <n v="29520000"/>
    <m/>
  </r>
  <r>
    <x v="123"/>
    <d v="2019-06-25T00:00:00"/>
    <s v="KIỀU THY"/>
    <x v="64"/>
    <x v="66"/>
    <x v="74"/>
    <x v="0"/>
    <x v="0"/>
    <x v="2"/>
    <x v="6"/>
    <s v="NL2018"/>
    <m/>
    <n v="30"/>
    <n v="9000"/>
    <x v="37"/>
    <n v="36900000"/>
    <x v="2"/>
    <d v="2019-08-15T00:00:00"/>
    <x v="53"/>
    <x v="53"/>
    <m/>
    <m/>
    <m/>
    <m/>
    <m/>
    <m/>
    <m/>
    <m/>
    <m/>
    <m/>
    <m/>
    <m/>
    <n v="0"/>
    <n v="9000"/>
    <n v="36900000"/>
    <m/>
  </r>
  <r>
    <x v="123"/>
    <d v="2019-06-25T00:00:00"/>
    <s v="KIỀU THY"/>
    <x v="64"/>
    <x v="66"/>
    <x v="74"/>
    <x v="0"/>
    <x v="0"/>
    <x v="2"/>
    <x v="6"/>
    <s v="NL2018"/>
    <m/>
    <n v="30"/>
    <n v="9000"/>
    <x v="37"/>
    <n v="36900000"/>
    <x v="2"/>
    <d v="2019-09-01T00:00:00"/>
    <x v="2"/>
    <x v="2"/>
    <m/>
    <m/>
    <m/>
    <m/>
    <m/>
    <m/>
    <m/>
    <m/>
    <m/>
    <m/>
    <m/>
    <m/>
    <n v="0"/>
    <n v="9000"/>
    <n v="36900000"/>
    <m/>
  </r>
  <r>
    <x v="123"/>
    <d v="2019-06-25T00:00:00"/>
    <s v="KIỀU THY"/>
    <x v="64"/>
    <x v="66"/>
    <x v="74"/>
    <x v="0"/>
    <x v="0"/>
    <x v="2"/>
    <x v="6"/>
    <s v="NL2018"/>
    <m/>
    <n v="34"/>
    <n v="10200"/>
    <x v="37"/>
    <n v="41820000"/>
    <x v="2"/>
    <d v="2019-09-15T00:00:00"/>
    <x v="56"/>
    <x v="56"/>
    <m/>
    <m/>
    <m/>
    <m/>
    <m/>
    <m/>
    <m/>
    <m/>
    <m/>
    <m/>
    <m/>
    <m/>
    <n v="0"/>
    <n v="10200"/>
    <n v="41820000"/>
    <m/>
  </r>
  <r>
    <x v="123"/>
    <d v="2019-06-18T00:00:00"/>
    <s v="KIỀU THY"/>
    <x v="64"/>
    <x v="66"/>
    <x v="74"/>
    <x v="0"/>
    <x v="0"/>
    <x v="2"/>
    <x v="6"/>
    <s v="NL2018"/>
    <m/>
    <n v="34"/>
    <n v="10200"/>
    <x v="45"/>
    <n v="40800000"/>
    <x v="2"/>
    <d v="2019-07-01T00:00:00"/>
    <x v="30"/>
    <x v="30"/>
    <m/>
    <m/>
    <m/>
    <m/>
    <m/>
    <m/>
    <m/>
    <m/>
    <m/>
    <m/>
    <m/>
    <m/>
    <n v="0"/>
    <n v="10200"/>
    <n v="40800000"/>
    <m/>
  </r>
  <r>
    <x v="123"/>
    <d v="2019-06-18T00:00:00"/>
    <s v="KIỀU THY"/>
    <x v="64"/>
    <x v="66"/>
    <x v="0"/>
    <x v="0"/>
    <x v="0"/>
    <x v="7"/>
    <x v="8"/>
    <s v="NL2018"/>
    <m/>
    <n v="6"/>
    <n v="2400"/>
    <x v="36"/>
    <n v="6720000"/>
    <x v="0"/>
    <d v="2019-06-18T00:00:00"/>
    <x v="57"/>
    <x v="57"/>
    <m/>
    <m/>
    <m/>
    <m/>
    <d v="2019-06-18T00:00:00"/>
    <n v="2400"/>
    <m/>
    <m/>
    <m/>
    <m/>
    <m/>
    <m/>
    <n v="2400"/>
    <n v="0"/>
    <n v="0"/>
    <m/>
  </r>
  <r>
    <x v="123"/>
    <d v="2019-06-18T00:00:00"/>
    <s v="KIỀU THY"/>
    <x v="64"/>
    <x v="66"/>
    <x v="74"/>
    <x v="0"/>
    <x v="0"/>
    <x v="2"/>
    <x v="6"/>
    <s v="NL2018"/>
    <m/>
    <n v="8"/>
    <n v="2400"/>
    <x v="57"/>
    <n v="9360000"/>
    <x v="0"/>
    <d v="2019-06-18T00:00:00"/>
    <x v="57"/>
    <x v="57"/>
    <m/>
    <m/>
    <m/>
    <m/>
    <d v="2019-06-18T00:00:00"/>
    <n v="2400"/>
    <m/>
    <m/>
    <m/>
    <m/>
    <m/>
    <m/>
    <n v="2400"/>
    <n v="0"/>
    <n v="0"/>
    <m/>
  </r>
  <r>
    <x v="124"/>
    <d v="2019-02-09T00:00:00"/>
    <s v="KIỀU THY"/>
    <x v="64"/>
    <x v="66"/>
    <x v="22"/>
    <x v="3"/>
    <x v="0"/>
    <x v="8"/>
    <x v="11"/>
    <s v="NL2018"/>
    <m/>
    <n v="100"/>
    <n v="10000"/>
    <x v="25"/>
    <n v="125000000"/>
    <x v="2"/>
    <d v="2019-09-01T00:00:00"/>
    <x v="2"/>
    <x v="2"/>
    <s v="TẾT"/>
    <m/>
    <m/>
    <s v="R"/>
    <m/>
    <n v="0"/>
    <m/>
    <m/>
    <m/>
    <m/>
    <m/>
    <m/>
    <n v="0"/>
    <n v="10000"/>
    <n v="125000000"/>
    <m/>
  </r>
  <r>
    <x v="123"/>
    <d v="2019-02-09T00:00:00"/>
    <s v="KIỀU THY"/>
    <x v="64"/>
    <x v="66"/>
    <x v="3"/>
    <x v="3"/>
    <x v="0"/>
    <x v="3"/>
    <x v="5"/>
    <s v="NL2018"/>
    <m/>
    <n v="15"/>
    <n v="3000"/>
    <x v="8"/>
    <n v="15000000"/>
    <x v="0"/>
    <d v="2019-02-15T00:00:00"/>
    <x v="0"/>
    <x v="0"/>
    <s v="15/02AL"/>
    <s v="CONT 11/2019"/>
    <d v="2019-03-17T00:00:00"/>
    <m/>
    <d v="2019-03-27T00:00:00"/>
    <n v="3000"/>
    <m/>
    <m/>
    <m/>
    <m/>
    <m/>
    <m/>
    <n v="3000"/>
    <n v="0"/>
    <n v="0"/>
    <m/>
  </r>
  <r>
    <x v="123"/>
    <d v="2019-02-09T00:00:00"/>
    <s v="KIỀU THY"/>
    <x v="64"/>
    <x v="66"/>
    <x v="3"/>
    <x v="3"/>
    <x v="0"/>
    <x v="3"/>
    <x v="5"/>
    <s v="NL2018"/>
    <m/>
    <n v="15"/>
    <n v="3000"/>
    <x v="8"/>
    <n v="15000000"/>
    <x v="0"/>
    <d v="2019-02-28T00:00:00"/>
    <x v="16"/>
    <x v="16"/>
    <s v="28/2AL"/>
    <s v="CONT 18/2019"/>
    <d v="2019-03-31T00:00:00"/>
    <s v="R"/>
    <d v="2019-04-12T00:00:00"/>
    <n v="3000"/>
    <m/>
    <m/>
    <m/>
    <m/>
    <m/>
    <m/>
    <n v="3000"/>
    <n v="0"/>
    <n v="0"/>
    <m/>
  </r>
  <r>
    <x v="123"/>
    <d v="2019-02-09T00:00:00"/>
    <s v="KIỀU THY"/>
    <x v="64"/>
    <x v="66"/>
    <x v="3"/>
    <x v="3"/>
    <x v="0"/>
    <x v="3"/>
    <x v="5"/>
    <s v="NL2018"/>
    <m/>
    <n v="15"/>
    <n v="3000"/>
    <x v="8"/>
    <n v="15000000"/>
    <x v="0"/>
    <d v="2019-03-15T00:00:00"/>
    <x v="5"/>
    <x v="5"/>
    <s v="15/3AL"/>
    <s v="CONT 26/2019"/>
    <d v="2019-04-14T00:00:00"/>
    <s v="R"/>
    <d v="2019-03-20T00:00:00"/>
    <n v="3000"/>
    <m/>
    <m/>
    <m/>
    <m/>
    <m/>
    <m/>
    <n v="3000"/>
    <n v="0"/>
    <n v="0"/>
    <s v="sai sl, 9k hay 3k"/>
  </r>
  <r>
    <x v="123"/>
    <d v="2019-02-09T00:00:00"/>
    <s v="KIỀU THY"/>
    <x v="64"/>
    <x v="66"/>
    <x v="3"/>
    <x v="3"/>
    <x v="0"/>
    <x v="3"/>
    <x v="5"/>
    <s v="NL2018"/>
    <m/>
    <n v="0"/>
    <n v="0"/>
    <x v="4"/>
    <n v="0"/>
    <x v="1"/>
    <d v="2019-04-17T00:00:00"/>
    <x v="1"/>
    <x v="1"/>
    <s v="30/3AL"/>
    <m/>
    <m/>
    <s v="R"/>
    <m/>
    <n v="0"/>
    <m/>
    <m/>
    <m/>
    <m/>
    <m/>
    <m/>
    <n v="0"/>
    <n v="0"/>
    <n v="0"/>
    <m/>
  </r>
  <r>
    <x v="123"/>
    <d v="2019-05-29T00:00:00"/>
    <s v="KIỀU THY"/>
    <x v="64"/>
    <x v="66"/>
    <x v="3"/>
    <x v="3"/>
    <x v="0"/>
    <x v="3"/>
    <x v="5"/>
    <s v="NL2018"/>
    <m/>
    <n v="0"/>
    <n v="0"/>
    <x v="10"/>
    <n v="0"/>
    <x v="1"/>
    <d v="2019-05-20T00:00:00"/>
    <x v="22"/>
    <x v="22"/>
    <m/>
    <m/>
    <m/>
    <m/>
    <m/>
    <m/>
    <m/>
    <m/>
    <m/>
    <m/>
    <m/>
    <m/>
    <n v="0"/>
    <n v="0"/>
    <n v="0"/>
    <m/>
  </r>
  <r>
    <x v="124"/>
    <d v="2019-02-09T00:00:00"/>
    <s v="KIỀU THY"/>
    <x v="64"/>
    <x v="66"/>
    <x v="64"/>
    <x v="32"/>
    <x v="0"/>
    <x v="8"/>
    <x v="11"/>
    <s v="NL2018"/>
    <m/>
    <n v="50"/>
    <n v="5000"/>
    <x v="15"/>
    <n v="76000000"/>
    <x v="2"/>
    <d v="2019-09-01T00:00:00"/>
    <x v="2"/>
    <x v="2"/>
    <s v="TẾT"/>
    <m/>
    <m/>
    <s v="R"/>
    <m/>
    <n v="0"/>
    <m/>
    <m/>
    <m/>
    <m/>
    <m/>
    <m/>
    <n v="0"/>
    <n v="5000"/>
    <n v="76000000"/>
    <m/>
  </r>
  <r>
    <x v="123"/>
    <d v="2019-05-13T00:00:00"/>
    <s v="KIỀU THY"/>
    <x v="64"/>
    <x v="66"/>
    <x v="23"/>
    <x v="11"/>
    <x v="0"/>
    <x v="2"/>
    <x v="6"/>
    <s v="NL2018"/>
    <m/>
    <n v="10"/>
    <n v="3000"/>
    <x v="10"/>
    <n v="16500000"/>
    <x v="0"/>
    <d v="2019-04-17T00:00:00"/>
    <x v="1"/>
    <x v="1"/>
    <m/>
    <m/>
    <m/>
    <m/>
    <d v="2019-05-17T00:00:00"/>
    <n v="3000"/>
    <m/>
    <m/>
    <m/>
    <m/>
    <m/>
    <m/>
    <n v="3000"/>
    <n v="0"/>
    <n v="0"/>
    <m/>
  </r>
  <r>
    <x v="124"/>
    <d v="2019-02-09T00:00:00"/>
    <s v="KIỀU THY"/>
    <x v="64"/>
    <x v="66"/>
    <x v="8"/>
    <x v="4"/>
    <x v="0"/>
    <x v="1"/>
    <x v="9"/>
    <s v="NL2018"/>
    <m/>
    <n v="34"/>
    <n v="5100"/>
    <x v="55"/>
    <n v="36720000"/>
    <x v="2"/>
    <d v="2019-09-01T00:00:00"/>
    <x v="2"/>
    <x v="2"/>
    <s v="TẾT"/>
    <m/>
    <m/>
    <s v="R"/>
    <m/>
    <n v="0"/>
    <m/>
    <m/>
    <m/>
    <m/>
    <m/>
    <m/>
    <n v="0"/>
    <n v="5100"/>
    <n v="36720000"/>
    <m/>
  </r>
  <r>
    <x v="125"/>
    <d v="2019-06-14T00:00:00"/>
    <s v="KIỀU THY"/>
    <x v="65"/>
    <x v="67"/>
    <x v="73"/>
    <x v="0"/>
    <x v="3"/>
    <x v="15"/>
    <x v="3"/>
    <s v="NL2018"/>
    <m/>
    <n v="20"/>
    <n v="4000"/>
    <x v="50"/>
    <n v="24000000"/>
    <x v="3"/>
    <d v="2019-06-15T00:00:00"/>
    <x v="4"/>
    <x v="4"/>
    <m/>
    <m/>
    <m/>
    <m/>
    <m/>
    <m/>
    <m/>
    <m/>
    <m/>
    <m/>
    <m/>
    <m/>
    <n v="0"/>
    <n v="4000"/>
    <n v="24000000"/>
    <m/>
  </r>
  <r>
    <x v="125"/>
    <d v="2019-06-14T00:00:00"/>
    <s v="KIỀU THY"/>
    <x v="65"/>
    <x v="67"/>
    <x v="74"/>
    <x v="0"/>
    <x v="0"/>
    <x v="2"/>
    <x v="2"/>
    <s v="NL2018"/>
    <m/>
    <n v="67"/>
    <n v="20100"/>
    <x v="45"/>
    <n v="80400000"/>
    <x v="3"/>
    <d v="2019-06-15T00:00:00"/>
    <x v="4"/>
    <x v="4"/>
    <m/>
    <m/>
    <m/>
    <m/>
    <m/>
    <m/>
    <m/>
    <m/>
    <m/>
    <m/>
    <m/>
    <m/>
    <n v="0"/>
    <n v="20100"/>
    <n v="80400000"/>
    <m/>
  </r>
  <r>
    <x v="125"/>
    <d v="2019-05-04T00:00:00"/>
    <s v="KIỀU THY"/>
    <x v="65"/>
    <x v="67"/>
    <x v="83"/>
    <x v="2"/>
    <x v="0"/>
    <x v="15"/>
    <x v="3"/>
    <s v="NL2018"/>
    <m/>
    <n v="50"/>
    <n v="10000"/>
    <x v="71"/>
    <n v="52000000"/>
    <x v="3"/>
    <d v="2019-05-20T00:00:00"/>
    <x v="22"/>
    <x v="22"/>
    <m/>
    <m/>
    <m/>
    <m/>
    <m/>
    <m/>
    <m/>
    <m/>
    <m/>
    <m/>
    <m/>
    <m/>
    <n v="0"/>
    <n v="10000"/>
    <n v="52000000"/>
    <m/>
  </r>
  <r>
    <x v="125"/>
    <d v="2019-06-14T00:00:00"/>
    <s v="KIỀU THY"/>
    <x v="65"/>
    <x v="67"/>
    <x v="83"/>
    <x v="2"/>
    <x v="0"/>
    <x v="15"/>
    <x v="3"/>
    <s v="NL2018"/>
    <m/>
    <n v="30"/>
    <n v="6000"/>
    <x v="32"/>
    <n v="31800000"/>
    <x v="3"/>
    <d v="2019-06-15T00:00:00"/>
    <x v="4"/>
    <x v="4"/>
    <m/>
    <m/>
    <m/>
    <m/>
    <m/>
    <m/>
    <m/>
    <m/>
    <m/>
    <m/>
    <m/>
    <m/>
    <n v="0"/>
    <n v="6000"/>
    <n v="31800000"/>
    <m/>
  </r>
  <r>
    <x v="125"/>
    <d v="2019-04-12T00:00:00"/>
    <s v="KIỀU THY"/>
    <x v="65"/>
    <x v="67"/>
    <x v="79"/>
    <x v="32"/>
    <x v="0"/>
    <x v="2"/>
    <x v="2"/>
    <s v="NL2018"/>
    <m/>
    <n v="46"/>
    <n v="13800"/>
    <x v="81"/>
    <n v="51060000"/>
    <x v="0"/>
    <d v="2019-03-15T00:00:00"/>
    <x v="5"/>
    <x v="5"/>
    <s v="15/3AL"/>
    <m/>
    <m/>
    <m/>
    <d v="2019-04-25T00:00:00"/>
    <n v="13800"/>
    <m/>
    <m/>
    <m/>
    <m/>
    <m/>
    <m/>
    <n v="13800"/>
    <n v="0"/>
    <n v="0"/>
    <m/>
  </r>
  <r>
    <x v="125"/>
    <d v="2019-06-14T00:00:00"/>
    <s v="KIỀU THY"/>
    <x v="65"/>
    <x v="67"/>
    <x v="80"/>
    <x v="15"/>
    <x v="0"/>
    <x v="2"/>
    <x v="2"/>
    <s v="NL2018"/>
    <m/>
    <n v="36"/>
    <n v="10800"/>
    <x v="8"/>
    <n v="54000000"/>
    <x v="3"/>
    <d v="2019-06-15T00:00:00"/>
    <x v="4"/>
    <x v="4"/>
    <m/>
    <m/>
    <m/>
    <m/>
    <m/>
    <m/>
    <m/>
    <m/>
    <m/>
    <m/>
    <m/>
    <m/>
    <n v="0"/>
    <n v="10800"/>
    <n v="54000000"/>
    <m/>
  </r>
  <r>
    <x v="125"/>
    <d v="2019-04-12T00:00:00"/>
    <s v="KIỀU THY"/>
    <x v="65"/>
    <x v="67"/>
    <x v="100"/>
    <x v="26"/>
    <x v="0"/>
    <x v="3"/>
    <x v="3"/>
    <s v="NL2018"/>
    <m/>
    <n v="42"/>
    <n v="8400"/>
    <x v="83"/>
    <n v="53760000"/>
    <x v="0"/>
    <d v="2019-03-15T00:00:00"/>
    <x v="5"/>
    <x v="5"/>
    <s v="15/3AL"/>
    <m/>
    <m/>
    <m/>
    <d v="2019-04-25T00:00:00"/>
    <n v="8400"/>
    <m/>
    <m/>
    <m/>
    <m/>
    <m/>
    <m/>
    <n v="8400"/>
    <n v="0"/>
    <n v="0"/>
    <m/>
  </r>
  <r>
    <x v="125"/>
    <d v="2019-04-12T00:00:00"/>
    <s v="KIỀU THY"/>
    <x v="65"/>
    <x v="67"/>
    <x v="53"/>
    <x v="31"/>
    <x v="0"/>
    <x v="2"/>
    <x v="2"/>
    <s v="NL2018"/>
    <m/>
    <n v="23"/>
    <n v="6900"/>
    <x v="45"/>
    <n v="27600000"/>
    <x v="0"/>
    <d v="2019-02-28T00:00:00"/>
    <x v="16"/>
    <x v="16"/>
    <s v="30/2AL"/>
    <m/>
    <m/>
    <m/>
    <d v="2019-04-12T00:00:00"/>
    <n v="6900"/>
    <m/>
    <m/>
    <m/>
    <m/>
    <m/>
    <m/>
    <n v="6900"/>
    <n v="0"/>
    <n v="0"/>
    <m/>
  </r>
  <r>
    <x v="126"/>
    <d v="2019-05-10T00:00:00"/>
    <s v="KIỀU THY"/>
    <x v="66"/>
    <x v="68"/>
    <x v="90"/>
    <x v="45"/>
    <x v="0"/>
    <x v="3"/>
    <x v="5"/>
    <s v="NL2018"/>
    <m/>
    <n v="1"/>
    <n v="200"/>
    <x v="73"/>
    <n v="1260000"/>
    <x v="4"/>
    <d v="2019-05-05T00:00:00"/>
    <x v="27"/>
    <x v="27"/>
    <m/>
    <m/>
    <m/>
    <m/>
    <m/>
    <m/>
    <m/>
    <m/>
    <m/>
    <m/>
    <m/>
    <m/>
    <n v="0"/>
    <n v="200"/>
    <n v="1260000"/>
    <m/>
  </r>
  <r>
    <x v="127"/>
    <d v="2019-05-31T00:00:00"/>
    <s v="KIỀU THY"/>
    <x v="66"/>
    <x v="68"/>
    <x v="90"/>
    <x v="45"/>
    <x v="0"/>
    <x v="3"/>
    <x v="5"/>
    <s v="NL2018"/>
    <m/>
    <n v="1"/>
    <n v="200"/>
    <x v="83"/>
    <n v="1280000"/>
    <x v="3"/>
    <d v="2019-06-05T00:00:00"/>
    <x v="58"/>
    <x v="58"/>
    <m/>
    <m/>
    <m/>
    <m/>
    <m/>
    <m/>
    <m/>
    <m/>
    <m/>
    <m/>
    <m/>
    <m/>
    <n v="0"/>
    <n v="200"/>
    <n v="1280000"/>
    <m/>
  </r>
  <r>
    <x v="127"/>
    <d v="2019-05-31T00:00:00"/>
    <s v="KIỀU THY"/>
    <x v="66"/>
    <x v="68"/>
    <x v="90"/>
    <x v="45"/>
    <x v="0"/>
    <x v="3"/>
    <x v="5"/>
    <s v="NL2018"/>
    <m/>
    <n v="1"/>
    <n v="200"/>
    <x v="96"/>
    <n v="1300000"/>
    <x v="2"/>
    <d v="2019-07-05T00:00:00"/>
    <x v="59"/>
    <x v="59"/>
    <m/>
    <m/>
    <m/>
    <m/>
    <m/>
    <m/>
    <m/>
    <m/>
    <m/>
    <m/>
    <m/>
    <m/>
    <n v="0"/>
    <n v="200"/>
    <n v="1300000"/>
    <m/>
  </r>
  <r>
    <x v="128"/>
    <d v="2019-05-31T00:00:00"/>
    <s v="KIỀU THY"/>
    <x v="66"/>
    <x v="68"/>
    <x v="90"/>
    <x v="45"/>
    <x v="0"/>
    <x v="3"/>
    <x v="5"/>
    <s v="NL2018"/>
    <m/>
    <n v="5"/>
    <n v="1000"/>
    <x v="123"/>
    <m/>
    <x v="2"/>
    <m/>
    <x v="25"/>
    <x v="25"/>
    <s v="Chừa hàng"/>
    <m/>
    <m/>
    <m/>
    <m/>
    <m/>
    <m/>
    <m/>
    <m/>
    <m/>
    <m/>
    <m/>
    <n v="0"/>
    <n v="1000"/>
    <e v="#VALUE!"/>
    <m/>
  </r>
  <r>
    <x v="128"/>
    <d v="2019-04-08T00:00:00"/>
    <s v="KIỀU THY"/>
    <x v="66"/>
    <x v="68"/>
    <x v="74"/>
    <x v="0"/>
    <x v="0"/>
    <x v="2"/>
    <x v="6"/>
    <s v="NL2018"/>
    <m/>
    <n v="7"/>
    <n v="2100"/>
    <x v="77"/>
    <n v="7980000"/>
    <x v="0"/>
    <s v="30-Feb-19"/>
    <x v="29"/>
    <x v="29"/>
    <s v="30/2AL"/>
    <m/>
    <m/>
    <m/>
    <m/>
    <n v="2100"/>
    <m/>
    <m/>
    <m/>
    <m/>
    <m/>
    <m/>
    <n v="2100"/>
    <n v="0"/>
    <n v="0"/>
    <m/>
  </r>
  <r>
    <x v="128"/>
    <d v="2019-06-06T00:00:00"/>
    <s v="KIỀU THY"/>
    <x v="66"/>
    <x v="68"/>
    <x v="74"/>
    <x v="0"/>
    <x v="0"/>
    <x v="2"/>
    <x v="6"/>
    <s v="NL2018"/>
    <m/>
    <n v="10"/>
    <n v="3000"/>
    <x v="57"/>
    <n v="11700000"/>
    <x v="4"/>
    <d v="2019-05-05T00:00:00"/>
    <x v="27"/>
    <x v="27"/>
    <m/>
    <m/>
    <m/>
    <m/>
    <d v="2019-06-06T00:00:00"/>
    <n v="300"/>
    <d v="2019-06-15T00:00:00"/>
    <n v="300"/>
    <m/>
    <m/>
    <m/>
    <m/>
    <n v="600"/>
    <n v="2400"/>
    <n v="9360000"/>
    <m/>
  </r>
  <r>
    <x v="126"/>
    <d v="2019-05-31T00:00:00"/>
    <s v="KIỀU THY"/>
    <x v="66"/>
    <x v="68"/>
    <x v="17"/>
    <x v="9"/>
    <x v="1"/>
    <x v="7"/>
    <x v="8"/>
    <s v="NL2018"/>
    <m/>
    <n v="1"/>
    <n v="400"/>
    <x v="16"/>
    <n v="3440000"/>
    <x v="0"/>
    <d v="2019-02-15T00:00:00"/>
    <x v="0"/>
    <x v="0"/>
    <m/>
    <m/>
    <m/>
    <m/>
    <m/>
    <m/>
    <m/>
    <m/>
    <m/>
    <m/>
    <m/>
    <m/>
    <n v="0"/>
    <n v="400"/>
    <n v="3440000"/>
    <m/>
  </r>
  <r>
    <x v="126"/>
    <d v="2019-04-23T00:00:00"/>
    <s v="KIỀU THY"/>
    <x v="66"/>
    <x v="68"/>
    <x v="17"/>
    <x v="9"/>
    <x v="1"/>
    <x v="7"/>
    <x v="8"/>
    <s v="NL2018"/>
    <m/>
    <n v="2"/>
    <n v="800"/>
    <x v="17"/>
    <n v="6960000"/>
    <x v="4"/>
    <d v="2019-05-05T00:00:00"/>
    <x v="27"/>
    <x v="27"/>
    <m/>
    <m/>
    <m/>
    <m/>
    <m/>
    <m/>
    <m/>
    <m/>
    <m/>
    <m/>
    <m/>
    <m/>
    <n v="0"/>
    <n v="800"/>
    <n v="6960000"/>
    <m/>
  </r>
  <r>
    <x v="127"/>
    <d v="2019-05-31T00:00:00"/>
    <s v="KIỀU THY"/>
    <x v="66"/>
    <x v="68"/>
    <x v="17"/>
    <x v="9"/>
    <x v="1"/>
    <x v="7"/>
    <x v="8"/>
    <s v="NL2018"/>
    <m/>
    <n v="2"/>
    <n v="800"/>
    <x v="17"/>
    <n v="6960000"/>
    <x v="3"/>
    <d v="2019-06-05T00:00:00"/>
    <x v="58"/>
    <x v="58"/>
    <m/>
    <m/>
    <m/>
    <m/>
    <m/>
    <m/>
    <m/>
    <m/>
    <m/>
    <m/>
    <m/>
    <m/>
    <n v="0"/>
    <n v="800"/>
    <n v="6960000"/>
    <m/>
  </r>
  <r>
    <x v="127"/>
    <d v="2019-05-31T00:00:00"/>
    <s v="KIỀU THY"/>
    <x v="66"/>
    <x v="68"/>
    <x v="17"/>
    <x v="9"/>
    <x v="1"/>
    <x v="7"/>
    <x v="8"/>
    <s v="NL2018"/>
    <m/>
    <n v="2"/>
    <n v="800"/>
    <x v="17"/>
    <n v="6960000"/>
    <x v="2"/>
    <d v="2019-07-05T00:00:00"/>
    <x v="59"/>
    <x v="59"/>
    <m/>
    <m/>
    <m/>
    <m/>
    <m/>
    <m/>
    <m/>
    <m/>
    <m/>
    <m/>
    <m/>
    <m/>
    <n v="0"/>
    <n v="800"/>
    <n v="6960000"/>
    <m/>
  </r>
  <r>
    <x v="128"/>
    <d v="2019-05-31T00:00:00"/>
    <s v="KIỀU THY"/>
    <x v="66"/>
    <x v="68"/>
    <x v="17"/>
    <x v="9"/>
    <x v="1"/>
    <x v="7"/>
    <x v="8"/>
    <s v="NL2018"/>
    <m/>
    <n v="10"/>
    <n v="4000"/>
    <x v="124"/>
    <m/>
    <x v="2"/>
    <m/>
    <x v="25"/>
    <x v="25"/>
    <s v="Chừa hàng"/>
    <m/>
    <m/>
    <m/>
    <m/>
    <m/>
    <m/>
    <m/>
    <m/>
    <m/>
    <m/>
    <m/>
    <n v="0"/>
    <n v="4000"/>
    <e v="#VALUE!"/>
    <m/>
  </r>
  <r>
    <x v="126"/>
    <d v="2019-04-23T00:00:00"/>
    <s v="KIỀU THY"/>
    <x v="66"/>
    <x v="68"/>
    <x v="18"/>
    <x v="10"/>
    <x v="1"/>
    <x v="7"/>
    <x v="10"/>
    <s v="NL2018"/>
    <m/>
    <n v="2"/>
    <n v="700"/>
    <x v="17"/>
    <n v="6090000"/>
    <x v="4"/>
    <d v="2019-05-05T00:00:00"/>
    <x v="27"/>
    <x v="27"/>
    <m/>
    <m/>
    <m/>
    <m/>
    <m/>
    <m/>
    <m/>
    <m/>
    <m/>
    <m/>
    <m/>
    <m/>
    <n v="0"/>
    <n v="700"/>
    <n v="6090000"/>
    <m/>
  </r>
  <r>
    <x v="127"/>
    <d v="2019-05-31T00:00:00"/>
    <s v="KIỀU THY"/>
    <x v="66"/>
    <x v="68"/>
    <x v="18"/>
    <x v="10"/>
    <x v="1"/>
    <x v="7"/>
    <x v="10"/>
    <s v="NL2018"/>
    <m/>
    <n v="2"/>
    <n v="700"/>
    <x v="17"/>
    <n v="6090000"/>
    <x v="3"/>
    <d v="2019-06-05T00:00:00"/>
    <x v="58"/>
    <x v="58"/>
    <m/>
    <m/>
    <m/>
    <m/>
    <m/>
    <m/>
    <m/>
    <m/>
    <m/>
    <m/>
    <m/>
    <m/>
    <n v="0"/>
    <n v="700"/>
    <n v="6090000"/>
    <m/>
  </r>
  <r>
    <x v="127"/>
    <d v="2019-05-31T00:00:00"/>
    <s v="KIỀU THY"/>
    <x v="66"/>
    <x v="68"/>
    <x v="18"/>
    <x v="10"/>
    <x v="1"/>
    <x v="7"/>
    <x v="10"/>
    <s v="NL2018"/>
    <m/>
    <n v="2"/>
    <n v="700"/>
    <x v="17"/>
    <n v="6090000"/>
    <x v="2"/>
    <d v="2019-07-05T00:00:00"/>
    <x v="59"/>
    <x v="59"/>
    <m/>
    <m/>
    <m/>
    <m/>
    <m/>
    <m/>
    <m/>
    <m/>
    <m/>
    <m/>
    <m/>
    <m/>
    <n v="0"/>
    <n v="700"/>
    <n v="6090000"/>
    <m/>
  </r>
  <r>
    <x v="128"/>
    <d v="2019-05-31T00:00:00"/>
    <s v="KIỀU THY"/>
    <x v="66"/>
    <x v="68"/>
    <x v="18"/>
    <x v="10"/>
    <x v="1"/>
    <x v="7"/>
    <x v="10"/>
    <s v="NL2018"/>
    <m/>
    <n v="0"/>
    <n v="0"/>
    <x v="124"/>
    <m/>
    <x v="1"/>
    <m/>
    <x v="25"/>
    <x v="25"/>
    <m/>
    <m/>
    <m/>
    <m/>
    <m/>
    <m/>
    <m/>
    <m/>
    <m/>
    <m/>
    <m/>
    <m/>
    <n v="0"/>
    <n v="0"/>
    <e v="#VALUE!"/>
    <m/>
  </r>
  <r>
    <x v="126"/>
    <d v="2019-02-03T00:00:00"/>
    <s v="KIỀU THY"/>
    <x v="66"/>
    <x v="68"/>
    <x v="34"/>
    <x v="1"/>
    <x v="0"/>
    <x v="2"/>
    <x v="6"/>
    <s v="NL2018"/>
    <m/>
    <n v="0"/>
    <n v="0"/>
    <x v="28"/>
    <n v="0"/>
    <x v="1"/>
    <d v="2019-03-15T00:00:00"/>
    <x v="5"/>
    <x v="5"/>
    <s v="15/3AL"/>
    <m/>
    <m/>
    <m/>
    <m/>
    <n v="0"/>
    <m/>
    <m/>
    <m/>
    <m/>
    <m/>
    <m/>
    <n v="0"/>
    <n v="0"/>
    <n v="0"/>
    <m/>
  </r>
  <r>
    <x v="126"/>
    <d v="2018-12-27T00:00:00"/>
    <s v="KIỀU THY"/>
    <x v="66"/>
    <x v="68"/>
    <x v="10"/>
    <x v="1"/>
    <x v="0"/>
    <x v="3"/>
    <x v="5"/>
    <s v="NL2018"/>
    <m/>
    <n v="0"/>
    <n v="0"/>
    <x v="10"/>
    <n v="0"/>
    <x v="1"/>
    <d v="2019-03-15T00:00:00"/>
    <x v="5"/>
    <x v="5"/>
    <s v="15/3AL"/>
    <m/>
    <m/>
    <m/>
    <m/>
    <m/>
    <m/>
    <m/>
    <m/>
    <m/>
    <m/>
    <m/>
    <n v="0"/>
    <n v="0"/>
    <n v="0"/>
    <m/>
  </r>
  <r>
    <x v="126"/>
    <d v="2018-12-27T00:00:00"/>
    <s v="KIỀU THY"/>
    <x v="66"/>
    <x v="68"/>
    <x v="10"/>
    <x v="1"/>
    <x v="0"/>
    <x v="3"/>
    <x v="5"/>
    <s v="NL2018"/>
    <m/>
    <n v="0"/>
    <n v="0"/>
    <x v="10"/>
    <n v="0"/>
    <x v="1"/>
    <d v="2019-04-25T00:00:00"/>
    <x v="60"/>
    <x v="60"/>
    <s v="T4 AL onwards, not including cooling cost"/>
    <m/>
    <m/>
    <m/>
    <m/>
    <n v="0"/>
    <m/>
    <m/>
    <m/>
    <m/>
    <m/>
    <m/>
    <n v="0"/>
    <n v="0"/>
    <n v="0"/>
    <m/>
  </r>
  <r>
    <x v="126"/>
    <d v="2019-02-03T00:00:00"/>
    <s v="KIỀU THY"/>
    <x v="66"/>
    <x v="68"/>
    <x v="5"/>
    <x v="3"/>
    <x v="0"/>
    <x v="1"/>
    <x v="9"/>
    <s v="NL2018"/>
    <m/>
    <n v="54"/>
    <n v="8100"/>
    <x v="73"/>
    <n v="51030000"/>
    <x v="0"/>
    <d v="2019-03-15T00:00:00"/>
    <x v="5"/>
    <x v="5"/>
    <s v="15/3AL"/>
    <m/>
    <m/>
    <m/>
    <d v="2019-05-11T00:00:00"/>
    <n v="4050"/>
    <d v="2019-05-21T00:00:00"/>
    <n v="4050"/>
    <m/>
    <m/>
    <m/>
    <m/>
    <n v="8100"/>
    <n v="0"/>
    <n v="0"/>
    <m/>
  </r>
  <r>
    <x v="126"/>
    <d v="2019-04-17T00:00:00"/>
    <s v="KIỀU THY"/>
    <x v="66"/>
    <x v="68"/>
    <x v="5"/>
    <x v="3"/>
    <x v="0"/>
    <x v="1"/>
    <x v="9"/>
    <s v="NL2018"/>
    <m/>
    <n v="67"/>
    <n v="10050"/>
    <x v="95"/>
    <n v="65606400"/>
    <x v="4"/>
    <d v="2019-04-17T00:00:00"/>
    <x v="1"/>
    <x v="1"/>
    <s v="10/4AL"/>
    <m/>
    <m/>
    <m/>
    <m/>
    <m/>
    <m/>
    <m/>
    <m/>
    <m/>
    <m/>
    <m/>
    <n v="0"/>
    <n v="10050"/>
    <n v="65606400"/>
    <m/>
  </r>
  <r>
    <x v="126"/>
    <d v="2019-04-23T00:00:00"/>
    <s v="KIỀU THY"/>
    <x v="66"/>
    <x v="68"/>
    <x v="5"/>
    <x v="3"/>
    <x v="0"/>
    <x v="1"/>
    <x v="9"/>
    <s v="NL2018"/>
    <m/>
    <n v="67"/>
    <n v="10050"/>
    <x v="125"/>
    <n v="67324950"/>
    <x v="4"/>
    <d v="2019-05-05T00:00:00"/>
    <x v="27"/>
    <x v="27"/>
    <s v="5/5AL"/>
    <m/>
    <m/>
    <m/>
    <d v="2019-06-15T00:00:00"/>
    <n v="8100"/>
    <d v="2019-06-17T00:00:00"/>
    <n v="1050"/>
    <m/>
    <m/>
    <m/>
    <m/>
    <n v="9150"/>
    <n v="900"/>
    <n v="6029100"/>
    <m/>
  </r>
  <r>
    <x v="126"/>
    <d v="2019-02-03T00:00:00"/>
    <s v="KIỀU THY"/>
    <x v="66"/>
    <x v="68"/>
    <x v="114"/>
    <x v="55"/>
    <x v="0"/>
    <x v="3"/>
    <x v="5"/>
    <s v="NL2018"/>
    <m/>
    <n v="35"/>
    <n v="7000"/>
    <x v="126"/>
    <n v="48097000"/>
    <x v="4"/>
    <d v="2019-04-17T00:00:00"/>
    <x v="1"/>
    <x v="1"/>
    <s v="30/3AL"/>
    <m/>
    <m/>
    <m/>
    <d v="2019-05-24T00:00:00"/>
    <n v="5000"/>
    <m/>
    <m/>
    <m/>
    <m/>
    <m/>
    <m/>
    <n v="5000"/>
    <n v="2000"/>
    <n v="13742000"/>
    <m/>
  </r>
  <r>
    <x v="127"/>
    <d v="2019-05-31T00:00:00"/>
    <s v="KIỀU THY"/>
    <x v="66"/>
    <x v="68"/>
    <x v="114"/>
    <x v="55"/>
    <x v="0"/>
    <x v="3"/>
    <x v="5"/>
    <s v="NL2018"/>
    <m/>
    <n v="75"/>
    <n v="15000"/>
    <x v="127"/>
    <m/>
    <x v="3"/>
    <d v="2019-06-05T00:00:00"/>
    <x v="58"/>
    <x v="58"/>
    <m/>
    <m/>
    <m/>
    <m/>
    <m/>
    <m/>
    <m/>
    <m/>
    <m/>
    <m/>
    <m/>
    <m/>
    <n v="0"/>
    <n v="15000"/>
    <e v="#VALUE!"/>
    <m/>
  </r>
  <r>
    <x v="128"/>
    <d v="2019-02-03T00:00:00"/>
    <s v="KIỀU THY"/>
    <x v="66"/>
    <x v="68"/>
    <x v="114"/>
    <x v="55"/>
    <x v="0"/>
    <x v="3"/>
    <x v="5"/>
    <s v="NL2018"/>
    <m/>
    <n v="65"/>
    <n v="13000"/>
    <x v="31"/>
    <n v="87100000"/>
    <x v="2"/>
    <d v="2019-08-01T00:00:00"/>
    <x v="49"/>
    <x v="49"/>
    <s v="T4 AL onwards, not including cooling cost"/>
    <m/>
    <m/>
    <s v="R"/>
    <m/>
    <n v="0"/>
    <m/>
    <m/>
    <m/>
    <m/>
    <m/>
    <m/>
    <n v="0"/>
    <n v="13000"/>
    <n v="87100000"/>
    <m/>
  </r>
  <r>
    <x v="127"/>
    <d v="2019-05-31T00:00:00"/>
    <s v="KIỀU THY"/>
    <x v="66"/>
    <x v="68"/>
    <x v="114"/>
    <x v="55"/>
    <x v="0"/>
    <x v="3"/>
    <x v="5"/>
    <s v="NL2018"/>
    <m/>
    <n v="50"/>
    <n v="10000"/>
    <x v="127"/>
    <m/>
    <x v="2"/>
    <d v="2019-07-05T00:00:00"/>
    <x v="59"/>
    <x v="59"/>
    <m/>
    <m/>
    <m/>
    <m/>
    <m/>
    <m/>
    <m/>
    <m/>
    <m/>
    <m/>
    <m/>
    <m/>
    <n v="0"/>
    <n v="10000"/>
    <e v="#VALUE!"/>
    <m/>
  </r>
  <r>
    <x v="126"/>
    <d v="2019-05-20T00:00:00"/>
    <s v="KIỀU THY"/>
    <x v="66"/>
    <x v="68"/>
    <x v="11"/>
    <x v="6"/>
    <x v="0"/>
    <x v="3"/>
    <x v="5"/>
    <s v="NL2018"/>
    <m/>
    <n v="24"/>
    <n v="4800"/>
    <x v="128"/>
    <n v="32976000"/>
    <x v="4"/>
    <d v="2019-04-17T00:00:00"/>
    <x v="1"/>
    <x v="1"/>
    <m/>
    <m/>
    <m/>
    <m/>
    <m/>
    <m/>
    <m/>
    <m/>
    <m/>
    <m/>
    <m/>
    <m/>
    <n v="0"/>
    <n v="4800"/>
    <n v="32976000"/>
    <m/>
  </r>
  <r>
    <x v="126"/>
    <d v="2019-02-03T00:00:00"/>
    <s v="KIỀU THY"/>
    <x v="66"/>
    <x v="68"/>
    <x v="11"/>
    <x v="6"/>
    <x v="0"/>
    <x v="3"/>
    <x v="5"/>
    <s v="NL2018"/>
    <m/>
    <n v="122"/>
    <n v="24400"/>
    <x v="31"/>
    <n v="163480000"/>
    <x v="0"/>
    <d v="2019-03-15T00:00:00"/>
    <x v="5"/>
    <x v="5"/>
    <s v="15/3AL"/>
    <s v="CONT 23/2019"/>
    <d v="2019-04-14T00:00:00"/>
    <m/>
    <d v="2019-05-03T00:00:00"/>
    <n v="6000"/>
    <d v="2019-05-22T00:00:00"/>
    <n v="4000"/>
    <d v="2019-05-29T00:00:00"/>
    <n v="14400"/>
    <m/>
    <m/>
    <n v="24400"/>
    <n v="0"/>
    <n v="0"/>
    <m/>
  </r>
  <r>
    <x v="126"/>
    <d v="2018-12-27T00:00:00"/>
    <s v="KIỀU THY"/>
    <x v="66"/>
    <x v="68"/>
    <x v="11"/>
    <x v="6"/>
    <x v="0"/>
    <x v="3"/>
    <x v="5"/>
    <s v="NL2018"/>
    <m/>
    <n v="70"/>
    <n v="14000"/>
    <x v="96"/>
    <n v="91000000"/>
    <x v="0"/>
    <d v="2019-01-15T00:00:00"/>
    <x v="6"/>
    <x v="6"/>
    <s v="15/1AL"/>
    <m/>
    <m/>
    <m/>
    <d v="2019-02-19T00:00:00"/>
    <n v="14000"/>
    <m/>
    <m/>
    <m/>
    <m/>
    <m/>
    <m/>
    <n v="14000"/>
    <n v="0"/>
    <n v="0"/>
    <m/>
  </r>
  <r>
    <x v="126"/>
    <d v="2018-12-27T00:00:00"/>
    <s v="KIỀU THY"/>
    <x v="66"/>
    <x v="68"/>
    <x v="11"/>
    <x v="6"/>
    <x v="0"/>
    <x v="3"/>
    <x v="5"/>
    <s v="NL2018"/>
    <m/>
    <n v="70"/>
    <n v="14000"/>
    <x v="96"/>
    <n v="91000000"/>
    <x v="0"/>
    <d v="2019-01-15T00:00:00"/>
    <x v="6"/>
    <x v="6"/>
    <s v="15/1AL"/>
    <m/>
    <m/>
    <m/>
    <d v="2019-03-11T00:00:00"/>
    <n v="14000"/>
    <m/>
    <m/>
    <m/>
    <m/>
    <m/>
    <m/>
    <n v="14000"/>
    <n v="0"/>
    <n v="0"/>
    <m/>
  </r>
  <r>
    <x v="126"/>
    <d v="2018-12-27T00:00:00"/>
    <s v="KIỀU THY"/>
    <x v="66"/>
    <x v="68"/>
    <x v="11"/>
    <x v="6"/>
    <x v="0"/>
    <x v="3"/>
    <x v="5"/>
    <s v="NL2018"/>
    <m/>
    <n v="45"/>
    <n v="9000"/>
    <x v="31"/>
    <n v="60300000"/>
    <x v="0"/>
    <d v="2019-02-15T00:00:00"/>
    <x v="0"/>
    <x v="0"/>
    <s v="15/2AL"/>
    <s v="CONT 12/2019"/>
    <d v="2019-03-17T00:00:00"/>
    <m/>
    <d v="2019-03-26T00:00:00"/>
    <n v="3000"/>
    <d v="2019-04-25T00:00:00"/>
    <n v="6000"/>
    <m/>
    <m/>
    <m/>
    <m/>
    <n v="9000"/>
    <n v="0"/>
    <n v="0"/>
    <m/>
  </r>
  <r>
    <x v="126"/>
    <d v="2019-04-23T00:00:00"/>
    <s v="KIỀU THY"/>
    <x v="66"/>
    <x v="68"/>
    <x v="11"/>
    <x v="6"/>
    <x v="0"/>
    <x v="3"/>
    <x v="5"/>
    <s v="NL2018"/>
    <m/>
    <n v="50"/>
    <n v="10000"/>
    <x v="129"/>
    <n v="69990000"/>
    <x v="4"/>
    <d v="2019-05-05T00:00:00"/>
    <x v="27"/>
    <x v="27"/>
    <s v="5/5AL"/>
    <m/>
    <m/>
    <m/>
    <d v="2019-06-15T00:00:00"/>
    <n v="4800"/>
    <d v="2019-06-25T00:00:00"/>
    <n v="5000"/>
    <m/>
    <m/>
    <m/>
    <m/>
    <n v="9800"/>
    <n v="200"/>
    <n v="1399800"/>
    <m/>
  </r>
  <r>
    <x v="127"/>
    <d v="2019-05-31T00:00:00"/>
    <s v="KIỀU THY"/>
    <x v="66"/>
    <x v="68"/>
    <x v="11"/>
    <x v="6"/>
    <x v="0"/>
    <x v="3"/>
    <x v="5"/>
    <s v="NL2018"/>
    <m/>
    <n v="100"/>
    <n v="20000"/>
    <x v="130"/>
    <m/>
    <x v="3"/>
    <d v="2019-06-05T00:00:00"/>
    <x v="58"/>
    <x v="58"/>
    <m/>
    <m/>
    <m/>
    <m/>
    <m/>
    <m/>
    <m/>
    <m/>
    <m/>
    <m/>
    <m/>
    <m/>
    <n v="0"/>
    <n v="20000"/>
    <e v="#VALUE!"/>
    <m/>
  </r>
  <r>
    <x v="128"/>
    <d v="2018-12-27T00:00:00"/>
    <s v="KIỀU THY"/>
    <x v="66"/>
    <x v="68"/>
    <x v="11"/>
    <x v="6"/>
    <x v="0"/>
    <x v="3"/>
    <x v="5"/>
    <s v="NL2018"/>
    <m/>
    <n v="204"/>
    <n v="40800"/>
    <x v="96"/>
    <n v="265200000"/>
    <x v="2"/>
    <d v="2019-08-01T00:00:00"/>
    <x v="49"/>
    <x v="49"/>
    <s v="T4 AL onwards, not including cooling cost"/>
    <m/>
    <m/>
    <s v="R"/>
    <m/>
    <n v="0"/>
    <m/>
    <m/>
    <m/>
    <m/>
    <m/>
    <m/>
    <n v="0"/>
    <n v="40800"/>
    <n v="265200000"/>
    <m/>
  </r>
  <r>
    <x v="127"/>
    <d v="2019-05-31T00:00:00"/>
    <s v="KIỀU THY"/>
    <x v="66"/>
    <x v="68"/>
    <x v="11"/>
    <x v="6"/>
    <x v="0"/>
    <x v="3"/>
    <x v="5"/>
    <s v="NL2018"/>
    <m/>
    <n v="100"/>
    <n v="20000"/>
    <x v="130"/>
    <m/>
    <x v="2"/>
    <d v="2019-07-05T00:00:00"/>
    <x v="59"/>
    <x v="59"/>
    <m/>
    <m/>
    <m/>
    <m/>
    <m/>
    <m/>
    <m/>
    <m/>
    <m/>
    <m/>
    <m/>
    <m/>
    <n v="0"/>
    <n v="20000"/>
    <e v="#VALUE!"/>
    <m/>
  </r>
  <r>
    <x v="129"/>
    <d v="2019-03-14T00:00:00"/>
    <s v="KIỀU THY"/>
    <x v="66"/>
    <x v="68"/>
    <x v="85"/>
    <x v="6"/>
    <x v="0"/>
    <x v="1"/>
    <x v="9"/>
    <s v="NL2018"/>
    <m/>
    <n v="67"/>
    <n v="10050"/>
    <x v="26"/>
    <n v="108540000"/>
    <x v="2"/>
    <d v="2019-09-01T00:00:00"/>
    <x v="2"/>
    <x v="2"/>
    <s v="TẾT."/>
    <m/>
    <m/>
    <m/>
    <m/>
    <n v="0"/>
    <m/>
    <m/>
    <m/>
    <m/>
    <m/>
    <m/>
    <n v="0"/>
    <n v="10050"/>
    <n v="108540000"/>
    <m/>
  </r>
  <r>
    <x v="126"/>
    <d v="2019-04-23T00:00:00"/>
    <s v="KIỀU THY"/>
    <x v="66"/>
    <x v="68"/>
    <x v="115"/>
    <x v="59"/>
    <x v="1"/>
    <x v="7"/>
    <x v="8"/>
    <s v="NL2018"/>
    <m/>
    <n v="1"/>
    <n v="400"/>
    <x v="16"/>
    <n v="3440000"/>
    <x v="0"/>
    <d v="2019-04-17T00:00:00"/>
    <x v="1"/>
    <x v="1"/>
    <m/>
    <m/>
    <m/>
    <m/>
    <m/>
    <m/>
    <m/>
    <m/>
    <m/>
    <m/>
    <m/>
    <m/>
    <n v="0"/>
    <n v="400"/>
    <n v="3440000"/>
    <m/>
  </r>
  <r>
    <x v="126"/>
    <d v="2019-04-23T00:00:00"/>
    <s v="KIỀU THY"/>
    <x v="66"/>
    <x v="68"/>
    <x v="72"/>
    <x v="36"/>
    <x v="1"/>
    <x v="7"/>
    <x v="8"/>
    <s v="NL2018"/>
    <m/>
    <n v="0"/>
    <n v="0"/>
    <x v="16"/>
    <n v="0"/>
    <x v="1"/>
    <d v="2019-04-17T00:00:00"/>
    <x v="1"/>
    <x v="1"/>
    <m/>
    <m/>
    <m/>
    <m/>
    <m/>
    <m/>
    <m/>
    <m/>
    <m/>
    <m/>
    <m/>
    <m/>
    <n v="0"/>
    <n v="0"/>
    <n v="0"/>
    <m/>
  </r>
  <r>
    <x v="126"/>
    <d v="2019-04-23T00:00:00"/>
    <s v="KIỀU THY"/>
    <x v="66"/>
    <x v="68"/>
    <x v="72"/>
    <x v="36"/>
    <x v="1"/>
    <x v="7"/>
    <x v="8"/>
    <s v="NL2018"/>
    <m/>
    <n v="2"/>
    <n v="800"/>
    <x v="17"/>
    <n v="6960000"/>
    <x v="4"/>
    <d v="2019-05-05T00:00:00"/>
    <x v="27"/>
    <x v="27"/>
    <m/>
    <m/>
    <m/>
    <m/>
    <m/>
    <m/>
    <m/>
    <m/>
    <m/>
    <m/>
    <m/>
    <m/>
    <n v="0"/>
    <n v="800"/>
    <n v="6960000"/>
    <m/>
  </r>
  <r>
    <x v="127"/>
    <d v="2019-05-31T00:00:00"/>
    <s v="KIỀU THY"/>
    <x v="66"/>
    <x v="68"/>
    <x v="72"/>
    <x v="36"/>
    <x v="1"/>
    <x v="7"/>
    <x v="8"/>
    <s v="NL2018"/>
    <m/>
    <n v="2"/>
    <n v="800"/>
    <x v="17"/>
    <n v="6960000"/>
    <x v="3"/>
    <d v="2019-06-05T00:00:00"/>
    <x v="58"/>
    <x v="58"/>
    <m/>
    <m/>
    <m/>
    <m/>
    <m/>
    <m/>
    <m/>
    <m/>
    <m/>
    <m/>
    <m/>
    <m/>
    <n v="0"/>
    <n v="800"/>
    <n v="6960000"/>
    <m/>
  </r>
  <r>
    <x v="127"/>
    <d v="2019-05-31T00:00:00"/>
    <s v="KIỀU THY"/>
    <x v="66"/>
    <x v="68"/>
    <x v="72"/>
    <x v="36"/>
    <x v="1"/>
    <x v="7"/>
    <x v="8"/>
    <s v="NL2018"/>
    <m/>
    <n v="2"/>
    <n v="800"/>
    <x v="17"/>
    <n v="6960000"/>
    <x v="2"/>
    <d v="2019-07-05T00:00:00"/>
    <x v="59"/>
    <x v="59"/>
    <m/>
    <m/>
    <m/>
    <m/>
    <m/>
    <m/>
    <m/>
    <m/>
    <m/>
    <m/>
    <m/>
    <m/>
    <n v="0"/>
    <n v="800"/>
    <n v="6960000"/>
    <m/>
  </r>
  <r>
    <x v="128"/>
    <d v="2019-05-31T00:00:00"/>
    <s v="KIỀU THY"/>
    <x v="66"/>
    <x v="68"/>
    <x v="72"/>
    <x v="36"/>
    <x v="1"/>
    <x v="7"/>
    <x v="8"/>
    <s v="NL2018"/>
    <m/>
    <n v="10"/>
    <n v="4000"/>
    <x v="124"/>
    <m/>
    <x v="2"/>
    <m/>
    <x v="25"/>
    <x v="25"/>
    <s v="Chừa hàng"/>
    <m/>
    <m/>
    <m/>
    <m/>
    <m/>
    <m/>
    <m/>
    <m/>
    <m/>
    <m/>
    <m/>
    <n v="0"/>
    <n v="4000"/>
    <e v="#VALUE!"/>
    <m/>
  </r>
  <r>
    <x v="126"/>
    <d v="2019-04-23T00:00:00"/>
    <s v="KIỀU THY"/>
    <x v="66"/>
    <x v="68"/>
    <x v="68"/>
    <x v="35"/>
    <x v="0"/>
    <x v="3"/>
    <x v="5"/>
    <s v="NL2018"/>
    <m/>
    <n v="9"/>
    <n v="1800"/>
    <x v="131"/>
    <n v="11467800"/>
    <x v="4"/>
    <d v="2019-05-05T00:00:00"/>
    <x v="27"/>
    <x v="27"/>
    <s v="5/5AL"/>
    <s v="CONT 27/2019"/>
    <d v="2019-04-14T00:00:00"/>
    <m/>
    <m/>
    <n v="0"/>
    <m/>
    <m/>
    <m/>
    <m/>
    <m/>
    <m/>
    <n v="0"/>
    <n v="1800"/>
    <n v="11467800"/>
    <m/>
  </r>
  <r>
    <x v="128"/>
    <d v="2018-12-27T00:00:00"/>
    <s v="KIỀU THY"/>
    <x v="66"/>
    <x v="68"/>
    <x v="43"/>
    <x v="24"/>
    <x v="0"/>
    <x v="3"/>
    <x v="5"/>
    <s v="NL2018"/>
    <m/>
    <n v="35"/>
    <n v="7000"/>
    <x v="132"/>
    <n v="44541000"/>
    <x v="3"/>
    <d v="2019-06-15T00:00:00"/>
    <x v="4"/>
    <x v="4"/>
    <s v="T4 AL onwards, not including cooling cost"/>
    <m/>
    <m/>
    <m/>
    <m/>
    <n v="0"/>
    <m/>
    <m/>
    <m/>
    <m/>
    <m/>
    <m/>
    <n v="0"/>
    <n v="7000"/>
    <n v="44541000"/>
    <m/>
  </r>
  <r>
    <x v="126"/>
    <d v="2019-02-03T00:00:00"/>
    <s v="KIỀU THY"/>
    <x v="66"/>
    <x v="68"/>
    <x v="43"/>
    <x v="24"/>
    <x v="0"/>
    <x v="3"/>
    <x v="5"/>
    <s v="NL2018"/>
    <m/>
    <n v="15"/>
    <n v="3000"/>
    <x v="50"/>
    <n v="18000000"/>
    <x v="0"/>
    <s v="30-Feb-19"/>
    <x v="29"/>
    <x v="29"/>
    <s v="30/2AL"/>
    <s v="CONT 17/2019"/>
    <d v="2019-03-31T00:00:00"/>
    <m/>
    <d v="2019-04-08T00:00:00"/>
    <n v="3000"/>
    <m/>
    <m/>
    <m/>
    <m/>
    <m/>
    <m/>
    <n v="3000"/>
    <n v="0"/>
    <n v="0"/>
    <m/>
  </r>
  <r>
    <x v="126"/>
    <d v="2019-05-20T00:00:00"/>
    <s v="KIỀU THY"/>
    <x v="66"/>
    <x v="68"/>
    <x v="26"/>
    <x v="13"/>
    <x v="0"/>
    <x v="3"/>
    <x v="5"/>
    <s v="NL2018"/>
    <m/>
    <n v="1"/>
    <n v="200"/>
    <x v="32"/>
    <n v="1060000"/>
    <x v="0"/>
    <d v="2019-04-17T00:00:00"/>
    <x v="1"/>
    <x v="1"/>
    <m/>
    <m/>
    <m/>
    <m/>
    <d v="2019-05-21T00:00:00"/>
    <n v="200"/>
    <m/>
    <m/>
    <m/>
    <m/>
    <m/>
    <m/>
    <n v="200"/>
    <n v="0"/>
    <n v="0"/>
    <m/>
  </r>
  <r>
    <x v="126"/>
    <d v="2019-02-03T00:00:00"/>
    <s v="KIỀU THY"/>
    <x v="66"/>
    <x v="68"/>
    <x v="116"/>
    <x v="44"/>
    <x v="0"/>
    <x v="2"/>
    <x v="6"/>
    <s v="NL2018"/>
    <m/>
    <n v="17"/>
    <n v="5100"/>
    <x v="133"/>
    <n v="19961400"/>
    <x v="0"/>
    <d v="2019-04-17T00:00:00"/>
    <x v="1"/>
    <x v="1"/>
    <s v="30/3AL"/>
    <m/>
    <m/>
    <m/>
    <d v="2019-06-01T00:00:00"/>
    <n v="1200"/>
    <d v="2019-06-06T00:00:00"/>
    <n v="2100"/>
    <d v="2019-06-11T00:00:00"/>
    <n v="1800"/>
    <m/>
    <m/>
    <n v="5100"/>
    <n v="0"/>
    <n v="0"/>
    <m/>
  </r>
  <r>
    <x v="126"/>
    <d v="2019-04-23T00:00:00"/>
    <s v="KIỀU THY"/>
    <x v="66"/>
    <x v="68"/>
    <x v="116"/>
    <x v="44"/>
    <x v="0"/>
    <x v="2"/>
    <x v="6"/>
    <s v="NL2018"/>
    <m/>
    <n v="17"/>
    <n v="5100"/>
    <x v="134"/>
    <n v="20394900"/>
    <x v="4"/>
    <d v="2019-05-12T00:00:00"/>
    <x v="40"/>
    <x v="40"/>
    <s v="5/5AL"/>
    <m/>
    <m/>
    <m/>
    <m/>
    <m/>
    <m/>
    <m/>
    <m/>
    <m/>
    <m/>
    <m/>
    <n v="0"/>
    <n v="5100"/>
    <n v="20394900"/>
    <m/>
  </r>
  <r>
    <x v="127"/>
    <d v="2019-05-31T00:00:00"/>
    <s v="KIỀU THY"/>
    <x v="66"/>
    <x v="68"/>
    <x v="116"/>
    <x v="44"/>
    <x v="0"/>
    <x v="2"/>
    <x v="6"/>
    <s v="NL2018"/>
    <m/>
    <n v="17"/>
    <n v="5100"/>
    <x v="135"/>
    <m/>
    <x v="3"/>
    <d v="2019-06-05T00:00:00"/>
    <x v="58"/>
    <x v="58"/>
    <m/>
    <m/>
    <m/>
    <m/>
    <m/>
    <m/>
    <m/>
    <m/>
    <m/>
    <m/>
    <m/>
    <m/>
    <n v="0"/>
    <n v="5100"/>
    <e v="#VALUE!"/>
    <m/>
  </r>
  <r>
    <x v="128"/>
    <d v="2018-12-27T00:00:00"/>
    <s v="KIỀU THY"/>
    <x v="66"/>
    <x v="68"/>
    <x v="116"/>
    <x v="44"/>
    <x v="0"/>
    <x v="2"/>
    <x v="6"/>
    <s v="NL2018"/>
    <m/>
    <n v="15"/>
    <n v="4500"/>
    <x v="77"/>
    <n v="17100000"/>
    <x v="2"/>
    <d v="2019-08-01T00:00:00"/>
    <x v="49"/>
    <x v="49"/>
    <s v="T4 AL onwards, not including cooling cost"/>
    <m/>
    <m/>
    <m/>
    <m/>
    <n v="0"/>
    <m/>
    <m/>
    <m/>
    <m/>
    <m/>
    <m/>
    <n v="0"/>
    <n v="4500"/>
    <n v="17100000"/>
    <m/>
  </r>
  <r>
    <x v="127"/>
    <d v="2019-05-31T00:00:00"/>
    <s v="KIỀU THY"/>
    <x v="66"/>
    <x v="68"/>
    <x v="116"/>
    <x v="44"/>
    <x v="0"/>
    <x v="2"/>
    <x v="6"/>
    <s v="NL2018"/>
    <m/>
    <n v="17"/>
    <n v="5100"/>
    <x v="135"/>
    <m/>
    <x v="2"/>
    <d v="2019-07-05T00:00:00"/>
    <x v="59"/>
    <x v="59"/>
    <m/>
    <m/>
    <m/>
    <m/>
    <m/>
    <m/>
    <m/>
    <m/>
    <m/>
    <m/>
    <m/>
    <m/>
    <n v="0"/>
    <n v="5100"/>
    <e v="#VALUE!"/>
    <m/>
  </r>
  <r>
    <x v="129"/>
    <d v="2019-03-14T00:00:00"/>
    <s v="KIỀU THY"/>
    <x v="66"/>
    <x v="68"/>
    <x v="89"/>
    <x v="44"/>
    <x v="0"/>
    <x v="3"/>
    <x v="5"/>
    <s v="NL2018"/>
    <m/>
    <n v="25"/>
    <n v="5000"/>
    <x v="41"/>
    <n v="30500000"/>
    <x v="2"/>
    <d v="2019-09-01T00:00:00"/>
    <x v="2"/>
    <x v="2"/>
    <s v="TẾT"/>
    <m/>
    <m/>
    <m/>
    <m/>
    <n v="0"/>
    <m/>
    <m/>
    <m/>
    <m/>
    <m/>
    <m/>
    <n v="0"/>
    <n v="5000"/>
    <n v="30500000"/>
    <m/>
  </r>
  <r>
    <x v="127"/>
    <d v="2019-05-31T00:00:00"/>
    <s v="KIỀU THY"/>
    <x v="66"/>
    <x v="68"/>
    <x v="95"/>
    <x v="48"/>
    <x v="0"/>
    <x v="3"/>
    <x v="5"/>
    <s v="NL2018"/>
    <m/>
    <n v="0"/>
    <n v="0"/>
    <x v="31"/>
    <n v="0"/>
    <x v="1"/>
    <d v="2019-06-15T00:00:00"/>
    <x v="4"/>
    <x v="4"/>
    <m/>
    <m/>
    <m/>
    <m/>
    <m/>
    <m/>
    <m/>
    <m/>
    <m/>
    <m/>
    <m/>
    <m/>
    <n v="0"/>
    <n v="0"/>
    <n v="0"/>
    <m/>
  </r>
  <r>
    <x v="126"/>
    <d v="2018-12-27T00:00:00"/>
    <s v="KIỀU THY"/>
    <x v="66"/>
    <x v="68"/>
    <x v="23"/>
    <x v="11"/>
    <x v="0"/>
    <x v="2"/>
    <x v="6"/>
    <s v="NL2018"/>
    <m/>
    <n v="10"/>
    <n v="3000"/>
    <x v="136"/>
    <n v="16242000"/>
    <x v="0"/>
    <d v="2019-04-17T00:00:00"/>
    <x v="1"/>
    <x v="1"/>
    <s v="30/3AL"/>
    <m/>
    <m/>
    <m/>
    <d v="2019-06-01T00:00:00"/>
    <n v="3000"/>
    <m/>
    <m/>
    <m/>
    <m/>
    <m/>
    <m/>
    <n v="3000"/>
    <n v="0"/>
    <n v="0"/>
    <m/>
  </r>
  <r>
    <x v="126"/>
    <d v="2019-03-14T00:00:00"/>
    <s v="KIỀU THY"/>
    <x v="66"/>
    <x v="68"/>
    <x v="117"/>
    <x v="11"/>
    <x v="0"/>
    <x v="3"/>
    <x v="5"/>
    <s v="NL2018"/>
    <m/>
    <n v="50"/>
    <n v="10000"/>
    <x v="31"/>
    <n v="67000000"/>
    <x v="0"/>
    <d v="2019-02-15T00:00:00"/>
    <x v="0"/>
    <x v="0"/>
    <s v="15/2AL"/>
    <s v="CONT 11/2019"/>
    <d v="2019-03-17T00:00:00"/>
    <m/>
    <d v="2019-03-21T00:00:00"/>
    <n v="4000"/>
    <d v="2019-04-22T00:00:00"/>
    <n v="6000"/>
    <m/>
    <m/>
    <m/>
    <m/>
    <n v="10000"/>
    <n v="0"/>
    <n v="0"/>
    <m/>
  </r>
  <r>
    <x v="129"/>
    <d v="2019-03-14T00:00:00"/>
    <s v="KIỀU THY"/>
    <x v="66"/>
    <x v="68"/>
    <x v="118"/>
    <x v="11"/>
    <x v="0"/>
    <x v="1"/>
    <x v="9"/>
    <s v="NL2018"/>
    <m/>
    <n v="52"/>
    <n v="7800"/>
    <x v="137"/>
    <n v="92820000"/>
    <x v="2"/>
    <d v="2019-09-01T00:00:00"/>
    <x v="2"/>
    <x v="2"/>
    <s v="TẾT. Hoặc competition"/>
    <m/>
    <m/>
    <m/>
    <m/>
    <n v="0"/>
    <m/>
    <m/>
    <m/>
    <m/>
    <m/>
    <m/>
    <n v="0"/>
    <n v="7800"/>
    <n v="92820000"/>
    <m/>
  </r>
  <r>
    <x v="126"/>
    <d v="2018-12-27T00:00:00"/>
    <s v="KIỀU THY"/>
    <x v="66"/>
    <x v="68"/>
    <x v="6"/>
    <x v="39"/>
    <x v="0"/>
    <x v="3"/>
    <x v="5"/>
    <s v="NL2018"/>
    <m/>
    <n v="25"/>
    <n v="5000"/>
    <x v="50"/>
    <n v="30000000"/>
    <x v="0"/>
    <d v="2019-04-17T00:00:00"/>
    <x v="1"/>
    <x v="1"/>
    <s v="10/4AL"/>
    <m/>
    <m/>
    <m/>
    <d v="2019-06-03T00:00:00"/>
    <n v="5000"/>
    <m/>
    <m/>
    <m/>
    <m/>
    <m/>
    <m/>
    <n v="5000"/>
    <n v="0"/>
    <n v="0"/>
    <m/>
  </r>
  <r>
    <x v="126"/>
    <d v="2018-12-27T00:00:00"/>
    <s v="KIỀU THY"/>
    <x v="66"/>
    <x v="68"/>
    <x v="6"/>
    <x v="39"/>
    <x v="0"/>
    <x v="3"/>
    <x v="5"/>
    <s v="NL2018"/>
    <m/>
    <n v="25"/>
    <n v="5000"/>
    <x v="28"/>
    <n v="23000000"/>
    <x v="0"/>
    <d v="2019-01-15T00:00:00"/>
    <x v="6"/>
    <x v="6"/>
    <s v="15/1AL"/>
    <m/>
    <m/>
    <m/>
    <d v="2019-03-04T00:00:00"/>
    <n v="5000"/>
    <m/>
    <m/>
    <m/>
    <m/>
    <m/>
    <m/>
    <n v="5000"/>
    <n v="0"/>
    <n v="0"/>
    <m/>
  </r>
  <r>
    <x v="126"/>
    <d v="2018-12-27T00:00:00"/>
    <s v="KIỀU THY"/>
    <x v="66"/>
    <x v="68"/>
    <x v="6"/>
    <x v="39"/>
    <x v="0"/>
    <x v="3"/>
    <x v="5"/>
    <s v="NL2018"/>
    <m/>
    <n v="25"/>
    <n v="5000"/>
    <x v="50"/>
    <n v="30000000"/>
    <x v="0"/>
    <d v="2019-03-15T00:00:00"/>
    <x v="5"/>
    <x v="5"/>
    <m/>
    <m/>
    <m/>
    <m/>
    <d v="2019-05-14T00:00:00"/>
    <n v="5000"/>
    <m/>
    <m/>
    <m/>
    <m/>
    <m/>
    <m/>
    <n v="5000"/>
    <n v="0"/>
    <n v="0"/>
    <m/>
  </r>
  <r>
    <x v="126"/>
    <d v="2019-04-23T00:00:00"/>
    <s v="KIỀU THY"/>
    <x v="66"/>
    <x v="68"/>
    <x v="6"/>
    <x v="39"/>
    <x v="0"/>
    <x v="3"/>
    <x v="5"/>
    <s v="NL2018"/>
    <m/>
    <n v="50"/>
    <n v="10000"/>
    <x v="138"/>
    <n v="65840000"/>
    <x v="3"/>
    <d v="2019-06-05T00:00:00"/>
    <x v="58"/>
    <x v="58"/>
    <s v="05/6AL"/>
    <m/>
    <m/>
    <m/>
    <m/>
    <n v="0"/>
    <m/>
    <m/>
    <m/>
    <m/>
    <m/>
    <m/>
    <n v="0"/>
    <n v="10000"/>
    <n v="65840000"/>
    <m/>
  </r>
  <r>
    <x v="126"/>
    <d v="2019-04-23T00:00:00"/>
    <s v="KIỀU THY"/>
    <x v="66"/>
    <x v="68"/>
    <x v="6"/>
    <x v="39"/>
    <x v="0"/>
    <x v="3"/>
    <x v="5"/>
    <s v="NL2018"/>
    <m/>
    <n v="50"/>
    <n v="10000"/>
    <x v="139"/>
    <n v="66690000"/>
    <x v="2"/>
    <d v="2019-07-05T00:00:00"/>
    <x v="59"/>
    <x v="59"/>
    <s v="05/7AL"/>
    <m/>
    <m/>
    <m/>
    <m/>
    <n v="0"/>
    <m/>
    <m/>
    <m/>
    <m/>
    <m/>
    <m/>
    <n v="0"/>
    <n v="10000"/>
    <n v="66690000"/>
    <m/>
  </r>
  <r>
    <x v="126"/>
    <d v="2019-04-23T00:00:00"/>
    <s v="KIỀU THY"/>
    <x v="66"/>
    <x v="68"/>
    <x v="6"/>
    <x v="39"/>
    <x v="0"/>
    <x v="3"/>
    <x v="5"/>
    <s v="NL2018"/>
    <m/>
    <n v="50"/>
    <n v="10000"/>
    <x v="140"/>
    <n v="67540000"/>
    <x v="2"/>
    <d v="2019-08-05T00:00:00"/>
    <x v="61"/>
    <x v="61"/>
    <s v="05/8AL"/>
    <m/>
    <m/>
    <m/>
    <m/>
    <n v="0"/>
    <m/>
    <m/>
    <m/>
    <m/>
    <m/>
    <m/>
    <n v="0"/>
    <n v="10000"/>
    <n v="67540000"/>
    <m/>
  </r>
  <r>
    <x v="126"/>
    <d v="2019-04-23T00:00:00"/>
    <s v="KIỀU THY"/>
    <x v="66"/>
    <x v="68"/>
    <x v="6"/>
    <x v="39"/>
    <x v="0"/>
    <x v="3"/>
    <x v="5"/>
    <s v="NL2018"/>
    <m/>
    <n v="50"/>
    <n v="10000"/>
    <x v="141"/>
    <n v="68390000"/>
    <x v="2"/>
    <d v="2019-09-05T00:00:00"/>
    <x v="62"/>
    <x v="62"/>
    <s v="05/9AL"/>
    <m/>
    <m/>
    <m/>
    <m/>
    <n v="0"/>
    <m/>
    <m/>
    <m/>
    <m/>
    <m/>
    <m/>
    <n v="0"/>
    <n v="10000"/>
    <n v="68390000"/>
    <m/>
  </r>
  <r>
    <x v="126"/>
    <d v="2018-12-27T00:00:00"/>
    <s v="KIỀU THY"/>
    <x v="66"/>
    <x v="68"/>
    <x v="6"/>
    <x v="4"/>
    <x v="0"/>
    <x v="3"/>
    <x v="5"/>
    <s v="NL2018"/>
    <m/>
    <n v="45"/>
    <n v="9000"/>
    <x v="28"/>
    <n v="41400000"/>
    <x v="0"/>
    <d v="2019-02-15T00:00:00"/>
    <x v="0"/>
    <x v="0"/>
    <s v="15/2AL"/>
    <s v="CONT 10/2019"/>
    <d v="2019-03-17T00:00:00"/>
    <m/>
    <d v="2019-03-04T00:00:00"/>
    <n v="5000"/>
    <d v="2019-03-19T00:00:00"/>
    <n v="4000"/>
    <m/>
    <m/>
    <m/>
    <m/>
    <n v="9000"/>
    <n v="0"/>
    <n v="0"/>
    <m/>
  </r>
  <r>
    <x v="126"/>
    <d v="2019-02-03T00:00:00"/>
    <s v="KIỀU THY"/>
    <x v="66"/>
    <x v="68"/>
    <x v="6"/>
    <x v="4"/>
    <x v="0"/>
    <x v="3"/>
    <x v="5"/>
    <s v="NL2018"/>
    <m/>
    <n v="20"/>
    <n v="4000"/>
    <x v="8"/>
    <n v="20000000"/>
    <x v="0"/>
    <d v="2019-03-15T00:00:00"/>
    <x v="5"/>
    <x v="5"/>
    <s v="15/3AL"/>
    <m/>
    <m/>
    <m/>
    <d v="2019-05-03T00:00:00"/>
    <n v="4000"/>
    <m/>
    <m/>
    <m/>
    <m/>
    <m/>
    <m/>
    <n v="4000"/>
    <n v="0"/>
    <n v="0"/>
    <m/>
  </r>
  <r>
    <x v="126"/>
    <d v="2019-04-23T00:00:00"/>
    <s v="KIỀU THY"/>
    <x v="66"/>
    <x v="68"/>
    <x v="6"/>
    <x v="4"/>
    <x v="0"/>
    <x v="3"/>
    <x v="5"/>
    <s v="NL2018"/>
    <m/>
    <n v="50"/>
    <n v="10000"/>
    <x v="142"/>
    <n v="64990000"/>
    <x v="4"/>
    <d v="2019-05-05T00:00:00"/>
    <x v="27"/>
    <x v="27"/>
    <s v="5/5AL"/>
    <m/>
    <m/>
    <m/>
    <d v="2019-06-15T00:00:00"/>
    <n v="5000"/>
    <m/>
    <m/>
    <m/>
    <m/>
    <m/>
    <m/>
    <n v="5000"/>
    <n v="5000"/>
    <n v="32495000"/>
    <m/>
  </r>
  <r>
    <x v="129"/>
    <d v="2019-03-14T00:00:00"/>
    <s v="KIỀU THY"/>
    <x v="66"/>
    <x v="68"/>
    <x v="8"/>
    <x v="4"/>
    <x v="0"/>
    <x v="1"/>
    <x v="9"/>
    <s v="NL2018"/>
    <m/>
    <n v="87"/>
    <n v="13050"/>
    <x v="30"/>
    <n v="97875000"/>
    <x v="2"/>
    <d v="2019-09-01T00:00:00"/>
    <x v="2"/>
    <x v="2"/>
    <s v="TẾT."/>
    <m/>
    <m/>
    <m/>
    <m/>
    <n v="0"/>
    <m/>
    <m/>
    <m/>
    <m/>
    <m/>
    <m/>
    <n v="0"/>
    <n v="13050"/>
    <n v="97875000"/>
    <m/>
  </r>
  <r>
    <x v="126"/>
    <d v="2018-12-27T00:00:00"/>
    <s v="KIỀU THY"/>
    <x v="66"/>
    <x v="68"/>
    <x v="6"/>
    <x v="4"/>
    <x v="0"/>
    <x v="3"/>
    <x v="5"/>
    <s v="NL2018"/>
    <m/>
    <n v="25"/>
    <n v="5000"/>
    <x v="28"/>
    <n v="23000000"/>
    <x v="0"/>
    <s v="30-Feb-19"/>
    <x v="29"/>
    <x v="29"/>
    <s v="30/2AL"/>
    <s v="CONT 17/2019"/>
    <d v="2019-03-31T00:00:00"/>
    <m/>
    <d v="2019-04-15T00:00:00"/>
    <n v="5000"/>
    <m/>
    <m/>
    <m/>
    <m/>
    <m/>
    <m/>
    <n v="5000"/>
    <n v="0"/>
    <n v="0"/>
    <m/>
  </r>
  <r>
    <x v="126"/>
    <d v="2018-12-27T00:00:00"/>
    <s v="KIỀU THY"/>
    <x v="66"/>
    <x v="68"/>
    <x v="48"/>
    <x v="28"/>
    <x v="0"/>
    <x v="3"/>
    <x v="5"/>
    <s v="NL2018"/>
    <m/>
    <n v="90"/>
    <n v="18000"/>
    <x v="31"/>
    <n v="120600000"/>
    <x v="0"/>
    <d v="2019-02-15T00:00:00"/>
    <x v="0"/>
    <x v="0"/>
    <s v="15/2AL"/>
    <s v="CONT 9/2019"/>
    <d v="2019-03-17T00:00:00"/>
    <m/>
    <d v="2019-03-21T00:00:00"/>
    <n v="3000"/>
    <d v="2019-03-28T00:00:00"/>
    <n v="3000"/>
    <d v="2019-04-08T00:00:00"/>
    <n v="12000"/>
    <m/>
    <m/>
    <n v="18000"/>
    <n v="0"/>
    <n v="0"/>
    <m/>
  </r>
  <r>
    <x v="126"/>
    <d v="2019-05-10T00:00:00"/>
    <s v="KIỀU THY"/>
    <x v="66"/>
    <x v="68"/>
    <x v="48"/>
    <x v="28"/>
    <x v="0"/>
    <x v="3"/>
    <x v="5"/>
    <s v="NL2018"/>
    <m/>
    <n v="15"/>
    <n v="3000"/>
    <x v="70"/>
    <n v="21300000"/>
    <x v="4"/>
    <d v="2019-05-05T00:00:00"/>
    <x v="27"/>
    <x v="27"/>
    <m/>
    <m/>
    <m/>
    <m/>
    <m/>
    <m/>
    <m/>
    <m/>
    <m/>
    <m/>
    <m/>
    <m/>
    <n v="0"/>
    <n v="3000"/>
    <n v="21300000"/>
    <m/>
  </r>
  <r>
    <x v="126"/>
    <d v="2018-12-27T00:00:00"/>
    <s v="KIỀU THY"/>
    <x v="66"/>
    <x v="68"/>
    <x v="119"/>
    <x v="60"/>
    <x v="0"/>
    <x v="3"/>
    <x v="5"/>
    <s v="NL2018"/>
    <m/>
    <n v="25"/>
    <n v="5000"/>
    <x v="143"/>
    <n v="30855000"/>
    <x v="4"/>
    <d v="2019-04-17T00:00:00"/>
    <x v="1"/>
    <x v="1"/>
    <s v="30/3AL"/>
    <m/>
    <m/>
    <m/>
    <d v="2019-06-11T00:00:00"/>
    <n v="3000"/>
    <m/>
    <m/>
    <m/>
    <m/>
    <m/>
    <m/>
    <n v="3000"/>
    <n v="2000"/>
    <n v="12342000"/>
    <m/>
  </r>
  <r>
    <x v="126"/>
    <d v="2019-04-23T00:00:00"/>
    <s v="KIỀU THY"/>
    <x v="66"/>
    <x v="68"/>
    <x v="119"/>
    <x v="60"/>
    <x v="0"/>
    <x v="3"/>
    <x v="5"/>
    <s v="NL2018"/>
    <m/>
    <n v="25"/>
    <n v="5000"/>
    <x v="144"/>
    <n v="31495000"/>
    <x v="4"/>
    <d v="2019-05-05T00:00:00"/>
    <x v="27"/>
    <x v="27"/>
    <s v="5/5AL"/>
    <m/>
    <m/>
    <m/>
    <m/>
    <m/>
    <m/>
    <m/>
    <m/>
    <m/>
    <m/>
    <m/>
    <n v="0"/>
    <n v="5000"/>
    <n v="31495000"/>
    <m/>
  </r>
  <r>
    <x v="128"/>
    <d v="2018-12-27T00:00:00"/>
    <s v="KIỀU THY"/>
    <x v="66"/>
    <x v="68"/>
    <x v="119"/>
    <x v="60"/>
    <x v="0"/>
    <x v="3"/>
    <x v="5"/>
    <s v="NL2018"/>
    <m/>
    <n v="0"/>
    <n v="0"/>
    <x v="50"/>
    <n v="0"/>
    <x v="1"/>
    <d v="2019-07-01T00:00:00"/>
    <x v="30"/>
    <x v="30"/>
    <s v="T5 AL onwards, not including cooling cost"/>
    <m/>
    <m/>
    <m/>
    <m/>
    <n v="0"/>
    <m/>
    <m/>
    <m/>
    <m/>
    <m/>
    <m/>
    <n v="0"/>
    <n v="0"/>
    <n v="0"/>
    <m/>
  </r>
  <r>
    <x v="126"/>
    <d v="2018-12-27T00:00:00"/>
    <s v="KIỀU THY"/>
    <x v="66"/>
    <x v="68"/>
    <x v="120"/>
    <x v="61"/>
    <x v="0"/>
    <x v="1"/>
    <x v="9"/>
    <s v="NL2018"/>
    <m/>
    <n v="20"/>
    <n v="3000"/>
    <x v="13"/>
    <n v="18600000"/>
    <x v="0"/>
    <d v="2019-02-15T00:00:00"/>
    <x v="0"/>
    <x v="0"/>
    <s v="15/2AL"/>
    <s v="CONT 12/2019"/>
    <d v="2019-03-17T00:00:00"/>
    <m/>
    <d v="2019-03-28T00:00:00"/>
    <n v="3000"/>
    <m/>
    <m/>
    <m/>
    <m/>
    <m/>
    <m/>
    <n v="3000"/>
    <n v="0"/>
    <n v="0"/>
    <m/>
  </r>
  <r>
    <x v="126"/>
    <d v="2019-04-23T00:00:00"/>
    <s v="KIỀU THY"/>
    <x v="66"/>
    <x v="68"/>
    <x v="120"/>
    <x v="61"/>
    <x v="0"/>
    <x v="1"/>
    <x v="9"/>
    <s v="NL2018"/>
    <m/>
    <n v="47"/>
    <n v="7050"/>
    <x v="145"/>
    <n v="45317400"/>
    <x v="4"/>
    <d v="2019-05-05T00:00:00"/>
    <x v="27"/>
    <x v="27"/>
    <s v="5/5AL"/>
    <m/>
    <m/>
    <m/>
    <m/>
    <n v="0"/>
    <m/>
    <m/>
    <m/>
    <m/>
    <m/>
    <m/>
    <n v="0"/>
    <n v="7050"/>
    <n v="45317400"/>
    <m/>
  </r>
  <r>
    <x v="130"/>
    <d v="2019-02-03T00:00:00"/>
    <s v="KIỀU THY"/>
    <x v="67"/>
    <x v="69"/>
    <x v="4"/>
    <x v="62"/>
    <x v="0"/>
    <x v="4"/>
    <x v="14"/>
    <s v="NL2018"/>
    <s v="ZABO"/>
    <n v="80"/>
    <n v="10000"/>
    <x v="5"/>
    <n v="105000000"/>
    <x v="2"/>
    <d v="2019-09-01T00:00:00"/>
    <x v="2"/>
    <x v="2"/>
    <s v="TẾT"/>
    <m/>
    <m/>
    <m/>
    <m/>
    <n v="0"/>
    <m/>
    <m/>
    <m/>
    <m/>
    <m/>
    <m/>
    <n v="0"/>
    <n v="10000"/>
    <n v="105000000"/>
    <m/>
  </r>
  <r>
    <x v="130"/>
    <d v="2019-02-03T00:00:00"/>
    <s v="KIỀU THY"/>
    <x v="67"/>
    <x v="69"/>
    <x v="5"/>
    <x v="63"/>
    <x v="0"/>
    <x v="1"/>
    <x v="9"/>
    <s v="NL2018"/>
    <s v="DLW"/>
    <n v="67"/>
    <n v="10050"/>
    <x v="55"/>
    <n v="72360000"/>
    <x v="2"/>
    <d v="2019-09-01T00:00:00"/>
    <x v="2"/>
    <x v="2"/>
    <s v="TẾT"/>
    <m/>
    <m/>
    <m/>
    <m/>
    <n v="0"/>
    <m/>
    <m/>
    <m/>
    <m/>
    <m/>
    <m/>
    <n v="0"/>
    <n v="10050"/>
    <n v="72360000"/>
    <m/>
  </r>
  <r>
    <x v="131"/>
    <d v="2019-02-03T00:00:00"/>
    <s v="KIỀU THY"/>
    <x v="67"/>
    <x v="69"/>
    <x v="5"/>
    <x v="3"/>
    <x v="0"/>
    <x v="1"/>
    <x v="9"/>
    <s v="NL2018"/>
    <s v="DLW"/>
    <n v="267"/>
    <n v="40050"/>
    <x v="95"/>
    <n v="261446400"/>
    <x v="4"/>
    <d v="2019-04-17T00:00:00"/>
    <x v="1"/>
    <x v="1"/>
    <s v="17/4AL"/>
    <m/>
    <m/>
    <m/>
    <d v="2019-06-22T00:00:00"/>
    <n v="5100"/>
    <m/>
    <m/>
    <m/>
    <m/>
    <m/>
    <m/>
    <n v="5100"/>
    <n v="34950"/>
    <n v="228153600"/>
    <m/>
  </r>
  <r>
    <x v="131"/>
    <d v="2019-02-03T00:00:00"/>
    <s v="KIỀU THY"/>
    <x v="67"/>
    <x v="69"/>
    <x v="5"/>
    <x v="3"/>
    <x v="0"/>
    <x v="1"/>
    <x v="9"/>
    <s v="NL2018"/>
    <m/>
    <n v="200"/>
    <n v="30000"/>
    <x v="146"/>
    <n v="208650000"/>
    <x v="2"/>
    <d v="2019-08-01T00:00:00"/>
    <x v="49"/>
    <x v="49"/>
    <s v="T8/AL"/>
    <m/>
    <m/>
    <m/>
    <m/>
    <n v="0"/>
    <m/>
    <m/>
    <m/>
    <m/>
    <m/>
    <m/>
    <n v="0"/>
    <n v="30000"/>
    <n v="208650000"/>
    <m/>
  </r>
  <r>
    <x v="131"/>
    <d v="2019-02-03T00:00:00"/>
    <s v="KIỀU THY"/>
    <x v="67"/>
    <x v="69"/>
    <x v="5"/>
    <x v="3"/>
    <x v="0"/>
    <x v="1"/>
    <x v="9"/>
    <s v="NL2018"/>
    <m/>
    <n v="33"/>
    <n v="4950"/>
    <x v="73"/>
    <n v="31185000"/>
    <x v="0"/>
    <s v="30-Feb-19"/>
    <x v="29"/>
    <x v="29"/>
    <s v="30/2AL"/>
    <s v="CONT 18/2019"/>
    <d v="2019-03-31T00:00:00"/>
    <m/>
    <d v="2019-05-03T00:00:00"/>
    <n v="300"/>
    <d v="2019-05-24T00:00:00"/>
    <n v="4650"/>
    <m/>
    <m/>
    <m/>
    <m/>
    <n v="4950"/>
    <n v="0"/>
    <n v="0"/>
    <m/>
  </r>
  <r>
    <x v="131"/>
    <d v="2019-02-03T00:00:00"/>
    <s v="KIỀU THY"/>
    <x v="67"/>
    <x v="69"/>
    <x v="11"/>
    <x v="6"/>
    <x v="0"/>
    <x v="3"/>
    <x v="5"/>
    <s v="NL2018"/>
    <m/>
    <n v="64"/>
    <n v="12800"/>
    <x v="31"/>
    <n v="85760000"/>
    <x v="0"/>
    <d v="2019-02-15T00:00:00"/>
    <x v="0"/>
    <x v="0"/>
    <s v="15/2AL"/>
    <s v="CONT 12/2019"/>
    <d v="2019-03-17T00:00:00"/>
    <m/>
    <d v="2019-03-19T00:00:00"/>
    <n v="7800"/>
    <d v="2019-04-09T00:00:00"/>
    <n v="5000"/>
    <m/>
    <m/>
    <m/>
    <m/>
    <n v="12800"/>
    <n v="0"/>
    <n v="0"/>
    <m/>
  </r>
  <r>
    <x v="131"/>
    <d v="2019-02-03T00:00:00"/>
    <s v="KIỀU THY"/>
    <x v="67"/>
    <x v="69"/>
    <x v="117"/>
    <x v="11"/>
    <x v="0"/>
    <x v="3"/>
    <x v="5"/>
    <s v="NL2018"/>
    <m/>
    <n v="25"/>
    <n v="5000"/>
    <x v="31"/>
    <n v="33500000"/>
    <x v="0"/>
    <d v="2019-02-15T00:00:00"/>
    <x v="0"/>
    <x v="0"/>
    <s v="15/2AL"/>
    <s v="CONT 11/2019"/>
    <d v="2019-03-17T00:00:00"/>
    <s v="R"/>
    <d v="2019-03-19T00:00:00"/>
    <n v="5000"/>
    <m/>
    <m/>
    <m/>
    <m/>
    <m/>
    <m/>
    <n v="5000"/>
    <n v="0"/>
    <n v="0"/>
    <m/>
  </r>
  <r>
    <x v="130"/>
    <d v="2019-02-03T00:00:00"/>
    <s v="KIỀU THY"/>
    <x v="67"/>
    <x v="69"/>
    <x v="8"/>
    <x v="64"/>
    <x v="0"/>
    <x v="1"/>
    <x v="9"/>
    <s v="NL2018"/>
    <s v="STEEN"/>
    <n v="134"/>
    <n v="20100"/>
    <x v="9"/>
    <n v="160800000"/>
    <x v="2"/>
    <d v="2019-09-01T00:00:00"/>
    <x v="2"/>
    <x v="2"/>
    <s v="TẾT"/>
    <m/>
    <m/>
    <m/>
    <m/>
    <n v="0"/>
    <m/>
    <m/>
    <m/>
    <m/>
    <m/>
    <m/>
    <n v="0"/>
    <n v="20100"/>
    <n v="160800000"/>
    <m/>
  </r>
  <r>
    <x v="131"/>
    <d v="2019-01-05T00:00:00"/>
    <s v="KIỀU THY"/>
    <x v="67"/>
    <x v="69"/>
    <x v="6"/>
    <x v="39"/>
    <x v="0"/>
    <x v="3"/>
    <x v="5"/>
    <s v="NL2018"/>
    <m/>
    <n v="75"/>
    <n v="15000"/>
    <x v="8"/>
    <n v="75000000"/>
    <x v="4"/>
    <d v="2019-03-15T00:00:00"/>
    <x v="5"/>
    <x v="5"/>
    <s v="15/3AL"/>
    <m/>
    <m/>
    <m/>
    <d v="2019-05-24T00:00:00"/>
    <n v="5000"/>
    <d v="2019-06-22T00:00:00"/>
    <n v="3000"/>
    <m/>
    <m/>
    <m/>
    <m/>
    <n v="8000"/>
    <n v="7000"/>
    <n v="35000000"/>
    <m/>
  </r>
  <r>
    <x v="131"/>
    <d v="2019-01-05T00:00:00"/>
    <s v="KIỀU THY"/>
    <x v="67"/>
    <x v="69"/>
    <x v="6"/>
    <x v="39"/>
    <x v="0"/>
    <x v="3"/>
    <x v="5"/>
    <s v="NL2018"/>
    <m/>
    <n v="100"/>
    <n v="20000"/>
    <x v="28"/>
    <n v="92000000"/>
    <x v="0"/>
    <d v="2019-01-15T00:00:00"/>
    <x v="6"/>
    <x v="6"/>
    <s v="15/1AL"/>
    <m/>
    <m/>
    <s v="R"/>
    <d v="2019-02-25T00:00:00"/>
    <n v="6600"/>
    <d v="2019-03-02T00:00:00"/>
    <n v="13400"/>
    <m/>
    <m/>
    <m/>
    <m/>
    <n v="20000"/>
    <n v="0"/>
    <n v="0"/>
    <m/>
  </r>
  <r>
    <x v="131"/>
    <d v="2019-01-05T00:00:00"/>
    <s v="KIỀU THY"/>
    <x v="67"/>
    <x v="69"/>
    <x v="6"/>
    <x v="39"/>
    <x v="0"/>
    <x v="3"/>
    <x v="5"/>
    <s v="NL2018"/>
    <m/>
    <n v="50"/>
    <n v="10000"/>
    <x v="28"/>
    <n v="46000000"/>
    <x v="0"/>
    <d v="2019-01-23T00:00:00"/>
    <x v="21"/>
    <x v="21"/>
    <s v="23/1AL"/>
    <m/>
    <m/>
    <m/>
    <d v="2019-03-14T00:00:00"/>
    <n v="6800"/>
    <d v="2019-03-19T00:00:00"/>
    <n v="3200"/>
    <m/>
    <m/>
    <m/>
    <m/>
    <n v="10000"/>
    <n v="0"/>
    <n v="0"/>
    <m/>
  </r>
  <r>
    <x v="131"/>
    <d v="2019-01-05T00:00:00"/>
    <s v="KIỀU THY"/>
    <x v="67"/>
    <x v="69"/>
    <x v="6"/>
    <x v="39"/>
    <x v="0"/>
    <x v="3"/>
    <x v="5"/>
    <s v="NL2018"/>
    <m/>
    <n v="0"/>
    <n v="0"/>
    <x v="8"/>
    <n v="0"/>
    <x v="1"/>
    <d v="2019-03-15T00:00:00"/>
    <x v="5"/>
    <x v="5"/>
    <s v="15/3AL"/>
    <m/>
    <m/>
    <m/>
    <m/>
    <m/>
    <m/>
    <m/>
    <m/>
    <m/>
    <m/>
    <m/>
    <n v="0"/>
    <n v="0"/>
    <n v="0"/>
    <m/>
  </r>
  <r>
    <x v="131"/>
    <d v="2019-01-05T00:00:00"/>
    <s v="KIỀU THY"/>
    <x v="67"/>
    <x v="69"/>
    <x v="6"/>
    <x v="39"/>
    <x v="0"/>
    <x v="3"/>
    <x v="5"/>
    <s v="NL2018"/>
    <m/>
    <n v="0"/>
    <n v="0"/>
    <x v="53"/>
    <n v="0"/>
    <x v="1"/>
    <m/>
    <x v="35"/>
    <x v="35"/>
    <s v="5/5AL"/>
    <m/>
    <m/>
    <m/>
    <m/>
    <n v="0"/>
    <m/>
    <m/>
    <m/>
    <m/>
    <m/>
    <m/>
    <n v="0"/>
    <n v="0"/>
    <n v="0"/>
    <m/>
  </r>
  <r>
    <x v="131"/>
    <d v="2019-04-23T00:00:00"/>
    <s v="KIỀU THY"/>
    <x v="67"/>
    <x v="69"/>
    <x v="121"/>
    <x v="60"/>
    <x v="0"/>
    <x v="1"/>
    <x v="9"/>
    <s v="NL2018"/>
    <m/>
    <n v="67"/>
    <n v="10050"/>
    <x v="147"/>
    <n v="83415000"/>
    <x v="2"/>
    <d v="2019-08-01T00:00:00"/>
    <x v="49"/>
    <x v="49"/>
    <m/>
    <m/>
    <m/>
    <m/>
    <m/>
    <m/>
    <m/>
    <m/>
    <m/>
    <m/>
    <m/>
    <m/>
    <n v="0"/>
    <n v="10050"/>
    <n v="83415000"/>
    <m/>
  </r>
  <r>
    <x v="131"/>
    <d v="2019-01-05T00:00:00"/>
    <s v="KIỀU THY"/>
    <x v="67"/>
    <x v="69"/>
    <x v="77"/>
    <x v="7"/>
    <x v="0"/>
    <x v="3"/>
    <x v="5"/>
    <s v="NL2018"/>
    <m/>
    <n v="50"/>
    <n v="10000"/>
    <x v="73"/>
    <n v="63000000"/>
    <x v="0"/>
    <d v="2019-01-15T00:00:00"/>
    <x v="6"/>
    <x v="6"/>
    <s v="15/1AL"/>
    <m/>
    <m/>
    <s v="R"/>
    <d v="2019-02-25T00:00:00"/>
    <n v="6000"/>
    <d v="2019-03-02T00:00:00"/>
    <n v="4000"/>
    <m/>
    <m/>
    <m/>
    <m/>
    <n v="10000"/>
    <n v="0"/>
    <n v="0"/>
    <m/>
  </r>
  <r>
    <x v="132"/>
    <d v="2019-04-08T00:00:00"/>
    <s v="KIỀU THY"/>
    <x v="68"/>
    <x v="70"/>
    <x v="74"/>
    <x v="0"/>
    <x v="0"/>
    <x v="2"/>
    <x v="2"/>
    <s v="NL2018"/>
    <m/>
    <n v="1"/>
    <n v="300"/>
    <x v="42"/>
    <n v="1440000"/>
    <x v="0"/>
    <d v="2019-02-28T00:00:00"/>
    <x v="16"/>
    <x v="16"/>
    <s v="30/2AL"/>
    <m/>
    <m/>
    <m/>
    <d v="2019-04-23T00:00:00"/>
    <n v="300"/>
    <m/>
    <m/>
    <m/>
    <m/>
    <m/>
    <m/>
    <n v="300"/>
    <n v="0"/>
    <n v="0"/>
    <m/>
  </r>
  <r>
    <x v="132"/>
    <d v="2019-04-08T00:00:00"/>
    <s v="KIỀU THY"/>
    <x v="68"/>
    <x v="70"/>
    <x v="34"/>
    <x v="1"/>
    <x v="0"/>
    <x v="2"/>
    <x v="2"/>
    <s v="NL2018"/>
    <m/>
    <n v="1"/>
    <n v="300"/>
    <x v="54"/>
    <n v="1680000"/>
    <x v="0"/>
    <d v="2019-02-28T00:00:00"/>
    <x v="16"/>
    <x v="16"/>
    <s v="30/2AL"/>
    <m/>
    <m/>
    <m/>
    <d v="2019-04-23T00:00:00"/>
    <n v="300"/>
    <m/>
    <m/>
    <m/>
    <m/>
    <m/>
    <m/>
    <n v="300"/>
    <n v="0"/>
    <n v="0"/>
    <m/>
  </r>
  <r>
    <x v="132"/>
    <d v="2019-04-08T00:00:00"/>
    <s v="KIỀU THY"/>
    <x v="68"/>
    <x v="70"/>
    <x v="12"/>
    <x v="6"/>
    <x v="0"/>
    <x v="2"/>
    <x v="2"/>
    <s v="NL2018"/>
    <m/>
    <n v="1"/>
    <n v="300"/>
    <x v="50"/>
    <n v="1800000"/>
    <x v="0"/>
    <d v="2019-03-15T00:00:00"/>
    <x v="5"/>
    <x v="5"/>
    <s v="15/3AL"/>
    <m/>
    <m/>
    <m/>
    <d v="2019-04-23T00:00:00"/>
    <n v="300"/>
    <m/>
    <m/>
    <m/>
    <m/>
    <m/>
    <m/>
    <n v="300"/>
    <n v="0"/>
    <n v="0"/>
    <m/>
  </r>
  <r>
    <x v="132"/>
    <d v="2019-04-08T00:00:00"/>
    <s v="KIỀU THY"/>
    <x v="68"/>
    <x v="70"/>
    <x v="107"/>
    <x v="56"/>
    <x v="0"/>
    <x v="2"/>
    <x v="21"/>
    <s v="NL2018"/>
    <m/>
    <n v="1"/>
    <n v="275"/>
    <x v="54"/>
    <n v="1540000"/>
    <x v="0"/>
    <d v="2019-03-15T00:00:00"/>
    <x v="5"/>
    <x v="5"/>
    <s v="15/3AL"/>
    <m/>
    <m/>
    <m/>
    <d v="2019-04-23T00:00:00"/>
    <n v="275"/>
    <m/>
    <m/>
    <m/>
    <m/>
    <m/>
    <m/>
    <n v="275"/>
    <n v="0"/>
    <n v="0"/>
    <m/>
  </r>
  <r>
    <x v="132"/>
    <d v="2019-04-08T00:00:00"/>
    <s v="KIỀU THY"/>
    <x v="68"/>
    <x v="70"/>
    <x v="75"/>
    <x v="32"/>
    <x v="0"/>
    <x v="3"/>
    <x v="3"/>
    <s v="NL2018"/>
    <m/>
    <n v="1"/>
    <n v="200"/>
    <x v="9"/>
    <n v="1600000"/>
    <x v="0"/>
    <d v="2019-03-15T00:00:00"/>
    <x v="5"/>
    <x v="5"/>
    <s v="15/3AL"/>
    <m/>
    <m/>
    <m/>
    <d v="2019-04-23T00:00:00"/>
    <n v="200"/>
    <m/>
    <m/>
    <m/>
    <m/>
    <m/>
    <m/>
    <n v="200"/>
    <n v="0"/>
    <n v="0"/>
    <m/>
  </r>
  <r>
    <x v="132"/>
    <d v="2019-04-08T00:00:00"/>
    <s v="KIỀU THY"/>
    <x v="68"/>
    <x v="70"/>
    <x v="103"/>
    <x v="54"/>
    <x v="0"/>
    <x v="3"/>
    <x v="3"/>
    <s v="NL2018"/>
    <m/>
    <n v="1"/>
    <n v="200"/>
    <x v="66"/>
    <n v="1640000"/>
    <x v="0"/>
    <d v="2019-03-15T00:00:00"/>
    <x v="5"/>
    <x v="5"/>
    <s v="15/3AL"/>
    <m/>
    <m/>
    <m/>
    <d v="2019-04-23T00:00:00"/>
    <n v="200"/>
    <m/>
    <m/>
    <m/>
    <m/>
    <m/>
    <m/>
    <n v="200"/>
    <n v="0"/>
    <n v="0"/>
    <m/>
  </r>
  <r>
    <x v="132"/>
    <d v="2019-04-08T00:00:00"/>
    <s v="KIỀU THY"/>
    <x v="68"/>
    <x v="70"/>
    <x v="53"/>
    <x v="31"/>
    <x v="0"/>
    <x v="2"/>
    <x v="2"/>
    <s v="NL2018"/>
    <m/>
    <n v="1"/>
    <n v="300"/>
    <x v="8"/>
    <n v="1500000"/>
    <x v="0"/>
    <d v="2019-02-28T00:00:00"/>
    <x v="16"/>
    <x v="16"/>
    <s v="30/2AL"/>
    <m/>
    <m/>
    <m/>
    <d v="2019-04-23T00:00:00"/>
    <n v="300"/>
    <m/>
    <m/>
    <m/>
    <m/>
    <m/>
    <m/>
    <n v="300"/>
    <n v="0"/>
    <n v="0"/>
    <m/>
  </r>
  <r>
    <x v="133"/>
    <d v="2019-03-26T00:00:00"/>
    <s v="KIỀU THY"/>
    <x v="69"/>
    <x v="71"/>
    <x v="22"/>
    <x v="3"/>
    <x v="0"/>
    <x v="8"/>
    <x v="12"/>
    <s v="NL2018"/>
    <m/>
    <n v="60"/>
    <n v="6000"/>
    <x v="25"/>
    <n v="75000000"/>
    <x v="2"/>
    <d v="2019-09-01T00:00:00"/>
    <x v="2"/>
    <x v="2"/>
    <s v="TẾT"/>
    <m/>
    <m/>
    <m/>
    <m/>
    <m/>
    <m/>
    <m/>
    <m/>
    <m/>
    <m/>
    <m/>
    <n v="0"/>
    <n v="6000"/>
    <n v="75000000"/>
    <m/>
  </r>
  <r>
    <x v="133"/>
    <d v="2019-03-26T00:00:00"/>
    <s v="KIỀU THY"/>
    <x v="69"/>
    <x v="71"/>
    <x v="7"/>
    <x v="4"/>
    <x v="0"/>
    <x v="4"/>
    <x v="4"/>
    <s v="NL2018"/>
    <m/>
    <n v="80"/>
    <n v="10000"/>
    <x v="5"/>
    <n v="105000000"/>
    <x v="2"/>
    <d v="2019-09-01T00:00:00"/>
    <x v="2"/>
    <x v="2"/>
    <s v="TẾT"/>
    <m/>
    <m/>
    <m/>
    <m/>
    <m/>
    <m/>
    <m/>
    <m/>
    <m/>
    <m/>
    <m/>
    <n v="0"/>
    <n v="10000"/>
    <n v="105000000"/>
    <m/>
  </r>
  <r>
    <x v="134"/>
    <d v="2019-03-02T00:00:00"/>
    <s v="THANH THÚY"/>
    <x v="70"/>
    <x v="72"/>
    <x v="0"/>
    <x v="0"/>
    <x v="0"/>
    <x v="7"/>
    <x v="8"/>
    <s v="NL2018"/>
    <m/>
    <n v="0"/>
    <n v="0"/>
    <x v="0"/>
    <n v="0"/>
    <x v="1"/>
    <d v="2019-02-08T00:00:00"/>
    <x v="63"/>
    <x v="63"/>
    <s v="giao anh Kin 08/02AL_5.200"/>
    <m/>
    <m/>
    <m/>
    <m/>
    <n v="0"/>
    <m/>
    <m/>
    <m/>
    <m/>
    <m/>
    <m/>
    <n v="0"/>
    <n v="0"/>
    <n v="0"/>
    <d v="2020-12-22T00:00:00"/>
  </r>
  <r>
    <x v="135"/>
    <d v="2019-03-14T00:00:00"/>
    <s v="THANH THÚY"/>
    <x v="70"/>
    <x v="72"/>
    <x v="74"/>
    <x v="0"/>
    <x v="0"/>
    <x v="2"/>
    <x v="6"/>
    <s v="NL2018"/>
    <m/>
    <n v="34"/>
    <n v="10200"/>
    <x v="77"/>
    <n v="38760000"/>
    <x v="0"/>
    <d v="2019-03-15T00:00:00"/>
    <x v="5"/>
    <x v="5"/>
    <s v="15/3AL"/>
    <s v="CONT 20/2019"/>
    <m/>
    <m/>
    <d v="2019-04-23T00:00:00"/>
    <n v="10200"/>
    <m/>
    <m/>
    <m/>
    <m/>
    <m/>
    <m/>
    <n v="10200"/>
    <n v="0"/>
    <n v="0"/>
    <m/>
  </r>
  <r>
    <x v="135"/>
    <d v="2019-03-14T00:00:00"/>
    <s v="THANH THÚY"/>
    <x v="70"/>
    <x v="72"/>
    <x v="74"/>
    <x v="0"/>
    <x v="0"/>
    <x v="2"/>
    <x v="6"/>
    <s v="NL2018"/>
    <m/>
    <n v="32"/>
    <n v="9600"/>
    <x v="77"/>
    <n v="36480000"/>
    <x v="0"/>
    <d v="2019-04-17T00:00:00"/>
    <x v="1"/>
    <x v="1"/>
    <s v="17/4AL"/>
    <m/>
    <m/>
    <m/>
    <d v="2019-05-24T00:00:00"/>
    <n v="9600"/>
    <m/>
    <m/>
    <m/>
    <m/>
    <m/>
    <m/>
    <n v="9600"/>
    <n v="0"/>
    <n v="0"/>
    <m/>
  </r>
  <r>
    <x v="136"/>
    <d v="2019-05-15T00:00:00"/>
    <s v="THANH THÚY"/>
    <x v="70"/>
    <x v="72"/>
    <x v="74"/>
    <x v="0"/>
    <x v="0"/>
    <x v="2"/>
    <x v="6"/>
    <s v="NL2018"/>
    <m/>
    <n v="34"/>
    <n v="10200"/>
    <x v="77"/>
    <n v="38760000"/>
    <x v="0"/>
    <d v="2019-05-05T00:00:00"/>
    <x v="27"/>
    <x v="27"/>
    <s v="05/5AL"/>
    <m/>
    <m/>
    <m/>
    <d v="2019-06-10T00:00:00"/>
    <n v="10200"/>
    <m/>
    <m/>
    <m/>
    <m/>
    <m/>
    <m/>
    <n v="10200"/>
    <n v="0"/>
    <n v="0"/>
    <m/>
  </r>
  <r>
    <x v="136"/>
    <d v="2019-05-29T00:00:00"/>
    <s v="THANH THÚY"/>
    <x v="70"/>
    <x v="72"/>
    <x v="74"/>
    <x v="0"/>
    <x v="0"/>
    <x v="2"/>
    <x v="6"/>
    <s v="NL2018"/>
    <m/>
    <n v="10"/>
    <n v="3000"/>
    <x v="57"/>
    <n v="11700000"/>
    <x v="0"/>
    <d v="2019-05-05T00:00:00"/>
    <x v="27"/>
    <x v="27"/>
    <m/>
    <s v="Giao cử 30/5"/>
    <m/>
    <m/>
    <d v="2019-06-24T00:00:00"/>
    <n v="3000"/>
    <m/>
    <m/>
    <m/>
    <m/>
    <m/>
    <m/>
    <n v="3000"/>
    <n v="0"/>
    <n v="0"/>
    <m/>
  </r>
  <r>
    <x v="136"/>
    <d v="2019-05-29T00:00:00"/>
    <s v="THANH THÚY"/>
    <x v="70"/>
    <x v="72"/>
    <x v="74"/>
    <x v="0"/>
    <x v="0"/>
    <x v="2"/>
    <x v="6"/>
    <s v="NL2018"/>
    <m/>
    <n v="24"/>
    <n v="7200"/>
    <x v="57"/>
    <n v="28080000"/>
    <x v="0"/>
    <d v="2019-05-18T00:00:00"/>
    <x v="3"/>
    <x v="3"/>
    <m/>
    <s v="Giao cử 30/5"/>
    <m/>
    <m/>
    <d v="2019-06-24T00:00:00"/>
    <n v="7200"/>
    <m/>
    <m/>
    <m/>
    <m/>
    <m/>
    <m/>
    <n v="7200"/>
    <n v="0"/>
    <n v="0"/>
    <m/>
  </r>
  <r>
    <x v="136"/>
    <d v="2019-05-15T00:00:00"/>
    <s v="THANH THÚY"/>
    <x v="70"/>
    <x v="72"/>
    <x v="74"/>
    <x v="0"/>
    <x v="0"/>
    <x v="2"/>
    <x v="6"/>
    <s v="NL2018"/>
    <m/>
    <n v="34"/>
    <n v="10200"/>
    <x v="45"/>
    <n v="40800000"/>
    <x v="3"/>
    <d v="2019-06-15T00:00:00"/>
    <x v="4"/>
    <x v="4"/>
    <s v="05/5AL"/>
    <m/>
    <m/>
    <m/>
    <m/>
    <m/>
    <m/>
    <m/>
    <m/>
    <m/>
    <m/>
    <m/>
    <n v="0"/>
    <n v="10200"/>
    <n v="40800000"/>
    <m/>
  </r>
  <r>
    <x v="136"/>
    <d v="2019-06-22T00:00:00"/>
    <s v="THANH THÚY"/>
    <x v="70"/>
    <x v="72"/>
    <x v="23"/>
    <x v="11"/>
    <x v="0"/>
    <x v="2"/>
    <x v="6"/>
    <s v="NL2018"/>
    <m/>
    <n v="17"/>
    <n v="5100"/>
    <x v="54"/>
    <n v="28560000"/>
    <x v="2"/>
    <d v="2019-06-30T00:00:00"/>
    <x v="35"/>
    <x v="35"/>
    <m/>
    <m/>
    <m/>
    <m/>
    <m/>
    <m/>
    <m/>
    <m/>
    <m/>
    <m/>
    <m/>
    <m/>
    <n v="0"/>
    <n v="5100"/>
    <n v="28560000"/>
    <m/>
  </r>
  <r>
    <x v="136"/>
    <d v="2019-06-22T00:00:00"/>
    <s v="THANH THÚY"/>
    <x v="70"/>
    <x v="72"/>
    <x v="95"/>
    <x v="48"/>
    <x v="0"/>
    <x v="15"/>
    <x v="3"/>
    <s v="NL2018"/>
    <m/>
    <n v="25"/>
    <n v="5000"/>
    <x v="94"/>
    <n v="33000000"/>
    <x v="2"/>
    <d v="2019-06-30T00:00:00"/>
    <x v="35"/>
    <x v="35"/>
    <m/>
    <m/>
    <m/>
    <m/>
    <m/>
    <m/>
    <m/>
    <m/>
    <m/>
    <m/>
    <m/>
    <m/>
    <n v="0"/>
    <n v="5000"/>
    <n v="33000000"/>
    <m/>
  </r>
  <r>
    <x v="136"/>
    <d v="2019-05-29T00:00:00"/>
    <s v="THANH THÚY"/>
    <x v="70"/>
    <x v="72"/>
    <x v="74"/>
    <x v="0"/>
    <x v="0"/>
    <x v="2"/>
    <x v="6"/>
    <s v="NL2018"/>
    <m/>
    <n v="34"/>
    <n v="10200"/>
    <x v="45"/>
    <n v="40800000"/>
    <x v="2"/>
    <d v="2019-06-29T00:00:00"/>
    <x v="13"/>
    <x v="13"/>
    <m/>
    <m/>
    <m/>
    <m/>
    <m/>
    <m/>
    <m/>
    <m/>
    <m/>
    <m/>
    <m/>
    <m/>
    <n v="0"/>
    <n v="10200"/>
    <n v="40800000"/>
    <m/>
  </r>
  <r>
    <x v="136"/>
    <d v="2019-05-29T00:00:00"/>
    <s v="THANH THÚY"/>
    <x v="70"/>
    <x v="72"/>
    <x v="74"/>
    <x v="0"/>
    <x v="0"/>
    <x v="2"/>
    <x v="6"/>
    <s v="NL2018"/>
    <m/>
    <n v="34"/>
    <n v="10200"/>
    <x v="45"/>
    <n v="40800000"/>
    <x v="2"/>
    <d v="2019-07-15T00:00:00"/>
    <x v="39"/>
    <x v="39"/>
    <m/>
    <m/>
    <m/>
    <m/>
    <m/>
    <m/>
    <m/>
    <m/>
    <m/>
    <m/>
    <m/>
    <m/>
    <n v="0"/>
    <n v="10200"/>
    <n v="40800000"/>
    <m/>
  </r>
  <r>
    <x v="135"/>
    <d v="2019-03-14T00:00:00"/>
    <s v="THANH THÚY"/>
    <x v="70"/>
    <x v="72"/>
    <x v="34"/>
    <x v="1"/>
    <x v="0"/>
    <x v="2"/>
    <x v="6"/>
    <s v="NL2018"/>
    <m/>
    <n v="35"/>
    <n v="10500"/>
    <x v="28"/>
    <n v="48300000"/>
    <x v="0"/>
    <d v="2019-03-15T00:00:00"/>
    <x v="5"/>
    <x v="5"/>
    <s v="15/3AL"/>
    <s v="CONT 24/2019"/>
    <m/>
    <m/>
    <d v="2019-04-19T00:00:00"/>
    <n v="10500"/>
    <m/>
    <m/>
    <m/>
    <m/>
    <m/>
    <m/>
    <n v="10500"/>
    <n v="0"/>
    <n v="0"/>
    <d v="2020-01-15T00:00:00"/>
  </r>
  <r>
    <x v="136"/>
    <d v="2019-05-29T00:00:00"/>
    <s v="THANH THÚY"/>
    <x v="70"/>
    <x v="72"/>
    <x v="34"/>
    <x v="1"/>
    <x v="0"/>
    <x v="2"/>
    <x v="6"/>
    <s v="NL2018"/>
    <m/>
    <n v="50"/>
    <n v="15000"/>
    <x v="42"/>
    <n v="72000000"/>
    <x v="0"/>
    <d v="2019-05-05T00:00:00"/>
    <x v="27"/>
    <x v="27"/>
    <s v="05/5AL"/>
    <m/>
    <m/>
    <m/>
    <d v="2019-06-10T00:00:00"/>
    <n v="5100"/>
    <d v="2019-06-18T00:00:00"/>
    <n v="9900"/>
    <m/>
    <m/>
    <m/>
    <m/>
    <n v="15000"/>
    <n v="0"/>
    <n v="0"/>
    <m/>
  </r>
  <r>
    <x v="135"/>
    <d v="2019-03-14T00:00:00"/>
    <s v="THANH THÚY"/>
    <x v="70"/>
    <x v="72"/>
    <x v="2"/>
    <x v="2"/>
    <x v="0"/>
    <x v="2"/>
    <x v="6"/>
    <s v="NL2018"/>
    <m/>
    <n v="17"/>
    <n v="5100"/>
    <x v="106"/>
    <n v="18360000"/>
    <x v="0"/>
    <s v="29-Feb-19"/>
    <x v="10"/>
    <x v="10"/>
    <s v="28/2AL"/>
    <m/>
    <m/>
    <m/>
    <d v="2019-04-03T00:00:00"/>
    <n v="5100"/>
    <m/>
    <m/>
    <m/>
    <m/>
    <m/>
    <m/>
    <n v="5100"/>
    <n v="0"/>
    <n v="0"/>
    <d v="2020-01-15T00:00:00"/>
  </r>
  <r>
    <x v="135"/>
    <d v="2019-03-14T00:00:00"/>
    <s v="THANH THÚY"/>
    <x v="70"/>
    <x v="72"/>
    <x v="83"/>
    <x v="2"/>
    <x v="0"/>
    <x v="3"/>
    <x v="5"/>
    <s v="NL2018"/>
    <m/>
    <n v="0"/>
    <n v="0"/>
    <x v="71"/>
    <n v="0"/>
    <x v="1"/>
    <d v="2019-04-29T00:00:00"/>
    <x v="11"/>
    <x v="11"/>
    <s v="29/4AL"/>
    <m/>
    <m/>
    <m/>
    <m/>
    <m/>
    <m/>
    <m/>
    <m/>
    <m/>
    <m/>
    <m/>
    <n v="0"/>
    <n v="0"/>
    <n v="0"/>
    <m/>
  </r>
  <r>
    <x v="134"/>
    <d v="2019-03-02T00:00:00"/>
    <s v="THANH THÚY"/>
    <x v="70"/>
    <x v="72"/>
    <x v="5"/>
    <x v="3"/>
    <x v="0"/>
    <x v="1"/>
    <x v="9"/>
    <s v="NL2018"/>
    <m/>
    <n v="67"/>
    <n v="10050"/>
    <x v="73"/>
    <n v="63315000"/>
    <x v="0"/>
    <d v="2019-02-25T00:00:00"/>
    <x v="64"/>
    <x v="64"/>
    <s v="xả mát, giao anh Kin 20/02AL"/>
    <s v="CONT 10/2019"/>
    <m/>
    <m/>
    <d v="2019-03-30T00:00:00"/>
    <n v="10050"/>
    <m/>
    <m/>
    <m/>
    <m/>
    <m/>
    <m/>
    <n v="10050"/>
    <n v="0"/>
    <n v="0"/>
    <d v="2020-12-22T00:00:00"/>
  </r>
  <r>
    <x v="135"/>
    <d v="2019-03-14T00:00:00"/>
    <s v="THANH THÚY"/>
    <x v="70"/>
    <x v="72"/>
    <x v="3"/>
    <x v="3"/>
    <x v="0"/>
    <x v="3"/>
    <x v="5"/>
    <s v="NL2018"/>
    <m/>
    <n v="30"/>
    <n v="6000"/>
    <x v="8"/>
    <n v="30000000"/>
    <x v="0"/>
    <s v="29-Feb-19"/>
    <x v="10"/>
    <x v="10"/>
    <s v="28/2AL"/>
    <m/>
    <m/>
    <m/>
    <d v="2019-04-03T00:00:00"/>
    <n v="6000"/>
    <m/>
    <m/>
    <m/>
    <m/>
    <m/>
    <m/>
    <n v="6000"/>
    <n v="0"/>
    <n v="0"/>
    <d v="2020-01-15T00:00:00"/>
  </r>
  <r>
    <x v="135"/>
    <d v="2019-03-14T00:00:00"/>
    <s v="THANH THÚY"/>
    <x v="70"/>
    <x v="72"/>
    <x v="5"/>
    <x v="3"/>
    <x v="0"/>
    <x v="1"/>
    <x v="9"/>
    <s v="NL2018"/>
    <m/>
    <n v="67"/>
    <n v="10050"/>
    <x v="148"/>
    <n v="65304900"/>
    <x v="0"/>
    <d v="2019-04-17T00:00:00"/>
    <x v="1"/>
    <x v="1"/>
    <s v="30/3AL"/>
    <m/>
    <m/>
    <m/>
    <d v="2019-05-24T00:00:00"/>
    <n v="10050"/>
    <m/>
    <m/>
    <m/>
    <m/>
    <m/>
    <m/>
    <n v="10050"/>
    <n v="0"/>
    <n v="0"/>
    <d v="2020-01-15T00:00:00"/>
  </r>
  <r>
    <x v="137"/>
    <d v="2019-04-03T00:00:00"/>
    <s v="THANH THÚY"/>
    <x v="70"/>
    <x v="72"/>
    <x v="4"/>
    <x v="3"/>
    <x v="0"/>
    <x v="4"/>
    <x v="14"/>
    <s v="NL2018"/>
    <m/>
    <n v="80"/>
    <n v="10000"/>
    <x v="5"/>
    <n v="105000000"/>
    <x v="2"/>
    <d v="2019-09-01T00:00:00"/>
    <x v="2"/>
    <x v="2"/>
    <s v="TẾT"/>
    <m/>
    <m/>
    <m/>
    <m/>
    <n v="0"/>
    <m/>
    <m/>
    <m/>
    <m/>
    <m/>
    <m/>
    <n v="0"/>
    <n v="10000"/>
    <n v="105000000"/>
    <d v="2020-01-15T00:00:00"/>
  </r>
  <r>
    <x v="135"/>
    <d v="2019-03-14T00:00:00"/>
    <s v="THANH THÚY"/>
    <x v="70"/>
    <x v="72"/>
    <x v="26"/>
    <x v="13"/>
    <x v="0"/>
    <x v="3"/>
    <x v="5"/>
    <s v="NL2018"/>
    <m/>
    <n v="10"/>
    <n v="2000"/>
    <x v="32"/>
    <n v="10600000"/>
    <x v="0"/>
    <d v="2019-04-17T00:00:00"/>
    <x v="1"/>
    <x v="1"/>
    <s v="17/4AL"/>
    <m/>
    <m/>
    <m/>
    <d v="2019-05-24T00:00:00"/>
    <n v="2000"/>
    <m/>
    <m/>
    <m/>
    <m/>
    <m/>
    <m/>
    <n v="2000"/>
    <n v="0"/>
    <n v="0"/>
    <m/>
  </r>
  <r>
    <x v="136"/>
    <d v="2019-05-15T00:00:00"/>
    <s v="THANH THÚY"/>
    <x v="70"/>
    <x v="72"/>
    <x v="80"/>
    <x v="15"/>
    <x v="0"/>
    <x v="2"/>
    <x v="6"/>
    <s v="NL2018"/>
    <m/>
    <n v="0"/>
    <n v="0"/>
    <x v="43"/>
    <n v="0"/>
    <x v="1"/>
    <d v="2019-06-15T00:00:00"/>
    <x v="4"/>
    <x v="4"/>
    <s v="05/5AL"/>
    <m/>
    <m/>
    <m/>
    <m/>
    <m/>
    <m/>
    <m/>
    <m/>
    <m/>
    <m/>
    <m/>
    <n v="0"/>
    <n v="0"/>
    <n v="0"/>
    <m/>
  </r>
  <r>
    <x v="136"/>
    <d v="2019-05-24T00:00:00"/>
    <s v="THANH THÚY"/>
    <x v="70"/>
    <x v="72"/>
    <x v="23"/>
    <x v="11"/>
    <x v="0"/>
    <x v="2"/>
    <x v="6"/>
    <s v="NL2018"/>
    <m/>
    <n v="0"/>
    <n v="0"/>
    <x v="10"/>
    <n v="0"/>
    <x v="1"/>
    <d v="2019-05-05T00:00:00"/>
    <x v="27"/>
    <x v="27"/>
    <m/>
    <s v="Giao cử 30/5"/>
    <m/>
    <m/>
    <m/>
    <m/>
    <m/>
    <m/>
    <m/>
    <m/>
    <m/>
    <m/>
    <n v="0"/>
    <n v="0"/>
    <n v="0"/>
    <m/>
  </r>
  <r>
    <x v="134"/>
    <d v="2019-03-02T00:00:00"/>
    <s v="THANH THÚY"/>
    <x v="70"/>
    <x v="72"/>
    <x v="82"/>
    <x v="4"/>
    <x v="0"/>
    <x v="2"/>
    <x v="17"/>
    <s v="NL2018"/>
    <m/>
    <n v="20"/>
    <n v="5000"/>
    <x v="81"/>
    <n v="18500000"/>
    <x v="0"/>
    <d v="2019-02-08T00:00:00"/>
    <x v="63"/>
    <x v="63"/>
    <s v="giao anh Kin 08/02AL"/>
    <m/>
    <m/>
    <m/>
    <d v="2019-03-14T00:00:00"/>
    <n v="5000"/>
    <m/>
    <m/>
    <m/>
    <m/>
    <m/>
    <m/>
    <n v="5000"/>
    <n v="0"/>
    <n v="0"/>
    <d v="2020-12-22T00:00:00"/>
  </r>
  <r>
    <x v="134"/>
    <d v="2019-03-02T00:00:00"/>
    <s v="THANH THÚY"/>
    <x v="70"/>
    <x v="72"/>
    <x v="6"/>
    <x v="4"/>
    <x v="0"/>
    <x v="3"/>
    <x v="5"/>
    <s v="NL2018"/>
    <m/>
    <n v="40"/>
    <n v="8000"/>
    <x v="12"/>
    <n v="37600000"/>
    <x v="0"/>
    <d v="2019-02-25T00:00:00"/>
    <x v="64"/>
    <x v="64"/>
    <s v="xả mát, giao anh Kin 20/02AL"/>
    <s v="CONT 10/2019"/>
    <m/>
    <m/>
    <d v="2019-03-25T00:00:00"/>
    <n v="8000"/>
    <m/>
    <m/>
    <m/>
    <m/>
    <m/>
    <m/>
    <n v="8000"/>
    <n v="0"/>
    <n v="0"/>
    <d v="2020-01-15T00:00:00"/>
  </r>
  <r>
    <x v="137"/>
    <d v="2019-04-03T00:00:00"/>
    <s v="THANH THÚY"/>
    <x v="70"/>
    <x v="72"/>
    <x v="7"/>
    <x v="4"/>
    <x v="0"/>
    <x v="4"/>
    <x v="14"/>
    <s v="NL2018"/>
    <m/>
    <n v="80"/>
    <n v="10000"/>
    <x v="5"/>
    <n v="105000000"/>
    <x v="2"/>
    <d v="2019-09-01T00:00:00"/>
    <x v="2"/>
    <x v="2"/>
    <s v="TẾT"/>
    <m/>
    <m/>
    <m/>
    <m/>
    <n v="0"/>
    <m/>
    <m/>
    <m/>
    <m/>
    <m/>
    <m/>
    <n v="0"/>
    <n v="10000"/>
    <n v="105000000"/>
    <d v="2020-01-15T00:00:00"/>
  </r>
  <r>
    <x v="134"/>
    <d v="2019-03-02T00:00:00"/>
    <s v="THANH THÚY"/>
    <x v="70"/>
    <x v="72"/>
    <x v="13"/>
    <x v="7"/>
    <x v="0"/>
    <x v="5"/>
    <x v="6"/>
    <s v="NL2018"/>
    <m/>
    <n v="17"/>
    <n v="5100"/>
    <x v="72"/>
    <n v="22287000"/>
    <x v="0"/>
    <d v="2019-02-08T00:00:00"/>
    <x v="63"/>
    <x v="63"/>
    <s v="giao anh Kin 08/02AL"/>
    <m/>
    <m/>
    <m/>
    <d v="2019-03-14T00:00:00"/>
    <n v="5100"/>
    <m/>
    <m/>
    <m/>
    <m/>
    <m/>
    <m/>
    <n v="5100"/>
    <n v="0"/>
    <n v="0"/>
    <d v="2020-12-22T00:00:00"/>
  </r>
  <r>
    <x v="134"/>
    <d v="2019-03-02T00:00:00"/>
    <s v="THANH THÚY"/>
    <x v="70"/>
    <x v="72"/>
    <x v="77"/>
    <x v="7"/>
    <x v="0"/>
    <x v="3"/>
    <x v="5"/>
    <s v="NL2018"/>
    <m/>
    <n v="25"/>
    <n v="5000"/>
    <x v="73"/>
    <n v="31500000"/>
    <x v="0"/>
    <d v="2019-02-08T00:00:00"/>
    <x v="63"/>
    <x v="63"/>
    <s v="giao anh Kin 08/02AL"/>
    <m/>
    <m/>
    <m/>
    <d v="2019-03-14T00:00:00"/>
    <n v="5000"/>
    <m/>
    <m/>
    <m/>
    <m/>
    <m/>
    <m/>
    <n v="5000"/>
    <n v="0"/>
    <n v="0"/>
    <d v="2020-12-22T00:00:00"/>
  </r>
  <r>
    <x v="135"/>
    <d v="2019-03-14T00:00:00"/>
    <s v="THANH THÚY"/>
    <x v="70"/>
    <x v="72"/>
    <x v="13"/>
    <x v="7"/>
    <x v="0"/>
    <x v="5"/>
    <x v="6"/>
    <s v="NL2018"/>
    <m/>
    <n v="0"/>
    <n v="0"/>
    <x v="14"/>
    <n v="0"/>
    <x v="1"/>
    <d v="2019-03-15T00:00:00"/>
    <x v="5"/>
    <x v="5"/>
    <s v="15/3AL"/>
    <m/>
    <m/>
    <m/>
    <m/>
    <m/>
    <m/>
    <m/>
    <m/>
    <m/>
    <m/>
    <m/>
    <n v="0"/>
    <n v="0"/>
    <n v="0"/>
    <m/>
  </r>
  <r>
    <x v="138"/>
    <d v="2019-02-26T00:00:00"/>
    <s v="KIỀU THY"/>
    <x v="71"/>
    <x v="73"/>
    <x v="122"/>
    <x v="0"/>
    <x v="0"/>
    <x v="1"/>
    <x v="9"/>
    <s v="NL2018"/>
    <m/>
    <n v="20"/>
    <n v="3000"/>
    <x v="149"/>
    <n v="25200000"/>
    <x v="2"/>
    <d v="2019-09-01T00:00:00"/>
    <x v="2"/>
    <x v="2"/>
    <s v="TẾT"/>
    <m/>
    <m/>
    <m/>
    <m/>
    <n v="0"/>
    <m/>
    <m/>
    <m/>
    <m/>
    <m/>
    <m/>
    <n v="0"/>
    <n v="3000"/>
    <n v="25200000"/>
    <m/>
  </r>
  <r>
    <x v="139"/>
    <d v="2019-02-26T00:00:00"/>
    <s v="KIỀU THY"/>
    <x v="71"/>
    <x v="73"/>
    <x v="0"/>
    <x v="0"/>
    <x v="0"/>
    <x v="7"/>
    <x v="8"/>
    <s v="NL2018"/>
    <m/>
    <n v="13"/>
    <n v="5200"/>
    <x v="0"/>
    <n v="13520000"/>
    <x v="0"/>
    <d v="2019-03-15T00:00:00"/>
    <x v="5"/>
    <x v="5"/>
    <s v="15/3AL"/>
    <s v="CONT 24/2019"/>
    <d v="2019-04-14T00:00:00"/>
    <m/>
    <d v="2019-04-17T00:00:00"/>
    <n v="5200"/>
    <m/>
    <m/>
    <m/>
    <m/>
    <m/>
    <m/>
    <n v="5200"/>
    <n v="0"/>
    <n v="0"/>
    <m/>
  </r>
  <r>
    <x v="139"/>
    <d v="2019-02-26T00:00:00"/>
    <s v="KIỀU THY"/>
    <x v="71"/>
    <x v="73"/>
    <x v="74"/>
    <x v="0"/>
    <x v="0"/>
    <x v="2"/>
    <x v="6"/>
    <s v="NL2018"/>
    <m/>
    <n v="17"/>
    <n v="5100"/>
    <x v="77"/>
    <n v="19380000"/>
    <x v="0"/>
    <d v="2019-03-15T00:00:00"/>
    <x v="5"/>
    <x v="5"/>
    <s v="15/3AL"/>
    <s v="CONT 27/2019"/>
    <d v="2019-04-14T00:00:00"/>
    <m/>
    <d v="2019-04-23T00:00:00"/>
    <n v="5100"/>
    <m/>
    <m/>
    <m/>
    <m/>
    <m/>
    <m/>
    <n v="5100"/>
    <n v="0"/>
    <n v="0"/>
    <m/>
  </r>
  <r>
    <x v="139"/>
    <d v="2019-06-17T00:00:00"/>
    <s v="KIỀU THY"/>
    <x v="71"/>
    <x v="73"/>
    <x v="0"/>
    <x v="0"/>
    <x v="0"/>
    <x v="7"/>
    <x v="8"/>
    <s v="NL2018"/>
    <m/>
    <n v="10"/>
    <n v="4000"/>
    <x v="38"/>
    <n v="11600000"/>
    <x v="3"/>
    <d v="2019-06-15T00:00:00"/>
    <x v="4"/>
    <x v="4"/>
    <m/>
    <m/>
    <m/>
    <m/>
    <m/>
    <m/>
    <m/>
    <m/>
    <m/>
    <m/>
    <m/>
    <m/>
    <n v="0"/>
    <n v="4000"/>
    <n v="11600000"/>
    <m/>
  </r>
  <r>
    <x v="139"/>
    <d v="2019-02-26T00:00:00"/>
    <s v="KIỀU THY"/>
    <x v="71"/>
    <x v="73"/>
    <x v="31"/>
    <x v="18"/>
    <x v="0"/>
    <x v="7"/>
    <x v="8"/>
    <s v="NL2018"/>
    <m/>
    <n v="8"/>
    <n v="3200"/>
    <x v="36"/>
    <n v="8960000"/>
    <x v="0"/>
    <s v="30-Feb-19"/>
    <x v="29"/>
    <x v="29"/>
    <s v="30/2AL"/>
    <s v="CONT 15/2019"/>
    <d v="2019-03-31T00:00:00"/>
    <m/>
    <d v="2019-04-03T00:00:00"/>
    <n v="3200"/>
    <m/>
    <m/>
    <m/>
    <m/>
    <m/>
    <m/>
    <n v="3200"/>
    <n v="0"/>
    <n v="0"/>
    <m/>
  </r>
  <r>
    <x v="138"/>
    <d v="2019-02-26T00:00:00"/>
    <s v="KIỀU THY"/>
    <x v="71"/>
    <x v="73"/>
    <x v="63"/>
    <x v="1"/>
    <x v="0"/>
    <x v="4"/>
    <x v="14"/>
    <s v="NL2018"/>
    <s v="V.W.S"/>
    <n v="80"/>
    <n v="10000"/>
    <x v="78"/>
    <n v="100000000"/>
    <x v="2"/>
    <d v="2019-09-01T00:00:00"/>
    <x v="2"/>
    <x v="2"/>
    <s v="TẾT/V.W.S"/>
    <m/>
    <m/>
    <m/>
    <m/>
    <n v="0"/>
    <m/>
    <m/>
    <m/>
    <m/>
    <m/>
    <m/>
    <n v="0"/>
    <n v="10000"/>
    <n v="100000000"/>
    <m/>
  </r>
  <r>
    <x v="139"/>
    <d v="2019-02-26T00:00:00"/>
    <s v="KIỀU THY"/>
    <x v="71"/>
    <x v="73"/>
    <x v="10"/>
    <x v="1"/>
    <x v="0"/>
    <x v="3"/>
    <x v="5"/>
    <s v="NL2018"/>
    <m/>
    <n v="15"/>
    <n v="3000"/>
    <x v="10"/>
    <n v="16500000"/>
    <x v="0"/>
    <d v="2019-03-15T00:00:00"/>
    <x v="5"/>
    <x v="5"/>
    <s v="15/3AL"/>
    <s v="CONT 26/2019"/>
    <d v="2019-04-14T00:00:00"/>
    <m/>
    <d v="2019-04-17T00:00:00"/>
    <n v="3000"/>
    <m/>
    <m/>
    <m/>
    <m/>
    <m/>
    <m/>
    <n v="3000"/>
    <n v="0"/>
    <n v="0"/>
    <m/>
  </r>
  <r>
    <x v="139"/>
    <d v="2019-06-17T00:00:00"/>
    <s v="KIỀU THY"/>
    <x v="71"/>
    <x v="73"/>
    <x v="34"/>
    <x v="1"/>
    <x v="0"/>
    <x v="2"/>
    <x v="6"/>
    <s v="NL2018"/>
    <m/>
    <n v="15"/>
    <n v="4500"/>
    <x v="8"/>
    <n v="22500000"/>
    <x v="3"/>
    <d v="2019-06-15T00:00:00"/>
    <x v="4"/>
    <x v="4"/>
    <m/>
    <m/>
    <m/>
    <m/>
    <m/>
    <m/>
    <m/>
    <m/>
    <m/>
    <m/>
    <m/>
    <m/>
    <n v="0"/>
    <n v="4500"/>
    <n v="22500000"/>
    <m/>
  </r>
  <r>
    <x v="138"/>
    <d v="2019-02-26T00:00:00"/>
    <s v="KIỀU THY"/>
    <x v="71"/>
    <x v="73"/>
    <x v="38"/>
    <x v="6"/>
    <x v="0"/>
    <x v="4"/>
    <x v="14"/>
    <s v="NL2018"/>
    <s v="ON"/>
    <n v="80"/>
    <n v="10000"/>
    <x v="47"/>
    <n v="130000000"/>
    <x v="2"/>
    <d v="2019-09-01T00:00:00"/>
    <x v="2"/>
    <x v="2"/>
    <s v="TẾT/ON"/>
    <m/>
    <m/>
    <m/>
    <m/>
    <n v="0"/>
    <m/>
    <m/>
    <m/>
    <m/>
    <m/>
    <m/>
    <n v="0"/>
    <n v="10000"/>
    <n v="130000000"/>
    <m/>
  </r>
  <r>
    <x v="140"/>
    <d v="2019-04-13T00:00:00"/>
    <s v="KIỀU THY"/>
    <x v="71"/>
    <x v="73"/>
    <x v="12"/>
    <x v="6"/>
    <x v="0"/>
    <x v="2"/>
    <x v="6"/>
    <s v="NL2018"/>
    <m/>
    <n v="10"/>
    <n v="3000"/>
    <x v="8"/>
    <n v="15000000"/>
    <x v="0"/>
    <d v="2019-04-17T00:00:00"/>
    <x v="1"/>
    <x v="1"/>
    <s v="17/4AL"/>
    <m/>
    <m/>
    <m/>
    <d v="2019-05-20T00:00:00"/>
    <n v="3000"/>
    <m/>
    <m/>
    <m/>
    <m/>
    <m/>
    <m/>
    <n v="3000"/>
    <n v="0"/>
    <n v="0"/>
    <m/>
  </r>
  <r>
    <x v="139"/>
    <d v="2019-02-26T00:00:00"/>
    <s v="KIỀU THY"/>
    <x v="71"/>
    <x v="73"/>
    <x v="12"/>
    <x v="6"/>
    <x v="0"/>
    <x v="2"/>
    <x v="6"/>
    <s v="NL2018"/>
    <m/>
    <n v="10"/>
    <n v="3000"/>
    <x v="71"/>
    <n v="15600000"/>
    <x v="0"/>
    <d v="2019-02-15T00:00:00"/>
    <x v="0"/>
    <x v="0"/>
    <s v="15/2AL"/>
    <s v="CONT 12/2019"/>
    <d v="2019-03-17T00:00:00"/>
    <m/>
    <d v="2019-03-19T00:00:00"/>
    <n v="3000"/>
    <m/>
    <m/>
    <m/>
    <m/>
    <m/>
    <m/>
    <n v="3000"/>
    <n v="0"/>
    <n v="0"/>
    <m/>
  </r>
  <r>
    <x v="139"/>
    <d v="2019-02-26T00:00:00"/>
    <s v="KIỀU THY"/>
    <x v="71"/>
    <x v="73"/>
    <x v="11"/>
    <x v="6"/>
    <x v="0"/>
    <x v="3"/>
    <x v="5"/>
    <s v="NL2018"/>
    <m/>
    <n v="15"/>
    <n v="3000"/>
    <x v="31"/>
    <n v="20100000"/>
    <x v="0"/>
    <d v="2019-03-15T00:00:00"/>
    <x v="5"/>
    <x v="5"/>
    <s v="15/3AL"/>
    <s v="CONT 23/2019"/>
    <d v="2019-04-14T00:00:00"/>
    <m/>
    <d v="2019-04-17T00:00:00"/>
    <n v="3000"/>
    <m/>
    <m/>
    <m/>
    <m/>
    <m/>
    <m/>
    <n v="3000"/>
    <n v="0"/>
    <n v="0"/>
    <m/>
  </r>
  <r>
    <x v="139"/>
    <d v="2019-06-17T00:00:00"/>
    <s v="KIỀU THY"/>
    <x v="71"/>
    <x v="73"/>
    <x v="11"/>
    <x v="6"/>
    <x v="0"/>
    <x v="3"/>
    <x v="5"/>
    <s v="NL2018"/>
    <m/>
    <n v="15"/>
    <n v="3000"/>
    <x v="11"/>
    <n v="23100000"/>
    <x v="4"/>
    <d v="2019-05-24T00:00:00"/>
    <x v="65"/>
    <x v="65"/>
    <m/>
    <m/>
    <m/>
    <m/>
    <m/>
    <m/>
    <m/>
    <m/>
    <m/>
    <m/>
    <m/>
    <m/>
    <n v="0"/>
    <n v="3000"/>
    <n v="23100000"/>
    <m/>
  </r>
  <r>
    <x v="138"/>
    <d v="2019-02-26T00:00:00"/>
    <s v="KIỀU THY"/>
    <x v="71"/>
    <x v="73"/>
    <x v="41"/>
    <x v="22"/>
    <x v="0"/>
    <x v="3"/>
    <x v="5"/>
    <s v="NL2018"/>
    <m/>
    <n v="15"/>
    <n v="3000"/>
    <x v="41"/>
    <n v="18300000"/>
    <x v="2"/>
    <d v="2019-09-01T00:00:00"/>
    <x v="2"/>
    <x v="2"/>
    <s v="TẾT"/>
    <m/>
    <m/>
    <m/>
    <m/>
    <n v="0"/>
    <m/>
    <m/>
    <m/>
    <m/>
    <m/>
    <m/>
    <n v="0"/>
    <n v="3000"/>
    <n v="18300000"/>
    <m/>
  </r>
  <r>
    <x v="139"/>
    <d v="2019-02-26T00:00:00"/>
    <s v="KIỀU THY"/>
    <x v="71"/>
    <x v="73"/>
    <x v="40"/>
    <x v="22"/>
    <x v="0"/>
    <x v="2"/>
    <x v="6"/>
    <s v="NL2018"/>
    <m/>
    <n v="10"/>
    <n v="3000"/>
    <x v="39"/>
    <n v="12600000"/>
    <x v="0"/>
    <d v="2019-02-15T00:00:00"/>
    <x v="0"/>
    <x v="0"/>
    <s v="15/2AL"/>
    <s v="CONT 10/2019"/>
    <d v="2019-03-17T00:00:00"/>
    <m/>
    <d v="2019-03-19T00:00:00"/>
    <n v="3000"/>
    <m/>
    <m/>
    <m/>
    <m/>
    <m/>
    <m/>
    <n v="3000"/>
    <n v="0"/>
    <n v="0"/>
    <m/>
  </r>
  <r>
    <x v="139"/>
    <d v="2019-02-26T00:00:00"/>
    <s v="KIỀU THY"/>
    <x v="71"/>
    <x v="73"/>
    <x v="39"/>
    <x v="22"/>
    <x v="0"/>
    <x v="7"/>
    <x v="8"/>
    <s v="NL2018"/>
    <m/>
    <n v="25"/>
    <n v="10000"/>
    <x v="36"/>
    <n v="28000000"/>
    <x v="0"/>
    <s v="30-Feb-19"/>
    <x v="29"/>
    <x v="29"/>
    <s v="30/2AL"/>
    <s v="CONT 14/2019"/>
    <d v="2019-03-31T00:00:00"/>
    <m/>
    <d v="2019-04-03T00:00:00"/>
    <n v="10000"/>
    <m/>
    <m/>
    <m/>
    <m/>
    <m/>
    <m/>
    <n v="10000"/>
    <n v="0"/>
    <n v="0"/>
    <m/>
  </r>
  <r>
    <x v="139"/>
    <d v="2019-06-17T00:00:00"/>
    <s v="KIỀU THY"/>
    <x v="71"/>
    <x v="73"/>
    <x v="39"/>
    <x v="22"/>
    <x v="0"/>
    <x v="7"/>
    <x v="8"/>
    <s v="NL2018"/>
    <m/>
    <n v="12"/>
    <n v="4800"/>
    <x v="44"/>
    <n v="14400000"/>
    <x v="3"/>
    <d v="2019-06-15T00:00:00"/>
    <x v="4"/>
    <x v="4"/>
    <m/>
    <m/>
    <m/>
    <m/>
    <m/>
    <m/>
    <m/>
    <m/>
    <m/>
    <m/>
    <m/>
    <m/>
    <n v="0"/>
    <n v="4800"/>
    <n v="14400000"/>
    <m/>
  </r>
  <r>
    <x v="138"/>
    <d v="2019-02-26T00:00:00"/>
    <s v="KIỀU THY"/>
    <x v="71"/>
    <x v="73"/>
    <x v="56"/>
    <x v="23"/>
    <x v="0"/>
    <x v="1"/>
    <x v="9"/>
    <s v="NL2018"/>
    <s v="DLW"/>
    <n v="34"/>
    <n v="5100"/>
    <x v="55"/>
    <n v="36720000"/>
    <x v="2"/>
    <d v="2019-09-01T00:00:00"/>
    <x v="2"/>
    <x v="2"/>
    <s v="TẾT/DL"/>
    <m/>
    <m/>
    <m/>
    <m/>
    <n v="0"/>
    <m/>
    <m/>
    <m/>
    <m/>
    <m/>
    <m/>
    <n v="0"/>
    <n v="5100"/>
    <n v="36720000"/>
    <m/>
  </r>
  <r>
    <x v="139"/>
    <d v="2019-02-26T00:00:00"/>
    <s v="KIỀU THY"/>
    <x v="71"/>
    <x v="73"/>
    <x v="42"/>
    <x v="23"/>
    <x v="0"/>
    <x v="7"/>
    <x v="8"/>
    <s v="NL2018"/>
    <m/>
    <n v="18"/>
    <n v="7200"/>
    <x v="44"/>
    <n v="21600000"/>
    <x v="0"/>
    <d v="2019-03-15T00:00:00"/>
    <x v="5"/>
    <x v="5"/>
    <s v="15/3AL"/>
    <s v="CONT 20/2019"/>
    <d v="2019-04-14T00:00:00"/>
    <m/>
    <d v="2019-04-23T00:00:00"/>
    <n v="7200"/>
    <m/>
    <m/>
    <m/>
    <m/>
    <m/>
    <m/>
    <n v="7200"/>
    <n v="0"/>
    <n v="0"/>
    <m/>
  </r>
  <r>
    <x v="140"/>
    <d v="2019-04-13T00:00:00"/>
    <s v="KIỀU THY"/>
    <x v="71"/>
    <x v="73"/>
    <x v="58"/>
    <x v="33"/>
    <x v="0"/>
    <x v="2"/>
    <x v="6"/>
    <s v="NL2018"/>
    <m/>
    <n v="10"/>
    <n v="3000"/>
    <x v="57"/>
    <n v="11700000"/>
    <x v="0"/>
    <d v="2019-04-17T00:00:00"/>
    <x v="1"/>
    <x v="1"/>
    <s v="17/4AL"/>
    <m/>
    <m/>
    <m/>
    <d v="2019-05-20T00:00:00"/>
    <n v="3000"/>
    <m/>
    <m/>
    <m/>
    <m/>
    <m/>
    <m/>
    <n v="3000"/>
    <n v="0"/>
    <n v="0"/>
    <m/>
  </r>
  <r>
    <x v="138"/>
    <d v="2019-02-26T00:00:00"/>
    <s v="KIỀU THY"/>
    <x v="71"/>
    <x v="73"/>
    <x v="106"/>
    <x v="32"/>
    <x v="0"/>
    <x v="1"/>
    <x v="9"/>
    <s v="NL2018"/>
    <s v="VZT"/>
    <n v="34"/>
    <n v="5100"/>
    <x v="33"/>
    <n v="54570000"/>
    <x v="2"/>
    <d v="2019-09-01T00:00:00"/>
    <x v="2"/>
    <x v="2"/>
    <s v="TẾT"/>
    <m/>
    <m/>
    <m/>
    <m/>
    <n v="0"/>
    <m/>
    <m/>
    <m/>
    <m/>
    <m/>
    <m/>
    <n v="0"/>
    <n v="5100"/>
    <n v="54570000"/>
    <m/>
  </r>
  <r>
    <x v="138"/>
    <d v="2019-02-26T00:00:00"/>
    <s v="KIỀU THY"/>
    <x v="71"/>
    <x v="73"/>
    <x v="62"/>
    <x v="32"/>
    <x v="0"/>
    <x v="4"/>
    <x v="14"/>
    <s v="NL2018"/>
    <s v="DLW"/>
    <n v="80"/>
    <n v="10000"/>
    <x v="61"/>
    <n v="135000000"/>
    <x v="2"/>
    <d v="2019-09-01T00:00:00"/>
    <x v="2"/>
    <x v="2"/>
    <s v="TẾT/DL"/>
    <m/>
    <m/>
    <m/>
    <m/>
    <n v="0"/>
    <m/>
    <m/>
    <m/>
    <m/>
    <m/>
    <m/>
    <n v="0"/>
    <n v="10000"/>
    <n v="135000000"/>
    <m/>
  </r>
  <r>
    <x v="139"/>
    <d v="2019-02-26T00:00:00"/>
    <s v="KIỀU THY"/>
    <x v="71"/>
    <x v="73"/>
    <x v="123"/>
    <x v="65"/>
    <x v="0"/>
    <x v="2"/>
    <x v="6"/>
    <s v="NL2018"/>
    <m/>
    <n v="7"/>
    <n v="2100"/>
    <x v="45"/>
    <n v="8400000"/>
    <x v="0"/>
    <d v="2019-02-15T00:00:00"/>
    <x v="0"/>
    <x v="0"/>
    <s v="15/2AL"/>
    <s v="CONT 10/2019"/>
    <d v="2019-03-17T00:00:00"/>
    <m/>
    <d v="2019-03-19T00:00:00"/>
    <n v="2100"/>
    <m/>
    <m/>
    <m/>
    <m/>
    <m/>
    <m/>
    <n v="2100"/>
    <n v="0"/>
    <n v="0"/>
    <m/>
  </r>
  <r>
    <x v="139"/>
    <d v="2019-06-04T00:00:00"/>
    <s v="KIỀU THY"/>
    <x v="71"/>
    <x v="73"/>
    <x v="94"/>
    <x v="47"/>
    <x v="0"/>
    <x v="12"/>
    <x v="8"/>
    <s v="NL2018"/>
    <m/>
    <n v="5"/>
    <n v="2000"/>
    <x v="14"/>
    <n v="9000000"/>
    <x v="0"/>
    <d v="2019-05-05T00:00:00"/>
    <x v="27"/>
    <x v="27"/>
    <m/>
    <m/>
    <m/>
    <m/>
    <d v="2019-06-17T00:00:00"/>
    <n v="2000"/>
    <m/>
    <m/>
    <m/>
    <m/>
    <m/>
    <m/>
    <n v="2000"/>
    <n v="0"/>
    <n v="0"/>
    <m/>
  </r>
  <r>
    <x v="140"/>
    <d v="2019-04-13T00:00:00"/>
    <s v="KIỀU THY"/>
    <x v="71"/>
    <x v="73"/>
    <x v="23"/>
    <x v="11"/>
    <x v="0"/>
    <x v="2"/>
    <x v="6"/>
    <s v="NL2018"/>
    <m/>
    <n v="7"/>
    <n v="2100"/>
    <x v="10"/>
    <n v="11550000"/>
    <x v="0"/>
    <d v="2019-04-17T00:00:00"/>
    <x v="1"/>
    <x v="1"/>
    <s v="17/4AL"/>
    <m/>
    <m/>
    <m/>
    <d v="2019-05-20T00:00:00"/>
    <n v="2100"/>
    <m/>
    <m/>
    <m/>
    <m/>
    <m/>
    <m/>
    <n v="2100"/>
    <n v="0"/>
    <n v="0"/>
    <m/>
  </r>
  <r>
    <x v="138"/>
    <d v="2019-02-26T00:00:00"/>
    <s v="KIỀU THY"/>
    <x v="71"/>
    <x v="73"/>
    <x v="7"/>
    <x v="49"/>
    <x v="0"/>
    <x v="4"/>
    <x v="14"/>
    <s v="NL2018"/>
    <m/>
    <n v="24"/>
    <n v="3000"/>
    <x v="5"/>
    <n v="31500000"/>
    <x v="2"/>
    <d v="2019-09-01T00:00:00"/>
    <x v="2"/>
    <x v="2"/>
    <s v="TẾT"/>
    <m/>
    <m/>
    <m/>
    <m/>
    <n v="0"/>
    <m/>
    <m/>
    <m/>
    <m/>
    <m/>
    <m/>
    <n v="0"/>
    <n v="3000"/>
    <n v="31500000"/>
    <m/>
  </r>
  <r>
    <x v="139"/>
    <d v="2019-02-26T00:00:00"/>
    <s v="KIỀU THY"/>
    <x v="71"/>
    <x v="73"/>
    <x v="6"/>
    <x v="4"/>
    <x v="0"/>
    <x v="3"/>
    <x v="5"/>
    <s v="NL2018"/>
    <m/>
    <n v="15"/>
    <n v="3000"/>
    <x v="8"/>
    <n v="15000000"/>
    <x v="0"/>
    <d v="2019-03-15T00:00:00"/>
    <x v="5"/>
    <x v="5"/>
    <s v="15/3AL"/>
    <s v="CONT 22/2019"/>
    <d v="2019-04-14T00:00:00"/>
    <m/>
    <d v="2019-04-17T00:00:00"/>
    <n v="3000"/>
    <m/>
    <m/>
    <m/>
    <m/>
    <m/>
    <m/>
    <n v="3000"/>
    <n v="0"/>
    <n v="0"/>
    <m/>
  </r>
  <r>
    <x v="141"/>
    <d v="2019-02-11T00:00:00"/>
    <s v="KIỀU THY"/>
    <x v="72"/>
    <x v="74"/>
    <x v="74"/>
    <x v="0"/>
    <x v="0"/>
    <x v="2"/>
    <x v="6"/>
    <s v="NL2018"/>
    <m/>
    <n v="67"/>
    <n v="20100"/>
    <x v="133"/>
    <n v="78671400"/>
    <x v="0"/>
    <d v="2019-04-17T00:00:00"/>
    <x v="1"/>
    <x v="1"/>
    <s v="30/3AL"/>
    <m/>
    <m/>
    <m/>
    <m/>
    <n v="20100"/>
    <m/>
    <m/>
    <m/>
    <m/>
    <m/>
    <m/>
    <n v="20100"/>
    <n v="0"/>
    <n v="0"/>
    <m/>
  </r>
  <r>
    <x v="141"/>
    <d v="2019-02-11T00:00:00"/>
    <s v="KIỀU THY"/>
    <x v="72"/>
    <x v="74"/>
    <x v="54"/>
    <x v="0"/>
    <x v="0"/>
    <x v="3"/>
    <x v="5"/>
    <s v="NL2018"/>
    <m/>
    <n v="150"/>
    <n v="30000"/>
    <x v="8"/>
    <n v="150000000"/>
    <x v="0"/>
    <d v="2019-01-15T00:00:00"/>
    <x v="6"/>
    <x v="6"/>
    <s v="15/1AL"/>
    <m/>
    <m/>
    <s v="R"/>
    <d v="2019-02-20T00:00:00"/>
    <n v="30000"/>
    <m/>
    <m/>
    <m/>
    <m/>
    <m/>
    <m/>
    <n v="30000"/>
    <n v="0"/>
    <n v="0"/>
    <m/>
  </r>
  <r>
    <x v="141"/>
    <d v="2019-06-21T00:00:00"/>
    <s v="KIỀU THY"/>
    <x v="72"/>
    <x v="74"/>
    <x v="54"/>
    <x v="0"/>
    <x v="0"/>
    <x v="3"/>
    <x v="5"/>
    <s v="NL2018"/>
    <m/>
    <n v="50"/>
    <n v="10000"/>
    <x v="32"/>
    <n v="53000000"/>
    <x v="0"/>
    <d v="2019-05-24T00:00:00"/>
    <x v="65"/>
    <x v="65"/>
    <m/>
    <m/>
    <m/>
    <m/>
    <d v="2019-06-26T00:00:00"/>
    <n v="10000"/>
    <m/>
    <m/>
    <m/>
    <m/>
    <m/>
    <m/>
    <n v="10000"/>
    <n v="0"/>
    <n v="0"/>
    <m/>
  </r>
  <r>
    <x v="141"/>
    <d v="2019-06-04T00:00:00"/>
    <s v="KIỀU THY"/>
    <x v="72"/>
    <x v="74"/>
    <x v="74"/>
    <x v="0"/>
    <x v="0"/>
    <x v="13"/>
    <x v="6"/>
    <s v="NL2018"/>
    <m/>
    <n v="34"/>
    <n v="10200"/>
    <x v="57"/>
    <n v="39780000"/>
    <x v="0"/>
    <d v="2019-05-05T00:00:00"/>
    <x v="27"/>
    <x v="27"/>
    <m/>
    <m/>
    <m/>
    <m/>
    <d v="2019-06-08T00:00:00"/>
    <n v="10200"/>
    <m/>
    <m/>
    <m/>
    <m/>
    <m/>
    <m/>
    <n v="10200"/>
    <n v="0"/>
    <n v="0"/>
    <m/>
  </r>
  <r>
    <x v="141"/>
    <d v="2019-04-22T00:00:00"/>
    <s v="KIỀU THY"/>
    <x v="72"/>
    <x v="74"/>
    <x v="124"/>
    <x v="53"/>
    <x v="0"/>
    <x v="1"/>
    <x v="9"/>
    <s v="NZ2019"/>
    <m/>
    <n v="134"/>
    <n v="20100"/>
    <x v="150"/>
    <n v="190950000"/>
    <x v="2"/>
    <d v="2019-08-01T00:00:00"/>
    <x v="49"/>
    <x v="49"/>
    <s v="1/8AL"/>
    <m/>
    <m/>
    <m/>
    <m/>
    <m/>
    <m/>
    <m/>
    <m/>
    <m/>
    <m/>
    <m/>
    <n v="0"/>
    <n v="20100"/>
    <n v="190950000"/>
    <m/>
  </r>
  <r>
    <x v="141"/>
    <d v="2019-02-11T00:00:00"/>
    <s v="KIỀU THY"/>
    <x v="72"/>
    <x v="74"/>
    <x v="5"/>
    <x v="3"/>
    <x v="0"/>
    <x v="1"/>
    <x v="9"/>
    <s v="NL2018"/>
    <m/>
    <n v="133"/>
    <n v="19950"/>
    <x v="95"/>
    <n v="130233600"/>
    <x v="0"/>
    <d v="2019-04-17T00:00:00"/>
    <x v="1"/>
    <x v="1"/>
    <s v="30/3AL"/>
    <m/>
    <m/>
    <m/>
    <m/>
    <n v="19950"/>
    <m/>
    <m/>
    <m/>
    <m/>
    <m/>
    <m/>
    <n v="19950"/>
    <n v="0"/>
    <n v="0"/>
    <m/>
  </r>
  <r>
    <x v="141"/>
    <d v="2019-05-13T00:00:00"/>
    <s v="KIỀU THY"/>
    <x v="72"/>
    <x v="74"/>
    <x v="5"/>
    <x v="3"/>
    <x v="0"/>
    <x v="1"/>
    <x v="9"/>
    <s v="NL2018"/>
    <m/>
    <n v="66"/>
    <n v="9900"/>
    <x v="151"/>
    <n v="78210000"/>
    <x v="0"/>
    <d v="2019-04-17T00:00:00"/>
    <x v="1"/>
    <x v="1"/>
    <s v="30/3AL"/>
    <m/>
    <m/>
    <m/>
    <m/>
    <n v="9900"/>
    <m/>
    <m/>
    <m/>
    <m/>
    <m/>
    <m/>
    <n v="9900"/>
    <n v="0"/>
    <n v="0"/>
    <m/>
  </r>
  <r>
    <x v="141"/>
    <d v="2019-02-11T00:00:00"/>
    <s v="KIỀU THY"/>
    <x v="72"/>
    <x v="74"/>
    <x v="5"/>
    <x v="3"/>
    <x v="0"/>
    <x v="1"/>
    <x v="9"/>
    <s v="NL2018"/>
    <m/>
    <n v="134"/>
    <n v="20100"/>
    <x v="9"/>
    <n v="160800000"/>
    <x v="0"/>
    <d v="2019-05-18T00:00:00"/>
    <x v="3"/>
    <x v="3"/>
    <s v="25/5AL"/>
    <m/>
    <m/>
    <m/>
    <d v="2019-06-22T00:00:00"/>
    <n v="20100"/>
    <m/>
    <m/>
    <m/>
    <m/>
    <m/>
    <m/>
    <n v="20100"/>
    <n v="0"/>
    <n v="0"/>
    <m/>
  </r>
  <r>
    <x v="141"/>
    <d v="2019-02-11T00:00:00"/>
    <s v="KIỀU THY"/>
    <x v="72"/>
    <x v="74"/>
    <x v="5"/>
    <x v="3"/>
    <x v="0"/>
    <x v="1"/>
    <x v="9"/>
    <s v="NL2018"/>
    <m/>
    <n v="67"/>
    <n v="10050"/>
    <x v="95"/>
    <n v="65606400"/>
    <x v="0"/>
    <d v="2019-04-17T00:00:00"/>
    <x v="1"/>
    <x v="1"/>
    <s v="30/3AL"/>
    <m/>
    <m/>
    <m/>
    <d v="2019-05-06T00:00:00"/>
    <n v="10050"/>
    <m/>
    <m/>
    <m/>
    <m/>
    <m/>
    <m/>
    <n v="10050"/>
    <n v="0"/>
    <n v="0"/>
    <m/>
  </r>
  <r>
    <x v="141"/>
    <d v="2019-05-29T00:00:00"/>
    <s v="KIỀU THY"/>
    <x v="72"/>
    <x v="74"/>
    <x v="5"/>
    <x v="3"/>
    <x v="0"/>
    <x v="1"/>
    <x v="9"/>
    <s v="NL2018"/>
    <m/>
    <n v="0"/>
    <n v="0"/>
    <x v="151"/>
    <n v="0"/>
    <x v="1"/>
    <d v="2019-04-17T00:00:00"/>
    <x v="1"/>
    <x v="1"/>
    <s v="30/3AL"/>
    <m/>
    <m/>
    <m/>
    <m/>
    <m/>
    <m/>
    <m/>
    <m/>
    <m/>
    <m/>
    <m/>
    <n v="0"/>
    <n v="0"/>
    <n v="0"/>
    <m/>
  </r>
  <r>
    <x v="142"/>
    <d v="2019-04-22T00:00:00"/>
    <s v="KIỀU THY"/>
    <x v="72"/>
    <x v="74"/>
    <x v="4"/>
    <x v="3"/>
    <x v="0"/>
    <x v="4"/>
    <x v="14"/>
    <s v="NL2018"/>
    <m/>
    <n v="240"/>
    <n v="30000"/>
    <x v="33"/>
    <n v="321000000"/>
    <x v="2"/>
    <d v="2019-09-01T00:00:00"/>
    <x v="2"/>
    <x v="2"/>
    <s v="TẾT"/>
    <m/>
    <m/>
    <m/>
    <m/>
    <m/>
    <m/>
    <m/>
    <m/>
    <m/>
    <m/>
    <m/>
    <n v="0"/>
    <n v="30000"/>
    <n v="321000000"/>
    <m/>
  </r>
  <r>
    <x v="141"/>
    <d v="2019-02-11T00:00:00"/>
    <s v="KIỀU THY"/>
    <x v="72"/>
    <x v="74"/>
    <x v="125"/>
    <x v="66"/>
    <x v="4"/>
    <x v="4"/>
    <x v="14"/>
    <s v="NL2018"/>
    <m/>
    <n v="153"/>
    <n v="19125"/>
    <x v="17"/>
    <n v="166387500"/>
    <x v="0"/>
    <d v="2019-02-28T00:00:00"/>
    <x v="16"/>
    <x v="16"/>
    <s v="28/2AL"/>
    <s v="CONT 16/2019"/>
    <d v="2019-03-31T00:00:00"/>
    <s v="R"/>
    <d v="2019-04-02T00:00:00"/>
    <n v="19125"/>
    <m/>
    <m/>
    <m/>
    <m/>
    <m/>
    <m/>
    <n v="19125"/>
    <n v="0"/>
    <n v="0"/>
    <m/>
  </r>
  <r>
    <x v="142"/>
    <d v="2019-04-22T00:00:00"/>
    <s v="KIỀU THY"/>
    <x v="72"/>
    <x v="74"/>
    <x v="8"/>
    <x v="4"/>
    <x v="0"/>
    <x v="1"/>
    <x v="9"/>
    <s v="NL2018"/>
    <m/>
    <n v="67"/>
    <n v="10050"/>
    <x v="9"/>
    <n v="80400000"/>
    <x v="2"/>
    <d v="2019-09-01T00:00:00"/>
    <x v="2"/>
    <x v="2"/>
    <s v="TẾT"/>
    <m/>
    <m/>
    <m/>
    <m/>
    <m/>
    <m/>
    <m/>
    <m/>
    <m/>
    <m/>
    <m/>
    <n v="0"/>
    <n v="10050"/>
    <n v="80400000"/>
    <m/>
  </r>
  <r>
    <x v="143"/>
    <d v="2019-06-14T00:00:00"/>
    <s v="THANH THÚY"/>
    <x v="73"/>
    <x v="75"/>
    <x v="108"/>
    <x v="57"/>
    <x v="0"/>
    <x v="3"/>
    <x v="3"/>
    <s v="NL2018"/>
    <m/>
    <n v="10"/>
    <n v="2000"/>
    <x v="65"/>
    <n v="14000000"/>
    <x v="2"/>
    <d v="2019-09-01T00:00:00"/>
    <x v="2"/>
    <x v="2"/>
    <m/>
    <m/>
    <m/>
    <m/>
    <m/>
    <m/>
    <m/>
    <m/>
    <m/>
    <m/>
    <m/>
    <m/>
    <n v="0"/>
    <n v="2000"/>
    <n v="14000000"/>
    <m/>
  </r>
  <r>
    <x v="143"/>
    <d v="2019-06-14T00:00:00"/>
    <s v="THANH THÚY"/>
    <x v="73"/>
    <x v="75"/>
    <x v="86"/>
    <x v="53"/>
    <x v="0"/>
    <x v="4"/>
    <x v="4"/>
    <s v="NZ2019"/>
    <m/>
    <n v="48"/>
    <n v="6000"/>
    <x v="25"/>
    <n v="75000000"/>
    <x v="2"/>
    <d v="2019-09-01T00:00:00"/>
    <x v="2"/>
    <x v="2"/>
    <m/>
    <m/>
    <m/>
    <m/>
    <m/>
    <m/>
    <m/>
    <m/>
    <m/>
    <m/>
    <m/>
    <m/>
    <n v="0"/>
    <n v="6000"/>
    <n v="75000000"/>
    <m/>
  </r>
  <r>
    <x v="143"/>
    <d v="2019-06-14T00:00:00"/>
    <s v="THANH THÚY"/>
    <x v="73"/>
    <x v="75"/>
    <x v="81"/>
    <x v="37"/>
    <x v="0"/>
    <x v="4"/>
    <x v="4"/>
    <s v="NZ2019"/>
    <m/>
    <n v="88"/>
    <n v="11000"/>
    <x v="80"/>
    <n v="132000000"/>
    <x v="2"/>
    <d v="2019-09-01T00:00:00"/>
    <x v="2"/>
    <x v="2"/>
    <m/>
    <m/>
    <m/>
    <m/>
    <m/>
    <m/>
    <m/>
    <m/>
    <m/>
    <m/>
    <m/>
    <m/>
    <n v="0"/>
    <n v="11000"/>
    <n v="132000000"/>
    <m/>
  </r>
  <r>
    <x v="144"/>
    <d v="2019-06-05T00:00:00"/>
    <s v="KIỀU THY"/>
    <x v="74"/>
    <x v="76"/>
    <x v="73"/>
    <x v="0"/>
    <x v="3"/>
    <x v="3"/>
    <x v="5"/>
    <s v="NL2018"/>
    <m/>
    <n v="1"/>
    <n v="200"/>
    <x v="50"/>
    <n v="1200000"/>
    <x v="0"/>
    <d v="2019-04-17T00:00:00"/>
    <x v="1"/>
    <x v="1"/>
    <m/>
    <m/>
    <m/>
    <m/>
    <d v="2019-06-05T00:00:00"/>
    <n v="200"/>
    <m/>
    <m/>
    <m/>
    <m/>
    <m/>
    <m/>
    <n v="200"/>
    <n v="0"/>
    <n v="0"/>
    <m/>
  </r>
  <r>
    <x v="144"/>
    <d v="2019-02-27T00:00:00"/>
    <s v="KIỀU THY"/>
    <x v="74"/>
    <x v="76"/>
    <x v="34"/>
    <x v="1"/>
    <x v="0"/>
    <x v="2"/>
    <x v="6"/>
    <s v="NL2018"/>
    <m/>
    <n v="20"/>
    <n v="6000"/>
    <x v="43"/>
    <n v="29400000"/>
    <x v="4"/>
    <d v="2019-05-18T00:00:00"/>
    <x v="3"/>
    <x v="3"/>
    <m/>
    <m/>
    <m/>
    <m/>
    <m/>
    <m/>
    <m/>
    <m/>
    <m/>
    <m/>
    <m/>
    <m/>
    <n v="0"/>
    <n v="6000"/>
    <n v="29400000"/>
    <m/>
  </r>
  <r>
    <x v="144"/>
    <d v="2019-02-27T00:00:00"/>
    <s v="KIỀU THY"/>
    <x v="74"/>
    <x v="76"/>
    <x v="83"/>
    <x v="2"/>
    <x v="0"/>
    <x v="3"/>
    <x v="5"/>
    <s v="NL2018"/>
    <m/>
    <n v="50"/>
    <n v="10000"/>
    <x v="152"/>
    <n v="52700000"/>
    <x v="0"/>
    <d v="2019-04-17T00:00:00"/>
    <x v="1"/>
    <x v="1"/>
    <s v="10/4AL"/>
    <m/>
    <m/>
    <m/>
    <d v="2019-05-22T00:00:00"/>
    <n v="8000"/>
    <d v="2019-06-20T00:00:00"/>
    <n v="2000"/>
    <m/>
    <m/>
    <m/>
    <m/>
    <n v="10000"/>
    <n v="0"/>
    <n v="0"/>
    <m/>
  </r>
  <r>
    <x v="145"/>
    <d v="2019-04-09T00:00:00"/>
    <s v="KIỀU THY"/>
    <x v="74"/>
    <x v="76"/>
    <x v="84"/>
    <x v="40"/>
    <x v="0"/>
    <x v="4"/>
    <x v="14"/>
    <s v="CL2019"/>
    <m/>
    <n v="80"/>
    <n v="10000"/>
    <x v="61"/>
    <n v="135000000"/>
    <x v="2"/>
    <d v="2019-09-01T00:00:00"/>
    <x v="2"/>
    <x v="2"/>
    <s v="TẾT"/>
    <m/>
    <m/>
    <m/>
    <m/>
    <m/>
    <m/>
    <m/>
    <m/>
    <m/>
    <m/>
    <m/>
    <n v="0"/>
    <n v="10000"/>
    <n v="135000000"/>
    <m/>
  </r>
  <r>
    <x v="144"/>
    <d v="2019-06-14T00:00:00"/>
    <s v="KIỀU THY"/>
    <x v="74"/>
    <x v="76"/>
    <x v="39"/>
    <x v="22"/>
    <x v="0"/>
    <x v="7"/>
    <x v="8"/>
    <s v="NL2018"/>
    <m/>
    <n v="15"/>
    <n v="6000"/>
    <x v="44"/>
    <n v="18000000"/>
    <x v="2"/>
    <d v="2019-07-15T00:00:00"/>
    <x v="39"/>
    <x v="39"/>
    <m/>
    <m/>
    <m/>
    <m/>
    <m/>
    <m/>
    <m/>
    <m/>
    <m/>
    <m/>
    <m/>
    <m/>
    <n v="0"/>
    <n v="6000"/>
    <n v="18000000"/>
    <m/>
  </r>
  <r>
    <x v="145"/>
    <d v="2019-04-09T00:00:00"/>
    <s v="KIỀU THY"/>
    <x v="74"/>
    <x v="76"/>
    <x v="57"/>
    <x v="32"/>
    <x v="0"/>
    <x v="11"/>
    <x v="19"/>
    <s v="NL2018"/>
    <s v="DLW"/>
    <n v="160"/>
    <n v="12000"/>
    <x v="56"/>
    <n v="192000000"/>
    <x v="2"/>
    <d v="2019-09-01T00:00:00"/>
    <x v="2"/>
    <x v="2"/>
    <s v="TẾT"/>
    <m/>
    <m/>
    <m/>
    <m/>
    <m/>
    <m/>
    <m/>
    <m/>
    <m/>
    <m/>
    <m/>
    <n v="0"/>
    <n v="12000"/>
    <n v="192000000"/>
    <m/>
  </r>
  <r>
    <x v="145"/>
    <d v="2019-04-09T00:00:00"/>
    <s v="KIỀU THY"/>
    <x v="74"/>
    <x v="76"/>
    <x v="57"/>
    <x v="32"/>
    <x v="0"/>
    <x v="11"/>
    <x v="19"/>
    <s v="NL2018"/>
    <s v="DLW"/>
    <n v="100"/>
    <n v="7500"/>
    <x v="116"/>
    <n v="121500000"/>
    <x v="2"/>
    <d v="2019-09-01T00:00:00"/>
    <x v="2"/>
    <x v="2"/>
    <s v="TẾT"/>
    <m/>
    <m/>
    <m/>
    <m/>
    <m/>
    <m/>
    <m/>
    <m/>
    <m/>
    <m/>
    <m/>
    <n v="0"/>
    <n v="7500"/>
    <n v="121500000"/>
    <m/>
  </r>
  <r>
    <x v="145"/>
    <d v="2019-04-09T00:00:00"/>
    <s v="KIỀU THY"/>
    <x v="74"/>
    <x v="76"/>
    <x v="64"/>
    <x v="32"/>
    <x v="0"/>
    <x v="8"/>
    <x v="11"/>
    <s v="NL2018"/>
    <m/>
    <n v="0"/>
    <n v="0"/>
    <x v="110"/>
    <n v="0"/>
    <x v="1"/>
    <d v="2019-09-01T00:00:00"/>
    <x v="2"/>
    <x v="2"/>
    <s v="TẾT"/>
    <m/>
    <m/>
    <m/>
    <m/>
    <m/>
    <m/>
    <m/>
    <m/>
    <m/>
    <m/>
    <m/>
    <n v="0"/>
    <n v="0"/>
    <n v="0"/>
    <m/>
  </r>
  <r>
    <x v="144"/>
    <d v="2019-05-13T00:00:00"/>
    <s v="KIỀU THY"/>
    <x v="74"/>
    <x v="76"/>
    <x v="26"/>
    <x v="13"/>
    <x v="0"/>
    <x v="3"/>
    <x v="5"/>
    <s v="NL2018"/>
    <m/>
    <n v="10"/>
    <n v="2000"/>
    <x v="6"/>
    <n v="10800000"/>
    <x v="0"/>
    <d v="2019-04-17T00:00:00"/>
    <x v="1"/>
    <x v="1"/>
    <m/>
    <m/>
    <m/>
    <m/>
    <d v="2019-06-20T00:00:00"/>
    <n v="2000"/>
    <m/>
    <m/>
    <m/>
    <m/>
    <m/>
    <m/>
    <n v="2000"/>
    <n v="0"/>
    <n v="0"/>
    <m/>
  </r>
  <r>
    <x v="144"/>
    <d v="2019-06-14T00:00:00"/>
    <s v="KIỀU THY"/>
    <x v="74"/>
    <x v="76"/>
    <x v="69"/>
    <x v="13"/>
    <x v="0"/>
    <x v="2"/>
    <x v="6"/>
    <s v="NL2018"/>
    <m/>
    <n v="20"/>
    <n v="6000"/>
    <x v="28"/>
    <n v="27600000"/>
    <x v="2"/>
    <d v="2019-08-15T00:00:00"/>
    <x v="53"/>
    <x v="53"/>
    <m/>
    <m/>
    <m/>
    <m/>
    <m/>
    <m/>
    <m/>
    <m/>
    <m/>
    <m/>
    <m/>
    <m/>
    <n v="0"/>
    <n v="6000"/>
    <n v="27600000"/>
    <m/>
  </r>
  <r>
    <x v="144"/>
    <d v="2019-05-13T00:00:00"/>
    <s v="KIỀU THY"/>
    <x v="74"/>
    <x v="76"/>
    <x v="27"/>
    <x v="14"/>
    <x v="0"/>
    <x v="3"/>
    <x v="5"/>
    <s v="NL2018"/>
    <m/>
    <n v="30"/>
    <n v="6000"/>
    <x v="29"/>
    <n v="34800000"/>
    <x v="0"/>
    <d v="2019-05-05T00:00:00"/>
    <x v="27"/>
    <x v="27"/>
    <m/>
    <m/>
    <m/>
    <m/>
    <d v="2019-06-20T00:00:00"/>
    <n v="6000"/>
    <m/>
    <m/>
    <m/>
    <m/>
    <m/>
    <m/>
    <n v="6000"/>
    <n v="0"/>
    <n v="0"/>
    <m/>
  </r>
  <r>
    <x v="144"/>
    <d v="2019-06-14T00:00:00"/>
    <s v="KIỀU THY"/>
    <x v="74"/>
    <x v="76"/>
    <x v="100"/>
    <x v="26"/>
    <x v="0"/>
    <x v="3"/>
    <x v="5"/>
    <s v="NL2018"/>
    <m/>
    <n v="25"/>
    <n v="5000"/>
    <x v="60"/>
    <n v="34000000"/>
    <x v="2"/>
    <d v="2019-08-15T00:00:00"/>
    <x v="53"/>
    <x v="53"/>
    <m/>
    <m/>
    <m/>
    <m/>
    <m/>
    <m/>
    <m/>
    <m/>
    <m/>
    <m/>
    <m/>
    <m/>
    <n v="0"/>
    <n v="5000"/>
    <n v="34000000"/>
    <m/>
  </r>
  <r>
    <x v="144"/>
    <d v="2019-02-27T00:00:00"/>
    <s v="KIỀU THY"/>
    <x v="74"/>
    <x v="76"/>
    <x v="23"/>
    <x v="11"/>
    <x v="0"/>
    <x v="2"/>
    <x v="6"/>
    <s v="NL2018"/>
    <m/>
    <n v="34"/>
    <n v="10200"/>
    <x v="6"/>
    <n v="55080000"/>
    <x v="0"/>
    <d v="2019-04-17T00:00:00"/>
    <x v="1"/>
    <x v="1"/>
    <s v="10/4AL"/>
    <m/>
    <m/>
    <m/>
    <d v="2019-05-24T00:00:00"/>
    <n v="10200"/>
    <m/>
    <m/>
    <m/>
    <m/>
    <m/>
    <m/>
    <n v="10200"/>
    <n v="0"/>
    <n v="0"/>
    <m/>
  </r>
  <r>
    <x v="146"/>
    <d v="2019-02-27T00:00:00"/>
    <s v="KIỀU THY"/>
    <x v="74"/>
    <x v="76"/>
    <x v="77"/>
    <x v="7"/>
    <x v="0"/>
    <x v="3"/>
    <x v="5"/>
    <s v="NL2018"/>
    <m/>
    <n v="25"/>
    <n v="5000"/>
    <x v="73"/>
    <n v="31500000"/>
    <x v="0"/>
    <s v="30-Feb-19"/>
    <x v="29"/>
    <x v="29"/>
    <s v="30/2AL"/>
    <s v="CONT 14/2019"/>
    <d v="2019-03-31T00:00:00"/>
    <s v="R"/>
    <d v="2019-04-03T00:00:00"/>
    <n v="5000"/>
    <m/>
    <m/>
    <m/>
    <m/>
    <m/>
    <m/>
    <n v="5000"/>
    <n v="0"/>
    <n v="0"/>
    <m/>
  </r>
  <r>
    <x v="146"/>
    <d v="2019-02-27T00:00:00"/>
    <s v="KIỀU THY"/>
    <x v="74"/>
    <x v="76"/>
    <x v="13"/>
    <x v="7"/>
    <x v="0"/>
    <x v="5"/>
    <x v="6"/>
    <s v="NL2018"/>
    <m/>
    <n v="5"/>
    <n v="1500"/>
    <x v="49"/>
    <n v="6600000"/>
    <x v="0"/>
    <s v="30-Feb-19"/>
    <x v="29"/>
    <x v="29"/>
    <s v="30/2AL"/>
    <m/>
    <m/>
    <m/>
    <d v="2019-04-03T00:00:00"/>
    <n v="1500"/>
    <m/>
    <m/>
    <m/>
    <m/>
    <m/>
    <m/>
    <n v="1500"/>
    <n v="0"/>
    <n v="0"/>
    <m/>
  </r>
  <r>
    <x v="144"/>
    <d v="2019-06-14T00:00:00"/>
    <s v="KIỀU THY"/>
    <x v="74"/>
    <x v="76"/>
    <x v="110"/>
    <x v="58"/>
    <x v="0"/>
    <x v="2"/>
    <x v="6"/>
    <s v="NL2018"/>
    <m/>
    <n v="17"/>
    <n v="5100"/>
    <x v="43"/>
    <n v="24990000"/>
    <x v="2"/>
    <d v="2019-07-15T00:00:00"/>
    <x v="39"/>
    <x v="39"/>
    <m/>
    <m/>
    <m/>
    <m/>
    <m/>
    <m/>
    <m/>
    <m/>
    <m/>
    <m/>
    <m/>
    <m/>
    <n v="0"/>
    <n v="5100"/>
    <n v="24990000"/>
    <m/>
  </r>
  <r>
    <x v="147"/>
    <d v="2019-02-13T00:00:00"/>
    <s v="KIỀU THY"/>
    <x v="75"/>
    <x v="77"/>
    <x v="74"/>
    <x v="0"/>
    <x v="0"/>
    <x v="2"/>
    <x v="6"/>
    <s v="NL2018"/>
    <m/>
    <n v="65"/>
    <n v="19500"/>
    <x v="77"/>
    <n v="74100000"/>
    <x v="0"/>
    <d v="2019-02-15T00:00:00"/>
    <x v="0"/>
    <x v="0"/>
    <s v="15/2AL"/>
    <s v="CONT 12/2019"/>
    <d v="2019-03-17T00:00:00"/>
    <m/>
    <d v="2019-03-23T00:00:00"/>
    <n v="10200"/>
    <d v="2019-04-18T00:00:00"/>
    <n v="9300"/>
    <m/>
    <m/>
    <m/>
    <m/>
    <n v="19500"/>
    <n v="0"/>
    <n v="0"/>
    <s v="check lai gia 3800 hay 3700"/>
  </r>
  <r>
    <x v="147"/>
    <d v="2019-02-13T00:00:00"/>
    <s v="KIỀU THY"/>
    <x v="75"/>
    <x v="77"/>
    <x v="74"/>
    <x v="0"/>
    <x v="0"/>
    <x v="2"/>
    <x v="6"/>
    <s v="NL2018"/>
    <m/>
    <n v="0"/>
    <n v="0"/>
    <x v="77"/>
    <n v="0"/>
    <x v="1"/>
    <d v="2019-03-15T00:00:00"/>
    <x v="5"/>
    <x v="5"/>
    <s v="15/3AL"/>
    <s v="CONT 27/2019"/>
    <d v="2019-04-14T00:00:00"/>
    <m/>
    <m/>
    <n v="0"/>
    <m/>
    <m/>
    <m/>
    <m/>
    <m/>
    <m/>
    <n v="0"/>
    <n v="0"/>
    <n v="0"/>
    <s v="check lai gia 3800 hay 3700"/>
  </r>
  <r>
    <x v="148"/>
    <d v="2019-02-13T00:00:00"/>
    <s v="KIỀU THY"/>
    <x v="75"/>
    <x v="77"/>
    <x v="126"/>
    <x v="67"/>
    <x v="0"/>
    <x v="1"/>
    <x v="9"/>
    <s v="CL2019"/>
    <m/>
    <n v="100"/>
    <n v="15000"/>
    <x v="27"/>
    <n v="165000000"/>
    <x v="2"/>
    <d v="2019-09-01T00:00:00"/>
    <x v="2"/>
    <x v="2"/>
    <s v="TẾT"/>
    <m/>
    <m/>
    <m/>
    <m/>
    <n v="0"/>
    <m/>
    <m/>
    <m/>
    <m/>
    <m/>
    <m/>
    <n v="0"/>
    <n v="15000"/>
    <n v="165000000"/>
    <m/>
  </r>
  <r>
    <x v="147"/>
    <d v="2019-02-13T00:00:00"/>
    <s v="KIỀU THY"/>
    <x v="75"/>
    <x v="77"/>
    <x v="34"/>
    <x v="1"/>
    <x v="0"/>
    <x v="2"/>
    <x v="6"/>
    <s v="NL2018"/>
    <m/>
    <n v="33"/>
    <n v="9900"/>
    <x v="28"/>
    <n v="45540000"/>
    <x v="0"/>
    <d v="2019-02-15T00:00:00"/>
    <x v="0"/>
    <x v="0"/>
    <s v="15/2AL"/>
    <s v="CONT 10/2019"/>
    <d v="2019-03-17T00:00:00"/>
    <m/>
    <d v="2019-03-24T00:00:00"/>
    <n v="9900"/>
    <m/>
    <m/>
    <m/>
    <m/>
    <m/>
    <m/>
    <n v="9900"/>
    <n v="0"/>
    <n v="0"/>
    <m/>
  </r>
  <r>
    <x v="147"/>
    <d v="2019-02-13T00:00:00"/>
    <s v="KIỀU THY"/>
    <x v="75"/>
    <x v="77"/>
    <x v="10"/>
    <x v="1"/>
    <x v="0"/>
    <x v="3"/>
    <x v="5"/>
    <s v="NL2018"/>
    <m/>
    <n v="50"/>
    <n v="10000"/>
    <x v="10"/>
    <n v="55000000"/>
    <x v="0"/>
    <d v="2019-02-15T00:00:00"/>
    <x v="0"/>
    <x v="0"/>
    <s v="15/2AL"/>
    <s v="CONT 12/2019"/>
    <d v="2019-03-17T00:00:00"/>
    <m/>
    <d v="2019-03-24T00:00:00"/>
    <n v="10000"/>
    <m/>
    <m/>
    <m/>
    <m/>
    <m/>
    <m/>
    <n v="10000"/>
    <n v="0"/>
    <n v="0"/>
    <m/>
  </r>
  <r>
    <x v="147"/>
    <d v="2019-05-07T00:00:00"/>
    <s v="KIỀU THY"/>
    <x v="75"/>
    <x v="77"/>
    <x v="34"/>
    <x v="1"/>
    <x v="0"/>
    <x v="2"/>
    <x v="6"/>
    <s v="NL2018"/>
    <m/>
    <n v="0"/>
    <n v="0"/>
    <x v="43"/>
    <n v="0"/>
    <x v="1"/>
    <d v="2019-04-29T00:00:00"/>
    <x v="11"/>
    <x v="11"/>
    <m/>
    <m/>
    <m/>
    <m/>
    <m/>
    <m/>
    <m/>
    <m/>
    <m/>
    <m/>
    <m/>
    <m/>
    <n v="0"/>
    <n v="0"/>
    <n v="0"/>
    <m/>
  </r>
  <r>
    <x v="147"/>
    <d v="2019-02-13T00:00:00"/>
    <s v="KIỀU THY"/>
    <x v="75"/>
    <x v="77"/>
    <x v="10"/>
    <x v="1"/>
    <x v="0"/>
    <x v="3"/>
    <x v="5"/>
    <s v="NL2018"/>
    <m/>
    <n v="0"/>
    <n v="0"/>
    <x v="10"/>
    <n v="0"/>
    <x v="1"/>
    <m/>
    <x v="35"/>
    <x v="35"/>
    <m/>
    <m/>
    <m/>
    <m/>
    <m/>
    <n v="0"/>
    <m/>
    <m/>
    <m/>
    <m/>
    <m/>
    <m/>
    <n v="0"/>
    <n v="0"/>
    <n v="0"/>
    <m/>
  </r>
  <r>
    <x v="147"/>
    <d v="2019-05-25T00:00:00"/>
    <s v="KIỀU THY"/>
    <x v="75"/>
    <x v="77"/>
    <x v="2"/>
    <x v="2"/>
    <x v="0"/>
    <x v="2"/>
    <x v="6"/>
    <s v="NL2018"/>
    <m/>
    <n v="29"/>
    <n v="8700"/>
    <x v="106"/>
    <n v="31320000"/>
    <x v="0"/>
    <d v="2019-04-17T00:00:00"/>
    <x v="1"/>
    <x v="1"/>
    <m/>
    <m/>
    <m/>
    <m/>
    <d v="2019-06-11T00:00:00"/>
    <n v="8700"/>
    <m/>
    <m/>
    <m/>
    <m/>
    <m/>
    <m/>
    <n v="8700"/>
    <n v="0"/>
    <n v="0"/>
    <m/>
  </r>
  <r>
    <x v="147"/>
    <d v="2019-06-01T00:00:00"/>
    <s v="KIỀU THY"/>
    <x v="75"/>
    <x v="77"/>
    <x v="2"/>
    <x v="2"/>
    <x v="0"/>
    <x v="2"/>
    <x v="6"/>
    <s v="NL2018"/>
    <m/>
    <n v="27"/>
    <n v="8100"/>
    <x v="81"/>
    <n v="29970000"/>
    <x v="4"/>
    <d v="2019-05-12T00:00:00"/>
    <x v="40"/>
    <x v="40"/>
    <s v="12/5 AL"/>
    <m/>
    <m/>
    <m/>
    <d v="2019-06-11T00:00:00"/>
    <n v="3000"/>
    <d v="2019-06-24T00:00:00"/>
    <n v="3900"/>
    <m/>
    <m/>
    <m/>
    <m/>
    <n v="6900"/>
    <n v="1200"/>
    <n v="4440000"/>
    <m/>
  </r>
  <r>
    <x v="147"/>
    <d v="2019-05-08T00:00:00"/>
    <s v="KIỀU THY"/>
    <x v="75"/>
    <x v="77"/>
    <x v="83"/>
    <x v="2"/>
    <x v="0"/>
    <x v="3"/>
    <x v="5"/>
    <s v="NL2018"/>
    <m/>
    <n v="55"/>
    <n v="11000"/>
    <x v="71"/>
    <n v="57200000"/>
    <x v="0"/>
    <d v="2019-04-29T00:00:00"/>
    <x v="11"/>
    <x v="11"/>
    <m/>
    <m/>
    <m/>
    <m/>
    <d v="2019-06-24T00:00:00"/>
    <n v="11000"/>
    <m/>
    <m/>
    <m/>
    <m/>
    <m/>
    <m/>
    <n v="11000"/>
    <n v="0"/>
    <n v="0"/>
    <m/>
  </r>
  <r>
    <x v="147"/>
    <d v="2019-05-15T00:00:00"/>
    <s v="KIỀU THY"/>
    <x v="75"/>
    <x v="77"/>
    <x v="2"/>
    <x v="2"/>
    <x v="0"/>
    <x v="2"/>
    <x v="6"/>
    <s v="NL2018"/>
    <m/>
    <n v="34"/>
    <n v="10200"/>
    <x v="81"/>
    <n v="37740000"/>
    <x v="3"/>
    <d v="2019-06-15T00:00:00"/>
    <x v="4"/>
    <x v="4"/>
    <m/>
    <m/>
    <m/>
    <m/>
    <m/>
    <m/>
    <m/>
    <m/>
    <m/>
    <m/>
    <m/>
    <m/>
    <n v="0"/>
    <n v="10200"/>
    <n v="37740000"/>
    <m/>
  </r>
  <r>
    <x v="147"/>
    <d v="2019-05-29T00:00:00"/>
    <s v="KIỀU THY"/>
    <x v="75"/>
    <x v="77"/>
    <x v="2"/>
    <x v="2"/>
    <x v="0"/>
    <x v="2"/>
    <x v="6"/>
    <s v="NL2018"/>
    <m/>
    <n v="32"/>
    <n v="9600"/>
    <x v="81"/>
    <n v="35520000"/>
    <x v="2"/>
    <d v="2019-06-25T00:00:00"/>
    <x v="19"/>
    <x v="19"/>
    <m/>
    <m/>
    <m/>
    <m/>
    <m/>
    <m/>
    <m/>
    <m/>
    <m/>
    <m/>
    <m/>
    <m/>
    <n v="0"/>
    <n v="9600"/>
    <n v="35520000"/>
    <m/>
  </r>
  <r>
    <x v="147"/>
    <d v="2019-05-07T00:00:00"/>
    <s v="KIỀU THY"/>
    <x v="75"/>
    <x v="77"/>
    <x v="83"/>
    <x v="2"/>
    <x v="0"/>
    <x v="3"/>
    <x v="5"/>
    <s v="NL2018"/>
    <m/>
    <n v="0"/>
    <n v="0"/>
    <x v="71"/>
    <n v="0"/>
    <x v="1"/>
    <m/>
    <x v="35"/>
    <x v="35"/>
    <m/>
    <m/>
    <m/>
    <m/>
    <m/>
    <m/>
    <m/>
    <m/>
    <m/>
    <m/>
    <m/>
    <m/>
    <n v="0"/>
    <n v="0"/>
    <n v="0"/>
    <m/>
  </r>
  <r>
    <x v="147"/>
    <d v="2019-02-13T00:00:00"/>
    <s v="KIỀU THY"/>
    <x v="75"/>
    <x v="77"/>
    <x v="3"/>
    <x v="3"/>
    <x v="0"/>
    <x v="3"/>
    <x v="5"/>
    <s v="NL2018"/>
    <m/>
    <n v="50"/>
    <n v="10000"/>
    <x v="6"/>
    <n v="54000000"/>
    <x v="0"/>
    <d v="2019-03-15T00:00:00"/>
    <x v="5"/>
    <x v="5"/>
    <s v="15/3AL"/>
    <s v="CONT 26/2019"/>
    <d v="2019-04-14T00:00:00"/>
    <m/>
    <d v="2019-05-20T00:00:00"/>
    <n v="1000"/>
    <d v="2019-06-05T00:00:00"/>
    <n v="9000"/>
    <m/>
    <m/>
    <m/>
    <m/>
    <n v="10000"/>
    <n v="0"/>
    <n v="0"/>
    <s v="sai sl check lai 5k hay 2k"/>
  </r>
  <r>
    <x v="147"/>
    <d v="2019-05-07T00:00:00"/>
    <s v="KIỀU THY"/>
    <x v="75"/>
    <x v="77"/>
    <x v="3"/>
    <x v="3"/>
    <x v="0"/>
    <x v="3"/>
    <x v="5"/>
    <s v="NL2018"/>
    <m/>
    <n v="141"/>
    <n v="28200"/>
    <x v="6"/>
    <n v="152280000"/>
    <x v="0"/>
    <d v="2019-04-17T00:00:00"/>
    <x v="1"/>
    <x v="1"/>
    <m/>
    <m/>
    <m/>
    <m/>
    <d v="2019-05-18T00:00:00"/>
    <n v="20000"/>
    <d v="2019-06-05T00:00:00"/>
    <n v="8200"/>
    <m/>
    <m/>
    <m/>
    <m/>
    <n v="28200"/>
    <n v="0"/>
    <n v="0"/>
    <m/>
  </r>
  <r>
    <x v="147"/>
    <d v="2019-05-07T00:00:00"/>
    <s v="KIỀU THY"/>
    <x v="75"/>
    <x v="77"/>
    <x v="3"/>
    <x v="3"/>
    <x v="0"/>
    <x v="3"/>
    <x v="5"/>
    <s v="NL2018"/>
    <m/>
    <n v="0"/>
    <n v="0"/>
    <x v="10"/>
    <n v="0"/>
    <x v="1"/>
    <d v="2019-04-29T00:00:00"/>
    <x v="11"/>
    <x v="11"/>
    <m/>
    <m/>
    <m/>
    <m/>
    <m/>
    <m/>
    <m/>
    <m/>
    <m/>
    <m/>
    <m/>
    <m/>
    <n v="0"/>
    <n v="0"/>
    <n v="0"/>
    <m/>
  </r>
  <r>
    <x v="147"/>
    <d v="2019-02-13T00:00:00"/>
    <s v="KIỀU THY"/>
    <x v="75"/>
    <x v="77"/>
    <x v="3"/>
    <x v="3"/>
    <x v="0"/>
    <x v="3"/>
    <x v="5"/>
    <s v="NL2018"/>
    <m/>
    <n v="35"/>
    <n v="7000"/>
    <x v="42"/>
    <n v="33600000"/>
    <x v="0"/>
    <d v="2019-02-15T00:00:00"/>
    <x v="0"/>
    <x v="0"/>
    <s v="15/2AL"/>
    <s v="CONT 11/2019"/>
    <d v="2019-03-17T00:00:00"/>
    <m/>
    <d v="2019-03-23T00:00:00"/>
    <n v="7000"/>
    <m/>
    <m/>
    <m/>
    <m/>
    <m/>
    <m/>
    <n v="7000"/>
    <n v="0"/>
    <n v="0"/>
    <m/>
  </r>
  <r>
    <x v="147"/>
    <d v="2019-05-08T00:00:00"/>
    <s v="KIỀU THY"/>
    <x v="75"/>
    <x v="77"/>
    <x v="3"/>
    <x v="3"/>
    <x v="0"/>
    <x v="3"/>
    <x v="5"/>
    <s v="NL2018"/>
    <m/>
    <n v="128"/>
    <n v="25600"/>
    <x v="10"/>
    <n v="140800000"/>
    <x v="4"/>
    <d v="2019-05-18T00:00:00"/>
    <x v="3"/>
    <x v="3"/>
    <m/>
    <m/>
    <m/>
    <m/>
    <m/>
    <m/>
    <m/>
    <m/>
    <m/>
    <m/>
    <m/>
    <m/>
    <n v="0"/>
    <n v="25600"/>
    <n v="140800000"/>
    <m/>
  </r>
  <r>
    <x v="147"/>
    <d v="2019-06-24T00:00:00"/>
    <s v="KIỀU THY"/>
    <x v="75"/>
    <x v="77"/>
    <x v="54"/>
    <x v="0"/>
    <x v="0"/>
    <x v="3"/>
    <x v="5"/>
    <s v="NL2018"/>
    <m/>
    <n v="25"/>
    <n v="5000"/>
    <x v="71"/>
    <n v="26000000"/>
    <x v="4"/>
    <d v="2019-05-24T00:00:00"/>
    <x v="65"/>
    <x v="65"/>
    <s v="Hà Nội chuyển vô"/>
    <m/>
    <m/>
    <m/>
    <m/>
    <m/>
    <m/>
    <m/>
    <m/>
    <m/>
    <m/>
    <m/>
    <n v="0"/>
    <n v="5000"/>
    <n v="26000000"/>
    <m/>
  </r>
  <r>
    <x v="147"/>
    <d v="2019-06-14T00:00:00"/>
    <s v="KIỀU THY"/>
    <x v="75"/>
    <x v="77"/>
    <x v="3"/>
    <x v="3"/>
    <x v="0"/>
    <x v="3"/>
    <x v="5"/>
    <s v="NL2018"/>
    <m/>
    <n v="50"/>
    <n v="10000"/>
    <x v="54"/>
    <n v="56000000"/>
    <x v="3"/>
    <d v="2019-06-15T00:00:00"/>
    <x v="4"/>
    <x v="4"/>
    <m/>
    <m/>
    <m/>
    <m/>
    <m/>
    <m/>
    <m/>
    <m/>
    <m/>
    <m/>
    <m/>
    <m/>
    <n v="0"/>
    <n v="10000"/>
    <n v="56000000"/>
    <m/>
  </r>
  <r>
    <x v="148"/>
    <d v="2019-02-13T00:00:00"/>
    <s v="KIỀU THY"/>
    <x v="75"/>
    <x v="77"/>
    <x v="22"/>
    <x v="3"/>
    <x v="0"/>
    <x v="8"/>
    <x v="11"/>
    <s v="NL2018"/>
    <m/>
    <n v="100"/>
    <n v="10000"/>
    <x v="25"/>
    <n v="125000000"/>
    <x v="2"/>
    <d v="2019-09-01T00:00:00"/>
    <x v="2"/>
    <x v="2"/>
    <s v="TẾT"/>
    <m/>
    <m/>
    <m/>
    <m/>
    <n v="0"/>
    <m/>
    <m/>
    <m/>
    <m/>
    <m/>
    <m/>
    <n v="0"/>
    <n v="10000"/>
    <n v="125000000"/>
    <m/>
  </r>
  <r>
    <x v="147"/>
    <d v="2019-06-13T00:00:00"/>
    <s v="KIỀU THY"/>
    <x v="75"/>
    <x v="77"/>
    <x v="3"/>
    <x v="3"/>
    <x v="0"/>
    <x v="3"/>
    <x v="5"/>
    <s v="NL2018"/>
    <m/>
    <n v="49"/>
    <n v="9800"/>
    <x v="10"/>
    <n v="53900000"/>
    <x v="0"/>
    <d v="2019-05-30T00:00:00"/>
    <x v="17"/>
    <x v="17"/>
    <m/>
    <m/>
    <m/>
    <m/>
    <d v="2019-06-17T00:00:00"/>
    <n v="9800"/>
    <m/>
    <m/>
    <m/>
    <m/>
    <m/>
    <m/>
    <n v="9800"/>
    <n v="0"/>
    <n v="0"/>
    <m/>
  </r>
  <r>
    <x v="147"/>
    <d v="2019-05-15T00:00:00"/>
    <s v="KIỀU THY"/>
    <x v="75"/>
    <x v="77"/>
    <x v="78"/>
    <x v="6"/>
    <x v="0"/>
    <x v="2"/>
    <x v="15"/>
    <s v="NL2018"/>
    <m/>
    <n v="19"/>
    <n v="5225"/>
    <x v="8"/>
    <n v="26125000"/>
    <x v="0"/>
    <d v="2019-04-17T00:00:00"/>
    <x v="1"/>
    <x v="1"/>
    <m/>
    <m/>
    <m/>
    <m/>
    <d v="2019-06-11T00:00:00"/>
    <n v="2475"/>
    <d v="2019-06-12T00:00:00"/>
    <n v="550"/>
    <d v="2019-06-13T00:00:00"/>
    <n v="275"/>
    <d v="2019-06-24T00:00:00"/>
    <n v="1925"/>
    <n v="5225"/>
    <n v="0"/>
    <n v="0"/>
    <m/>
  </r>
  <r>
    <x v="147"/>
    <d v="2019-02-13T00:00:00"/>
    <s v="KIỀU THY"/>
    <x v="75"/>
    <x v="77"/>
    <x v="11"/>
    <x v="6"/>
    <x v="0"/>
    <x v="3"/>
    <x v="5"/>
    <s v="NL2018"/>
    <m/>
    <n v="56"/>
    <n v="11200"/>
    <x v="31"/>
    <n v="75040000"/>
    <x v="0"/>
    <d v="2019-02-15T00:00:00"/>
    <x v="0"/>
    <x v="0"/>
    <s v="15/2AL"/>
    <s v="CONT 12/2019"/>
    <d v="2019-03-17T00:00:00"/>
    <m/>
    <d v="2019-03-23T00:00:00"/>
    <n v="11200"/>
    <m/>
    <m/>
    <m/>
    <m/>
    <m/>
    <m/>
    <n v="11200"/>
    <n v="0"/>
    <n v="0"/>
    <m/>
  </r>
  <r>
    <x v="147"/>
    <d v="2019-06-18T00:00:00"/>
    <s v="KIỀU THY"/>
    <x v="75"/>
    <x v="77"/>
    <x v="11"/>
    <x v="6"/>
    <x v="0"/>
    <x v="3"/>
    <x v="5"/>
    <s v="NL2018"/>
    <m/>
    <n v="45"/>
    <n v="9000"/>
    <x v="11"/>
    <n v="69300000"/>
    <x v="4"/>
    <d v="2019-05-24T00:00:00"/>
    <x v="65"/>
    <x v="65"/>
    <s v="Hà Nội chuyển vô"/>
    <m/>
    <m/>
    <m/>
    <m/>
    <m/>
    <m/>
    <m/>
    <m/>
    <m/>
    <m/>
    <m/>
    <n v="0"/>
    <n v="9000"/>
    <n v="69300000"/>
    <m/>
  </r>
  <r>
    <x v="147"/>
    <d v="2019-06-24T00:00:00"/>
    <s v="KIỀU THY"/>
    <x v="75"/>
    <x v="77"/>
    <x v="5"/>
    <x v="3"/>
    <x v="0"/>
    <x v="1"/>
    <x v="9"/>
    <s v="NL2018"/>
    <m/>
    <n v="80"/>
    <n v="12000"/>
    <x v="30"/>
    <n v="90000000"/>
    <x v="3"/>
    <d v="2019-05-30T00:00:00"/>
    <x v="17"/>
    <x v="17"/>
    <s v="Hà Nội chuyển vô"/>
    <m/>
    <m/>
    <m/>
    <m/>
    <m/>
    <m/>
    <m/>
    <m/>
    <m/>
    <m/>
    <m/>
    <n v="0"/>
    <n v="12000"/>
    <n v="90000000"/>
    <m/>
  </r>
  <r>
    <x v="147"/>
    <d v="2019-06-13T00:00:00"/>
    <s v="KIỀU THY"/>
    <x v="75"/>
    <x v="77"/>
    <x v="107"/>
    <x v="56"/>
    <x v="0"/>
    <x v="2"/>
    <x v="15"/>
    <s v="NL2018"/>
    <m/>
    <n v="30"/>
    <n v="8250"/>
    <x v="12"/>
    <n v="38775000"/>
    <x v="4"/>
    <d v="2019-05-30T00:00:00"/>
    <x v="17"/>
    <x v="17"/>
    <m/>
    <m/>
    <m/>
    <m/>
    <m/>
    <m/>
    <m/>
    <m/>
    <m/>
    <m/>
    <m/>
    <m/>
    <n v="0"/>
    <n v="8250"/>
    <n v="38775000"/>
    <m/>
  </r>
  <r>
    <x v="147"/>
    <d v="2019-06-13T00:00:00"/>
    <s v="KIỀU THY"/>
    <x v="75"/>
    <x v="77"/>
    <x v="127"/>
    <x v="56"/>
    <x v="0"/>
    <x v="3"/>
    <x v="22"/>
    <s v="NL2018"/>
    <m/>
    <n v="5"/>
    <n v="875"/>
    <x v="13"/>
    <n v="5425000"/>
    <x v="4"/>
    <d v="2019-05-30T00:00:00"/>
    <x v="17"/>
    <x v="17"/>
    <m/>
    <m/>
    <m/>
    <m/>
    <m/>
    <m/>
    <m/>
    <m/>
    <m/>
    <m/>
    <m/>
    <m/>
    <n v="0"/>
    <n v="875"/>
    <n v="5425000"/>
    <m/>
  </r>
  <r>
    <x v="147"/>
    <d v="2019-06-13T00:00:00"/>
    <s v="KIỀU THY"/>
    <x v="75"/>
    <x v="77"/>
    <x v="75"/>
    <x v="32"/>
    <x v="0"/>
    <x v="3"/>
    <x v="5"/>
    <s v="NL2018"/>
    <m/>
    <n v="0"/>
    <n v="0"/>
    <x v="65"/>
    <n v="0"/>
    <x v="1"/>
    <d v="2019-05-18T00:00:00"/>
    <x v="3"/>
    <x v="3"/>
    <m/>
    <m/>
    <m/>
    <m/>
    <m/>
    <m/>
    <m/>
    <m/>
    <m/>
    <m/>
    <m/>
    <m/>
    <n v="0"/>
    <n v="0"/>
    <n v="0"/>
    <m/>
  </r>
  <r>
    <x v="147"/>
    <d v="2019-06-14T00:00:00"/>
    <s v="KIỀU THY"/>
    <x v="75"/>
    <x v="77"/>
    <x v="69"/>
    <x v="13"/>
    <x v="0"/>
    <x v="2"/>
    <x v="6"/>
    <s v="NL2018"/>
    <m/>
    <n v="32"/>
    <n v="9600"/>
    <x v="14"/>
    <n v="43200000"/>
    <x v="3"/>
    <d v="2019-06-15T00:00:00"/>
    <x v="4"/>
    <x v="4"/>
    <m/>
    <m/>
    <m/>
    <m/>
    <m/>
    <m/>
    <m/>
    <m/>
    <m/>
    <m/>
    <m/>
    <m/>
    <n v="0"/>
    <n v="9600"/>
    <n v="43200000"/>
    <m/>
  </r>
  <r>
    <x v="147"/>
    <d v="2019-05-07T00:00:00"/>
    <s v="KIỀU THY"/>
    <x v="75"/>
    <x v="77"/>
    <x v="26"/>
    <x v="13"/>
    <x v="0"/>
    <x v="3"/>
    <x v="5"/>
    <s v="NL2018"/>
    <m/>
    <n v="55"/>
    <n v="11000"/>
    <x v="32"/>
    <n v="58300000"/>
    <x v="0"/>
    <d v="2019-04-17T00:00:00"/>
    <x v="1"/>
    <x v="1"/>
    <m/>
    <m/>
    <m/>
    <m/>
    <d v="2019-05-18T00:00:00"/>
    <n v="11000"/>
    <m/>
    <m/>
    <m/>
    <m/>
    <m/>
    <m/>
    <n v="11000"/>
    <n v="0"/>
    <n v="0"/>
    <m/>
  </r>
  <r>
    <x v="147"/>
    <d v="2019-05-19T00:00:00"/>
    <s v="KIỀU THY"/>
    <x v="75"/>
    <x v="77"/>
    <x v="27"/>
    <x v="14"/>
    <x v="0"/>
    <x v="3"/>
    <x v="5"/>
    <s v="NL2018"/>
    <m/>
    <n v="10"/>
    <n v="2000"/>
    <x v="54"/>
    <n v="11200000"/>
    <x v="0"/>
    <d v="2019-04-17T00:00:00"/>
    <x v="1"/>
    <x v="1"/>
    <m/>
    <m/>
    <m/>
    <m/>
    <d v="2019-05-18T00:00:00"/>
    <n v="2000"/>
    <m/>
    <m/>
    <m/>
    <m/>
    <m/>
    <m/>
    <n v="2000"/>
    <n v="0"/>
    <n v="0"/>
    <m/>
  </r>
  <r>
    <x v="147"/>
    <d v="2019-02-13T00:00:00"/>
    <s v="KIỀU THY"/>
    <x v="75"/>
    <x v="77"/>
    <x v="27"/>
    <x v="14"/>
    <x v="0"/>
    <x v="3"/>
    <x v="5"/>
    <s v="NL2018"/>
    <m/>
    <n v="0"/>
    <n v="0"/>
    <x v="10"/>
    <n v="0"/>
    <x v="1"/>
    <m/>
    <x v="35"/>
    <x v="35"/>
    <s v="note lại sau"/>
    <m/>
    <m/>
    <m/>
    <m/>
    <n v="0"/>
    <m/>
    <m/>
    <m/>
    <m/>
    <m/>
    <m/>
    <n v="0"/>
    <n v="0"/>
    <n v="0"/>
    <m/>
  </r>
  <r>
    <x v="147"/>
    <d v="2019-05-02T00:00:00"/>
    <s v="KIỀU THY"/>
    <x v="75"/>
    <x v="77"/>
    <x v="23"/>
    <x v="11"/>
    <x v="0"/>
    <x v="2"/>
    <x v="6"/>
    <s v="NL2018"/>
    <m/>
    <n v="28"/>
    <n v="8400"/>
    <x v="6"/>
    <n v="45360000"/>
    <x v="0"/>
    <d v="2019-03-30T00:00:00"/>
    <x v="34"/>
    <x v="34"/>
    <m/>
    <m/>
    <m/>
    <m/>
    <d v="2019-05-18T00:00:00"/>
    <n v="3000"/>
    <d v="2019-06-05T00:00:00"/>
    <n v="5400"/>
    <m/>
    <m/>
    <m/>
    <m/>
    <n v="8400"/>
    <n v="0"/>
    <n v="0"/>
    <m/>
  </r>
  <r>
    <x v="147"/>
    <d v="2019-06-03T00:00:00"/>
    <s v="KIỀU THY"/>
    <x v="75"/>
    <x v="77"/>
    <x v="23"/>
    <x v="11"/>
    <x v="0"/>
    <x v="2"/>
    <x v="6"/>
    <s v="NL2018"/>
    <m/>
    <n v="21"/>
    <n v="6300"/>
    <x v="6"/>
    <n v="34020000"/>
    <x v="0"/>
    <d v="2019-04-17T00:00:00"/>
    <x v="1"/>
    <x v="1"/>
    <m/>
    <m/>
    <m/>
    <m/>
    <d v="2019-06-05T00:00:00"/>
    <n v="5100"/>
    <d v="2019-06-08T00:00:00"/>
    <n v="1200"/>
    <m/>
    <m/>
    <m/>
    <m/>
    <n v="6300"/>
    <n v="0"/>
    <n v="0"/>
    <m/>
  </r>
  <r>
    <x v="147"/>
    <d v="2019-02-13T00:00:00"/>
    <s v="KIỀU THY"/>
    <x v="75"/>
    <x v="77"/>
    <x v="23"/>
    <x v="11"/>
    <x v="0"/>
    <x v="2"/>
    <x v="6"/>
    <s v="NL2018"/>
    <m/>
    <n v="101.66666666666667"/>
    <n v="30500"/>
    <x v="10"/>
    <n v="167750000"/>
    <x v="0"/>
    <d v="2019-02-15T00:00:00"/>
    <x v="0"/>
    <x v="0"/>
    <s v="15/2AL"/>
    <s v="CONT 11/2019"/>
    <d v="2019-03-17T00:00:00"/>
    <m/>
    <d v="2019-03-23T00:00:00"/>
    <n v="12000"/>
    <d v="2019-04-05T00:00:00"/>
    <n v="8100"/>
    <d v="2019-04-18T00:00:00"/>
    <n v="10400"/>
    <m/>
    <m/>
    <n v="30500"/>
    <n v="0"/>
    <n v="0"/>
    <m/>
  </r>
  <r>
    <x v="147"/>
    <d v="2019-02-13T00:00:00"/>
    <s v="KIỀU THY"/>
    <x v="75"/>
    <x v="77"/>
    <x v="117"/>
    <x v="11"/>
    <x v="0"/>
    <x v="3"/>
    <x v="5"/>
    <s v="NL2018"/>
    <m/>
    <n v="25"/>
    <n v="5000"/>
    <x v="31"/>
    <n v="33500000"/>
    <x v="0"/>
    <d v="2019-02-15T00:00:00"/>
    <x v="0"/>
    <x v="0"/>
    <s v="15/2AL"/>
    <s v="CONT 11/2019"/>
    <d v="2019-03-17T00:00:00"/>
    <m/>
    <d v="2019-04-05T00:00:00"/>
    <n v="5000"/>
    <m/>
    <m/>
    <m/>
    <m/>
    <m/>
    <m/>
    <n v="5000"/>
    <n v="0"/>
    <n v="0"/>
    <m/>
  </r>
  <r>
    <x v="147"/>
    <d v="2019-02-13T00:00:00"/>
    <s v="KIỀU THY"/>
    <x v="75"/>
    <x v="77"/>
    <x v="23"/>
    <x v="11"/>
    <x v="0"/>
    <x v="2"/>
    <x v="6"/>
    <s v="NL2018"/>
    <m/>
    <n v="36"/>
    <n v="10800"/>
    <x v="6"/>
    <n v="58320000"/>
    <x v="0"/>
    <d v="2019-03-15T00:00:00"/>
    <x v="5"/>
    <x v="5"/>
    <s v="15/3AL"/>
    <m/>
    <m/>
    <m/>
    <d v="2019-05-06T00:00:00"/>
    <n v="10800"/>
    <m/>
    <m/>
    <m/>
    <m/>
    <m/>
    <m/>
    <n v="10800"/>
    <n v="0"/>
    <n v="0"/>
    <m/>
  </r>
  <r>
    <x v="147"/>
    <d v="2019-06-14T00:00:00"/>
    <s v="KIỀU THY"/>
    <x v="75"/>
    <x v="77"/>
    <x v="23"/>
    <x v="11"/>
    <x v="0"/>
    <x v="2"/>
    <x v="6"/>
    <s v="NL2018"/>
    <m/>
    <n v="32"/>
    <n v="9600"/>
    <x v="54"/>
    <n v="53760000"/>
    <x v="3"/>
    <d v="2019-06-15T00:00:00"/>
    <x v="4"/>
    <x v="4"/>
    <m/>
    <m/>
    <m/>
    <m/>
    <m/>
    <m/>
    <m/>
    <m/>
    <m/>
    <m/>
    <m/>
    <m/>
    <n v="0"/>
    <n v="9600"/>
    <n v="53760000"/>
    <m/>
  </r>
  <r>
    <x v="147"/>
    <d v="2019-06-13T00:00:00"/>
    <s v="KIỀU THY"/>
    <x v="75"/>
    <x v="77"/>
    <x v="23"/>
    <x v="11"/>
    <x v="0"/>
    <x v="2"/>
    <x v="6"/>
    <s v="NL2018"/>
    <m/>
    <n v="50"/>
    <n v="15000"/>
    <x v="10"/>
    <n v="82500000"/>
    <x v="0"/>
    <d v="2019-05-30T00:00:00"/>
    <x v="17"/>
    <x v="17"/>
    <m/>
    <m/>
    <m/>
    <m/>
    <d v="2019-04-17T00:00:00"/>
    <n v="15000"/>
    <m/>
    <m/>
    <m/>
    <m/>
    <m/>
    <m/>
    <n v="15000"/>
    <n v="0"/>
    <n v="0"/>
    <m/>
  </r>
  <r>
    <x v="147"/>
    <d v="2019-05-07T00:00:00"/>
    <s v="KIỀU THY"/>
    <x v="75"/>
    <x v="77"/>
    <x v="23"/>
    <x v="11"/>
    <x v="0"/>
    <x v="2"/>
    <x v="6"/>
    <s v="NL2018"/>
    <m/>
    <n v="34"/>
    <n v="10200"/>
    <x v="6"/>
    <n v="55080000"/>
    <x v="0"/>
    <d v="2019-04-17T00:00:00"/>
    <x v="1"/>
    <x v="1"/>
    <m/>
    <m/>
    <m/>
    <m/>
    <d v="2019-05-18T00:00:00"/>
    <n v="10200"/>
    <m/>
    <m/>
    <m/>
    <m/>
    <m/>
    <m/>
    <n v="10200"/>
    <n v="0"/>
    <n v="0"/>
    <m/>
  </r>
  <r>
    <x v="148"/>
    <d v="2019-02-13T00:00:00"/>
    <s v="KIỀU THY"/>
    <x v="75"/>
    <x v="77"/>
    <x v="59"/>
    <x v="11"/>
    <x v="0"/>
    <x v="4"/>
    <x v="14"/>
    <s v="NL2018"/>
    <m/>
    <n v="120"/>
    <n v="15000"/>
    <x v="24"/>
    <n v="213000000"/>
    <x v="2"/>
    <d v="2019-09-01T00:00:00"/>
    <x v="2"/>
    <x v="2"/>
    <s v="TẾT"/>
    <m/>
    <m/>
    <m/>
    <m/>
    <n v="0"/>
    <m/>
    <m/>
    <m/>
    <m/>
    <m/>
    <m/>
    <n v="0"/>
    <n v="15000"/>
    <n v="213000000"/>
    <m/>
  </r>
  <r>
    <x v="147"/>
    <d v="2019-06-13T00:00:00"/>
    <s v="KIỀU THY"/>
    <x v="75"/>
    <x v="77"/>
    <x v="23"/>
    <x v="11"/>
    <x v="0"/>
    <x v="2"/>
    <x v="6"/>
    <s v="NL2018"/>
    <m/>
    <n v="34"/>
    <n v="10200"/>
    <x v="10"/>
    <n v="56100000"/>
    <x v="4"/>
    <d v="2019-05-30T00:00:00"/>
    <x v="17"/>
    <x v="17"/>
    <m/>
    <m/>
    <m/>
    <m/>
    <m/>
    <m/>
    <m/>
    <m/>
    <m/>
    <m/>
    <m/>
    <m/>
    <n v="0"/>
    <n v="10200"/>
    <n v="56100000"/>
    <m/>
  </r>
  <r>
    <x v="147"/>
    <d v="2019-02-13T00:00:00"/>
    <s v="KIỀU THY"/>
    <x v="75"/>
    <x v="77"/>
    <x v="6"/>
    <x v="4"/>
    <x v="0"/>
    <x v="3"/>
    <x v="5"/>
    <s v="NL2018"/>
    <m/>
    <n v="50"/>
    <n v="10000"/>
    <x v="8"/>
    <n v="50000000"/>
    <x v="0"/>
    <d v="2019-03-15T00:00:00"/>
    <x v="5"/>
    <x v="5"/>
    <s v="15/3AL"/>
    <s v="CONT 21/2019"/>
    <d v="2019-04-14T00:00:00"/>
    <m/>
    <d v="2019-05-03T00:00:00"/>
    <n v="10000"/>
    <m/>
    <m/>
    <m/>
    <m/>
    <m/>
    <m/>
    <n v="10000"/>
    <n v="0"/>
    <n v="0"/>
    <m/>
  </r>
  <r>
    <x v="148"/>
    <d v="2019-02-13T00:00:00"/>
    <s v="KIỀU THY"/>
    <x v="75"/>
    <x v="77"/>
    <x v="8"/>
    <x v="4"/>
    <x v="0"/>
    <x v="1"/>
    <x v="9"/>
    <s v="NL2018"/>
    <m/>
    <n v="267"/>
    <n v="40050"/>
    <x v="55"/>
    <n v="288360000"/>
    <x v="2"/>
    <d v="2019-09-01T00:00:00"/>
    <x v="2"/>
    <x v="2"/>
    <s v="TẾT"/>
    <m/>
    <m/>
    <m/>
    <m/>
    <n v="0"/>
    <m/>
    <m/>
    <m/>
    <m/>
    <m/>
    <m/>
    <n v="0"/>
    <n v="40050"/>
    <n v="288360000"/>
    <m/>
  </r>
  <r>
    <x v="148"/>
    <d v="2019-02-13T00:00:00"/>
    <s v="KIỀU THY"/>
    <x v="75"/>
    <x v="77"/>
    <x v="7"/>
    <x v="4"/>
    <x v="0"/>
    <x v="4"/>
    <x v="14"/>
    <s v="NL2018"/>
    <m/>
    <n v="200"/>
    <n v="25000"/>
    <x v="34"/>
    <n v="265000000"/>
    <x v="2"/>
    <d v="2019-09-01T00:00:00"/>
    <x v="2"/>
    <x v="2"/>
    <s v="TẾT"/>
    <m/>
    <m/>
    <m/>
    <m/>
    <m/>
    <m/>
    <m/>
    <m/>
    <m/>
    <m/>
    <m/>
    <n v="0"/>
    <n v="25000"/>
    <n v="265000000"/>
    <m/>
  </r>
  <r>
    <x v="148"/>
    <d v="2019-02-13T00:00:00"/>
    <s v="KIỀU THY"/>
    <x v="75"/>
    <x v="77"/>
    <x v="21"/>
    <x v="4"/>
    <x v="0"/>
    <x v="8"/>
    <x v="11"/>
    <s v="NL2018"/>
    <m/>
    <n v="100"/>
    <n v="10000"/>
    <x v="25"/>
    <n v="125000000"/>
    <x v="2"/>
    <d v="2019-09-01T00:00:00"/>
    <x v="2"/>
    <x v="2"/>
    <s v="TẾT"/>
    <m/>
    <m/>
    <m/>
    <m/>
    <n v="0"/>
    <m/>
    <m/>
    <m/>
    <m/>
    <m/>
    <m/>
    <n v="0"/>
    <n v="10000"/>
    <n v="125000000"/>
    <m/>
  </r>
  <r>
    <x v="148"/>
    <d v="2019-02-13T00:00:00"/>
    <s v="KIỀU THY"/>
    <x v="75"/>
    <x v="77"/>
    <x v="128"/>
    <x v="68"/>
    <x v="0"/>
    <x v="4"/>
    <x v="14"/>
    <s v="CL2019"/>
    <m/>
    <n v="80"/>
    <n v="10000"/>
    <x v="47"/>
    <n v="130000000"/>
    <x v="2"/>
    <d v="2019-09-01T00:00:00"/>
    <x v="2"/>
    <x v="2"/>
    <s v="TẾT"/>
    <m/>
    <m/>
    <m/>
    <m/>
    <n v="0"/>
    <m/>
    <m/>
    <m/>
    <m/>
    <m/>
    <m/>
    <n v="0"/>
    <n v="10000"/>
    <n v="130000000"/>
    <m/>
  </r>
  <r>
    <x v="147"/>
    <d v="2019-02-13T00:00:00"/>
    <s v="KIỀU THY"/>
    <x v="75"/>
    <x v="77"/>
    <x v="129"/>
    <x v="69"/>
    <x v="0"/>
    <x v="3"/>
    <x v="5"/>
    <s v="NL2018"/>
    <m/>
    <n v="180"/>
    <n v="36000"/>
    <x v="8"/>
    <n v="180000000"/>
    <x v="0"/>
    <s v="30-Feb-19"/>
    <x v="29"/>
    <x v="29"/>
    <s v="30/2AL"/>
    <s v="CONT 14/2019"/>
    <d v="2019-03-31T00:00:00"/>
    <m/>
    <d v="2019-04-05T00:00:00"/>
    <n v="13000"/>
    <d v="2019-04-18T00:00:00"/>
    <n v="8000"/>
    <d v="2019-05-06T00:00:00"/>
    <n v="15000"/>
    <m/>
    <m/>
    <n v="36000"/>
    <n v="0"/>
    <n v="0"/>
    <m/>
  </r>
  <r>
    <x v="149"/>
    <d v="2019-02-25T00:00:00"/>
    <s v="KIỀU THY"/>
    <x v="76"/>
    <x v="78"/>
    <x v="0"/>
    <x v="0"/>
    <x v="0"/>
    <x v="7"/>
    <x v="8"/>
    <s v="NL2018"/>
    <m/>
    <n v="0"/>
    <n v="0"/>
    <x v="0"/>
    <n v="0"/>
    <x v="1"/>
    <s v="29-Feb-19"/>
    <x v="10"/>
    <x v="10"/>
    <s v="6.000 củ / 5 ngày"/>
    <s v="CONT 18/2019"/>
    <d v="2019-03-31T00:00:00"/>
    <m/>
    <m/>
    <n v="0"/>
    <m/>
    <m/>
    <m/>
    <m/>
    <m/>
    <m/>
    <n v="0"/>
    <n v="0"/>
    <n v="0"/>
    <m/>
  </r>
  <r>
    <x v="149"/>
    <d v="2019-02-25T00:00:00"/>
    <s v="KIỀU THY"/>
    <x v="76"/>
    <x v="78"/>
    <x v="0"/>
    <x v="0"/>
    <x v="0"/>
    <x v="7"/>
    <x v="8"/>
    <s v="NL2018"/>
    <m/>
    <n v="0"/>
    <n v="0"/>
    <x v="0"/>
    <n v="0"/>
    <x v="1"/>
    <s v="29-Feb-19"/>
    <x v="10"/>
    <x v="10"/>
    <s v="6.000 củ / 5 ngày"/>
    <s v="CONT 18/2019"/>
    <d v="2019-03-31T00:00:00"/>
    <m/>
    <m/>
    <n v="0"/>
    <m/>
    <m/>
    <m/>
    <m/>
    <m/>
    <m/>
    <n v="0"/>
    <n v="0"/>
    <n v="0"/>
    <m/>
  </r>
  <r>
    <x v="149"/>
    <d v="2019-02-25T00:00:00"/>
    <s v="KIỀU THY"/>
    <x v="76"/>
    <x v="78"/>
    <x v="0"/>
    <x v="0"/>
    <x v="0"/>
    <x v="7"/>
    <x v="8"/>
    <s v="NL2018"/>
    <m/>
    <n v="0"/>
    <n v="0"/>
    <x v="0"/>
    <n v="0"/>
    <x v="1"/>
    <d v="2019-03-15T00:00:00"/>
    <x v="5"/>
    <x v="5"/>
    <s v="6.000 củ / 5 ngày"/>
    <s v="CONT 26/2019"/>
    <d v="2019-04-14T00:00:00"/>
    <m/>
    <m/>
    <n v="0"/>
    <m/>
    <m/>
    <m/>
    <m/>
    <m/>
    <m/>
    <n v="0"/>
    <n v="0"/>
    <n v="0"/>
    <m/>
  </r>
  <r>
    <x v="149"/>
    <d v="2019-02-25T00:00:00"/>
    <s v="KIỀU THY"/>
    <x v="76"/>
    <x v="78"/>
    <x v="60"/>
    <x v="7"/>
    <x v="0"/>
    <x v="5"/>
    <x v="17"/>
    <s v="NL2018"/>
    <m/>
    <n v="0"/>
    <n v="0"/>
    <x v="153"/>
    <n v="0"/>
    <x v="1"/>
    <d v="2019-03-15T00:00:00"/>
    <x v="5"/>
    <x v="5"/>
    <m/>
    <s v="CONT 22/2019"/>
    <d v="2019-04-14T00:00:00"/>
    <m/>
    <m/>
    <n v="0"/>
    <m/>
    <m/>
    <m/>
    <m/>
    <m/>
    <m/>
    <n v="0"/>
    <n v="0"/>
    <n v="0"/>
    <s v="check lai"/>
  </r>
  <r>
    <x v="150"/>
    <d v="2019-02-09T00:00:00"/>
    <s v="THANH THÚY"/>
    <x v="77"/>
    <x v="79"/>
    <x v="0"/>
    <x v="0"/>
    <x v="0"/>
    <x v="7"/>
    <x v="8"/>
    <s v="NL2018"/>
    <m/>
    <n v="13"/>
    <n v="5200"/>
    <x v="0"/>
    <n v="13520000"/>
    <x v="0"/>
    <d v="2019-01-15T00:00:00"/>
    <x v="6"/>
    <x v="6"/>
    <s v="15/1AL"/>
    <m/>
    <m/>
    <m/>
    <d v="2019-02-20T00:00:00"/>
    <n v="5200"/>
    <m/>
    <m/>
    <m/>
    <m/>
    <m/>
    <m/>
    <n v="5200"/>
    <n v="0"/>
    <n v="0"/>
    <m/>
  </r>
  <r>
    <x v="150"/>
    <d v="2019-02-09T00:00:00"/>
    <s v="THANH THÚY"/>
    <x v="77"/>
    <x v="79"/>
    <x v="0"/>
    <x v="0"/>
    <x v="0"/>
    <x v="7"/>
    <x v="8"/>
    <s v="NL2018"/>
    <m/>
    <n v="25"/>
    <n v="10000"/>
    <x v="0"/>
    <n v="26000000"/>
    <x v="0"/>
    <d v="2019-02-15T00:00:00"/>
    <x v="0"/>
    <x v="0"/>
    <s v="15/2AL"/>
    <s v="CONT 12/2019"/>
    <m/>
    <m/>
    <d v="2019-03-19T00:00:00"/>
    <n v="10000"/>
    <m/>
    <m/>
    <m/>
    <m/>
    <m/>
    <m/>
    <n v="10000"/>
    <n v="0"/>
    <n v="0"/>
    <m/>
  </r>
  <r>
    <x v="150"/>
    <d v="2019-02-09T00:00:00"/>
    <s v="THANH THÚY"/>
    <x v="77"/>
    <x v="79"/>
    <x v="74"/>
    <x v="0"/>
    <x v="0"/>
    <x v="2"/>
    <x v="6"/>
    <s v="NL2018"/>
    <m/>
    <n v="34"/>
    <n v="10200"/>
    <x v="77"/>
    <n v="38760000"/>
    <x v="0"/>
    <s v="30-Feb-19"/>
    <x v="29"/>
    <x v="29"/>
    <s v="30/2AL"/>
    <s v="CONT 14/2019"/>
    <m/>
    <m/>
    <d v="2019-04-03T00:00:00"/>
    <n v="10200"/>
    <m/>
    <m/>
    <m/>
    <m/>
    <m/>
    <m/>
    <n v="10200"/>
    <n v="0"/>
    <n v="0"/>
    <d v="2020-02-04T00:00:00"/>
  </r>
  <r>
    <x v="150"/>
    <d v="2019-02-09T00:00:00"/>
    <s v="THANH THÚY"/>
    <x v="77"/>
    <x v="79"/>
    <x v="0"/>
    <x v="0"/>
    <x v="0"/>
    <x v="7"/>
    <x v="8"/>
    <s v="NL2018"/>
    <m/>
    <n v="0"/>
    <n v="0"/>
    <x v="1"/>
    <n v="0"/>
    <x v="1"/>
    <d v="2019-04-15T00:00:00"/>
    <x v="32"/>
    <x v="32"/>
    <s v="15/4AL"/>
    <m/>
    <m/>
    <m/>
    <m/>
    <n v="0"/>
    <m/>
    <m/>
    <m/>
    <m/>
    <m/>
    <m/>
    <n v="0"/>
    <n v="0"/>
    <n v="0"/>
    <m/>
  </r>
  <r>
    <x v="150"/>
    <d v="2019-02-09T00:00:00"/>
    <s v="THANH THÚY"/>
    <x v="77"/>
    <x v="79"/>
    <x v="74"/>
    <x v="0"/>
    <x v="0"/>
    <x v="2"/>
    <x v="6"/>
    <s v="NL2018"/>
    <m/>
    <n v="34"/>
    <n v="10200"/>
    <x v="77"/>
    <n v="38760000"/>
    <x v="0"/>
    <d v="2019-04-15T00:00:00"/>
    <x v="32"/>
    <x v="32"/>
    <s v="15/4AL"/>
    <m/>
    <m/>
    <m/>
    <d v="2019-05-20T00:00:00"/>
    <n v="10200"/>
    <m/>
    <m/>
    <m/>
    <m/>
    <m/>
    <m/>
    <n v="10200"/>
    <n v="0"/>
    <n v="0"/>
    <m/>
  </r>
  <r>
    <x v="150"/>
    <d v="2019-02-09T00:00:00"/>
    <s v="THANH THÚY"/>
    <x v="77"/>
    <x v="79"/>
    <x v="0"/>
    <x v="0"/>
    <x v="0"/>
    <x v="7"/>
    <x v="8"/>
    <s v="NL2018"/>
    <m/>
    <n v="13"/>
    <n v="5200"/>
    <x v="154"/>
    <n v="13728000"/>
    <x v="0"/>
    <d v="2019-03-15T00:00:00"/>
    <x v="5"/>
    <x v="5"/>
    <s v="15/3AL"/>
    <s v="CONT 24/2019"/>
    <m/>
    <m/>
    <d v="2019-05-02T00:00:00"/>
    <n v="5200"/>
    <m/>
    <m/>
    <m/>
    <m/>
    <m/>
    <m/>
    <n v="5200"/>
    <n v="0"/>
    <n v="0"/>
    <d v="2020-02-03T00:00:00"/>
  </r>
  <r>
    <x v="150"/>
    <d v="2019-02-09T00:00:00"/>
    <s v="THANH THÚY"/>
    <x v="77"/>
    <x v="79"/>
    <x v="74"/>
    <x v="0"/>
    <x v="0"/>
    <x v="2"/>
    <x v="6"/>
    <s v="NL2018"/>
    <m/>
    <n v="17"/>
    <n v="5100"/>
    <x v="77"/>
    <n v="19380000"/>
    <x v="0"/>
    <d v="2019-03-15T00:00:00"/>
    <x v="5"/>
    <x v="5"/>
    <s v="15/3AL"/>
    <s v="CONT 24/2019"/>
    <m/>
    <m/>
    <d v="2019-05-02T00:00:00"/>
    <n v="5100"/>
    <m/>
    <m/>
    <m/>
    <m/>
    <m/>
    <m/>
    <n v="5100"/>
    <n v="0"/>
    <n v="0"/>
    <d v="2020-02-03T00:00:00"/>
  </r>
  <r>
    <x v="150"/>
    <d v="2019-06-04T00:00:00"/>
    <s v="THANH THÚY"/>
    <x v="77"/>
    <x v="79"/>
    <x v="74"/>
    <x v="0"/>
    <x v="0"/>
    <x v="2"/>
    <x v="6"/>
    <s v="NL2018"/>
    <m/>
    <n v="22"/>
    <n v="6600"/>
    <x v="57"/>
    <n v="25740000"/>
    <x v="0"/>
    <d v="2019-04-17T00:00:00"/>
    <x v="1"/>
    <x v="1"/>
    <m/>
    <m/>
    <m/>
    <m/>
    <d v="2019-06-22T00:00:00"/>
    <n v="6600"/>
    <m/>
    <m/>
    <m/>
    <m/>
    <m/>
    <m/>
    <n v="6600"/>
    <n v="0"/>
    <n v="0"/>
    <m/>
  </r>
  <r>
    <x v="150"/>
    <d v="2019-06-04T00:00:00"/>
    <s v="THANH THÚY"/>
    <x v="77"/>
    <x v="79"/>
    <x v="74"/>
    <x v="0"/>
    <x v="0"/>
    <x v="2"/>
    <x v="6"/>
    <s v="NL2018"/>
    <m/>
    <n v="12"/>
    <n v="3600"/>
    <x v="57"/>
    <n v="14040000"/>
    <x v="0"/>
    <d v="2019-04-29T00:00:00"/>
    <x v="11"/>
    <x v="11"/>
    <m/>
    <m/>
    <m/>
    <m/>
    <d v="2019-06-22T00:00:00"/>
    <n v="3600"/>
    <m/>
    <m/>
    <m/>
    <m/>
    <m/>
    <m/>
    <n v="3600"/>
    <n v="0"/>
    <n v="0"/>
    <m/>
  </r>
  <r>
    <x v="150"/>
    <d v="2019-06-14T00:00:00"/>
    <s v="THANH THÚY"/>
    <x v="77"/>
    <x v="79"/>
    <x v="0"/>
    <x v="0"/>
    <x v="0"/>
    <x v="7"/>
    <x v="8"/>
    <s v="NL2018"/>
    <m/>
    <n v="50"/>
    <n v="20000"/>
    <x v="38"/>
    <n v="58000000"/>
    <x v="3"/>
    <d v="2019-06-15T00:00:00"/>
    <x v="4"/>
    <x v="4"/>
    <m/>
    <m/>
    <m/>
    <m/>
    <m/>
    <m/>
    <m/>
    <m/>
    <m/>
    <m/>
    <m/>
    <m/>
    <n v="0"/>
    <n v="20000"/>
    <n v="58000000"/>
    <m/>
  </r>
  <r>
    <x v="151"/>
    <d v="2019-02-09T00:00:00"/>
    <s v="THANH THÚY"/>
    <x v="77"/>
    <x v="79"/>
    <x v="54"/>
    <x v="0"/>
    <x v="0"/>
    <x v="3"/>
    <x v="5"/>
    <s v="NL2018"/>
    <m/>
    <n v="50"/>
    <n v="10000"/>
    <x v="50"/>
    <n v="60000000"/>
    <x v="2"/>
    <d v="2019-09-01T00:00:00"/>
    <x v="2"/>
    <x v="2"/>
    <s v="TẾT"/>
    <m/>
    <m/>
    <m/>
    <m/>
    <n v="0"/>
    <m/>
    <m/>
    <m/>
    <m/>
    <m/>
    <m/>
    <n v="0"/>
    <n v="10000"/>
    <n v="60000000"/>
    <d v="2020-02-09T00:00:00"/>
  </r>
  <r>
    <x v="150"/>
    <d v="2019-02-09T00:00:00"/>
    <s v="THANH THÚY"/>
    <x v="77"/>
    <x v="79"/>
    <x v="74"/>
    <x v="0"/>
    <x v="0"/>
    <x v="2"/>
    <x v="6"/>
    <s v="NL2018"/>
    <m/>
    <n v="267"/>
    <n v="80100"/>
    <x v="77"/>
    <n v="304380000"/>
    <x v="2"/>
    <m/>
    <x v="35"/>
    <x v="35"/>
    <m/>
    <m/>
    <m/>
    <m/>
    <m/>
    <n v="0"/>
    <m/>
    <m/>
    <m/>
    <m/>
    <m/>
    <m/>
    <n v="0"/>
    <n v="80100"/>
    <n v="304380000"/>
    <m/>
  </r>
  <r>
    <x v="150"/>
    <d v="2019-02-09T00:00:00"/>
    <s v="THANH THÚY"/>
    <x v="77"/>
    <x v="79"/>
    <x v="34"/>
    <x v="70"/>
    <x v="0"/>
    <x v="2"/>
    <x v="6"/>
    <s v="NL2018"/>
    <s v="VWS"/>
    <n v="34"/>
    <n v="10200"/>
    <x v="28"/>
    <n v="46920000"/>
    <x v="0"/>
    <d v="2019-04-15T00:00:00"/>
    <x v="32"/>
    <x v="32"/>
    <s v="15/4AL"/>
    <m/>
    <m/>
    <m/>
    <d v="2019-05-20T00:00:00"/>
    <n v="10200"/>
    <m/>
    <m/>
    <m/>
    <m/>
    <m/>
    <m/>
    <n v="10200"/>
    <n v="0"/>
    <n v="0"/>
    <m/>
  </r>
  <r>
    <x v="150"/>
    <d v="2019-02-09T00:00:00"/>
    <s v="THANH THÚY"/>
    <x v="77"/>
    <x v="79"/>
    <x v="34"/>
    <x v="70"/>
    <x v="0"/>
    <x v="2"/>
    <x v="6"/>
    <s v="NL2018"/>
    <s v="VWS"/>
    <n v="34"/>
    <n v="10200"/>
    <x v="28"/>
    <n v="46920000"/>
    <x v="3"/>
    <d v="2019-06-15T00:00:00"/>
    <x v="4"/>
    <x v="4"/>
    <m/>
    <m/>
    <m/>
    <m/>
    <m/>
    <m/>
    <m/>
    <m/>
    <m/>
    <m/>
    <m/>
    <m/>
    <n v="0"/>
    <n v="10200"/>
    <n v="46920000"/>
    <m/>
  </r>
  <r>
    <x v="150"/>
    <d v="2019-02-09T00:00:00"/>
    <s v="THANH THÚY"/>
    <x v="77"/>
    <x v="79"/>
    <x v="34"/>
    <x v="70"/>
    <x v="0"/>
    <x v="2"/>
    <x v="6"/>
    <s v="NL2018"/>
    <s v="VWS"/>
    <n v="100"/>
    <n v="30000"/>
    <x v="28"/>
    <n v="138000000"/>
    <x v="2"/>
    <m/>
    <x v="35"/>
    <x v="35"/>
    <m/>
    <m/>
    <m/>
    <m/>
    <m/>
    <m/>
    <m/>
    <m/>
    <m/>
    <m/>
    <m/>
    <m/>
    <n v="0"/>
    <n v="30000"/>
    <n v="138000000"/>
    <m/>
  </r>
  <r>
    <x v="150"/>
    <d v="2019-02-09T00:00:00"/>
    <s v="THANH THÚY"/>
    <x v="77"/>
    <x v="79"/>
    <x v="34"/>
    <x v="41"/>
    <x v="0"/>
    <x v="2"/>
    <x v="6"/>
    <s v="NL2018"/>
    <s v="ZABO"/>
    <n v="34"/>
    <n v="10200"/>
    <x v="12"/>
    <n v="47940000"/>
    <x v="0"/>
    <d v="2019-04-29T00:00:00"/>
    <x v="11"/>
    <x v="11"/>
    <s v="29/4AL"/>
    <m/>
    <m/>
    <m/>
    <d v="2019-06-22T00:00:00"/>
    <n v="10200"/>
    <m/>
    <m/>
    <m/>
    <m/>
    <m/>
    <m/>
    <n v="10200"/>
    <n v="0"/>
    <n v="0"/>
    <m/>
  </r>
  <r>
    <x v="150"/>
    <d v="2019-02-09T00:00:00"/>
    <s v="THANH THÚY"/>
    <x v="77"/>
    <x v="79"/>
    <x v="34"/>
    <x v="1"/>
    <x v="0"/>
    <x v="2"/>
    <x v="6"/>
    <s v="NL2018"/>
    <m/>
    <n v="17"/>
    <n v="5100"/>
    <x v="14"/>
    <n v="22950000"/>
    <x v="0"/>
    <d v="2019-02-15T00:00:00"/>
    <x v="0"/>
    <x v="0"/>
    <s v="15/2AL"/>
    <s v="CONT 10/2019"/>
    <m/>
    <m/>
    <d v="2019-03-19T00:00:00"/>
    <n v="5100"/>
    <m/>
    <m/>
    <m/>
    <m/>
    <m/>
    <m/>
    <n v="5100"/>
    <n v="0"/>
    <n v="0"/>
    <d v="2020-02-03T00:00:00"/>
  </r>
  <r>
    <x v="150"/>
    <d v="2019-02-09T00:00:00"/>
    <s v="THANH THÚY"/>
    <x v="77"/>
    <x v="79"/>
    <x v="10"/>
    <x v="1"/>
    <x v="0"/>
    <x v="3"/>
    <x v="5"/>
    <s v="NL2018"/>
    <m/>
    <n v="50"/>
    <n v="10000"/>
    <x v="10"/>
    <n v="55000000"/>
    <x v="0"/>
    <d v="2019-02-15T00:00:00"/>
    <x v="0"/>
    <x v="0"/>
    <s v="15/2AL"/>
    <s v="CONT 12/2019"/>
    <m/>
    <m/>
    <d v="2019-03-19T00:00:00"/>
    <n v="10000"/>
    <m/>
    <m/>
    <m/>
    <m/>
    <m/>
    <m/>
    <n v="10000"/>
    <n v="0"/>
    <n v="0"/>
    <d v="2020-02-03T00:00:00"/>
  </r>
  <r>
    <x v="150"/>
    <d v="2019-02-09T00:00:00"/>
    <s v="THANH THÚY"/>
    <x v="77"/>
    <x v="79"/>
    <x v="10"/>
    <x v="1"/>
    <x v="0"/>
    <x v="3"/>
    <x v="5"/>
    <s v="NL2018"/>
    <m/>
    <n v="50"/>
    <n v="10000"/>
    <x v="10"/>
    <n v="55000000"/>
    <x v="0"/>
    <s v="30-Feb-19"/>
    <x v="29"/>
    <x v="29"/>
    <s v="30/2AL"/>
    <s v="CONT 14/2019"/>
    <m/>
    <m/>
    <d v="2019-04-02T00:00:00"/>
    <n v="10000"/>
    <m/>
    <m/>
    <m/>
    <m/>
    <m/>
    <m/>
    <n v="10000"/>
    <n v="0"/>
    <n v="0"/>
    <d v="2020-02-03T00:00:00"/>
  </r>
  <r>
    <x v="150"/>
    <d v="2019-02-09T00:00:00"/>
    <s v="THANH THÚY"/>
    <x v="77"/>
    <x v="79"/>
    <x v="34"/>
    <x v="1"/>
    <x v="0"/>
    <x v="2"/>
    <x v="6"/>
    <s v="NL2018"/>
    <m/>
    <n v="18"/>
    <n v="5400"/>
    <x v="28"/>
    <n v="24840000"/>
    <x v="0"/>
    <s v="30-Feb-19"/>
    <x v="29"/>
    <x v="29"/>
    <s v="30/2AL"/>
    <s v="CONT 14/2019"/>
    <m/>
    <m/>
    <d v="2019-04-02T00:00:00"/>
    <n v="5400"/>
    <m/>
    <m/>
    <m/>
    <m/>
    <m/>
    <m/>
    <n v="5400"/>
    <n v="0"/>
    <n v="0"/>
    <d v="2020-02-03T00:00:00"/>
  </r>
  <r>
    <x v="150"/>
    <d v="2019-02-09T00:00:00"/>
    <s v="THANH THÚY"/>
    <x v="77"/>
    <x v="79"/>
    <x v="34"/>
    <x v="1"/>
    <x v="0"/>
    <x v="2"/>
    <x v="6"/>
    <s v="NL2018"/>
    <m/>
    <n v="20"/>
    <n v="6000"/>
    <x v="28"/>
    <n v="27600000"/>
    <x v="0"/>
    <d v="2019-03-15T00:00:00"/>
    <x v="5"/>
    <x v="5"/>
    <s v="15/3AL"/>
    <s v="CONT 23/2019"/>
    <m/>
    <m/>
    <d v="2019-04-24T00:00:00"/>
    <n v="6000"/>
    <m/>
    <m/>
    <m/>
    <m/>
    <m/>
    <m/>
    <n v="6000"/>
    <n v="0"/>
    <n v="0"/>
    <d v="2020-02-03T00:00:00"/>
  </r>
  <r>
    <x v="151"/>
    <d v="2019-02-09T00:00:00"/>
    <s v="THANH THÚY"/>
    <x v="77"/>
    <x v="79"/>
    <x v="63"/>
    <x v="1"/>
    <x v="0"/>
    <x v="4"/>
    <x v="14"/>
    <s v="NL2018"/>
    <m/>
    <n v="80"/>
    <n v="10000"/>
    <x v="67"/>
    <n v="101000000"/>
    <x v="2"/>
    <d v="2019-09-01T00:00:00"/>
    <x v="2"/>
    <x v="2"/>
    <s v="TẾT"/>
    <m/>
    <m/>
    <m/>
    <m/>
    <n v="0"/>
    <m/>
    <m/>
    <m/>
    <m/>
    <m/>
    <m/>
    <n v="0"/>
    <n v="10000"/>
    <n v="101000000"/>
    <d v="2020-02-09T00:00:00"/>
  </r>
  <r>
    <x v="151"/>
    <d v="2019-02-09T00:00:00"/>
    <s v="THANH THÚY"/>
    <x v="77"/>
    <x v="79"/>
    <x v="1"/>
    <x v="1"/>
    <x v="0"/>
    <x v="1"/>
    <x v="9"/>
    <s v="NL2018"/>
    <m/>
    <n v="67"/>
    <n v="10050"/>
    <x v="23"/>
    <n v="91455000"/>
    <x v="2"/>
    <d v="2019-09-01T00:00:00"/>
    <x v="2"/>
    <x v="2"/>
    <s v="TẾT"/>
    <m/>
    <m/>
    <m/>
    <m/>
    <n v="0"/>
    <m/>
    <m/>
    <m/>
    <m/>
    <m/>
    <m/>
    <n v="0"/>
    <n v="10050"/>
    <n v="91455000"/>
    <d v="2020-02-09T00:00:00"/>
  </r>
  <r>
    <x v="150"/>
    <d v="2019-02-09T00:00:00"/>
    <s v="THANH THÚY"/>
    <x v="77"/>
    <x v="79"/>
    <x v="5"/>
    <x v="3"/>
    <x v="0"/>
    <x v="1"/>
    <x v="9"/>
    <s v="NL2018"/>
    <m/>
    <n v="67"/>
    <n v="10050"/>
    <x v="73"/>
    <n v="63315000"/>
    <x v="0"/>
    <d v="2019-02-15T00:00:00"/>
    <x v="0"/>
    <x v="0"/>
    <s v="15/2AL"/>
    <s v="CONT 11/2019"/>
    <m/>
    <m/>
    <d v="2019-03-19T00:00:00"/>
    <n v="10050"/>
    <m/>
    <m/>
    <m/>
    <m/>
    <m/>
    <m/>
    <n v="10050"/>
    <n v="0"/>
    <n v="0"/>
    <d v="2020-02-03T00:00:00"/>
  </r>
  <r>
    <x v="150"/>
    <d v="2019-02-09T00:00:00"/>
    <s v="THANH THÚY"/>
    <x v="77"/>
    <x v="79"/>
    <x v="5"/>
    <x v="3"/>
    <x v="0"/>
    <x v="1"/>
    <x v="9"/>
    <s v="NL2018"/>
    <m/>
    <n v="67"/>
    <n v="10050"/>
    <x v="73"/>
    <n v="63315000"/>
    <x v="0"/>
    <s v="30-Feb-19"/>
    <x v="29"/>
    <x v="29"/>
    <s v="30/2AL"/>
    <s v="CONT 18/2019"/>
    <m/>
    <m/>
    <d v="2019-04-02T00:00:00"/>
    <n v="10050"/>
    <m/>
    <m/>
    <m/>
    <m/>
    <m/>
    <m/>
    <n v="10050"/>
    <n v="0"/>
    <n v="0"/>
    <d v="2020-02-04T00:00:00"/>
  </r>
  <r>
    <x v="150"/>
    <d v="2019-02-09T00:00:00"/>
    <s v="THANH THÚY"/>
    <x v="77"/>
    <x v="79"/>
    <x v="5"/>
    <x v="3"/>
    <x v="0"/>
    <x v="1"/>
    <x v="9"/>
    <s v="NL2018"/>
    <m/>
    <n v="67"/>
    <n v="10050"/>
    <x v="148"/>
    <n v="65304900"/>
    <x v="0"/>
    <d v="2019-04-15T00:00:00"/>
    <x v="32"/>
    <x v="32"/>
    <s v="15/4AL"/>
    <m/>
    <m/>
    <m/>
    <d v="2019-05-20T00:00:00"/>
    <n v="10050"/>
    <m/>
    <m/>
    <m/>
    <m/>
    <m/>
    <m/>
    <n v="10050"/>
    <n v="0"/>
    <n v="0"/>
    <d v="2020-02-09T00:00:00"/>
  </r>
  <r>
    <x v="150"/>
    <d v="2019-02-09T00:00:00"/>
    <s v="THANH THÚY"/>
    <x v="77"/>
    <x v="79"/>
    <x v="5"/>
    <x v="3"/>
    <x v="0"/>
    <x v="1"/>
    <x v="9"/>
    <s v="NL2018"/>
    <m/>
    <n v="0"/>
    <n v="0"/>
    <x v="155"/>
    <n v="0"/>
    <x v="1"/>
    <d v="2019-05-02T00:00:00"/>
    <x v="9"/>
    <x v="9"/>
    <s v="02/5AL"/>
    <m/>
    <m/>
    <m/>
    <m/>
    <n v="0"/>
    <m/>
    <m/>
    <m/>
    <m/>
    <m/>
    <m/>
    <n v="0"/>
    <n v="0"/>
    <n v="0"/>
    <d v="2020-02-09T00:00:00"/>
  </r>
  <r>
    <x v="150"/>
    <d v="2019-02-09T00:00:00"/>
    <s v="THANH THÚY"/>
    <x v="77"/>
    <x v="79"/>
    <x v="5"/>
    <x v="3"/>
    <x v="0"/>
    <x v="1"/>
    <x v="9"/>
    <s v="NL2018"/>
    <m/>
    <n v="67"/>
    <n v="10050"/>
    <x v="156"/>
    <n v="67716900"/>
    <x v="3"/>
    <d v="2019-06-15T00:00:00"/>
    <x v="4"/>
    <x v="4"/>
    <s v="02/6AL"/>
    <m/>
    <m/>
    <m/>
    <m/>
    <n v="0"/>
    <m/>
    <m/>
    <m/>
    <m/>
    <m/>
    <m/>
    <n v="0"/>
    <n v="10050"/>
    <n v="67716900"/>
    <d v="2020-02-09T00:00:00"/>
  </r>
  <r>
    <x v="150"/>
    <d v="2019-02-09T00:00:00"/>
    <s v="THANH THÚY"/>
    <x v="77"/>
    <x v="79"/>
    <x v="5"/>
    <x v="3"/>
    <x v="0"/>
    <x v="1"/>
    <x v="9"/>
    <s v="NL2018"/>
    <m/>
    <n v="134"/>
    <n v="20100"/>
    <x v="157"/>
    <n v="137845800"/>
    <x v="2"/>
    <d v="2019-07-02T00:00:00"/>
    <x v="66"/>
    <x v="66"/>
    <s v="02/7AL"/>
    <m/>
    <m/>
    <m/>
    <m/>
    <n v="0"/>
    <m/>
    <m/>
    <m/>
    <m/>
    <m/>
    <m/>
    <n v="0"/>
    <n v="20100"/>
    <n v="137845800"/>
    <d v="2020-02-09T00:00:00"/>
  </r>
  <r>
    <x v="151"/>
    <d v="2019-02-09T00:00:00"/>
    <s v="THANH THÚY"/>
    <x v="77"/>
    <x v="79"/>
    <x v="5"/>
    <x v="3"/>
    <x v="0"/>
    <x v="1"/>
    <x v="9"/>
    <s v="NL2018"/>
    <m/>
    <n v="34"/>
    <n v="5100"/>
    <x v="55"/>
    <n v="36720000"/>
    <x v="2"/>
    <d v="2019-09-01T00:00:00"/>
    <x v="2"/>
    <x v="2"/>
    <s v="TẾT"/>
    <m/>
    <m/>
    <m/>
    <m/>
    <n v="0"/>
    <m/>
    <m/>
    <m/>
    <m/>
    <m/>
    <m/>
    <n v="0"/>
    <n v="5100"/>
    <n v="36720000"/>
    <d v="2020-02-09T00:00:00"/>
  </r>
  <r>
    <x v="151"/>
    <d v="2019-02-09T00:00:00"/>
    <s v="THANH THÚY"/>
    <x v="77"/>
    <x v="79"/>
    <x v="4"/>
    <x v="3"/>
    <x v="0"/>
    <x v="4"/>
    <x v="14"/>
    <s v="NL2018"/>
    <m/>
    <n v="40"/>
    <n v="5000"/>
    <x v="5"/>
    <n v="52500000"/>
    <x v="2"/>
    <d v="2019-09-01T00:00:00"/>
    <x v="2"/>
    <x v="2"/>
    <s v="TẾT"/>
    <m/>
    <m/>
    <m/>
    <m/>
    <n v="0"/>
    <m/>
    <m/>
    <m/>
    <m/>
    <m/>
    <m/>
    <n v="0"/>
    <n v="5000"/>
    <n v="52500000"/>
    <d v="2020-02-09T00:00:00"/>
  </r>
  <r>
    <x v="150"/>
    <d v="2019-02-09T00:00:00"/>
    <s v="THANH THÚY"/>
    <x v="77"/>
    <x v="79"/>
    <x v="39"/>
    <x v="22"/>
    <x v="0"/>
    <x v="7"/>
    <x v="8"/>
    <s v="NL2018"/>
    <m/>
    <n v="13"/>
    <n v="5200"/>
    <x v="36"/>
    <n v="14560000"/>
    <x v="0"/>
    <d v="2019-01-15T00:00:00"/>
    <x v="6"/>
    <x v="6"/>
    <s v="15/1AL"/>
    <m/>
    <m/>
    <m/>
    <d v="2019-02-20T00:00:00"/>
    <n v="5200"/>
    <m/>
    <m/>
    <m/>
    <m/>
    <m/>
    <m/>
    <n v="5200"/>
    <n v="0"/>
    <n v="0"/>
    <m/>
  </r>
  <r>
    <x v="150"/>
    <d v="2019-02-09T00:00:00"/>
    <s v="THANH THÚY"/>
    <x v="77"/>
    <x v="79"/>
    <x v="39"/>
    <x v="22"/>
    <x v="0"/>
    <x v="7"/>
    <x v="8"/>
    <s v="NL2018"/>
    <m/>
    <n v="50"/>
    <n v="20000"/>
    <x v="36"/>
    <n v="56000000"/>
    <x v="0"/>
    <d v="2019-02-15T00:00:00"/>
    <x v="0"/>
    <x v="0"/>
    <s v="15/2AL"/>
    <s v="CONT 9/2019"/>
    <m/>
    <m/>
    <d v="2019-03-19T00:00:00"/>
    <n v="20000"/>
    <m/>
    <m/>
    <m/>
    <m/>
    <m/>
    <m/>
    <n v="20000"/>
    <n v="0"/>
    <n v="0"/>
    <d v="2020-02-03T00:00:00"/>
  </r>
  <r>
    <x v="150"/>
    <d v="2019-02-09T00:00:00"/>
    <s v="THANH THÚY"/>
    <x v="77"/>
    <x v="79"/>
    <x v="39"/>
    <x v="22"/>
    <x v="0"/>
    <x v="7"/>
    <x v="8"/>
    <s v="NL2018"/>
    <m/>
    <n v="38"/>
    <n v="15200"/>
    <x v="38"/>
    <n v="44080000"/>
    <x v="0"/>
    <d v="2019-04-15T00:00:00"/>
    <x v="32"/>
    <x v="32"/>
    <s v="15/4AL"/>
    <m/>
    <m/>
    <m/>
    <d v="2019-05-20T00:00:00"/>
    <n v="15200"/>
    <m/>
    <m/>
    <m/>
    <m/>
    <m/>
    <m/>
    <n v="15200"/>
    <n v="0"/>
    <n v="0"/>
    <m/>
  </r>
  <r>
    <x v="151"/>
    <d v="2019-02-09T00:00:00"/>
    <s v="THANH THÚY"/>
    <x v="77"/>
    <x v="79"/>
    <x v="56"/>
    <x v="23"/>
    <x v="0"/>
    <x v="1"/>
    <x v="9"/>
    <s v="NL2018"/>
    <m/>
    <n v="67"/>
    <n v="10050"/>
    <x v="70"/>
    <n v="71355000"/>
    <x v="2"/>
    <d v="2019-09-01T00:00:00"/>
    <x v="2"/>
    <x v="2"/>
    <s v="TẾT"/>
    <m/>
    <m/>
    <m/>
    <m/>
    <n v="0"/>
    <m/>
    <m/>
    <m/>
    <m/>
    <m/>
    <m/>
    <n v="0"/>
    <n v="10050"/>
    <n v="71355000"/>
    <d v="2020-02-09T00:00:00"/>
  </r>
  <r>
    <x v="150"/>
    <d v="2019-02-09T00:00:00"/>
    <s v="THANH THÚY"/>
    <x v="77"/>
    <x v="79"/>
    <x v="106"/>
    <x v="32"/>
    <x v="0"/>
    <x v="1"/>
    <x v="9"/>
    <s v="NL2018"/>
    <m/>
    <n v="134"/>
    <n v="20100"/>
    <x v="158"/>
    <n v="184920000"/>
    <x v="3"/>
    <d v="2019-06-15T00:00:00"/>
    <x v="4"/>
    <x v="4"/>
    <s v="15/4AL"/>
    <m/>
    <m/>
    <m/>
    <m/>
    <m/>
    <m/>
    <m/>
    <m/>
    <m/>
    <m/>
    <m/>
    <n v="0"/>
    <n v="20100"/>
    <n v="184920000"/>
    <m/>
  </r>
  <r>
    <x v="150"/>
    <d v="2019-02-09T00:00:00"/>
    <s v="THANH THÚY"/>
    <x v="77"/>
    <x v="79"/>
    <x v="106"/>
    <x v="32"/>
    <x v="0"/>
    <x v="1"/>
    <x v="9"/>
    <s v="NL2018"/>
    <m/>
    <n v="67"/>
    <n v="10050"/>
    <x v="23"/>
    <n v="91455000"/>
    <x v="0"/>
    <d v="2019-04-29T00:00:00"/>
    <x v="11"/>
    <x v="11"/>
    <s v="29/4AL"/>
    <m/>
    <m/>
    <m/>
    <d v="2019-06-10T00:00:00"/>
    <n v="10050"/>
    <m/>
    <m/>
    <m/>
    <m/>
    <m/>
    <m/>
    <n v="10050"/>
    <n v="0"/>
    <n v="0"/>
    <m/>
  </r>
  <r>
    <x v="150"/>
    <d v="2019-02-09T00:00:00"/>
    <s v="THANH THÚY"/>
    <x v="77"/>
    <x v="79"/>
    <x v="106"/>
    <x v="32"/>
    <x v="0"/>
    <x v="1"/>
    <x v="9"/>
    <s v="NL2018"/>
    <m/>
    <n v="267"/>
    <n v="40050"/>
    <x v="22"/>
    <n v="360450000"/>
    <x v="2"/>
    <d v="2019-07-08T00:00:00"/>
    <x v="67"/>
    <x v="67"/>
    <s v="chưa tính phí lạnh"/>
    <m/>
    <m/>
    <m/>
    <m/>
    <m/>
    <m/>
    <m/>
    <m/>
    <m/>
    <m/>
    <m/>
    <n v="0"/>
    <n v="40050"/>
    <n v="360450000"/>
    <m/>
  </r>
  <r>
    <x v="151"/>
    <d v="2019-02-09T00:00:00"/>
    <s v="THANH THÚY"/>
    <x v="77"/>
    <x v="79"/>
    <x v="106"/>
    <x v="32"/>
    <x v="0"/>
    <x v="1"/>
    <x v="9"/>
    <s v="NL2018"/>
    <m/>
    <n v="67"/>
    <n v="10050"/>
    <x v="159"/>
    <n v="97485000"/>
    <x v="2"/>
    <d v="2019-09-01T00:00:00"/>
    <x v="2"/>
    <x v="2"/>
    <s v="TẾT"/>
    <m/>
    <m/>
    <m/>
    <m/>
    <n v="0"/>
    <m/>
    <m/>
    <m/>
    <m/>
    <m/>
    <m/>
    <n v="0"/>
    <n v="10050"/>
    <n v="97485000"/>
    <d v="2020-02-09T00:00:00"/>
  </r>
  <r>
    <x v="151"/>
    <d v="2019-02-09T00:00:00"/>
    <s v="THANH THÚY"/>
    <x v="77"/>
    <x v="79"/>
    <x v="64"/>
    <x v="32"/>
    <x v="0"/>
    <x v="8"/>
    <x v="11"/>
    <s v="NL2018"/>
    <m/>
    <n v="100"/>
    <n v="10000"/>
    <x v="15"/>
    <n v="152000000"/>
    <x v="2"/>
    <d v="2019-09-01T00:00:00"/>
    <x v="2"/>
    <x v="2"/>
    <s v="TẾT"/>
    <m/>
    <m/>
    <m/>
    <m/>
    <n v="0"/>
    <m/>
    <m/>
    <m/>
    <m/>
    <m/>
    <m/>
    <n v="0"/>
    <n v="10000"/>
    <n v="152000000"/>
    <d v="2020-02-09T00:00:00"/>
  </r>
  <r>
    <x v="150"/>
    <d v="2019-02-09T00:00:00"/>
    <s v="THANH THÚY"/>
    <x v="77"/>
    <x v="79"/>
    <x v="103"/>
    <x v="54"/>
    <x v="0"/>
    <x v="3"/>
    <x v="5"/>
    <s v="NL2018"/>
    <m/>
    <n v="50"/>
    <n v="10000"/>
    <x v="70"/>
    <n v="71000000"/>
    <x v="0"/>
    <d v="2019-04-15T00:00:00"/>
    <x v="32"/>
    <x v="32"/>
    <s v="15/4AL"/>
    <m/>
    <m/>
    <m/>
    <d v="2019-05-20T00:00:00"/>
    <n v="10000"/>
    <m/>
    <m/>
    <m/>
    <m/>
    <m/>
    <m/>
    <n v="10000"/>
    <n v="0"/>
    <n v="0"/>
    <d v="2020-02-09T00:00:00"/>
  </r>
  <r>
    <x v="150"/>
    <d v="2019-02-09T00:00:00"/>
    <s v="THANH THÚY"/>
    <x v="77"/>
    <x v="79"/>
    <x v="103"/>
    <x v="54"/>
    <x v="0"/>
    <x v="3"/>
    <x v="5"/>
    <s v="NL2018"/>
    <m/>
    <n v="50"/>
    <n v="10000"/>
    <x v="65"/>
    <n v="70000000"/>
    <x v="0"/>
    <d v="2019-03-15T00:00:00"/>
    <x v="5"/>
    <x v="5"/>
    <s v="15/3AL"/>
    <s v="CONT 23/2019"/>
    <m/>
    <m/>
    <d v="2019-04-24T00:00:00"/>
    <n v="10000"/>
    <m/>
    <m/>
    <m/>
    <m/>
    <m/>
    <m/>
    <n v="10000"/>
    <n v="0"/>
    <n v="0"/>
    <d v="2020-02-03T00:00:00"/>
  </r>
  <r>
    <x v="151"/>
    <d v="2019-02-09T00:00:00"/>
    <s v="THANH THÚY"/>
    <x v="77"/>
    <x v="79"/>
    <x v="130"/>
    <x v="54"/>
    <x v="0"/>
    <x v="1"/>
    <x v="9"/>
    <s v="NL2018"/>
    <m/>
    <n v="67"/>
    <n v="10050"/>
    <x v="158"/>
    <n v="92460000"/>
    <x v="2"/>
    <d v="2019-09-01T00:00:00"/>
    <x v="2"/>
    <x v="2"/>
    <s v="TẾT"/>
    <m/>
    <m/>
    <m/>
    <m/>
    <n v="0"/>
    <m/>
    <m/>
    <m/>
    <m/>
    <m/>
    <m/>
    <n v="0"/>
    <n v="10050"/>
    <n v="92460000"/>
    <d v="2020-02-09T00:00:00"/>
  </r>
  <r>
    <x v="150"/>
    <d v="2019-02-09T00:00:00"/>
    <s v="THANH THÚY"/>
    <x v="77"/>
    <x v="79"/>
    <x v="103"/>
    <x v="54"/>
    <x v="0"/>
    <x v="3"/>
    <x v="5"/>
    <s v="NL2018"/>
    <m/>
    <n v="50"/>
    <n v="10000"/>
    <x v="65"/>
    <n v="70000000"/>
    <x v="3"/>
    <d v="2019-06-15T00:00:00"/>
    <x v="4"/>
    <x v="4"/>
    <m/>
    <m/>
    <m/>
    <m/>
    <m/>
    <n v="0"/>
    <m/>
    <m/>
    <m/>
    <m/>
    <m/>
    <m/>
    <n v="0"/>
    <n v="10000"/>
    <n v="70000000"/>
    <d v="2020-02-09T00:00:00"/>
  </r>
  <r>
    <x v="150"/>
    <d v="2019-02-09T00:00:00"/>
    <s v="THANH THÚY"/>
    <x v="77"/>
    <x v="79"/>
    <x v="103"/>
    <x v="54"/>
    <x v="0"/>
    <x v="3"/>
    <x v="5"/>
    <s v="NL2018"/>
    <m/>
    <n v="100"/>
    <n v="20000"/>
    <x v="65"/>
    <n v="140000000"/>
    <x v="2"/>
    <m/>
    <x v="35"/>
    <x v="35"/>
    <m/>
    <m/>
    <m/>
    <m/>
    <m/>
    <m/>
    <m/>
    <m/>
    <m/>
    <m/>
    <m/>
    <m/>
    <n v="0"/>
    <n v="20000"/>
    <n v="140000000"/>
    <m/>
  </r>
  <r>
    <x v="150"/>
    <d v="2019-02-09T00:00:00"/>
    <s v="THANH THÚY"/>
    <x v="77"/>
    <x v="79"/>
    <x v="27"/>
    <x v="14"/>
    <x v="0"/>
    <x v="3"/>
    <x v="5"/>
    <s v="NL2018"/>
    <m/>
    <n v="50"/>
    <n v="10000"/>
    <x v="160"/>
    <n v="55850000"/>
    <x v="0"/>
    <d v="2019-03-15T00:00:00"/>
    <x v="5"/>
    <x v="5"/>
    <s v="15/3AL"/>
    <s v="CONT 27/2019"/>
    <m/>
    <m/>
    <d v="2019-05-02T00:00:00"/>
    <n v="10000"/>
    <m/>
    <m/>
    <m/>
    <m/>
    <m/>
    <m/>
    <n v="10000"/>
    <n v="0"/>
    <n v="0"/>
    <d v="2020-02-03T00:00:00"/>
  </r>
  <r>
    <x v="150"/>
    <d v="2019-02-09T00:00:00"/>
    <s v="THANH THÚY"/>
    <x v="77"/>
    <x v="79"/>
    <x v="27"/>
    <x v="14"/>
    <x v="0"/>
    <x v="3"/>
    <x v="5"/>
    <s v="NL2018"/>
    <m/>
    <n v="50"/>
    <n v="10000"/>
    <x v="161"/>
    <n v="56480000"/>
    <x v="0"/>
    <d v="2019-04-29T00:00:00"/>
    <x v="11"/>
    <x v="11"/>
    <s v="29/4AL"/>
    <m/>
    <m/>
    <m/>
    <d v="2019-06-10T00:00:00"/>
    <n v="10000"/>
    <m/>
    <m/>
    <m/>
    <m/>
    <m/>
    <m/>
    <n v="10000"/>
    <n v="0"/>
    <n v="0"/>
    <m/>
  </r>
  <r>
    <x v="151"/>
    <d v="2019-02-09T00:00:00"/>
    <s v="THANH THÚY"/>
    <x v="77"/>
    <x v="79"/>
    <x v="131"/>
    <x v="14"/>
    <x v="0"/>
    <x v="4"/>
    <x v="14"/>
    <s v="NL2018"/>
    <m/>
    <n v="62"/>
    <n v="7750"/>
    <x v="34"/>
    <n v="82150000"/>
    <x v="2"/>
    <d v="2019-09-01T00:00:00"/>
    <x v="2"/>
    <x v="2"/>
    <s v="TẾT"/>
    <m/>
    <m/>
    <m/>
    <m/>
    <n v="0"/>
    <m/>
    <m/>
    <m/>
    <m/>
    <m/>
    <m/>
    <n v="0"/>
    <n v="7750"/>
    <n v="82150000"/>
    <d v="2020-02-09T00:00:00"/>
  </r>
  <r>
    <x v="151"/>
    <d v="2019-02-09T00:00:00"/>
    <s v="THANH THÚY"/>
    <x v="77"/>
    <x v="79"/>
    <x v="65"/>
    <x v="14"/>
    <x v="0"/>
    <x v="8"/>
    <x v="11"/>
    <s v="NL2018"/>
    <m/>
    <n v="23"/>
    <n v="2300"/>
    <x v="137"/>
    <n v="27370000"/>
    <x v="2"/>
    <d v="2019-09-01T00:00:00"/>
    <x v="2"/>
    <x v="2"/>
    <s v="TẾT"/>
    <m/>
    <m/>
    <m/>
    <m/>
    <n v="0"/>
    <m/>
    <m/>
    <m/>
    <m/>
    <m/>
    <m/>
    <n v="0"/>
    <n v="2300"/>
    <n v="27370000"/>
    <d v="2020-02-09T00:00:00"/>
  </r>
  <r>
    <x v="151"/>
    <d v="2019-06-14T00:00:00"/>
    <s v="THANH THÚY"/>
    <x v="77"/>
    <x v="79"/>
    <x v="76"/>
    <x v="15"/>
    <x v="0"/>
    <x v="1"/>
    <x v="9"/>
    <s v="NL2018"/>
    <m/>
    <n v="67"/>
    <n v="10050"/>
    <x v="78"/>
    <n v="100500000"/>
    <x v="2"/>
    <d v="2019-09-01T00:00:00"/>
    <x v="2"/>
    <x v="2"/>
    <s v="TẾT"/>
    <m/>
    <m/>
    <m/>
    <m/>
    <m/>
    <m/>
    <m/>
    <m/>
    <m/>
    <m/>
    <m/>
    <n v="0"/>
    <n v="10050"/>
    <n v="100500000"/>
    <m/>
  </r>
  <r>
    <x v="151"/>
    <d v="2019-06-14T00:00:00"/>
    <s v="THANH THÚY"/>
    <x v="77"/>
    <x v="79"/>
    <x v="28"/>
    <x v="15"/>
    <x v="0"/>
    <x v="3"/>
    <x v="5"/>
    <s v="NL2018"/>
    <m/>
    <n v="50"/>
    <n v="10000"/>
    <x v="31"/>
    <n v="67000000"/>
    <x v="2"/>
    <d v="2019-06-25T00:00:00"/>
    <x v="19"/>
    <x v="19"/>
    <m/>
    <m/>
    <m/>
    <m/>
    <m/>
    <m/>
    <m/>
    <m/>
    <m/>
    <m/>
    <m/>
    <m/>
    <n v="0"/>
    <n v="10000"/>
    <n v="67000000"/>
    <m/>
  </r>
  <r>
    <x v="151"/>
    <d v="2019-06-14T00:00:00"/>
    <s v="THANH THÚY"/>
    <x v="77"/>
    <x v="79"/>
    <x v="28"/>
    <x v="15"/>
    <x v="0"/>
    <x v="3"/>
    <x v="5"/>
    <s v="NL2018"/>
    <m/>
    <n v="50"/>
    <n v="10000"/>
    <x v="60"/>
    <n v="68000000"/>
    <x v="2"/>
    <d v="2019-07-15T00:00:00"/>
    <x v="39"/>
    <x v="39"/>
    <m/>
    <m/>
    <m/>
    <m/>
    <m/>
    <m/>
    <m/>
    <m/>
    <m/>
    <m/>
    <m/>
    <m/>
    <n v="0"/>
    <n v="10000"/>
    <n v="68000000"/>
    <m/>
  </r>
  <r>
    <x v="151"/>
    <d v="2019-06-14T00:00:00"/>
    <s v="THANH THÚY"/>
    <x v="77"/>
    <x v="79"/>
    <x v="28"/>
    <x v="15"/>
    <x v="0"/>
    <x v="3"/>
    <x v="5"/>
    <s v="NL2018"/>
    <m/>
    <n v="50"/>
    <n v="10000"/>
    <x v="162"/>
    <n v="69000000"/>
    <x v="2"/>
    <d v="2019-08-15T00:00:00"/>
    <x v="53"/>
    <x v="53"/>
    <m/>
    <m/>
    <m/>
    <m/>
    <m/>
    <m/>
    <m/>
    <m/>
    <m/>
    <m/>
    <m/>
    <m/>
    <n v="0"/>
    <n v="10000"/>
    <n v="69000000"/>
    <m/>
  </r>
  <r>
    <x v="150"/>
    <d v="2019-02-09T00:00:00"/>
    <s v="THANH THÚY"/>
    <x v="77"/>
    <x v="79"/>
    <x v="6"/>
    <x v="39"/>
    <x v="0"/>
    <x v="3"/>
    <x v="5"/>
    <s v="NL2018"/>
    <m/>
    <n v="0"/>
    <n v="0"/>
    <x v="12"/>
    <n v="0"/>
    <x v="1"/>
    <d v="2019-03-15T00:00:00"/>
    <x v="5"/>
    <x v="5"/>
    <s v="15/3AL"/>
    <m/>
    <m/>
    <m/>
    <m/>
    <m/>
    <m/>
    <m/>
    <m/>
    <m/>
    <m/>
    <m/>
    <n v="0"/>
    <n v="0"/>
    <n v="0"/>
    <m/>
  </r>
  <r>
    <x v="150"/>
    <d v="2019-02-09T00:00:00"/>
    <s v="THANH THÚY"/>
    <x v="77"/>
    <x v="79"/>
    <x v="6"/>
    <x v="39"/>
    <x v="0"/>
    <x v="3"/>
    <x v="5"/>
    <s v="NL2018"/>
    <m/>
    <n v="75"/>
    <n v="15000"/>
    <x v="12"/>
    <n v="70500000"/>
    <x v="0"/>
    <s v="30-Feb-19"/>
    <x v="29"/>
    <x v="29"/>
    <s v="30/2AL"/>
    <s v="CONT 16/2019"/>
    <m/>
    <m/>
    <d v="2019-04-02T00:00:00"/>
    <n v="15000"/>
    <m/>
    <m/>
    <m/>
    <m/>
    <m/>
    <m/>
    <n v="15000"/>
    <n v="0"/>
    <n v="0"/>
    <d v="2020-02-03T00:00:00"/>
  </r>
  <r>
    <x v="151"/>
    <d v="2019-02-09T00:00:00"/>
    <s v="THANH THÚY"/>
    <x v="77"/>
    <x v="79"/>
    <x v="7"/>
    <x v="4"/>
    <x v="0"/>
    <x v="4"/>
    <x v="14"/>
    <s v="NL2018"/>
    <m/>
    <n v="80"/>
    <n v="10000"/>
    <x v="5"/>
    <n v="105000000"/>
    <x v="2"/>
    <d v="2019-09-01T00:00:00"/>
    <x v="2"/>
    <x v="2"/>
    <s v="TẾT"/>
    <m/>
    <m/>
    <m/>
    <m/>
    <n v="0"/>
    <m/>
    <m/>
    <m/>
    <m/>
    <m/>
    <m/>
    <n v="0"/>
    <n v="10000"/>
    <n v="105000000"/>
    <m/>
  </r>
  <r>
    <x v="150"/>
    <d v="2019-02-09T00:00:00"/>
    <s v="THANH THÚY"/>
    <x v="77"/>
    <x v="79"/>
    <x v="77"/>
    <x v="7"/>
    <x v="0"/>
    <x v="3"/>
    <x v="5"/>
    <s v="NL2018"/>
    <m/>
    <n v="50"/>
    <n v="10000"/>
    <x v="73"/>
    <n v="63000000"/>
    <x v="0"/>
    <d v="2019-02-15T00:00:00"/>
    <x v="0"/>
    <x v="0"/>
    <s v="15/2AL"/>
    <s v="CONT 11/2019"/>
    <m/>
    <m/>
    <d v="2019-03-19T00:00:00"/>
    <n v="10000"/>
    <m/>
    <m/>
    <m/>
    <m/>
    <m/>
    <m/>
    <n v="10000"/>
    <n v="0"/>
    <n v="0"/>
    <d v="2020-02-03T00:00:00"/>
  </r>
  <r>
    <x v="150"/>
    <d v="2019-02-09T00:00:00"/>
    <s v="THANH THÚY"/>
    <x v="77"/>
    <x v="79"/>
    <x v="77"/>
    <x v="7"/>
    <x v="0"/>
    <x v="3"/>
    <x v="5"/>
    <s v="NL2018"/>
    <m/>
    <n v="50"/>
    <n v="10000"/>
    <x v="73"/>
    <n v="63000000"/>
    <x v="0"/>
    <s v="30-Feb-19"/>
    <x v="29"/>
    <x v="29"/>
    <s v="30/2AL"/>
    <s v="CONT 18/2019"/>
    <m/>
    <m/>
    <d v="2019-04-03T00:00:00"/>
    <n v="10000"/>
    <m/>
    <m/>
    <m/>
    <m/>
    <m/>
    <m/>
    <n v="10000"/>
    <n v="0"/>
    <n v="0"/>
    <d v="2020-02-04T00:00:00"/>
  </r>
  <r>
    <x v="150"/>
    <d v="2019-02-09T00:00:00"/>
    <s v="THANH THÚY"/>
    <x v="77"/>
    <x v="79"/>
    <x v="77"/>
    <x v="7"/>
    <x v="0"/>
    <x v="3"/>
    <x v="5"/>
    <s v="NL2018"/>
    <m/>
    <n v="50"/>
    <n v="10000"/>
    <x v="163"/>
    <n v="64130000"/>
    <x v="0"/>
    <d v="2019-03-15T00:00:00"/>
    <x v="5"/>
    <x v="5"/>
    <s v="15/3AL"/>
    <s v="CONT 20/2019"/>
    <m/>
    <m/>
    <d v="2019-04-24T00:00:00"/>
    <n v="10000"/>
    <m/>
    <m/>
    <m/>
    <m/>
    <m/>
    <m/>
    <n v="10000"/>
    <n v="0"/>
    <n v="0"/>
    <d v="2020-02-04T00:00:00"/>
  </r>
  <r>
    <x v="151"/>
    <d v="2019-02-09T00:00:00"/>
    <s v="THANH THÚY"/>
    <x v="77"/>
    <x v="79"/>
    <x v="24"/>
    <x v="7"/>
    <x v="0"/>
    <x v="4"/>
    <x v="14"/>
    <s v="NL2018"/>
    <m/>
    <n v="80"/>
    <n v="10000"/>
    <x v="26"/>
    <n v="108000000"/>
    <x v="2"/>
    <d v="2019-09-01T00:00:00"/>
    <x v="2"/>
    <x v="2"/>
    <s v="TẾT"/>
    <m/>
    <m/>
    <m/>
    <m/>
    <n v="0"/>
    <m/>
    <m/>
    <m/>
    <m/>
    <m/>
    <m/>
    <n v="0"/>
    <n v="10000"/>
    <n v="108000000"/>
    <d v="2020-02-09T00:00:00"/>
  </r>
  <r>
    <x v="150"/>
    <d v="2019-02-09T00:00:00"/>
    <s v="THANH THÚY"/>
    <x v="77"/>
    <x v="79"/>
    <x v="51"/>
    <x v="30"/>
    <x v="0"/>
    <x v="2"/>
    <x v="6"/>
    <s v="NL2018"/>
    <m/>
    <n v="17"/>
    <n v="5100"/>
    <x v="39"/>
    <n v="21420000"/>
    <x v="0"/>
    <d v="2019-02-15T00:00:00"/>
    <x v="0"/>
    <x v="0"/>
    <s v="15/2AL"/>
    <s v="CONT 9/2019"/>
    <m/>
    <m/>
    <d v="2019-03-19T00:00:00"/>
    <n v="5100"/>
    <m/>
    <m/>
    <m/>
    <m/>
    <m/>
    <m/>
    <n v="5100"/>
    <n v="0"/>
    <n v="0"/>
    <d v="2020-02-03T00:00:00"/>
  </r>
  <r>
    <x v="150"/>
    <d v="2019-02-09T00:00:00"/>
    <s v="THANH THÚY"/>
    <x v="77"/>
    <x v="79"/>
    <x v="53"/>
    <x v="31"/>
    <x v="0"/>
    <x v="2"/>
    <x v="6"/>
    <s v="NL2018"/>
    <m/>
    <n v="17"/>
    <n v="5100"/>
    <x v="45"/>
    <n v="20400000"/>
    <x v="0"/>
    <s v="30-Feb-19"/>
    <x v="29"/>
    <x v="29"/>
    <s v="30/2AL"/>
    <s v="CONT 15/2019"/>
    <m/>
    <m/>
    <d v="2019-04-02T00:00:00"/>
    <n v="5100"/>
    <m/>
    <m/>
    <m/>
    <m/>
    <m/>
    <m/>
    <n v="5100"/>
    <n v="0"/>
    <n v="0"/>
    <d v="2020-02-03T00:00:00"/>
  </r>
  <r>
    <x v="152"/>
    <d v="2019-02-16T00:00:00"/>
    <s v="THANH THÚY"/>
    <x v="78"/>
    <x v="80"/>
    <x v="22"/>
    <x v="3"/>
    <x v="0"/>
    <x v="8"/>
    <x v="11"/>
    <s v="NL2018"/>
    <m/>
    <n v="0"/>
    <n v="0"/>
    <x v="25"/>
    <n v="0"/>
    <x v="1"/>
    <d v="2019-09-01T00:00:00"/>
    <x v="2"/>
    <x v="2"/>
    <s v="TẾT"/>
    <m/>
    <m/>
    <m/>
    <m/>
    <n v="0"/>
    <m/>
    <m/>
    <m/>
    <m/>
    <m/>
    <m/>
    <n v="0"/>
    <n v="0"/>
    <n v="0"/>
    <d v="2020-02-09T00:00:00"/>
  </r>
  <r>
    <x v="152"/>
    <d v="2019-02-16T00:00:00"/>
    <s v="THANH THÚY"/>
    <x v="78"/>
    <x v="80"/>
    <x v="101"/>
    <x v="32"/>
    <x v="0"/>
    <x v="6"/>
    <x v="7"/>
    <s v="NL2018"/>
    <m/>
    <n v="0"/>
    <n v="0"/>
    <x v="56"/>
    <n v="0"/>
    <x v="1"/>
    <d v="2019-09-01T00:00:00"/>
    <x v="2"/>
    <x v="2"/>
    <s v="TẾT"/>
    <m/>
    <m/>
    <m/>
    <m/>
    <n v="0"/>
    <m/>
    <m/>
    <m/>
    <m/>
    <m/>
    <m/>
    <n v="0"/>
    <n v="0"/>
    <n v="0"/>
    <m/>
  </r>
  <r>
    <x v="152"/>
    <d v="2019-02-16T00:00:00"/>
    <s v="THANH THÚY"/>
    <x v="78"/>
    <x v="80"/>
    <x v="21"/>
    <x v="49"/>
    <x v="0"/>
    <x v="8"/>
    <x v="11"/>
    <s v="NL2018"/>
    <m/>
    <n v="0"/>
    <n v="0"/>
    <x v="25"/>
    <n v="0"/>
    <x v="1"/>
    <d v="2019-09-01T00:00:00"/>
    <x v="2"/>
    <x v="2"/>
    <s v="TẾT"/>
    <m/>
    <m/>
    <m/>
    <m/>
    <n v="0"/>
    <m/>
    <m/>
    <m/>
    <m/>
    <m/>
    <m/>
    <n v="0"/>
    <n v="0"/>
    <n v="0"/>
    <d v="2020-02-09T00:00:00"/>
  </r>
  <r>
    <x v="153"/>
    <d v="2019-02-25T00:00:00"/>
    <s v="THANH THÚY"/>
    <x v="79"/>
    <x v="81"/>
    <x v="0"/>
    <x v="0"/>
    <x v="0"/>
    <x v="7"/>
    <x v="8"/>
    <s v="NL2018"/>
    <m/>
    <n v="63"/>
    <n v="25200"/>
    <x v="0"/>
    <n v="65520000"/>
    <x v="0"/>
    <d v="2019-03-15T00:00:00"/>
    <x v="5"/>
    <x v="5"/>
    <s v="15/3AL"/>
    <s v="CONT 24/2019"/>
    <m/>
    <m/>
    <d v="2019-04-25T00:00:00"/>
    <n v="15600"/>
    <d v="2019-05-27T00:00:00"/>
    <n v="4800"/>
    <d v="2019-06-04T00:00:00"/>
    <n v="4800"/>
    <m/>
    <m/>
    <n v="25200"/>
    <n v="0"/>
    <n v="0"/>
    <d v="2020-02-09T00:00:00"/>
  </r>
  <r>
    <x v="153"/>
    <d v="2019-02-25T00:00:00"/>
    <s v="THANH THÚY"/>
    <x v="79"/>
    <x v="81"/>
    <x v="74"/>
    <x v="0"/>
    <x v="0"/>
    <x v="2"/>
    <x v="6"/>
    <s v="NL2018"/>
    <m/>
    <n v="84"/>
    <n v="25200"/>
    <x v="106"/>
    <n v="90720000"/>
    <x v="0"/>
    <d v="2019-03-15T00:00:00"/>
    <x v="5"/>
    <x v="5"/>
    <s v="15/3AL"/>
    <s v="CONT 20/2019"/>
    <m/>
    <m/>
    <d v="2019-04-25T00:00:00"/>
    <n v="15300"/>
    <d v="2019-05-27T00:00:00"/>
    <n v="5100"/>
    <d v="2019-06-04T00:00:00"/>
    <n v="4800"/>
    <m/>
    <m/>
    <n v="25200"/>
    <n v="0"/>
    <n v="0"/>
    <d v="2020-02-09T00:00:00"/>
  </r>
  <r>
    <x v="153"/>
    <d v="2019-04-25T00:00:00"/>
    <s v="THANH THÚY"/>
    <x v="79"/>
    <x v="81"/>
    <x v="74"/>
    <x v="0"/>
    <x v="0"/>
    <x v="2"/>
    <x v="6"/>
    <s v="NL2018"/>
    <m/>
    <n v="83"/>
    <n v="24900"/>
    <x v="77"/>
    <n v="94620000"/>
    <x v="4"/>
    <d v="2019-05-02T00:00:00"/>
    <x v="9"/>
    <x v="9"/>
    <s v="02/5AL"/>
    <m/>
    <m/>
    <m/>
    <d v="2019-06-17T00:00:00"/>
    <n v="15000"/>
    <m/>
    <m/>
    <m/>
    <m/>
    <m/>
    <m/>
    <n v="15000"/>
    <n v="9900"/>
    <n v="37620000"/>
    <m/>
  </r>
  <r>
    <x v="153"/>
    <d v="2019-04-25T00:00:00"/>
    <s v="THANH THÚY"/>
    <x v="79"/>
    <x v="81"/>
    <x v="74"/>
    <x v="0"/>
    <x v="0"/>
    <x v="2"/>
    <x v="6"/>
    <s v="NL2018"/>
    <m/>
    <n v="17"/>
    <n v="5100"/>
    <x v="77"/>
    <n v="19380000"/>
    <x v="4"/>
    <d v="2019-05-18T00:00:00"/>
    <x v="3"/>
    <x v="3"/>
    <m/>
    <m/>
    <m/>
    <m/>
    <m/>
    <m/>
    <m/>
    <m/>
    <m/>
    <m/>
    <m/>
    <m/>
    <n v="0"/>
    <n v="5100"/>
    <n v="19380000"/>
    <m/>
  </r>
  <r>
    <x v="153"/>
    <d v="2019-06-11T00:00:00"/>
    <s v="THANH THÚY"/>
    <x v="79"/>
    <x v="81"/>
    <x v="74"/>
    <x v="0"/>
    <x v="0"/>
    <x v="2"/>
    <x v="6"/>
    <s v="NL2018"/>
    <m/>
    <n v="84"/>
    <n v="25200"/>
    <x v="164"/>
    <n v="98784000"/>
    <x v="2"/>
    <d v="2019-06-29T00:00:00"/>
    <x v="13"/>
    <x v="13"/>
    <m/>
    <m/>
    <m/>
    <m/>
    <m/>
    <m/>
    <m/>
    <m/>
    <m/>
    <m/>
    <m/>
    <m/>
    <n v="0"/>
    <n v="25200"/>
    <n v="98784000"/>
    <m/>
  </r>
  <r>
    <x v="153"/>
    <d v="2019-06-11T00:00:00"/>
    <s v="THANH THÚY"/>
    <x v="79"/>
    <x v="81"/>
    <x v="74"/>
    <x v="0"/>
    <x v="0"/>
    <x v="2"/>
    <x v="6"/>
    <s v="NL2018"/>
    <m/>
    <n v="84"/>
    <n v="25200"/>
    <x v="165"/>
    <n v="101808000"/>
    <x v="2"/>
    <d v="2019-08-15T00:00:00"/>
    <x v="53"/>
    <x v="53"/>
    <m/>
    <m/>
    <m/>
    <m/>
    <m/>
    <m/>
    <m/>
    <m/>
    <m/>
    <m/>
    <m/>
    <m/>
    <n v="0"/>
    <n v="25200"/>
    <n v="101808000"/>
    <m/>
  </r>
  <r>
    <x v="153"/>
    <d v="2019-02-25T00:00:00"/>
    <s v="THANH THÚY"/>
    <x v="79"/>
    <x v="81"/>
    <x v="10"/>
    <x v="1"/>
    <x v="0"/>
    <x v="3"/>
    <x v="5"/>
    <s v="NL2018"/>
    <m/>
    <n v="250"/>
    <n v="50000"/>
    <x v="10"/>
    <n v="275000000"/>
    <x v="0"/>
    <d v="2019-03-15T00:00:00"/>
    <x v="5"/>
    <x v="5"/>
    <s v="15/3AL"/>
    <s v="CONT 26/2019"/>
    <m/>
    <m/>
    <d v="2019-04-25T00:00:00"/>
    <n v="20000"/>
    <d v="2019-05-27T00:00:00"/>
    <n v="20000"/>
    <d v="2019-06-04T00:00:00"/>
    <n v="10000"/>
    <m/>
    <m/>
    <n v="50000"/>
    <n v="0"/>
    <n v="0"/>
    <m/>
  </r>
  <r>
    <x v="153"/>
    <d v="2019-02-25T00:00:00"/>
    <s v="THANH THÚY"/>
    <x v="79"/>
    <x v="81"/>
    <x v="3"/>
    <x v="3"/>
    <x v="0"/>
    <x v="3"/>
    <x v="5"/>
    <s v="NL2018"/>
    <m/>
    <n v="75"/>
    <n v="15000"/>
    <x v="42"/>
    <n v="72000000"/>
    <x v="0"/>
    <d v="2019-03-15T00:00:00"/>
    <x v="5"/>
    <x v="5"/>
    <s v="15/3AL"/>
    <s v="CONT 26/2019"/>
    <m/>
    <m/>
    <d v="2019-04-25T00:00:00"/>
    <n v="15000"/>
    <m/>
    <m/>
    <m/>
    <m/>
    <m/>
    <m/>
    <n v="15000"/>
    <n v="0"/>
    <n v="0"/>
    <d v="2020-02-09T00:00:00"/>
  </r>
  <r>
    <x v="153"/>
    <d v="2019-02-25T00:00:00"/>
    <s v="THANH THÚY"/>
    <x v="79"/>
    <x v="81"/>
    <x v="3"/>
    <x v="3"/>
    <x v="0"/>
    <x v="3"/>
    <x v="5"/>
    <s v="NL2018"/>
    <m/>
    <n v="75"/>
    <n v="15000"/>
    <x v="42"/>
    <n v="72000000"/>
    <x v="0"/>
    <d v="2019-04-17T00:00:00"/>
    <x v="1"/>
    <x v="1"/>
    <m/>
    <m/>
    <m/>
    <m/>
    <d v="2019-05-27T00:00:00"/>
    <n v="5000"/>
    <d v="2019-06-04T00:00:00"/>
    <n v="10000"/>
    <m/>
    <m/>
    <m/>
    <m/>
    <n v="15000"/>
    <n v="0"/>
    <n v="0"/>
    <m/>
  </r>
  <r>
    <x v="153"/>
    <d v="2019-04-25T00:00:00"/>
    <s v="THANH THÚY"/>
    <x v="79"/>
    <x v="81"/>
    <x v="3"/>
    <x v="3"/>
    <x v="0"/>
    <x v="3"/>
    <x v="5"/>
    <s v="NL2018"/>
    <m/>
    <n v="50"/>
    <n v="10000"/>
    <x v="10"/>
    <n v="55000000"/>
    <x v="4"/>
    <d v="2019-05-02T00:00:00"/>
    <x v="9"/>
    <x v="9"/>
    <s v="02/5AL"/>
    <m/>
    <m/>
    <m/>
    <d v="2019-06-17T00:00:00"/>
    <n v="5000"/>
    <m/>
    <m/>
    <m/>
    <m/>
    <m/>
    <m/>
    <n v="5000"/>
    <n v="5000"/>
    <n v="27500000"/>
    <m/>
  </r>
  <r>
    <x v="153"/>
    <d v="2019-04-25T00:00:00"/>
    <s v="THANH THÚY"/>
    <x v="79"/>
    <x v="81"/>
    <x v="26"/>
    <x v="13"/>
    <x v="0"/>
    <x v="3"/>
    <x v="5"/>
    <s v="NL2018"/>
    <m/>
    <n v="100"/>
    <n v="20000"/>
    <x v="6"/>
    <n v="108000000"/>
    <x v="4"/>
    <d v="2019-05-12T00:00:00"/>
    <x v="40"/>
    <x v="40"/>
    <s v="02/5AL"/>
    <m/>
    <m/>
    <m/>
    <d v="2019-06-17T00:00:00"/>
    <n v="5000"/>
    <m/>
    <m/>
    <m/>
    <m/>
    <m/>
    <m/>
    <n v="5000"/>
    <n v="15000"/>
    <n v="81000000"/>
    <m/>
  </r>
  <r>
    <x v="153"/>
    <d v="2019-04-25T00:00:00"/>
    <s v="THANH THÚY"/>
    <x v="79"/>
    <x v="81"/>
    <x v="26"/>
    <x v="13"/>
    <x v="0"/>
    <x v="3"/>
    <x v="5"/>
    <s v="NL2018"/>
    <m/>
    <n v="50"/>
    <n v="10000"/>
    <x v="6"/>
    <n v="54000000"/>
    <x v="3"/>
    <d v="2019-06-15T00:00:00"/>
    <x v="4"/>
    <x v="4"/>
    <s v="02/5AL"/>
    <m/>
    <m/>
    <m/>
    <m/>
    <m/>
    <m/>
    <m/>
    <m/>
    <m/>
    <m/>
    <m/>
    <n v="0"/>
    <n v="10000"/>
    <n v="54000000"/>
    <m/>
  </r>
  <r>
    <x v="154"/>
    <d v="2019-04-19T00:00:00"/>
    <s v="THANH THÚY"/>
    <x v="79"/>
    <x v="81"/>
    <x v="7"/>
    <x v="39"/>
    <x v="0"/>
    <x v="4"/>
    <x v="14"/>
    <s v="NL2018"/>
    <m/>
    <n v="480"/>
    <n v="60000"/>
    <x v="34"/>
    <n v="636000000"/>
    <x v="2"/>
    <d v="2019-09-01T00:00:00"/>
    <x v="2"/>
    <x v="2"/>
    <s v="TẾT"/>
    <m/>
    <m/>
    <m/>
    <m/>
    <m/>
    <m/>
    <m/>
    <m/>
    <m/>
    <m/>
    <m/>
    <n v="0"/>
    <n v="60000"/>
    <n v="636000000"/>
    <m/>
  </r>
  <r>
    <x v="153"/>
    <d v="2019-02-25T00:00:00"/>
    <s v="THANH THÚY"/>
    <x v="79"/>
    <x v="81"/>
    <x v="6"/>
    <x v="4"/>
    <x v="0"/>
    <x v="3"/>
    <x v="5"/>
    <s v="NL2018"/>
    <m/>
    <n v="200"/>
    <n v="40000"/>
    <x v="8"/>
    <n v="200000000"/>
    <x v="0"/>
    <d v="2019-03-15T00:00:00"/>
    <x v="5"/>
    <x v="5"/>
    <s v="15/3AL"/>
    <s v="CONT 21/2019"/>
    <m/>
    <m/>
    <d v="2019-04-20T00:00:00"/>
    <n v="15000"/>
    <d v="2019-05-17T00:00:00"/>
    <n v="25000"/>
    <m/>
    <m/>
    <m/>
    <m/>
    <n v="40000"/>
    <n v="0"/>
    <n v="0"/>
    <d v="2020-02-09T00:00:00"/>
  </r>
  <r>
    <x v="153"/>
    <d v="2019-02-25T00:00:00"/>
    <s v="THANH THÚY"/>
    <x v="79"/>
    <x v="81"/>
    <x v="6"/>
    <x v="4"/>
    <x v="0"/>
    <x v="3"/>
    <x v="5"/>
    <s v="NL2018"/>
    <m/>
    <n v="50"/>
    <n v="10000"/>
    <x v="8"/>
    <n v="50000000"/>
    <x v="0"/>
    <d v="2019-04-17T00:00:00"/>
    <x v="1"/>
    <x v="1"/>
    <m/>
    <m/>
    <m/>
    <m/>
    <d v="2019-05-27T00:00:00"/>
    <n v="5000"/>
    <d v="2019-06-04T00:00:00"/>
    <n v="5000"/>
    <m/>
    <m/>
    <m/>
    <m/>
    <n v="10000"/>
    <n v="0"/>
    <n v="0"/>
    <m/>
  </r>
  <r>
    <x v="153"/>
    <d v="2019-06-11T00:00:00"/>
    <s v="THANH THÚY"/>
    <x v="79"/>
    <x v="81"/>
    <x v="8"/>
    <x v="4"/>
    <x v="0"/>
    <x v="1"/>
    <x v="9"/>
    <s v="NL2018"/>
    <m/>
    <n v="167"/>
    <n v="25050"/>
    <x v="104"/>
    <n v="182865000"/>
    <x v="2"/>
    <d v="2019-06-29T00:00:00"/>
    <x v="13"/>
    <x v="13"/>
    <m/>
    <m/>
    <m/>
    <m/>
    <m/>
    <m/>
    <m/>
    <m/>
    <m/>
    <m/>
    <m/>
    <m/>
    <n v="0"/>
    <n v="25050"/>
    <n v="182865000"/>
    <m/>
  </r>
  <r>
    <x v="154"/>
    <d v="2019-04-19T00:00:00"/>
    <s v="THANH THÚY"/>
    <x v="79"/>
    <x v="81"/>
    <x v="132"/>
    <x v="71"/>
    <x v="0"/>
    <x v="4"/>
    <x v="14"/>
    <s v="CL2019"/>
    <m/>
    <n v="320"/>
    <n v="40000"/>
    <x v="25"/>
    <n v="500000000"/>
    <x v="2"/>
    <d v="2019-09-01T00:00:00"/>
    <x v="2"/>
    <x v="2"/>
    <s v="TẾT"/>
    <m/>
    <m/>
    <m/>
    <m/>
    <m/>
    <m/>
    <m/>
    <m/>
    <m/>
    <m/>
    <m/>
    <n v="0"/>
    <n v="40000"/>
    <n v="500000000"/>
    <m/>
  </r>
  <r>
    <x v="154"/>
    <d v="2019-04-19T00:00:00"/>
    <s v="THANH THÚY"/>
    <x v="79"/>
    <x v="81"/>
    <x v="96"/>
    <x v="7"/>
    <x v="0"/>
    <x v="8"/>
    <x v="18"/>
    <s v="NL2018"/>
    <m/>
    <n v="85"/>
    <n v="7225"/>
    <x v="108"/>
    <n v="83810000"/>
    <x v="2"/>
    <d v="2019-09-01T00:00:00"/>
    <x v="2"/>
    <x v="2"/>
    <m/>
    <m/>
    <m/>
    <m/>
    <m/>
    <m/>
    <m/>
    <m/>
    <m/>
    <m/>
    <m/>
    <m/>
    <n v="0"/>
    <n v="7225"/>
    <n v="83810000"/>
    <m/>
  </r>
  <r>
    <x v="154"/>
    <d v="2019-04-19T00:00:00"/>
    <s v="THANH THÚY"/>
    <x v="79"/>
    <x v="81"/>
    <x v="133"/>
    <x v="7"/>
    <x v="0"/>
    <x v="8"/>
    <x v="11"/>
    <s v="NL2018"/>
    <m/>
    <n v="80"/>
    <n v="8000"/>
    <x v="108"/>
    <n v="92800000"/>
    <x v="2"/>
    <d v="2019-09-01T00:00:00"/>
    <x v="2"/>
    <x v="2"/>
    <s v="TẾT"/>
    <m/>
    <m/>
    <m/>
    <m/>
    <m/>
    <m/>
    <m/>
    <m/>
    <m/>
    <m/>
    <m/>
    <n v="0"/>
    <n v="8000"/>
    <n v="92800000"/>
    <m/>
  </r>
  <r>
    <x v="153"/>
    <d v="2019-04-25T00:00:00"/>
    <s v="THANH THÚY"/>
    <x v="79"/>
    <x v="81"/>
    <x v="9"/>
    <x v="5"/>
    <x v="0"/>
    <x v="3"/>
    <x v="5"/>
    <s v="NL2018"/>
    <m/>
    <n v="100"/>
    <n v="20000"/>
    <x v="84"/>
    <n v="114000000"/>
    <x v="4"/>
    <d v="2019-04-17T00:00:00"/>
    <x v="1"/>
    <x v="1"/>
    <s v="02/5AL"/>
    <m/>
    <m/>
    <m/>
    <d v="2019-06-17T00:00:00"/>
    <n v="10000"/>
    <m/>
    <m/>
    <m/>
    <m/>
    <m/>
    <m/>
    <n v="10000"/>
    <n v="10000"/>
    <n v="57000000"/>
    <m/>
  </r>
  <r>
    <x v="153"/>
    <d v="2019-04-25T00:00:00"/>
    <s v="THANH THÚY"/>
    <x v="79"/>
    <x v="81"/>
    <x v="9"/>
    <x v="5"/>
    <x v="0"/>
    <x v="3"/>
    <x v="5"/>
    <s v="NL2018"/>
    <m/>
    <n v="50"/>
    <n v="10000"/>
    <x v="84"/>
    <n v="57000000"/>
    <x v="4"/>
    <d v="2019-05-02T00:00:00"/>
    <x v="9"/>
    <x v="9"/>
    <s v="02/5AL"/>
    <m/>
    <m/>
    <m/>
    <m/>
    <m/>
    <m/>
    <m/>
    <m/>
    <m/>
    <m/>
    <m/>
    <n v="0"/>
    <n v="10000"/>
    <n v="57000000"/>
    <m/>
  </r>
  <r>
    <x v="155"/>
    <d v="2019-02-13T00:00:00"/>
    <s v="THANH THÚY"/>
    <x v="80"/>
    <x v="82"/>
    <x v="74"/>
    <x v="0"/>
    <x v="0"/>
    <x v="2"/>
    <x v="6"/>
    <s v="NL2018"/>
    <m/>
    <n v="14"/>
    <n v="4200"/>
    <x v="77"/>
    <n v="15960000"/>
    <x v="0"/>
    <d v="2019-04-17T00:00:00"/>
    <x v="1"/>
    <x v="1"/>
    <s v="17/4AL"/>
    <m/>
    <m/>
    <m/>
    <d v="2019-06-01T00:00:00"/>
    <n v="4200"/>
    <m/>
    <m/>
    <m/>
    <m/>
    <m/>
    <m/>
    <n v="4200"/>
    <n v="0"/>
    <n v="0"/>
    <d v="2020-02-09T00:00:00"/>
  </r>
  <r>
    <x v="155"/>
    <d v="2019-06-04T00:00:00"/>
    <s v="THANH THÚY"/>
    <x v="80"/>
    <x v="82"/>
    <x v="74"/>
    <x v="0"/>
    <x v="0"/>
    <x v="2"/>
    <x v="6"/>
    <s v="NL2018"/>
    <m/>
    <n v="2"/>
    <n v="600"/>
    <x v="57"/>
    <n v="2340000"/>
    <x v="0"/>
    <d v="2019-04-17T00:00:00"/>
    <x v="1"/>
    <x v="1"/>
    <m/>
    <m/>
    <m/>
    <m/>
    <d v="2019-06-04T00:00:00"/>
    <n v="600"/>
    <m/>
    <m/>
    <m/>
    <m/>
    <m/>
    <m/>
    <n v="600"/>
    <n v="0"/>
    <n v="0"/>
    <m/>
  </r>
  <r>
    <x v="155"/>
    <d v="2019-02-13T00:00:00"/>
    <s v="THANH THÚY"/>
    <x v="80"/>
    <x v="82"/>
    <x v="3"/>
    <x v="3"/>
    <x v="0"/>
    <x v="3"/>
    <x v="5"/>
    <s v="NL2018"/>
    <m/>
    <n v="25"/>
    <n v="5000"/>
    <x v="6"/>
    <n v="27000000"/>
    <x v="0"/>
    <d v="2019-04-17T00:00:00"/>
    <x v="1"/>
    <x v="1"/>
    <s v="17/4AL"/>
    <m/>
    <m/>
    <m/>
    <d v="2019-06-01T00:00:00"/>
    <n v="5000"/>
    <m/>
    <m/>
    <m/>
    <m/>
    <m/>
    <m/>
    <n v="5000"/>
    <n v="0"/>
    <n v="0"/>
    <d v="2020-02-09T00:00:00"/>
  </r>
  <r>
    <x v="155"/>
    <d v="2019-02-13T00:00:00"/>
    <s v="THANH THÚY"/>
    <x v="80"/>
    <x v="82"/>
    <x v="13"/>
    <x v="7"/>
    <x v="0"/>
    <x v="5"/>
    <x v="6"/>
    <s v="NL2018"/>
    <m/>
    <n v="17"/>
    <n v="5100"/>
    <x v="72"/>
    <n v="22287000"/>
    <x v="0"/>
    <d v="2019-02-15T00:00:00"/>
    <x v="0"/>
    <x v="0"/>
    <s v="15/2AL"/>
    <s v="CONT 11/2019"/>
    <m/>
    <m/>
    <d v="2019-03-21T00:00:00"/>
    <n v="5100"/>
    <m/>
    <m/>
    <m/>
    <m/>
    <m/>
    <m/>
    <n v="5100"/>
    <n v="0"/>
    <n v="0"/>
    <m/>
  </r>
  <r>
    <x v="156"/>
    <d v="2019-01-05T00:00:00"/>
    <s v="THANH THÚY"/>
    <x v="81"/>
    <x v="83"/>
    <x v="0"/>
    <x v="0"/>
    <x v="0"/>
    <x v="7"/>
    <x v="8"/>
    <s v="NL2018"/>
    <m/>
    <n v="125"/>
    <n v="50000"/>
    <x v="0"/>
    <n v="130000000"/>
    <x v="0"/>
    <d v="2019-01-15T00:00:00"/>
    <x v="6"/>
    <x v="6"/>
    <s v="15/1AL"/>
    <m/>
    <m/>
    <m/>
    <d v="2019-02-19T00:00:00"/>
    <n v="50000"/>
    <m/>
    <m/>
    <m/>
    <m/>
    <m/>
    <m/>
    <n v="50000"/>
    <n v="0"/>
    <n v="0"/>
    <m/>
  </r>
  <r>
    <x v="157"/>
    <d v="2019-03-15T00:00:00"/>
    <s v="THANH THÚY"/>
    <x v="81"/>
    <x v="83"/>
    <x v="0"/>
    <x v="0"/>
    <x v="0"/>
    <x v="7"/>
    <x v="8"/>
    <s v="NL2018"/>
    <m/>
    <n v="0"/>
    <n v="0"/>
    <x v="1"/>
    <n v="0"/>
    <x v="1"/>
    <d v="2019-04-15T00:00:00"/>
    <x v="32"/>
    <x v="32"/>
    <s v="15/4AL"/>
    <m/>
    <m/>
    <m/>
    <m/>
    <n v="0"/>
    <m/>
    <m/>
    <m/>
    <m/>
    <m/>
    <m/>
    <n v="0"/>
    <n v="0"/>
    <n v="0"/>
    <m/>
  </r>
  <r>
    <x v="157"/>
    <d v="2019-03-15T00:00:00"/>
    <s v="THANH THÚY"/>
    <x v="81"/>
    <x v="83"/>
    <x v="74"/>
    <x v="0"/>
    <x v="0"/>
    <x v="2"/>
    <x v="6"/>
    <s v="NL2018"/>
    <m/>
    <n v="0"/>
    <n v="0"/>
    <x v="77"/>
    <n v="0"/>
    <x v="1"/>
    <d v="2019-04-15T00:00:00"/>
    <x v="32"/>
    <x v="32"/>
    <s v="15/4AL"/>
    <m/>
    <m/>
    <m/>
    <m/>
    <n v="0"/>
    <m/>
    <m/>
    <m/>
    <m/>
    <m/>
    <m/>
    <n v="0"/>
    <n v="0"/>
    <n v="0"/>
    <m/>
  </r>
  <r>
    <x v="157"/>
    <d v="2019-06-18T00:00:00"/>
    <s v="THANH THÚY"/>
    <x v="81"/>
    <x v="83"/>
    <x v="0"/>
    <x v="0"/>
    <x v="0"/>
    <x v="7"/>
    <x v="8"/>
    <s v="NL2018"/>
    <m/>
    <n v="15"/>
    <n v="6000"/>
    <x v="38"/>
    <n v="17400000"/>
    <x v="3"/>
    <d v="2019-06-15T00:00:00"/>
    <x v="4"/>
    <x v="4"/>
    <m/>
    <m/>
    <m/>
    <m/>
    <m/>
    <m/>
    <m/>
    <m/>
    <m/>
    <m/>
    <m/>
    <m/>
    <n v="0"/>
    <n v="6000"/>
    <n v="17400000"/>
    <m/>
  </r>
  <r>
    <x v="157"/>
    <d v="2019-03-15T00:00:00"/>
    <s v="THANH THÚY"/>
    <x v="81"/>
    <x v="83"/>
    <x v="74"/>
    <x v="0"/>
    <x v="0"/>
    <x v="2"/>
    <x v="6"/>
    <s v="NL2018"/>
    <m/>
    <n v="167"/>
    <n v="50100"/>
    <x v="77"/>
    <n v="190380000"/>
    <x v="2"/>
    <d v="2019-08-01T00:00:00"/>
    <x v="49"/>
    <x v="49"/>
    <s v="T5AL TRỞ ĐI"/>
    <m/>
    <m/>
    <m/>
    <m/>
    <n v="0"/>
    <m/>
    <m/>
    <m/>
    <m/>
    <m/>
    <m/>
    <n v="0"/>
    <n v="50100"/>
    <n v="190380000"/>
    <m/>
  </r>
  <r>
    <x v="156"/>
    <d v="2019-01-05T00:00:00"/>
    <s v="THANH THÚY"/>
    <x v="81"/>
    <x v="83"/>
    <x v="0"/>
    <x v="0"/>
    <x v="0"/>
    <x v="7"/>
    <x v="8"/>
    <s v="NL2018"/>
    <m/>
    <n v="125"/>
    <n v="50000"/>
    <x v="0"/>
    <n v="130000000"/>
    <x v="0"/>
    <s v="29-Feb-19"/>
    <x v="10"/>
    <x v="10"/>
    <s v="28/2AL"/>
    <s v="CONT 18/2019"/>
    <m/>
    <m/>
    <d v="2019-04-03T00:00:00"/>
    <n v="50000"/>
    <m/>
    <m/>
    <m/>
    <m/>
    <m/>
    <m/>
    <n v="50000"/>
    <n v="0"/>
    <n v="0"/>
    <m/>
  </r>
  <r>
    <x v="157"/>
    <d v="2019-03-15T00:00:00"/>
    <s v="THANH THÚY"/>
    <x v="81"/>
    <x v="83"/>
    <x v="3"/>
    <x v="3"/>
    <x v="0"/>
    <x v="3"/>
    <x v="5"/>
    <s v="NL2018"/>
    <m/>
    <n v="100"/>
    <n v="20000"/>
    <x v="109"/>
    <n v="102000000"/>
    <x v="0"/>
    <d v="2019-04-15T00:00:00"/>
    <x v="32"/>
    <x v="32"/>
    <s v="15/4AL"/>
    <m/>
    <m/>
    <m/>
    <d v="2019-05-18T00:00:00"/>
    <n v="20000"/>
    <m/>
    <m/>
    <m/>
    <m/>
    <m/>
    <m/>
    <n v="20000"/>
    <n v="0"/>
    <n v="0"/>
    <m/>
  </r>
  <r>
    <x v="157"/>
    <d v="2019-05-13T00:00:00"/>
    <s v="THANH THÚY"/>
    <x v="81"/>
    <x v="83"/>
    <x v="3"/>
    <x v="3"/>
    <x v="0"/>
    <x v="3"/>
    <x v="5"/>
    <s v="NL2018"/>
    <m/>
    <n v="50"/>
    <n v="10000"/>
    <x v="152"/>
    <n v="52700000"/>
    <x v="3"/>
    <d v="2019-06-15T00:00:00"/>
    <x v="4"/>
    <x v="4"/>
    <m/>
    <m/>
    <m/>
    <m/>
    <m/>
    <m/>
    <m/>
    <m/>
    <m/>
    <m/>
    <m/>
    <m/>
    <n v="0"/>
    <n v="10000"/>
    <n v="52700000"/>
    <m/>
  </r>
  <r>
    <x v="157"/>
    <d v="2019-06-20T00:00:00"/>
    <s v="THANH THÚY"/>
    <x v="81"/>
    <x v="83"/>
    <x v="3"/>
    <x v="3"/>
    <x v="0"/>
    <x v="3"/>
    <x v="5"/>
    <s v="NL2018"/>
    <m/>
    <n v="50"/>
    <n v="10000"/>
    <x v="71"/>
    <n v="52000000"/>
    <x v="4"/>
    <d v="2019-05-18T00:00:00"/>
    <x v="3"/>
    <x v="3"/>
    <m/>
    <m/>
    <m/>
    <m/>
    <m/>
    <m/>
    <m/>
    <m/>
    <m/>
    <m/>
    <m/>
    <m/>
    <n v="0"/>
    <n v="10000"/>
    <n v="52000000"/>
    <m/>
  </r>
  <r>
    <x v="157"/>
    <d v="2019-03-15T00:00:00"/>
    <s v="THANH THÚY"/>
    <x v="81"/>
    <x v="83"/>
    <x v="3"/>
    <x v="3"/>
    <x v="0"/>
    <x v="3"/>
    <x v="5"/>
    <s v="NL2018"/>
    <m/>
    <n v="200"/>
    <n v="40000"/>
    <x v="8"/>
    <n v="200000000"/>
    <x v="2"/>
    <m/>
    <x v="35"/>
    <x v="35"/>
    <s v="T3AL TRỞ ĐI"/>
    <m/>
    <m/>
    <m/>
    <m/>
    <n v="0"/>
    <m/>
    <m/>
    <m/>
    <m/>
    <m/>
    <m/>
    <n v="0"/>
    <n v="40000"/>
    <n v="200000000"/>
    <m/>
  </r>
  <r>
    <x v="158"/>
    <d v="2019-04-29T00:00:00"/>
    <s v="THANH THÚY"/>
    <x v="81"/>
    <x v="83"/>
    <x v="134"/>
    <x v="72"/>
    <x v="0"/>
    <x v="3"/>
    <x v="5"/>
    <s v="NL2018"/>
    <m/>
    <n v="50"/>
    <n v="10000"/>
    <x v="60"/>
    <n v="68000000"/>
    <x v="2"/>
    <d v="2019-09-01T00:00:00"/>
    <x v="2"/>
    <x v="2"/>
    <s v="TẾT"/>
    <m/>
    <m/>
    <m/>
    <m/>
    <m/>
    <m/>
    <m/>
    <m/>
    <m/>
    <m/>
    <m/>
    <n v="0"/>
    <n v="10000"/>
    <n v="68000000"/>
    <m/>
  </r>
  <r>
    <x v="157"/>
    <d v="2019-03-15T00:00:00"/>
    <s v="THANH THÚY"/>
    <x v="81"/>
    <x v="83"/>
    <x v="26"/>
    <x v="13"/>
    <x v="0"/>
    <x v="3"/>
    <x v="5"/>
    <s v="NL2018"/>
    <m/>
    <n v="0"/>
    <n v="0"/>
    <x v="8"/>
    <n v="0"/>
    <x v="1"/>
    <d v="2019-05-01T00:00:00"/>
    <x v="51"/>
    <x v="51"/>
    <s v="T5AL TRỞ ĐI"/>
    <m/>
    <m/>
    <m/>
    <m/>
    <n v="0"/>
    <m/>
    <m/>
    <m/>
    <m/>
    <m/>
    <m/>
    <n v="0"/>
    <n v="0"/>
    <n v="0"/>
    <m/>
  </r>
  <r>
    <x v="156"/>
    <d v="2019-01-05T00:00:00"/>
    <s v="THANH THÚY"/>
    <x v="81"/>
    <x v="83"/>
    <x v="26"/>
    <x v="13"/>
    <x v="0"/>
    <x v="3"/>
    <x v="5"/>
    <s v="NL2018"/>
    <m/>
    <n v="50"/>
    <n v="10000"/>
    <x v="8"/>
    <n v="50000000"/>
    <x v="0"/>
    <d v="2019-03-15T00:00:00"/>
    <x v="5"/>
    <x v="5"/>
    <s v="15/3AL"/>
    <s v="CONT 27/2019"/>
    <m/>
    <m/>
    <d v="2019-04-23T00:00:00"/>
    <n v="10000"/>
    <m/>
    <m/>
    <m/>
    <m/>
    <m/>
    <m/>
    <n v="10000"/>
    <n v="0"/>
    <n v="0"/>
    <m/>
  </r>
  <r>
    <x v="157"/>
    <d v="2019-05-13T00:00:00"/>
    <s v="THANH THÚY"/>
    <x v="81"/>
    <x v="83"/>
    <x v="27"/>
    <x v="14"/>
    <x v="0"/>
    <x v="3"/>
    <x v="5"/>
    <s v="NL2018"/>
    <m/>
    <n v="50"/>
    <n v="10000"/>
    <x v="29"/>
    <n v="58000000"/>
    <x v="0"/>
    <d v="2019-05-05T00:00:00"/>
    <x v="27"/>
    <x v="27"/>
    <m/>
    <m/>
    <m/>
    <m/>
    <d v="2019-06-08T00:00:00"/>
    <n v="10000"/>
    <m/>
    <m/>
    <m/>
    <m/>
    <m/>
    <m/>
    <n v="10000"/>
    <n v="0"/>
    <n v="0"/>
    <m/>
  </r>
  <r>
    <x v="158"/>
    <d v="2019-04-29T00:00:00"/>
    <s v="THANH THÚY"/>
    <x v="81"/>
    <x v="83"/>
    <x v="8"/>
    <x v="4"/>
    <x v="0"/>
    <x v="1"/>
    <x v="9"/>
    <s v="NL2018"/>
    <m/>
    <n v="67"/>
    <n v="10050"/>
    <x v="9"/>
    <n v="80400000"/>
    <x v="2"/>
    <d v="2019-09-01T00:00:00"/>
    <x v="2"/>
    <x v="2"/>
    <s v="TẾT"/>
    <m/>
    <m/>
    <m/>
    <m/>
    <m/>
    <m/>
    <m/>
    <m/>
    <m/>
    <m/>
    <m/>
    <n v="0"/>
    <n v="10050"/>
    <n v="80400000"/>
    <m/>
  </r>
  <r>
    <x v="156"/>
    <d v="2019-01-05T00:00:00"/>
    <s v="THANH THÚY"/>
    <x v="81"/>
    <x v="83"/>
    <x v="135"/>
    <x v="73"/>
    <x v="1"/>
    <x v="7"/>
    <x v="8"/>
    <s v="NL2018"/>
    <m/>
    <n v="2"/>
    <n v="800"/>
    <x v="9"/>
    <n v="6400000"/>
    <x v="0"/>
    <d v="2019-01-23T00:00:00"/>
    <x v="21"/>
    <x v="21"/>
    <s v="23/1AL"/>
    <m/>
    <m/>
    <m/>
    <d v="2019-02-27T00:00:00"/>
    <n v="800"/>
    <m/>
    <m/>
    <m/>
    <m/>
    <m/>
    <m/>
    <n v="800"/>
    <n v="0"/>
    <n v="0"/>
    <m/>
  </r>
  <r>
    <x v="156"/>
    <d v="2019-01-05T00:00:00"/>
    <s v="THANH THÚY"/>
    <x v="81"/>
    <x v="83"/>
    <x v="136"/>
    <x v="7"/>
    <x v="0"/>
    <x v="5"/>
    <x v="15"/>
    <s v="NL2018"/>
    <m/>
    <n v="46"/>
    <n v="12650"/>
    <x v="72"/>
    <n v="55280500"/>
    <x v="0"/>
    <d v="2019-02-15T00:00:00"/>
    <x v="0"/>
    <x v="0"/>
    <s v="15/02AL"/>
    <s v="CONT 11/2019"/>
    <m/>
    <m/>
    <d v="2019-03-19T00:00:00"/>
    <n v="12650"/>
    <m/>
    <m/>
    <m/>
    <m/>
    <m/>
    <m/>
    <n v="12650"/>
    <n v="0"/>
    <n v="0"/>
    <m/>
  </r>
  <r>
    <x v="156"/>
    <d v="2019-01-05T00:00:00"/>
    <s v="THANH THÚY"/>
    <x v="81"/>
    <x v="83"/>
    <x v="13"/>
    <x v="7"/>
    <x v="0"/>
    <x v="5"/>
    <x v="6"/>
    <s v="NL2018"/>
    <m/>
    <n v="12"/>
    <n v="3600"/>
    <x v="72"/>
    <n v="15732000"/>
    <x v="0"/>
    <d v="2019-02-15T00:00:00"/>
    <x v="0"/>
    <x v="0"/>
    <s v="15/02AL"/>
    <s v="CONT 11/2019"/>
    <m/>
    <m/>
    <d v="2019-03-19T00:00:00"/>
    <n v="3600"/>
    <m/>
    <m/>
    <m/>
    <m/>
    <m/>
    <m/>
    <n v="3600"/>
    <n v="0"/>
    <n v="0"/>
    <m/>
  </r>
  <r>
    <x v="156"/>
    <d v="2019-01-05T00:00:00"/>
    <s v="THANH THÚY"/>
    <x v="81"/>
    <x v="83"/>
    <x v="60"/>
    <x v="7"/>
    <x v="0"/>
    <x v="5"/>
    <x v="17"/>
    <s v="NL2018"/>
    <m/>
    <n v="0"/>
    <n v="0"/>
    <x v="72"/>
    <n v="0"/>
    <x v="1"/>
    <d v="2019-03-15T00:00:00"/>
    <x v="5"/>
    <x v="5"/>
    <m/>
    <s v="CONT 22/2019"/>
    <m/>
    <m/>
    <m/>
    <n v="0"/>
    <m/>
    <m/>
    <m/>
    <m/>
    <m/>
    <m/>
    <n v="0"/>
    <n v="0"/>
    <n v="0"/>
    <m/>
  </r>
  <r>
    <x v="159"/>
    <d v="2019-03-08T00:00:00"/>
    <s v="KIỀU THY"/>
    <x v="82"/>
    <x v="84"/>
    <x v="32"/>
    <x v="18"/>
    <x v="0"/>
    <x v="2"/>
    <x v="6"/>
    <s v="NL2018"/>
    <m/>
    <n v="1"/>
    <n v="300"/>
    <x v="14"/>
    <n v="1350000"/>
    <x v="0"/>
    <d v="2019-03-15T00:00:00"/>
    <x v="5"/>
    <x v="5"/>
    <s v="15/3AL"/>
    <s v="CONT 24/2019"/>
    <d v="2019-04-14T00:00:00"/>
    <m/>
    <d v="2019-04-23T00:00:00"/>
    <n v="300"/>
    <m/>
    <m/>
    <m/>
    <m/>
    <m/>
    <m/>
    <n v="300"/>
    <n v="0"/>
    <n v="0"/>
    <m/>
  </r>
  <r>
    <x v="159"/>
    <d v="2019-03-08T00:00:00"/>
    <s v="KIỀU THY"/>
    <x v="82"/>
    <x v="84"/>
    <x v="39"/>
    <x v="22"/>
    <x v="0"/>
    <x v="7"/>
    <x v="8"/>
    <s v="NL2018"/>
    <m/>
    <n v="1"/>
    <n v="400"/>
    <x v="48"/>
    <n v="1320000"/>
    <x v="0"/>
    <d v="2019-03-15T00:00:00"/>
    <x v="5"/>
    <x v="5"/>
    <s v="15/3AL"/>
    <s v="CONT 20/2019"/>
    <d v="2019-04-14T00:00:00"/>
    <m/>
    <d v="2019-04-23T00:00:00"/>
    <n v="400"/>
    <m/>
    <m/>
    <m/>
    <m/>
    <m/>
    <m/>
    <n v="400"/>
    <n v="0"/>
    <n v="0"/>
    <m/>
  </r>
  <r>
    <x v="160"/>
    <d v="2019-03-08T00:00:00"/>
    <s v="KIỀU THY"/>
    <x v="83"/>
    <x v="85"/>
    <x v="74"/>
    <x v="0"/>
    <x v="0"/>
    <x v="2"/>
    <x v="6"/>
    <s v="NL2018"/>
    <m/>
    <n v="0"/>
    <n v="0"/>
    <x v="77"/>
    <n v="0"/>
    <x v="1"/>
    <d v="2019-03-15T00:00:00"/>
    <x v="5"/>
    <x v="5"/>
    <s v="15/3AL"/>
    <s v="CONT 27/2019"/>
    <d v="2019-04-14T00:00:00"/>
    <s v="R"/>
    <m/>
    <n v="0"/>
    <m/>
    <m/>
    <m/>
    <m/>
    <m/>
    <m/>
    <n v="0"/>
    <n v="0"/>
    <n v="0"/>
    <m/>
  </r>
  <r>
    <x v="160"/>
    <d v="2019-03-08T00:00:00"/>
    <s v="KIỀU THY"/>
    <x v="83"/>
    <x v="85"/>
    <x v="74"/>
    <x v="0"/>
    <x v="0"/>
    <x v="2"/>
    <x v="6"/>
    <s v="NL2018"/>
    <m/>
    <n v="0"/>
    <n v="0"/>
    <x v="77"/>
    <n v="0"/>
    <x v="1"/>
    <d v="2019-04-17T00:00:00"/>
    <x v="1"/>
    <x v="1"/>
    <s v="30/3AL"/>
    <m/>
    <m/>
    <s v="R"/>
    <m/>
    <n v="0"/>
    <m/>
    <m/>
    <m/>
    <m/>
    <m/>
    <m/>
    <n v="0"/>
    <n v="0"/>
    <n v="0"/>
    <m/>
  </r>
  <r>
    <x v="160"/>
    <d v="2019-03-08T00:00:00"/>
    <s v="KIỀU THY"/>
    <x v="83"/>
    <x v="85"/>
    <x v="74"/>
    <x v="0"/>
    <x v="0"/>
    <x v="2"/>
    <x v="6"/>
    <s v="NL2018"/>
    <m/>
    <n v="0"/>
    <n v="0"/>
    <x v="57"/>
    <n v="0"/>
    <x v="1"/>
    <d v="2019-04-17T00:00:00"/>
    <x v="1"/>
    <x v="1"/>
    <s v="15/4AL"/>
    <m/>
    <m/>
    <s v="R"/>
    <m/>
    <n v="0"/>
    <m/>
    <m/>
    <m/>
    <m/>
    <m/>
    <m/>
    <n v="0"/>
    <n v="0"/>
    <n v="0"/>
    <m/>
  </r>
  <r>
    <x v="160"/>
    <d v="2019-03-08T00:00:00"/>
    <s v="KIỀU THY"/>
    <x v="83"/>
    <x v="85"/>
    <x v="74"/>
    <x v="0"/>
    <x v="0"/>
    <x v="2"/>
    <x v="6"/>
    <s v="NL2018"/>
    <m/>
    <n v="0"/>
    <n v="0"/>
    <x v="57"/>
    <n v="0"/>
    <x v="1"/>
    <d v="2019-04-17T00:00:00"/>
    <x v="1"/>
    <x v="1"/>
    <s v="30/4AL"/>
    <m/>
    <m/>
    <s v="R"/>
    <m/>
    <n v="0"/>
    <m/>
    <m/>
    <m/>
    <m/>
    <m/>
    <m/>
    <n v="0"/>
    <n v="0"/>
    <n v="0"/>
    <m/>
  </r>
  <r>
    <x v="160"/>
    <d v="2019-03-08T00:00:00"/>
    <s v="KIỀU THY"/>
    <x v="83"/>
    <x v="85"/>
    <x v="12"/>
    <x v="6"/>
    <x v="0"/>
    <x v="2"/>
    <x v="6"/>
    <s v="NL2018"/>
    <m/>
    <n v="0"/>
    <n v="0"/>
    <x v="8"/>
    <n v="0"/>
    <x v="1"/>
    <d v="2019-03-15T00:00:00"/>
    <x v="5"/>
    <x v="5"/>
    <s v="15/3AL"/>
    <s v="CONT 23/2019"/>
    <d v="2019-04-14T00:00:00"/>
    <s v="R"/>
    <m/>
    <n v="0"/>
    <m/>
    <m/>
    <m/>
    <m/>
    <m/>
    <m/>
    <n v="0"/>
    <n v="0"/>
    <n v="0"/>
    <m/>
  </r>
  <r>
    <x v="160"/>
    <d v="2019-03-08T00:00:00"/>
    <s v="KIỀU THY"/>
    <x v="83"/>
    <x v="85"/>
    <x v="78"/>
    <x v="6"/>
    <x v="0"/>
    <x v="2"/>
    <x v="15"/>
    <s v="NL2018"/>
    <m/>
    <n v="0"/>
    <n v="0"/>
    <x v="8"/>
    <n v="0"/>
    <x v="1"/>
    <d v="2019-04-17T00:00:00"/>
    <x v="1"/>
    <x v="1"/>
    <s v="30/3AL"/>
    <m/>
    <m/>
    <s v="R"/>
    <m/>
    <n v="0"/>
    <m/>
    <m/>
    <m/>
    <m/>
    <m/>
    <m/>
    <n v="0"/>
    <n v="0"/>
    <n v="0"/>
    <m/>
  </r>
  <r>
    <x v="160"/>
    <d v="2019-03-08T00:00:00"/>
    <s v="KIỀU THY"/>
    <x v="83"/>
    <x v="85"/>
    <x v="12"/>
    <x v="6"/>
    <x v="0"/>
    <x v="2"/>
    <x v="6"/>
    <s v="NL2018"/>
    <m/>
    <n v="0"/>
    <n v="0"/>
    <x v="109"/>
    <n v="0"/>
    <x v="1"/>
    <d v="2019-04-17T00:00:00"/>
    <x v="1"/>
    <x v="1"/>
    <s v="15/4AL"/>
    <m/>
    <m/>
    <s v="R"/>
    <m/>
    <n v="0"/>
    <m/>
    <m/>
    <m/>
    <m/>
    <m/>
    <m/>
    <n v="0"/>
    <n v="0"/>
    <n v="0"/>
    <m/>
  </r>
  <r>
    <x v="160"/>
    <d v="2019-03-08T00:00:00"/>
    <s v="KIỀU THY"/>
    <x v="83"/>
    <x v="85"/>
    <x v="12"/>
    <x v="6"/>
    <x v="0"/>
    <x v="2"/>
    <x v="6"/>
    <s v="NL2018"/>
    <m/>
    <n v="0"/>
    <n v="0"/>
    <x v="109"/>
    <n v="0"/>
    <x v="1"/>
    <d v="2019-04-17T00:00:00"/>
    <x v="1"/>
    <x v="1"/>
    <s v="30/4AL"/>
    <m/>
    <m/>
    <s v="R"/>
    <m/>
    <n v="0"/>
    <m/>
    <m/>
    <m/>
    <m/>
    <m/>
    <m/>
    <n v="0"/>
    <n v="0"/>
    <n v="0"/>
    <m/>
  </r>
  <r>
    <x v="160"/>
    <d v="2019-03-08T00:00:00"/>
    <s v="KIỀU THY"/>
    <x v="83"/>
    <x v="85"/>
    <x v="9"/>
    <x v="5"/>
    <x v="0"/>
    <x v="3"/>
    <x v="5"/>
    <s v="NL2018"/>
    <m/>
    <n v="0"/>
    <n v="0"/>
    <x v="10"/>
    <n v="0"/>
    <x v="1"/>
    <d v="2019-03-15T00:00:00"/>
    <x v="5"/>
    <x v="5"/>
    <s v="15/3AL"/>
    <s v="CONT 21/2019"/>
    <d v="2019-04-14T00:00:00"/>
    <s v="R"/>
    <m/>
    <n v="0"/>
    <m/>
    <m/>
    <m/>
    <m/>
    <m/>
    <m/>
    <n v="0"/>
    <n v="0"/>
    <n v="0"/>
    <m/>
  </r>
  <r>
    <x v="160"/>
    <d v="2019-03-08T00:00:00"/>
    <s v="KIỀU THY"/>
    <x v="83"/>
    <x v="85"/>
    <x v="9"/>
    <x v="5"/>
    <x v="0"/>
    <x v="3"/>
    <x v="5"/>
    <s v="NL2018"/>
    <m/>
    <n v="0"/>
    <n v="0"/>
    <x v="10"/>
    <n v="0"/>
    <x v="1"/>
    <d v="2019-04-17T00:00:00"/>
    <x v="1"/>
    <x v="1"/>
    <s v="30/3AL"/>
    <m/>
    <m/>
    <s v="R"/>
    <m/>
    <n v="0"/>
    <m/>
    <m/>
    <m/>
    <m/>
    <m/>
    <m/>
    <n v="0"/>
    <n v="0"/>
    <n v="0"/>
    <m/>
  </r>
  <r>
    <x v="160"/>
    <d v="2019-03-08T00:00:00"/>
    <s v="KIỀU THY"/>
    <x v="83"/>
    <x v="85"/>
    <x v="9"/>
    <x v="5"/>
    <x v="0"/>
    <x v="3"/>
    <x v="5"/>
    <s v="NL2018"/>
    <m/>
    <n v="0"/>
    <n v="0"/>
    <x v="10"/>
    <n v="0"/>
    <x v="1"/>
    <d v="2019-04-17T00:00:00"/>
    <x v="1"/>
    <x v="1"/>
    <s v="15/4AL"/>
    <m/>
    <m/>
    <s v="R"/>
    <m/>
    <n v="0"/>
    <m/>
    <m/>
    <m/>
    <m/>
    <m/>
    <m/>
    <n v="0"/>
    <n v="0"/>
    <n v="0"/>
    <m/>
  </r>
  <r>
    <x v="160"/>
    <d v="2019-03-08T00:00:00"/>
    <s v="KIỀU THY"/>
    <x v="83"/>
    <x v="85"/>
    <x v="9"/>
    <x v="5"/>
    <x v="0"/>
    <x v="3"/>
    <x v="5"/>
    <s v="NL2018"/>
    <m/>
    <n v="0"/>
    <n v="0"/>
    <x v="10"/>
    <n v="0"/>
    <x v="1"/>
    <d v="2019-04-17T00:00:00"/>
    <x v="1"/>
    <x v="1"/>
    <s v="29/4AL"/>
    <m/>
    <m/>
    <s v="R"/>
    <m/>
    <n v="0"/>
    <m/>
    <m/>
    <m/>
    <m/>
    <m/>
    <m/>
    <n v="0"/>
    <n v="0"/>
    <n v="0"/>
    <m/>
  </r>
  <r>
    <x v="161"/>
    <d v="2019-02-21T00:00:00"/>
    <s v="KIỀU THY"/>
    <x v="84"/>
    <x v="86"/>
    <x v="39"/>
    <x v="22"/>
    <x v="0"/>
    <x v="7"/>
    <x v="8"/>
    <s v="NL2018"/>
    <m/>
    <n v="13"/>
    <n v="5200"/>
    <x v="36"/>
    <n v="14560000"/>
    <x v="0"/>
    <d v="2019-01-15T00:00:00"/>
    <x v="6"/>
    <x v="6"/>
    <s v="15/1AL"/>
    <m/>
    <m/>
    <s v="R"/>
    <d v="2019-03-12T00:00:00"/>
    <n v="5200"/>
    <m/>
    <m/>
    <m/>
    <m/>
    <m/>
    <m/>
    <n v="5200"/>
    <n v="0"/>
    <n v="0"/>
    <m/>
  </r>
  <r>
    <x v="161"/>
    <d v="2019-02-21T00:00:00"/>
    <s v="KIỀU THY"/>
    <x v="84"/>
    <x v="86"/>
    <x v="42"/>
    <x v="23"/>
    <x v="0"/>
    <x v="7"/>
    <x v="8"/>
    <s v="NL2018"/>
    <m/>
    <n v="13"/>
    <n v="5200"/>
    <x v="44"/>
    <n v="15600000"/>
    <x v="0"/>
    <d v="2019-01-15T00:00:00"/>
    <x v="6"/>
    <x v="6"/>
    <s v="15/1AL"/>
    <m/>
    <m/>
    <s v="R"/>
    <d v="2019-03-12T00:00:00"/>
    <n v="5200"/>
    <m/>
    <m/>
    <m/>
    <m/>
    <m/>
    <m/>
    <n v="5200"/>
    <n v="0"/>
    <n v="0"/>
    <m/>
  </r>
  <r>
    <x v="162"/>
    <d v="2019-05-19T00:00:00"/>
    <s v="KIỀU THY"/>
    <x v="85"/>
    <x v="87"/>
    <x v="74"/>
    <x v="0"/>
    <x v="0"/>
    <x v="2"/>
    <x v="2"/>
    <s v="NL2018"/>
    <m/>
    <n v="0"/>
    <n v="0"/>
    <x v="57"/>
    <n v="0"/>
    <x v="1"/>
    <d v="2019-05-30T00:00:00"/>
    <x v="17"/>
    <x v="17"/>
    <m/>
    <m/>
    <m/>
    <m/>
    <m/>
    <m/>
    <m/>
    <m/>
    <m/>
    <m/>
    <m/>
    <m/>
    <n v="0"/>
    <n v="0"/>
    <n v="0"/>
    <m/>
  </r>
  <r>
    <x v="162"/>
    <d v="2019-05-19T00:00:00"/>
    <s v="KIỀU THY"/>
    <x v="85"/>
    <x v="87"/>
    <x v="32"/>
    <x v="18"/>
    <x v="0"/>
    <x v="2"/>
    <x v="2"/>
    <s v="NL2018"/>
    <m/>
    <n v="0"/>
    <n v="0"/>
    <x v="40"/>
    <n v="0"/>
    <x v="1"/>
    <d v="2019-05-05T00:00:00"/>
    <x v="27"/>
    <x v="27"/>
    <m/>
    <m/>
    <m/>
    <m/>
    <m/>
    <m/>
    <m/>
    <m/>
    <m/>
    <m/>
    <m/>
    <m/>
    <n v="0"/>
    <n v="0"/>
    <n v="0"/>
    <m/>
  </r>
  <r>
    <x v="162"/>
    <d v="2019-06-05T00:00:00"/>
    <s v="KIỀU THY"/>
    <x v="85"/>
    <x v="87"/>
    <x v="32"/>
    <x v="18"/>
    <x v="0"/>
    <x v="2"/>
    <x v="2"/>
    <s v="NL2018"/>
    <m/>
    <n v="0"/>
    <n v="0"/>
    <x v="40"/>
    <n v="0"/>
    <x v="1"/>
    <d v="2019-05-05T00:00:00"/>
    <x v="27"/>
    <x v="27"/>
    <m/>
    <m/>
    <m/>
    <m/>
    <m/>
    <m/>
    <m/>
    <m/>
    <m/>
    <m/>
    <m/>
    <m/>
    <n v="0"/>
    <n v="0"/>
    <n v="0"/>
    <m/>
  </r>
  <r>
    <x v="162"/>
    <d v="2019-06-14T00:00:00"/>
    <s v="KIỀU THY"/>
    <x v="85"/>
    <x v="87"/>
    <x v="83"/>
    <x v="2"/>
    <x v="0"/>
    <x v="3"/>
    <x v="3"/>
    <s v="NL2018"/>
    <m/>
    <n v="20"/>
    <n v="4000"/>
    <x v="32"/>
    <n v="21200000"/>
    <x v="3"/>
    <d v="2019-06-15T00:00:00"/>
    <x v="4"/>
    <x v="4"/>
    <m/>
    <m/>
    <m/>
    <m/>
    <m/>
    <m/>
    <m/>
    <m/>
    <m/>
    <m/>
    <m/>
    <m/>
    <n v="0"/>
    <n v="4000"/>
    <n v="21200000"/>
    <m/>
  </r>
  <r>
    <x v="162"/>
    <d v="2019-06-14T00:00:00"/>
    <s v="KIỀU THY"/>
    <x v="85"/>
    <x v="87"/>
    <x v="83"/>
    <x v="2"/>
    <x v="0"/>
    <x v="3"/>
    <x v="3"/>
    <s v="NL2018"/>
    <m/>
    <n v="20"/>
    <n v="4000"/>
    <x v="32"/>
    <n v="21200000"/>
    <x v="2"/>
    <d v="2019-06-25T00:00:00"/>
    <x v="19"/>
    <x v="19"/>
    <m/>
    <m/>
    <m/>
    <m/>
    <m/>
    <m/>
    <m/>
    <m/>
    <m/>
    <m/>
    <m/>
    <m/>
    <n v="0"/>
    <n v="4000"/>
    <n v="21200000"/>
    <m/>
  </r>
  <r>
    <x v="162"/>
    <d v="2019-05-25T00:00:00"/>
    <s v="KIỀU THY"/>
    <x v="85"/>
    <x v="87"/>
    <x v="3"/>
    <x v="3"/>
    <x v="0"/>
    <x v="3"/>
    <x v="3"/>
    <s v="NL2018"/>
    <m/>
    <n v="25"/>
    <n v="5000"/>
    <x v="29"/>
    <n v="29000000"/>
    <x v="2"/>
    <d v="2019-07-25T00:00:00"/>
    <x v="52"/>
    <x v="52"/>
    <m/>
    <m/>
    <m/>
    <m/>
    <m/>
    <m/>
    <m/>
    <m/>
    <m/>
    <m/>
    <m/>
    <m/>
    <n v="0"/>
    <n v="5000"/>
    <n v="29000000"/>
    <m/>
  </r>
  <r>
    <x v="162"/>
    <d v="2019-05-19T00:00:00"/>
    <s v="KIỀU THY"/>
    <x v="85"/>
    <x v="87"/>
    <x v="11"/>
    <x v="6"/>
    <x v="0"/>
    <x v="3"/>
    <x v="3"/>
    <s v="NL2018"/>
    <m/>
    <n v="15"/>
    <n v="3000"/>
    <x v="166"/>
    <n v="23400000"/>
    <x v="0"/>
    <d v="2019-04-17T00:00:00"/>
    <x v="1"/>
    <x v="1"/>
    <m/>
    <m/>
    <m/>
    <m/>
    <d v="2019-06-13T00:00:00"/>
    <n v="3000"/>
    <m/>
    <m/>
    <m/>
    <m/>
    <m/>
    <m/>
    <n v="3000"/>
    <n v="0"/>
    <n v="0"/>
    <m/>
  </r>
  <r>
    <x v="162"/>
    <d v="2019-05-19T00:00:00"/>
    <s v="KIỀU THY"/>
    <x v="85"/>
    <x v="87"/>
    <x v="11"/>
    <x v="6"/>
    <x v="0"/>
    <x v="3"/>
    <x v="3"/>
    <s v="NL2018"/>
    <m/>
    <n v="20"/>
    <n v="4000"/>
    <x v="166"/>
    <n v="31200000"/>
    <x v="0"/>
    <d v="2019-04-17T00:00:00"/>
    <x v="1"/>
    <x v="1"/>
    <m/>
    <m/>
    <m/>
    <m/>
    <d v="2019-06-13T00:00:00"/>
    <n v="4000"/>
    <m/>
    <m/>
    <m/>
    <m/>
    <m/>
    <m/>
    <n v="4000"/>
    <n v="0"/>
    <n v="0"/>
    <m/>
  </r>
  <r>
    <x v="162"/>
    <d v="2019-05-19T00:00:00"/>
    <s v="KIỀU THY"/>
    <x v="85"/>
    <x v="87"/>
    <x v="12"/>
    <x v="6"/>
    <x v="0"/>
    <x v="2"/>
    <x v="2"/>
    <s v="NL2018"/>
    <m/>
    <n v="11"/>
    <n v="3300"/>
    <x v="109"/>
    <n v="16830000"/>
    <x v="0"/>
    <d v="2019-05-05T00:00:00"/>
    <x v="27"/>
    <x v="27"/>
    <m/>
    <m/>
    <m/>
    <m/>
    <d v="2019-06-13T00:00:00"/>
    <n v="3300"/>
    <m/>
    <m/>
    <m/>
    <m/>
    <m/>
    <m/>
    <n v="3300"/>
    <n v="0"/>
    <n v="0"/>
    <m/>
  </r>
  <r>
    <x v="162"/>
    <d v="2019-06-14T00:00:00"/>
    <s v="KIỀU THY"/>
    <x v="85"/>
    <x v="87"/>
    <x v="12"/>
    <x v="6"/>
    <x v="0"/>
    <x v="2"/>
    <x v="2"/>
    <s v="NL2018"/>
    <m/>
    <n v="20"/>
    <n v="6000"/>
    <x v="71"/>
    <n v="31200000"/>
    <x v="3"/>
    <d v="2019-06-15T00:00:00"/>
    <x v="4"/>
    <x v="4"/>
    <m/>
    <m/>
    <m/>
    <m/>
    <m/>
    <m/>
    <m/>
    <m/>
    <m/>
    <m/>
    <m/>
    <m/>
    <n v="0"/>
    <n v="6000"/>
    <n v="31200000"/>
    <m/>
  </r>
  <r>
    <x v="162"/>
    <d v="2019-06-14T00:00:00"/>
    <s v="KIỀU THY"/>
    <x v="85"/>
    <x v="87"/>
    <x v="11"/>
    <x v="6"/>
    <x v="0"/>
    <x v="3"/>
    <x v="3"/>
    <s v="NL2018"/>
    <m/>
    <n v="100"/>
    <n v="20000"/>
    <x v="166"/>
    <n v="156000000"/>
    <x v="3"/>
    <d v="2019-06-15T00:00:00"/>
    <x v="4"/>
    <x v="4"/>
    <m/>
    <m/>
    <m/>
    <m/>
    <m/>
    <m/>
    <m/>
    <m/>
    <m/>
    <m/>
    <m/>
    <m/>
    <n v="0"/>
    <n v="20000"/>
    <n v="156000000"/>
    <m/>
  </r>
  <r>
    <x v="162"/>
    <d v="2019-06-24T00:00:00"/>
    <s v="KIỀU THY"/>
    <x v="85"/>
    <x v="87"/>
    <x v="75"/>
    <x v="32"/>
    <x v="0"/>
    <x v="3"/>
    <x v="3"/>
    <s v="NL2018"/>
    <m/>
    <n v="40"/>
    <n v="8000"/>
    <x v="65"/>
    <n v="56000000"/>
    <x v="4"/>
    <d v="2019-05-18T00:00:00"/>
    <x v="3"/>
    <x v="3"/>
    <m/>
    <m/>
    <m/>
    <m/>
    <m/>
    <m/>
    <m/>
    <m/>
    <m/>
    <m/>
    <m/>
    <m/>
    <n v="0"/>
    <n v="8000"/>
    <n v="56000000"/>
    <m/>
  </r>
  <r>
    <x v="162"/>
    <d v="2019-06-14T00:00:00"/>
    <s v="KIỀU THY"/>
    <x v="85"/>
    <x v="87"/>
    <x v="11"/>
    <x v="6"/>
    <x v="0"/>
    <x v="3"/>
    <x v="3"/>
    <s v="NL2018"/>
    <m/>
    <n v="25"/>
    <n v="5000"/>
    <x v="166"/>
    <n v="39000000"/>
    <x v="0"/>
    <d v="2019-06-01T00:00:00"/>
    <x v="18"/>
    <x v="18"/>
    <s v="Hà Nội chuyển vô"/>
    <m/>
    <m/>
    <m/>
    <d v="2019-06-24T00:00:00"/>
    <n v="5000"/>
    <m/>
    <m/>
    <m/>
    <m/>
    <m/>
    <m/>
    <n v="5000"/>
    <n v="0"/>
    <n v="0"/>
    <m/>
  </r>
  <r>
    <x v="162"/>
    <d v="2019-06-14T00:00:00"/>
    <s v="KIỀU THY"/>
    <x v="85"/>
    <x v="87"/>
    <x v="11"/>
    <x v="6"/>
    <x v="0"/>
    <x v="3"/>
    <x v="3"/>
    <s v="NL2018"/>
    <m/>
    <n v="55"/>
    <n v="11000"/>
    <x v="166"/>
    <n v="85800000"/>
    <x v="4"/>
    <d v="2019-05-24T00:00:00"/>
    <x v="65"/>
    <x v="65"/>
    <m/>
    <m/>
    <m/>
    <m/>
    <m/>
    <m/>
    <m/>
    <m/>
    <m/>
    <m/>
    <m/>
    <m/>
    <n v="0"/>
    <n v="11000"/>
    <n v="85800000"/>
    <m/>
  </r>
  <r>
    <x v="162"/>
    <d v="2019-06-14T00:00:00"/>
    <s v="KIỀU THY"/>
    <x v="85"/>
    <x v="87"/>
    <x v="12"/>
    <x v="6"/>
    <x v="0"/>
    <x v="2"/>
    <x v="2"/>
    <s v="NL2018"/>
    <m/>
    <n v="34"/>
    <n v="10200"/>
    <x v="71"/>
    <n v="53040000"/>
    <x v="2"/>
    <d v="2019-06-25T00:00:00"/>
    <x v="19"/>
    <x v="19"/>
    <m/>
    <m/>
    <m/>
    <m/>
    <m/>
    <m/>
    <m/>
    <m/>
    <m/>
    <m/>
    <m/>
    <m/>
    <n v="0"/>
    <n v="10200"/>
    <n v="53040000"/>
    <m/>
  </r>
  <r>
    <x v="162"/>
    <d v="2019-05-25T00:00:00"/>
    <s v="KIỀU THY"/>
    <x v="85"/>
    <x v="87"/>
    <x v="11"/>
    <x v="6"/>
    <x v="0"/>
    <x v="3"/>
    <x v="3"/>
    <s v="NL2018"/>
    <m/>
    <n v="100"/>
    <n v="20000"/>
    <x v="7"/>
    <n v="162000000"/>
    <x v="2"/>
    <d v="2019-07-25T00:00:00"/>
    <x v="52"/>
    <x v="52"/>
    <m/>
    <m/>
    <m/>
    <m/>
    <m/>
    <m/>
    <m/>
    <m/>
    <m/>
    <m/>
    <m/>
    <m/>
    <n v="0"/>
    <n v="20000"/>
    <n v="162000000"/>
    <m/>
  </r>
  <r>
    <x v="163"/>
    <d v="2019-05-25T00:00:00"/>
    <s v="KIỀU THY"/>
    <x v="85"/>
    <x v="87"/>
    <x v="85"/>
    <x v="6"/>
    <x v="0"/>
    <x v="1"/>
    <x v="1"/>
    <s v="NL2018"/>
    <m/>
    <n v="153"/>
    <n v="22950"/>
    <x v="62"/>
    <n v="250155000"/>
    <x v="2"/>
    <d v="2019-09-01T00:00:00"/>
    <x v="2"/>
    <x v="2"/>
    <m/>
    <m/>
    <m/>
    <m/>
    <m/>
    <m/>
    <m/>
    <m/>
    <m/>
    <m/>
    <m/>
    <m/>
    <n v="0"/>
    <n v="22950"/>
    <n v="250155000"/>
    <m/>
  </r>
  <r>
    <x v="163"/>
    <d v="2019-06-10T00:00:00"/>
    <s v="KIỀU THY"/>
    <x v="85"/>
    <x v="87"/>
    <x v="85"/>
    <x v="6"/>
    <x v="0"/>
    <x v="1"/>
    <x v="1"/>
    <s v="NL2018"/>
    <m/>
    <n v="47"/>
    <n v="7050"/>
    <x v="62"/>
    <n v="76845000"/>
    <x v="2"/>
    <d v="2019-09-01T00:00:00"/>
    <x v="2"/>
    <x v="2"/>
    <m/>
    <m/>
    <m/>
    <m/>
    <m/>
    <m/>
    <m/>
    <m/>
    <m/>
    <m/>
    <m/>
    <m/>
    <n v="0"/>
    <n v="7050"/>
    <n v="76845000"/>
    <m/>
  </r>
  <r>
    <x v="162"/>
    <d v="2019-05-19T00:00:00"/>
    <s v="KIỀU THY"/>
    <x v="85"/>
    <x v="87"/>
    <x v="40"/>
    <x v="22"/>
    <x v="0"/>
    <x v="2"/>
    <x v="2"/>
    <s v="NL2018"/>
    <m/>
    <n v="0"/>
    <n v="0"/>
    <x v="49"/>
    <n v="0"/>
    <x v="1"/>
    <d v="2019-05-05T00:00:00"/>
    <x v="27"/>
    <x v="27"/>
    <m/>
    <m/>
    <m/>
    <m/>
    <m/>
    <m/>
    <m/>
    <m/>
    <m/>
    <m/>
    <m/>
    <m/>
    <n v="0"/>
    <n v="0"/>
    <n v="0"/>
    <m/>
  </r>
  <r>
    <x v="162"/>
    <d v="2019-05-19T00:00:00"/>
    <s v="KIỀU THY"/>
    <x v="85"/>
    <x v="87"/>
    <x v="40"/>
    <x v="22"/>
    <x v="0"/>
    <x v="2"/>
    <x v="2"/>
    <s v="NL2018"/>
    <m/>
    <n v="0"/>
    <n v="0"/>
    <x v="49"/>
    <n v="0"/>
    <x v="0"/>
    <d v="2019-05-09T00:00:00"/>
    <x v="68"/>
    <x v="68"/>
    <m/>
    <m/>
    <m/>
    <m/>
    <m/>
    <m/>
    <m/>
    <m/>
    <m/>
    <m/>
    <m/>
    <m/>
    <n v="0"/>
    <n v="0"/>
    <n v="0"/>
    <m/>
  </r>
  <r>
    <x v="162"/>
    <d v="2019-05-19T00:00:00"/>
    <s v="KIỀU THY"/>
    <x v="85"/>
    <x v="87"/>
    <x v="75"/>
    <x v="32"/>
    <x v="0"/>
    <x v="3"/>
    <x v="3"/>
    <s v="NL2018"/>
    <m/>
    <n v="10"/>
    <n v="2000"/>
    <x v="65"/>
    <n v="14000000"/>
    <x v="0"/>
    <d v="2019-05-09T00:00:00"/>
    <x v="68"/>
    <x v="68"/>
    <m/>
    <m/>
    <m/>
    <m/>
    <d v="2019-06-13T00:00:00"/>
    <n v="2000"/>
    <m/>
    <m/>
    <m/>
    <m/>
    <m/>
    <m/>
    <n v="2000"/>
    <n v="0"/>
    <n v="0"/>
    <m/>
  </r>
  <r>
    <x v="163"/>
    <d v="2019-06-10T00:00:00"/>
    <s v="KIỀU THY"/>
    <x v="85"/>
    <x v="87"/>
    <x v="62"/>
    <x v="32"/>
    <x v="0"/>
    <x v="4"/>
    <x v="4"/>
    <s v="NL2018"/>
    <m/>
    <n v="24"/>
    <n v="3000"/>
    <x v="167"/>
    <n v="40800000"/>
    <x v="2"/>
    <d v="2019-09-01T00:00:00"/>
    <x v="2"/>
    <x v="2"/>
    <m/>
    <m/>
    <m/>
    <m/>
    <m/>
    <m/>
    <m/>
    <m/>
    <m/>
    <m/>
    <m/>
    <m/>
    <n v="0"/>
    <n v="3000"/>
    <n v="40800000"/>
    <m/>
  </r>
  <r>
    <x v="163"/>
    <d v="2019-06-10T00:00:00"/>
    <s v="KIỀU THY"/>
    <x v="85"/>
    <x v="87"/>
    <x v="62"/>
    <x v="32"/>
    <x v="0"/>
    <x v="4"/>
    <x v="4"/>
    <s v="NL2018"/>
    <m/>
    <n v="24"/>
    <n v="3000"/>
    <x v="167"/>
    <n v="40800000"/>
    <x v="2"/>
    <d v="2019-09-01T00:00:00"/>
    <x v="2"/>
    <x v="2"/>
    <m/>
    <m/>
    <m/>
    <m/>
    <m/>
    <m/>
    <m/>
    <m/>
    <m/>
    <m/>
    <m/>
    <m/>
    <n v="0"/>
    <n v="3000"/>
    <n v="40800000"/>
    <m/>
  </r>
  <r>
    <x v="162"/>
    <d v="2019-05-19T00:00:00"/>
    <s v="KIỀU THY"/>
    <x v="85"/>
    <x v="87"/>
    <x v="26"/>
    <x v="13"/>
    <x v="0"/>
    <x v="3"/>
    <x v="3"/>
    <s v="NL2018"/>
    <m/>
    <n v="20"/>
    <n v="4000"/>
    <x v="6"/>
    <n v="21600000"/>
    <x v="0"/>
    <d v="2019-05-12T00:00:00"/>
    <x v="40"/>
    <x v="40"/>
    <m/>
    <m/>
    <m/>
    <m/>
    <d v="2019-06-24T00:00:00"/>
    <n v="4000"/>
    <m/>
    <m/>
    <m/>
    <m/>
    <m/>
    <m/>
    <n v="4000"/>
    <n v="0"/>
    <n v="0"/>
    <m/>
  </r>
  <r>
    <x v="162"/>
    <d v="2019-05-19T00:00:00"/>
    <s v="KIỀU THY"/>
    <x v="85"/>
    <x v="87"/>
    <x v="26"/>
    <x v="13"/>
    <x v="0"/>
    <x v="3"/>
    <x v="3"/>
    <s v="NL2018"/>
    <m/>
    <n v="30"/>
    <n v="6000"/>
    <x v="6"/>
    <n v="32400000"/>
    <x v="0"/>
    <d v="2019-05-12T00:00:00"/>
    <x v="40"/>
    <x v="40"/>
    <m/>
    <m/>
    <m/>
    <m/>
    <d v="2019-06-24T00:00:00"/>
    <n v="6000"/>
    <m/>
    <m/>
    <m/>
    <m/>
    <m/>
    <m/>
    <n v="6000"/>
    <n v="0"/>
    <n v="0"/>
    <m/>
  </r>
  <r>
    <x v="162"/>
    <d v="2019-06-10T00:00:00"/>
    <s v="KIỀU THY"/>
    <x v="85"/>
    <x v="87"/>
    <x v="69"/>
    <x v="13"/>
    <x v="0"/>
    <x v="2"/>
    <x v="2"/>
    <s v="NL2018"/>
    <m/>
    <n v="9"/>
    <n v="2700"/>
    <x v="45"/>
    <n v="10800000"/>
    <x v="0"/>
    <d v="2019-05-09T00:00:00"/>
    <x v="68"/>
    <x v="68"/>
    <m/>
    <m/>
    <m/>
    <m/>
    <d v="2019-06-13T00:00:00"/>
    <n v="2700"/>
    <m/>
    <m/>
    <m/>
    <m/>
    <m/>
    <m/>
    <n v="2700"/>
    <n v="0"/>
    <n v="0"/>
    <m/>
  </r>
  <r>
    <x v="162"/>
    <d v="2019-06-14T00:00:00"/>
    <s v="KIỀU THY"/>
    <x v="85"/>
    <x v="87"/>
    <x v="26"/>
    <x v="13"/>
    <x v="0"/>
    <x v="3"/>
    <x v="3"/>
    <s v="NL2018"/>
    <m/>
    <n v="25"/>
    <n v="5000"/>
    <x v="10"/>
    <n v="27500000"/>
    <x v="2"/>
    <d v="2019-06-25T00:00:00"/>
    <x v="19"/>
    <x v="19"/>
    <m/>
    <m/>
    <m/>
    <m/>
    <m/>
    <m/>
    <m/>
    <m/>
    <m/>
    <m/>
    <m/>
    <m/>
    <n v="0"/>
    <n v="5000"/>
    <n v="27500000"/>
    <m/>
  </r>
  <r>
    <x v="162"/>
    <d v="2019-06-10T00:00:00"/>
    <s v="KIỀU THY"/>
    <x v="85"/>
    <x v="87"/>
    <x v="23"/>
    <x v="11"/>
    <x v="0"/>
    <x v="2"/>
    <x v="2"/>
    <s v="NL2018"/>
    <m/>
    <n v="0"/>
    <n v="0"/>
    <x v="10"/>
    <n v="0"/>
    <x v="1"/>
    <d v="2019-05-09T00:00:00"/>
    <x v="68"/>
    <x v="68"/>
    <m/>
    <m/>
    <m/>
    <m/>
    <m/>
    <m/>
    <m/>
    <m/>
    <m/>
    <m/>
    <m/>
    <m/>
    <n v="0"/>
    <n v="0"/>
    <n v="0"/>
    <m/>
  </r>
  <r>
    <x v="162"/>
    <d v="2019-05-20T00:00:00"/>
    <s v="KIỀU THY"/>
    <x v="85"/>
    <x v="87"/>
    <x v="23"/>
    <x v="11"/>
    <x v="0"/>
    <x v="2"/>
    <x v="2"/>
    <s v="NL2018"/>
    <m/>
    <n v="0"/>
    <n v="0"/>
    <x v="10"/>
    <n v="0"/>
    <x v="1"/>
    <d v="2019-06-15T00:00:00"/>
    <x v="4"/>
    <x v="4"/>
    <m/>
    <m/>
    <m/>
    <m/>
    <m/>
    <m/>
    <m/>
    <m/>
    <m/>
    <m/>
    <m/>
    <m/>
    <n v="0"/>
    <n v="0"/>
    <n v="0"/>
    <m/>
  </r>
  <r>
    <x v="162"/>
    <d v="2019-05-20T00:00:00"/>
    <s v="KIỀU THY"/>
    <x v="85"/>
    <x v="87"/>
    <x v="23"/>
    <x v="11"/>
    <x v="0"/>
    <x v="2"/>
    <x v="2"/>
    <s v="NL2018"/>
    <m/>
    <n v="0"/>
    <n v="0"/>
    <x v="54"/>
    <n v="0"/>
    <x v="1"/>
    <d v="2019-06-25T00:00:00"/>
    <x v="19"/>
    <x v="19"/>
    <m/>
    <m/>
    <m/>
    <m/>
    <m/>
    <m/>
    <m/>
    <m/>
    <m/>
    <m/>
    <m/>
    <m/>
    <n v="0"/>
    <n v="0"/>
    <n v="0"/>
    <m/>
  </r>
  <r>
    <x v="162"/>
    <d v="2019-05-25T00:00:00"/>
    <s v="KIỀU THY"/>
    <x v="85"/>
    <x v="87"/>
    <x v="23"/>
    <x v="11"/>
    <x v="0"/>
    <x v="2"/>
    <x v="2"/>
    <s v="NL2018"/>
    <m/>
    <n v="23"/>
    <n v="6900"/>
    <x v="84"/>
    <n v="39330000"/>
    <x v="2"/>
    <d v="2019-07-25T00:00:00"/>
    <x v="52"/>
    <x v="52"/>
    <m/>
    <m/>
    <m/>
    <m/>
    <m/>
    <m/>
    <m/>
    <m/>
    <m/>
    <m/>
    <m/>
    <m/>
    <n v="0"/>
    <n v="6900"/>
    <n v="39330000"/>
    <m/>
  </r>
  <r>
    <x v="162"/>
    <d v="2019-06-19T00:00:00"/>
    <s v="KIỀU THY"/>
    <x v="85"/>
    <x v="87"/>
    <x v="6"/>
    <x v="4"/>
    <x v="0"/>
    <x v="3"/>
    <x v="3"/>
    <s v="NL2018"/>
    <m/>
    <n v="15"/>
    <n v="3000"/>
    <x v="96"/>
    <n v="19500000"/>
    <x v="0"/>
    <d v="2019-05-18T00:00:00"/>
    <x v="3"/>
    <x v="3"/>
    <m/>
    <m/>
    <m/>
    <m/>
    <d v="2019-06-24T00:00:00"/>
    <n v="3000"/>
    <m/>
    <m/>
    <m/>
    <m/>
    <m/>
    <m/>
    <n v="3000"/>
    <n v="0"/>
    <n v="0"/>
    <m/>
  </r>
  <r>
    <x v="163"/>
    <d v="2019-05-25T00:00:00"/>
    <s v="KIỀU THY"/>
    <x v="85"/>
    <x v="87"/>
    <x v="7"/>
    <x v="4"/>
    <x v="0"/>
    <x v="4"/>
    <x v="4"/>
    <s v="NL2018"/>
    <m/>
    <n v="16"/>
    <n v="2000"/>
    <x v="34"/>
    <n v="21200000"/>
    <x v="2"/>
    <d v="2019-09-01T00:00:00"/>
    <x v="2"/>
    <x v="2"/>
    <m/>
    <m/>
    <m/>
    <m/>
    <m/>
    <m/>
    <m/>
    <m/>
    <m/>
    <m/>
    <m/>
    <m/>
    <n v="0"/>
    <n v="2000"/>
    <n v="21200000"/>
    <m/>
  </r>
  <r>
    <x v="163"/>
    <d v="2019-06-10T00:00:00"/>
    <s v="KIỀU THY"/>
    <x v="85"/>
    <x v="87"/>
    <x v="7"/>
    <x v="4"/>
    <x v="0"/>
    <x v="4"/>
    <x v="4"/>
    <s v="NL2018"/>
    <m/>
    <n v="16"/>
    <n v="2000"/>
    <x v="34"/>
    <n v="21200000"/>
    <x v="2"/>
    <d v="2019-09-01T00:00:00"/>
    <x v="2"/>
    <x v="2"/>
    <m/>
    <m/>
    <m/>
    <m/>
    <m/>
    <m/>
    <m/>
    <m/>
    <m/>
    <m/>
    <m/>
    <m/>
    <n v="0"/>
    <n v="2000"/>
    <n v="21200000"/>
    <m/>
  </r>
  <r>
    <x v="164"/>
    <d v="2019-03-11T00:00:00"/>
    <s v="THANH THÚY"/>
    <x v="86"/>
    <x v="88"/>
    <x v="74"/>
    <x v="0"/>
    <x v="0"/>
    <x v="13"/>
    <x v="6"/>
    <s v="NL2018"/>
    <m/>
    <n v="0"/>
    <n v="0"/>
    <x v="77"/>
    <n v="0"/>
    <x v="1"/>
    <d v="2019-03-15T00:00:00"/>
    <x v="5"/>
    <x v="5"/>
    <s v="15/3AL"/>
    <s v="CONT 20/2019"/>
    <m/>
    <m/>
    <m/>
    <n v="0"/>
    <m/>
    <m/>
    <m/>
    <m/>
    <m/>
    <m/>
    <n v="0"/>
    <n v="0"/>
    <n v="0"/>
    <m/>
  </r>
  <r>
    <x v="165"/>
    <d v="2019-06-21T00:00:00"/>
    <s v="THANH THÚY"/>
    <x v="86"/>
    <x v="88"/>
    <x v="63"/>
    <x v="1"/>
    <x v="0"/>
    <x v="4"/>
    <x v="4"/>
    <s v="NL2018"/>
    <m/>
    <n v="40"/>
    <n v="5000"/>
    <x v="27"/>
    <n v="55000000"/>
    <x v="2"/>
    <d v="2019-09-01T00:00:00"/>
    <x v="2"/>
    <x v="2"/>
    <m/>
    <m/>
    <m/>
    <m/>
    <m/>
    <m/>
    <m/>
    <m/>
    <m/>
    <m/>
    <m/>
    <m/>
    <n v="0"/>
    <n v="5000"/>
    <n v="55000000"/>
    <m/>
  </r>
  <r>
    <x v="165"/>
    <d v="2019-06-21T00:00:00"/>
    <s v="THANH THÚY"/>
    <x v="86"/>
    <x v="88"/>
    <x v="137"/>
    <x v="3"/>
    <x v="0"/>
    <x v="6"/>
    <x v="7"/>
    <s v="NL2018"/>
    <m/>
    <n v="63"/>
    <n v="5040"/>
    <x v="85"/>
    <n v="77112000"/>
    <x v="2"/>
    <d v="2019-09-01T00:00:00"/>
    <x v="2"/>
    <x v="2"/>
    <m/>
    <m/>
    <m/>
    <m/>
    <m/>
    <m/>
    <m/>
    <m/>
    <m/>
    <m/>
    <m/>
    <m/>
    <n v="0"/>
    <n v="5040"/>
    <n v="77112000"/>
    <m/>
  </r>
  <r>
    <x v="164"/>
    <d v="2019-03-11T00:00:00"/>
    <s v="THANH THÚY"/>
    <x v="86"/>
    <x v="88"/>
    <x v="138"/>
    <x v="56"/>
    <x v="0"/>
    <x v="13"/>
    <x v="6"/>
    <s v="NL2018"/>
    <m/>
    <n v="0"/>
    <n v="0"/>
    <x v="42"/>
    <n v="0"/>
    <x v="1"/>
    <d v="2019-03-15T00:00:00"/>
    <x v="5"/>
    <x v="5"/>
    <s v="15/3AL"/>
    <s v="CONT 20/2019"/>
    <m/>
    <m/>
    <m/>
    <n v="0"/>
    <m/>
    <m/>
    <m/>
    <m/>
    <m/>
    <m/>
    <n v="0"/>
    <n v="0"/>
    <n v="0"/>
    <m/>
  </r>
  <r>
    <x v="164"/>
    <d v="2019-03-11T00:00:00"/>
    <s v="THANH THÚY"/>
    <x v="86"/>
    <x v="88"/>
    <x v="79"/>
    <x v="32"/>
    <x v="0"/>
    <x v="13"/>
    <x v="6"/>
    <s v="NL2018"/>
    <m/>
    <n v="0"/>
    <n v="0"/>
    <x v="106"/>
    <n v="0"/>
    <x v="1"/>
    <d v="2019-03-15T00:00:00"/>
    <x v="5"/>
    <x v="5"/>
    <s v="15/3AL"/>
    <s v="CONT 20/2019"/>
    <m/>
    <m/>
    <m/>
    <n v="0"/>
    <m/>
    <m/>
    <m/>
    <m/>
    <m/>
    <m/>
    <n v="0"/>
    <n v="0"/>
    <n v="0"/>
    <m/>
  </r>
  <r>
    <x v="165"/>
    <d v="2019-06-21T00:00:00"/>
    <s v="THANH THÚY"/>
    <x v="86"/>
    <x v="88"/>
    <x v="14"/>
    <x v="4"/>
    <x v="0"/>
    <x v="6"/>
    <x v="7"/>
    <s v="NL2018"/>
    <m/>
    <n v="63"/>
    <n v="5040"/>
    <x v="15"/>
    <n v="76608000"/>
    <x v="2"/>
    <d v="2019-09-01T00:00:00"/>
    <x v="2"/>
    <x v="2"/>
    <m/>
    <m/>
    <m/>
    <m/>
    <m/>
    <m/>
    <m/>
    <m/>
    <m/>
    <m/>
    <m/>
    <m/>
    <n v="0"/>
    <n v="5040"/>
    <n v="76608000"/>
    <m/>
  </r>
  <r>
    <x v="166"/>
    <d v="2019-06-13T00:00:00"/>
    <s v="KIỀU THY"/>
    <x v="87"/>
    <x v="89"/>
    <x v="74"/>
    <x v="0"/>
    <x v="0"/>
    <x v="2"/>
    <x v="2"/>
    <s v="NL2018"/>
    <m/>
    <n v="20"/>
    <n v="6000"/>
    <x v="45"/>
    <n v="24000000"/>
    <x v="3"/>
    <d v="2019-06-15T00:00:00"/>
    <x v="4"/>
    <x v="4"/>
    <m/>
    <m/>
    <m/>
    <m/>
    <m/>
    <m/>
    <m/>
    <m/>
    <m/>
    <m/>
    <m/>
    <m/>
    <n v="0"/>
    <n v="6000"/>
    <n v="24000000"/>
    <m/>
  </r>
  <r>
    <x v="166"/>
    <d v="2019-06-13T00:00:00"/>
    <s v="KIỀU THY"/>
    <x v="87"/>
    <x v="89"/>
    <x v="34"/>
    <x v="1"/>
    <x v="0"/>
    <x v="2"/>
    <x v="2"/>
    <s v="NL2018"/>
    <m/>
    <n v="10"/>
    <n v="3000"/>
    <x v="8"/>
    <n v="15000000"/>
    <x v="3"/>
    <d v="2019-06-15T00:00:00"/>
    <x v="4"/>
    <x v="4"/>
    <m/>
    <m/>
    <m/>
    <m/>
    <m/>
    <m/>
    <m/>
    <m/>
    <m/>
    <m/>
    <m/>
    <m/>
    <n v="0"/>
    <n v="3000"/>
    <n v="15000000"/>
    <m/>
  </r>
  <r>
    <x v="167"/>
    <d v="2019-03-18T00:00:00"/>
    <s v="KIỀU THY"/>
    <x v="87"/>
    <x v="89"/>
    <x v="2"/>
    <x v="2"/>
    <x v="0"/>
    <x v="2"/>
    <x v="2"/>
    <s v="NL2018"/>
    <m/>
    <n v="10"/>
    <n v="3000"/>
    <x v="3"/>
    <n v="10500000"/>
    <x v="0"/>
    <d v="2019-02-28T00:00:00"/>
    <x v="16"/>
    <x v="16"/>
    <s v="30/2AL"/>
    <s v="CONT 17/2019"/>
    <d v="2019-03-31T00:00:00"/>
    <m/>
    <d v="2019-05-02T00:00:00"/>
    <n v="3000"/>
    <m/>
    <m/>
    <m/>
    <m/>
    <m/>
    <m/>
    <n v="3000"/>
    <n v="0"/>
    <n v="0"/>
    <m/>
  </r>
  <r>
    <x v="167"/>
    <d v="2019-03-18T00:00:00"/>
    <s v="KIỀU THY"/>
    <x v="87"/>
    <x v="89"/>
    <x v="2"/>
    <x v="2"/>
    <x v="0"/>
    <x v="2"/>
    <x v="2"/>
    <s v="NL2018"/>
    <m/>
    <n v="10"/>
    <n v="3000"/>
    <x v="3"/>
    <n v="10500000"/>
    <x v="4"/>
    <d v="2019-04-17T00:00:00"/>
    <x v="1"/>
    <x v="1"/>
    <s v="30/3AL"/>
    <m/>
    <m/>
    <m/>
    <m/>
    <m/>
    <m/>
    <m/>
    <m/>
    <m/>
    <m/>
    <m/>
    <n v="0"/>
    <n v="3000"/>
    <n v="10500000"/>
    <m/>
  </r>
  <r>
    <x v="167"/>
    <d v="2019-03-18T00:00:00"/>
    <s v="KIỀU THY"/>
    <x v="87"/>
    <x v="89"/>
    <x v="2"/>
    <x v="2"/>
    <x v="0"/>
    <x v="2"/>
    <x v="2"/>
    <s v="NL2018"/>
    <m/>
    <n v="10"/>
    <n v="3000"/>
    <x v="81"/>
    <n v="11100000"/>
    <x v="4"/>
    <d v="2019-05-12T00:00:00"/>
    <x v="40"/>
    <x v="40"/>
    <s v="5/5AL"/>
    <m/>
    <m/>
    <m/>
    <m/>
    <m/>
    <m/>
    <m/>
    <m/>
    <m/>
    <m/>
    <m/>
    <n v="0"/>
    <n v="3000"/>
    <n v="11100000"/>
    <m/>
  </r>
  <r>
    <x v="166"/>
    <d v="2019-06-13T00:00:00"/>
    <s v="KIỀU THY"/>
    <x v="87"/>
    <x v="89"/>
    <x v="3"/>
    <x v="3"/>
    <x v="0"/>
    <x v="3"/>
    <x v="3"/>
    <s v="NL2018"/>
    <m/>
    <n v="15"/>
    <n v="3000"/>
    <x v="54"/>
    <n v="16800000"/>
    <x v="3"/>
    <d v="2019-06-15T00:00:00"/>
    <x v="4"/>
    <x v="4"/>
    <m/>
    <m/>
    <m/>
    <m/>
    <m/>
    <m/>
    <m/>
    <m/>
    <m/>
    <m/>
    <m/>
    <m/>
    <n v="0"/>
    <n v="3000"/>
    <n v="16800000"/>
    <m/>
  </r>
  <r>
    <x v="168"/>
    <d v="2019-03-18T00:00:00"/>
    <s v="KIỀU THY"/>
    <x v="87"/>
    <x v="89"/>
    <x v="4"/>
    <x v="3"/>
    <x v="0"/>
    <x v="4"/>
    <x v="4"/>
    <s v="NL2018"/>
    <m/>
    <n v="40"/>
    <n v="5000"/>
    <x v="5"/>
    <n v="52500000"/>
    <x v="2"/>
    <d v="2019-09-01T00:00:00"/>
    <x v="2"/>
    <x v="2"/>
    <s v="TẾT"/>
    <m/>
    <m/>
    <m/>
    <m/>
    <m/>
    <m/>
    <m/>
    <m/>
    <m/>
    <m/>
    <m/>
    <n v="0"/>
    <n v="5000"/>
    <n v="52500000"/>
    <m/>
  </r>
  <r>
    <x v="167"/>
    <d v="2019-03-18T00:00:00"/>
    <s v="KIỀU THY"/>
    <x v="87"/>
    <x v="89"/>
    <x v="12"/>
    <x v="6"/>
    <x v="0"/>
    <x v="2"/>
    <x v="2"/>
    <s v="NL2018"/>
    <m/>
    <n v="7"/>
    <n v="2100"/>
    <x v="8"/>
    <n v="10500000"/>
    <x v="0"/>
    <d v="2019-03-15T00:00:00"/>
    <x v="5"/>
    <x v="5"/>
    <s v="15/3AL"/>
    <s v="CONT 23/2019"/>
    <d v="2019-04-19T00:00:00"/>
    <m/>
    <d v="2019-05-02T00:00:00"/>
    <n v="2100"/>
    <m/>
    <m/>
    <m/>
    <m/>
    <m/>
    <m/>
    <n v="2100"/>
    <n v="0"/>
    <n v="0"/>
    <m/>
  </r>
  <r>
    <x v="167"/>
    <d v="2019-03-18T00:00:00"/>
    <s v="KIỀU THY"/>
    <x v="87"/>
    <x v="89"/>
    <x v="78"/>
    <x v="6"/>
    <x v="0"/>
    <x v="2"/>
    <x v="21"/>
    <s v="NL2018"/>
    <m/>
    <n v="7"/>
    <n v="1925"/>
    <x v="8"/>
    <n v="9625000"/>
    <x v="0"/>
    <d v="2019-04-17T00:00:00"/>
    <x v="1"/>
    <x v="1"/>
    <m/>
    <m/>
    <m/>
    <m/>
    <d v="2019-06-14T00:00:00"/>
    <n v="1925"/>
    <m/>
    <m/>
    <m/>
    <m/>
    <m/>
    <m/>
    <n v="1925"/>
    <n v="0"/>
    <n v="0"/>
    <m/>
  </r>
  <r>
    <x v="167"/>
    <d v="2019-03-18T00:00:00"/>
    <s v="KIỀU THY"/>
    <x v="87"/>
    <x v="89"/>
    <x v="78"/>
    <x v="6"/>
    <x v="0"/>
    <x v="2"/>
    <x v="21"/>
    <s v="NL2018"/>
    <m/>
    <n v="7"/>
    <n v="1925"/>
    <x v="8"/>
    <n v="9625000"/>
    <x v="4"/>
    <d v="2019-04-17T00:00:00"/>
    <x v="1"/>
    <x v="1"/>
    <s v="30/3AL"/>
    <m/>
    <m/>
    <m/>
    <d v="2019-06-14T00:00:00"/>
    <n v="1100"/>
    <m/>
    <m/>
    <m/>
    <m/>
    <m/>
    <m/>
    <n v="1100"/>
    <n v="825"/>
    <n v="4125000"/>
    <m/>
  </r>
  <r>
    <x v="167"/>
    <d v="2019-03-18T00:00:00"/>
    <s v="KIỀU THY"/>
    <x v="87"/>
    <x v="89"/>
    <x v="78"/>
    <x v="6"/>
    <x v="0"/>
    <x v="2"/>
    <x v="21"/>
    <s v="NL2018"/>
    <m/>
    <n v="8"/>
    <n v="2200"/>
    <x v="8"/>
    <n v="11000000"/>
    <x v="4"/>
    <d v="2019-05-18T00:00:00"/>
    <x v="3"/>
    <x v="3"/>
    <m/>
    <m/>
    <m/>
    <m/>
    <m/>
    <m/>
    <m/>
    <m/>
    <m/>
    <m/>
    <m/>
    <m/>
    <n v="0"/>
    <n v="2200"/>
    <n v="11000000"/>
    <m/>
  </r>
  <r>
    <x v="168"/>
    <d v="2019-03-18T00:00:00"/>
    <s v="KIỀU THY"/>
    <x v="87"/>
    <x v="89"/>
    <x v="7"/>
    <x v="4"/>
    <x v="0"/>
    <x v="4"/>
    <x v="4"/>
    <s v="NL2018"/>
    <m/>
    <n v="40"/>
    <n v="5000"/>
    <x v="5"/>
    <n v="52500000"/>
    <x v="2"/>
    <d v="2019-09-01T00:00:00"/>
    <x v="2"/>
    <x v="2"/>
    <s v="TẾT"/>
    <m/>
    <m/>
    <m/>
    <m/>
    <m/>
    <m/>
    <m/>
    <m/>
    <m/>
    <m/>
    <m/>
    <n v="0"/>
    <n v="5000"/>
    <n v="52500000"/>
    <m/>
  </r>
  <r>
    <x v="169"/>
    <d v="2019-03-15T00:00:00"/>
    <s v="THANH THÚY"/>
    <x v="88"/>
    <x v="90"/>
    <x v="0"/>
    <x v="0"/>
    <x v="0"/>
    <x v="7"/>
    <x v="0"/>
    <s v="NL2018"/>
    <m/>
    <n v="8"/>
    <n v="3200"/>
    <x v="0"/>
    <n v="8320000"/>
    <x v="0"/>
    <d v="2019-02-15T00:00:00"/>
    <x v="0"/>
    <x v="0"/>
    <s v="15/2AL"/>
    <s v="CONT 12/2019"/>
    <m/>
    <m/>
    <m/>
    <n v="3200"/>
    <m/>
    <m/>
    <m/>
    <m/>
    <m/>
    <m/>
    <n v="3200"/>
    <n v="0"/>
    <n v="0"/>
    <m/>
  </r>
  <r>
    <x v="170"/>
    <d v="2019-03-15T00:00:00"/>
    <s v="THANH THÚY"/>
    <x v="88"/>
    <x v="90"/>
    <x v="63"/>
    <x v="1"/>
    <x v="0"/>
    <x v="4"/>
    <x v="4"/>
    <s v="NL2018"/>
    <m/>
    <n v="40"/>
    <n v="5000"/>
    <x v="26"/>
    <n v="54000000"/>
    <x v="2"/>
    <d v="2019-09-01T00:00:00"/>
    <x v="2"/>
    <x v="2"/>
    <s v="TẾT"/>
    <m/>
    <m/>
    <m/>
    <m/>
    <n v="0"/>
    <m/>
    <m/>
    <m/>
    <m/>
    <m/>
    <m/>
    <n v="0"/>
    <n v="5000"/>
    <n v="54000000"/>
    <m/>
  </r>
  <r>
    <x v="170"/>
    <d v="2019-03-15T00:00:00"/>
    <s v="THANH THÚY"/>
    <x v="88"/>
    <x v="90"/>
    <x v="4"/>
    <x v="3"/>
    <x v="0"/>
    <x v="4"/>
    <x v="4"/>
    <s v="NL2018"/>
    <m/>
    <n v="24"/>
    <n v="3000"/>
    <x v="5"/>
    <n v="31500000"/>
    <x v="2"/>
    <d v="2019-09-01T00:00:00"/>
    <x v="2"/>
    <x v="2"/>
    <s v="TẾT"/>
    <m/>
    <m/>
    <m/>
    <m/>
    <n v="0"/>
    <m/>
    <m/>
    <m/>
    <m/>
    <m/>
    <m/>
    <n v="0"/>
    <n v="3000"/>
    <n v="31500000"/>
    <m/>
  </r>
  <r>
    <x v="170"/>
    <d v="2019-03-15T00:00:00"/>
    <s v="THANH THÚY"/>
    <x v="88"/>
    <x v="90"/>
    <x v="7"/>
    <x v="4"/>
    <x v="0"/>
    <x v="4"/>
    <x v="4"/>
    <s v="NL2018"/>
    <m/>
    <n v="16"/>
    <n v="2000"/>
    <x v="5"/>
    <n v="21000000"/>
    <x v="2"/>
    <d v="2019-09-01T00:00:00"/>
    <x v="2"/>
    <x v="2"/>
    <s v="TẾT"/>
    <m/>
    <m/>
    <m/>
    <m/>
    <n v="0"/>
    <m/>
    <m/>
    <m/>
    <m/>
    <m/>
    <m/>
    <n v="0"/>
    <n v="2000"/>
    <n v="21000000"/>
    <m/>
  </r>
  <r>
    <x v="171"/>
    <d v="2019-05-29T00:00:00"/>
    <s v="KIỀU THY"/>
    <x v="89"/>
    <x v="91"/>
    <x v="93"/>
    <x v="3"/>
    <x v="0"/>
    <x v="2"/>
    <x v="2"/>
    <s v="NL2018"/>
    <m/>
    <n v="3"/>
    <n v="900"/>
    <x v="77"/>
    <n v="3420000"/>
    <x v="0"/>
    <d v="2019-05-05T00:00:00"/>
    <x v="27"/>
    <x v="27"/>
    <m/>
    <m/>
    <m/>
    <m/>
    <d v="2019-06-15T00:00:00"/>
    <s v="900"/>
    <m/>
    <m/>
    <m/>
    <m/>
    <m/>
    <m/>
    <n v="900"/>
    <n v="0"/>
    <n v="0"/>
    <m/>
  </r>
  <r>
    <x v="171"/>
    <d v="2019-05-29T00:00:00"/>
    <s v="KIỀU THY"/>
    <x v="89"/>
    <x v="91"/>
    <x v="79"/>
    <x v="32"/>
    <x v="0"/>
    <x v="2"/>
    <x v="2"/>
    <s v="NL2018"/>
    <m/>
    <n v="8"/>
    <n v="2400"/>
    <x v="77"/>
    <n v="9120000"/>
    <x v="0"/>
    <d v="2019-05-05T00:00:00"/>
    <x v="27"/>
    <x v="27"/>
    <m/>
    <m/>
    <m/>
    <m/>
    <d v="2019-06-15T00:00:00"/>
    <n v="2400"/>
    <m/>
    <m/>
    <m/>
    <m/>
    <m/>
    <m/>
    <n v="2400"/>
    <n v="0"/>
    <n v="0"/>
    <m/>
  </r>
  <r>
    <x v="171"/>
    <d v="2019-05-29T00:00:00"/>
    <s v="KIỀU THY"/>
    <x v="89"/>
    <x v="91"/>
    <x v="23"/>
    <x v="11"/>
    <x v="0"/>
    <x v="2"/>
    <x v="2"/>
    <s v="NL2018"/>
    <m/>
    <n v="2"/>
    <n v="600"/>
    <x v="10"/>
    <n v="3300000"/>
    <x v="0"/>
    <d v="2019-05-05T00:00:00"/>
    <x v="27"/>
    <x v="27"/>
    <m/>
    <m/>
    <m/>
    <m/>
    <d v="2019-06-15T00:00:00"/>
    <n v="600"/>
    <m/>
    <m/>
    <m/>
    <m/>
    <m/>
    <m/>
    <n v="600"/>
    <n v="0"/>
    <n v="0"/>
    <m/>
  </r>
  <r>
    <x v="172"/>
    <d v="2019-01-05T00:00:00"/>
    <s v="THANH THÚY"/>
    <x v="90"/>
    <x v="92"/>
    <x v="0"/>
    <x v="0"/>
    <x v="0"/>
    <x v="7"/>
    <x v="8"/>
    <s v="NL2018"/>
    <m/>
    <n v="25"/>
    <n v="10000"/>
    <x v="0"/>
    <n v="26000000"/>
    <x v="0"/>
    <d v="2019-01-15T00:00:00"/>
    <x v="6"/>
    <x v="6"/>
    <s v="15/1AL"/>
    <m/>
    <m/>
    <m/>
    <d v="2019-02-19T00:00:00"/>
    <n v="10000"/>
    <m/>
    <m/>
    <m/>
    <m/>
    <m/>
    <m/>
    <n v="10000"/>
    <n v="0"/>
    <n v="0"/>
    <m/>
  </r>
  <r>
    <x v="172"/>
    <d v="2019-01-05T00:00:00"/>
    <s v="THANH THÚY"/>
    <x v="90"/>
    <x v="92"/>
    <x v="54"/>
    <x v="0"/>
    <x v="0"/>
    <x v="3"/>
    <x v="5"/>
    <s v="NL2018"/>
    <m/>
    <n v="25"/>
    <n v="5000"/>
    <x v="8"/>
    <n v="25000000"/>
    <x v="0"/>
    <d v="2019-01-15T00:00:00"/>
    <x v="6"/>
    <x v="6"/>
    <s v="15/1AL"/>
    <m/>
    <m/>
    <m/>
    <d v="2019-02-20T00:00:00"/>
    <n v="5000"/>
    <m/>
    <m/>
    <m/>
    <m/>
    <m/>
    <m/>
    <n v="5000"/>
    <n v="0"/>
    <n v="0"/>
    <d v="2020-02-11T00:00:00"/>
  </r>
  <r>
    <x v="172"/>
    <d v="2019-01-05T00:00:00"/>
    <s v="THANH THÚY"/>
    <x v="90"/>
    <x v="92"/>
    <x v="74"/>
    <x v="0"/>
    <x v="0"/>
    <x v="2"/>
    <x v="6"/>
    <s v="NL2018"/>
    <m/>
    <n v="14"/>
    <n v="4200"/>
    <x v="77"/>
    <n v="15960000"/>
    <x v="0"/>
    <d v="2019-02-15T00:00:00"/>
    <x v="0"/>
    <x v="0"/>
    <s v="15/2AL"/>
    <s v="CONT 10/2019"/>
    <m/>
    <m/>
    <d v="2019-03-19T00:00:00"/>
    <n v="4200"/>
    <m/>
    <m/>
    <m/>
    <m/>
    <m/>
    <m/>
    <n v="4200"/>
    <n v="0"/>
    <n v="0"/>
    <d v="2020-02-11T00:00:00"/>
  </r>
  <r>
    <x v="173"/>
    <d v="2019-06-12T00:00:00"/>
    <s v="THANH THÚY"/>
    <x v="90"/>
    <x v="92"/>
    <x v="74"/>
    <x v="0"/>
    <x v="0"/>
    <x v="2"/>
    <x v="6"/>
    <s v="NL2018"/>
    <m/>
    <n v="17"/>
    <n v="5100"/>
    <x v="45"/>
    <n v="20400000"/>
    <x v="3"/>
    <d v="2019-06-15T00:00:00"/>
    <x v="4"/>
    <x v="4"/>
    <s v="15/6 LẤY"/>
    <m/>
    <m/>
    <m/>
    <m/>
    <m/>
    <m/>
    <m/>
    <m/>
    <m/>
    <m/>
    <m/>
    <n v="0"/>
    <n v="5100"/>
    <n v="20400000"/>
    <m/>
  </r>
  <r>
    <x v="174"/>
    <d v="2019-03-30T00:00:00"/>
    <s v="THANH THÚY"/>
    <x v="91"/>
    <x v="92"/>
    <x v="54"/>
    <x v="0"/>
    <x v="0"/>
    <x v="3"/>
    <x v="3"/>
    <s v="NL2018"/>
    <m/>
    <n v="15"/>
    <n v="3000"/>
    <x v="83"/>
    <n v="19200000"/>
    <x v="2"/>
    <d v="2019-09-01T00:00:00"/>
    <x v="2"/>
    <x v="2"/>
    <m/>
    <m/>
    <m/>
    <m/>
    <m/>
    <n v="0"/>
    <m/>
    <m/>
    <m/>
    <m/>
    <m/>
    <m/>
    <n v="0"/>
    <n v="3000"/>
    <n v="19200000"/>
    <m/>
  </r>
  <r>
    <x v="175"/>
    <d v="2019-03-12T00:00:00"/>
    <s v="THANH THÚY"/>
    <x v="90"/>
    <x v="92"/>
    <x v="30"/>
    <x v="17"/>
    <x v="2"/>
    <x v="1"/>
    <x v="9"/>
    <s v="NL2018"/>
    <m/>
    <n v="234"/>
    <n v="35100"/>
    <x v="13"/>
    <n v="217620000"/>
    <x v="2"/>
    <d v="2019-09-01T00:00:00"/>
    <x v="2"/>
    <x v="2"/>
    <s v="TẾT"/>
    <m/>
    <m/>
    <m/>
    <m/>
    <n v="0"/>
    <m/>
    <m/>
    <m/>
    <m/>
    <m/>
    <m/>
    <n v="0"/>
    <n v="35100"/>
    <n v="217620000"/>
    <m/>
  </r>
  <r>
    <x v="174"/>
    <d v="2019-03-30T00:00:00"/>
    <s v="THANH THÚY"/>
    <x v="91"/>
    <x v="92"/>
    <x v="139"/>
    <x v="74"/>
    <x v="5"/>
    <x v="16"/>
    <x v="23"/>
    <s v="NL2018"/>
    <m/>
    <n v="9"/>
    <n v="4500"/>
    <x v="3"/>
    <n v="15750000"/>
    <x v="2"/>
    <d v="2019-09-01T00:00:00"/>
    <x v="2"/>
    <x v="2"/>
    <m/>
    <m/>
    <m/>
    <m/>
    <m/>
    <n v="0"/>
    <m/>
    <m/>
    <m/>
    <m/>
    <m/>
    <m/>
    <n v="0"/>
    <n v="4500"/>
    <n v="15750000"/>
    <m/>
  </r>
  <r>
    <x v="174"/>
    <d v="2019-03-30T00:00:00"/>
    <s v="THANH THÚY"/>
    <x v="91"/>
    <x v="92"/>
    <x v="139"/>
    <x v="75"/>
    <x v="5"/>
    <x v="16"/>
    <x v="23"/>
    <s v="NL2018"/>
    <m/>
    <n v="9"/>
    <n v="4500"/>
    <x v="3"/>
    <n v="15750000"/>
    <x v="2"/>
    <d v="2019-09-01T00:00:00"/>
    <x v="2"/>
    <x v="2"/>
    <m/>
    <m/>
    <m/>
    <m/>
    <m/>
    <n v="0"/>
    <m/>
    <m/>
    <m/>
    <m/>
    <m/>
    <m/>
    <n v="0"/>
    <n v="4500"/>
    <n v="15750000"/>
    <m/>
  </r>
  <r>
    <x v="172"/>
    <d v="2019-01-05T00:00:00"/>
    <s v="THANH THÚY"/>
    <x v="90"/>
    <x v="92"/>
    <x v="32"/>
    <x v="18"/>
    <x v="0"/>
    <x v="2"/>
    <x v="6"/>
    <s v="NL2018"/>
    <m/>
    <n v="50"/>
    <n v="15000"/>
    <x v="37"/>
    <n v="61500000"/>
    <x v="0"/>
    <d v="2019-03-15T00:00:00"/>
    <x v="5"/>
    <x v="5"/>
    <s v="15/3AL"/>
    <s v="CONT 24/2019"/>
    <m/>
    <m/>
    <d v="2019-04-22T00:00:00"/>
    <n v="15000"/>
    <m/>
    <m/>
    <m/>
    <m/>
    <m/>
    <m/>
    <n v="15000"/>
    <n v="0"/>
    <n v="0"/>
    <m/>
  </r>
  <r>
    <x v="172"/>
    <d v="2019-01-05T00:00:00"/>
    <s v="THANH THÚY"/>
    <x v="90"/>
    <x v="92"/>
    <x v="31"/>
    <x v="18"/>
    <x v="0"/>
    <x v="7"/>
    <x v="8"/>
    <s v="NL2018"/>
    <m/>
    <n v="15"/>
    <n v="6000"/>
    <x v="36"/>
    <n v="16800000"/>
    <x v="0"/>
    <s v="29-Feb-19"/>
    <x v="10"/>
    <x v="10"/>
    <s v="28/2AL"/>
    <s v="CONT 15/2019"/>
    <m/>
    <m/>
    <d v="2019-04-05T00:00:00"/>
    <n v="6000"/>
    <m/>
    <m/>
    <m/>
    <m/>
    <m/>
    <m/>
    <n v="6000"/>
    <n v="0"/>
    <n v="0"/>
    <m/>
  </r>
  <r>
    <x v="173"/>
    <d v="2019-03-12T00:00:00"/>
    <s v="THANH THÚY"/>
    <x v="90"/>
    <x v="92"/>
    <x v="32"/>
    <x v="18"/>
    <x v="0"/>
    <x v="2"/>
    <x v="6"/>
    <s v="NL2018"/>
    <m/>
    <n v="34"/>
    <n v="10200"/>
    <x v="39"/>
    <n v="42840000"/>
    <x v="0"/>
    <d v="2019-04-17T00:00:00"/>
    <x v="1"/>
    <x v="1"/>
    <s v="30/3AL"/>
    <m/>
    <m/>
    <m/>
    <d v="2019-05-24T00:00:00"/>
    <n v="5100"/>
    <d v="2019-06-04T00:00:00"/>
    <n v="5100"/>
    <m/>
    <m/>
    <m/>
    <m/>
    <n v="10200"/>
    <n v="0"/>
    <n v="0"/>
    <m/>
  </r>
  <r>
    <x v="172"/>
    <d v="2019-01-05T00:00:00"/>
    <s v="THANH THÚY"/>
    <x v="90"/>
    <x v="92"/>
    <x v="10"/>
    <x v="1"/>
    <x v="0"/>
    <x v="3"/>
    <x v="5"/>
    <s v="NL2018"/>
    <m/>
    <n v="100"/>
    <n v="20000"/>
    <x v="96"/>
    <n v="130000000"/>
    <x v="0"/>
    <d v="2019-01-15T00:00:00"/>
    <x v="6"/>
    <x v="6"/>
    <s v="15/1AL"/>
    <m/>
    <m/>
    <m/>
    <d v="2019-02-19T00:00:00"/>
    <n v="20000"/>
    <m/>
    <m/>
    <m/>
    <m/>
    <m/>
    <m/>
    <n v="20000"/>
    <n v="0"/>
    <n v="0"/>
    <m/>
  </r>
  <r>
    <x v="173"/>
    <d v="2019-05-18T00:00:00"/>
    <s v="THANH THÚY"/>
    <x v="90"/>
    <x v="92"/>
    <x v="34"/>
    <x v="1"/>
    <x v="0"/>
    <x v="2"/>
    <x v="6"/>
    <s v="NL2018"/>
    <m/>
    <n v="17"/>
    <n v="5100"/>
    <x v="42"/>
    <n v="24480000"/>
    <x v="0"/>
    <d v="2019-04-17T00:00:00"/>
    <x v="1"/>
    <x v="1"/>
    <m/>
    <m/>
    <m/>
    <m/>
    <d v="2019-05-18T00:00:00"/>
    <n v="5100"/>
    <m/>
    <m/>
    <m/>
    <m/>
    <m/>
    <m/>
    <n v="5100"/>
    <n v="0"/>
    <n v="0"/>
    <m/>
  </r>
  <r>
    <x v="175"/>
    <d v="2019-03-12T00:00:00"/>
    <s v="THANH THÚY"/>
    <x v="90"/>
    <x v="92"/>
    <x v="1"/>
    <x v="1"/>
    <x v="0"/>
    <x v="1"/>
    <x v="9"/>
    <s v="NL2018"/>
    <m/>
    <n v="34"/>
    <n v="5100"/>
    <x v="168"/>
    <n v="47940000"/>
    <x v="2"/>
    <d v="2019-09-01T00:00:00"/>
    <x v="2"/>
    <x v="2"/>
    <s v="TẾT"/>
    <m/>
    <m/>
    <m/>
    <m/>
    <n v="0"/>
    <m/>
    <m/>
    <m/>
    <m/>
    <m/>
    <m/>
    <n v="0"/>
    <n v="5100"/>
    <n v="47940000"/>
    <m/>
  </r>
  <r>
    <x v="174"/>
    <d v="2019-03-30T00:00:00"/>
    <s v="THANH THÚY"/>
    <x v="91"/>
    <x v="92"/>
    <x v="140"/>
    <x v="76"/>
    <x v="5"/>
    <x v="17"/>
    <x v="23"/>
    <s v="NL2018"/>
    <m/>
    <n v="10"/>
    <n v="5000"/>
    <x v="106"/>
    <n v="18000000"/>
    <x v="2"/>
    <d v="2019-09-01T00:00:00"/>
    <x v="2"/>
    <x v="2"/>
    <m/>
    <m/>
    <m/>
    <m/>
    <m/>
    <n v="0"/>
    <m/>
    <m/>
    <m/>
    <m/>
    <m/>
    <m/>
    <n v="0"/>
    <n v="5000"/>
    <n v="18000000"/>
    <m/>
  </r>
  <r>
    <x v="174"/>
    <d v="2019-03-30T00:00:00"/>
    <s v="THANH THÚY"/>
    <x v="91"/>
    <x v="92"/>
    <x v="141"/>
    <x v="77"/>
    <x v="5"/>
    <x v="16"/>
    <x v="23"/>
    <s v="NL2018"/>
    <m/>
    <n v="16.8"/>
    <n v="8400"/>
    <x v="3"/>
    <n v="29400000"/>
    <x v="2"/>
    <d v="2019-09-01T00:00:00"/>
    <x v="2"/>
    <x v="2"/>
    <m/>
    <m/>
    <m/>
    <m/>
    <m/>
    <n v="0"/>
    <m/>
    <m/>
    <m/>
    <m/>
    <m/>
    <m/>
    <n v="0"/>
    <n v="8400"/>
    <n v="29400000"/>
    <m/>
  </r>
  <r>
    <x v="174"/>
    <d v="2019-03-30T00:00:00"/>
    <s v="THANH THÚY"/>
    <x v="91"/>
    <x v="92"/>
    <x v="142"/>
    <x v="78"/>
    <x v="5"/>
    <x v="16"/>
    <x v="23"/>
    <s v="NL2018"/>
    <m/>
    <n v="12"/>
    <n v="6000"/>
    <x v="3"/>
    <n v="21000000"/>
    <x v="2"/>
    <d v="2019-09-01T00:00:00"/>
    <x v="2"/>
    <x v="2"/>
    <m/>
    <m/>
    <m/>
    <m/>
    <m/>
    <n v="0"/>
    <m/>
    <m/>
    <m/>
    <m/>
    <m/>
    <m/>
    <n v="0"/>
    <n v="6000"/>
    <n v="21000000"/>
    <m/>
  </r>
  <r>
    <x v="174"/>
    <d v="2019-03-30T00:00:00"/>
    <s v="THANH THÚY"/>
    <x v="91"/>
    <x v="92"/>
    <x v="142"/>
    <x v="78"/>
    <x v="5"/>
    <x v="16"/>
    <x v="23"/>
    <s v="NL2018"/>
    <m/>
    <n v="12"/>
    <n v="6000"/>
    <x v="3"/>
    <n v="21000000"/>
    <x v="2"/>
    <d v="2019-09-01T00:00:00"/>
    <x v="2"/>
    <x v="2"/>
    <m/>
    <m/>
    <m/>
    <m/>
    <m/>
    <n v="0"/>
    <m/>
    <m/>
    <m/>
    <m/>
    <m/>
    <m/>
    <n v="0"/>
    <n v="6000"/>
    <n v="21000000"/>
    <m/>
  </r>
  <r>
    <x v="174"/>
    <d v="2019-03-30T00:00:00"/>
    <s v="THANH THÚY"/>
    <x v="91"/>
    <x v="92"/>
    <x v="143"/>
    <x v="78"/>
    <x v="5"/>
    <x v="7"/>
    <x v="0"/>
    <s v="NL2018"/>
    <m/>
    <n v="10"/>
    <n v="4000"/>
    <x v="71"/>
    <n v="20800000"/>
    <x v="2"/>
    <d v="2019-09-01T00:00:00"/>
    <x v="2"/>
    <x v="2"/>
    <m/>
    <m/>
    <m/>
    <m/>
    <m/>
    <n v="0"/>
    <m/>
    <m/>
    <m/>
    <m/>
    <m/>
    <m/>
    <n v="0"/>
    <n v="4000"/>
    <n v="20800000"/>
    <m/>
  </r>
  <r>
    <x v="173"/>
    <d v="2019-03-12T00:00:00"/>
    <s v="THANH THÚY"/>
    <x v="90"/>
    <x v="92"/>
    <x v="2"/>
    <x v="2"/>
    <x v="0"/>
    <x v="2"/>
    <x v="6"/>
    <s v="NL2018"/>
    <m/>
    <n v="17"/>
    <n v="5100"/>
    <x v="106"/>
    <n v="18360000"/>
    <x v="0"/>
    <d v="2019-04-17T00:00:00"/>
    <x v="1"/>
    <x v="1"/>
    <s v="17/4AL"/>
    <m/>
    <m/>
    <m/>
    <d v="2019-05-24T00:00:00"/>
    <n v="5100"/>
    <m/>
    <m/>
    <m/>
    <m/>
    <m/>
    <m/>
    <n v="5100"/>
    <n v="0"/>
    <n v="0"/>
    <m/>
  </r>
  <r>
    <x v="173"/>
    <d v="2019-03-12T00:00:00"/>
    <s v="THANH THÚY"/>
    <x v="90"/>
    <x v="92"/>
    <x v="2"/>
    <x v="2"/>
    <x v="0"/>
    <x v="2"/>
    <x v="6"/>
    <s v="NL2018"/>
    <m/>
    <n v="0"/>
    <n v="0"/>
    <x v="106"/>
    <n v="0"/>
    <x v="1"/>
    <d v="2019-05-02T00:00:00"/>
    <x v="9"/>
    <x v="9"/>
    <s v="02/5AL"/>
    <m/>
    <m/>
    <m/>
    <m/>
    <n v="0"/>
    <m/>
    <m/>
    <m/>
    <m/>
    <m/>
    <m/>
    <n v="0"/>
    <n v="0"/>
    <n v="0"/>
    <m/>
  </r>
  <r>
    <x v="173"/>
    <d v="2019-03-12T00:00:00"/>
    <s v="THANH THÚY"/>
    <x v="90"/>
    <x v="92"/>
    <x v="2"/>
    <x v="2"/>
    <x v="0"/>
    <x v="2"/>
    <x v="6"/>
    <s v="NL2018"/>
    <m/>
    <n v="0"/>
    <n v="0"/>
    <x v="3"/>
    <n v="0"/>
    <x v="1"/>
    <m/>
    <x v="35"/>
    <x v="35"/>
    <s v="T4 onwards"/>
    <m/>
    <m/>
    <m/>
    <m/>
    <n v="0"/>
    <m/>
    <m/>
    <m/>
    <m/>
    <m/>
    <m/>
    <n v="0"/>
    <n v="0"/>
    <n v="0"/>
    <m/>
  </r>
  <r>
    <x v="175"/>
    <d v="2019-03-12T00:00:00"/>
    <s v="THANH THÚY"/>
    <x v="90"/>
    <x v="92"/>
    <x v="71"/>
    <x v="2"/>
    <x v="0"/>
    <x v="4"/>
    <x v="14"/>
    <s v="NL2018"/>
    <m/>
    <n v="40"/>
    <n v="5000"/>
    <x v="2"/>
    <n v="46500000"/>
    <x v="2"/>
    <d v="2019-09-01T00:00:00"/>
    <x v="2"/>
    <x v="2"/>
    <s v="TẾT"/>
    <m/>
    <m/>
    <m/>
    <m/>
    <n v="0"/>
    <m/>
    <m/>
    <m/>
    <m/>
    <m/>
    <m/>
    <n v="0"/>
    <n v="5000"/>
    <n v="46500000"/>
    <m/>
  </r>
  <r>
    <x v="174"/>
    <d v="2019-03-30T00:00:00"/>
    <s v="THANH THÚY"/>
    <x v="91"/>
    <x v="92"/>
    <x v="99"/>
    <x v="2"/>
    <x v="0"/>
    <x v="1"/>
    <x v="1"/>
    <s v="NL2018"/>
    <m/>
    <n v="15"/>
    <n v="2250"/>
    <x v="166"/>
    <n v="17550000"/>
    <x v="2"/>
    <d v="2019-09-01T00:00:00"/>
    <x v="2"/>
    <x v="2"/>
    <m/>
    <m/>
    <m/>
    <m/>
    <m/>
    <n v="0"/>
    <m/>
    <m/>
    <m/>
    <m/>
    <m/>
    <m/>
    <n v="0"/>
    <n v="2250"/>
    <n v="17550000"/>
    <m/>
  </r>
  <r>
    <x v="174"/>
    <d v="2019-03-30T00:00:00"/>
    <s v="THANH THÚY"/>
    <x v="91"/>
    <x v="92"/>
    <x v="144"/>
    <x v="12"/>
    <x v="0"/>
    <x v="1"/>
    <x v="1"/>
    <s v="NL2018"/>
    <m/>
    <n v="20"/>
    <n v="3000"/>
    <x v="88"/>
    <n v="22800000"/>
    <x v="2"/>
    <d v="2019-09-01T00:00:00"/>
    <x v="2"/>
    <x v="2"/>
    <m/>
    <m/>
    <m/>
    <m/>
    <m/>
    <n v="0"/>
    <m/>
    <m/>
    <m/>
    <m/>
    <m/>
    <m/>
    <n v="0"/>
    <n v="3000"/>
    <n v="22800000"/>
    <m/>
  </r>
  <r>
    <x v="172"/>
    <d v="2019-01-05T00:00:00"/>
    <s v="THANH THÚY"/>
    <x v="90"/>
    <x v="92"/>
    <x v="5"/>
    <x v="3"/>
    <x v="0"/>
    <x v="1"/>
    <x v="9"/>
    <s v="NL2018"/>
    <m/>
    <n v="34"/>
    <n v="5100"/>
    <x v="73"/>
    <n v="32130000"/>
    <x v="0"/>
    <d v="2019-02-15T00:00:00"/>
    <x v="0"/>
    <x v="0"/>
    <s v="15/2AL"/>
    <s v="CONT 11/2019"/>
    <m/>
    <m/>
    <d v="2019-03-19T00:00:00"/>
    <n v="5100"/>
    <m/>
    <m/>
    <m/>
    <m/>
    <m/>
    <m/>
    <n v="5100"/>
    <n v="0"/>
    <n v="0"/>
    <d v="2020-02-11T00:00:00"/>
  </r>
  <r>
    <x v="172"/>
    <d v="2019-01-05T00:00:00"/>
    <s v="THANH THÚY"/>
    <x v="90"/>
    <x v="92"/>
    <x v="39"/>
    <x v="22"/>
    <x v="0"/>
    <x v="7"/>
    <x v="8"/>
    <s v="NL2018"/>
    <m/>
    <n v="43"/>
    <n v="17200"/>
    <x v="36"/>
    <n v="48160000"/>
    <x v="0"/>
    <d v="2019-01-15T00:00:00"/>
    <x v="6"/>
    <x v="6"/>
    <s v="15/1AL"/>
    <m/>
    <m/>
    <m/>
    <d v="2019-02-19T00:00:00"/>
    <n v="17200"/>
    <m/>
    <m/>
    <m/>
    <m/>
    <m/>
    <m/>
    <n v="17200"/>
    <n v="0"/>
    <n v="0"/>
    <d v="2020-02-11T00:00:00"/>
  </r>
  <r>
    <x v="172"/>
    <d v="2019-01-05T00:00:00"/>
    <s v="THANH THÚY"/>
    <x v="90"/>
    <x v="92"/>
    <x v="39"/>
    <x v="22"/>
    <x v="0"/>
    <x v="7"/>
    <x v="8"/>
    <s v="NL2018"/>
    <m/>
    <n v="13"/>
    <n v="5200"/>
    <x v="36"/>
    <n v="14560000"/>
    <x v="0"/>
    <d v="2019-02-15T00:00:00"/>
    <x v="0"/>
    <x v="0"/>
    <s v="15/2AL"/>
    <s v="CONT 9/2019"/>
    <m/>
    <m/>
    <d v="2019-03-19T00:00:00"/>
    <n v="5200"/>
    <m/>
    <m/>
    <m/>
    <m/>
    <m/>
    <m/>
    <n v="5200"/>
    <n v="0"/>
    <n v="0"/>
    <d v="2020-02-11T00:00:00"/>
  </r>
  <r>
    <x v="172"/>
    <d v="2019-01-05T00:00:00"/>
    <s v="THANH THÚY"/>
    <x v="90"/>
    <x v="92"/>
    <x v="39"/>
    <x v="22"/>
    <x v="0"/>
    <x v="7"/>
    <x v="8"/>
    <s v="NL2018"/>
    <m/>
    <n v="25"/>
    <n v="10000"/>
    <x v="36"/>
    <n v="28000000"/>
    <x v="0"/>
    <d v="2019-03-15T00:00:00"/>
    <x v="5"/>
    <x v="5"/>
    <s v="15/3AL"/>
    <s v="CONT 20/2019"/>
    <m/>
    <m/>
    <d v="2019-05-06T00:00:00"/>
    <n v="5200"/>
    <d v="2019-05-20T00:00:00"/>
    <n v="4800"/>
    <m/>
    <m/>
    <m/>
    <m/>
    <n v="10000"/>
    <n v="0"/>
    <n v="0"/>
    <m/>
  </r>
  <r>
    <x v="172"/>
    <d v="2019-01-05T00:00:00"/>
    <s v="THANH THÚY"/>
    <x v="90"/>
    <x v="92"/>
    <x v="39"/>
    <x v="22"/>
    <x v="0"/>
    <x v="7"/>
    <x v="8"/>
    <s v="NL2018"/>
    <m/>
    <n v="25"/>
    <n v="10000"/>
    <x v="36"/>
    <n v="28000000"/>
    <x v="0"/>
    <s v="29-Feb-19"/>
    <x v="10"/>
    <x v="10"/>
    <s v="28/2AL"/>
    <s v="CONT 14/2019"/>
    <m/>
    <m/>
    <d v="2019-04-05T00:00:00"/>
    <n v="3200"/>
    <d v="2019-04-09T00:00:00"/>
    <n v="6800"/>
    <m/>
    <m/>
    <m/>
    <m/>
    <n v="10000"/>
    <n v="0"/>
    <n v="0"/>
    <m/>
  </r>
  <r>
    <x v="173"/>
    <d v="2019-03-12T00:00:00"/>
    <s v="THANH THÚY"/>
    <x v="90"/>
    <x v="92"/>
    <x v="39"/>
    <x v="22"/>
    <x v="0"/>
    <x v="7"/>
    <x v="8"/>
    <s v="NL2018"/>
    <m/>
    <n v="23"/>
    <n v="9200"/>
    <x v="38"/>
    <n v="26680000"/>
    <x v="0"/>
    <d v="2019-04-17T00:00:00"/>
    <x v="1"/>
    <x v="1"/>
    <s v="30/3AL"/>
    <m/>
    <m/>
    <m/>
    <d v="2019-06-04T00:00:00"/>
    <n v="5200"/>
    <d v="2019-06-18T00:00:00"/>
    <n v="4000"/>
    <m/>
    <m/>
    <m/>
    <m/>
    <n v="9200"/>
    <n v="0"/>
    <n v="0"/>
    <m/>
  </r>
  <r>
    <x v="173"/>
    <d v="2019-06-12T00:00:00"/>
    <s v="THANH THÚY"/>
    <x v="90"/>
    <x v="92"/>
    <x v="39"/>
    <x v="22"/>
    <x v="0"/>
    <x v="7"/>
    <x v="8"/>
    <s v="NL2018"/>
    <m/>
    <n v="13"/>
    <n v="5200"/>
    <x v="44"/>
    <n v="15600000"/>
    <x v="3"/>
    <d v="2019-06-15T00:00:00"/>
    <x v="4"/>
    <x v="4"/>
    <s v="15/6 LẤY"/>
    <m/>
    <m/>
    <m/>
    <m/>
    <m/>
    <m/>
    <m/>
    <m/>
    <m/>
    <m/>
    <m/>
    <n v="0"/>
    <n v="5200"/>
    <n v="15600000"/>
    <m/>
  </r>
  <r>
    <x v="173"/>
    <d v="2019-06-12T00:00:00"/>
    <s v="THANH THÚY"/>
    <x v="90"/>
    <x v="92"/>
    <x v="40"/>
    <x v="22"/>
    <x v="0"/>
    <x v="2"/>
    <x v="6"/>
    <s v="NL2018"/>
    <m/>
    <n v="3"/>
    <n v="900"/>
    <x v="49"/>
    <n v="3960000"/>
    <x v="0"/>
    <d v="2019-04-17T00:00:00"/>
    <x v="1"/>
    <x v="1"/>
    <m/>
    <m/>
    <m/>
    <m/>
    <d v="2019-06-18T00:00:00"/>
    <n v="900"/>
    <m/>
    <m/>
    <m/>
    <m/>
    <m/>
    <m/>
    <n v="900"/>
    <n v="0"/>
    <n v="0"/>
    <m/>
  </r>
  <r>
    <x v="173"/>
    <d v="2019-03-12T00:00:00"/>
    <s v="THANH THÚY"/>
    <x v="90"/>
    <x v="92"/>
    <x v="39"/>
    <x v="22"/>
    <x v="0"/>
    <x v="7"/>
    <x v="8"/>
    <s v="NL2018"/>
    <m/>
    <n v="0"/>
    <n v="0"/>
    <x v="38"/>
    <n v="0"/>
    <x v="1"/>
    <d v="2019-04-29T00:00:00"/>
    <x v="11"/>
    <x v="11"/>
    <s v="29/4AL"/>
    <m/>
    <m/>
    <m/>
    <m/>
    <n v="0"/>
    <m/>
    <m/>
    <m/>
    <m/>
    <m/>
    <m/>
    <n v="0"/>
    <n v="0"/>
    <n v="0"/>
    <m/>
  </r>
  <r>
    <x v="174"/>
    <d v="2019-03-30T00:00:00"/>
    <s v="THANH THÚY"/>
    <x v="91"/>
    <x v="92"/>
    <x v="41"/>
    <x v="22"/>
    <x v="0"/>
    <x v="3"/>
    <x v="3"/>
    <s v="NL2018"/>
    <m/>
    <n v="10"/>
    <n v="2000"/>
    <x v="41"/>
    <n v="12200000"/>
    <x v="2"/>
    <d v="2019-09-01T00:00:00"/>
    <x v="2"/>
    <x v="2"/>
    <m/>
    <m/>
    <m/>
    <m/>
    <m/>
    <n v="0"/>
    <m/>
    <m/>
    <m/>
    <m/>
    <m/>
    <m/>
    <n v="0"/>
    <n v="2000"/>
    <n v="12200000"/>
    <m/>
  </r>
  <r>
    <x v="174"/>
    <d v="2019-03-30T00:00:00"/>
    <s v="THANH THÚY"/>
    <x v="91"/>
    <x v="92"/>
    <x v="145"/>
    <x v="56"/>
    <x v="0"/>
    <x v="1"/>
    <x v="1"/>
    <s v="NL2018"/>
    <m/>
    <n v="10"/>
    <n v="1500"/>
    <x v="46"/>
    <n v="12750000"/>
    <x v="2"/>
    <d v="2019-09-01T00:00:00"/>
    <x v="2"/>
    <x v="2"/>
    <m/>
    <m/>
    <m/>
    <m/>
    <m/>
    <n v="0"/>
    <m/>
    <m/>
    <m/>
    <m/>
    <m/>
    <m/>
    <n v="0"/>
    <n v="1500"/>
    <n v="12750000"/>
    <m/>
  </r>
  <r>
    <x v="172"/>
    <d v="2019-01-05T00:00:00"/>
    <s v="THANH THÚY"/>
    <x v="90"/>
    <x v="92"/>
    <x v="42"/>
    <x v="23"/>
    <x v="0"/>
    <x v="7"/>
    <x v="8"/>
    <s v="NL2018"/>
    <m/>
    <n v="43"/>
    <n v="17200"/>
    <x v="44"/>
    <n v="51600000"/>
    <x v="0"/>
    <d v="2019-01-15T00:00:00"/>
    <x v="6"/>
    <x v="6"/>
    <s v="15/1AL"/>
    <m/>
    <m/>
    <m/>
    <d v="2019-02-19T00:00:00"/>
    <n v="17200"/>
    <m/>
    <m/>
    <m/>
    <m/>
    <m/>
    <m/>
    <n v="17200"/>
    <n v="0"/>
    <n v="0"/>
    <m/>
  </r>
  <r>
    <x v="173"/>
    <d v="2019-03-12T00:00:00"/>
    <s v="THANH THÚY"/>
    <x v="90"/>
    <x v="92"/>
    <x v="58"/>
    <x v="33"/>
    <x v="0"/>
    <x v="2"/>
    <x v="6"/>
    <s v="NL2018"/>
    <m/>
    <n v="38"/>
    <n v="11400"/>
    <x v="77"/>
    <n v="43320000"/>
    <x v="0"/>
    <d v="2019-04-17T00:00:00"/>
    <x v="1"/>
    <x v="1"/>
    <s v="30/3AL"/>
    <m/>
    <m/>
    <m/>
    <d v="2019-05-20T00:00:00"/>
    <n v="5100"/>
    <d v="2019-06-04T00:00:00"/>
    <n v="6300"/>
    <m/>
    <m/>
    <m/>
    <m/>
    <n v="11400"/>
    <n v="0"/>
    <n v="0"/>
    <m/>
  </r>
  <r>
    <x v="174"/>
    <d v="2019-03-30T00:00:00"/>
    <s v="THANH THÚY"/>
    <x v="91"/>
    <x v="92"/>
    <x v="146"/>
    <x v="79"/>
    <x v="0"/>
    <x v="1"/>
    <x v="1"/>
    <s v="NL2018"/>
    <m/>
    <n v="10"/>
    <n v="1500"/>
    <x v="96"/>
    <n v="9750000"/>
    <x v="2"/>
    <d v="2019-09-01T00:00:00"/>
    <x v="2"/>
    <x v="2"/>
    <m/>
    <m/>
    <m/>
    <m/>
    <m/>
    <n v="0"/>
    <m/>
    <m/>
    <m/>
    <m/>
    <m/>
    <m/>
    <n v="0"/>
    <n v="1500"/>
    <n v="9750000"/>
    <m/>
  </r>
  <r>
    <x v="172"/>
    <d v="2019-01-05T00:00:00"/>
    <s v="THANH THÚY"/>
    <x v="90"/>
    <x v="92"/>
    <x v="43"/>
    <x v="24"/>
    <x v="0"/>
    <x v="3"/>
    <x v="5"/>
    <s v="NL2018"/>
    <m/>
    <n v="35"/>
    <n v="7000"/>
    <x v="50"/>
    <n v="42000000"/>
    <x v="0"/>
    <s v="29-Feb-19"/>
    <x v="10"/>
    <x v="10"/>
    <s v="28/2AL"/>
    <s v="CONT 17/2019"/>
    <m/>
    <m/>
    <d v="2019-04-09T00:00:00"/>
    <n v="7000"/>
    <m/>
    <m/>
    <m/>
    <m/>
    <m/>
    <m/>
    <n v="7000"/>
    <n v="0"/>
    <n v="0"/>
    <m/>
  </r>
  <r>
    <x v="175"/>
    <d v="2019-03-12T00:00:00"/>
    <s v="THANH THÚY"/>
    <x v="90"/>
    <x v="92"/>
    <x v="147"/>
    <x v="24"/>
    <x v="0"/>
    <x v="1"/>
    <x v="9"/>
    <s v="NL2018"/>
    <m/>
    <n v="34"/>
    <n v="5100"/>
    <x v="150"/>
    <n v="48450000"/>
    <x v="2"/>
    <d v="2019-09-01T00:00:00"/>
    <x v="2"/>
    <x v="2"/>
    <s v="TẾT"/>
    <m/>
    <m/>
    <m/>
    <m/>
    <n v="0"/>
    <m/>
    <m/>
    <m/>
    <m/>
    <m/>
    <m/>
    <n v="0"/>
    <n v="5100"/>
    <n v="48450000"/>
    <m/>
  </r>
  <r>
    <x v="172"/>
    <d v="2019-01-05T00:00:00"/>
    <s v="THANH THÚY"/>
    <x v="90"/>
    <x v="92"/>
    <x v="88"/>
    <x v="13"/>
    <x v="0"/>
    <x v="5"/>
    <x v="6"/>
    <s v="NL2018"/>
    <m/>
    <n v="16"/>
    <n v="4800"/>
    <x v="57"/>
    <n v="18720000"/>
    <x v="0"/>
    <d v="2019-02-15T00:00:00"/>
    <x v="0"/>
    <x v="0"/>
    <s v="15/2AL"/>
    <s v="CONT 10/2019"/>
    <m/>
    <m/>
    <d v="2019-03-19T00:00:00"/>
    <n v="4800"/>
    <m/>
    <m/>
    <m/>
    <m/>
    <m/>
    <m/>
    <n v="4800"/>
    <n v="0"/>
    <n v="0"/>
    <d v="2020-02-11T00:00:00"/>
  </r>
  <r>
    <x v="174"/>
    <d v="2019-03-30T00:00:00"/>
    <s v="THANH THÚY"/>
    <x v="91"/>
    <x v="92"/>
    <x v="70"/>
    <x v="13"/>
    <x v="0"/>
    <x v="1"/>
    <x v="1"/>
    <s v="NL2018"/>
    <m/>
    <n v="35"/>
    <n v="5250"/>
    <x v="149"/>
    <n v="44100000"/>
    <x v="2"/>
    <d v="2019-09-01T00:00:00"/>
    <x v="2"/>
    <x v="2"/>
    <m/>
    <m/>
    <m/>
    <m/>
    <m/>
    <n v="0"/>
    <m/>
    <m/>
    <m/>
    <m/>
    <m/>
    <m/>
    <n v="0"/>
    <n v="5250"/>
    <n v="44100000"/>
    <m/>
  </r>
  <r>
    <x v="174"/>
    <d v="2019-03-30T00:00:00"/>
    <s v="THANH THÚY"/>
    <x v="91"/>
    <x v="92"/>
    <x v="148"/>
    <x v="80"/>
    <x v="5"/>
    <x v="16"/>
    <x v="23"/>
    <s v="NL2018"/>
    <m/>
    <n v="48"/>
    <n v="24000"/>
    <x v="3"/>
    <n v="84000000"/>
    <x v="2"/>
    <d v="2019-09-01T00:00:00"/>
    <x v="2"/>
    <x v="2"/>
    <m/>
    <m/>
    <m/>
    <m/>
    <m/>
    <n v="0"/>
    <m/>
    <m/>
    <m/>
    <m/>
    <m/>
    <m/>
    <n v="0"/>
    <n v="24000"/>
    <n v="84000000"/>
    <m/>
  </r>
  <r>
    <x v="175"/>
    <d v="2019-03-12T00:00:00"/>
    <s v="THANH THÚY"/>
    <x v="90"/>
    <x v="92"/>
    <x v="130"/>
    <x v="54"/>
    <x v="0"/>
    <x v="1"/>
    <x v="9"/>
    <s v="NL2018"/>
    <m/>
    <n v="0"/>
    <n v="0"/>
    <x v="158"/>
    <n v="0"/>
    <x v="1"/>
    <d v="2019-09-01T00:00:00"/>
    <x v="2"/>
    <x v="2"/>
    <s v="TẾT"/>
    <m/>
    <m/>
    <m/>
    <m/>
    <n v="0"/>
    <m/>
    <m/>
    <m/>
    <m/>
    <m/>
    <m/>
    <n v="0"/>
    <n v="0"/>
    <n v="0"/>
    <m/>
  </r>
  <r>
    <x v="174"/>
    <d v="2019-03-30T00:00:00"/>
    <s v="THANH THÚY"/>
    <x v="91"/>
    <x v="92"/>
    <x v="130"/>
    <x v="54"/>
    <x v="0"/>
    <x v="1"/>
    <x v="1"/>
    <s v="NL2018"/>
    <m/>
    <n v="30"/>
    <n v="4500"/>
    <x v="158"/>
    <n v="41400000"/>
    <x v="2"/>
    <d v="2019-09-01T00:00:00"/>
    <x v="2"/>
    <x v="2"/>
    <m/>
    <m/>
    <m/>
    <m/>
    <m/>
    <n v="0"/>
    <m/>
    <m/>
    <m/>
    <m/>
    <m/>
    <m/>
    <n v="0"/>
    <n v="4500"/>
    <n v="41400000"/>
    <m/>
  </r>
  <r>
    <x v="174"/>
    <d v="2019-03-30T00:00:00"/>
    <s v="THANH THÚY"/>
    <x v="91"/>
    <x v="92"/>
    <x v="89"/>
    <x v="44"/>
    <x v="0"/>
    <x v="3"/>
    <x v="3"/>
    <s v="NL2018"/>
    <m/>
    <n v="15"/>
    <n v="3000"/>
    <x v="60"/>
    <n v="20400000"/>
    <x v="2"/>
    <d v="2019-09-01T00:00:00"/>
    <x v="2"/>
    <x v="2"/>
    <m/>
    <m/>
    <m/>
    <m/>
    <m/>
    <n v="0"/>
    <m/>
    <m/>
    <m/>
    <m/>
    <m/>
    <m/>
    <n v="0"/>
    <n v="3000"/>
    <n v="20400000"/>
    <m/>
  </r>
  <r>
    <x v="174"/>
    <d v="2019-03-30T00:00:00"/>
    <s v="THANH THÚY"/>
    <x v="91"/>
    <x v="92"/>
    <x v="149"/>
    <x v="81"/>
    <x v="5"/>
    <x v="17"/>
    <x v="0"/>
    <s v="NL2018"/>
    <m/>
    <n v="21"/>
    <n v="8400"/>
    <x v="106"/>
    <n v="30240000"/>
    <x v="2"/>
    <d v="2019-09-01T00:00:00"/>
    <x v="2"/>
    <x v="2"/>
    <m/>
    <m/>
    <m/>
    <m/>
    <m/>
    <n v="0"/>
    <m/>
    <m/>
    <m/>
    <m/>
    <m/>
    <m/>
    <n v="0"/>
    <n v="8400"/>
    <n v="30240000"/>
    <m/>
  </r>
  <r>
    <x v="174"/>
    <d v="2019-03-30T00:00:00"/>
    <s v="THANH THÚY"/>
    <x v="91"/>
    <x v="92"/>
    <x v="150"/>
    <x v="82"/>
    <x v="5"/>
    <x v="16"/>
    <x v="23"/>
    <s v="NL2018"/>
    <m/>
    <n v="54"/>
    <n v="27000"/>
    <x v="3"/>
    <n v="94500000"/>
    <x v="2"/>
    <d v="2019-09-01T00:00:00"/>
    <x v="2"/>
    <x v="2"/>
    <m/>
    <m/>
    <m/>
    <m/>
    <m/>
    <n v="0"/>
    <m/>
    <m/>
    <m/>
    <m/>
    <m/>
    <m/>
    <n v="0"/>
    <n v="27000"/>
    <n v="94500000"/>
    <m/>
  </r>
  <r>
    <x v="174"/>
    <d v="2019-03-30T00:00:00"/>
    <s v="THANH THÚY"/>
    <x v="91"/>
    <x v="92"/>
    <x v="151"/>
    <x v="82"/>
    <x v="5"/>
    <x v="7"/>
    <x v="0"/>
    <s v="NL2018"/>
    <m/>
    <n v="10"/>
    <n v="4000"/>
    <x v="71"/>
    <n v="20800000"/>
    <x v="2"/>
    <d v="2019-09-01T00:00:00"/>
    <x v="2"/>
    <x v="2"/>
    <m/>
    <m/>
    <m/>
    <m/>
    <m/>
    <n v="0"/>
    <m/>
    <m/>
    <m/>
    <m/>
    <m/>
    <m/>
    <n v="0"/>
    <n v="4000"/>
    <n v="20800000"/>
    <m/>
  </r>
  <r>
    <x v="174"/>
    <d v="2019-03-30T00:00:00"/>
    <s v="THANH THÚY"/>
    <x v="91"/>
    <x v="92"/>
    <x v="152"/>
    <x v="27"/>
    <x v="0"/>
    <x v="3"/>
    <x v="3"/>
    <s v="NL2018"/>
    <m/>
    <n v="10"/>
    <n v="2000"/>
    <x v="41"/>
    <n v="12200000"/>
    <x v="2"/>
    <d v="2019-09-01T00:00:00"/>
    <x v="2"/>
    <x v="2"/>
    <m/>
    <m/>
    <m/>
    <m/>
    <m/>
    <n v="0"/>
    <m/>
    <m/>
    <m/>
    <m/>
    <m/>
    <m/>
    <n v="0"/>
    <n v="2000"/>
    <n v="12200000"/>
    <m/>
  </r>
  <r>
    <x v="174"/>
    <d v="2019-03-30T00:00:00"/>
    <s v="THANH THÚY"/>
    <x v="91"/>
    <x v="92"/>
    <x v="153"/>
    <x v="83"/>
    <x v="0"/>
    <x v="3"/>
    <x v="3"/>
    <s v="NL2018"/>
    <m/>
    <n v="10"/>
    <n v="2000"/>
    <x v="104"/>
    <n v="14600000"/>
    <x v="2"/>
    <d v="2019-09-01T00:00:00"/>
    <x v="2"/>
    <x v="2"/>
    <m/>
    <m/>
    <m/>
    <m/>
    <m/>
    <n v="0"/>
    <m/>
    <m/>
    <m/>
    <m/>
    <m/>
    <m/>
    <n v="0"/>
    <n v="2000"/>
    <n v="14600000"/>
    <m/>
  </r>
  <r>
    <x v="173"/>
    <d v="2019-03-12T00:00:00"/>
    <s v="THANH THÚY"/>
    <x v="90"/>
    <x v="92"/>
    <x v="23"/>
    <x v="11"/>
    <x v="0"/>
    <x v="2"/>
    <x v="6"/>
    <s v="NL2018"/>
    <m/>
    <n v="17"/>
    <n v="5100"/>
    <x v="6"/>
    <n v="27540000"/>
    <x v="0"/>
    <d v="2019-04-17T00:00:00"/>
    <x v="1"/>
    <x v="1"/>
    <s v="30/3AL"/>
    <m/>
    <m/>
    <m/>
    <d v="2019-06-04T00:00:00"/>
    <n v="5100"/>
    <m/>
    <m/>
    <m/>
    <m/>
    <m/>
    <m/>
    <n v="5100"/>
    <n v="0"/>
    <n v="0"/>
    <m/>
  </r>
  <r>
    <x v="173"/>
    <d v="2019-06-12T00:00:00"/>
    <s v="THANH THÚY"/>
    <x v="90"/>
    <x v="92"/>
    <x v="23"/>
    <x v="11"/>
    <x v="0"/>
    <x v="2"/>
    <x v="6"/>
    <s v="NL2018"/>
    <m/>
    <n v="17"/>
    <n v="5100"/>
    <x v="169"/>
    <n v="27795000"/>
    <x v="0"/>
    <d v="2019-05-05T00:00:00"/>
    <x v="27"/>
    <x v="27"/>
    <m/>
    <m/>
    <m/>
    <m/>
    <d v="2019-06-21T00:00:00"/>
    <n v="5100"/>
    <m/>
    <m/>
    <m/>
    <m/>
    <m/>
    <m/>
    <n v="5100"/>
    <n v="0"/>
    <n v="0"/>
    <m/>
  </r>
  <r>
    <x v="173"/>
    <d v="2019-06-12T00:00:00"/>
    <s v="THANH THÚY"/>
    <x v="90"/>
    <x v="92"/>
    <x v="23"/>
    <x v="11"/>
    <x v="0"/>
    <x v="2"/>
    <x v="6"/>
    <s v="NL2018"/>
    <m/>
    <n v="17"/>
    <n v="5100"/>
    <x v="10"/>
    <n v="28050000"/>
    <x v="3"/>
    <d v="2019-06-15T00:00:00"/>
    <x v="4"/>
    <x v="4"/>
    <s v="15/6 LẤY"/>
    <m/>
    <m/>
    <m/>
    <m/>
    <m/>
    <m/>
    <m/>
    <m/>
    <m/>
    <m/>
    <m/>
    <n v="0"/>
    <n v="5100"/>
    <n v="28050000"/>
    <m/>
  </r>
  <r>
    <x v="173"/>
    <d v="2019-06-17T00:00:00"/>
    <s v="THANH THÚY"/>
    <x v="90"/>
    <x v="92"/>
    <x v="23"/>
    <x v="11"/>
    <x v="0"/>
    <x v="2"/>
    <x v="6"/>
    <s v="NL2018"/>
    <m/>
    <n v="67"/>
    <n v="20100"/>
    <x v="10"/>
    <n v="110550000"/>
    <x v="2"/>
    <d v="2019-06-25T00:00:00"/>
    <x v="19"/>
    <x v="19"/>
    <m/>
    <m/>
    <m/>
    <m/>
    <m/>
    <m/>
    <m/>
    <m/>
    <m/>
    <m/>
    <m/>
    <m/>
    <n v="0"/>
    <n v="20100"/>
    <n v="110550000"/>
    <m/>
  </r>
  <r>
    <x v="175"/>
    <d v="2019-03-12T00:00:00"/>
    <s v="THANH THÚY"/>
    <x v="90"/>
    <x v="92"/>
    <x v="59"/>
    <x v="11"/>
    <x v="0"/>
    <x v="4"/>
    <x v="14"/>
    <s v="NL2018"/>
    <m/>
    <n v="80"/>
    <n v="10000"/>
    <x v="24"/>
    <n v="142000000"/>
    <x v="2"/>
    <d v="2019-09-01T00:00:00"/>
    <x v="2"/>
    <x v="2"/>
    <s v="TẾT"/>
    <m/>
    <m/>
    <m/>
    <m/>
    <n v="0"/>
    <m/>
    <m/>
    <m/>
    <m/>
    <m/>
    <m/>
    <n v="0"/>
    <n v="10000"/>
    <n v="142000000"/>
    <m/>
  </r>
  <r>
    <x v="174"/>
    <d v="2019-03-30T00:00:00"/>
    <s v="THANH THÚY"/>
    <x v="91"/>
    <x v="92"/>
    <x v="154"/>
    <x v="84"/>
    <x v="5"/>
    <x v="7"/>
    <x v="0"/>
    <s v="NL2018"/>
    <m/>
    <n v="10"/>
    <n v="4000"/>
    <x v="71"/>
    <n v="20800000"/>
    <x v="2"/>
    <d v="2019-09-01T00:00:00"/>
    <x v="2"/>
    <x v="2"/>
    <m/>
    <m/>
    <m/>
    <m/>
    <m/>
    <n v="0"/>
    <m/>
    <m/>
    <m/>
    <m/>
    <m/>
    <m/>
    <n v="0"/>
    <n v="4000"/>
    <n v="20800000"/>
    <m/>
  </r>
  <r>
    <x v="172"/>
    <d v="2019-01-05T00:00:00"/>
    <s v="THANH THÚY"/>
    <x v="90"/>
    <x v="92"/>
    <x v="6"/>
    <x v="39"/>
    <x v="0"/>
    <x v="3"/>
    <x v="5"/>
    <s v="NL2018"/>
    <m/>
    <n v="25"/>
    <n v="5000"/>
    <x v="28"/>
    <n v="23000000"/>
    <x v="0"/>
    <d v="2019-01-15T00:00:00"/>
    <x v="6"/>
    <x v="6"/>
    <s v="15/1AL"/>
    <m/>
    <m/>
    <m/>
    <d v="2019-02-19T00:00:00"/>
    <n v="5000"/>
    <m/>
    <m/>
    <m/>
    <m/>
    <m/>
    <m/>
    <n v="5000"/>
    <n v="0"/>
    <n v="0"/>
    <d v="2020-02-11T00:00:00"/>
  </r>
  <r>
    <x v="175"/>
    <d v="2019-03-12T00:00:00"/>
    <s v="THANH THÚY"/>
    <x v="90"/>
    <x v="92"/>
    <x v="8"/>
    <x v="4"/>
    <x v="0"/>
    <x v="1"/>
    <x v="9"/>
    <s v="NL2018"/>
    <m/>
    <n v="34"/>
    <n v="5100"/>
    <x v="9"/>
    <n v="40800000"/>
    <x v="2"/>
    <d v="2019-09-01T00:00:00"/>
    <x v="2"/>
    <x v="2"/>
    <s v="TẾT"/>
    <m/>
    <m/>
    <m/>
    <m/>
    <n v="0"/>
    <m/>
    <m/>
    <m/>
    <m/>
    <m/>
    <m/>
    <n v="0"/>
    <n v="5100"/>
    <n v="40800000"/>
    <m/>
  </r>
  <r>
    <x v="175"/>
    <d v="2019-03-12T00:00:00"/>
    <s v="THANH THÚY"/>
    <x v="90"/>
    <x v="92"/>
    <x v="7"/>
    <x v="4"/>
    <x v="0"/>
    <x v="4"/>
    <x v="14"/>
    <s v="NL2018"/>
    <m/>
    <n v="40"/>
    <n v="5000"/>
    <x v="5"/>
    <n v="52500000"/>
    <x v="2"/>
    <d v="2019-09-01T00:00:00"/>
    <x v="2"/>
    <x v="2"/>
    <s v="TẾT"/>
    <m/>
    <m/>
    <m/>
    <m/>
    <n v="0"/>
    <m/>
    <m/>
    <m/>
    <m/>
    <m/>
    <m/>
    <n v="0"/>
    <n v="5000"/>
    <n v="52500000"/>
    <m/>
  </r>
  <r>
    <x v="174"/>
    <d v="2019-03-30T00:00:00"/>
    <s v="THANH THÚY"/>
    <x v="91"/>
    <x v="92"/>
    <x v="8"/>
    <x v="4"/>
    <x v="0"/>
    <x v="1"/>
    <x v="1"/>
    <s v="NL2018"/>
    <m/>
    <n v="30"/>
    <n v="4500"/>
    <x v="9"/>
    <n v="36000000"/>
    <x v="2"/>
    <d v="2019-09-01T00:00:00"/>
    <x v="2"/>
    <x v="2"/>
    <m/>
    <m/>
    <m/>
    <m/>
    <m/>
    <n v="0"/>
    <m/>
    <m/>
    <m/>
    <m/>
    <m/>
    <m/>
    <n v="0"/>
    <n v="4500"/>
    <n v="36000000"/>
    <m/>
  </r>
  <r>
    <x v="174"/>
    <d v="2019-03-30T00:00:00"/>
    <s v="THANH THÚY"/>
    <x v="91"/>
    <x v="92"/>
    <x v="155"/>
    <x v="85"/>
    <x v="5"/>
    <x v="16"/>
    <x v="23"/>
    <s v="NL2018"/>
    <m/>
    <n v="48"/>
    <n v="24000"/>
    <x v="3"/>
    <n v="84000000"/>
    <x v="2"/>
    <d v="2019-09-01T00:00:00"/>
    <x v="2"/>
    <x v="2"/>
    <m/>
    <m/>
    <m/>
    <m/>
    <m/>
    <n v="0"/>
    <m/>
    <m/>
    <m/>
    <m/>
    <m/>
    <m/>
    <n v="0"/>
    <n v="24000"/>
    <n v="84000000"/>
    <m/>
  </r>
  <r>
    <x v="174"/>
    <d v="2019-03-30T00:00:00"/>
    <s v="THANH THÚY"/>
    <x v="91"/>
    <x v="92"/>
    <x v="156"/>
    <x v="85"/>
    <x v="5"/>
    <x v="7"/>
    <x v="0"/>
    <s v="NL2018"/>
    <m/>
    <n v="10"/>
    <n v="4000"/>
    <x v="71"/>
    <n v="20800000"/>
    <x v="2"/>
    <d v="2019-09-01T00:00:00"/>
    <x v="2"/>
    <x v="2"/>
    <m/>
    <m/>
    <m/>
    <m/>
    <m/>
    <n v="0"/>
    <m/>
    <m/>
    <m/>
    <m/>
    <m/>
    <m/>
    <n v="0"/>
    <n v="4000"/>
    <n v="20800000"/>
    <m/>
  </r>
  <r>
    <x v="174"/>
    <d v="2019-03-30T00:00:00"/>
    <s v="THANH THÚY"/>
    <x v="91"/>
    <x v="92"/>
    <x v="157"/>
    <x v="86"/>
    <x v="5"/>
    <x v="16"/>
    <x v="23"/>
    <s v="NL2018"/>
    <m/>
    <n v="10"/>
    <n v="5000"/>
    <x v="3"/>
    <n v="17500000"/>
    <x v="2"/>
    <d v="2019-09-01T00:00:00"/>
    <x v="2"/>
    <x v="2"/>
    <m/>
    <m/>
    <m/>
    <m/>
    <m/>
    <n v="0"/>
    <m/>
    <m/>
    <m/>
    <m/>
    <m/>
    <m/>
    <n v="0"/>
    <n v="5000"/>
    <n v="17500000"/>
    <m/>
  </r>
  <r>
    <x v="172"/>
    <d v="2019-01-05T00:00:00"/>
    <s v="THANH THÚY"/>
    <x v="90"/>
    <x v="92"/>
    <x v="9"/>
    <x v="5"/>
    <x v="0"/>
    <x v="3"/>
    <x v="5"/>
    <s v="NL2018"/>
    <m/>
    <n v="125"/>
    <n v="25000"/>
    <x v="10"/>
    <n v="137500000"/>
    <x v="0"/>
    <d v="2019-03-15T00:00:00"/>
    <x v="5"/>
    <x v="5"/>
    <s v="15/3AL"/>
    <s v="CONT 21/2019"/>
    <m/>
    <m/>
    <d v="2019-04-23T00:00:00"/>
    <n v="10000"/>
    <d v="2019-05-06T00:00:00"/>
    <n v="5000"/>
    <d v="2019-05-24T00:00:00"/>
    <n v="10000"/>
    <m/>
    <m/>
    <n v="25000"/>
    <n v="0"/>
    <n v="0"/>
    <m/>
  </r>
  <r>
    <x v="173"/>
    <d v="2019-03-12T00:00:00"/>
    <s v="THANH THÚY"/>
    <x v="90"/>
    <x v="92"/>
    <x v="9"/>
    <x v="5"/>
    <x v="0"/>
    <x v="3"/>
    <x v="5"/>
    <s v="NL2018"/>
    <m/>
    <n v="0"/>
    <n v="0"/>
    <x v="97"/>
    <n v="0"/>
    <x v="1"/>
    <d v="2019-04-17T00:00:00"/>
    <x v="1"/>
    <x v="1"/>
    <s v="30/3AL"/>
    <m/>
    <m/>
    <m/>
    <m/>
    <n v="0"/>
    <m/>
    <m/>
    <m/>
    <m/>
    <m/>
    <m/>
    <n v="0"/>
    <n v="0"/>
    <n v="0"/>
    <m/>
  </r>
  <r>
    <x v="173"/>
    <d v="2019-06-12T00:00:00"/>
    <s v="THANH THÚY"/>
    <x v="90"/>
    <x v="92"/>
    <x v="9"/>
    <x v="5"/>
    <x v="0"/>
    <x v="3"/>
    <x v="5"/>
    <s v="NL2018"/>
    <m/>
    <n v="25"/>
    <n v="5000"/>
    <x v="71"/>
    <n v="26000000"/>
    <x v="0"/>
    <d v="2019-04-17T00:00:00"/>
    <x v="1"/>
    <x v="1"/>
    <m/>
    <m/>
    <m/>
    <m/>
    <d v="2019-06-21T00:00:00"/>
    <n v="5000"/>
    <m/>
    <m/>
    <m/>
    <m/>
    <m/>
    <m/>
    <n v="5000"/>
    <n v="0"/>
    <n v="0"/>
    <m/>
  </r>
  <r>
    <x v="173"/>
    <d v="2019-06-12T00:00:00"/>
    <s v="THANH THÚY"/>
    <x v="90"/>
    <x v="92"/>
    <x v="9"/>
    <x v="5"/>
    <x v="0"/>
    <x v="3"/>
    <x v="5"/>
    <s v="NL2018"/>
    <m/>
    <n v="25"/>
    <n v="5000"/>
    <x v="71"/>
    <n v="26000000"/>
    <x v="0"/>
    <d v="2019-04-17T00:00:00"/>
    <x v="1"/>
    <x v="1"/>
    <s v="15/6 LẤY"/>
    <m/>
    <m/>
    <m/>
    <d v="2019-06-26T00:00:00"/>
    <n v="5000"/>
    <m/>
    <m/>
    <m/>
    <m/>
    <m/>
    <m/>
    <n v="5000"/>
    <n v="0"/>
    <n v="0"/>
    <m/>
  </r>
  <r>
    <x v="173"/>
    <d v="2019-06-12T00:00:00"/>
    <s v="THANH THÚY"/>
    <x v="90"/>
    <x v="92"/>
    <x v="9"/>
    <x v="5"/>
    <x v="0"/>
    <x v="3"/>
    <x v="5"/>
    <s v="NL2018"/>
    <m/>
    <n v="9"/>
    <n v="1800"/>
    <x v="10"/>
    <n v="9900000"/>
    <x v="0"/>
    <d v="2019-05-05T00:00:00"/>
    <x v="27"/>
    <x v="27"/>
    <s v="30/3AL"/>
    <m/>
    <m/>
    <m/>
    <d v="2019-06-12T00:00:00"/>
    <n v="1800"/>
    <m/>
    <m/>
    <m/>
    <m/>
    <m/>
    <m/>
    <n v="1800"/>
    <n v="0"/>
    <n v="0"/>
    <m/>
  </r>
  <r>
    <x v="173"/>
    <d v="2019-03-12T00:00:00"/>
    <s v="THANH THÚY"/>
    <x v="90"/>
    <x v="92"/>
    <x v="9"/>
    <x v="5"/>
    <x v="0"/>
    <x v="3"/>
    <x v="5"/>
    <s v="NL2018"/>
    <m/>
    <n v="0"/>
    <n v="0"/>
    <x v="54"/>
    <n v="0"/>
    <x v="1"/>
    <d v="2019-04-29T00:00:00"/>
    <x v="11"/>
    <x v="11"/>
    <s v="29/4AL"/>
    <m/>
    <m/>
    <m/>
    <m/>
    <n v="0"/>
    <m/>
    <m/>
    <m/>
    <m/>
    <m/>
    <m/>
    <n v="0"/>
    <n v="0"/>
    <n v="0"/>
    <m/>
  </r>
  <r>
    <x v="175"/>
    <d v="2019-03-12T00:00:00"/>
    <s v="THANH THÚY"/>
    <x v="90"/>
    <x v="92"/>
    <x v="61"/>
    <x v="5"/>
    <x v="0"/>
    <x v="1"/>
    <x v="9"/>
    <s v="NL2018"/>
    <m/>
    <n v="67"/>
    <n v="10050"/>
    <x v="46"/>
    <n v="85425000"/>
    <x v="2"/>
    <d v="2019-09-01T00:00:00"/>
    <x v="2"/>
    <x v="2"/>
    <s v="TẾT"/>
    <m/>
    <m/>
    <m/>
    <m/>
    <n v="0"/>
    <m/>
    <m/>
    <m/>
    <m/>
    <m/>
    <m/>
    <n v="0"/>
    <n v="10050"/>
    <n v="85425000"/>
    <m/>
  </r>
  <r>
    <x v="173"/>
    <d v="2019-03-12T00:00:00"/>
    <s v="THANH THÚY"/>
    <x v="90"/>
    <x v="92"/>
    <x v="51"/>
    <x v="30"/>
    <x v="0"/>
    <x v="2"/>
    <x v="6"/>
    <s v="NL2018"/>
    <m/>
    <n v="0"/>
    <n v="0"/>
    <x v="49"/>
    <n v="0"/>
    <x v="1"/>
    <d v="2019-04-29T00:00:00"/>
    <x v="11"/>
    <x v="11"/>
    <s v="29/4AL"/>
    <m/>
    <m/>
    <m/>
    <m/>
    <n v="0"/>
    <m/>
    <m/>
    <m/>
    <m/>
    <m/>
    <m/>
    <n v="0"/>
    <n v="0"/>
    <n v="0"/>
    <m/>
  </r>
  <r>
    <x v="176"/>
    <d v="2019-03-15T00:00:00"/>
    <s v="KIỀU THY"/>
    <x v="92"/>
    <x v="93"/>
    <x v="0"/>
    <x v="0"/>
    <x v="0"/>
    <x v="7"/>
    <x v="0"/>
    <s v="NL2018"/>
    <m/>
    <n v="12"/>
    <n v="4800"/>
    <x v="0"/>
    <n v="12480000"/>
    <x v="0"/>
    <d v="2019-02-28T00:00:00"/>
    <x v="16"/>
    <x v="16"/>
    <m/>
    <m/>
    <m/>
    <m/>
    <d v="2019-04-22T00:00:00"/>
    <n v="4800"/>
    <m/>
    <m/>
    <m/>
    <m/>
    <m/>
    <m/>
    <n v="4800"/>
    <n v="0"/>
    <n v="0"/>
    <m/>
  </r>
  <r>
    <x v="176"/>
    <d v="2019-03-15T00:00:00"/>
    <s v="KIỀU THY"/>
    <x v="92"/>
    <x v="93"/>
    <x v="0"/>
    <x v="0"/>
    <x v="0"/>
    <x v="7"/>
    <x v="0"/>
    <s v="NL2018"/>
    <m/>
    <n v="9"/>
    <n v="3600"/>
    <x v="1"/>
    <n v="9720000"/>
    <x v="0"/>
    <d v="2019-03-15T00:00:00"/>
    <x v="5"/>
    <x v="5"/>
    <m/>
    <m/>
    <m/>
    <m/>
    <d v="2019-05-11T00:00:00"/>
    <n v="3600"/>
    <m/>
    <m/>
    <m/>
    <m/>
    <m/>
    <m/>
    <n v="3600"/>
    <n v="0"/>
    <n v="0"/>
    <m/>
  </r>
  <r>
    <x v="176"/>
    <d v="2019-03-15T00:00:00"/>
    <s v="KIỀU THY"/>
    <x v="92"/>
    <x v="93"/>
    <x v="74"/>
    <x v="0"/>
    <x v="0"/>
    <x v="2"/>
    <x v="2"/>
    <s v="NL2018"/>
    <m/>
    <n v="14"/>
    <n v="4200"/>
    <x v="77"/>
    <n v="15960000"/>
    <x v="0"/>
    <d v="2019-04-17T00:00:00"/>
    <x v="1"/>
    <x v="1"/>
    <m/>
    <m/>
    <m/>
    <m/>
    <d v="2019-05-31T00:00:00"/>
    <n v="4200"/>
    <m/>
    <m/>
    <m/>
    <m/>
    <m/>
    <m/>
    <n v="4200"/>
    <n v="0"/>
    <n v="0"/>
    <m/>
  </r>
  <r>
    <x v="176"/>
    <d v="2019-03-15T00:00:00"/>
    <s v="KIỀU THY"/>
    <x v="92"/>
    <x v="93"/>
    <x v="10"/>
    <x v="1"/>
    <x v="0"/>
    <x v="3"/>
    <x v="3"/>
    <s v="NL2018"/>
    <m/>
    <n v="7"/>
    <n v="1400"/>
    <x v="10"/>
    <n v="7700000"/>
    <x v="0"/>
    <d v="2019-03-15T00:00:00"/>
    <x v="5"/>
    <x v="5"/>
    <m/>
    <m/>
    <m/>
    <m/>
    <d v="2019-05-11T00:00:00"/>
    <n v="1400"/>
    <m/>
    <m/>
    <m/>
    <m/>
    <m/>
    <m/>
    <n v="1400"/>
    <n v="0"/>
    <n v="0"/>
    <m/>
  </r>
  <r>
    <x v="176"/>
    <d v="2019-03-15T00:00:00"/>
    <s v="KIỀU THY"/>
    <x v="92"/>
    <x v="93"/>
    <x v="5"/>
    <x v="3"/>
    <x v="0"/>
    <x v="1"/>
    <x v="1"/>
    <s v="NL2018"/>
    <m/>
    <n v="14"/>
    <n v="2100"/>
    <x v="73"/>
    <n v="13230000"/>
    <x v="0"/>
    <d v="2019-03-15T00:00:00"/>
    <x v="5"/>
    <x v="5"/>
    <m/>
    <m/>
    <m/>
    <m/>
    <d v="2019-05-11T00:00:00"/>
    <n v="2100"/>
    <m/>
    <m/>
    <m/>
    <m/>
    <m/>
    <m/>
    <n v="2100"/>
    <n v="0"/>
    <n v="0"/>
    <m/>
  </r>
  <r>
    <x v="176"/>
    <d v="2019-03-15T00:00:00"/>
    <s v="KIỀU THY"/>
    <x v="92"/>
    <x v="93"/>
    <x v="3"/>
    <x v="3"/>
    <x v="0"/>
    <x v="3"/>
    <x v="3"/>
    <s v="NL2018"/>
    <m/>
    <n v="15"/>
    <n v="3000"/>
    <x v="8"/>
    <n v="15000000"/>
    <x v="0"/>
    <d v="2019-04-17T00:00:00"/>
    <x v="1"/>
    <x v="1"/>
    <m/>
    <m/>
    <m/>
    <m/>
    <d v="2019-05-31T00:00:00"/>
    <n v="3000"/>
    <m/>
    <m/>
    <m/>
    <m/>
    <m/>
    <m/>
    <n v="3000"/>
    <n v="0"/>
    <n v="0"/>
    <m/>
  </r>
  <r>
    <x v="177"/>
    <d v="2019-03-15T00:00:00"/>
    <s v="KIỀU THY"/>
    <x v="92"/>
    <x v="93"/>
    <x v="22"/>
    <x v="3"/>
    <x v="0"/>
    <x v="8"/>
    <x v="12"/>
    <s v="NL2018"/>
    <m/>
    <n v="150"/>
    <n v="15000"/>
    <x v="25"/>
    <n v="187500000"/>
    <x v="2"/>
    <d v="2019-09-01T00:00:00"/>
    <x v="2"/>
    <x v="2"/>
    <s v="TẾT"/>
    <m/>
    <m/>
    <m/>
    <m/>
    <n v="0"/>
    <m/>
    <m/>
    <m/>
    <m/>
    <m/>
    <m/>
    <n v="0"/>
    <n v="15000"/>
    <n v="187500000"/>
    <m/>
  </r>
  <r>
    <x v="176"/>
    <d v="2019-06-15T00:00:00"/>
    <s v="KIỀU THY"/>
    <x v="92"/>
    <x v="93"/>
    <x v="3"/>
    <x v="3"/>
    <x v="0"/>
    <x v="3"/>
    <x v="3"/>
    <s v="NL2018"/>
    <m/>
    <n v="15"/>
    <n v="3000"/>
    <x v="10"/>
    <n v="16500000"/>
    <x v="0"/>
    <d v="2019-05-15T00:00:00"/>
    <x v="69"/>
    <x v="69"/>
    <m/>
    <m/>
    <m/>
    <m/>
    <d v="2019-06-20T00:00:00"/>
    <n v="3000"/>
    <m/>
    <m/>
    <m/>
    <m/>
    <m/>
    <m/>
    <n v="3000"/>
    <n v="0"/>
    <n v="0"/>
    <m/>
  </r>
  <r>
    <x v="176"/>
    <d v="2019-06-15T00:00:00"/>
    <s v="KIỀU THY"/>
    <x v="92"/>
    <x v="93"/>
    <x v="3"/>
    <x v="3"/>
    <x v="0"/>
    <x v="3"/>
    <x v="3"/>
    <s v="NL2018"/>
    <m/>
    <n v="20"/>
    <n v="4000"/>
    <x v="10"/>
    <n v="22000000"/>
    <x v="4"/>
    <d v="2019-05-18T00:00:00"/>
    <x v="3"/>
    <x v="3"/>
    <m/>
    <m/>
    <m/>
    <m/>
    <m/>
    <m/>
    <m/>
    <m/>
    <m/>
    <m/>
    <m/>
    <m/>
    <n v="0"/>
    <n v="4000"/>
    <n v="22000000"/>
    <m/>
  </r>
  <r>
    <x v="176"/>
    <d v="2019-03-15T00:00:00"/>
    <s v="KIỀU THY"/>
    <x v="92"/>
    <x v="93"/>
    <x v="12"/>
    <x v="6"/>
    <x v="0"/>
    <x v="2"/>
    <x v="2"/>
    <s v="NL2018"/>
    <m/>
    <n v="6"/>
    <n v="1800"/>
    <x v="42"/>
    <n v="8640000"/>
    <x v="0"/>
    <d v="2019-02-15T00:00:00"/>
    <x v="0"/>
    <x v="0"/>
    <m/>
    <m/>
    <m/>
    <m/>
    <d v="2019-04-22T00:00:00"/>
    <n v="1800"/>
    <m/>
    <m/>
    <m/>
    <m/>
    <m/>
    <m/>
    <n v="1800"/>
    <n v="0"/>
    <n v="0"/>
    <m/>
  </r>
  <r>
    <x v="176"/>
    <d v="2019-06-15T00:00:00"/>
    <s v="KIỀU THY"/>
    <x v="92"/>
    <x v="93"/>
    <x v="158"/>
    <x v="87"/>
    <x v="0"/>
    <x v="2"/>
    <x v="2"/>
    <s v="NL2018"/>
    <m/>
    <n v="7"/>
    <n v="2100"/>
    <x v="6"/>
    <n v="11340000"/>
    <x v="0"/>
    <d v="2019-05-15T00:00:00"/>
    <x v="69"/>
    <x v="69"/>
    <m/>
    <m/>
    <m/>
    <m/>
    <d v="2019-06-20T00:00:00"/>
    <n v="2100"/>
    <m/>
    <m/>
    <m/>
    <m/>
    <m/>
    <m/>
    <n v="2100"/>
    <n v="0"/>
    <n v="0"/>
    <m/>
  </r>
  <r>
    <x v="176"/>
    <d v="2019-06-15T00:00:00"/>
    <s v="KIỀU THY"/>
    <x v="92"/>
    <x v="93"/>
    <x v="23"/>
    <x v="11"/>
    <x v="0"/>
    <x v="2"/>
    <x v="2"/>
    <s v="NL2018"/>
    <m/>
    <n v="10"/>
    <n v="3000"/>
    <x v="54"/>
    <n v="16800000"/>
    <x v="4"/>
    <d v="2019-06-03T00:00:00"/>
    <x v="70"/>
    <x v="70"/>
    <m/>
    <m/>
    <m/>
    <m/>
    <m/>
    <m/>
    <m/>
    <m/>
    <m/>
    <m/>
    <m/>
    <m/>
    <n v="0"/>
    <n v="3000"/>
    <n v="16800000"/>
    <m/>
  </r>
  <r>
    <x v="177"/>
    <d v="2019-03-15T00:00:00"/>
    <s v="KIỀU THY"/>
    <x v="92"/>
    <x v="93"/>
    <x v="7"/>
    <x v="4"/>
    <x v="0"/>
    <x v="4"/>
    <x v="4"/>
    <s v="NL2018"/>
    <m/>
    <n v="120"/>
    <n v="15000"/>
    <x v="5"/>
    <n v="157500000"/>
    <x v="2"/>
    <d v="2019-09-01T00:00:00"/>
    <x v="2"/>
    <x v="2"/>
    <s v="TẾT"/>
    <m/>
    <m/>
    <m/>
    <m/>
    <n v="0"/>
    <m/>
    <m/>
    <m/>
    <m/>
    <m/>
    <m/>
    <n v="0"/>
    <n v="15000"/>
    <n v="157500000"/>
    <m/>
  </r>
  <r>
    <x v="176"/>
    <d v="2019-06-15T00:00:00"/>
    <s v="KIỀU THY"/>
    <x v="92"/>
    <x v="93"/>
    <x v="6"/>
    <x v="4"/>
    <x v="0"/>
    <x v="3"/>
    <x v="3"/>
    <s v="NL2018"/>
    <m/>
    <n v="10"/>
    <n v="2000"/>
    <x v="96"/>
    <n v="13000000"/>
    <x v="4"/>
    <d v="2019-05-25T00:00:00"/>
    <x v="45"/>
    <x v="45"/>
    <m/>
    <m/>
    <m/>
    <m/>
    <m/>
    <m/>
    <m/>
    <m/>
    <m/>
    <m/>
    <m/>
    <m/>
    <n v="0"/>
    <n v="2000"/>
    <n v="13000000"/>
    <m/>
  </r>
  <r>
    <x v="178"/>
    <d v="2019-05-30T00:00:00"/>
    <s v="KIỀU THY"/>
    <x v="93"/>
    <x v="94"/>
    <x v="86"/>
    <x v="53"/>
    <x v="0"/>
    <x v="4"/>
    <x v="4"/>
    <s v="NZ2019"/>
    <m/>
    <n v="40"/>
    <n v="5000"/>
    <x v="25"/>
    <n v="62500000"/>
    <x v="2"/>
    <d v="2019-09-01T00:00:00"/>
    <x v="2"/>
    <x v="2"/>
    <m/>
    <m/>
    <m/>
    <m/>
    <m/>
    <m/>
    <m/>
    <m/>
    <m/>
    <m/>
    <m/>
    <m/>
    <n v="0"/>
    <n v="5000"/>
    <n v="62500000"/>
    <m/>
  </r>
  <r>
    <x v="178"/>
    <d v="2019-05-30T00:00:00"/>
    <s v="KIỀU THY"/>
    <x v="93"/>
    <x v="94"/>
    <x v="55"/>
    <x v="53"/>
    <x v="0"/>
    <x v="8"/>
    <x v="12"/>
    <s v="NZ2019"/>
    <m/>
    <n v="50"/>
    <n v="5000"/>
    <x v="47"/>
    <n v="65000000"/>
    <x v="2"/>
    <d v="2019-09-01T00:00:00"/>
    <x v="2"/>
    <x v="2"/>
    <m/>
    <m/>
    <m/>
    <m/>
    <m/>
    <m/>
    <m/>
    <m/>
    <m/>
    <m/>
    <m/>
    <m/>
    <n v="0"/>
    <n v="5000"/>
    <n v="65000000"/>
    <m/>
  </r>
  <r>
    <x v="178"/>
    <d v="2019-05-30T00:00:00"/>
    <s v="KIỀU THY"/>
    <x v="93"/>
    <x v="94"/>
    <x v="4"/>
    <x v="3"/>
    <x v="0"/>
    <x v="4"/>
    <x v="4"/>
    <s v="NL2018"/>
    <m/>
    <n v="0"/>
    <n v="0"/>
    <x v="33"/>
    <n v="0"/>
    <x v="1"/>
    <d v="2019-09-01T00:00:00"/>
    <x v="35"/>
    <x v="35"/>
    <m/>
    <m/>
    <m/>
    <m/>
    <m/>
    <m/>
    <m/>
    <m/>
    <m/>
    <m/>
    <m/>
    <m/>
    <n v="0"/>
    <n v="0"/>
    <n v="0"/>
    <m/>
  </r>
  <r>
    <x v="178"/>
    <d v="2019-05-30T00:00:00"/>
    <s v="KIỀU THY"/>
    <x v="93"/>
    <x v="94"/>
    <x v="22"/>
    <x v="3"/>
    <x v="0"/>
    <x v="8"/>
    <x v="12"/>
    <s v="NL2018"/>
    <m/>
    <n v="0"/>
    <n v="0"/>
    <x v="25"/>
    <n v="0"/>
    <x v="1"/>
    <d v="2019-09-01T00:00:00"/>
    <x v="35"/>
    <x v="35"/>
    <m/>
    <m/>
    <m/>
    <m/>
    <m/>
    <m/>
    <m/>
    <m/>
    <m/>
    <m/>
    <m/>
    <m/>
    <n v="0"/>
    <n v="0"/>
    <n v="0"/>
    <m/>
  </r>
  <r>
    <x v="178"/>
    <d v="2019-05-30T00:00:00"/>
    <s v="KIỀU THY"/>
    <x v="93"/>
    <x v="94"/>
    <x v="7"/>
    <x v="4"/>
    <x v="0"/>
    <x v="4"/>
    <x v="4"/>
    <s v="NL2018"/>
    <m/>
    <n v="0"/>
    <n v="0"/>
    <x v="34"/>
    <n v="0"/>
    <x v="1"/>
    <d v="2019-09-01T00:00:00"/>
    <x v="35"/>
    <x v="35"/>
    <m/>
    <m/>
    <m/>
    <m/>
    <m/>
    <m/>
    <m/>
    <m/>
    <m/>
    <m/>
    <m/>
    <m/>
    <n v="0"/>
    <n v="0"/>
    <n v="0"/>
    <m/>
  </r>
  <r>
    <x v="178"/>
    <d v="2019-05-30T00:00:00"/>
    <s v="KIỀU THY"/>
    <x v="93"/>
    <x v="94"/>
    <x v="21"/>
    <x v="4"/>
    <x v="0"/>
    <x v="8"/>
    <x v="12"/>
    <s v="NL2018"/>
    <m/>
    <n v="0"/>
    <n v="0"/>
    <x v="25"/>
    <n v="0"/>
    <x v="1"/>
    <d v="2019-09-01T00:00:00"/>
    <x v="35"/>
    <x v="35"/>
    <m/>
    <m/>
    <m/>
    <m/>
    <m/>
    <m/>
    <m/>
    <m/>
    <m/>
    <m/>
    <m/>
    <m/>
    <n v="0"/>
    <n v="0"/>
    <n v="0"/>
    <m/>
  </r>
  <r>
    <x v="178"/>
    <d v="2019-05-30T00:00:00"/>
    <s v="KIỀU THY"/>
    <x v="93"/>
    <x v="94"/>
    <x v="81"/>
    <x v="4"/>
    <x v="0"/>
    <x v="4"/>
    <x v="4"/>
    <s v="NZ2019"/>
    <m/>
    <n v="216"/>
    <n v="27000"/>
    <x v="80"/>
    <n v="324000000"/>
    <x v="2"/>
    <d v="2019-09-01T00:00:00"/>
    <x v="2"/>
    <x v="2"/>
    <m/>
    <m/>
    <m/>
    <m/>
    <m/>
    <m/>
    <m/>
    <m/>
    <m/>
    <m/>
    <m/>
    <m/>
    <n v="0"/>
    <n v="27000"/>
    <n v="324000000"/>
    <m/>
  </r>
  <r>
    <x v="179"/>
    <d v="2019-04-19T00:00:00"/>
    <s v="KIỀU THY"/>
    <x v="94"/>
    <x v="95"/>
    <x v="84"/>
    <x v="40"/>
    <x v="0"/>
    <x v="4"/>
    <x v="4"/>
    <s v="CL2019"/>
    <m/>
    <n v="24"/>
    <n v="3000"/>
    <x v="61"/>
    <n v="40500000"/>
    <x v="2"/>
    <d v="2019-09-01T00:00:00"/>
    <x v="2"/>
    <x v="2"/>
    <m/>
    <m/>
    <m/>
    <m/>
    <m/>
    <m/>
    <m/>
    <m/>
    <m/>
    <m/>
    <m/>
    <m/>
    <n v="0"/>
    <n v="3000"/>
    <n v="40500000"/>
    <m/>
  </r>
  <r>
    <x v="180"/>
    <d v="2019-04-19T00:00:00"/>
    <s v="KIỀU THY"/>
    <x v="94"/>
    <x v="95"/>
    <x v="12"/>
    <x v="6"/>
    <x v="0"/>
    <x v="2"/>
    <x v="2"/>
    <s v="NL2018"/>
    <m/>
    <n v="0"/>
    <n v="0"/>
    <x v="71"/>
    <n v="0"/>
    <x v="1"/>
    <d v="2019-05-05T00:00:00"/>
    <x v="27"/>
    <x v="27"/>
    <s v="5/5AL"/>
    <m/>
    <m/>
    <m/>
    <m/>
    <m/>
    <m/>
    <m/>
    <m/>
    <m/>
    <m/>
    <m/>
    <n v="0"/>
    <n v="0"/>
    <n v="0"/>
    <m/>
  </r>
  <r>
    <x v="180"/>
    <d v="2019-05-13T00:00:00"/>
    <s v="KIỀU THY"/>
    <x v="94"/>
    <x v="95"/>
    <x v="78"/>
    <x v="6"/>
    <x v="0"/>
    <x v="2"/>
    <x v="21"/>
    <s v="NL2018"/>
    <m/>
    <n v="58"/>
    <n v="15950"/>
    <x v="8"/>
    <n v="79750000"/>
    <x v="0"/>
    <d v="2019-04-17T00:00:00"/>
    <x v="1"/>
    <x v="1"/>
    <m/>
    <m/>
    <m/>
    <m/>
    <d v="2019-05-19T00:00:00"/>
    <n v="12925"/>
    <d v="2019-05-27T00:00:00"/>
    <s v="3025"/>
    <m/>
    <m/>
    <m/>
    <m/>
    <n v="15950"/>
    <n v="0"/>
    <n v="0"/>
    <m/>
  </r>
  <r>
    <x v="180"/>
    <d v="2019-05-13T00:00:00"/>
    <s v="KIỀU THY"/>
    <x v="94"/>
    <x v="95"/>
    <x v="11"/>
    <x v="6"/>
    <x v="0"/>
    <x v="3"/>
    <x v="3"/>
    <s v="NL2018"/>
    <m/>
    <n v="5"/>
    <n v="1000"/>
    <x v="166"/>
    <n v="7800000"/>
    <x v="0"/>
    <d v="2019-04-17T00:00:00"/>
    <x v="1"/>
    <x v="1"/>
    <m/>
    <m/>
    <m/>
    <m/>
    <d v="2019-05-27T00:00:00"/>
    <n v="1000"/>
    <m/>
    <m/>
    <m/>
    <m/>
    <m/>
    <m/>
    <n v="1000"/>
    <n v="0"/>
    <n v="0"/>
    <m/>
  </r>
  <r>
    <x v="180"/>
    <d v="2019-06-07T00:00:00"/>
    <s v="KIỀU THY"/>
    <x v="94"/>
    <x v="95"/>
    <x v="39"/>
    <x v="22"/>
    <x v="0"/>
    <x v="7"/>
    <x v="0"/>
    <s v="NL2018"/>
    <m/>
    <n v="5"/>
    <n v="2000"/>
    <x v="38"/>
    <n v="5800000"/>
    <x v="0"/>
    <d v="2019-05-05T00:00:00"/>
    <x v="27"/>
    <x v="27"/>
    <m/>
    <m/>
    <m/>
    <m/>
    <d v="2019-06-08T00:00:00"/>
    <n v="2000"/>
    <m/>
    <m/>
    <m/>
    <m/>
    <m/>
    <m/>
    <n v="2000"/>
    <n v="0"/>
    <n v="0"/>
    <m/>
  </r>
  <r>
    <x v="180"/>
    <d v="2019-05-08T00:00:00"/>
    <s v="KIỀU THY"/>
    <x v="94"/>
    <x v="95"/>
    <x v="39"/>
    <x v="22"/>
    <x v="0"/>
    <x v="7"/>
    <x v="0"/>
    <s v="NL2018"/>
    <m/>
    <n v="13"/>
    <n v="5200"/>
    <x v="38"/>
    <n v="15080000"/>
    <x v="0"/>
    <d v="2019-04-17T00:00:00"/>
    <x v="1"/>
    <x v="1"/>
    <s v="10/4AL"/>
    <m/>
    <m/>
    <m/>
    <d v="2019-05-19T00:00:00"/>
    <n v="5200"/>
    <m/>
    <m/>
    <m/>
    <m/>
    <m/>
    <m/>
    <n v="5200"/>
    <n v="0"/>
    <n v="0"/>
    <m/>
  </r>
  <r>
    <x v="180"/>
    <d v="2019-05-24T00:00:00"/>
    <s v="KIỀU THY"/>
    <x v="94"/>
    <x v="95"/>
    <x v="39"/>
    <x v="22"/>
    <x v="0"/>
    <x v="7"/>
    <x v="0"/>
    <s v="NL2018"/>
    <m/>
    <n v="9"/>
    <n v="3600"/>
    <x v="38"/>
    <n v="10440000"/>
    <x v="0"/>
    <d v="2019-04-17T00:00:00"/>
    <x v="1"/>
    <x v="1"/>
    <m/>
    <m/>
    <m/>
    <m/>
    <d v="2019-05-27T00:00:00"/>
    <n v="3600"/>
    <m/>
    <m/>
    <m/>
    <m/>
    <m/>
    <m/>
    <n v="3600"/>
    <n v="0"/>
    <n v="0"/>
    <m/>
  </r>
  <r>
    <x v="180"/>
    <d v="2019-04-08T00:00:00"/>
    <s v="KIỀU THY"/>
    <x v="94"/>
    <x v="95"/>
    <x v="58"/>
    <x v="33"/>
    <x v="0"/>
    <x v="2"/>
    <x v="2"/>
    <s v="NL2018"/>
    <m/>
    <n v="27"/>
    <n v="8100"/>
    <x v="45"/>
    <n v="32400000"/>
    <x v="0"/>
    <d v="2019-04-17T00:00:00"/>
    <x v="1"/>
    <x v="1"/>
    <s v="10/4AL"/>
    <m/>
    <m/>
    <m/>
    <d v="2019-05-27T00:00:00"/>
    <n v="8100"/>
    <m/>
    <m/>
    <m/>
    <m/>
    <m/>
    <m/>
    <n v="8100"/>
    <n v="0"/>
    <n v="0"/>
    <m/>
  </r>
  <r>
    <x v="180"/>
    <d v="2019-05-29T00:00:00"/>
    <s v="KIỀU THY"/>
    <x v="94"/>
    <x v="95"/>
    <x v="51"/>
    <x v="30"/>
    <x v="0"/>
    <x v="2"/>
    <x v="2"/>
    <s v="NL2018"/>
    <m/>
    <n v="7"/>
    <n v="2100"/>
    <x v="14"/>
    <n v="9450000"/>
    <x v="0"/>
    <d v="2019-05-05T00:00:00"/>
    <x v="27"/>
    <x v="27"/>
    <m/>
    <m/>
    <m/>
    <m/>
    <d v="2019-06-08T00:00:00"/>
    <n v="2100"/>
    <m/>
    <m/>
    <m/>
    <m/>
    <m/>
    <m/>
    <n v="2100"/>
    <n v="0"/>
    <n v="0"/>
    <m/>
  </r>
  <r>
    <x v="181"/>
    <d v="2019-05-02T00:00:00"/>
    <s v="KIỀU THY"/>
    <x v="95"/>
    <x v="96"/>
    <x v="23"/>
    <x v="11"/>
    <x v="0"/>
    <x v="2"/>
    <x v="2"/>
    <s v="NL2018"/>
    <m/>
    <n v="3"/>
    <n v="900"/>
    <x v="10"/>
    <n v="4950000"/>
    <x v="0"/>
    <d v="2019-03-30T00:00:00"/>
    <x v="34"/>
    <x v="34"/>
    <m/>
    <m/>
    <m/>
    <m/>
    <d v="2019-05-08T00:00:00"/>
    <n v="900"/>
    <m/>
    <m/>
    <m/>
    <m/>
    <m/>
    <m/>
    <n v="900"/>
    <n v="0"/>
    <n v="0"/>
    <m/>
  </r>
  <r>
    <x v="89"/>
    <d v="2019-02-13T00:00:00"/>
    <s v="KIỀU THY"/>
    <x v="96"/>
    <x v="97"/>
    <x v="54"/>
    <x v="0"/>
    <x v="0"/>
    <x v="3"/>
    <x v="5"/>
    <s v="NL2018"/>
    <m/>
    <n v="11"/>
    <n v="2200"/>
    <x v="8"/>
    <n v="11000000"/>
    <x v="0"/>
    <d v="2019-01-15T00:00:00"/>
    <x v="6"/>
    <x v="6"/>
    <s v="15/1AL"/>
    <m/>
    <m/>
    <m/>
    <d v="2019-03-01T00:00:00"/>
    <n v="2200"/>
    <m/>
    <m/>
    <m/>
    <m/>
    <m/>
    <m/>
    <n v="2200"/>
    <n v="0"/>
    <n v="0"/>
    <m/>
  </r>
  <r>
    <x v="182"/>
    <d v="2019-01-05T00:00:00"/>
    <s v="THANH THÚY"/>
    <x v="97"/>
    <x v="98"/>
    <x v="73"/>
    <x v="0"/>
    <x v="3"/>
    <x v="3"/>
    <x v="5"/>
    <s v="NL2018"/>
    <m/>
    <n v="20"/>
    <n v="4000"/>
    <x v="10"/>
    <n v="22000000"/>
    <x v="0"/>
    <d v="2019-02-15T00:00:00"/>
    <x v="0"/>
    <x v="0"/>
    <s v="14/2AL"/>
    <s v="CONT 10/2019"/>
    <m/>
    <m/>
    <d v="2019-03-25T00:00:00"/>
    <n v="4000"/>
    <m/>
    <m/>
    <m/>
    <m/>
    <m/>
    <m/>
    <n v="4000"/>
    <n v="0"/>
    <n v="0"/>
    <d v="2020-02-11T00:00:00"/>
  </r>
  <r>
    <x v="182"/>
    <d v="2019-06-07T00:00:00"/>
    <s v="THANH THÚY"/>
    <x v="97"/>
    <x v="98"/>
    <x v="73"/>
    <x v="0"/>
    <x v="3"/>
    <x v="3"/>
    <x v="5"/>
    <s v="NL2018"/>
    <m/>
    <n v="0"/>
    <n v="0"/>
    <x v="10"/>
    <n v="0"/>
    <x v="1"/>
    <d v="2019-04-15T00:00:00"/>
    <x v="32"/>
    <x v="32"/>
    <s v="15/4AL"/>
    <m/>
    <m/>
    <m/>
    <m/>
    <m/>
    <m/>
    <m/>
    <m/>
    <m/>
    <m/>
    <m/>
    <n v="0"/>
    <n v="0"/>
    <n v="0"/>
    <m/>
  </r>
  <r>
    <x v="182"/>
    <d v="2019-01-05T00:00:00"/>
    <s v="THANH THÚY"/>
    <x v="97"/>
    <x v="98"/>
    <x v="5"/>
    <x v="3"/>
    <x v="0"/>
    <x v="1"/>
    <x v="9"/>
    <s v="NL2018"/>
    <m/>
    <n v="34"/>
    <n v="5100"/>
    <x v="73"/>
    <n v="32130000"/>
    <x v="0"/>
    <d v="2019-01-15T00:00:00"/>
    <x v="6"/>
    <x v="6"/>
    <s v="15/1AL"/>
    <m/>
    <m/>
    <m/>
    <d v="2019-03-05T00:00:00"/>
    <n v="5100"/>
    <m/>
    <m/>
    <m/>
    <m/>
    <m/>
    <m/>
    <n v="5100"/>
    <n v="0"/>
    <n v="0"/>
    <d v="2020-02-11T00:00:00"/>
  </r>
  <r>
    <x v="182"/>
    <d v="2019-01-05T00:00:00"/>
    <s v="THANH THÚY"/>
    <x v="97"/>
    <x v="98"/>
    <x v="5"/>
    <x v="3"/>
    <x v="0"/>
    <x v="1"/>
    <x v="9"/>
    <s v="NL2018"/>
    <m/>
    <n v="40"/>
    <n v="6000"/>
    <x v="73"/>
    <n v="37800000"/>
    <x v="0"/>
    <d v="2019-02-15T00:00:00"/>
    <x v="0"/>
    <x v="0"/>
    <s v="14/2AL"/>
    <s v="CONT 10/2019"/>
    <m/>
    <m/>
    <d v="2019-03-25T00:00:00"/>
    <n v="6000"/>
    <m/>
    <m/>
    <m/>
    <m/>
    <m/>
    <m/>
    <n v="6000"/>
    <n v="0"/>
    <n v="0"/>
    <d v="2020-02-11T00:00:00"/>
  </r>
  <r>
    <x v="182"/>
    <d v="2019-06-07T00:00:00"/>
    <s v="THANH THÚY"/>
    <x v="97"/>
    <x v="98"/>
    <x v="3"/>
    <x v="3"/>
    <x v="0"/>
    <x v="3"/>
    <x v="5"/>
    <s v="NL2018"/>
    <m/>
    <n v="60"/>
    <n v="12000"/>
    <x v="10"/>
    <n v="66000000"/>
    <x v="4"/>
    <d v="2019-05-05T00:00:00"/>
    <x v="27"/>
    <x v="27"/>
    <m/>
    <m/>
    <m/>
    <m/>
    <m/>
    <m/>
    <m/>
    <m/>
    <m/>
    <m/>
    <m/>
    <m/>
    <n v="0"/>
    <n v="12000"/>
    <n v="66000000"/>
    <m/>
  </r>
  <r>
    <x v="182"/>
    <d v="2019-01-05T00:00:00"/>
    <s v="THANH THÚY"/>
    <x v="97"/>
    <x v="98"/>
    <x v="3"/>
    <x v="3"/>
    <x v="0"/>
    <x v="3"/>
    <x v="5"/>
    <s v="NL2018"/>
    <m/>
    <n v="45"/>
    <n v="9000"/>
    <x v="109"/>
    <n v="45900000"/>
    <x v="0"/>
    <d v="2019-04-15T00:00:00"/>
    <x v="32"/>
    <x v="32"/>
    <s v="15/4AL"/>
    <m/>
    <m/>
    <m/>
    <d v="2019-06-04T00:00:00"/>
    <n v="9000"/>
    <m/>
    <m/>
    <m/>
    <m/>
    <m/>
    <m/>
    <n v="9000"/>
    <n v="0"/>
    <n v="0"/>
    <d v="2020-02-11T00:00:00"/>
  </r>
  <r>
    <x v="183"/>
    <d v="2019-01-05T00:00:00"/>
    <s v="THANH THÚY"/>
    <x v="97"/>
    <x v="98"/>
    <x v="4"/>
    <x v="3"/>
    <x v="0"/>
    <x v="4"/>
    <x v="14"/>
    <s v="NL2018"/>
    <m/>
    <n v="160"/>
    <n v="20000"/>
    <x v="33"/>
    <n v="214000000"/>
    <x v="2"/>
    <d v="2019-09-01T00:00:00"/>
    <x v="2"/>
    <x v="2"/>
    <s v="TẾT"/>
    <m/>
    <m/>
    <m/>
    <m/>
    <m/>
    <m/>
    <m/>
    <m/>
    <m/>
    <m/>
    <m/>
    <n v="0"/>
    <n v="20000"/>
    <n v="214000000"/>
    <m/>
  </r>
  <r>
    <x v="182"/>
    <d v="2019-01-05T00:00:00"/>
    <s v="THANH THÚY"/>
    <x v="97"/>
    <x v="98"/>
    <x v="43"/>
    <x v="24"/>
    <x v="0"/>
    <x v="3"/>
    <x v="5"/>
    <s v="NL2018"/>
    <m/>
    <n v="50"/>
    <n v="10000"/>
    <x v="50"/>
    <n v="60000000"/>
    <x v="0"/>
    <s v="29-Feb-19"/>
    <x v="10"/>
    <x v="10"/>
    <s v="28/2AL"/>
    <s v="CONT 17/2019"/>
    <m/>
    <m/>
    <d v="2019-04-18T00:00:00"/>
    <n v="7000"/>
    <d v="2019-04-26T00:00:00"/>
    <n v="3000"/>
    <m/>
    <m/>
    <m/>
    <m/>
    <n v="10000"/>
    <n v="0"/>
    <n v="0"/>
    <d v="2020-02-11T00:00:00"/>
  </r>
  <r>
    <x v="183"/>
    <d v="2019-01-05T00:00:00"/>
    <s v="THANH THÚY"/>
    <x v="97"/>
    <x v="98"/>
    <x v="130"/>
    <x v="54"/>
    <x v="0"/>
    <x v="1"/>
    <x v="9"/>
    <s v="NL2018"/>
    <m/>
    <n v="34"/>
    <n v="5100"/>
    <x v="158"/>
    <n v="46920000"/>
    <x v="2"/>
    <d v="2019-09-01T00:00:00"/>
    <x v="2"/>
    <x v="2"/>
    <s v="TẾT"/>
    <m/>
    <m/>
    <m/>
    <m/>
    <n v="0"/>
    <m/>
    <m/>
    <m/>
    <m/>
    <m/>
    <m/>
    <n v="0"/>
    <n v="5100"/>
    <n v="46920000"/>
    <d v="2020-02-11T00:00:00"/>
  </r>
  <r>
    <x v="182"/>
    <d v="2019-01-05T00:00:00"/>
    <s v="THANH THÚY"/>
    <x v="97"/>
    <x v="98"/>
    <x v="23"/>
    <x v="11"/>
    <x v="0"/>
    <x v="2"/>
    <x v="6"/>
    <s v="NL2018"/>
    <m/>
    <n v="34"/>
    <n v="10200"/>
    <x v="170"/>
    <n v="54570000"/>
    <x v="4"/>
    <d v="2019-04-15T00:00:00"/>
    <x v="32"/>
    <x v="32"/>
    <s v="15/4AL"/>
    <m/>
    <m/>
    <m/>
    <d v="2019-06-18T00:00:00"/>
    <n v="6000"/>
    <m/>
    <m/>
    <m/>
    <m/>
    <m/>
    <m/>
    <n v="6000"/>
    <n v="4200"/>
    <n v="22470000"/>
    <d v="2020-02-11T00:00:00"/>
  </r>
  <r>
    <x v="182"/>
    <d v="2019-06-17T00:00:00"/>
    <s v="THANH THÚY"/>
    <x v="97"/>
    <x v="98"/>
    <x v="23"/>
    <x v="11"/>
    <x v="0"/>
    <x v="2"/>
    <x v="2"/>
    <s v="NL2018"/>
    <m/>
    <n v="34"/>
    <n v="10200"/>
    <x v="10"/>
    <n v="56100000"/>
    <x v="3"/>
    <d v="2019-06-15T00:00:00"/>
    <x v="4"/>
    <x v="4"/>
    <m/>
    <m/>
    <m/>
    <m/>
    <m/>
    <m/>
    <m/>
    <m/>
    <m/>
    <m/>
    <m/>
    <m/>
    <n v="0"/>
    <n v="10200"/>
    <n v="56100000"/>
    <m/>
  </r>
  <r>
    <x v="182"/>
    <d v="2019-06-17T00:00:00"/>
    <s v="THANH THÚY"/>
    <x v="97"/>
    <x v="98"/>
    <x v="23"/>
    <x v="11"/>
    <x v="0"/>
    <x v="2"/>
    <x v="2"/>
    <s v="NL2018"/>
    <m/>
    <n v="34"/>
    <n v="10200"/>
    <x v="10"/>
    <n v="56100000"/>
    <x v="2"/>
    <d v="2019-06-25T00:00:00"/>
    <x v="19"/>
    <x v="19"/>
    <m/>
    <m/>
    <m/>
    <m/>
    <m/>
    <m/>
    <m/>
    <m/>
    <m/>
    <m/>
    <m/>
    <m/>
    <n v="0"/>
    <n v="10200"/>
    <n v="56100000"/>
    <m/>
  </r>
  <r>
    <x v="182"/>
    <d v="2019-01-05T00:00:00"/>
    <s v="THANH THÚY"/>
    <x v="97"/>
    <x v="98"/>
    <x v="23"/>
    <x v="11"/>
    <x v="0"/>
    <x v="2"/>
    <x v="6"/>
    <s v="NL2018"/>
    <m/>
    <n v="17"/>
    <n v="5100"/>
    <x v="32"/>
    <n v="27030000"/>
    <x v="0"/>
    <s v="29-Feb-19"/>
    <x v="10"/>
    <x v="10"/>
    <s v="28/2AL"/>
    <s v="CONT 17/2019"/>
    <m/>
    <m/>
    <d v="2019-04-18T00:00:00"/>
    <n v="5100"/>
    <m/>
    <m/>
    <m/>
    <m/>
    <m/>
    <m/>
    <n v="5100"/>
    <n v="0"/>
    <n v="0"/>
    <d v="2020-02-11T00:00:00"/>
  </r>
  <r>
    <x v="182"/>
    <d v="2019-01-05T00:00:00"/>
    <s v="THANH THÚY"/>
    <x v="97"/>
    <x v="98"/>
    <x v="6"/>
    <x v="39"/>
    <x v="0"/>
    <x v="3"/>
    <x v="5"/>
    <s v="NL2018"/>
    <m/>
    <n v="50"/>
    <n v="10000"/>
    <x v="12"/>
    <n v="47000000"/>
    <x v="0"/>
    <d v="2019-01-15T00:00:00"/>
    <x v="6"/>
    <x v="6"/>
    <s v="15/1AL"/>
    <m/>
    <m/>
    <m/>
    <d v="2019-02-19T00:00:00"/>
    <n v="10000"/>
    <m/>
    <m/>
    <m/>
    <m/>
    <m/>
    <m/>
    <n v="10000"/>
    <n v="0"/>
    <n v="0"/>
    <d v="2020-02-11T00:00:00"/>
  </r>
  <r>
    <x v="182"/>
    <d v="2019-01-05T00:00:00"/>
    <s v="THANH THÚY"/>
    <x v="97"/>
    <x v="98"/>
    <x v="6"/>
    <x v="4"/>
    <x v="0"/>
    <x v="3"/>
    <x v="5"/>
    <s v="NL2018"/>
    <m/>
    <n v="50"/>
    <n v="10000"/>
    <x v="8"/>
    <n v="50000000"/>
    <x v="0"/>
    <d v="2019-03-15T00:00:00"/>
    <x v="5"/>
    <x v="5"/>
    <s v="15/3AL"/>
    <s v="CONT 22/2019"/>
    <m/>
    <m/>
    <d v="2019-05-21T00:00:00"/>
    <n v="10000"/>
    <m/>
    <m/>
    <m/>
    <m/>
    <m/>
    <m/>
    <n v="10000"/>
    <n v="0"/>
    <n v="0"/>
    <d v="2020-02-11T00:00:00"/>
  </r>
  <r>
    <x v="182"/>
    <d v="2019-01-05T00:00:00"/>
    <s v="THANH THÚY"/>
    <x v="97"/>
    <x v="98"/>
    <x v="6"/>
    <x v="4"/>
    <x v="0"/>
    <x v="3"/>
    <x v="5"/>
    <s v="NL2018"/>
    <m/>
    <n v="25"/>
    <n v="5000"/>
    <x v="8"/>
    <n v="25000000"/>
    <x v="0"/>
    <d v="2019-04-17T00:00:00"/>
    <x v="1"/>
    <x v="1"/>
    <m/>
    <m/>
    <m/>
    <m/>
    <d v="2019-06-04T00:00:00"/>
    <n v="5000"/>
    <m/>
    <m/>
    <m/>
    <m/>
    <m/>
    <m/>
    <n v="5000"/>
    <n v="0"/>
    <n v="0"/>
    <m/>
  </r>
  <r>
    <x v="183"/>
    <d v="2019-01-05T00:00:00"/>
    <s v="THANH THÚY"/>
    <x v="97"/>
    <x v="98"/>
    <x v="7"/>
    <x v="4"/>
    <x v="0"/>
    <x v="4"/>
    <x v="14"/>
    <s v="NL2018"/>
    <m/>
    <n v="160"/>
    <n v="20000"/>
    <x v="5"/>
    <n v="210000000"/>
    <x v="2"/>
    <d v="2019-09-01T00:00:00"/>
    <x v="2"/>
    <x v="2"/>
    <s v="TẾT"/>
    <m/>
    <m/>
    <m/>
    <m/>
    <n v="0"/>
    <m/>
    <m/>
    <m/>
    <m/>
    <m/>
    <m/>
    <n v="0"/>
    <n v="20000"/>
    <n v="210000000"/>
    <d v="2020-02-11T00:00:00"/>
  </r>
  <r>
    <x v="182"/>
    <d v="2019-01-05T00:00:00"/>
    <s v="THANH THÚY"/>
    <x v="97"/>
    <x v="98"/>
    <x v="13"/>
    <x v="7"/>
    <x v="0"/>
    <x v="5"/>
    <x v="6"/>
    <s v="NL2018"/>
    <m/>
    <n v="17"/>
    <n v="5100"/>
    <x v="14"/>
    <n v="22950000"/>
    <x v="0"/>
    <d v="2019-01-15T00:00:00"/>
    <x v="6"/>
    <x v="6"/>
    <s v="15/1AL"/>
    <m/>
    <m/>
    <m/>
    <d v="2019-03-05T00:00:00"/>
    <n v="5100"/>
    <m/>
    <m/>
    <m/>
    <m/>
    <m/>
    <m/>
    <n v="5100"/>
    <n v="0"/>
    <n v="0"/>
    <d v="2020-02-11T00:00:00"/>
  </r>
  <r>
    <x v="182"/>
    <d v="2019-01-05T00:00:00"/>
    <s v="THANH THÚY"/>
    <x v="97"/>
    <x v="98"/>
    <x v="77"/>
    <x v="7"/>
    <x v="0"/>
    <x v="3"/>
    <x v="5"/>
    <s v="NL2018"/>
    <m/>
    <n v="25"/>
    <n v="5000"/>
    <x v="73"/>
    <n v="31500000"/>
    <x v="0"/>
    <d v="2019-01-15T00:00:00"/>
    <x v="6"/>
    <x v="6"/>
    <s v="15/1AL"/>
    <m/>
    <m/>
    <m/>
    <d v="2019-03-05T00:00:00"/>
    <n v="5000"/>
    <m/>
    <m/>
    <m/>
    <m/>
    <m/>
    <m/>
    <n v="5000"/>
    <n v="0"/>
    <n v="0"/>
    <d v="2020-02-11T00:00:00"/>
  </r>
  <r>
    <x v="182"/>
    <d v="2019-01-05T00:00:00"/>
    <s v="THANH THÚY"/>
    <x v="97"/>
    <x v="98"/>
    <x v="9"/>
    <x v="5"/>
    <x v="0"/>
    <x v="3"/>
    <x v="5"/>
    <s v="NL2018"/>
    <m/>
    <n v="145"/>
    <n v="29000"/>
    <x v="10"/>
    <n v="159500000"/>
    <x v="4"/>
    <d v="2019-03-15T00:00:00"/>
    <x v="5"/>
    <x v="5"/>
    <s v="15/3AL"/>
    <s v="CONT 21/2019"/>
    <m/>
    <m/>
    <d v="2019-04-26T00:00:00"/>
    <n v="7000"/>
    <d v="2019-05-21T00:00:00"/>
    <n v="6000"/>
    <d v="2019-06-05T00:00:00"/>
    <n v="5000"/>
    <d v="2019-06-18T00:00:00"/>
    <n v="6000"/>
    <n v="24000"/>
    <n v="5000"/>
    <n v="27500000"/>
    <d v="2020-02-11T00:00:00"/>
  </r>
  <r>
    <x v="182"/>
    <d v="2019-01-05T00:00:00"/>
    <s v="THANH THÚY"/>
    <x v="97"/>
    <x v="98"/>
    <x v="9"/>
    <x v="5"/>
    <x v="0"/>
    <x v="3"/>
    <x v="5"/>
    <s v="NL2018"/>
    <m/>
    <n v="0"/>
    <n v="0"/>
    <x v="54"/>
    <n v="0"/>
    <x v="1"/>
    <d v="2019-04-15T00:00:00"/>
    <x v="32"/>
    <x v="32"/>
    <s v="15/4AL"/>
    <m/>
    <m/>
    <m/>
    <m/>
    <n v="0"/>
    <m/>
    <m/>
    <m/>
    <m/>
    <m/>
    <m/>
    <n v="0"/>
    <n v="0"/>
    <n v="0"/>
    <d v="2020-02-11T00:00:00"/>
  </r>
  <r>
    <x v="183"/>
    <d v="2019-01-05T00:00:00"/>
    <s v="THANH THÚY"/>
    <x v="97"/>
    <x v="98"/>
    <x v="61"/>
    <x v="5"/>
    <x v="0"/>
    <x v="1"/>
    <x v="9"/>
    <s v="NL2018"/>
    <m/>
    <n v="68"/>
    <n v="10200"/>
    <x v="46"/>
    <n v="86700000"/>
    <x v="2"/>
    <d v="2019-09-01T00:00:00"/>
    <x v="2"/>
    <x v="2"/>
    <s v="TẾT"/>
    <m/>
    <m/>
    <m/>
    <m/>
    <n v="0"/>
    <m/>
    <m/>
    <m/>
    <m/>
    <m/>
    <m/>
    <n v="0"/>
    <n v="10200"/>
    <n v="86700000"/>
    <d v="2020-02-11T00:00:00"/>
  </r>
  <r>
    <x v="184"/>
    <d v="2019-06-10T00:00:00"/>
    <s v="KIỀU THY"/>
    <x v="98"/>
    <x v="99"/>
    <x v="33"/>
    <x v="18"/>
    <x v="0"/>
    <x v="3"/>
    <x v="3"/>
    <s v="NL2018"/>
    <m/>
    <n v="6"/>
    <n v="1200"/>
    <x v="13"/>
    <n v="7440000"/>
    <x v="2"/>
    <d v="2019-09-01T00:00:00"/>
    <x v="2"/>
    <x v="2"/>
    <s v="TẾT"/>
    <m/>
    <m/>
    <m/>
    <m/>
    <m/>
    <m/>
    <m/>
    <m/>
    <m/>
    <m/>
    <m/>
    <n v="0"/>
    <n v="1200"/>
    <n v="7440000"/>
    <m/>
  </r>
  <r>
    <x v="184"/>
    <d v="2019-06-18T00:00:00"/>
    <s v="KIỀU THY"/>
    <x v="98"/>
    <x v="99"/>
    <x v="33"/>
    <x v="18"/>
    <x v="0"/>
    <x v="3"/>
    <x v="3"/>
    <s v="NL2018"/>
    <m/>
    <n v="2"/>
    <n v="400"/>
    <x v="13"/>
    <n v="2480000"/>
    <x v="2"/>
    <d v="2019-09-01T00:00:00"/>
    <x v="2"/>
    <x v="2"/>
    <s v="TẾT"/>
    <m/>
    <m/>
    <m/>
    <m/>
    <m/>
    <m/>
    <m/>
    <m/>
    <m/>
    <m/>
    <m/>
    <n v="0"/>
    <n v="400"/>
    <n v="2480000"/>
    <m/>
  </r>
  <r>
    <x v="184"/>
    <d v="2019-06-10T00:00:00"/>
    <s v="KIỀU THY"/>
    <x v="98"/>
    <x v="99"/>
    <x v="159"/>
    <x v="37"/>
    <x v="0"/>
    <x v="1"/>
    <x v="1"/>
    <s v="NZ2019"/>
    <m/>
    <n v="4"/>
    <n v="600"/>
    <x v="74"/>
    <n v="5760000"/>
    <x v="2"/>
    <d v="2019-09-01T00:00:00"/>
    <x v="2"/>
    <x v="2"/>
    <s v="TẾT"/>
    <m/>
    <m/>
    <m/>
    <m/>
    <m/>
    <m/>
    <m/>
    <m/>
    <m/>
    <m/>
    <m/>
    <n v="0"/>
    <n v="600"/>
    <n v="5760000"/>
    <m/>
  </r>
  <r>
    <x v="184"/>
    <d v="2019-06-18T00:00:00"/>
    <s v="KIỀU THY"/>
    <x v="98"/>
    <x v="99"/>
    <x v="159"/>
    <x v="37"/>
    <x v="0"/>
    <x v="1"/>
    <x v="1"/>
    <s v="NZ2019"/>
    <m/>
    <n v="4"/>
    <n v="600"/>
    <x v="74"/>
    <n v="5760000"/>
    <x v="2"/>
    <d v="2019-09-01T00:00:00"/>
    <x v="2"/>
    <x v="2"/>
    <s v="TẾT"/>
    <m/>
    <m/>
    <m/>
    <m/>
    <m/>
    <m/>
    <m/>
    <m/>
    <m/>
    <m/>
    <m/>
    <n v="0"/>
    <n v="600"/>
    <n v="5760000"/>
    <m/>
  </r>
  <r>
    <x v="185"/>
    <d v="2019-02-04T00:00:00"/>
    <s v="THANH THÚY"/>
    <x v="99"/>
    <x v="100"/>
    <x v="34"/>
    <x v="1"/>
    <x v="0"/>
    <x v="2"/>
    <x v="6"/>
    <s v="NL2018"/>
    <m/>
    <n v="34"/>
    <n v="10200"/>
    <x v="171"/>
    <n v="44727000"/>
    <x v="0"/>
    <d v="2019-01-15T00:00:00"/>
    <x v="6"/>
    <x v="6"/>
    <s v="15/1AL"/>
    <m/>
    <m/>
    <m/>
    <d v="2019-02-20T00:00:00"/>
    <n v="10200"/>
    <m/>
    <m/>
    <m/>
    <m/>
    <m/>
    <m/>
    <n v="10200"/>
    <n v="0"/>
    <n v="0"/>
    <d v="2020-02-03T00:00:00"/>
  </r>
  <r>
    <x v="186"/>
    <d v="2019-03-19T00:00:00"/>
    <s v="THANH THÚY"/>
    <x v="99"/>
    <x v="100"/>
    <x v="2"/>
    <x v="2"/>
    <x v="0"/>
    <x v="2"/>
    <x v="6"/>
    <s v="NL2018"/>
    <m/>
    <n v="10"/>
    <n v="3000"/>
    <x v="106"/>
    <n v="10800000"/>
    <x v="0"/>
    <d v="2019-02-15T00:00:00"/>
    <x v="0"/>
    <x v="0"/>
    <s v="15/2AL"/>
    <s v="CONT 11/2019"/>
    <m/>
    <m/>
    <d v="2019-03-19T00:00:00"/>
    <n v="3000"/>
    <m/>
    <m/>
    <m/>
    <m/>
    <m/>
    <m/>
    <n v="3000"/>
    <n v="0"/>
    <n v="0"/>
    <d v="2020-02-03T00:00:00"/>
  </r>
  <r>
    <x v="185"/>
    <d v="2019-02-04T00:00:00"/>
    <s v="THANH THÚY"/>
    <x v="99"/>
    <x v="100"/>
    <x v="3"/>
    <x v="3"/>
    <x v="0"/>
    <x v="3"/>
    <x v="5"/>
    <s v="NL2018"/>
    <m/>
    <n v="50"/>
    <n v="10000"/>
    <x v="42"/>
    <n v="48000000"/>
    <x v="0"/>
    <d v="2019-01-15T00:00:00"/>
    <x v="6"/>
    <x v="6"/>
    <s v="15/1AL"/>
    <m/>
    <m/>
    <m/>
    <d v="2019-02-21T00:00:00"/>
    <n v="10000"/>
    <m/>
    <m/>
    <m/>
    <m/>
    <m/>
    <m/>
    <n v="10000"/>
    <n v="0"/>
    <n v="0"/>
    <d v="2020-02-11T00:00:00"/>
  </r>
  <r>
    <x v="185"/>
    <d v="2019-02-04T00:00:00"/>
    <s v="THANH THÚY"/>
    <x v="99"/>
    <x v="100"/>
    <x v="3"/>
    <x v="3"/>
    <x v="0"/>
    <x v="3"/>
    <x v="5"/>
    <s v="NL2018"/>
    <m/>
    <n v="100"/>
    <n v="20000"/>
    <x v="42"/>
    <n v="96000000"/>
    <x v="0"/>
    <d v="2019-02-15T00:00:00"/>
    <x v="0"/>
    <x v="0"/>
    <s v="15/2AL"/>
    <s v="CONT 11/2019"/>
    <m/>
    <m/>
    <d v="2019-03-19T00:00:00"/>
    <n v="20000"/>
    <m/>
    <m/>
    <m/>
    <m/>
    <m/>
    <m/>
    <n v="20000"/>
    <n v="0"/>
    <n v="0"/>
    <d v="2020-02-03T00:00:00"/>
  </r>
  <r>
    <x v="187"/>
    <d v="2019-03-19T00:00:00"/>
    <s v="THANH THÚY"/>
    <x v="99"/>
    <x v="100"/>
    <x v="3"/>
    <x v="3"/>
    <x v="0"/>
    <x v="3"/>
    <x v="5"/>
    <s v="NL2018"/>
    <m/>
    <n v="50"/>
    <n v="10000"/>
    <x v="109"/>
    <n v="51000000"/>
    <x v="0"/>
    <d v="2019-03-30T00:00:00"/>
    <x v="34"/>
    <x v="34"/>
    <s v="30/3AL"/>
    <m/>
    <m/>
    <m/>
    <d v="2019-06-04T00:00:00"/>
    <n v="10000"/>
    <m/>
    <m/>
    <m/>
    <m/>
    <m/>
    <m/>
    <n v="10000"/>
    <n v="0"/>
    <n v="0"/>
    <m/>
  </r>
  <r>
    <x v="185"/>
    <d v="2019-02-04T00:00:00"/>
    <s v="THANH THÚY"/>
    <x v="99"/>
    <x v="100"/>
    <x v="9"/>
    <x v="5"/>
    <x v="0"/>
    <x v="3"/>
    <x v="5"/>
    <s v="NL2018"/>
    <m/>
    <n v="50"/>
    <n v="10000"/>
    <x v="8"/>
    <n v="50000000"/>
    <x v="0"/>
    <d v="2019-03-15T00:00:00"/>
    <x v="5"/>
    <x v="5"/>
    <s v="15/3AL"/>
    <s v="CONT 22/2019"/>
    <m/>
    <m/>
    <d v="2019-05-03T00:00:00"/>
    <n v="10000"/>
    <m/>
    <m/>
    <m/>
    <m/>
    <m/>
    <m/>
    <n v="10000"/>
    <n v="0"/>
    <n v="0"/>
    <d v="2020-02-03T00:00:00"/>
  </r>
  <r>
    <x v="187"/>
    <d v="2019-03-19T00:00:00"/>
    <s v="THANH THÚY"/>
    <x v="99"/>
    <x v="100"/>
    <x v="9"/>
    <x v="5"/>
    <x v="0"/>
    <x v="3"/>
    <x v="5"/>
    <s v="NL2018"/>
    <m/>
    <n v="0"/>
    <n v="0"/>
    <x v="10"/>
    <n v="0"/>
    <x v="1"/>
    <d v="2019-03-30T00:00:00"/>
    <x v="34"/>
    <x v="34"/>
    <s v="30/3AL"/>
    <m/>
    <m/>
    <m/>
    <m/>
    <m/>
    <m/>
    <m/>
    <m/>
    <m/>
    <m/>
    <m/>
    <n v="0"/>
    <n v="0"/>
    <n v="0"/>
    <m/>
  </r>
  <r>
    <x v="188"/>
    <d v="2019-02-22T00:00:00"/>
    <s v="KIỀU THY"/>
    <x v="100"/>
    <x v="101"/>
    <x v="74"/>
    <x v="0"/>
    <x v="0"/>
    <x v="2"/>
    <x v="6"/>
    <s v="NL2018"/>
    <m/>
    <n v="17"/>
    <n v="5100"/>
    <x v="77"/>
    <n v="19380000"/>
    <x v="0"/>
    <d v="2019-03-15T00:00:00"/>
    <x v="5"/>
    <x v="5"/>
    <s v="15/3AL"/>
    <m/>
    <m/>
    <m/>
    <d v="2019-04-05T00:00:00"/>
    <n v="5100"/>
    <m/>
    <m/>
    <m/>
    <m/>
    <m/>
    <m/>
    <n v="5100"/>
    <n v="0"/>
    <n v="0"/>
    <m/>
  </r>
  <r>
    <x v="188"/>
    <d v="2019-02-22T00:00:00"/>
    <s v="KIỀU THY"/>
    <x v="100"/>
    <x v="101"/>
    <x v="0"/>
    <x v="0"/>
    <x v="0"/>
    <x v="7"/>
    <x v="8"/>
    <s v="NL2018"/>
    <m/>
    <n v="38"/>
    <n v="15200"/>
    <x v="1"/>
    <n v="41040000"/>
    <x v="0"/>
    <d v="2019-04-17T00:00:00"/>
    <x v="1"/>
    <x v="1"/>
    <s v="10/4AL"/>
    <m/>
    <m/>
    <m/>
    <d v="2019-06-04T00:00:00"/>
    <n v="10000"/>
    <d v="2019-06-21T00:00:00"/>
    <n v="5200"/>
    <m/>
    <m/>
    <m/>
    <m/>
    <n v="15200"/>
    <n v="0"/>
    <n v="0"/>
    <m/>
  </r>
  <r>
    <x v="188"/>
    <d v="2019-06-17T00:00:00"/>
    <s v="KIỀU THY"/>
    <x v="100"/>
    <x v="101"/>
    <x v="74"/>
    <x v="0"/>
    <x v="0"/>
    <x v="2"/>
    <x v="6"/>
    <s v="NL2018"/>
    <m/>
    <n v="14"/>
    <n v="4200"/>
    <x v="45"/>
    <n v="16800000"/>
    <x v="3"/>
    <d v="2019-06-15T00:00:00"/>
    <x v="4"/>
    <x v="4"/>
    <s v="Hà Nội chuyển vô"/>
    <m/>
    <m/>
    <m/>
    <m/>
    <m/>
    <m/>
    <m/>
    <m/>
    <m/>
    <m/>
    <m/>
    <n v="0"/>
    <n v="4200"/>
    <n v="16800000"/>
    <m/>
  </r>
  <r>
    <x v="188"/>
    <d v="2019-06-21T00:00:00"/>
    <s v="KIỀU THY"/>
    <x v="100"/>
    <x v="101"/>
    <x v="73"/>
    <x v="0"/>
    <x v="3"/>
    <x v="3"/>
    <x v="5"/>
    <s v="NL2018"/>
    <m/>
    <n v="0"/>
    <n v="0"/>
    <x v="50"/>
    <n v="0"/>
    <x v="1"/>
    <d v="2019-06-29T00:00:00"/>
    <x v="13"/>
    <x v="13"/>
    <m/>
    <m/>
    <m/>
    <m/>
    <m/>
    <m/>
    <m/>
    <m/>
    <m/>
    <m/>
    <m/>
    <m/>
    <n v="0"/>
    <n v="0"/>
    <n v="0"/>
    <m/>
  </r>
  <r>
    <x v="188"/>
    <d v="2019-02-22T00:00:00"/>
    <s v="KIỀU THY"/>
    <x v="100"/>
    <x v="101"/>
    <x v="0"/>
    <x v="0"/>
    <x v="0"/>
    <x v="7"/>
    <x v="8"/>
    <s v="NL2018"/>
    <m/>
    <n v="25"/>
    <n v="10000"/>
    <x v="0"/>
    <n v="26000000"/>
    <x v="0"/>
    <s v="30-Feb-19"/>
    <x v="29"/>
    <x v="29"/>
    <s v="30/2AL"/>
    <s v="CONT 18/2019"/>
    <d v="2019-03-31T00:00:00"/>
    <s v="R"/>
    <d v="2019-04-05T00:00:00"/>
    <n v="5200"/>
    <d v="2019-04-24T00:00:00"/>
    <n v="4800"/>
    <m/>
    <m/>
    <m/>
    <m/>
    <n v="10000"/>
    <n v="0"/>
    <n v="0"/>
    <m/>
  </r>
  <r>
    <x v="188"/>
    <d v="2019-02-22T00:00:00"/>
    <s v="KIỀU THY"/>
    <x v="100"/>
    <x v="101"/>
    <x v="74"/>
    <x v="0"/>
    <x v="0"/>
    <x v="2"/>
    <x v="6"/>
    <s v="NL2018"/>
    <m/>
    <n v="10"/>
    <n v="3000"/>
    <x v="77"/>
    <n v="11400000"/>
    <x v="0"/>
    <s v="30-Feb-19"/>
    <x v="29"/>
    <x v="29"/>
    <s v="30/2AL"/>
    <s v="CONT 14/2019"/>
    <d v="2019-03-31T00:00:00"/>
    <m/>
    <d v="2019-04-24T00:00:00"/>
    <n v="3000"/>
    <m/>
    <m/>
    <m/>
    <m/>
    <m/>
    <m/>
    <n v="3000"/>
    <n v="0"/>
    <n v="0"/>
    <s v="Check lai, dieu chinh sl cho chan khay"/>
  </r>
  <r>
    <x v="188"/>
    <d v="2019-02-22T00:00:00"/>
    <s v="KIỀU THY"/>
    <x v="100"/>
    <x v="101"/>
    <x v="74"/>
    <x v="0"/>
    <x v="0"/>
    <x v="2"/>
    <x v="6"/>
    <s v="NL2018"/>
    <m/>
    <n v="8"/>
    <n v="2400"/>
    <x v="77"/>
    <n v="9120000"/>
    <x v="0"/>
    <s v="30-Feb-19"/>
    <x v="29"/>
    <x v="29"/>
    <s v="30/2AL"/>
    <s v="CONT 18/2019"/>
    <d v="2019-03-31T00:00:00"/>
    <s v="R"/>
    <d v="2019-04-24T00:00:00"/>
    <n v="2400"/>
    <m/>
    <m/>
    <m/>
    <m/>
    <m/>
    <m/>
    <n v="2400"/>
    <n v="0"/>
    <n v="0"/>
    <s v="check lai sl 9800 hay 2400"/>
  </r>
  <r>
    <x v="188"/>
    <d v="2019-02-22T00:00:00"/>
    <s v="KIỀU THY"/>
    <x v="100"/>
    <x v="101"/>
    <x v="2"/>
    <x v="2"/>
    <x v="0"/>
    <x v="2"/>
    <x v="6"/>
    <s v="NL2018"/>
    <m/>
    <n v="31"/>
    <n v="9300"/>
    <x v="3"/>
    <n v="32550000"/>
    <x v="0"/>
    <s v="30-Feb-19"/>
    <x v="29"/>
    <x v="29"/>
    <s v="30/2AL"/>
    <s v="CONT 17/2019"/>
    <d v="2019-03-31T00:00:00"/>
    <s v="R"/>
    <d v="2019-04-05T00:00:00"/>
    <n v="9300"/>
    <m/>
    <m/>
    <m/>
    <m/>
    <m/>
    <m/>
    <n v="9300"/>
    <n v="0"/>
    <n v="0"/>
    <m/>
  </r>
  <r>
    <x v="188"/>
    <d v="2019-06-21T00:00:00"/>
    <s v="KIỀU THY"/>
    <x v="100"/>
    <x v="101"/>
    <x v="93"/>
    <x v="3"/>
    <x v="0"/>
    <x v="2"/>
    <x v="6"/>
    <s v="NL2018"/>
    <m/>
    <n v="17"/>
    <n v="5100"/>
    <x v="77"/>
    <n v="19380000"/>
    <x v="3"/>
    <d v="2019-06-15T00:00:00"/>
    <x v="4"/>
    <x v="4"/>
    <m/>
    <m/>
    <m/>
    <m/>
    <m/>
    <m/>
    <m/>
    <m/>
    <m/>
    <m/>
    <m/>
    <m/>
    <n v="0"/>
    <n v="5100"/>
    <n v="19380000"/>
    <m/>
  </r>
  <r>
    <x v="188"/>
    <d v="2019-02-22T00:00:00"/>
    <s v="KIỀU THY"/>
    <x v="100"/>
    <x v="101"/>
    <x v="3"/>
    <x v="3"/>
    <x v="0"/>
    <x v="3"/>
    <x v="5"/>
    <s v="NL2018"/>
    <m/>
    <n v="50"/>
    <n v="10000"/>
    <x v="42"/>
    <n v="48000000"/>
    <x v="0"/>
    <s v="30-Feb-19"/>
    <x v="29"/>
    <x v="29"/>
    <s v="30/2AL"/>
    <s v="CONT 18/2019"/>
    <d v="2019-03-31T00:00:00"/>
    <s v="R"/>
    <d v="2019-04-05T00:00:00"/>
    <n v="10000"/>
    <m/>
    <m/>
    <m/>
    <m/>
    <m/>
    <m/>
    <n v="10000"/>
    <n v="0"/>
    <n v="0"/>
    <m/>
  </r>
  <r>
    <x v="188"/>
    <d v="2019-05-06T00:00:00"/>
    <s v="KIỀU THY"/>
    <x v="100"/>
    <x v="101"/>
    <x v="93"/>
    <x v="3"/>
    <x v="0"/>
    <x v="2"/>
    <x v="6"/>
    <s v="NL2018"/>
    <m/>
    <n v="33"/>
    <n v="9900"/>
    <x v="106"/>
    <n v="35640000"/>
    <x v="0"/>
    <d v="2019-05-05T00:00:00"/>
    <x v="27"/>
    <x v="27"/>
    <s v="25/4AL"/>
    <m/>
    <m/>
    <m/>
    <d v="2019-06-21T00:00:00"/>
    <n v="9900"/>
    <m/>
    <m/>
    <m/>
    <m/>
    <m/>
    <m/>
    <n v="9900"/>
    <n v="0"/>
    <n v="0"/>
    <m/>
  </r>
  <r>
    <x v="189"/>
    <d v="2019-06-03T00:00:00"/>
    <s v="KIỀU THY"/>
    <x v="100"/>
    <x v="101"/>
    <x v="5"/>
    <x v="3"/>
    <x v="0"/>
    <x v="1"/>
    <x v="9"/>
    <s v="NL2018"/>
    <m/>
    <n v="34"/>
    <n v="5100"/>
    <x v="46"/>
    <n v="43350000"/>
    <x v="2"/>
    <d v="2019-09-01T00:00:00"/>
    <x v="2"/>
    <x v="2"/>
    <m/>
    <m/>
    <m/>
    <m/>
    <m/>
    <m/>
    <m/>
    <m/>
    <m/>
    <m/>
    <m/>
    <m/>
    <n v="0"/>
    <n v="5100"/>
    <n v="43350000"/>
    <m/>
  </r>
  <r>
    <x v="188"/>
    <d v="2019-05-06T00:00:00"/>
    <s v="KIỀU THY"/>
    <x v="100"/>
    <x v="101"/>
    <x v="78"/>
    <x v="6"/>
    <x v="0"/>
    <x v="13"/>
    <x v="15"/>
    <s v="NL2018"/>
    <m/>
    <n v="37"/>
    <n v="10175"/>
    <x v="8"/>
    <n v="50875000"/>
    <x v="0"/>
    <d v="2019-03-30T00:00:00"/>
    <x v="34"/>
    <x v="34"/>
    <s v="30/3AL"/>
    <m/>
    <m/>
    <m/>
    <d v="2019-05-14T00:00:00"/>
    <n v="10175"/>
    <m/>
    <m/>
    <m/>
    <m/>
    <m/>
    <m/>
    <n v="10175"/>
    <n v="0"/>
    <n v="0"/>
    <m/>
  </r>
  <r>
    <x v="188"/>
    <d v="2019-05-17T00:00:00"/>
    <s v="KIỀU THY"/>
    <x v="100"/>
    <x v="101"/>
    <x v="69"/>
    <x v="13"/>
    <x v="0"/>
    <x v="2"/>
    <x v="6"/>
    <s v="NL2018"/>
    <m/>
    <n v="0"/>
    <n v="0"/>
    <x v="45"/>
    <n v="0"/>
    <x v="1"/>
    <d v="2019-05-05T00:00:00"/>
    <x v="27"/>
    <x v="27"/>
    <m/>
    <m/>
    <m/>
    <m/>
    <m/>
    <m/>
    <m/>
    <m/>
    <m/>
    <m/>
    <m/>
    <m/>
    <n v="0"/>
    <n v="0"/>
    <n v="0"/>
    <m/>
  </r>
  <r>
    <x v="189"/>
    <d v="2019-06-03T00:00:00"/>
    <s v="KIỀU THY"/>
    <x v="100"/>
    <x v="101"/>
    <x v="8"/>
    <x v="4"/>
    <x v="0"/>
    <x v="1"/>
    <x v="9"/>
    <s v="NL2018"/>
    <m/>
    <n v="34"/>
    <n v="5100"/>
    <x v="9"/>
    <n v="40800000"/>
    <x v="2"/>
    <d v="2019-09-01T00:00:00"/>
    <x v="2"/>
    <x v="2"/>
    <m/>
    <m/>
    <m/>
    <m/>
    <m/>
    <m/>
    <m/>
    <m/>
    <m/>
    <m/>
    <m/>
    <m/>
    <n v="0"/>
    <n v="5100"/>
    <n v="40800000"/>
    <m/>
  </r>
  <r>
    <x v="190"/>
    <d v="2019-02-11T00:00:00"/>
    <s v="THANH THÚY"/>
    <x v="101"/>
    <x v="102"/>
    <x v="0"/>
    <x v="0"/>
    <x v="0"/>
    <x v="7"/>
    <x v="8"/>
    <s v="NL2018"/>
    <m/>
    <n v="65"/>
    <n v="26000"/>
    <x v="0"/>
    <n v="67600000"/>
    <x v="0"/>
    <d v="2019-01-15T00:00:00"/>
    <x v="6"/>
    <x v="6"/>
    <s v="15/1AL"/>
    <m/>
    <m/>
    <m/>
    <d v="2019-02-26T00:00:00"/>
    <n v="26000"/>
    <m/>
    <m/>
    <m/>
    <m/>
    <m/>
    <m/>
    <n v="26000"/>
    <n v="0"/>
    <n v="0"/>
    <d v="2020-02-12T00:00:00"/>
  </r>
  <r>
    <x v="190"/>
    <d v="2019-02-11T00:00:00"/>
    <s v="THANH THÚY"/>
    <x v="101"/>
    <x v="102"/>
    <x v="0"/>
    <x v="0"/>
    <x v="0"/>
    <x v="7"/>
    <x v="8"/>
    <s v="NL2018"/>
    <m/>
    <n v="50"/>
    <n v="20000"/>
    <x v="0"/>
    <n v="52000000"/>
    <x v="0"/>
    <d v="2019-03-15T00:00:00"/>
    <x v="5"/>
    <x v="5"/>
    <s v="15/3AL"/>
    <s v="CONT 26/2019"/>
    <m/>
    <m/>
    <d v="2019-04-25T00:00:00"/>
    <n v="20000"/>
    <m/>
    <m/>
    <m/>
    <m/>
    <m/>
    <m/>
    <n v="20000"/>
    <n v="0"/>
    <n v="0"/>
    <d v="2020-02-13T00:00:00"/>
  </r>
  <r>
    <x v="190"/>
    <d v="2019-02-11T00:00:00"/>
    <s v="THANH THÚY"/>
    <x v="101"/>
    <x v="102"/>
    <x v="74"/>
    <x v="0"/>
    <x v="0"/>
    <x v="2"/>
    <x v="6"/>
    <s v="NL2018"/>
    <m/>
    <n v="67"/>
    <n v="20100"/>
    <x v="106"/>
    <n v="72360000"/>
    <x v="0"/>
    <d v="2019-03-15T00:00:00"/>
    <x v="5"/>
    <x v="5"/>
    <s v="15/3AL"/>
    <s v="CONT 27/2019"/>
    <m/>
    <m/>
    <d v="2019-04-25T00:00:00"/>
    <n v="20100"/>
    <m/>
    <m/>
    <m/>
    <m/>
    <m/>
    <m/>
    <n v="20100"/>
    <n v="0"/>
    <n v="0"/>
    <d v="2020-02-13T00:00:00"/>
  </r>
  <r>
    <x v="190"/>
    <d v="2019-05-31T00:00:00"/>
    <s v="THANH THÚY"/>
    <x v="101"/>
    <x v="102"/>
    <x v="74"/>
    <x v="0"/>
    <x v="0"/>
    <x v="2"/>
    <x v="6"/>
    <s v="NL2018"/>
    <m/>
    <n v="100"/>
    <n v="30000"/>
    <x v="57"/>
    <n v="117000000"/>
    <x v="3"/>
    <d v="2019-05-30T00:00:00"/>
    <x v="17"/>
    <x v="17"/>
    <m/>
    <m/>
    <m/>
    <m/>
    <m/>
    <m/>
    <m/>
    <m/>
    <m/>
    <m/>
    <m/>
    <m/>
    <n v="0"/>
    <n v="30000"/>
    <n v="117000000"/>
    <m/>
  </r>
  <r>
    <x v="190"/>
    <d v="2019-02-11T00:00:00"/>
    <s v="THANH THÚY"/>
    <x v="101"/>
    <x v="102"/>
    <x v="31"/>
    <x v="18"/>
    <x v="0"/>
    <x v="7"/>
    <x v="8"/>
    <s v="NL2018"/>
    <m/>
    <n v="25"/>
    <n v="10000"/>
    <x v="36"/>
    <n v="28000000"/>
    <x v="0"/>
    <s v="29-Feb-19"/>
    <x v="10"/>
    <x v="10"/>
    <s v="30/2AL"/>
    <s v="CONT 15/2019"/>
    <m/>
    <m/>
    <d v="2019-04-02T00:00:00"/>
    <n v="10000"/>
    <m/>
    <m/>
    <m/>
    <m/>
    <m/>
    <m/>
    <n v="10000"/>
    <n v="0"/>
    <n v="0"/>
    <d v="2020-02-13T00:00:00"/>
  </r>
  <r>
    <x v="190"/>
    <d v="2019-02-11T00:00:00"/>
    <s v="THANH THÚY"/>
    <x v="101"/>
    <x v="102"/>
    <x v="27"/>
    <x v="14"/>
    <x v="0"/>
    <x v="3"/>
    <x v="5"/>
    <s v="NL2018"/>
    <m/>
    <n v="147"/>
    <n v="29400"/>
    <x v="10"/>
    <n v="161700000"/>
    <x v="0"/>
    <d v="2019-03-15T00:00:00"/>
    <x v="5"/>
    <x v="5"/>
    <s v="15/3AL"/>
    <s v="CONT 27/2019"/>
    <m/>
    <m/>
    <d v="2019-05-03T00:00:00"/>
    <n v="29400"/>
    <m/>
    <m/>
    <m/>
    <m/>
    <m/>
    <m/>
    <n v="29400"/>
    <n v="0"/>
    <n v="0"/>
    <d v="2020-02-13T00:00:00"/>
  </r>
  <r>
    <x v="191"/>
    <d v="2019-04-23T00:00:00"/>
    <s v="THANH THÚY"/>
    <x v="101"/>
    <x v="102"/>
    <x v="65"/>
    <x v="14"/>
    <x v="0"/>
    <x v="8"/>
    <x v="11"/>
    <s v="NL2018"/>
    <m/>
    <n v="200"/>
    <n v="20000"/>
    <x v="63"/>
    <n v="228000000"/>
    <x v="2"/>
    <d v="2019-09-01T00:00:00"/>
    <x v="2"/>
    <x v="2"/>
    <s v="TẾT"/>
    <m/>
    <m/>
    <m/>
    <m/>
    <n v="0"/>
    <m/>
    <m/>
    <m/>
    <m/>
    <m/>
    <m/>
    <n v="0"/>
    <n v="20000"/>
    <n v="228000000"/>
    <d v="2020-02-13T00:00:00"/>
  </r>
  <r>
    <x v="192"/>
    <d v="2019-06-14T00:00:00"/>
    <s v="KIỀU THY"/>
    <x v="102"/>
    <x v="103"/>
    <x v="9"/>
    <x v="5"/>
    <x v="0"/>
    <x v="3"/>
    <x v="3"/>
    <s v="NL2018"/>
    <m/>
    <n v="75"/>
    <n v="15000"/>
    <x v="10"/>
    <n v="82500000"/>
    <x v="0"/>
    <d v="2019-05-15T00:00:00"/>
    <x v="69"/>
    <x v="69"/>
    <m/>
    <m/>
    <m/>
    <m/>
    <d v="2019-06-17T00:00:00"/>
    <n v="15000"/>
    <m/>
    <m/>
    <m/>
    <m/>
    <m/>
    <m/>
    <n v="15000"/>
    <n v="0"/>
    <n v="0"/>
    <m/>
  </r>
  <r>
    <x v="193"/>
    <d v="2019-06-22T00:00:00"/>
    <s v="KIỀU THY"/>
    <x v="103"/>
    <x v="104"/>
    <x v="4"/>
    <x v="3"/>
    <x v="0"/>
    <x v="4"/>
    <x v="14"/>
    <s v="NL2018"/>
    <m/>
    <n v="40"/>
    <n v="5000"/>
    <x v="33"/>
    <n v="53500000"/>
    <x v="2"/>
    <d v="2019-09-01T00:00:00"/>
    <x v="2"/>
    <x v="2"/>
    <m/>
    <m/>
    <m/>
    <m/>
    <m/>
    <m/>
    <m/>
    <m/>
    <m/>
    <m/>
    <m/>
    <m/>
    <n v="0"/>
    <n v="5000"/>
    <n v="53500000"/>
    <m/>
  </r>
  <r>
    <x v="193"/>
    <d v="2019-06-22T00:00:00"/>
    <s v="KIỀU THY"/>
    <x v="103"/>
    <x v="104"/>
    <x v="7"/>
    <x v="4"/>
    <x v="0"/>
    <x v="4"/>
    <x v="14"/>
    <s v="NL2018"/>
    <m/>
    <n v="40"/>
    <n v="5000"/>
    <x v="34"/>
    <n v="53000000"/>
    <x v="2"/>
    <d v="2019-09-01T00:00:00"/>
    <x v="2"/>
    <x v="2"/>
    <m/>
    <m/>
    <m/>
    <m/>
    <m/>
    <m/>
    <m/>
    <m/>
    <m/>
    <m/>
    <m/>
    <m/>
    <n v="0"/>
    <n v="5000"/>
    <n v="53000000"/>
    <m/>
  </r>
  <r>
    <x v="194"/>
    <d v="2019-06-12T00:00:00"/>
    <s v="KIỀU THY"/>
    <x v="104"/>
    <x v="105"/>
    <x v="74"/>
    <x v="0"/>
    <x v="0"/>
    <x v="2"/>
    <x v="6"/>
    <s v="NL2018"/>
    <m/>
    <n v="34"/>
    <n v="10200"/>
    <x v="45"/>
    <n v="40800000"/>
    <x v="2"/>
    <d v="2019-07-01T00:00:00"/>
    <x v="30"/>
    <x v="30"/>
    <m/>
    <m/>
    <m/>
    <m/>
    <m/>
    <m/>
    <m/>
    <m/>
    <m/>
    <m/>
    <m/>
    <m/>
    <n v="0"/>
    <n v="10200"/>
    <n v="40800000"/>
    <m/>
  </r>
  <r>
    <x v="194"/>
    <d v="2019-06-12T00:00:00"/>
    <s v="KIỀU THY"/>
    <x v="104"/>
    <x v="105"/>
    <x v="74"/>
    <x v="0"/>
    <x v="0"/>
    <x v="2"/>
    <x v="6"/>
    <s v="NL2018"/>
    <m/>
    <n v="34"/>
    <n v="10200"/>
    <x v="37"/>
    <n v="41820000"/>
    <x v="2"/>
    <d v="2019-08-01T00:00:00"/>
    <x v="49"/>
    <x v="49"/>
    <m/>
    <m/>
    <m/>
    <m/>
    <m/>
    <m/>
    <m/>
    <m/>
    <m/>
    <m/>
    <m/>
    <m/>
    <n v="0"/>
    <n v="10200"/>
    <n v="41820000"/>
    <m/>
  </r>
  <r>
    <x v="194"/>
    <d v="2019-03-07T00:00:00"/>
    <s v="KIỀU THY"/>
    <x v="104"/>
    <x v="105"/>
    <x v="10"/>
    <x v="1"/>
    <x v="0"/>
    <x v="3"/>
    <x v="5"/>
    <s v="NL2018"/>
    <m/>
    <n v="0"/>
    <n v="0"/>
    <x v="10"/>
    <n v="0"/>
    <x v="1"/>
    <d v="2019-04-17T00:00:00"/>
    <x v="1"/>
    <x v="1"/>
    <s v="17/4AL"/>
    <m/>
    <m/>
    <m/>
    <m/>
    <n v="0"/>
    <m/>
    <m/>
    <m/>
    <m/>
    <m/>
    <m/>
    <n v="0"/>
    <n v="0"/>
    <n v="0"/>
    <m/>
  </r>
  <r>
    <x v="194"/>
    <d v="2019-03-07T00:00:00"/>
    <s v="KIỀU THY"/>
    <x v="104"/>
    <x v="105"/>
    <x v="10"/>
    <x v="1"/>
    <x v="0"/>
    <x v="3"/>
    <x v="5"/>
    <s v="NL2018"/>
    <m/>
    <n v="50"/>
    <n v="10000"/>
    <x v="10"/>
    <n v="55000000"/>
    <x v="0"/>
    <d v="2019-03-15T00:00:00"/>
    <x v="5"/>
    <x v="5"/>
    <s v="15/3AL"/>
    <s v="CONT 26/2019"/>
    <d v="2019-04-14T00:00:00"/>
    <m/>
    <d v="2019-04-23T00:00:00"/>
    <n v="9000"/>
    <d v="2019-05-13T00:00:00"/>
    <s v="1000"/>
    <m/>
    <m/>
    <m/>
    <m/>
    <n v="10000"/>
    <n v="0"/>
    <n v="0"/>
    <m/>
  </r>
  <r>
    <x v="194"/>
    <d v="2019-03-07T00:00:00"/>
    <s v="KIỀU THY"/>
    <x v="104"/>
    <x v="105"/>
    <x v="10"/>
    <x v="1"/>
    <x v="0"/>
    <x v="3"/>
    <x v="5"/>
    <s v="NL2018"/>
    <m/>
    <n v="40"/>
    <n v="8000"/>
    <x v="10"/>
    <n v="44000000"/>
    <x v="0"/>
    <d v="2019-03-15T00:00:00"/>
    <x v="5"/>
    <x v="5"/>
    <s v="15/3AL"/>
    <s v="CONT 26/2019"/>
    <d v="2019-04-14T00:00:00"/>
    <m/>
    <d v="2019-05-13T00:00:00"/>
    <n v="8000"/>
    <m/>
    <m/>
    <m/>
    <m/>
    <m/>
    <m/>
    <n v="8000"/>
    <n v="0"/>
    <n v="0"/>
    <s v="CHECK LAI SL"/>
  </r>
  <r>
    <x v="195"/>
    <d v="2019-05-02T00:00:00"/>
    <s v="KIỀU THY"/>
    <x v="104"/>
    <x v="105"/>
    <x v="3"/>
    <x v="3"/>
    <x v="0"/>
    <x v="3"/>
    <x v="5"/>
    <s v="NL2018"/>
    <m/>
    <n v="39"/>
    <n v="7800"/>
    <x v="32"/>
    <n v="41340000"/>
    <x v="0"/>
    <d v="2019-03-15T00:00:00"/>
    <x v="5"/>
    <x v="5"/>
    <s v="15/3AL"/>
    <m/>
    <m/>
    <m/>
    <d v="2019-05-20T00:00:00"/>
    <n v="7800"/>
    <m/>
    <m/>
    <m/>
    <m/>
    <m/>
    <m/>
    <n v="7800"/>
    <n v="0"/>
    <n v="0"/>
    <m/>
  </r>
  <r>
    <x v="194"/>
    <d v="2019-05-02T00:00:00"/>
    <s v="KIỀU THY"/>
    <x v="104"/>
    <x v="105"/>
    <x v="3"/>
    <x v="3"/>
    <x v="0"/>
    <x v="3"/>
    <x v="5"/>
    <s v="NL2018"/>
    <m/>
    <n v="0"/>
    <n v="0"/>
    <x v="10"/>
    <n v="0"/>
    <x v="1"/>
    <d v="2019-05-18T00:00:00"/>
    <x v="3"/>
    <x v="3"/>
    <m/>
    <m/>
    <m/>
    <m/>
    <m/>
    <m/>
    <m/>
    <m/>
    <m/>
    <m/>
    <m/>
    <m/>
    <n v="0"/>
    <n v="0"/>
    <n v="0"/>
    <m/>
  </r>
  <r>
    <x v="194"/>
    <d v="2019-06-20T00:00:00"/>
    <s v="KIỀU THY"/>
    <x v="104"/>
    <x v="105"/>
    <x v="3"/>
    <x v="3"/>
    <x v="0"/>
    <x v="3"/>
    <x v="5"/>
    <s v="NL2018"/>
    <m/>
    <n v="50"/>
    <n v="10000"/>
    <x v="54"/>
    <n v="56000000"/>
    <x v="3"/>
    <d v="2019-06-15T00:00:00"/>
    <x v="4"/>
    <x v="4"/>
    <m/>
    <m/>
    <m/>
    <m/>
    <m/>
    <m/>
    <m/>
    <m/>
    <m/>
    <m/>
    <m/>
    <m/>
    <n v="0"/>
    <n v="10000"/>
    <n v="56000000"/>
    <m/>
  </r>
  <r>
    <x v="194"/>
    <d v="2019-06-08T00:00:00"/>
    <s v="KIỀU THY"/>
    <x v="104"/>
    <x v="105"/>
    <x v="3"/>
    <x v="3"/>
    <x v="0"/>
    <x v="3"/>
    <x v="5"/>
    <s v="NL2018"/>
    <m/>
    <n v="50"/>
    <n v="10000"/>
    <x v="84"/>
    <n v="57000000"/>
    <x v="2"/>
    <d v="2019-07-01T00:00:00"/>
    <x v="30"/>
    <x v="30"/>
    <m/>
    <m/>
    <m/>
    <m/>
    <m/>
    <m/>
    <m/>
    <m/>
    <m/>
    <m/>
    <m/>
    <m/>
    <n v="0"/>
    <n v="10000"/>
    <n v="57000000"/>
    <m/>
  </r>
  <r>
    <x v="194"/>
    <d v="2019-06-08T00:00:00"/>
    <s v="KIỀU THY"/>
    <x v="104"/>
    <x v="105"/>
    <x v="3"/>
    <x v="3"/>
    <x v="0"/>
    <x v="3"/>
    <x v="5"/>
    <s v="NL2018"/>
    <m/>
    <n v="50"/>
    <n v="10000"/>
    <x v="29"/>
    <n v="58000000"/>
    <x v="2"/>
    <d v="2019-08-01T00:00:00"/>
    <x v="49"/>
    <x v="49"/>
    <m/>
    <m/>
    <m/>
    <m/>
    <m/>
    <m/>
    <m/>
    <m/>
    <m/>
    <m/>
    <m/>
    <m/>
    <n v="0"/>
    <n v="10000"/>
    <n v="58000000"/>
    <m/>
  </r>
  <r>
    <x v="195"/>
    <d v="2019-05-02T00:00:00"/>
    <s v="KIỀU THY"/>
    <x v="104"/>
    <x v="105"/>
    <x v="3"/>
    <x v="3"/>
    <x v="0"/>
    <x v="3"/>
    <x v="5"/>
    <s v="NL2018"/>
    <m/>
    <n v="0"/>
    <n v="0"/>
    <x v="53"/>
    <m/>
    <x v="1"/>
    <m/>
    <x v="35"/>
    <x v="35"/>
    <m/>
    <m/>
    <m/>
    <m/>
    <m/>
    <m/>
    <m/>
    <m/>
    <m/>
    <m/>
    <m/>
    <m/>
    <n v="0"/>
    <n v="0"/>
    <n v="0"/>
    <m/>
  </r>
  <r>
    <x v="194"/>
    <d v="2019-05-27T00:00:00"/>
    <s v="KIỀU THY"/>
    <x v="104"/>
    <x v="105"/>
    <x v="6"/>
    <x v="4"/>
    <x v="0"/>
    <x v="3"/>
    <x v="5"/>
    <s v="NL2018"/>
    <m/>
    <n v="32"/>
    <n v="6400"/>
    <x v="83"/>
    <n v="40960000"/>
    <x v="0"/>
    <d v="2019-04-17T00:00:00"/>
    <x v="1"/>
    <x v="1"/>
    <m/>
    <m/>
    <m/>
    <m/>
    <d v="2019-06-10T00:00:00"/>
    <n v="6400"/>
    <m/>
    <m/>
    <m/>
    <m/>
    <m/>
    <m/>
    <n v="6400"/>
    <n v="0"/>
    <n v="0"/>
    <m/>
  </r>
  <r>
    <x v="194"/>
    <d v="2019-05-02T00:00:00"/>
    <s v="KIỀU THY"/>
    <x v="104"/>
    <x v="105"/>
    <x v="8"/>
    <x v="4"/>
    <x v="0"/>
    <x v="1"/>
    <x v="9"/>
    <s v="NL2018"/>
    <m/>
    <n v="67"/>
    <n v="10050"/>
    <x v="88"/>
    <n v="76380000"/>
    <x v="3"/>
    <d v="2019-06-15T00:00:00"/>
    <x v="4"/>
    <x v="4"/>
    <m/>
    <m/>
    <m/>
    <m/>
    <m/>
    <m/>
    <m/>
    <m/>
    <m/>
    <m/>
    <m/>
    <m/>
    <n v="0"/>
    <n v="10050"/>
    <n v="76380000"/>
    <m/>
  </r>
  <r>
    <x v="195"/>
    <d v="2019-05-02T00:00:00"/>
    <s v="KIỀU THY"/>
    <x v="104"/>
    <x v="105"/>
    <x v="8"/>
    <x v="4"/>
    <x v="0"/>
    <x v="1"/>
    <x v="9"/>
    <s v="NL2018"/>
    <m/>
    <n v="0"/>
    <n v="0"/>
    <x v="11"/>
    <n v="0"/>
    <x v="1"/>
    <d v="2019-07-01T00:00:00"/>
    <x v="30"/>
    <x v="30"/>
    <m/>
    <m/>
    <m/>
    <m/>
    <m/>
    <m/>
    <m/>
    <m/>
    <m/>
    <m/>
    <m/>
    <m/>
    <n v="0"/>
    <n v="0"/>
    <n v="0"/>
    <m/>
  </r>
  <r>
    <x v="195"/>
    <d v="2019-06-17T00:00:00"/>
    <s v="KIỀU THY"/>
    <x v="104"/>
    <x v="105"/>
    <x v="7"/>
    <x v="4"/>
    <x v="0"/>
    <x v="4"/>
    <x v="4"/>
    <s v="NL2018"/>
    <m/>
    <n v="80"/>
    <n v="10000"/>
    <x v="34"/>
    <n v="106000000"/>
    <x v="2"/>
    <d v="2019-09-01T00:00:00"/>
    <x v="2"/>
    <x v="2"/>
    <m/>
    <m/>
    <m/>
    <m/>
    <m/>
    <m/>
    <m/>
    <m/>
    <m/>
    <m/>
    <m/>
    <m/>
    <n v="0"/>
    <n v="10000"/>
    <n v="106000000"/>
    <m/>
  </r>
  <r>
    <x v="195"/>
    <d v="2019-05-02T00:00:00"/>
    <s v="KIỀU THY"/>
    <x v="104"/>
    <x v="105"/>
    <x v="8"/>
    <x v="4"/>
    <x v="0"/>
    <x v="1"/>
    <x v="9"/>
    <s v="NL2018"/>
    <m/>
    <n v="0"/>
    <m/>
    <x v="172"/>
    <m/>
    <x v="1"/>
    <m/>
    <x v="35"/>
    <x v="35"/>
    <m/>
    <m/>
    <m/>
    <m/>
    <m/>
    <m/>
    <m/>
    <m/>
    <m/>
    <m/>
    <m/>
    <m/>
    <n v="0"/>
    <n v="0"/>
    <e v="#VALUE!"/>
    <m/>
  </r>
  <r>
    <x v="194"/>
    <d v="2019-03-07T00:00:00"/>
    <s v="KIỀU THY"/>
    <x v="104"/>
    <x v="105"/>
    <x v="48"/>
    <x v="28"/>
    <x v="0"/>
    <x v="3"/>
    <x v="5"/>
    <s v="NL2018"/>
    <m/>
    <n v="50"/>
    <n v="10000"/>
    <x v="60"/>
    <n v="68000000"/>
    <x v="0"/>
    <d v="2019-03-15T00:00:00"/>
    <x v="5"/>
    <x v="5"/>
    <s v="15/3AL"/>
    <m/>
    <m/>
    <m/>
    <d v="2019-04-23T00:00:00"/>
    <n v="5000"/>
    <d v="2019-05-20T00:00:00"/>
    <s v="5000"/>
    <m/>
    <m/>
    <m/>
    <m/>
    <n v="10000"/>
    <n v="0"/>
    <n v="0"/>
    <m/>
  </r>
  <r>
    <x v="194"/>
    <d v="2019-03-07T00:00:00"/>
    <s v="KIỀU THY"/>
    <x v="104"/>
    <x v="105"/>
    <x v="48"/>
    <x v="28"/>
    <x v="0"/>
    <x v="3"/>
    <x v="5"/>
    <s v="NL2018"/>
    <m/>
    <n v="50"/>
    <n v="10000"/>
    <x v="173"/>
    <n v="68850000"/>
    <x v="0"/>
    <d v="2019-05-05T00:00:00"/>
    <x v="27"/>
    <x v="27"/>
    <s v="19/4AL"/>
    <s v="CONT 20/2019"/>
    <d v="2019-04-14T00:00:00"/>
    <m/>
    <d v="2019-06-10T00:00:00"/>
    <n v="10000"/>
    <m/>
    <m/>
    <m/>
    <m/>
    <m/>
    <m/>
    <n v="10000"/>
    <n v="0"/>
    <n v="0"/>
    <m/>
  </r>
  <r>
    <x v="194"/>
    <d v="2019-03-07T00:00:00"/>
    <s v="KIỀU THY"/>
    <x v="104"/>
    <x v="105"/>
    <x v="48"/>
    <x v="28"/>
    <x v="0"/>
    <x v="3"/>
    <x v="5"/>
    <s v="NL2018"/>
    <m/>
    <n v="50"/>
    <n v="10000"/>
    <x v="173"/>
    <n v="68850000"/>
    <x v="0"/>
    <d v="2019-05-05T00:00:00"/>
    <x v="27"/>
    <x v="27"/>
    <s v="17/4AL"/>
    <m/>
    <m/>
    <m/>
    <d v="2019-06-17T00:00:00"/>
    <n v="10000"/>
    <m/>
    <m/>
    <m/>
    <m/>
    <m/>
    <m/>
    <n v="10000"/>
    <n v="0"/>
    <n v="0"/>
    <m/>
  </r>
  <r>
    <x v="196"/>
    <d v="2019-06-14T00:00:00"/>
    <s v="KIỀU THY"/>
    <x v="105"/>
    <x v="106"/>
    <x v="4"/>
    <x v="3"/>
    <x v="0"/>
    <x v="4"/>
    <x v="4"/>
    <s v="NL2018"/>
    <m/>
    <n v="28"/>
    <n v="3500"/>
    <x v="33"/>
    <n v="37450000"/>
    <x v="2"/>
    <d v="2019-09-01T00:00:00"/>
    <x v="2"/>
    <x v="2"/>
    <m/>
    <m/>
    <m/>
    <m/>
    <m/>
    <m/>
    <m/>
    <m/>
    <m/>
    <m/>
    <m/>
    <m/>
    <n v="0"/>
    <n v="3500"/>
    <n v="37450000"/>
    <m/>
  </r>
  <r>
    <x v="196"/>
    <d v="2019-06-14T00:00:00"/>
    <s v="KIỀU THY"/>
    <x v="105"/>
    <x v="106"/>
    <x v="7"/>
    <x v="4"/>
    <x v="0"/>
    <x v="4"/>
    <x v="4"/>
    <s v="NL2018"/>
    <m/>
    <n v="12"/>
    <n v="1500"/>
    <x v="34"/>
    <n v="15900000"/>
    <x v="2"/>
    <d v="2019-09-01T00:00:00"/>
    <x v="2"/>
    <x v="2"/>
    <m/>
    <m/>
    <m/>
    <m/>
    <m/>
    <m/>
    <m/>
    <m/>
    <m/>
    <m/>
    <m/>
    <m/>
    <n v="0"/>
    <n v="1500"/>
    <n v="15900000"/>
    <m/>
  </r>
  <r>
    <x v="197"/>
    <d v="2019-03-12T00:00:00"/>
    <s v="THANH THÚY"/>
    <x v="106"/>
    <x v="107"/>
    <x v="160"/>
    <x v="88"/>
    <x v="6"/>
    <x v="7"/>
    <x v="8"/>
    <s v="NL2018"/>
    <m/>
    <n v="3"/>
    <n v="1200"/>
    <x v="174"/>
    <n v="9906000"/>
    <x v="2"/>
    <d v="2019-09-01T00:00:00"/>
    <x v="2"/>
    <x v="2"/>
    <s v="TẾT"/>
    <m/>
    <m/>
    <m/>
    <m/>
    <n v="0"/>
    <m/>
    <m/>
    <m/>
    <m/>
    <m/>
    <m/>
    <n v="0"/>
    <n v="1200"/>
    <n v="9906000"/>
    <m/>
  </r>
  <r>
    <x v="197"/>
    <d v="2019-03-12T00:00:00"/>
    <s v="THANH THÚY"/>
    <x v="106"/>
    <x v="107"/>
    <x v="161"/>
    <x v="88"/>
    <x v="6"/>
    <x v="2"/>
    <x v="6"/>
    <s v="NL2018"/>
    <m/>
    <n v="2"/>
    <n v="600"/>
    <x v="137"/>
    <n v="7140000"/>
    <x v="2"/>
    <d v="2019-09-01T00:00:00"/>
    <x v="2"/>
    <x v="2"/>
    <s v="TẾT"/>
    <m/>
    <m/>
    <m/>
    <m/>
    <n v="0"/>
    <m/>
    <m/>
    <m/>
    <m/>
    <m/>
    <m/>
    <n v="0"/>
    <n v="600"/>
    <n v="7140000"/>
    <m/>
  </r>
  <r>
    <x v="197"/>
    <d v="2019-03-12T00:00:00"/>
    <s v="THANH THÚY"/>
    <x v="106"/>
    <x v="107"/>
    <x v="8"/>
    <x v="4"/>
    <x v="0"/>
    <x v="1"/>
    <x v="1"/>
    <s v="NL2018"/>
    <m/>
    <n v="40"/>
    <n v="6000"/>
    <x v="55"/>
    <n v="43200000"/>
    <x v="2"/>
    <d v="2019-09-01T00:00:00"/>
    <x v="2"/>
    <x v="2"/>
    <s v="TẾT"/>
    <m/>
    <m/>
    <m/>
    <m/>
    <n v="0"/>
    <m/>
    <m/>
    <m/>
    <m/>
    <m/>
    <m/>
    <n v="0"/>
    <n v="6000"/>
    <n v="43200000"/>
    <m/>
  </r>
  <r>
    <x v="17"/>
    <d v="2019-05-27T00:00:00"/>
    <s v="KIỀU THY"/>
    <x v="9"/>
    <x v="108"/>
    <x v="0"/>
    <x v="0"/>
    <x v="0"/>
    <x v="7"/>
    <x v="0"/>
    <s v="NL2018"/>
    <m/>
    <n v="9"/>
    <n v="3600"/>
    <x v="1"/>
    <n v="9720000"/>
    <x v="0"/>
    <d v="2019-03-15T00:00:00"/>
    <x v="5"/>
    <x v="5"/>
    <m/>
    <m/>
    <m/>
    <m/>
    <d v="2019-05-27T00:00:00"/>
    <n v="3600"/>
    <m/>
    <m/>
    <m/>
    <m/>
    <m/>
    <m/>
    <n v="3600"/>
    <n v="0"/>
    <n v="0"/>
    <m/>
  </r>
  <r>
    <x v="198"/>
    <d v="2019-05-29T00:00:00"/>
    <s v="KIỀU THY"/>
    <x v="107"/>
    <x v="109"/>
    <x v="0"/>
    <x v="0"/>
    <x v="0"/>
    <x v="7"/>
    <x v="0"/>
    <s v="NL2018"/>
    <m/>
    <n v="25"/>
    <n v="10000"/>
    <x v="36"/>
    <n v="28000000"/>
    <x v="0"/>
    <d v="2019-04-17T00:00:00"/>
    <x v="1"/>
    <x v="1"/>
    <m/>
    <m/>
    <m/>
    <m/>
    <d v="2019-05-31T00:00:00"/>
    <n v="10000"/>
    <m/>
    <m/>
    <m/>
    <m/>
    <m/>
    <m/>
    <n v="10000"/>
    <n v="0"/>
    <n v="0"/>
    <m/>
  </r>
  <r>
    <x v="198"/>
    <d v="2019-05-31T00:00:00"/>
    <s v="KIỀU THY"/>
    <x v="107"/>
    <x v="109"/>
    <x v="0"/>
    <x v="0"/>
    <x v="0"/>
    <x v="7"/>
    <x v="0"/>
    <s v="NL2018"/>
    <m/>
    <n v="0"/>
    <n v="0"/>
    <x v="36"/>
    <n v="0"/>
    <x v="1"/>
    <d v="2019-04-17T00:00:00"/>
    <x v="1"/>
    <x v="1"/>
    <m/>
    <m/>
    <m/>
    <m/>
    <m/>
    <m/>
    <m/>
    <m/>
    <m/>
    <m/>
    <m/>
    <m/>
    <n v="0"/>
    <n v="0"/>
    <n v="0"/>
    <m/>
  </r>
  <r>
    <x v="198"/>
    <d v="2019-05-31T00:00:00"/>
    <s v="KIỀU THY"/>
    <x v="107"/>
    <x v="109"/>
    <x v="69"/>
    <x v="13"/>
    <x v="0"/>
    <x v="2"/>
    <x v="2"/>
    <s v="NL2018"/>
    <m/>
    <n v="17"/>
    <n v="5100"/>
    <x v="45"/>
    <n v="20400000"/>
    <x v="0"/>
    <d v="2019-05-05T00:00:00"/>
    <x v="27"/>
    <x v="27"/>
    <m/>
    <m/>
    <m/>
    <m/>
    <d v="2019-06-13T00:00:00"/>
    <n v="5100"/>
    <m/>
    <m/>
    <m/>
    <m/>
    <m/>
    <m/>
    <n v="5100"/>
    <n v="0"/>
    <n v="0"/>
    <m/>
  </r>
  <r>
    <x v="199"/>
    <d v="2019-04-09T00:00:00"/>
    <s v="KIỀU THY"/>
    <x v="108"/>
    <x v="110"/>
    <x v="74"/>
    <x v="0"/>
    <x v="0"/>
    <x v="2"/>
    <x v="2"/>
    <s v="NL2018"/>
    <m/>
    <n v="0"/>
    <n v="0"/>
    <x v="45"/>
    <n v="0"/>
    <x v="1"/>
    <d v="2019-05-05T00:00:00"/>
    <x v="27"/>
    <x v="27"/>
    <s v="10/4AL"/>
    <m/>
    <m/>
    <m/>
    <m/>
    <m/>
    <m/>
    <m/>
    <m/>
    <m/>
    <m/>
    <m/>
    <n v="0"/>
    <n v="0"/>
    <n v="0"/>
    <m/>
  </r>
  <r>
    <x v="199"/>
    <d v="2019-05-31T00:00:00"/>
    <s v="KIỀU THY"/>
    <x v="108"/>
    <x v="110"/>
    <x v="74"/>
    <x v="0"/>
    <x v="0"/>
    <x v="2"/>
    <x v="2"/>
    <s v="NL2018"/>
    <m/>
    <n v="17"/>
    <n v="5100"/>
    <x v="57"/>
    <n v="19890000"/>
    <x v="0"/>
    <d v="2019-04-17T00:00:00"/>
    <x v="1"/>
    <x v="1"/>
    <m/>
    <m/>
    <m/>
    <m/>
    <d v="2019-06-08T00:00:00"/>
    <n v="5100"/>
    <m/>
    <m/>
    <m/>
    <m/>
    <m/>
    <m/>
    <n v="5100"/>
    <n v="0"/>
    <n v="0"/>
    <m/>
  </r>
  <r>
    <x v="199"/>
    <d v="2019-06-06T00:00:00"/>
    <s v="KIỀU THY"/>
    <x v="108"/>
    <x v="110"/>
    <x v="73"/>
    <x v="0"/>
    <x v="3"/>
    <x v="3"/>
    <x v="3"/>
    <s v="NL2018"/>
    <m/>
    <n v="0"/>
    <n v="0"/>
    <x v="50"/>
    <n v="0"/>
    <x v="1"/>
    <d v="2019-04-17T00:00:00"/>
    <x v="1"/>
    <x v="1"/>
    <m/>
    <m/>
    <m/>
    <m/>
    <m/>
    <m/>
    <m/>
    <m/>
    <m/>
    <m/>
    <m/>
    <m/>
    <n v="0"/>
    <n v="0"/>
    <n v="0"/>
    <m/>
  </r>
  <r>
    <x v="199"/>
    <d v="2019-05-31T00:00:00"/>
    <s v="KIỀU THY"/>
    <x v="108"/>
    <x v="110"/>
    <x v="54"/>
    <x v="0"/>
    <x v="0"/>
    <x v="3"/>
    <x v="3"/>
    <s v="NL2018"/>
    <m/>
    <n v="24"/>
    <n v="4800"/>
    <x v="32"/>
    <n v="25440000"/>
    <x v="3"/>
    <d v="2019-06-10T00:00:00"/>
    <x v="71"/>
    <x v="71"/>
    <s v="10/6AL"/>
    <m/>
    <m/>
    <m/>
    <m/>
    <m/>
    <m/>
    <m/>
    <m/>
    <m/>
    <m/>
    <m/>
    <n v="0"/>
    <n v="4800"/>
    <n v="25440000"/>
    <m/>
  </r>
  <r>
    <x v="200"/>
    <d v="2019-03-04T00:00:00"/>
    <s v="KIỀU THY"/>
    <x v="108"/>
    <x v="110"/>
    <x v="74"/>
    <x v="0"/>
    <x v="0"/>
    <x v="2"/>
    <x v="2"/>
    <s v="NL2018"/>
    <m/>
    <n v="16"/>
    <n v="4800"/>
    <x v="77"/>
    <n v="18240000"/>
    <x v="0"/>
    <d v="2019-02-15T00:00:00"/>
    <x v="0"/>
    <x v="0"/>
    <s v="15/2AL"/>
    <s v="CONT 18/2019"/>
    <d v="2019-03-31T00:00:00"/>
    <m/>
    <d v="2019-04-01T00:00:00"/>
    <n v="4800"/>
    <m/>
    <m/>
    <m/>
    <m/>
    <m/>
    <m/>
    <n v="4800"/>
    <n v="0"/>
    <n v="0"/>
    <m/>
  </r>
  <r>
    <x v="199"/>
    <d v="2019-05-10T00:00:00"/>
    <s v="KIỀU THY"/>
    <x v="108"/>
    <x v="110"/>
    <x v="75"/>
    <x v="32"/>
    <x v="0"/>
    <x v="3"/>
    <x v="3"/>
    <s v="NL2018"/>
    <m/>
    <n v="18"/>
    <n v="3600"/>
    <x v="65"/>
    <n v="25200000"/>
    <x v="4"/>
    <d v="2019-05-05T00:00:00"/>
    <x v="27"/>
    <x v="27"/>
    <s v="10/4AL"/>
    <m/>
    <m/>
    <m/>
    <m/>
    <m/>
    <m/>
    <m/>
    <m/>
    <m/>
    <m/>
    <m/>
    <n v="0"/>
    <n v="3600"/>
    <n v="25200000"/>
    <m/>
  </r>
  <r>
    <x v="199"/>
    <d v="2019-05-10T00:00:00"/>
    <s v="KIỀU THY"/>
    <x v="108"/>
    <x v="110"/>
    <x v="75"/>
    <x v="32"/>
    <x v="0"/>
    <x v="3"/>
    <x v="3"/>
    <s v="NL2018"/>
    <m/>
    <n v="25"/>
    <n v="5000"/>
    <x v="65"/>
    <n v="35000000"/>
    <x v="4"/>
    <d v="2019-05-18T00:00:00"/>
    <x v="3"/>
    <x v="3"/>
    <s v="10/4AL"/>
    <m/>
    <m/>
    <m/>
    <m/>
    <m/>
    <m/>
    <m/>
    <m/>
    <m/>
    <m/>
    <m/>
    <n v="0"/>
    <n v="5000"/>
    <n v="35000000"/>
    <m/>
  </r>
  <r>
    <x v="199"/>
    <d v="2019-06-26T00:00:00"/>
    <s v="KIỀU THY"/>
    <x v="108"/>
    <x v="110"/>
    <x v="54"/>
    <x v="0"/>
    <x v="0"/>
    <x v="3"/>
    <x v="3"/>
    <s v="NL2018"/>
    <m/>
    <n v="25"/>
    <n v="5000"/>
    <x v="6"/>
    <n v="27000000"/>
    <x v="2"/>
    <d v="2019-07-15T00:00:00"/>
    <x v="39"/>
    <x v="39"/>
    <m/>
    <m/>
    <m/>
    <m/>
    <m/>
    <m/>
    <m/>
    <m/>
    <m/>
    <m/>
    <m/>
    <m/>
    <n v="0"/>
    <n v="5000"/>
    <n v="27000000"/>
    <m/>
  </r>
  <r>
    <x v="201"/>
    <d v="2019-03-11T00:00:00"/>
    <s v="KIỀU THY"/>
    <x v="109"/>
    <x v="111"/>
    <x v="3"/>
    <x v="3"/>
    <x v="0"/>
    <x v="15"/>
    <x v="3"/>
    <s v="NL2018"/>
    <m/>
    <n v="25"/>
    <n v="5000"/>
    <x v="43"/>
    <n v="24500000"/>
    <x v="0"/>
    <d v="2019-03-15T00:00:00"/>
    <x v="5"/>
    <x v="5"/>
    <s v="15/3AL"/>
    <s v="CONT 25/2019"/>
    <d v="2019-04-14T00:00:00"/>
    <m/>
    <d v="2019-04-17T00:00:00"/>
    <n v="5000"/>
    <m/>
    <m/>
    <m/>
    <m/>
    <m/>
    <m/>
    <n v="5000"/>
    <n v="0"/>
    <n v="0"/>
    <m/>
  </r>
  <r>
    <x v="202"/>
    <d v="2019-04-19T00:00:00"/>
    <s v="KIỀU THY"/>
    <x v="109"/>
    <x v="111"/>
    <x v="162"/>
    <x v="40"/>
    <x v="0"/>
    <x v="1"/>
    <x v="1"/>
    <s v="CL2019"/>
    <m/>
    <n v="34"/>
    <n v="5100"/>
    <x v="118"/>
    <n v="58650000"/>
    <x v="2"/>
    <d v="2019-09-01T00:00:00"/>
    <x v="2"/>
    <x v="2"/>
    <s v="TẾT"/>
    <m/>
    <m/>
    <m/>
    <m/>
    <m/>
    <m/>
    <m/>
    <m/>
    <m/>
    <m/>
    <m/>
    <n v="0"/>
    <n v="5100"/>
    <n v="58650000"/>
    <m/>
  </r>
  <r>
    <x v="201"/>
    <d v="2019-05-13T00:00:00"/>
    <s v="KIỀU THY"/>
    <x v="109"/>
    <x v="111"/>
    <x v="12"/>
    <x v="6"/>
    <x v="0"/>
    <x v="2"/>
    <x v="2"/>
    <s v="NL2018"/>
    <m/>
    <n v="30"/>
    <n v="9000"/>
    <x v="8"/>
    <n v="45000000"/>
    <x v="0"/>
    <d v="2019-05-05T00:00:00"/>
    <x v="27"/>
    <x v="27"/>
    <m/>
    <m/>
    <m/>
    <m/>
    <d v="2019-06-17T00:00:00"/>
    <n v="6000"/>
    <d v="2019-06-24T00:00:00"/>
    <s v="3000"/>
    <m/>
    <m/>
    <m/>
    <m/>
    <n v="9000"/>
    <n v="0"/>
    <n v="0"/>
    <m/>
  </r>
  <r>
    <x v="201"/>
    <d v="2019-05-13T00:00:00"/>
    <s v="KIỀU THY"/>
    <x v="109"/>
    <x v="111"/>
    <x v="78"/>
    <x v="6"/>
    <x v="0"/>
    <x v="2"/>
    <x v="21"/>
    <s v="NL2018"/>
    <m/>
    <n v="22"/>
    <n v="6050"/>
    <x v="8"/>
    <n v="30250000"/>
    <x v="0"/>
    <d v="2019-05-05T00:00:00"/>
    <x v="27"/>
    <x v="27"/>
    <m/>
    <m/>
    <m/>
    <m/>
    <d v="2019-06-24T00:00:00"/>
    <n v="6050"/>
    <m/>
    <m/>
    <m/>
    <m/>
    <m/>
    <m/>
    <n v="6050"/>
    <n v="0"/>
    <n v="0"/>
    <m/>
  </r>
  <r>
    <x v="201"/>
    <d v="2019-03-11T00:00:00"/>
    <s v="KIỀU THY"/>
    <x v="109"/>
    <x v="111"/>
    <x v="89"/>
    <x v="44"/>
    <x v="0"/>
    <x v="15"/>
    <x v="3"/>
    <s v="NL2018"/>
    <m/>
    <n v="100"/>
    <n v="20000"/>
    <x v="54"/>
    <n v="112000000"/>
    <x v="0"/>
    <d v="2019-04-17T00:00:00"/>
    <x v="1"/>
    <x v="1"/>
    <s v="15/4AL"/>
    <m/>
    <m/>
    <m/>
    <d v="2019-05-27T00:00:00"/>
    <n v="5000"/>
    <d v="2019-06-04T00:00:00"/>
    <s v="3000"/>
    <d v="2019-06-10T00:00:00"/>
    <s v="12000"/>
    <m/>
    <m/>
    <n v="20000"/>
    <n v="0"/>
    <n v="0"/>
    <m/>
  </r>
  <r>
    <x v="202"/>
    <d v="2019-04-19T00:00:00"/>
    <s v="KIỀU THY"/>
    <x v="109"/>
    <x v="111"/>
    <x v="159"/>
    <x v="37"/>
    <x v="0"/>
    <x v="1"/>
    <x v="1"/>
    <s v="NZ2019"/>
    <m/>
    <n v="54"/>
    <n v="8100"/>
    <x v="74"/>
    <n v="77760000"/>
    <x v="2"/>
    <d v="2019-09-01T00:00:00"/>
    <x v="2"/>
    <x v="2"/>
    <s v="TẾT"/>
    <m/>
    <m/>
    <m/>
    <m/>
    <m/>
    <m/>
    <m/>
    <m/>
    <m/>
    <m/>
    <m/>
    <n v="0"/>
    <n v="8100"/>
    <n v="77760000"/>
    <m/>
  </r>
  <r>
    <x v="201"/>
    <d v="2019-03-11T00:00:00"/>
    <s v="KIỀU THY"/>
    <x v="109"/>
    <x v="111"/>
    <x v="119"/>
    <x v="60"/>
    <x v="0"/>
    <x v="15"/>
    <x v="3"/>
    <s v="NL2018"/>
    <m/>
    <n v="50"/>
    <n v="10000"/>
    <x v="50"/>
    <n v="60000000"/>
    <x v="0"/>
    <d v="2019-04-17T00:00:00"/>
    <x v="1"/>
    <x v="1"/>
    <s v="30/3AL"/>
    <m/>
    <m/>
    <m/>
    <d v="2019-05-27T00:00:00"/>
    <n v="10000"/>
    <m/>
    <m/>
    <m/>
    <m/>
    <m/>
    <m/>
    <n v="10000"/>
    <n v="0"/>
    <n v="0"/>
    <m/>
  </r>
  <r>
    <x v="201"/>
    <d v="2019-04-18T00:00:00"/>
    <s v="KIỀU THY"/>
    <x v="109"/>
    <x v="111"/>
    <x v="60"/>
    <x v="7"/>
    <x v="0"/>
    <x v="5"/>
    <x v="20"/>
    <s v="NL2018"/>
    <m/>
    <n v="48"/>
    <n v="12000"/>
    <x v="14"/>
    <n v="54000000"/>
    <x v="0"/>
    <d v="2019-03-15T00:00:00"/>
    <x v="5"/>
    <x v="5"/>
    <s v="15/3AL"/>
    <m/>
    <m/>
    <m/>
    <d v="2019-04-24T00:00:00"/>
    <n v="12000"/>
    <m/>
    <m/>
    <m/>
    <m/>
    <m/>
    <m/>
    <n v="12000"/>
    <n v="0"/>
    <n v="0"/>
    <m/>
  </r>
  <r>
    <x v="201"/>
    <d v="2019-06-14T00:00:00"/>
    <s v="KIỀU THY"/>
    <x v="109"/>
    <x v="111"/>
    <x v="9"/>
    <x v="5"/>
    <x v="0"/>
    <x v="15"/>
    <x v="3"/>
    <s v="NL2018"/>
    <m/>
    <n v="20"/>
    <n v="4000"/>
    <x v="6"/>
    <n v="21600000"/>
    <x v="0"/>
    <d v="2019-05-20T00:00:00"/>
    <x v="22"/>
    <x v="22"/>
    <m/>
    <m/>
    <m/>
    <m/>
    <d v="2019-06-24T00:00:00"/>
    <n v="4000"/>
    <m/>
    <m/>
    <m/>
    <m/>
    <m/>
    <m/>
    <n v="4000"/>
    <n v="0"/>
    <n v="0"/>
    <m/>
  </r>
  <r>
    <x v="203"/>
    <d v="2019-05-21T00:00:00"/>
    <s v="THANH THÚY"/>
    <x v="110"/>
    <x v="112"/>
    <x v="74"/>
    <x v="0"/>
    <x v="0"/>
    <x v="2"/>
    <x v="6"/>
    <s v="NL2018"/>
    <m/>
    <n v="10"/>
    <n v="3000"/>
    <x v="57"/>
    <n v="11700000"/>
    <x v="4"/>
    <d v="2019-05-18T00:00:00"/>
    <x v="3"/>
    <x v="3"/>
    <m/>
    <m/>
    <m/>
    <m/>
    <m/>
    <m/>
    <m/>
    <m/>
    <m/>
    <m/>
    <m/>
    <m/>
    <n v="0"/>
    <n v="3000"/>
    <n v="11700000"/>
    <m/>
  </r>
  <r>
    <x v="203"/>
    <d v="2019-05-21T00:00:00"/>
    <s v="THANH THÚY"/>
    <x v="110"/>
    <x v="112"/>
    <x v="74"/>
    <x v="0"/>
    <x v="0"/>
    <x v="2"/>
    <x v="6"/>
    <s v="NL2018"/>
    <m/>
    <n v="7"/>
    <n v="2100"/>
    <x v="57"/>
    <n v="8190000"/>
    <x v="3"/>
    <d v="2019-06-15T00:00:00"/>
    <x v="4"/>
    <x v="4"/>
    <m/>
    <m/>
    <m/>
    <m/>
    <m/>
    <m/>
    <m/>
    <m/>
    <m/>
    <m/>
    <m/>
    <m/>
    <n v="0"/>
    <n v="2100"/>
    <n v="8190000"/>
    <m/>
  </r>
  <r>
    <x v="203"/>
    <d v="2019-05-21T00:00:00"/>
    <s v="THANH THÚY"/>
    <x v="110"/>
    <x v="112"/>
    <x v="74"/>
    <x v="0"/>
    <x v="0"/>
    <x v="2"/>
    <x v="6"/>
    <s v="NL2018"/>
    <m/>
    <n v="7"/>
    <n v="2100"/>
    <x v="45"/>
    <n v="8400000"/>
    <x v="2"/>
    <d v="2019-07-01T00:00:00"/>
    <x v="30"/>
    <x v="30"/>
    <m/>
    <m/>
    <m/>
    <m/>
    <m/>
    <m/>
    <m/>
    <m/>
    <m/>
    <m/>
    <m/>
    <m/>
    <n v="0"/>
    <n v="2100"/>
    <n v="8400000"/>
    <m/>
  </r>
  <r>
    <x v="203"/>
    <d v="2019-05-21T00:00:00"/>
    <s v="THANH THÚY"/>
    <x v="110"/>
    <x v="112"/>
    <x v="74"/>
    <x v="0"/>
    <x v="0"/>
    <x v="2"/>
    <x v="6"/>
    <s v="NL2018"/>
    <m/>
    <n v="7"/>
    <n v="2100"/>
    <x v="45"/>
    <n v="8400000"/>
    <x v="2"/>
    <d v="2019-07-20T00:00:00"/>
    <x v="46"/>
    <x v="46"/>
    <m/>
    <m/>
    <m/>
    <m/>
    <m/>
    <m/>
    <m/>
    <m/>
    <m/>
    <m/>
    <m/>
    <m/>
    <n v="0"/>
    <n v="2100"/>
    <n v="8400000"/>
    <m/>
  </r>
  <r>
    <x v="203"/>
    <d v="2019-05-21T00:00:00"/>
    <s v="THANH THÚY"/>
    <x v="110"/>
    <x v="112"/>
    <x v="74"/>
    <x v="0"/>
    <x v="0"/>
    <x v="2"/>
    <x v="6"/>
    <s v="NL2018"/>
    <m/>
    <n v="7"/>
    <n v="2100"/>
    <x v="37"/>
    <n v="8610000"/>
    <x v="2"/>
    <d v="2019-08-01T00:00:00"/>
    <x v="49"/>
    <x v="49"/>
    <m/>
    <m/>
    <m/>
    <m/>
    <m/>
    <m/>
    <m/>
    <m/>
    <m/>
    <m/>
    <m/>
    <m/>
    <n v="0"/>
    <n v="2100"/>
    <n v="8610000"/>
    <m/>
  </r>
  <r>
    <x v="204"/>
    <d v="2019-02-21T00:00:00"/>
    <s v="THANH THÚY"/>
    <x v="110"/>
    <x v="112"/>
    <x v="32"/>
    <x v="18"/>
    <x v="0"/>
    <x v="2"/>
    <x v="6"/>
    <s v="NL2018"/>
    <m/>
    <n v="0"/>
    <n v="0"/>
    <x v="175"/>
    <n v="0"/>
    <x v="1"/>
    <d v="2019-04-17T00:00:00"/>
    <x v="1"/>
    <x v="1"/>
    <s v="15/3AL"/>
    <s v="CONT 24/2019"/>
    <m/>
    <m/>
    <m/>
    <n v="0"/>
    <m/>
    <m/>
    <m/>
    <m/>
    <m/>
    <m/>
    <n v="0"/>
    <n v="0"/>
    <n v="0"/>
    <d v="2020-02-13T00:00:00"/>
  </r>
  <r>
    <x v="204"/>
    <d v="2019-06-10T00:00:00"/>
    <s v="THANH THÚY"/>
    <x v="110"/>
    <x v="112"/>
    <x v="32"/>
    <x v="18"/>
    <x v="0"/>
    <x v="2"/>
    <x v="6"/>
    <s v="NL2018"/>
    <m/>
    <n v="7"/>
    <n v="2100"/>
    <x v="40"/>
    <n v="9030000"/>
    <x v="0"/>
    <d v="2019-05-05T00:00:00"/>
    <x v="27"/>
    <x v="27"/>
    <m/>
    <m/>
    <m/>
    <m/>
    <d v="2019-06-11T00:00:00"/>
    <n v="2100"/>
    <m/>
    <m/>
    <m/>
    <m/>
    <m/>
    <m/>
    <n v="2100"/>
    <n v="0"/>
    <n v="0"/>
    <m/>
  </r>
  <r>
    <x v="203"/>
    <d v="2019-05-21T00:00:00"/>
    <s v="THANH THÚY"/>
    <x v="110"/>
    <x v="112"/>
    <x v="33"/>
    <x v="18"/>
    <x v="0"/>
    <x v="3"/>
    <x v="5"/>
    <s v="NL2018"/>
    <m/>
    <n v="10"/>
    <n v="2000"/>
    <x v="176"/>
    <n v="11800000"/>
    <x v="3"/>
    <d v="2019-06-15T00:00:00"/>
    <x v="4"/>
    <x v="4"/>
    <m/>
    <m/>
    <m/>
    <m/>
    <m/>
    <m/>
    <m/>
    <m/>
    <m/>
    <m/>
    <m/>
    <m/>
    <n v="0"/>
    <n v="2000"/>
    <n v="11800000"/>
    <m/>
  </r>
  <r>
    <x v="203"/>
    <d v="2019-05-21T00:00:00"/>
    <s v="THANH THÚY"/>
    <x v="110"/>
    <x v="112"/>
    <x v="33"/>
    <x v="18"/>
    <x v="0"/>
    <x v="3"/>
    <x v="5"/>
    <s v="NL2018"/>
    <m/>
    <n v="10"/>
    <n v="2000"/>
    <x v="41"/>
    <n v="12200000"/>
    <x v="2"/>
    <d v="2019-07-01T00:00:00"/>
    <x v="30"/>
    <x v="30"/>
    <m/>
    <m/>
    <m/>
    <m/>
    <m/>
    <m/>
    <m/>
    <m/>
    <m/>
    <m/>
    <m/>
    <m/>
    <n v="0"/>
    <n v="2000"/>
    <n v="12200000"/>
    <m/>
  </r>
  <r>
    <x v="203"/>
    <d v="2019-05-21T00:00:00"/>
    <s v="THANH THÚY"/>
    <x v="110"/>
    <x v="112"/>
    <x v="33"/>
    <x v="18"/>
    <x v="0"/>
    <x v="3"/>
    <x v="5"/>
    <s v="NL2018"/>
    <m/>
    <n v="10"/>
    <n v="2000"/>
    <x v="41"/>
    <n v="12200000"/>
    <x v="2"/>
    <d v="2019-07-20T00:00:00"/>
    <x v="46"/>
    <x v="46"/>
    <m/>
    <m/>
    <m/>
    <m/>
    <m/>
    <m/>
    <m/>
    <m/>
    <m/>
    <m/>
    <m/>
    <m/>
    <n v="0"/>
    <n v="2000"/>
    <n v="12200000"/>
    <m/>
  </r>
  <r>
    <x v="203"/>
    <d v="2019-05-21T00:00:00"/>
    <s v="THANH THÚY"/>
    <x v="110"/>
    <x v="112"/>
    <x v="33"/>
    <x v="18"/>
    <x v="0"/>
    <x v="3"/>
    <x v="5"/>
    <s v="NL2018"/>
    <m/>
    <n v="10"/>
    <n v="2000"/>
    <x v="13"/>
    <n v="12400000"/>
    <x v="2"/>
    <d v="2019-08-01T00:00:00"/>
    <x v="49"/>
    <x v="49"/>
    <m/>
    <m/>
    <m/>
    <m/>
    <m/>
    <m/>
    <m/>
    <m/>
    <m/>
    <m/>
    <m/>
    <m/>
    <n v="0"/>
    <n v="2000"/>
    <n v="12400000"/>
    <m/>
  </r>
  <r>
    <x v="203"/>
    <d v="2019-05-21T00:00:00"/>
    <s v="THANH THÚY"/>
    <x v="110"/>
    <x v="112"/>
    <x v="1"/>
    <x v="1"/>
    <x v="0"/>
    <x v="1"/>
    <x v="9"/>
    <s v="NL2018"/>
    <m/>
    <n v="20"/>
    <n v="3000"/>
    <x v="21"/>
    <n v="26700000"/>
    <x v="3"/>
    <d v="2019-06-15T00:00:00"/>
    <x v="4"/>
    <x v="4"/>
    <m/>
    <m/>
    <m/>
    <m/>
    <m/>
    <m/>
    <m/>
    <m/>
    <m/>
    <m/>
    <m/>
    <m/>
    <n v="0"/>
    <n v="3000"/>
    <n v="26700000"/>
    <m/>
  </r>
  <r>
    <x v="203"/>
    <d v="2019-05-21T00:00:00"/>
    <s v="THANH THÚY"/>
    <x v="110"/>
    <x v="112"/>
    <x v="1"/>
    <x v="1"/>
    <x v="0"/>
    <x v="1"/>
    <x v="9"/>
    <s v="NL2018"/>
    <m/>
    <n v="20"/>
    <n v="3000"/>
    <x v="23"/>
    <n v="27300000"/>
    <x v="2"/>
    <d v="2019-07-01T00:00:00"/>
    <x v="30"/>
    <x v="30"/>
    <m/>
    <m/>
    <m/>
    <m/>
    <m/>
    <m/>
    <m/>
    <m/>
    <m/>
    <m/>
    <m/>
    <m/>
    <n v="0"/>
    <n v="3000"/>
    <n v="27300000"/>
    <m/>
  </r>
  <r>
    <x v="203"/>
    <d v="2019-05-21T00:00:00"/>
    <s v="THANH THÚY"/>
    <x v="110"/>
    <x v="112"/>
    <x v="1"/>
    <x v="1"/>
    <x v="0"/>
    <x v="1"/>
    <x v="9"/>
    <s v="NL2018"/>
    <m/>
    <n v="20"/>
    <n v="3000"/>
    <x v="23"/>
    <n v="27300000"/>
    <x v="2"/>
    <d v="2019-07-20T00:00:00"/>
    <x v="46"/>
    <x v="46"/>
    <m/>
    <m/>
    <m/>
    <m/>
    <m/>
    <m/>
    <m/>
    <m/>
    <m/>
    <m/>
    <m/>
    <m/>
    <n v="0"/>
    <n v="3000"/>
    <n v="27300000"/>
    <m/>
  </r>
  <r>
    <x v="203"/>
    <d v="2019-05-21T00:00:00"/>
    <s v="THANH THÚY"/>
    <x v="110"/>
    <x v="112"/>
    <x v="1"/>
    <x v="1"/>
    <x v="0"/>
    <x v="1"/>
    <x v="9"/>
    <s v="NL2018"/>
    <m/>
    <n v="20"/>
    <n v="3000"/>
    <x v="158"/>
    <n v="27600000"/>
    <x v="2"/>
    <d v="2019-08-01T00:00:00"/>
    <x v="49"/>
    <x v="49"/>
    <m/>
    <m/>
    <m/>
    <m/>
    <m/>
    <m/>
    <m/>
    <m/>
    <m/>
    <m/>
    <m/>
    <m/>
    <n v="0"/>
    <n v="3000"/>
    <n v="27600000"/>
    <m/>
  </r>
  <r>
    <x v="204"/>
    <d v="2019-02-21T00:00:00"/>
    <s v="THANH THÚY"/>
    <x v="110"/>
    <x v="112"/>
    <x v="10"/>
    <x v="1"/>
    <x v="0"/>
    <x v="3"/>
    <x v="5"/>
    <s v="NL2018"/>
    <m/>
    <n v="20"/>
    <n v="4000"/>
    <x v="177"/>
    <n v="22360000"/>
    <x v="0"/>
    <d v="2019-03-15T00:00:00"/>
    <x v="5"/>
    <x v="5"/>
    <s v="15/3AL"/>
    <s v="CONT 26/2019"/>
    <m/>
    <m/>
    <d v="2019-06-03T00:00:00"/>
    <n v="3000"/>
    <d v="2019-06-11T00:00:00"/>
    <n v="1000"/>
    <m/>
    <m/>
    <m/>
    <m/>
    <n v="4000"/>
    <n v="0"/>
    <n v="0"/>
    <d v="2020-02-13T00:00:00"/>
  </r>
  <r>
    <x v="205"/>
    <d v="2019-05-10T00:00:00"/>
    <s v="THANH THÚY"/>
    <x v="110"/>
    <x v="112"/>
    <x v="63"/>
    <x v="1"/>
    <x v="0"/>
    <x v="4"/>
    <x v="14"/>
    <s v="NL2018"/>
    <m/>
    <n v="80"/>
    <n v="10000"/>
    <x v="27"/>
    <n v="110000000"/>
    <x v="2"/>
    <d v="2019-09-01T00:00:00"/>
    <x v="2"/>
    <x v="2"/>
    <m/>
    <m/>
    <m/>
    <m/>
    <m/>
    <m/>
    <m/>
    <m/>
    <m/>
    <m/>
    <m/>
    <m/>
    <n v="0"/>
    <n v="10000"/>
    <n v="110000000"/>
    <m/>
  </r>
  <r>
    <x v="203"/>
    <d v="2019-05-21T00:00:00"/>
    <s v="THANH THÚY"/>
    <x v="110"/>
    <x v="112"/>
    <x v="93"/>
    <x v="3"/>
    <x v="0"/>
    <x v="2"/>
    <x v="6"/>
    <s v="NL2018"/>
    <m/>
    <n v="10"/>
    <n v="3000"/>
    <x v="77"/>
    <n v="11400000"/>
    <x v="4"/>
    <d v="2019-05-05T00:00:00"/>
    <x v="27"/>
    <x v="27"/>
    <m/>
    <m/>
    <m/>
    <m/>
    <m/>
    <m/>
    <m/>
    <m/>
    <m/>
    <m/>
    <m/>
    <m/>
    <n v="0"/>
    <n v="3000"/>
    <n v="11400000"/>
    <m/>
  </r>
  <r>
    <x v="203"/>
    <d v="2019-05-21T00:00:00"/>
    <s v="THANH THÚY"/>
    <x v="110"/>
    <x v="112"/>
    <x v="5"/>
    <x v="3"/>
    <x v="0"/>
    <x v="1"/>
    <x v="9"/>
    <s v="NL2018"/>
    <m/>
    <n v="34"/>
    <n v="5100"/>
    <x v="9"/>
    <n v="40800000"/>
    <x v="4"/>
    <d v="2019-05-18T00:00:00"/>
    <x v="3"/>
    <x v="3"/>
    <m/>
    <m/>
    <m/>
    <m/>
    <m/>
    <m/>
    <m/>
    <m/>
    <m/>
    <m/>
    <m/>
    <m/>
    <n v="0"/>
    <n v="5100"/>
    <n v="40800000"/>
    <m/>
  </r>
  <r>
    <x v="203"/>
    <d v="2019-05-21T00:00:00"/>
    <s v="THANH THÚY"/>
    <x v="110"/>
    <x v="112"/>
    <x v="5"/>
    <x v="3"/>
    <x v="0"/>
    <x v="1"/>
    <x v="9"/>
    <s v="NL2018"/>
    <m/>
    <n v="20"/>
    <n v="3000"/>
    <x v="9"/>
    <n v="24000000"/>
    <x v="3"/>
    <d v="2019-06-15T00:00:00"/>
    <x v="4"/>
    <x v="4"/>
    <m/>
    <m/>
    <m/>
    <m/>
    <m/>
    <m/>
    <m/>
    <m/>
    <m/>
    <m/>
    <m/>
    <m/>
    <n v="0"/>
    <n v="3000"/>
    <n v="24000000"/>
    <m/>
  </r>
  <r>
    <x v="203"/>
    <d v="2019-05-21T00:00:00"/>
    <s v="THANH THÚY"/>
    <x v="110"/>
    <x v="112"/>
    <x v="5"/>
    <x v="3"/>
    <x v="0"/>
    <x v="1"/>
    <x v="9"/>
    <s v="NL2018"/>
    <m/>
    <n v="20"/>
    <n v="3000"/>
    <x v="66"/>
    <n v="24600000"/>
    <x v="2"/>
    <d v="2019-07-01T00:00:00"/>
    <x v="30"/>
    <x v="30"/>
    <m/>
    <m/>
    <m/>
    <m/>
    <m/>
    <m/>
    <m/>
    <m/>
    <m/>
    <m/>
    <m/>
    <m/>
    <n v="0"/>
    <n v="3000"/>
    <n v="24600000"/>
    <m/>
  </r>
  <r>
    <x v="203"/>
    <d v="2019-05-21T00:00:00"/>
    <s v="THANH THÚY"/>
    <x v="110"/>
    <x v="112"/>
    <x v="5"/>
    <x v="3"/>
    <x v="0"/>
    <x v="1"/>
    <x v="9"/>
    <s v="NL2018"/>
    <m/>
    <n v="20"/>
    <n v="3000"/>
    <x v="66"/>
    <n v="24600000"/>
    <x v="2"/>
    <d v="2019-07-20T00:00:00"/>
    <x v="46"/>
    <x v="46"/>
    <m/>
    <m/>
    <m/>
    <m/>
    <m/>
    <m/>
    <m/>
    <m/>
    <m/>
    <m/>
    <m/>
    <m/>
    <n v="0"/>
    <n v="3000"/>
    <n v="24600000"/>
    <m/>
  </r>
  <r>
    <x v="203"/>
    <d v="2019-05-21T00:00:00"/>
    <s v="THANH THÚY"/>
    <x v="110"/>
    <x v="112"/>
    <x v="5"/>
    <x v="3"/>
    <x v="0"/>
    <x v="1"/>
    <x v="9"/>
    <s v="NL2018"/>
    <m/>
    <n v="20"/>
    <n v="3000"/>
    <x v="147"/>
    <n v="24900000"/>
    <x v="2"/>
    <d v="2019-08-01T00:00:00"/>
    <x v="49"/>
    <x v="49"/>
    <m/>
    <m/>
    <m/>
    <m/>
    <m/>
    <m/>
    <m/>
    <m/>
    <m/>
    <m/>
    <m/>
    <m/>
    <n v="0"/>
    <n v="3000"/>
    <n v="24900000"/>
    <m/>
  </r>
  <r>
    <x v="205"/>
    <d v="2019-05-10T00:00:00"/>
    <s v="THANH THÚY"/>
    <x v="110"/>
    <x v="112"/>
    <x v="4"/>
    <x v="3"/>
    <x v="0"/>
    <x v="4"/>
    <x v="14"/>
    <s v="NL2018"/>
    <m/>
    <n v="64"/>
    <n v="8000"/>
    <x v="33"/>
    <n v="85600000"/>
    <x v="2"/>
    <d v="2019-09-01T00:00:00"/>
    <x v="2"/>
    <x v="2"/>
    <m/>
    <m/>
    <m/>
    <m/>
    <m/>
    <m/>
    <m/>
    <m/>
    <m/>
    <m/>
    <m/>
    <m/>
    <n v="0"/>
    <n v="8000"/>
    <n v="85600000"/>
    <m/>
  </r>
  <r>
    <x v="203"/>
    <d v="2019-05-21T00:00:00"/>
    <s v="THANH THÚY"/>
    <x v="110"/>
    <x v="112"/>
    <x v="127"/>
    <x v="56"/>
    <x v="0"/>
    <x v="3"/>
    <x v="22"/>
    <s v="NL2018"/>
    <m/>
    <n v="23"/>
    <n v="4025"/>
    <x v="13"/>
    <n v="24955000"/>
    <x v="4"/>
    <d v="2019-05-05T00:00:00"/>
    <x v="27"/>
    <x v="27"/>
    <m/>
    <m/>
    <m/>
    <m/>
    <m/>
    <m/>
    <m/>
    <m/>
    <m/>
    <m/>
    <m/>
    <m/>
    <n v="0"/>
    <n v="4025"/>
    <n v="24955000"/>
    <m/>
  </r>
  <r>
    <x v="203"/>
    <d v="2019-05-21T00:00:00"/>
    <s v="THANH THÚY"/>
    <x v="110"/>
    <x v="112"/>
    <x v="158"/>
    <x v="87"/>
    <x v="0"/>
    <x v="2"/>
    <x v="6"/>
    <s v="NL2018"/>
    <m/>
    <n v="10"/>
    <n v="3000"/>
    <x v="6"/>
    <n v="16200000"/>
    <x v="4"/>
    <d v="2019-05-05T00:00:00"/>
    <x v="27"/>
    <x v="27"/>
    <m/>
    <m/>
    <m/>
    <m/>
    <m/>
    <m/>
    <m/>
    <m/>
    <m/>
    <m/>
    <m/>
    <m/>
    <n v="0"/>
    <n v="3000"/>
    <n v="16200000"/>
    <m/>
  </r>
  <r>
    <x v="205"/>
    <d v="2019-05-10T00:00:00"/>
    <s v="THANH THÚY"/>
    <x v="110"/>
    <x v="112"/>
    <x v="62"/>
    <x v="32"/>
    <x v="0"/>
    <x v="4"/>
    <x v="14"/>
    <s v="NL2018"/>
    <m/>
    <n v="64"/>
    <n v="8000"/>
    <x v="167"/>
    <n v="108800000"/>
    <x v="2"/>
    <d v="2019-09-01T00:00:00"/>
    <x v="2"/>
    <x v="2"/>
    <m/>
    <m/>
    <m/>
    <m/>
    <m/>
    <m/>
    <m/>
    <m/>
    <m/>
    <m/>
    <m/>
    <m/>
    <n v="0"/>
    <n v="8000"/>
    <n v="108800000"/>
    <m/>
  </r>
  <r>
    <x v="204"/>
    <d v="2019-02-21T00:00:00"/>
    <s v="THANH THÚY"/>
    <x v="110"/>
    <x v="112"/>
    <x v="6"/>
    <x v="4"/>
    <x v="0"/>
    <x v="3"/>
    <x v="5"/>
    <s v="NL2018"/>
    <m/>
    <n v="15"/>
    <n v="3000"/>
    <x v="178"/>
    <n v="15270000"/>
    <x v="0"/>
    <d v="2019-04-17T00:00:00"/>
    <x v="1"/>
    <x v="1"/>
    <s v="15/3AL"/>
    <s v="CONT 21/2019"/>
    <m/>
    <m/>
    <d v="2019-06-03T00:00:00"/>
    <n v="3000"/>
    <m/>
    <m/>
    <m/>
    <m/>
    <m/>
    <m/>
    <n v="3000"/>
    <n v="0"/>
    <n v="0"/>
    <d v="2020-02-13T00:00:00"/>
  </r>
  <r>
    <x v="203"/>
    <d v="2019-05-21T00:00:00"/>
    <s v="THANH THÚY"/>
    <x v="110"/>
    <x v="112"/>
    <x v="8"/>
    <x v="4"/>
    <x v="0"/>
    <x v="1"/>
    <x v="9"/>
    <s v="NL2018"/>
    <m/>
    <n v="20"/>
    <n v="3000"/>
    <x v="30"/>
    <n v="22500000"/>
    <x v="3"/>
    <d v="2019-06-15T00:00:00"/>
    <x v="4"/>
    <x v="4"/>
    <m/>
    <m/>
    <m/>
    <m/>
    <m/>
    <m/>
    <m/>
    <m/>
    <m/>
    <m/>
    <m/>
    <m/>
    <n v="0"/>
    <n v="3000"/>
    <n v="22500000"/>
    <m/>
  </r>
  <r>
    <x v="203"/>
    <d v="2019-05-21T00:00:00"/>
    <s v="THANH THÚY"/>
    <x v="110"/>
    <x v="112"/>
    <x v="8"/>
    <x v="4"/>
    <x v="0"/>
    <x v="1"/>
    <x v="9"/>
    <s v="NL2018"/>
    <m/>
    <n v="20"/>
    <n v="3000"/>
    <x v="11"/>
    <n v="23100000"/>
    <x v="2"/>
    <d v="2019-07-01T00:00:00"/>
    <x v="30"/>
    <x v="30"/>
    <m/>
    <m/>
    <m/>
    <m/>
    <m/>
    <m/>
    <m/>
    <m/>
    <m/>
    <m/>
    <m/>
    <m/>
    <n v="0"/>
    <n v="3000"/>
    <n v="23100000"/>
    <m/>
  </r>
  <r>
    <x v="203"/>
    <d v="2019-05-21T00:00:00"/>
    <s v="THANH THÚY"/>
    <x v="110"/>
    <x v="112"/>
    <x v="8"/>
    <x v="4"/>
    <x v="0"/>
    <x v="1"/>
    <x v="9"/>
    <s v="NL2018"/>
    <m/>
    <n v="20"/>
    <n v="3000"/>
    <x v="166"/>
    <n v="23400000"/>
    <x v="2"/>
    <d v="2019-08-01T00:00:00"/>
    <x v="49"/>
    <x v="49"/>
    <m/>
    <m/>
    <m/>
    <m/>
    <m/>
    <m/>
    <m/>
    <m/>
    <m/>
    <m/>
    <m/>
    <m/>
    <n v="0"/>
    <n v="3000"/>
    <n v="23400000"/>
    <m/>
  </r>
  <r>
    <x v="204"/>
    <d v="2019-06-01T00:00:00"/>
    <s v="THANH THÚY"/>
    <x v="110"/>
    <x v="112"/>
    <x v="52"/>
    <x v="30"/>
    <x v="0"/>
    <x v="2"/>
    <x v="15"/>
    <s v="NL2018"/>
    <m/>
    <n v="0"/>
    <n v="0"/>
    <x v="14"/>
    <n v="0"/>
    <x v="1"/>
    <d v="2019-05-18T00:00:00"/>
    <x v="3"/>
    <x v="3"/>
    <m/>
    <m/>
    <m/>
    <m/>
    <m/>
    <m/>
    <m/>
    <m/>
    <m/>
    <m/>
    <m/>
    <m/>
    <n v="0"/>
    <n v="0"/>
    <n v="0"/>
    <m/>
  </r>
  <r>
    <x v="206"/>
    <d v="2019-03-04T00:00:00"/>
    <s v="THANH THÚY"/>
    <x v="111"/>
    <x v="113"/>
    <x v="74"/>
    <x v="0"/>
    <x v="0"/>
    <x v="2"/>
    <x v="6"/>
    <s v="NL2018"/>
    <m/>
    <n v="0"/>
    <n v="0"/>
    <x v="106"/>
    <n v="0"/>
    <x v="1"/>
    <m/>
    <x v="35"/>
    <x v="35"/>
    <s v="chưa có KH trồng, chưa phí kho lạnh"/>
    <m/>
    <m/>
    <m/>
    <m/>
    <n v="0"/>
    <m/>
    <m/>
    <m/>
    <m/>
    <m/>
    <m/>
    <n v="0"/>
    <n v="0"/>
    <n v="0"/>
    <d v="2020-02-13T00:00:00"/>
  </r>
  <r>
    <x v="207"/>
    <d v="2019-03-04T00:00:00"/>
    <s v="THANH THÚY"/>
    <x v="111"/>
    <x v="113"/>
    <x v="63"/>
    <x v="1"/>
    <x v="0"/>
    <x v="4"/>
    <x v="14"/>
    <s v="NL2018"/>
    <m/>
    <n v="120"/>
    <n v="15000"/>
    <x v="27"/>
    <n v="165000000"/>
    <x v="2"/>
    <d v="2019-09-01T00:00:00"/>
    <x v="2"/>
    <x v="2"/>
    <s v="TẾT"/>
    <m/>
    <m/>
    <m/>
    <m/>
    <m/>
    <m/>
    <m/>
    <m/>
    <m/>
    <m/>
    <m/>
    <n v="0"/>
    <n v="15000"/>
    <n v="165000000"/>
    <m/>
  </r>
  <r>
    <x v="207"/>
    <d v="2019-03-04T00:00:00"/>
    <s v="THANH THÚY"/>
    <x v="111"/>
    <x v="113"/>
    <x v="137"/>
    <x v="3"/>
    <x v="0"/>
    <x v="6"/>
    <x v="7"/>
    <s v="NL2018"/>
    <m/>
    <n v="188"/>
    <n v="15040"/>
    <x v="110"/>
    <n v="231616000"/>
    <x v="2"/>
    <d v="2019-09-01T00:00:00"/>
    <x v="2"/>
    <x v="2"/>
    <s v="TẾT"/>
    <m/>
    <m/>
    <m/>
    <m/>
    <m/>
    <m/>
    <m/>
    <m/>
    <m/>
    <m/>
    <m/>
    <n v="0"/>
    <n v="15040"/>
    <n v="231616000"/>
    <m/>
  </r>
  <r>
    <x v="206"/>
    <d v="2019-03-04T00:00:00"/>
    <s v="THANH THÚY"/>
    <x v="111"/>
    <x v="113"/>
    <x v="75"/>
    <x v="89"/>
    <x v="0"/>
    <x v="3"/>
    <x v="5"/>
    <s v="NL2018"/>
    <m/>
    <n v="150"/>
    <n v="30000"/>
    <x v="179"/>
    <n v="204900000"/>
    <x v="0"/>
    <d v="2019-04-29T00:00:00"/>
    <x v="11"/>
    <x v="11"/>
    <s v="29/4AL"/>
    <m/>
    <m/>
    <m/>
    <d v="2019-06-10T00:00:00"/>
    <n v="30000"/>
    <m/>
    <m/>
    <m/>
    <m/>
    <m/>
    <m/>
    <n v="30000"/>
    <n v="0"/>
    <n v="0"/>
    <d v="2020-02-13T00:00:00"/>
  </r>
  <r>
    <x v="206"/>
    <d v="2019-03-04T00:00:00"/>
    <s v="THANH THÚY"/>
    <x v="111"/>
    <x v="113"/>
    <x v="75"/>
    <x v="32"/>
    <x v="0"/>
    <x v="3"/>
    <x v="5"/>
    <s v="NL2018"/>
    <m/>
    <n v="70"/>
    <n v="14000"/>
    <x v="31"/>
    <n v="93800000"/>
    <x v="0"/>
    <s v="29-Feb-19"/>
    <x v="10"/>
    <x v="10"/>
    <s v="30/2AL"/>
    <s v="CONT 16/2019"/>
    <m/>
    <m/>
    <d v="2019-04-02T00:00:00"/>
    <n v="14000"/>
    <m/>
    <m/>
    <m/>
    <m/>
    <m/>
    <m/>
    <n v="14000"/>
    <n v="0"/>
    <n v="0"/>
    <d v="2020-02-13T00:00:00"/>
  </r>
  <r>
    <x v="206"/>
    <d v="2019-03-04T00:00:00"/>
    <s v="THANH THÚY"/>
    <x v="111"/>
    <x v="113"/>
    <x v="98"/>
    <x v="32"/>
    <x v="4"/>
    <x v="3"/>
    <x v="5"/>
    <s v="NL2018"/>
    <m/>
    <n v="5"/>
    <n v="1000"/>
    <x v="31"/>
    <n v="6700000"/>
    <x v="0"/>
    <s v="29-Feb-19"/>
    <x v="10"/>
    <x v="10"/>
    <s v="30/2AL"/>
    <m/>
    <m/>
    <m/>
    <d v="2019-04-02T00:00:00"/>
    <n v="1000"/>
    <m/>
    <m/>
    <m/>
    <m/>
    <m/>
    <m/>
    <n v="1000"/>
    <n v="0"/>
    <n v="0"/>
    <m/>
  </r>
  <r>
    <x v="206"/>
    <d v="2019-03-04T00:00:00"/>
    <s v="THANH THÚY"/>
    <x v="111"/>
    <x v="113"/>
    <x v="75"/>
    <x v="32"/>
    <x v="0"/>
    <x v="3"/>
    <x v="5"/>
    <s v="NL2018"/>
    <s v="DLW"/>
    <n v="50"/>
    <n v="10000"/>
    <x v="180"/>
    <n v="67850000"/>
    <x v="0"/>
    <d v="2019-04-17T00:00:00"/>
    <x v="1"/>
    <x v="1"/>
    <s v="17/4AL"/>
    <m/>
    <m/>
    <m/>
    <d v="2019-05-20T00:00:00"/>
    <n v="10000"/>
    <m/>
    <m/>
    <m/>
    <m/>
    <m/>
    <m/>
    <n v="10000"/>
    <n v="0"/>
    <n v="0"/>
    <d v="2020-02-13T00:00:00"/>
  </r>
  <r>
    <x v="206"/>
    <d v="2019-03-04T00:00:00"/>
    <s v="THANH THÚY"/>
    <x v="111"/>
    <x v="113"/>
    <x v="75"/>
    <x v="32"/>
    <x v="0"/>
    <x v="3"/>
    <x v="5"/>
    <s v="NL2018"/>
    <m/>
    <n v="125"/>
    <n v="25000"/>
    <x v="31"/>
    <n v="167500000"/>
    <x v="0"/>
    <d v="2019-03-15T00:00:00"/>
    <x v="5"/>
    <x v="5"/>
    <s v="15/3AL"/>
    <s v="CONT 27/2019"/>
    <m/>
    <m/>
    <d v="2019-04-23T00:00:00"/>
    <n v="25000"/>
    <m/>
    <m/>
    <m/>
    <m/>
    <m/>
    <m/>
    <n v="25000"/>
    <n v="0"/>
    <n v="0"/>
    <d v="2020-02-13T00:00:00"/>
  </r>
  <r>
    <x v="206"/>
    <d v="2019-03-04T00:00:00"/>
    <s v="THANH THÚY"/>
    <x v="111"/>
    <x v="113"/>
    <x v="75"/>
    <x v="32"/>
    <x v="0"/>
    <x v="3"/>
    <x v="5"/>
    <s v="NL2018"/>
    <m/>
    <n v="100"/>
    <n v="20000"/>
    <x v="180"/>
    <n v="135700000"/>
    <x v="3"/>
    <d v="2019-06-15T00:00:00"/>
    <x v="4"/>
    <x v="4"/>
    <s v="29/5AL"/>
    <m/>
    <m/>
    <m/>
    <m/>
    <n v="0"/>
    <m/>
    <m/>
    <m/>
    <m/>
    <m/>
    <m/>
    <n v="0"/>
    <n v="20000"/>
    <n v="135700000"/>
    <d v="2020-02-13T00:00:00"/>
  </r>
  <r>
    <x v="206"/>
    <d v="2019-06-11T00:00:00"/>
    <s v="THANH THÚY"/>
    <x v="111"/>
    <x v="113"/>
    <x v="75"/>
    <x v="32"/>
    <x v="0"/>
    <x v="3"/>
    <x v="5"/>
    <s v="NL2018"/>
    <m/>
    <n v="200"/>
    <n v="40000"/>
    <x v="53"/>
    <n v="0"/>
    <x v="2"/>
    <m/>
    <x v="25"/>
    <x v="25"/>
    <m/>
    <m/>
    <m/>
    <m/>
    <m/>
    <m/>
    <m/>
    <m/>
    <m/>
    <m/>
    <m/>
    <m/>
    <n v="0"/>
    <n v="40000"/>
    <n v="0"/>
    <m/>
  </r>
  <r>
    <x v="207"/>
    <d v="2019-03-04T00:00:00"/>
    <s v="THANH THÚY"/>
    <x v="111"/>
    <x v="113"/>
    <x v="64"/>
    <x v="32"/>
    <x v="0"/>
    <x v="8"/>
    <x v="11"/>
    <s v="NL2018"/>
    <m/>
    <n v="243"/>
    <n v="24300"/>
    <x v="110"/>
    <n v="374220000"/>
    <x v="2"/>
    <d v="2019-09-01T00:00:00"/>
    <x v="2"/>
    <x v="2"/>
    <s v="TẾT"/>
    <m/>
    <m/>
    <m/>
    <m/>
    <m/>
    <m/>
    <m/>
    <m/>
    <m/>
    <m/>
    <m/>
    <n v="0"/>
    <n v="24300"/>
    <n v="374220000"/>
    <m/>
  </r>
  <r>
    <x v="207"/>
    <d v="2019-03-04T00:00:00"/>
    <s v="THANH THÚY"/>
    <x v="111"/>
    <x v="113"/>
    <x v="57"/>
    <x v="32"/>
    <x v="0"/>
    <x v="11"/>
    <x v="19"/>
    <s v="NL2018"/>
    <m/>
    <n v="208.46666666666667"/>
    <n v="15635"/>
    <x v="116"/>
    <n v="253287000"/>
    <x v="2"/>
    <d v="2019-09-01T00:00:00"/>
    <x v="2"/>
    <x v="2"/>
    <s v="TẾT"/>
    <m/>
    <m/>
    <m/>
    <m/>
    <m/>
    <m/>
    <m/>
    <m/>
    <m/>
    <m/>
    <m/>
    <n v="0"/>
    <n v="15635"/>
    <n v="253287000"/>
    <m/>
  </r>
  <r>
    <x v="208"/>
    <d v="2019-04-03T00:00:00"/>
    <s v="THANH THÚY"/>
    <x v="112"/>
    <x v="114"/>
    <x v="0"/>
    <x v="0"/>
    <x v="0"/>
    <x v="7"/>
    <x v="8"/>
    <s v="NL2018"/>
    <m/>
    <n v="26"/>
    <n v="10400"/>
    <x v="1"/>
    <n v="28080000"/>
    <x v="0"/>
    <d v="2019-04-15T00:00:00"/>
    <x v="32"/>
    <x v="32"/>
    <s v="15/4AL"/>
    <m/>
    <m/>
    <m/>
    <d v="2019-05-29T00:00:00"/>
    <n v="6000"/>
    <d v="2019-06-11T00:00:00"/>
    <n v="4400"/>
    <m/>
    <m/>
    <m/>
    <m/>
    <n v="10400"/>
    <n v="0"/>
    <n v="0"/>
    <m/>
  </r>
  <r>
    <x v="209"/>
    <d v="2019-02-11T00:00:00"/>
    <s v="THANH THÚY"/>
    <x v="112"/>
    <x v="114"/>
    <x v="0"/>
    <x v="0"/>
    <x v="0"/>
    <x v="7"/>
    <x v="8"/>
    <s v="NL2018"/>
    <m/>
    <n v="36"/>
    <n v="14400"/>
    <x v="0"/>
    <n v="37440000"/>
    <x v="0"/>
    <d v="2019-01-15T00:00:00"/>
    <x v="6"/>
    <x v="6"/>
    <s v="15/1AL"/>
    <m/>
    <m/>
    <m/>
    <d v="2019-03-04T00:00:00"/>
    <n v="14400"/>
    <m/>
    <m/>
    <m/>
    <m/>
    <m/>
    <m/>
    <n v="14400"/>
    <n v="0"/>
    <n v="0"/>
    <d v="2020-02-21T00:00:00"/>
  </r>
  <r>
    <x v="209"/>
    <d v="2019-02-11T00:00:00"/>
    <s v="THANH THÚY"/>
    <x v="112"/>
    <x v="114"/>
    <x v="0"/>
    <x v="0"/>
    <x v="0"/>
    <x v="7"/>
    <x v="8"/>
    <s v="NL2018"/>
    <m/>
    <n v="13"/>
    <n v="5200"/>
    <x v="0"/>
    <n v="13520000"/>
    <x v="0"/>
    <d v="2019-02-15T00:00:00"/>
    <x v="0"/>
    <x v="0"/>
    <s v="15/2AL"/>
    <s v="CONT 12/2019"/>
    <m/>
    <m/>
    <d v="2019-03-20T00:00:00"/>
    <n v="5200"/>
    <m/>
    <m/>
    <m/>
    <m/>
    <m/>
    <m/>
    <n v="5200"/>
    <n v="0"/>
    <n v="0"/>
    <d v="2020-02-21T00:00:00"/>
  </r>
  <r>
    <x v="209"/>
    <d v="2019-02-11T00:00:00"/>
    <s v="THANH THÚY"/>
    <x v="112"/>
    <x v="114"/>
    <x v="0"/>
    <x v="0"/>
    <x v="0"/>
    <x v="7"/>
    <x v="8"/>
    <s v="NL2018"/>
    <m/>
    <n v="13"/>
    <n v="5200"/>
    <x v="0"/>
    <n v="13520000"/>
    <x v="0"/>
    <s v="29-Feb-19"/>
    <x v="10"/>
    <x v="10"/>
    <s v="28/2AL"/>
    <s v="CONT 18/2019"/>
    <m/>
    <m/>
    <d v="2019-04-03T00:00:00"/>
    <n v="5200"/>
    <m/>
    <m/>
    <m/>
    <m/>
    <m/>
    <m/>
    <n v="5200"/>
    <n v="0"/>
    <n v="0"/>
    <d v="2020-02-21T00:00:00"/>
  </r>
  <r>
    <x v="208"/>
    <d v="2019-04-03T00:00:00"/>
    <s v="THANH THÚY"/>
    <x v="112"/>
    <x v="114"/>
    <x v="0"/>
    <x v="0"/>
    <x v="0"/>
    <x v="7"/>
    <x v="8"/>
    <s v="NL2018"/>
    <m/>
    <n v="41"/>
    <n v="16400"/>
    <x v="0"/>
    <n v="42640000"/>
    <x v="0"/>
    <d v="2019-03-15T00:00:00"/>
    <x v="5"/>
    <x v="5"/>
    <s v="15/3AL"/>
    <s v="CONT 24/2019"/>
    <m/>
    <m/>
    <d v="2019-04-18T00:00:00"/>
    <n v="8000"/>
    <d v="2019-04-26T00:00:00"/>
    <n v="2400"/>
    <d v="2019-05-08T00:00:00"/>
    <n v="6000"/>
    <m/>
    <m/>
    <n v="16400"/>
    <n v="0"/>
    <n v="0"/>
    <d v="2020-02-21T00:00:00"/>
  </r>
  <r>
    <x v="208"/>
    <d v="2019-04-03T00:00:00"/>
    <s v="THANH THÚY"/>
    <x v="112"/>
    <x v="114"/>
    <x v="0"/>
    <x v="0"/>
    <x v="0"/>
    <x v="7"/>
    <x v="8"/>
    <s v="NL2018"/>
    <m/>
    <n v="14"/>
    <n v="5600"/>
    <x v="1"/>
    <n v="15120000"/>
    <x v="0"/>
    <d v="2019-04-17T00:00:00"/>
    <x v="1"/>
    <x v="1"/>
    <s v="Cho hàng về sớm do chuyến 29/4 ko có"/>
    <m/>
    <m/>
    <m/>
    <d v="2019-06-11T00:00:00"/>
    <n v="5600"/>
    <m/>
    <m/>
    <m/>
    <m/>
    <m/>
    <m/>
    <n v="5600"/>
    <n v="0"/>
    <n v="0"/>
    <d v="2020-02-21T00:00:00"/>
  </r>
  <r>
    <x v="208"/>
    <d v="2019-04-03T00:00:00"/>
    <s v="THANH THÚY"/>
    <x v="112"/>
    <x v="114"/>
    <x v="0"/>
    <x v="0"/>
    <x v="0"/>
    <x v="7"/>
    <x v="8"/>
    <s v="NL2018"/>
    <m/>
    <n v="0"/>
    <n v="0"/>
    <x v="1"/>
    <n v="0"/>
    <x v="1"/>
    <m/>
    <x v="35"/>
    <x v="35"/>
    <s v="chưa tính phí lạnh"/>
    <m/>
    <m/>
    <m/>
    <m/>
    <n v="0"/>
    <m/>
    <m/>
    <m/>
    <m/>
    <m/>
    <m/>
    <n v="0"/>
    <n v="0"/>
    <n v="0"/>
    <d v="2020-02-21T00:00:00"/>
  </r>
  <r>
    <x v="208"/>
    <d v="2019-06-14T00:00:00"/>
    <s v="THANH THÚY"/>
    <x v="112"/>
    <x v="114"/>
    <x v="0"/>
    <x v="0"/>
    <x v="0"/>
    <x v="7"/>
    <x v="8"/>
    <s v="NL2018"/>
    <m/>
    <n v="35"/>
    <n v="14000"/>
    <x v="36"/>
    <n v="39200000"/>
    <x v="2"/>
    <m/>
    <x v="35"/>
    <x v="35"/>
    <m/>
    <m/>
    <m/>
    <m/>
    <m/>
    <m/>
    <m/>
    <m/>
    <m/>
    <m/>
    <m/>
    <m/>
    <n v="0"/>
    <n v="14000"/>
    <n v="39200000"/>
    <m/>
  </r>
  <r>
    <x v="209"/>
    <d v="2019-02-11T00:00:00"/>
    <s v="THANH THÚY"/>
    <x v="112"/>
    <x v="114"/>
    <x v="17"/>
    <x v="9"/>
    <x v="1"/>
    <x v="7"/>
    <x v="8"/>
    <s v="NL2018"/>
    <m/>
    <n v="1"/>
    <n v="400"/>
    <x v="9"/>
    <n v="3200000"/>
    <x v="0"/>
    <d v="2019-02-10T00:00:00"/>
    <x v="72"/>
    <x v="72"/>
    <s v="23/1AL"/>
    <m/>
    <m/>
    <m/>
    <d v="2019-03-15T00:00:00"/>
    <n v="400"/>
    <m/>
    <m/>
    <m/>
    <m/>
    <m/>
    <m/>
    <n v="400"/>
    <n v="0"/>
    <n v="0"/>
    <m/>
  </r>
  <r>
    <x v="209"/>
    <d v="2019-02-11T00:00:00"/>
    <s v="THANH THÚY"/>
    <x v="112"/>
    <x v="114"/>
    <x v="17"/>
    <x v="9"/>
    <x v="1"/>
    <x v="7"/>
    <x v="8"/>
    <s v="NL2018"/>
    <m/>
    <n v="5"/>
    <n v="2000"/>
    <x v="9"/>
    <n v="16000000"/>
    <x v="0"/>
    <s v="29-Feb-19"/>
    <x v="10"/>
    <x v="10"/>
    <s v="28/2AL"/>
    <s v="CONT 17/2019"/>
    <m/>
    <m/>
    <d v="2019-04-03T00:00:00"/>
    <n v="2000"/>
    <m/>
    <m/>
    <m/>
    <m/>
    <m/>
    <m/>
    <n v="2000"/>
    <n v="0"/>
    <n v="0"/>
    <d v="2020-02-21T00:00:00"/>
  </r>
  <r>
    <x v="208"/>
    <d v="2019-04-03T00:00:00"/>
    <s v="THANH THÚY"/>
    <x v="112"/>
    <x v="114"/>
    <x v="17"/>
    <x v="9"/>
    <x v="1"/>
    <x v="7"/>
    <x v="8"/>
    <s v="NL2018"/>
    <m/>
    <n v="4"/>
    <n v="1600"/>
    <x v="181"/>
    <n v="12900800"/>
    <x v="0"/>
    <m/>
    <x v="35"/>
    <x v="35"/>
    <m/>
    <s v="CONT 24/2019"/>
    <m/>
    <m/>
    <d v="2019-05-08T00:00:00"/>
    <n v="1600"/>
    <m/>
    <m/>
    <m/>
    <m/>
    <m/>
    <m/>
    <n v="1600"/>
    <n v="0"/>
    <n v="0"/>
    <d v="2020-02-21T00:00:00"/>
  </r>
  <r>
    <x v="208"/>
    <d v="2019-06-06T00:00:00"/>
    <s v="THANH THÚY"/>
    <x v="112"/>
    <x v="114"/>
    <x v="17"/>
    <x v="9"/>
    <x v="1"/>
    <x v="7"/>
    <x v="8"/>
    <s v="NL2018"/>
    <m/>
    <n v="3"/>
    <n v="1200"/>
    <x v="182"/>
    <n v="9705600"/>
    <x v="0"/>
    <d v="2019-05-05T00:00:00"/>
    <x v="27"/>
    <x v="27"/>
    <m/>
    <m/>
    <m/>
    <m/>
    <d v="2019-06-11T00:00:00"/>
    <n v="1200"/>
    <m/>
    <m/>
    <m/>
    <m/>
    <m/>
    <m/>
    <n v="1200"/>
    <n v="0"/>
    <n v="0"/>
    <m/>
  </r>
  <r>
    <x v="208"/>
    <d v="2019-06-14T00:00:00"/>
    <s v="THANH THÚY"/>
    <x v="112"/>
    <x v="114"/>
    <x v="17"/>
    <x v="9"/>
    <x v="1"/>
    <x v="7"/>
    <x v="8"/>
    <s v="NL2018"/>
    <m/>
    <n v="10"/>
    <n v="4000"/>
    <x v="66"/>
    <n v="32800000"/>
    <x v="3"/>
    <d v="2019-06-15T00:00:00"/>
    <x v="4"/>
    <x v="4"/>
    <m/>
    <m/>
    <m/>
    <m/>
    <m/>
    <m/>
    <m/>
    <m/>
    <m/>
    <m/>
    <m/>
    <m/>
    <n v="0"/>
    <n v="4000"/>
    <n v="32800000"/>
    <m/>
  </r>
  <r>
    <x v="208"/>
    <d v="2019-06-06T00:00:00"/>
    <s v="THANH THÚY"/>
    <x v="112"/>
    <x v="114"/>
    <x v="18"/>
    <x v="10"/>
    <x v="1"/>
    <x v="7"/>
    <x v="10"/>
    <s v="NL2018"/>
    <m/>
    <n v="3"/>
    <n v="1050"/>
    <x v="182"/>
    <n v="8492400"/>
    <x v="0"/>
    <d v="2019-05-05T00:00:00"/>
    <x v="27"/>
    <x v="27"/>
    <m/>
    <m/>
    <m/>
    <m/>
    <d v="2019-06-13T00:00:00"/>
    <n v="1050"/>
    <m/>
    <m/>
    <m/>
    <m/>
    <m/>
    <m/>
    <n v="1050"/>
    <n v="0"/>
    <n v="0"/>
    <m/>
  </r>
  <r>
    <x v="210"/>
    <d v="2019-06-20T00:00:00"/>
    <s v="THANH THÚY"/>
    <x v="112"/>
    <x v="114"/>
    <x v="113"/>
    <x v="10"/>
    <x v="1"/>
    <x v="2"/>
    <x v="6"/>
    <s v="NL2018"/>
    <m/>
    <n v="9.8333333333333339"/>
    <n v="2950"/>
    <x v="117"/>
    <n v="41005000"/>
    <x v="2"/>
    <d v="2019-09-01T00:00:00"/>
    <x v="2"/>
    <x v="2"/>
    <m/>
    <m/>
    <m/>
    <m/>
    <m/>
    <m/>
    <m/>
    <m/>
    <m/>
    <m/>
    <m/>
    <m/>
    <n v="0"/>
    <n v="2950"/>
    <n v="41005000"/>
    <m/>
  </r>
  <r>
    <x v="209"/>
    <d v="2019-02-11T00:00:00"/>
    <s v="THANH THÚY"/>
    <x v="112"/>
    <x v="114"/>
    <x v="34"/>
    <x v="1"/>
    <x v="0"/>
    <x v="2"/>
    <x v="6"/>
    <s v="NL2018"/>
    <m/>
    <n v="17"/>
    <n v="5100"/>
    <x v="28"/>
    <n v="23460000"/>
    <x v="0"/>
    <d v="2019-02-15T00:00:00"/>
    <x v="0"/>
    <x v="0"/>
    <s v="15/2AL"/>
    <s v="CONT 10/2019"/>
    <m/>
    <m/>
    <d v="2019-03-20T00:00:00"/>
    <n v="5100"/>
    <m/>
    <m/>
    <m/>
    <m/>
    <m/>
    <m/>
    <n v="5100"/>
    <n v="0"/>
    <n v="0"/>
    <d v="2020-02-21T00:00:00"/>
  </r>
  <r>
    <x v="209"/>
    <d v="2019-02-11T00:00:00"/>
    <s v="THANH THÚY"/>
    <x v="112"/>
    <x v="114"/>
    <x v="34"/>
    <x v="1"/>
    <x v="0"/>
    <x v="2"/>
    <x v="6"/>
    <s v="NL2018"/>
    <m/>
    <n v="34"/>
    <n v="10200"/>
    <x v="28"/>
    <n v="46920000"/>
    <x v="0"/>
    <s v="29-Feb-19"/>
    <x v="10"/>
    <x v="10"/>
    <s v="28/2AL"/>
    <s v="CONT 17/2019"/>
    <m/>
    <m/>
    <d v="2019-04-03T00:00:00"/>
    <n v="10200"/>
    <m/>
    <m/>
    <m/>
    <m/>
    <m/>
    <m/>
    <n v="10200"/>
    <n v="0"/>
    <n v="0"/>
    <d v="2020-02-21T00:00:00"/>
  </r>
  <r>
    <x v="208"/>
    <d v="2019-04-03T00:00:00"/>
    <s v="THANH THÚY"/>
    <x v="112"/>
    <x v="114"/>
    <x v="34"/>
    <x v="1"/>
    <x v="0"/>
    <x v="2"/>
    <x v="6"/>
    <s v="NL2018"/>
    <m/>
    <n v="51"/>
    <n v="15300"/>
    <x v="28"/>
    <n v="70380000"/>
    <x v="0"/>
    <d v="2019-03-15T00:00:00"/>
    <x v="5"/>
    <x v="5"/>
    <s v="15/3AL"/>
    <s v="CONT 22/2019"/>
    <m/>
    <m/>
    <d v="2019-04-18T00:00:00"/>
    <n v="8400"/>
    <d v="2019-04-26T00:00:00"/>
    <n v="2700"/>
    <d v="2019-04-26T00:00:00"/>
    <n v="4200"/>
    <m/>
    <m/>
    <n v="15300"/>
    <n v="0"/>
    <n v="0"/>
    <d v="2020-02-21T00:00:00"/>
  </r>
  <r>
    <x v="208"/>
    <d v="2019-04-03T00:00:00"/>
    <s v="THANH THÚY"/>
    <x v="112"/>
    <x v="114"/>
    <x v="34"/>
    <x v="1"/>
    <x v="0"/>
    <x v="2"/>
    <x v="6"/>
    <s v="NL2018"/>
    <m/>
    <n v="34"/>
    <n v="10200"/>
    <x v="12"/>
    <n v="47940000"/>
    <x v="0"/>
    <d v="2019-04-15T00:00:00"/>
    <x v="32"/>
    <x v="32"/>
    <s v="15/4AL"/>
    <m/>
    <m/>
    <m/>
    <d v="2019-05-19T00:00:00"/>
    <n v="10200"/>
    <m/>
    <m/>
    <m/>
    <m/>
    <m/>
    <m/>
    <n v="10200"/>
    <n v="0"/>
    <n v="0"/>
    <m/>
  </r>
  <r>
    <x v="208"/>
    <d v="2019-04-03T00:00:00"/>
    <s v="THANH THÚY"/>
    <x v="112"/>
    <x v="114"/>
    <x v="34"/>
    <x v="1"/>
    <x v="0"/>
    <x v="2"/>
    <x v="6"/>
    <s v="NL2018"/>
    <m/>
    <n v="0"/>
    <n v="0"/>
    <x v="42"/>
    <n v="0"/>
    <x v="1"/>
    <d v="2019-05-02T00:00:00"/>
    <x v="9"/>
    <x v="9"/>
    <s v="02/5AL"/>
    <m/>
    <m/>
    <m/>
    <m/>
    <n v="0"/>
    <m/>
    <m/>
    <m/>
    <m/>
    <m/>
    <m/>
    <n v="0"/>
    <n v="0"/>
    <n v="0"/>
    <d v="2020-02-21T00:00:00"/>
  </r>
  <r>
    <x v="208"/>
    <d v="2019-04-03T00:00:00"/>
    <s v="THANH THÚY"/>
    <x v="112"/>
    <x v="114"/>
    <x v="34"/>
    <x v="1"/>
    <x v="0"/>
    <x v="2"/>
    <x v="6"/>
    <s v="NL2018"/>
    <m/>
    <n v="33"/>
    <n v="9900"/>
    <x v="42"/>
    <n v="47520000"/>
    <x v="3"/>
    <d v="2019-06-15T00:00:00"/>
    <x v="4"/>
    <x v="4"/>
    <m/>
    <m/>
    <m/>
    <m/>
    <m/>
    <m/>
    <m/>
    <m/>
    <m/>
    <m/>
    <m/>
    <m/>
    <n v="0"/>
    <n v="9900"/>
    <n v="47520000"/>
    <m/>
  </r>
  <r>
    <x v="208"/>
    <d v="2019-04-03T00:00:00"/>
    <s v="THANH THÚY"/>
    <x v="112"/>
    <x v="114"/>
    <x v="34"/>
    <x v="1"/>
    <x v="0"/>
    <x v="2"/>
    <x v="6"/>
    <s v="NL2018"/>
    <m/>
    <n v="100"/>
    <n v="30000"/>
    <x v="8"/>
    <n v="150000000"/>
    <x v="2"/>
    <m/>
    <x v="35"/>
    <x v="35"/>
    <s v="chưa tính phí lạnh"/>
    <m/>
    <m/>
    <m/>
    <m/>
    <n v="0"/>
    <m/>
    <m/>
    <m/>
    <m/>
    <m/>
    <m/>
    <n v="0"/>
    <n v="30000"/>
    <n v="150000000"/>
    <d v="2020-02-21T00:00:00"/>
  </r>
  <r>
    <x v="208"/>
    <d v="2019-04-03T00:00:00"/>
    <s v="THANH THÚY"/>
    <x v="112"/>
    <x v="114"/>
    <x v="34"/>
    <x v="1"/>
    <x v="0"/>
    <x v="2"/>
    <x v="6"/>
    <s v="NL2018"/>
    <m/>
    <n v="34"/>
    <n v="10200"/>
    <x v="8"/>
    <n v="51000000"/>
    <x v="3"/>
    <d v="2019-06-15T00:00:00"/>
    <x v="4"/>
    <x v="4"/>
    <m/>
    <m/>
    <m/>
    <m/>
    <m/>
    <m/>
    <m/>
    <m/>
    <m/>
    <m/>
    <m/>
    <m/>
    <n v="0"/>
    <n v="10200"/>
    <n v="51000000"/>
    <m/>
  </r>
  <r>
    <x v="210"/>
    <d v="2019-04-20T00:00:00"/>
    <s v="THANH THÚY"/>
    <x v="112"/>
    <x v="114"/>
    <x v="163"/>
    <x v="1"/>
    <x v="0"/>
    <x v="3"/>
    <x v="5"/>
    <s v="CL2019"/>
    <m/>
    <n v="100"/>
    <n v="20000"/>
    <x v="158"/>
    <n v="184000000"/>
    <x v="2"/>
    <d v="2019-09-01T00:00:00"/>
    <x v="2"/>
    <x v="2"/>
    <s v="TẾT"/>
    <m/>
    <m/>
    <m/>
    <m/>
    <m/>
    <m/>
    <m/>
    <m/>
    <m/>
    <m/>
    <m/>
    <n v="0"/>
    <n v="20000"/>
    <n v="184000000"/>
    <m/>
  </r>
  <r>
    <x v="208"/>
    <d v="2019-06-22T00:00:00"/>
    <s v="THANH THÚY"/>
    <x v="112"/>
    <x v="114"/>
    <x v="164"/>
    <x v="90"/>
    <x v="1"/>
    <x v="4"/>
    <x v="14"/>
    <s v="NL2018"/>
    <m/>
    <n v="18"/>
    <n v="2250"/>
    <x v="5"/>
    <n v="23625000"/>
    <x v="2"/>
    <d v="2019-06-30T00:00:00"/>
    <x v="35"/>
    <x v="35"/>
    <m/>
    <m/>
    <m/>
    <m/>
    <m/>
    <m/>
    <m/>
    <m/>
    <m/>
    <m/>
    <m/>
    <m/>
    <n v="0"/>
    <n v="2250"/>
    <n v="23625000"/>
    <m/>
  </r>
  <r>
    <x v="208"/>
    <d v="2019-04-03T00:00:00"/>
    <s v="THANH THÚY"/>
    <x v="112"/>
    <x v="114"/>
    <x v="165"/>
    <x v="52"/>
    <x v="0"/>
    <x v="1"/>
    <x v="9"/>
    <s v="NL2018"/>
    <m/>
    <n v="4"/>
    <n v="600"/>
    <x v="55"/>
    <n v="4320000"/>
    <x v="0"/>
    <d v="2019-05-02T00:00:00"/>
    <x v="9"/>
    <x v="9"/>
    <s v="02/5AL"/>
    <m/>
    <m/>
    <m/>
    <d v="2019-06-24T00:00:00"/>
    <n v="600"/>
    <m/>
    <m/>
    <m/>
    <m/>
    <m/>
    <m/>
    <n v="600"/>
    <n v="0"/>
    <n v="0"/>
    <m/>
  </r>
  <r>
    <x v="210"/>
    <d v="2019-04-20T00:00:00"/>
    <s v="THANH THÚY"/>
    <x v="112"/>
    <x v="114"/>
    <x v="97"/>
    <x v="52"/>
    <x v="0"/>
    <x v="4"/>
    <x v="14"/>
    <s v="NL2018"/>
    <m/>
    <n v="80"/>
    <n v="10000"/>
    <x v="62"/>
    <n v="109000000"/>
    <x v="2"/>
    <d v="2019-09-01T00:00:00"/>
    <x v="2"/>
    <x v="2"/>
    <s v="TẾT"/>
    <m/>
    <m/>
    <m/>
    <m/>
    <m/>
    <m/>
    <m/>
    <m/>
    <m/>
    <m/>
    <m/>
    <n v="0"/>
    <n v="10000"/>
    <n v="109000000"/>
    <m/>
  </r>
  <r>
    <x v="208"/>
    <d v="2019-04-03T00:00:00"/>
    <s v="THANH THÚY"/>
    <x v="112"/>
    <x v="114"/>
    <x v="166"/>
    <x v="91"/>
    <x v="0"/>
    <x v="2"/>
    <x v="6"/>
    <s v="NL2018"/>
    <m/>
    <n v="6"/>
    <n v="1800"/>
    <x v="37"/>
    <n v="7380000"/>
    <x v="4"/>
    <d v="2019-05-02T00:00:00"/>
    <x v="9"/>
    <x v="9"/>
    <s v="02/5AL"/>
    <m/>
    <m/>
    <m/>
    <d v="2019-06-24T00:00:00"/>
    <n v="1800"/>
    <m/>
    <m/>
    <m/>
    <m/>
    <m/>
    <m/>
    <n v="1800"/>
    <n v="0"/>
    <n v="0"/>
    <m/>
  </r>
  <r>
    <x v="208"/>
    <d v="2019-04-03T00:00:00"/>
    <s v="THANH THÚY"/>
    <x v="112"/>
    <x v="114"/>
    <x v="115"/>
    <x v="59"/>
    <x v="1"/>
    <x v="7"/>
    <x v="8"/>
    <s v="NL2018"/>
    <m/>
    <n v="5"/>
    <n v="2000"/>
    <x v="181"/>
    <n v="16126000"/>
    <x v="0"/>
    <d v="2019-04-15T00:00:00"/>
    <x v="32"/>
    <x v="32"/>
    <s v="15/4AL"/>
    <m/>
    <m/>
    <m/>
    <d v="2019-05-19T00:00:00"/>
    <n v="2000"/>
    <m/>
    <m/>
    <m/>
    <m/>
    <m/>
    <m/>
    <n v="2000"/>
    <n v="0"/>
    <n v="0"/>
    <m/>
  </r>
  <r>
    <x v="208"/>
    <d v="2019-06-14T00:00:00"/>
    <s v="THANH THÚY"/>
    <x v="112"/>
    <x v="114"/>
    <x v="115"/>
    <x v="59"/>
    <x v="1"/>
    <x v="7"/>
    <x v="8"/>
    <s v="NL2018"/>
    <m/>
    <n v="10"/>
    <n v="4000"/>
    <x v="66"/>
    <n v="32800000"/>
    <x v="3"/>
    <d v="2019-06-15T00:00:00"/>
    <x v="4"/>
    <x v="4"/>
    <m/>
    <m/>
    <m/>
    <m/>
    <m/>
    <m/>
    <m/>
    <m/>
    <m/>
    <m/>
    <m/>
    <m/>
    <n v="0"/>
    <n v="4000"/>
    <n v="32800000"/>
    <m/>
  </r>
  <r>
    <x v="209"/>
    <d v="2019-02-11T00:00:00"/>
    <s v="THANH THÚY"/>
    <x v="112"/>
    <x v="114"/>
    <x v="72"/>
    <x v="36"/>
    <x v="1"/>
    <x v="7"/>
    <x v="8"/>
    <s v="NL2018"/>
    <m/>
    <n v="8"/>
    <n v="3200"/>
    <x v="9"/>
    <n v="25600000"/>
    <x v="0"/>
    <s v="29-Feb-19"/>
    <x v="10"/>
    <x v="10"/>
    <s v="28/2AL"/>
    <s v="CONT 17/2019"/>
    <m/>
    <m/>
    <d v="2019-04-03T00:00:00"/>
    <n v="3200"/>
    <m/>
    <m/>
    <m/>
    <m/>
    <m/>
    <m/>
    <n v="3200"/>
    <n v="0"/>
    <n v="0"/>
    <d v="2020-02-21T00:00:00"/>
  </r>
  <r>
    <x v="208"/>
    <d v="2019-04-03T00:00:00"/>
    <s v="THANH THÚY"/>
    <x v="112"/>
    <x v="114"/>
    <x v="72"/>
    <x v="36"/>
    <x v="1"/>
    <x v="7"/>
    <x v="8"/>
    <s v="NL2018"/>
    <m/>
    <n v="8"/>
    <n v="3200"/>
    <x v="181"/>
    <n v="25801600"/>
    <x v="0"/>
    <d v="2019-04-15T00:00:00"/>
    <x v="32"/>
    <x v="32"/>
    <s v="15/4AL"/>
    <m/>
    <m/>
    <m/>
    <d v="2019-05-19T00:00:00"/>
    <n v="3200"/>
    <m/>
    <m/>
    <m/>
    <m/>
    <m/>
    <m/>
    <n v="3200"/>
    <n v="0"/>
    <n v="0"/>
    <m/>
  </r>
  <r>
    <x v="208"/>
    <d v="2019-04-03T00:00:00"/>
    <s v="THANH THÚY"/>
    <x v="112"/>
    <x v="114"/>
    <x v="72"/>
    <x v="36"/>
    <x v="1"/>
    <x v="7"/>
    <x v="8"/>
    <s v="NL2018"/>
    <m/>
    <n v="3"/>
    <n v="1200"/>
    <x v="182"/>
    <n v="9705600"/>
    <x v="0"/>
    <d v="2019-05-02T00:00:00"/>
    <x v="9"/>
    <x v="9"/>
    <s v="02/5AL"/>
    <m/>
    <m/>
    <m/>
    <d v="2019-06-11T00:00:00"/>
    <n v="1200"/>
    <m/>
    <m/>
    <m/>
    <m/>
    <m/>
    <m/>
    <n v="1200"/>
    <n v="0"/>
    <n v="0"/>
    <m/>
  </r>
  <r>
    <x v="208"/>
    <d v="2019-06-14T00:00:00"/>
    <s v="THANH THÚY"/>
    <x v="112"/>
    <x v="114"/>
    <x v="72"/>
    <x v="36"/>
    <x v="1"/>
    <x v="7"/>
    <x v="8"/>
    <s v="NL2018"/>
    <m/>
    <n v="7"/>
    <n v="2800"/>
    <x v="182"/>
    <n v="22646400"/>
    <x v="4"/>
    <d v="2019-05-18T00:00:00"/>
    <x v="3"/>
    <x v="3"/>
    <m/>
    <m/>
    <m/>
    <m/>
    <m/>
    <m/>
    <m/>
    <m/>
    <m/>
    <m/>
    <m/>
    <m/>
    <n v="0"/>
    <n v="2800"/>
    <n v="22646400"/>
    <m/>
  </r>
  <r>
    <x v="208"/>
    <d v="2019-06-20T00:00:00"/>
    <s v="THANH THÚY"/>
    <x v="112"/>
    <x v="114"/>
    <x v="72"/>
    <x v="36"/>
    <x v="1"/>
    <x v="7"/>
    <x v="8"/>
    <s v="NL2018"/>
    <m/>
    <n v="7"/>
    <n v="2800"/>
    <x v="66"/>
    <n v="22960000"/>
    <x v="4"/>
    <d v="2019-05-18T00:00:00"/>
    <x v="3"/>
    <x v="3"/>
    <m/>
    <m/>
    <m/>
    <m/>
    <m/>
    <m/>
    <m/>
    <m/>
    <m/>
    <m/>
    <m/>
    <m/>
    <n v="0"/>
    <n v="2800"/>
    <n v="22960000"/>
    <m/>
  </r>
  <r>
    <x v="208"/>
    <d v="2019-06-20T00:00:00"/>
    <s v="THANH THÚY"/>
    <x v="112"/>
    <x v="114"/>
    <x v="72"/>
    <x v="36"/>
    <x v="1"/>
    <x v="7"/>
    <x v="8"/>
    <s v="NL2018"/>
    <m/>
    <n v="4"/>
    <n v="1600"/>
    <x v="147"/>
    <n v="13280000"/>
    <x v="2"/>
    <d v="2019-07-05T00:00:00"/>
    <x v="59"/>
    <x v="59"/>
    <m/>
    <m/>
    <m/>
    <m/>
    <m/>
    <m/>
    <m/>
    <m/>
    <m/>
    <m/>
    <m/>
    <m/>
    <n v="0"/>
    <n v="1600"/>
    <n v="13280000"/>
    <m/>
  </r>
  <r>
    <x v="208"/>
    <d v="2019-06-14T00:00:00"/>
    <s v="THANH THÚY"/>
    <x v="112"/>
    <x v="114"/>
    <x v="72"/>
    <x v="36"/>
    <x v="1"/>
    <x v="7"/>
    <x v="8"/>
    <s v="NL2018"/>
    <m/>
    <n v="10"/>
    <n v="4000"/>
    <x v="66"/>
    <n v="32800000"/>
    <x v="3"/>
    <d v="2019-06-15T00:00:00"/>
    <x v="4"/>
    <x v="4"/>
    <m/>
    <m/>
    <m/>
    <m/>
    <m/>
    <m/>
    <m/>
    <m/>
    <m/>
    <m/>
    <m/>
    <m/>
    <n v="0"/>
    <n v="4000"/>
    <n v="32800000"/>
    <m/>
  </r>
  <r>
    <x v="208"/>
    <d v="2019-04-03T00:00:00"/>
    <s v="THANH THÚY"/>
    <x v="112"/>
    <x v="114"/>
    <x v="26"/>
    <x v="13"/>
    <x v="0"/>
    <x v="3"/>
    <x v="5"/>
    <s v="NL2018"/>
    <m/>
    <n v="50"/>
    <n v="10000"/>
    <x v="8"/>
    <n v="50000000"/>
    <x v="0"/>
    <m/>
    <x v="35"/>
    <x v="35"/>
    <m/>
    <s v="CONT 24/2019"/>
    <m/>
    <m/>
    <d v="2019-05-08T00:00:00"/>
    <n v="10000"/>
    <m/>
    <m/>
    <m/>
    <m/>
    <m/>
    <m/>
    <n v="10000"/>
    <n v="0"/>
    <n v="0"/>
    <d v="2020-02-21T00:00:00"/>
  </r>
  <r>
    <x v="208"/>
    <d v="2019-06-04T00:00:00"/>
    <s v="THANH THÚY"/>
    <x v="112"/>
    <x v="114"/>
    <x v="69"/>
    <x v="13"/>
    <x v="0"/>
    <x v="2"/>
    <x v="6"/>
    <s v="NL2018"/>
    <m/>
    <n v="14"/>
    <n v="4200"/>
    <x v="45"/>
    <n v="16800000"/>
    <x v="0"/>
    <d v="2019-05-05T00:00:00"/>
    <x v="27"/>
    <x v="27"/>
    <m/>
    <m/>
    <m/>
    <m/>
    <d v="2019-06-13T00:00:00"/>
    <n v="4200"/>
    <m/>
    <m/>
    <m/>
    <m/>
    <m/>
    <m/>
    <n v="4200"/>
    <n v="0"/>
    <n v="0"/>
    <m/>
  </r>
  <r>
    <x v="209"/>
    <d v="2019-02-11T00:00:00"/>
    <s v="THANH THÚY"/>
    <x v="112"/>
    <x v="114"/>
    <x v="80"/>
    <x v="15"/>
    <x v="0"/>
    <x v="2"/>
    <x v="6"/>
    <s v="NL2018"/>
    <m/>
    <n v="17"/>
    <n v="5100"/>
    <x v="12"/>
    <n v="23970000"/>
    <x v="0"/>
    <s v="29-Feb-19"/>
    <x v="10"/>
    <x v="10"/>
    <s v="28/2AL"/>
    <s v="CONT 14/2019"/>
    <m/>
    <m/>
    <d v="2019-04-03T00:00:00"/>
    <n v="5100"/>
    <m/>
    <m/>
    <m/>
    <m/>
    <m/>
    <m/>
    <n v="5100"/>
    <n v="0"/>
    <n v="0"/>
    <m/>
  </r>
  <r>
    <x v="208"/>
    <d v="2019-05-27T00:00:00"/>
    <s v="THANH THÚY"/>
    <x v="112"/>
    <x v="114"/>
    <x v="94"/>
    <x v="47"/>
    <x v="0"/>
    <x v="12"/>
    <x v="8"/>
    <s v="NL2018"/>
    <m/>
    <n v="8"/>
    <n v="3200"/>
    <x v="14"/>
    <n v="14400000"/>
    <x v="0"/>
    <d v="2019-05-05T00:00:00"/>
    <x v="27"/>
    <x v="27"/>
    <m/>
    <m/>
    <m/>
    <m/>
    <d v="2019-06-24T00:00:00"/>
    <n v="3200"/>
    <m/>
    <m/>
    <m/>
    <m/>
    <m/>
    <m/>
    <n v="3200"/>
    <n v="0"/>
    <n v="0"/>
    <m/>
  </r>
  <r>
    <x v="208"/>
    <d v="2019-04-03T00:00:00"/>
    <s v="THANH THÚY"/>
    <x v="112"/>
    <x v="114"/>
    <x v="167"/>
    <x v="92"/>
    <x v="1"/>
    <x v="7"/>
    <x v="8"/>
    <s v="NL2018"/>
    <m/>
    <n v="3"/>
    <n v="1200"/>
    <x v="182"/>
    <n v="9705600"/>
    <x v="0"/>
    <d v="2019-05-02T00:00:00"/>
    <x v="9"/>
    <x v="9"/>
    <s v="02/5AL"/>
    <m/>
    <m/>
    <m/>
    <d v="2019-06-24T00:00:00"/>
    <n v="1200"/>
    <m/>
    <m/>
    <m/>
    <m/>
    <m/>
    <m/>
    <n v="1200"/>
    <n v="0"/>
    <n v="0"/>
    <m/>
  </r>
  <r>
    <x v="208"/>
    <d v="2019-04-03T00:00:00"/>
    <s v="THANH THÚY"/>
    <x v="112"/>
    <x v="114"/>
    <x v="168"/>
    <x v="93"/>
    <x v="1"/>
    <x v="7"/>
    <x v="8"/>
    <s v="NL2018"/>
    <m/>
    <n v="4"/>
    <n v="1600"/>
    <x v="182"/>
    <n v="12940800"/>
    <x v="0"/>
    <d v="2019-05-02T00:00:00"/>
    <x v="9"/>
    <x v="9"/>
    <s v="02/5AL"/>
    <m/>
    <m/>
    <m/>
    <d v="2019-06-11T00:00:00"/>
    <n v="800"/>
    <d v="2019-06-25T00:00:00"/>
    <n v="800"/>
    <m/>
    <m/>
    <m/>
    <m/>
    <n v="1600"/>
    <n v="0"/>
    <n v="0"/>
    <m/>
  </r>
  <r>
    <x v="209"/>
    <d v="2019-02-11T00:00:00"/>
    <s v="THANH THÚY"/>
    <x v="112"/>
    <x v="114"/>
    <x v="169"/>
    <x v="73"/>
    <x v="1"/>
    <x v="7"/>
    <x v="10"/>
    <s v="NL2018"/>
    <m/>
    <n v="15"/>
    <n v="5250"/>
    <x v="9"/>
    <n v="42000000"/>
    <x v="0"/>
    <d v="2019-01-15T00:00:00"/>
    <x v="6"/>
    <x v="6"/>
    <s v="15/1AL"/>
    <m/>
    <m/>
    <m/>
    <d v="2019-03-04T00:00:00"/>
    <n v="5250"/>
    <m/>
    <m/>
    <m/>
    <m/>
    <m/>
    <m/>
    <n v="5250"/>
    <n v="0"/>
    <n v="0"/>
    <d v="2020-02-21T00:00:00"/>
  </r>
  <r>
    <x v="208"/>
    <d v="2019-04-03T00:00:00"/>
    <s v="THANH THÚY"/>
    <x v="112"/>
    <x v="114"/>
    <x v="119"/>
    <x v="60"/>
    <x v="0"/>
    <x v="3"/>
    <x v="5"/>
    <s v="NL2018"/>
    <m/>
    <n v="100"/>
    <n v="20000"/>
    <x v="73"/>
    <n v="126000000"/>
    <x v="0"/>
    <d v="2019-04-15T00:00:00"/>
    <x v="32"/>
    <x v="32"/>
    <s v="15/4AL"/>
    <m/>
    <m/>
    <m/>
    <d v="2019-05-29T00:00:00"/>
    <n v="12000"/>
    <d v="2019-06-11T00:00:00"/>
    <n v="8000"/>
    <m/>
    <m/>
    <m/>
    <m/>
    <n v="20000"/>
    <n v="0"/>
    <n v="0"/>
    <m/>
  </r>
  <r>
    <x v="209"/>
    <d v="2019-02-11T00:00:00"/>
    <s v="THANH THÚY"/>
    <x v="112"/>
    <x v="114"/>
    <x v="77"/>
    <x v="7"/>
    <x v="0"/>
    <x v="3"/>
    <x v="5"/>
    <s v="NL2018"/>
    <m/>
    <n v="20"/>
    <n v="4000"/>
    <x v="73"/>
    <n v="25200000"/>
    <x v="0"/>
    <d v="2019-02-15T00:00:00"/>
    <x v="0"/>
    <x v="0"/>
    <s v="15/2AL"/>
    <s v="CONT 11/2019"/>
    <m/>
    <m/>
    <d v="2019-03-20T00:00:00"/>
    <n v="4000"/>
    <m/>
    <m/>
    <m/>
    <m/>
    <m/>
    <m/>
    <n v="4000"/>
    <n v="0"/>
    <n v="0"/>
    <d v="2020-02-21T00:00:00"/>
  </r>
  <r>
    <x v="209"/>
    <d v="2019-02-11T00:00:00"/>
    <s v="THANH THÚY"/>
    <x v="112"/>
    <x v="114"/>
    <x v="9"/>
    <x v="5"/>
    <x v="0"/>
    <x v="3"/>
    <x v="5"/>
    <s v="NL2018"/>
    <m/>
    <n v="50"/>
    <n v="10000"/>
    <x v="32"/>
    <n v="53000000"/>
    <x v="0"/>
    <s v="29-Feb-19"/>
    <x v="10"/>
    <x v="10"/>
    <s v="28/2AL"/>
    <s v="CONT 17/2019"/>
    <m/>
    <m/>
    <d v="2019-04-03T00:00:00"/>
    <n v="10000"/>
    <m/>
    <m/>
    <m/>
    <m/>
    <m/>
    <m/>
    <n v="10000"/>
    <n v="0"/>
    <n v="0"/>
    <d v="2020-02-21T00:00:00"/>
  </r>
  <r>
    <x v="208"/>
    <d v="2019-04-03T00:00:00"/>
    <s v="THANH THÚY"/>
    <x v="112"/>
    <x v="114"/>
    <x v="9"/>
    <x v="5"/>
    <x v="0"/>
    <x v="3"/>
    <x v="5"/>
    <s v="NL2018"/>
    <m/>
    <n v="65"/>
    <n v="13000"/>
    <x v="32"/>
    <n v="68900000"/>
    <x v="0"/>
    <d v="2019-03-15T00:00:00"/>
    <x v="5"/>
    <x v="5"/>
    <s v="15/3AL"/>
    <s v="CONT 22/2019"/>
    <m/>
    <m/>
    <d v="2019-04-18T00:00:00"/>
    <n v="13000"/>
    <m/>
    <m/>
    <m/>
    <m/>
    <m/>
    <m/>
    <n v="13000"/>
    <n v="0"/>
    <n v="0"/>
    <d v="2020-02-21T00:00:00"/>
  </r>
  <r>
    <x v="208"/>
    <d v="2019-04-03T00:00:00"/>
    <s v="THANH THÚY"/>
    <x v="112"/>
    <x v="114"/>
    <x v="9"/>
    <x v="5"/>
    <x v="0"/>
    <x v="3"/>
    <x v="5"/>
    <s v="NL2018"/>
    <m/>
    <n v="50"/>
    <n v="10000"/>
    <x v="6"/>
    <n v="54000000"/>
    <x v="4"/>
    <d v="2019-04-15T00:00:00"/>
    <x v="32"/>
    <x v="32"/>
    <s v="15/4AL"/>
    <m/>
    <m/>
    <m/>
    <m/>
    <m/>
    <m/>
    <m/>
    <m/>
    <m/>
    <m/>
    <m/>
    <n v="0"/>
    <n v="10000"/>
    <n v="54000000"/>
    <m/>
  </r>
  <r>
    <x v="208"/>
    <d v="2019-06-18T00:00:00"/>
    <s v="THANH THÚY"/>
    <x v="112"/>
    <x v="114"/>
    <x v="9"/>
    <x v="5"/>
    <x v="0"/>
    <x v="3"/>
    <x v="5"/>
    <s v="NL2018"/>
    <m/>
    <n v="10"/>
    <n v="2000"/>
    <x v="6"/>
    <n v="10800000"/>
    <x v="4"/>
    <d v="2019-05-02T00:00:00"/>
    <x v="9"/>
    <x v="9"/>
    <m/>
    <m/>
    <m/>
    <m/>
    <m/>
    <m/>
    <m/>
    <m/>
    <m/>
    <m/>
    <m/>
    <m/>
    <n v="0"/>
    <n v="2000"/>
    <n v="10800000"/>
    <m/>
  </r>
  <r>
    <x v="208"/>
    <d v="2019-06-25T00:00:00"/>
    <s v="THANH THÚY"/>
    <x v="112"/>
    <x v="114"/>
    <x v="88"/>
    <x v="13"/>
    <x v="0"/>
    <x v="5"/>
    <x v="6"/>
    <s v="NL2018"/>
    <m/>
    <n v="19"/>
    <n v="5700"/>
    <x v="45"/>
    <n v="22800000"/>
    <x v="3"/>
    <d v="2019-06-15T00:00:00"/>
    <x v="4"/>
    <x v="4"/>
    <m/>
    <m/>
    <m/>
    <m/>
    <m/>
    <m/>
    <m/>
    <m/>
    <m/>
    <m/>
    <m/>
    <m/>
    <n v="0"/>
    <n v="5700"/>
    <n v="22800000"/>
    <m/>
  </r>
  <r>
    <x v="208"/>
    <d v="2019-06-24T00:00:00"/>
    <s v="THANH THÚY"/>
    <x v="112"/>
    <x v="114"/>
    <x v="74"/>
    <x v="0"/>
    <x v="0"/>
    <x v="2"/>
    <x v="6"/>
    <s v="NL2018"/>
    <m/>
    <n v="14"/>
    <n v="4200"/>
    <x v="77"/>
    <n v="15960000"/>
    <x v="0"/>
    <d v="2019-06-24T00:00:00"/>
    <x v="73"/>
    <x v="73"/>
    <m/>
    <m/>
    <m/>
    <m/>
    <d v="2019-06-24T00:00:00"/>
    <n v="4200"/>
    <m/>
    <m/>
    <m/>
    <m/>
    <m/>
    <m/>
    <n v="4200"/>
    <n v="0"/>
    <n v="0"/>
    <m/>
  </r>
  <r>
    <x v="208"/>
    <d v="2019-04-03T00:00:00"/>
    <s v="THANH THÚY"/>
    <x v="112"/>
    <x v="114"/>
    <x v="9"/>
    <x v="5"/>
    <x v="0"/>
    <x v="3"/>
    <x v="5"/>
    <s v="NL2018"/>
    <m/>
    <n v="0"/>
    <n v="0"/>
    <x v="32"/>
    <n v="0"/>
    <x v="1"/>
    <d v="2019-04-29T00:00:00"/>
    <x v="11"/>
    <x v="11"/>
    <s v="29/4AL.chưa tính phí lạnh"/>
    <m/>
    <m/>
    <m/>
    <m/>
    <n v="0"/>
    <m/>
    <m/>
    <m/>
    <m/>
    <m/>
    <m/>
    <n v="0"/>
    <n v="0"/>
    <n v="0"/>
    <d v="2020-02-22T00:00:00"/>
  </r>
  <r>
    <x v="208"/>
    <d v="2019-04-03T00:00:00"/>
    <s v="THANH THÚY"/>
    <x v="112"/>
    <x v="114"/>
    <x v="9"/>
    <x v="5"/>
    <x v="0"/>
    <x v="3"/>
    <x v="5"/>
    <s v="NL2018"/>
    <m/>
    <n v="0"/>
    <n v="0"/>
    <x v="32"/>
    <n v="0"/>
    <x v="1"/>
    <m/>
    <x v="35"/>
    <x v="35"/>
    <s v="chưa tính phí lạnh"/>
    <m/>
    <m/>
    <m/>
    <m/>
    <n v="0"/>
    <m/>
    <m/>
    <m/>
    <m/>
    <m/>
    <m/>
    <n v="0"/>
    <n v="0"/>
    <n v="0"/>
    <d v="2020-02-22T00:00:00"/>
  </r>
  <r>
    <x v="210"/>
    <d v="2019-04-20T00:00:00"/>
    <s v="THANH THÚY"/>
    <x v="112"/>
    <x v="114"/>
    <x v="170"/>
    <x v="5"/>
    <x v="0"/>
    <x v="1"/>
    <x v="9"/>
    <s v="CL2019"/>
    <m/>
    <n v="0"/>
    <n v="0"/>
    <x v="5"/>
    <n v="0"/>
    <x v="1"/>
    <m/>
    <x v="35"/>
    <x v="35"/>
    <s v="TẾT"/>
    <m/>
    <m/>
    <m/>
    <m/>
    <m/>
    <m/>
    <m/>
    <m/>
    <m/>
    <m/>
    <m/>
    <n v="0"/>
    <n v="0"/>
    <n v="0"/>
    <m/>
  </r>
  <r>
    <x v="208"/>
    <d v="2019-06-07T00:00:00"/>
    <s v="THANH THÚY"/>
    <x v="112"/>
    <x v="114"/>
    <x v="171"/>
    <x v="94"/>
    <x v="1"/>
    <x v="7"/>
    <x v="8"/>
    <s v="NL2018"/>
    <m/>
    <n v="6"/>
    <n v="2400"/>
    <x v="182"/>
    <n v="19411200"/>
    <x v="0"/>
    <d v="2019-04-17T00:00:00"/>
    <x v="1"/>
    <x v="1"/>
    <m/>
    <m/>
    <m/>
    <m/>
    <d v="2019-06-11T00:00:00"/>
    <n v="1200"/>
    <d v="2019-06-24T00:00:00"/>
    <n v="1200"/>
    <m/>
    <m/>
    <m/>
    <m/>
    <n v="2400"/>
    <n v="0"/>
    <n v="0"/>
    <m/>
  </r>
  <r>
    <x v="208"/>
    <d v="2019-04-03T00:00:00"/>
    <s v="THANH THÚY"/>
    <x v="112"/>
    <x v="114"/>
    <x v="171"/>
    <x v="94"/>
    <x v="1"/>
    <x v="7"/>
    <x v="8"/>
    <s v="NL2018"/>
    <m/>
    <n v="3"/>
    <n v="1200"/>
    <x v="181"/>
    <n v="9675600"/>
    <x v="0"/>
    <d v="2019-04-15T00:00:00"/>
    <x v="32"/>
    <x v="32"/>
    <s v="15/4AL"/>
    <m/>
    <m/>
    <m/>
    <d v="2019-05-19T00:00:00"/>
    <n v="1200"/>
    <m/>
    <m/>
    <m/>
    <m/>
    <m/>
    <m/>
    <n v="1200"/>
    <n v="0"/>
    <n v="0"/>
    <m/>
  </r>
  <r>
    <x v="211"/>
    <d v="2019-04-01T00:00:00"/>
    <s v="KIỀU THY"/>
    <x v="113"/>
    <x v="115"/>
    <x v="74"/>
    <x v="0"/>
    <x v="0"/>
    <x v="2"/>
    <x v="2"/>
    <s v="NL2018"/>
    <m/>
    <n v="30"/>
    <n v="9000"/>
    <x v="45"/>
    <n v="36000000"/>
    <x v="0"/>
    <d v="2019-04-17T00:00:00"/>
    <x v="1"/>
    <x v="1"/>
    <s v="10/4AL"/>
    <m/>
    <m/>
    <m/>
    <d v="2019-05-25T00:00:00"/>
    <n v="9000"/>
    <m/>
    <m/>
    <m/>
    <m/>
    <m/>
    <m/>
    <n v="9000"/>
    <n v="0"/>
    <n v="0"/>
    <m/>
  </r>
  <r>
    <x v="211"/>
    <d v="2019-04-01T00:00:00"/>
    <s v="KIỀU THY"/>
    <x v="113"/>
    <x v="115"/>
    <x v="34"/>
    <x v="1"/>
    <x v="0"/>
    <x v="2"/>
    <x v="2"/>
    <s v="NL2018"/>
    <m/>
    <n v="7"/>
    <n v="2100"/>
    <x v="42"/>
    <n v="10080000"/>
    <x v="0"/>
    <d v="2019-04-17T00:00:00"/>
    <x v="1"/>
    <x v="1"/>
    <s v="10/4AL"/>
    <m/>
    <m/>
    <m/>
    <d v="2019-05-19T00:00:00"/>
    <n v="2100"/>
    <m/>
    <m/>
    <m/>
    <m/>
    <m/>
    <m/>
    <n v="2100"/>
    <n v="0"/>
    <n v="0"/>
    <m/>
  </r>
  <r>
    <x v="212"/>
    <d v="2019-03-12T00:00:00"/>
    <s v="KIỀU THY"/>
    <x v="114"/>
    <x v="116"/>
    <x v="22"/>
    <x v="3"/>
    <x v="0"/>
    <x v="8"/>
    <x v="11"/>
    <s v="NL2018"/>
    <m/>
    <n v="60"/>
    <n v="6000"/>
    <x v="25"/>
    <n v="75000000"/>
    <x v="2"/>
    <d v="2019-09-01T00:00:00"/>
    <x v="2"/>
    <x v="2"/>
    <s v="TẾT"/>
    <m/>
    <m/>
    <m/>
    <m/>
    <n v="0"/>
    <m/>
    <m/>
    <m/>
    <m/>
    <m/>
    <m/>
    <n v="0"/>
    <n v="6000"/>
    <n v="75000000"/>
    <m/>
  </r>
  <r>
    <x v="212"/>
    <d v="2019-03-12T00:00:00"/>
    <s v="KIỀU THY"/>
    <x v="114"/>
    <x v="116"/>
    <x v="20"/>
    <x v="6"/>
    <x v="0"/>
    <x v="8"/>
    <x v="11"/>
    <s v="NL2018"/>
    <m/>
    <n v="60"/>
    <n v="6000"/>
    <x v="24"/>
    <n v="85200000"/>
    <x v="2"/>
    <d v="2019-09-01T00:00:00"/>
    <x v="2"/>
    <x v="2"/>
    <s v="TẾT"/>
    <m/>
    <m/>
    <m/>
    <m/>
    <n v="0"/>
    <m/>
    <m/>
    <m/>
    <m/>
    <m/>
    <m/>
    <n v="0"/>
    <n v="6000"/>
    <n v="85200000"/>
    <m/>
  </r>
  <r>
    <x v="212"/>
    <d v="2019-03-12T00:00:00"/>
    <s v="KIỀU THY"/>
    <x v="114"/>
    <x v="116"/>
    <x v="6"/>
    <x v="39"/>
    <x v="0"/>
    <x v="3"/>
    <x v="5"/>
    <s v="NL2018"/>
    <m/>
    <n v="77"/>
    <n v="15400"/>
    <x v="28"/>
    <n v="70840000"/>
    <x v="0"/>
    <d v="2019-01-15T00:00:00"/>
    <x v="6"/>
    <x v="6"/>
    <s v="15/1AL"/>
    <m/>
    <m/>
    <s v="R"/>
    <d v="2019-03-04T00:00:00"/>
    <n v="9000"/>
    <d v="2019-03-07T00:00:00"/>
    <n v="6400"/>
    <m/>
    <m/>
    <m/>
    <m/>
    <n v="15400"/>
    <n v="0"/>
    <n v="0"/>
    <m/>
  </r>
  <r>
    <x v="212"/>
    <d v="2019-03-12T00:00:00"/>
    <s v="KIỀU THY"/>
    <x v="114"/>
    <x v="116"/>
    <x v="21"/>
    <x v="4"/>
    <x v="0"/>
    <x v="8"/>
    <x v="11"/>
    <s v="NL2018"/>
    <m/>
    <n v="100"/>
    <n v="10000"/>
    <x v="25"/>
    <n v="125000000"/>
    <x v="2"/>
    <d v="2019-09-01T00:00:00"/>
    <x v="2"/>
    <x v="2"/>
    <s v="TẾT"/>
    <m/>
    <m/>
    <m/>
    <m/>
    <n v="0"/>
    <m/>
    <m/>
    <m/>
    <m/>
    <m/>
    <m/>
    <n v="0"/>
    <n v="10000"/>
    <n v="125000000"/>
    <m/>
  </r>
  <r>
    <x v="213"/>
    <d v="2019-02-13T00:00:00"/>
    <s v="KIỀU THY"/>
    <x v="115"/>
    <x v="117"/>
    <x v="74"/>
    <x v="0"/>
    <x v="0"/>
    <x v="2"/>
    <x v="6"/>
    <s v="NL2018"/>
    <m/>
    <n v="45"/>
    <n v="13500"/>
    <x v="77"/>
    <n v="51300000"/>
    <x v="0"/>
    <d v="2019-03-15T00:00:00"/>
    <x v="5"/>
    <x v="5"/>
    <s v="15/3AL"/>
    <s v="CONT 12/2019"/>
    <d v="2019-03-17T00:00:00"/>
    <s v="R"/>
    <d v="2019-05-19T00:00:00"/>
    <n v="3900"/>
    <d v="2019-06-03T00:00:00"/>
    <n v="9600"/>
    <m/>
    <m/>
    <m/>
    <m/>
    <n v="13500"/>
    <n v="0"/>
    <n v="0"/>
    <m/>
  </r>
  <r>
    <x v="213"/>
    <d v="2019-06-15T00:00:00"/>
    <s v="KIỀU THY"/>
    <x v="115"/>
    <x v="117"/>
    <x v="74"/>
    <x v="0"/>
    <x v="0"/>
    <x v="2"/>
    <x v="6"/>
    <s v="NL2018"/>
    <m/>
    <n v="38"/>
    <n v="11400"/>
    <x v="45"/>
    <n v="45600000"/>
    <x v="3"/>
    <d v="2019-06-15T00:00:00"/>
    <x v="4"/>
    <x v="4"/>
    <m/>
    <m/>
    <m/>
    <m/>
    <m/>
    <m/>
    <m/>
    <m/>
    <m/>
    <m/>
    <m/>
    <m/>
    <n v="0"/>
    <n v="11400"/>
    <n v="45600000"/>
    <m/>
  </r>
  <r>
    <x v="213"/>
    <d v="2019-02-13T00:00:00"/>
    <s v="KIỀU THY"/>
    <x v="115"/>
    <x v="117"/>
    <x v="74"/>
    <x v="0"/>
    <x v="0"/>
    <x v="2"/>
    <x v="6"/>
    <s v="NL2018"/>
    <m/>
    <n v="33"/>
    <n v="9900"/>
    <x v="77"/>
    <n v="37620000"/>
    <x v="0"/>
    <s v="30-Feb-19"/>
    <x v="29"/>
    <x v="29"/>
    <s v="30/2AL"/>
    <s v="CONT 14/2019"/>
    <d v="2019-03-31T00:00:00"/>
    <s v="R"/>
    <d v="2019-04-15T00:00:00"/>
    <n v="9900"/>
    <m/>
    <m/>
    <m/>
    <m/>
    <m/>
    <m/>
    <n v="9900"/>
    <n v="0"/>
    <n v="0"/>
    <m/>
  </r>
  <r>
    <x v="214"/>
    <d v="2019-02-13T00:00:00"/>
    <s v="KIỀU THY"/>
    <x v="115"/>
    <x v="117"/>
    <x v="4"/>
    <x v="3"/>
    <x v="0"/>
    <x v="4"/>
    <x v="14"/>
    <s v="NL2018"/>
    <m/>
    <n v="120"/>
    <n v="15000"/>
    <x v="5"/>
    <n v="157500000"/>
    <x v="2"/>
    <d v="2019-09-01T00:00:00"/>
    <x v="2"/>
    <x v="2"/>
    <s v="TẾT"/>
    <m/>
    <m/>
    <m/>
    <m/>
    <n v="0"/>
    <m/>
    <m/>
    <m/>
    <m/>
    <m/>
    <m/>
    <n v="0"/>
    <n v="15000"/>
    <n v="157500000"/>
    <m/>
  </r>
  <r>
    <x v="213"/>
    <d v="2019-02-13T00:00:00"/>
    <s v="KIỀU THY"/>
    <x v="115"/>
    <x v="117"/>
    <x v="5"/>
    <x v="3"/>
    <x v="0"/>
    <x v="1"/>
    <x v="9"/>
    <s v="NL2018"/>
    <m/>
    <n v="67"/>
    <n v="10050"/>
    <x v="96"/>
    <n v="65325000"/>
    <x v="0"/>
    <d v="2019-03-15T00:00:00"/>
    <x v="5"/>
    <x v="5"/>
    <s v="15/3AL"/>
    <m/>
    <m/>
    <m/>
    <d v="2019-04-23T00:00:00"/>
    <n v="10050"/>
    <m/>
    <m/>
    <m/>
    <m/>
    <m/>
    <m/>
    <n v="10050"/>
    <n v="0"/>
    <n v="0"/>
    <m/>
  </r>
  <r>
    <x v="213"/>
    <d v="2019-02-13T00:00:00"/>
    <s v="KIỀU THY"/>
    <x v="115"/>
    <x v="117"/>
    <x v="5"/>
    <x v="3"/>
    <x v="0"/>
    <x v="1"/>
    <x v="9"/>
    <s v="NL2018"/>
    <m/>
    <n v="67"/>
    <n v="10050"/>
    <x v="96"/>
    <n v="65325000"/>
    <x v="0"/>
    <d v="2019-04-17T00:00:00"/>
    <x v="1"/>
    <x v="1"/>
    <m/>
    <m/>
    <m/>
    <m/>
    <d v="2019-05-19T00:00:00"/>
    <n v="10050"/>
    <m/>
    <m/>
    <m/>
    <m/>
    <m/>
    <m/>
    <n v="10050"/>
    <n v="0"/>
    <n v="0"/>
    <m/>
  </r>
  <r>
    <x v="214"/>
    <d v="2019-02-13T00:00:00"/>
    <s v="KIỀU THY"/>
    <x v="115"/>
    <x v="117"/>
    <x v="7"/>
    <x v="4"/>
    <x v="0"/>
    <x v="4"/>
    <x v="14"/>
    <s v="NL2018"/>
    <m/>
    <n v="120"/>
    <n v="15000"/>
    <x v="5"/>
    <n v="157500000"/>
    <x v="2"/>
    <d v="2019-09-01T00:00:00"/>
    <x v="2"/>
    <x v="2"/>
    <s v="TẾT"/>
    <m/>
    <m/>
    <m/>
    <m/>
    <n v="0"/>
    <m/>
    <m/>
    <m/>
    <m/>
    <m/>
    <m/>
    <n v="0"/>
    <n v="15000"/>
    <n v="157500000"/>
    <m/>
  </r>
  <r>
    <x v="213"/>
    <d v="2019-04-24T00:00:00"/>
    <s v="KIỀU THY"/>
    <x v="115"/>
    <x v="117"/>
    <x v="6"/>
    <x v="4"/>
    <x v="0"/>
    <x v="3"/>
    <x v="5"/>
    <s v="NL2018"/>
    <m/>
    <n v="1"/>
    <n v="200"/>
    <x v="73"/>
    <n v="1260000"/>
    <x v="0"/>
    <d v="2019-03-15T00:00:00"/>
    <x v="5"/>
    <x v="5"/>
    <s v="15/3AL"/>
    <m/>
    <m/>
    <m/>
    <d v="2019-04-24T00:00:00"/>
    <n v="200"/>
    <m/>
    <m/>
    <m/>
    <m/>
    <m/>
    <m/>
    <n v="200"/>
    <n v="0"/>
    <n v="0"/>
    <m/>
  </r>
  <r>
    <x v="213"/>
    <d v="2019-05-24T00:00:00"/>
    <s v="KIỀU THY"/>
    <x v="115"/>
    <x v="117"/>
    <x v="13"/>
    <x v="7"/>
    <x v="0"/>
    <x v="5"/>
    <x v="6"/>
    <s v="NL2018"/>
    <m/>
    <n v="30"/>
    <n v="9000"/>
    <x v="14"/>
    <n v="40500000"/>
    <x v="0"/>
    <d v="2019-03-15T00:00:00"/>
    <x v="5"/>
    <x v="5"/>
    <m/>
    <m/>
    <m/>
    <m/>
    <d v="2019-06-17T00:00:00"/>
    <n v="9000"/>
    <m/>
    <m/>
    <m/>
    <m/>
    <m/>
    <m/>
    <n v="9000"/>
    <n v="0"/>
    <n v="0"/>
    <m/>
  </r>
  <r>
    <x v="215"/>
    <d v="2019-03-11T00:00:00"/>
    <s v="KIỀU THY"/>
    <x v="116"/>
    <x v="118"/>
    <x v="74"/>
    <x v="0"/>
    <x v="0"/>
    <x v="2"/>
    <x v="6"/>
    <s v="NL2018"/>
    <m/>
    <n v="0"/>
    <n v="0"/>
    <x v="77"/>
    <n v="0"/>
    <x v="1"/>
    <d v="2019-04-17T00:00:00"/>
    <x v="1"/>
    <x v="1"/>
    <s v="15/4AL, trồng rằm T7"/>
    <m/>
    <m/>
    <m/>
    <m/>
    <n v="0"/>
    <m/>
    <m/>
    <m/>
    <m/>
    <m/>
    <m/>
    <n v="0"/>
    <n v="0"/>
    <n v="0"/>
    <m/>
  </r>
  <r>
    <x v="216"/>
    <d v="2019-02-18T00:00:00"/>
    <s v="KIỀU THY"/>
    <x v="116"/>
    <x v="118"/>
    <x v="54"/>
    <x v="0"/>
    <x v="0"/>
    <x v="3"/>
    <x v="5"/>
    <s v="NL2018"/>
    <m/>
    <n v="25"/>
    <n v="5000"/>
    <x v="8"/>
    <n v="25000000"/>
    <x v="0"/>
    <d v="2019-01-15T00:00:00"/>
    <x v="6"/>
    <x v="6"/>
    <s v="15/1AL"/>
    <m/>
    <m/>
    <s v="R"/>
    <d v="2019-03-19T00:00:00"/>
    <n v="5000"/>
    <m/>
    <m/>
    <m/>
    <m/>
    <m/>
    <m/>
    <n v="5000"/>
    <n v="0"/>
    <n v="0"/>
    <m/>
  </r>
  <r>
    <x v="215"/>
    <d v="2019-03-11T00:00:00"/>
    <s v="KIỀU THY"/>
    <x v="116"/>
    <x v="118"/>
    <x v="32"/>
    <x v="18"/>
    <x v="0"/>
    <x v="2"/>
    <x v="6"/>
    <s v="NL2018"/>
    <m/>
    <n v="0"/>
    <n v="0"/>
    <x v="39"/>
    <n v="0"/>
    <x v="1"/>
    <d v="2019-04-17T00:00:00"/>
    <x v="1"/>
    <x v="1"/>
    <s v="15/4AL, trồng rằm T7"/>
    <m/>
    <m/>
    <m/>
    <m/>
    <n v="0"/>
    <m/>
    <m/>
    <m/>
    <m/>
    <m/>
    <m/>
    <n v="0"/>
    <n v="0"/>
    <n v="0"/>
    <m/>
  </r>
  <r>
    <x v="217"/>
    <d v="2019-03-11T00:00:00"/>
    <s v="KIỀU THY"/>
    <x v="116"/>
    <x v="119"/>
    <x v="57"/>
    <x v="32"/>
    <x v="0"/>
    <x v="11"/>
    <x v="19"/>
    <s v="NL2018"/>
    <m/>
    <n v="200"/>
    <n v="15000"/>
    <x v="56"/>
    <n v="240000000"/>
    <x v="2"/>
    <d v="2019-09-01T00:00:00"/>
    <x v="2"/>
    <x v="2"/>
    <s v="TẾT"/>
    <m/>
    <m/>
    <m/>
    <m/>
    <n v="0"/>
    <m/>
    <m/>
    <m/>
    <m/>
    <m/>
    <m/>
    <n v="0"/>
    <n v="15000"/>
    <n v="240000000"/>
    <m/>
  </r>
  <r>
    <x v="217"/>
    <d v="2019-03-11T00:00:00"/>
    <s v="KIỀU THY"/>
    <x v="116"/>
    <x v="119"/>
    <x v="59"/>
    <x v="11"/>
    <x v="0"/>
    <x v="4"/>
    <x v="14"/>
    <s v="NL2018"/>
    <m/>
    <n v="80"/>
    <n v="10000"/>
    <x v="24"/>
    <n v="142000000"/>
    <x v="2"/>
    <d v="2019-09-01T00:00:00"/>
    <x v="2"/>
    <x v="2"/>
    <s v="TẾT"/>
    <m/>
    <m/>
    <m/>
    <m/>
    <n v="0"/>
    <m/>
    <m/>
    <m/>
    <m/>
    <m/>
    <m/>
    <n v="0"/>
    <n v="10000"/>
    <n v="142000000"/>
    <m/>
  </r>
  <r>
    <x v="217"/>
    <d v="2019-03-11T00:00:00"/>
    <s v="KIỀU THY"/>
    <x v="116"/>
    <x v="119"/>
    <x v="7"/>
    <x v="4"/>
    <x v="0"/>
    <x v="4"/>
    <x v="14"/>
    <s v="NL2018"/>
    <m/>
    <n v="40"/>
    <n v="5000"/>
    <x v="5"/>
    <n v="52500000"/>
    <x v="2"/>
    <d v="2019-09-01T00:00:00"/>
    <x v="2"/>
    <x v="2"/>
    <s v="TẾT"/>
    <m/>
    <m/>
    <m/>
    <m/>
    <n v="0"/>
    <m/>
    <m/>
    <m/>
    <m/>
    <m/>
    <m/>
    <n v="0"/>
    <n v="5000"/>
    <n v="52500000"/>
    <m/>
  </r>
  <r>
    <x v="218"/>
    <d v="2019-03-26T00:00:00"/>
    <s v="KIỀU THY"/>
    <x v="117"/>
    <x v="120"/>
    <x v="22"/>
    <x v="3"/>
    <x v="0"/>
    <x v="8"/>
    <x v="12"/>
    <s v="NL2018"/>
    <m/>
    <n v="60"/>
    <n v="6000"/>
    <x v="25"/>
    <n v="75000000"/>
    <x v="2"/>
    <d v="2019-09-01T00:00:00"/>
    <x v="2"/>
    <x v="2"/>
    <s v="TẾT"/>
    <m/>
    <m/>
    <m/>
    <m/>
    <m/>
    <m/>
    <m/>
    <m/>
    <m/>
    <m/>
    <m/>
    <n v="0"/>
    <n v="6000"/>
    <n v="75000000"/>
    <m/>
  </r>
  <r>
    <x v="218"/>
    <d v="2019-03-26T00:00:00"/>
    <s v="KIỀU THY"/>
    <x v="117"/>
    <x v="120"/>
    <x v="8"/>
    <x v="4"/>
    <x v="0"/>
    <x v="1"/>
    <x v="1"/>
    <s v="NL2018"/>
    <m/>
    <n v="14"/>
    <n v="2100"/>
    <x v="55"/>
    <n v="15120000"/>
    <x v="2"/>
    <d v="2019-09-01T00:00:00"/>
    <x v="2"/>
    <x v="2"/>
    <s v="TẾT"/>
    <m/>
    <m/>
    <m/>
    <m/>
    <m/>
    <m/>
    <m/>
    <m/>
    <m/>
    <m/>
    <m/>
    <n v="0"/>
    <n v="2100"/>
    <n v="15120000"/>
    <m/>
  </r>
  <r>
    <x v="218"/>
    <d v="2019-03-26T00:00:00"/>
    <s v="KIỀU THY"/>
    <x v="117"/>
    <x v="120"/>
    <x v="7"/>
    <x v="4"/>
    <x v="0"/>
    <x v="4"/>
    <x v="4"/>
    <s v="NL2018"/>
    <m/>
    <n v="72"/>
    <n v="9000"/>
    <x v="5"/>
    <n v="94500000"/>
    <x v="2"/>
    <d v="2019-09-01T00:00:00"/>
    <x v="2"/>
    <x v="2"/>
    <s v="TẾT"/>
    <m/>
    <m/>
    <m/>
    <m/>
    <m/>
    <m/>
    <m/>
    <m/>
    <m/>
    <m/>
    <m/>
    <n v="0"/>
    <n v="9000"/>
    <n v="94500000"/>
    <m/>
  </r>
  <r>
    <x v="219"/>
    <d v="2019-05-10T00:00:00"/>
    <s v="KIỀU THY"/>
    <x v="118"/>
    <x v="121"/>
    <x v="74"/>
    <x v="0"/>
    <x v="0"/>
    <x v="2"/>
    <x v="6"/>
    <s v="NL2018"/>
    <m/>
    <n v="3"/>
    <n v="900"/>
    <x v="77"/>
    <n v="3420000"/>
    <x v="0"/>
    <d v="2019-03-15T00:00:00"/>
    <x v="5"/>
    <x v="5"/>
    <s v="10/4AL XẢ"/>
    <m/>
    <m/>
    <m/>
    <d v="2019-05-16T00:00:00"/>
    <n v="900"/>
    <m/>
    <m/>
    <m/>
    <m/>
    <m/>
    <m/>
    <n v="900"/>
    <n v="0"/>
    <n v="0"/>
    <m/>
  </r>
  <r>
    <x v="219"/>
    <d v="2019-02-18T00:00:00"/>
    <s v="KIỀU THY"/>
    <x v="118"/>
    <x v="121"/>
    <x v="3"/>
    <x v="3"/>
    <x v="0"/>
    <x v="3"/>
    <x v="5"/>
    <s v="NL2018"/>
    <m/>
    <n v="40"/>
    <n v="8000"/>
    <x v="42"/>
    <n v="38400000"/>
    <x v="0"/>
    <d v="2019-03-15T00:00:00"/>
    <x v="5"/>
    <x v="5"/>
    <s v="10/4AL XẢ"/>
    <s v="CONT 26/2019"/>
    <d v="2019-04-14T00:00:00"/>
    <s v="R"/>
    <d v="2019-05-16T00:00:00"/>
    <n v="8000"/>
    <m/>
    <m/>
    <m/>
    <m/>
    <m/>
    <m/>
    <n v="8000"/>
    <n v="0"/>
    <n v="0"/>
    <m/>
  </r>
  <r>
    <x v="219"/>
    <d v="2019-02-18T00:00:00"/>
    <s v="KIỀU THY"/>
    <x v="118"/>
    <x v="121"/>
    <x v="3"/>
    <x v="3"/>
    <x v="0"/>
    <x v="3"/>
    <x v="5"/>
    <s v="NL2018"/>
    <m/>
    <n v="25"/>
    <n v="5000"/>
    <x v="183"/>
    <n v="25385000"/>
    <x v="4"/>
    <d v="2019-05-18T00:00:00"/>
    <x v="3"/>
    <x v="3"/>
    <s v="T5"/>
    <m/>
    <m/>
    <s v="R"/>
    <m/>
    <n v="0"/>
    <m/>
    <m/>
    <m/>
    <m/>
    <m/>
    <m/>
    <n v="0"/>
    <n v="5000"/>
    <n v="25385000"/>
    <s v="chưa cộng kho lạnh?"/>
  </r>
  <r>
    <x v="219"/>
    <d v="2019-02-18T00:00:00"/>
    <s v="KIỀU THY"/>
    <x v="118"/>
    <x v="121"/>
    <x v="3"/>
    <x v="3"/>
    <x v="0"/>
    <x v="3"/>
    <x v="5"/>
    <s v="NL2018"/>
    <m/>
    <n v="50"/>
    <n v="10000"/>
    <x v="184"/>
    <n v="49700000"/>
    <x v="4"/>
    <d v="2019-04-17T00:00:00"/>
    <x v="1"/>
    <x v="1"/>
    <s v="11/4AL"/>
    <m/>
    <m/>
    <s v="R"/>
    <d v="2019-06-03T00:00:00"/>
    <n v="6000"/>
    <d v="2019-06-19T00:00:00"/>
    <n v="2000"/>
    <m/>
    <m/>
    <m/>
    <m/>
    <n v="8000"/>
    <n v="2000"/>
    <n v="9940000"/>
    <s v="KH dự kiến xả mát ngày 29/5 DL, ktra lại với KH trước khi xả mát"/>
  </r>
  <r>
    <x v="220"/>
    <d v="2019-05-22T00:00:00"/>
    <s v="KIỀU THY"/>
    <x v="118"/>
    <x v="121"/>
    <x v="3"/>
    <x v="3"/>
    <x v="0"/>
    <x v="3"/>
    <x v="5"/>
    <s v="NL2018"/>
    <m/>
    <n v="30"/>
    <n v="6000"/>
    <x v="6"/>
    <n v="32400000"/>
    <x v="0"/>
    <d v="2019-04-17T00:00:00"/>
    <x v="1"/>
    <x v="1"/>
    <s v="11/4AL"/>
    <m/>
    <m/>
    <s v="R"/>
    <m/>
    <m/>
    <d v="2019-06-03T00:00:00"/>
    <n v="6000"/>
    <m/>
    <m/>
    <m/>
    <m/>
    <n v="6000"/>
    <n v="0"/>
    <n v="0"/>
    <s v="KH dự kiến xả mát ngày 29/5 DL, ktra lại với KH trước khi xả mát"/>
  </r>
  <r>
    <x v="219"/>
    <d v="2019-02-18T00:00:00"/>
    <s v="KIỀU THY"/>
    <x v="118"/>
    <x v="121"/>
    <x v="3"/>
    <x v="3"/>
    <x v="0"/>
    <x v="3"/>
    <x v="5"/>
    <s v="NL2018"/>
    <m/>
    <n v="40"/>
    <n v="8000"/>
    <x v="42"/>
    <n v="38400000"/>
    <x v="0"/>
    <s v="30-Feb-19"/>
    <x v="29"/>
    <x v="29"/>
    <s v="30/2AL"/>
    <s v="CONT 15/2019"/>
    <d v="2019-03-31T00:00:00"/>
    <s v="R"/>
    <d v="2019-04-12T00:00:00"/>
    <n v="8000"/>
    <m/>
    <m/>
    <m/>
    <m/>
    <m/>
    <m/>
    <n v="8000"/>
    <n v="0"/>
    <n v="0"/>
    <m/>
  </r>
  <r>
    <x v="221"/>
    <d v="2019-02-18T00:00:00"/>
    <s v="KIỀU THY"/>
    <x v="118"/>
    <x v="121"/>
    <x v="5"/>
    <x v="3"/>
    <x v="0"/>
    <x v="1"/>
    <x v="9"/>
    <s v="NL2018"/>
    <m/>
    <n v="0"/>
    <n v="0"/>
    <x v="55"/>
    <n v="0"/>
    <x v="1"/>
    <d v="2019-09-01T00:00:00"/>
    <x v="2"/>
    <x v="2"/>
    <s v="TẾT"/>
    <m/>
    <m/>
    <s v="R"/>
    <m/>
    <n v="0"/>
    <m/>
    <m/>
    <m/>
    <m/>
    <m/>
    <m/>
    <n v="0"/>
    <n v="0"/>
    <n v="0"/>
    <m/>
  </r>
  <r>
    <x v="221"/>
    <d v="2019-02-18T00:00:00"/>
    <s v="KIỀU THY"/>
    <x v="118"/>
    <x v="121"/>
    <x v="22"/>
    <x v="3"/>
    <x v="0"/>
    <x v="8"/>
    <x v="11"/>
    <s v="NL2018"/>
    <m/>
    <n v="50"/>
    <n v="5000"/>
    <x v="25"/>
    <n v="62500000"/>
    <x v="2"/>
    <d v="2019-09-01T00:00:00"/>
    <x v="2"/>
    <x v="2"/>
    <s v="TẾT"/>
    <m/>
    <m/>
    <s v="R"/>
    <m/>
    <n v="0"/>
    <m/>
    <m/>
    <m/>
    <m/>
    <m/>
    <m/>
    <n v="0"/>
    <n v="5000"/>
    <n v="62500000"/>
    <m/>
  </r>
  <r>
    <x v="222"/>
    <d v="2019-04-09T00:00:00"/>
    <s v="KIỀU THY"/>
    <x v="118"/>
    <x v="121"/>
    <x v="12"/>
    <x v="6"/>
    <x v="0"/>
    <x v="2"/>
    <x v="6"/>
    <s v="NL2018"/>
    <m/>
    <n v="8"/>
    <n v="2400"/>
    <x v="8"/>
    <n v="12000000"/>
    <x v="0"/>
    <d v="2019-03-15T00:00:00"/>
    <x v="5"/>
    <x v="5"/>
    <s v="15/3AL"/>
    <m/>
    <m/>
    <m/>
    <d v="2019-04-26T00:00:00"/>
    <n v="2400"/>
    <m/>
    <m/>
    <m/>
    <m/>
    <m/>
    <m/>
    <n v="2400"/>
    <n v="0"/>
    <n v="0"/>
    <m/>
  </r>
  <r>
    <x v="219"/>
    <d v="2019-04-26T00:00:00"/>
    <s v="KIỀU THY"/>
    <x v="118"/>
    <x v="121"/>
    <x v="78"/>
    <x v="6"/>
    <x v="0"/>
    <x v="2"/>
    <x v="15"/>
    <s v="NL2018"/>
    <m/>
    <n v="9"/>
    <n v="2475"/>
    <x v="8"/>
    <n v="12375000"/>
    <x v="0"/>
    <d v="2019-03-30T00:00:00"/>
    <x v="34"/>
    <x v="34"/>
    <s v="10/4AL XẢ"/>
    <m/>
    <m/>
    <m/>
    <d v="2019-05-16T00:00:00"/>
    <n v="2475"/>
    <m/>
    <m/>
    <m/>
    <m/>
    <m/>
    <m/>
    <n v="2475"/>
    <n v="0"/>
    <n v="0"/>
    <m/>
  </r>
  <r>
    <x v="219"/>
    <d v="2019-04-26T00:00:00"/>
    <s v="KIỀU THY"/>
    <x v="118"/>
    <x v="121"/>
    <x v="12"/>
    <x v="6"/>
    <x v="0"/>
    <x v="2"/>
    <x v="6"/>
    <s v="NL2018"/>
    <m/>
    <n v="7"/>
    <n v="2100"/>
    <x v="8"/>
    <n v="10500000"/>
    <x v="0"/>
    <d v="2019-03-30T00:00:00"/>
    <x v="34"/>
    <x v="34"/>
    <s v="10/4AL XẢ"/>
    <m/>
    <m/>
    <m/>
    <d v="2019-05-16T00:00:00"/>
    <n v="2100"/>
    <m/>
    <m/>
    <m/>
    <m/>
    <m/>
    <m/>
    <n v="2100"/>
    <n v="0"/>
    <n v="0"/>
    <m/>
  </r>
  <r>
    <x v="219"/>
    <d v="2019-04-26T00:00:00"/>
    <s v="KIỀU THY"/>
    <x v="118"/>
    <x v="121"/>
    <x v="172"/>
    <x v="6"/>
    <x v="0"/>
    <x v="5"/>
    <x v="6"/>
    <s v="NL2018"/>
    <m/>
    <n v="9"/>
    <n v="2700"/>
    <x v="8"/>
    <n v="13500000"/>
    <x v="0"/>
    <d v="2019-03-30T00:00:00"/>
    <x v="34"/>
    <x v="34"/>
    <s v="10/4AL XẢ"/>
    <m/>
    <m/>
    <m/>
    <d v="2019-05-16T00:00:00"/>
    <n v="2700"/>
    <m/>
    <m/>
    <m/>
    <m/>
    <m/>
    <m/>
    <n v="2700"/>
    <n v="0"/>
    <n v="0"/>
    <m/>
  </r>
  <r>
    <x v="221"/>
    <d v="2019-02-18T00:00:00"/>
    <s v="KIỀU THY"/>
    <x v="118"/>
    <x v="121"/>
    <x v="38"/>
    <x v="6"/>
    <x v="0"/>
    <x v="4"/>
    <x v="14"/>
    <s v="NL2018"/>
    <m/>
    <n v="24"/>
    <n v="3000"/>
    <x v="47"/>
    <n v="39000000"/>
    <x v="2"/>
    <d v="2019-09-01T00:00:00"/>
    <x v="2"/>
    <x v="2"/>
    <s v="TẾT"/>
    <m/>
    <m/>
    <s v="R"/>
    <m/>
    <n v="0"/>
    <m/>
    <m/>
    <m/>
    <m/>
    <m/>
    <m/>
    <n v="0"/>
    <n v="3000"/>
    <n v="39000000"/>
    <m/>
  </r>
  <r>
    <x v="219"/>
    <d v="2019-02-18T00:00:00"/>
    <s v="KIỀU THY"/>
    <x v="118"/>
    <x v="121"/>
    <x v="6"/>
    <x v="39"/>
    <x v="0"/>
    <x v="3"/>
    <x v="5"/>
    <s v="NL2018"/>
    <m/>
    <n v="35"/>
    <n v="7000"/>
    <x v="8"/>
    <n v="35000000"/>
    <x v="0"/>
    <d v="2019-03-15T00:00:00"/>
    <x v="5"/>
    <x v="5"/>
    <s v="10/4AL XẢ"/>
    <s v="CONT 22/2019"/>
    <d v="2019-04-14T00:00:00"/>
    <s v="R"/>
    <d v="2019-05-16T00:00:00"/>
    <n v="7000"/>
    <m/>
    <m/>
    <m/>
    <m/>
    <m/>
    <m/>
    <n v="7000"/>
    <n v="0"/>
    <n v="0"/>
    <m/>
  </r>
  <r>
    <x v="219"/>
    <d v="2019-02-18T00:00:00"/>
    <s v="KIỀU THY"/>
    <x v="118"/>
    <x v="121"/>
    <x v="6"/>
    <x v="39"/>
    <x v="0"/>
    <x v="3"/>
    <x v="5"/>
    <s v="NL2018"/>
    <m/>
    <n v="25"/>
    <n v="5000"/>
    <x v="8"/>
    <n v="25000000"/>
    <x v="0"/>
    <d v="2019-04-17T00:00:00"/>
    <x v="1"/>
    <x v="1"/>
    <s v="T5"/>
    <m/>
    <m/>
    <s v="R"/>
    <m/>
    <n v="0"/>
    <d v="2019-06-19T00:00:00"/>
    <n v="5000"/>
    <m/>
    <m/>
    <m/>
    <m/>
    <n v="5000"/>
    <n v="0"/>
    <n v="0"/>
    <s v="chưa cộng kho lạnh?"/>
  </r>
  <r>
    <x v="219"/>
    <d v="2019-02-18T00:00:00"/>
    <s v="KIỀU THY"/>
    <x v="118"/>
    <x v="121"/>
    <x v="6"/>
    <x v="39"/>
    <x v="0"/>
    <x v="3"/>
    <x v="5"/>
    <s v="NL2018"/>
    <m/>
    <n v="50"/>
    <n v="10000"/>
    <x v="8"/>
    <n v="50000000"/>
    <x v="0"/>
    <d v="2019-04-17T00:00:00"/>
    <x v="1"/>
    <x v="1"/>
    <s v="11/4AL"/>
    <m/>
    <m/>
    <s v="R"/>
    <d v="2019-06-03T00:00:00"/>
    <n v="6000"/>
    <d v="2019-06-19T00:00:00"/>
    <n v="4000"/>
    <m/>
    <m/>
    <m/>
    <m/>
    <n v="10000"/>
    <n v="0"/>
    <n v="0"/>
    <s v="KH dự kiến xả mát ngày 29/5 DL, ktra lại với KH trước khi xả mát"/>
  </r>
  <r>
    <x v="219"/>
    <d v="2019-06-19T00:00:00"/>
    <s v="KIỀU THY"/>
    <x v="118"/>
    <x v="121"/>
    <x v="6"/>
    <x v="39"/>
    <x v="0"/>
    <x v="3"/>
    <x v="5"/>
    <s v="NL2018"/>
    <m/>
    <n v="5"/>
    <n v="1000"/>
    <x v="8"/>
    <n v="5000000"/>
    <x v="0"/>
    <d v="2019-05-17T00:00:00"/>
    <x v="74"/>
    <x v="74"/>
    <m/>
    <m/>
    <m/>
    <m/>
    <d v="2019-06-19T00:00:00"/>
    <n v="1000"/>
    <m/>
    <m/>
    <m/>
    <m/>
    <m/>
    <m/>
    <n v="1000"/>
    <n v="0"/>
    <n v="0"/>
    <m/>
  </r>
  <r>
    <x v="219"/>
    <d v="2019-02-18T00:00:00"/>
    <s v="KIỀU THY"/>
    <x v="118"/>
    <x v="121"/>
    <x v="6"/>
    <x v="39"/>
    <x v="0"/>
    <x v="3"/>
    <x v="5"/>
    <s v="NL2018"/>
    <m/>
    <n v="35"/>
    <n v="7000"/>
    <x v="12"/>
    <n v="32900000"/>
    <x v="0"/>
    <s v="30-Feb-19"/>
    <x v="29"/>
    <x v="29"/>
    <s v="30/2AL. 7.000 củ/ 2 tuần"/>
    <s v="CONT 17/2019"/>
    <d v="2019-03-31T00:00:00"/>
    <s v="R"/>
    <d v="2019-04-12T00:00:00"/>
    <n v="7000"/>
    <m/>
    <m/>
    <m/>
    <m/>
    <m/>
    <m/>
    <n v="7000"/>
    <n v="0"/>
    <n v="0"/>
    <m/>
  </r>
  <r>
    <x v="221"/>
    <d v="2019-02-18T00:00:00"/>
    <s v="KIỀU THY"/>
    <x v="118"/>
    <x v="121"/>
    <x v="8"/>
    <x v="4"/>
    <x v="0"/>
    <x v="1"/>
    <x v="9"/>
    <s v="NL2018"/>
    <m/>
    <n v="34"/>
    <n v="5100"/>
    <x v="55"/>
    <n v="36720000"/>
    <x v="2"/>
    <d v="2019-09-01T00:00:00"/>
    <x v="2"/>
    <x v="2"/>
    <s v="TẾT"/>
    <m/>
    <m/>
    <s v="R"/>
    <m/>
    <n v="0"/>
    <m/>
    <m/>
    <m/>
    <m/>
    <m/>
    <m/>
    <n v="0"/>
    <n v="5100"/>
    <n v="36720000"/>
    <m/>
  </r>
  <r>
    <x v="221"/>
    <d v="2019-02-18T00:00:00"/>
    <s v="KIỀU THY"/>
    <x v="118"/>
    <x v="121"/>
    <x v="7"/>
    <x v="4"/>
    <x v="0"/>
    <x v="4"/>
    <x v="14"/>
    <s v="NL2018"/>
    <m/>
    <n v="80"/>
    <n v="10000"/>
    <x v="5"/>
    <n v="105000000"/>
    <x v="2"/>
    <d v="2019-09-01T00:00:00"/>
    <x v="2"/>
    <x v="2"/>
    <s v="TẾT"/>
    <m/>
    <m/>
    <s v="R"/>
    <m/>
    <n v="0"/>
    <m/>
    <m/>
    <m/>
    <m/>
    <m/>
    <m/>
    <n v="0"/>
    <n v="10000"/>
    <n v="105000000"/>
    <m/>
  </r>
  <r>
    <x v="221"/>
    <d v="2019-02-18T00:00:00"/>
    <s v="KIỀU THY"/>
    <x v="118"/>
    <x v="121"/>
    <x v="21"/>
    <x v="4"/>
    <x v="0"/>
    <x v="8"/>
    <x v="11"/>
    <s v="NL2018"/>
    <m/>
    <n v="50"/>
    <n v="5000"/>
    <x v="25"/>
    <n v="62500000"/>
    <x v="2"/>
    <d v="2019-09-01T00:00:00"/>
    <x v="2"/>
    <x v="2"/>
    <s v="TẾT"/>
    <m/>
    <m/>
    <s v="R"/>
    <m/>
    <n v="0"/>
    <m/>
    <m/>
    <m/>
    <m/>
    <m/>
    <m/>
    <n v="0"/>
    <n v="5000"/>
    <n v="62500000"/>
    <m/>
  </r>
  <r>
    <x v="222"/>
    <d v="2019-04-09T00:00:00"/>
    <s v="KIỀU THY"/>
    <x v="118"/>
    <x v="121"/>
    <x v="9"/>
    <x v="5"/>
    <x v="0"/>
    <x v="3"/>
    <x v="5"/>
    <s v="NL2018"/>
    <m/>
    <n v="25"/>
    <n v="5000"/>
    <x v="84"/>
    <n v="28500000"/>
    <x v="0"/>
    <d v="2019-03-15T00:00:00"/>
    <x v="5"/>
    <x v="5"/>
    <s v="15/3AL"/>
    <m/>
    <m/>
    <m/>
    <d v="2019-04-26T00:00:00"/>
    <n v="5000"/>
    <m/>
    <m/>
    <m/>
    <m/>
    <m/>
    <m/>
    <n v="5000"/>
    <n v="0"/>
    <n v="0"/>
    <m/>
  </r>
  <r>
    <x v="223"/>
    <d v="2019-01-05T00:00:00"/>
    <s v="THANH THÚY"/>
    <x v="119"/>
    <x v="122"/>
    <x v="10"/>
    <x v="1"/>
    <x v="0"/>
    <x v="3"/>
    <x v="5"/>
    <s v="NL2018"/>
    <m/>
    <n v="150"/>
    <n v="30000"/>
    <x v="10"/>
    <n v="165000000"/>
    <x v="4"/>
    <d v="2019-03-15T00:00:00"/>
    <x v="5"/>
    <x v="5"/>
    <s v="15/3AL"/>
    <s v="CONT 24/2019"/>
    <m/>
    <m/>
    <d v="2019-05-07T00:00:00"/>
    <n v="20000"/>
    <m/>
    <m/>
    <m/>
    <m/>
    <m/>
    <m/>
    <n v="20000"/>
    <n v="10000"/>
    <n v="55000000"/>
    <d v="2020-02-23T00:00:00"/>
  </r>
  <r>
    <x v="224"/>
    <d v="2019-01-05T00:00:00"/>
    <s v="THANH THÚY"/>
    <x v="119"/>
    <x v="122"/>
    <x v="4"/>
    <x v="3"/>
    <x v="0"/>
    <x v="4"/>
    <x v="14"/>
    <s v="NL2018"/>
    <m/>
    <n v="400"/>
    <n v="50000"/>
    <x v="33"/>
    <n v="535000000"/>
    <x v="2"/>
    <d v="2019-09-01T00:00:00"/>
    <x v="2"/>
    <x v="2"/>
    <s v="TẾT"/>
    <m/>
    <m/>
    <m/>
    <m/>
    <n v="0"/>
    <m/>
    <m/>
    <m/>
    <m/>
    <m/>
    <m/>
    <n v="0"/>
    <n v="50000"/>
    <n v="535000000"/>
    <d v="2020-02-23T00:00:00"/>
  </r>
  <r>
    <x v="223"/>
    <d v="2019-01-05T00:00:00"/>
    <s v="THANH THÚY"/>
    <x v="119"/>
    <x v="122"/>
    <x v="12"/>
    <x v="6"/>
    <x v="0"/>
    <x v="2"/>
    <x v="6"/>
    <s v="NL2018"/>
    <m/>
    <n v="0"/>
    <n v="0"/>
    <x v="71"/>
    <n v="0"/>
    <x v="1"/>
    <s v="29-Feb-19"/>
    <x v="10"/>
    <x v="10"/>
    <s v="15/2AL"/>
    <s v="CONT 12/2019"/>
    <m/>
    <m/>
    <m/>
    <n v="0"/>
    <m/>
    <m/>
    <m/>
    <m/>
    <m/>
    <m/>
    <n v="0"/>
    <n v="0"/>
    <n v="0"/>
    <m/>
  </r>
  <r>
    <x v="223"/>
    <d v="2019-01-05T00:00:00"/>
    <s v="THANH THÚY"/>
    <x v="119"/>
    <x v="122"/>
    <x v="12"/>
    <x v="6"/>
    <x v="0"/>
    <x v="2"/>
    <x v="6"/>
    <s v="NL2018"/>
    <m/>
    <n v="0"/>
    <n v="0"/>
    <x v="42"/>
    <n v="0"/>
    <x v="1"/>
    <s v="29-Feb-19"/>
    <x v="10"/>
    <x v="10"/>
    <s v="30/2AL"/>
    <s v="CONT 15/2019"/>
    <m/>
    <m/>
    <m/>
    <n v="0"/>
    <m/>
    <m/>
    <m/>
    <m/>
    <m/>
    <m/>
    <n v="0"/>
    <n v="0"/>
    <n v="0"/>
    <m/>
  </r>
  <r>
    <x v="223"/>
    <d v="2019-01-05T00:00:00"/>
    <s v="THANH THÚY"/>
    <x v="119"/>
    <x v="122"/>
    <x v="11"/>
    <x v="6"/>
    <x v="0"/>
    <x v="3"/>
    <x v="5"/>
    <s v="NL2018"/>
    <m/>
    <n v="0"/>
    <n v="0"/>
    <x v="31"/>
    <n v="0"/>
    <x v="1"/>
    <s v="29-Feb-19"/>
    <x v="10"/>
    <x v="10"/>
    <s v="30/2AL"/>
    <s v="CONT 17/2019"/>
    <m/>
    <m/>
    <m/>
    <n v="0"/>
    <m/>
    <m/>
    <m/>
    <m/>
    <m/>
    <m/>
    <n v="0"/>
    <n v="0"/>
    <n v="0"/>
    <m/>
  </r>
  <r>
    <x v="224"/>
    <d v="2019-01-05T00:00:00"/>
    <s v="THANH THÚY"/>
    <x v="119"/>
    <x v="122"/>
    <x v="62"/>
    <x v="32"/>
    <x v="0"/>
    <x v="4"/>
    <x v="14"/>
    <s v="NL2018"/>
    <m/>
    <n v="320"/>
    <n v="40000"/>
    <x v="61"/>
    <n v="540000000"/>
    <x v="2"/>
    <d v="2019-09-01T00:00:00"/>
    <x v="2"/>
    <x v="2"/>
    <s v="TẾT"/>
    <m/>
    <m/>
    <m/>
    <m/>
    <n v="0"/>
    <m/>
    <m/>
    <m/>
    <m/>
    <m/>
    <m/>
    <n v="0"/>
    <n v="40000"/>
    <n v="540000000"/>
    <d v="2020-02-23T00:00:00"/>
  </r>
  <r>
    <x v="225"/>
    <d v="2019-04-20T00:00:00"/>
    <s v="THANH THÚY"/>
    <x v="119"/>
    <x v="122"/>
    <x v="173"/>
    <x v="95"/>
    <x v="0"/>
    <x v="2"/>
    <x v="6"/>
    <s v="NL2018"/>
    <m/>
    <n v="16"/>
    <n v="4800"/>
    <x v="46"/>
    <n v="40800000"/>
    <x v="4"/>
    <d v="2019-04-29T00:00:00"/>
    <x v="11"/>
    <x v="11"/>
    <s v="29/4AL"/>
    <m/>
    <m/>
    <m/>
    <m/>
    <m/>
    <m/>
    <m/>
    <m/>
    <m/>
    <m/>
    <m/>
    <n v="0"/>
    <n v="4800"/>
    <n v="40800000"/>
    <m/>
  </r>
  <r>
    <x v="224"/>
    <d v="2019-01-05T00:00:00"/>
    <s v="THANH THÚY"/>
    <x v="119"/>
    <x v="122"/>
    <x v="7"/>
    <x v="4"/>
    <x v="0"/>
    <x v="4"/>
    <x v="14"/>
    <s v="NL2018"/>
    <m/>
    <n v="400"/>
    <n v="50000"/>
    <x v="34"/>
    <n v="530000000"/>
    <x v="2"/>
    <d v="2019-09-01T00:00:00"/>
    <x v="2"/>
    <x v="2"/>
    <s v="TẾT"/>
    <m/>
    <m/>
    <m/>
    <m/>
    <n v="0"/>
    <m/>
    <m/>
    <m/>
    <m/>
    <m/>
    <m/>
    <n v="0"/>
    <n v="50000"/>
    <n v="530000000"/>
    <d v="2020-02-23T00:00:00"/>
  </r>
  <r>
    <x v="226"/>
    <d v="2019-03-19T00:00:00"/>
    <s v="THANH THÚY"/>
    <x v="119"/>
    <x v="122"/>
    <x v="174"/>
    <x v="29"/>
    <x v="0"/>
    <x v="7"/>
    <x v="8"/>
    <s v="NL2018"/>
    <m/>
    <n v="75"/>
    <n v="30000"/>
    <x v="44"/>
    <n v="90000000"/>
    <x v="4"/>
    <d v="2019-05-10T00:00:00"/>
    <x v="75"/>
    <x v="75"/>
    <s v="10/5AL"/>
    <m/>
    <m/>
    <m/>
    <d v="2019-06-26T00:00:00"/>
    <n v="10000"/>
    <m/>
    <m/>
    <m/>
    <m/>
    <m/>
    <m/>
    <n v="10000"/>
    <n v="20000"/>
    <n v="60000000"/>
    <m/>
  </r>
  <r>
    <x v="226"/>
    <d v="2019-03-19T00:00:00"/>
    <s v="THANH THÚY"/>
    <x v="119"/>
    <x v="122"/>
    <x v="175"/>
    <x v="29"/>
    <x v="0"/>
    <x v="2"/>
    <x v="6"/>
    <s v="NL2018"/>
    <m/>
    <n v="67"/>
    <n v="20100"/>
    <x v="14"/>
    <n v="90450000"/>
    <x v="4"/>
    <d v="2019-05-10T00:00:00"/>
    <x v="75"/>
    <x v="75"/>
    <s v="10/5AL"/>
    <m/>
    <m/>
    <m/>
    <d v="2019-06-26T00:00:00"/>
    <n v="10200"/>
    <m/>
    <m/>
    <m/>
    <m/>
    <m/>
    <m/>
    <n v="10200"/>
    <n v="9900"/>
    <n v="44550000"/>
    <m/>
  </r>
  <r>
    <x v="226"/>
    <d v="2019-03-15T00:00:00"/>
    <s v="THANH THÚY"/>
    <x v="119"/>
    <x v="122"/>
    <x v="9"/>
    <x v="5"/>
    <x v="0"/>
    <x v="3"/>
    <x v="5"/>
    <s v="NL2018"/>
    <m/>
    <n v="0"/>
    <n v="0"/>
    <x v="10"/>
    <n v="0"/>
    <x v="1"/>
    <d v="2019-03-15T00:00:00"/>
    <x v="5"/>
    <x v="5"/>
    <s v="15/3AL"/>
    <s v="CONT 22/2019"/>
    <m/>
    <m/>
    <m/>
    <n v="0"/>
    <m/>
    <m/>
    <m/>
    <m/>
    <m/>
    <m/>
    <n v="0"/>
    <n v="0"/>
    <n v="0"/>
    <m/>
  </r>
  <r>
    <x v="225"/>
    <d v="2019-04-20T00:00:00"/>
    <s v="THANH THÚY"/>
    <x v="119"/>
    <x v="122"/>
    <x v="171"/>
    <x v="94"/>
    <x v="1"/>
    <x v="7"/>
    <x v="8"/>
    <s v="NL2018"/>
    <m/>
    <n v="0"/>
    <n v="0"/>
    <x v="46"/>
    <n v="0"/>
    <x v="1"/>
    <d v="2019-04-17T00:00:00"/>
    <x v="1"/>
    <x v="1"/>
    <s v="17/4AL"/>
    <m/>
    <m/>
    <m/>
    <m/>
    <m/>
    <m/>
    <m/>
    <m/>
    <m/>
    <m/>
    <m/>
    <n v="0"/>
    <n v="0"/>
    <n v="0"/>
    <m/>
  </r>
  <r>
    <x v="227"/>
    <d v="2019-02-13T00:00:00"/>
    <s v="THANH THÚY"/>
    <x v="120"/>
    <x v="123"/>
    <x v="10"/>
    <x v="1"/>
    <x v="0"/>
    <x v="3"/>
    <x v="5"/>
    <s v="NL2018"/>
    <m/>
    <n v="100"/>
    <n v="20000"/>
    <x v="10"/>
    <n v="110000000"/>
    <x v="0"/>
    <d v="2019-01-15T00:00:00"/>
    <x v="6"/>
    <x v="6"/>
    <s v="15/1AL"/>
    <m/>
    <m/>
    <m/>
    <d v="2019-02-19T00:00:00"/>
    <n v="20000"/>
    <m/>
    <m/>
    <m/>
    <m/>
    <m/>
    <m/>
    <n v="20000"/>
    <n v="0"/>
    <n v="0"/>
    <d v="2020-02-25T00:00:00"/>
  </r>
  <r>
    <x v="228"/>
    <d v="2019-06-21T00:00:00"/>
    <s v="THANH THÚY"/>
    <x v="120"/>
    <x v="123"/>
    <x v="63"/>
    <x v="1"/>
    <x v="0"/>
    <x v="4"/>
    <x v="14"/>
    <s v="NL2018"/>
    <m/>
    <n v="80"/>
    <n v="10000"/>
    <x v="27"/>
    <n v="110000000"/>
    <x v="2"/>
    <d v="2019-09-01T00:00:00"/>
    <x v="2"/>
    <x v="2"/>
    <s v="TẾT"/>
    <m/>
    <m/>
    <m/>
    <m/>
    <m/>
    <m/>
    <m/>
    <m/>
    <m/>
    <m/>
    <m/>
    <n v="0"/>
    <n v="10000"/>
    <n v="110000000"/>
    <m/>
  </r>
  <r>
    <x v="227"/>
    <d v="2019-02-13T00:00:00"/>
    <s v="THANH THÚY"/>
    <x v="120"/>
    <x v="123"/>
    <x v="5"/>
    <x v="3"/>
    <x v="0"/>
    <x v="1"/>
    <x v="9"/>
    <s v="NL2018"/>
    <m/>
    <n v="67"/>
    <n v="10050"/>
    <x v="73"/>
    <n v="63315000"/>
    <x v="0"/>
    <d v="2019-03-15T00:00:00"/>
    <x v="5"/>
    <x v="5"/>
    <s v="15/3AL"/>
    <s v="CONT 25/2019"/>
    <m/>
    <m/>
    <d v="2019-04-29T00:00:00"/>
    <n v="10050"/>
    <m/>
    <m/>
    <m/>
    <m/>
    <m/>
    <m/>
    <n v="10050"/>
    <n v="0"/>
    <n v="0"/>
    <d v="2020-02-25T00:00:00"/>
  </r>
  <r>
    <x v="227"/>
    <d v="2019-06-03T00:00:00"/>
    <s v="THANH THÚY"/>
    <x v="120"/>
    <x v="123"/>
    <x v="93"/>
    <x v="3"/>
    <x v="0"/>
    <x v="2"/>
    <x v="6"/>
    <s v="NL2018"/>
    <m/>
    <n v="10"/>
    <n v="3000"/>
    <x v="77"/>
    <n v="11400000"/>
    <x v="0"/>
    <d v="2019-05-05T00:00:00"/>
    <x v="27"/>
    <x v="27"/>
    <m/>
    <m/>
    <m/>
    <m/>
    <d v="2019-06-17T00:00:00"/>
    <n v="3000"/>
    <m/>
    <m/>
    <m/>
    <m/>
    <m/>
    <m/>
    <n v="3000"/>
    <n v="0"/>
    <n v="0"/>
    <m/>
  </r>
  <r>
    <x v="227"/>
    <d v="2019-05-31T00:00:00"/>
    <s v="THANH THÚY"/>
    <x v="120"/>
    <x v="123"/>
    <x v="93"/>
    <x v="3"/>
    <x v="0"/>
    <x v="2"/>
    <x v="6"/>
    <s v="NL2018"/>
    <m/>
    <n v="0"/>
    <n v="0"/>
    <x v="77"/>
    <n v="0"/>
    <x v="1"/>
    <d v="2019-05-05T00:00:00"/>
    <x v="27"/>
    <x v="27"/>
    <m/>
    <m/>
    <m/>
    <m/>
    <m/>
    <m/>
    <m/>
    <m/>
    <m/>
    <m/>
    <m/>
    <m/>
    <n v="0"/>
    <n v="0"/>
    <n v="0"/>
    <m/>
  </r>
  <r>
    <x v="228"/>
    <d v="2019-06-21T00:00:00"/>
    <s v="THANH THÚY"/>
    <x v="120"/>
    <x v="123"/>
    <x v="137"/>
    <x v="3"/>
    <x v="0"/>
    <x v="6"/>
    <x v="7"/>
    <s v="NL2018"/>
    <m/>
    <n v="63"/>
    <n v="5040"/>
    <x v="85"/>
    <n v="77112000"/>
    <x v="2"/>
    <d v="2019-09-01T00:00:00"/>
    <x v="2"/>
    <x v="2"/>
    <s v="TẾT"/>
    <m/>
    <m/>
    <m/>
    <m/>
    <m/>
    <m/>
    <m/>
    <m/>
    <m/>
    <m/>
    <m/>
    <n v="0"/>
    <n v="5040"/>
    <n v="77112000"/>
    <m/>
  </r>
  <r>
    <x v="227"/>
    <d v="2019-02-13T00:00:00"/>
    <s v="THANH THÚY"/>
    <x v="120"/>
    <x v="123"/>
    <x v="43"/>
    <x v="24"/>
    <x v="0"/>
    <x v="3"/>
    <x v="5"/>
    <s v="NL2018"/>
    <m/>
    <n v="25"/>
    <n v="5000"/>
    <x v="50"/>
    <n v="30000000"/>
    <x v="0"/>
    <s v="29-Feb-19"/>
    <x v="10"/>
    <x v="10"/>
    <s v="30/2AL. Thiếu 5.000"/>
    <s v="CONT 17/2019"/>
    <m/>
    <m/>
    <d v="2019-04-29T00:00:00"/>
    <n v="5000"/>
    <m/>
    <m/>
    <m/>
    <m/>
    <m/>
    <m/>
    <n v="5000"/>
    <n v="0"/>
    <n v="0"/>
    <d v="2020-02-25T00:00:00"/>
  </r>
  <r>
    <x v="227"/>
    <d v="2019-02-13T00:00:00"/>
    <s v="THANH THÚY"/>
    <x v="120"/>
    <x v="123"/>
    <x v="23"/>
    <x v="11"/>
    <x v="0"/>
    <x v="2"/>
    <x v="6"/>
    <s v="NL2018"/>
    <m/>
    <n v="34"/>
    <n v="10200"/>
    <x v="32"/>
    <n v="54060000"/>
    <x v="0"/>
    <d v="2019-03-15T00:00:00"/>
    <x v="5"/>
    <x v="5"/>
    <s v="15/3AL"/>
    <s v="CONT 23/2019"/>
    <m/>
    <m/>
    <d v="2019-04-29T00:00:00"/>
    <n v="10200"/>
    <m/>
    <m/>
    <m/>
    <m/>
    <m/>
    <m/>
    <n v="10200"/>
    <n v="0"/>
    <n v="0"/>
    <d v="2020-02-25T00:00:00"/>
  </r>
  <r>
    <x v="227"/>
    <d v="2019-02-13T00:00:00"/>
    <s v="THANH THÚY"/>
    <x v="120"/>
    <x v="123"/>
    <x v="6"/>
    <x v="39"/>
    <x v="0"/>
    <x v="3"/>
    <x v="5"/>
    <s v="NL2018"/>
    <m/>
    <n v="50"/>
    <n v="10000"/>
    <x v="28"/>
    <n v="46000000"/>
    <x v="0"/>
    <d v="2019-01-15T00:00:00"/>
    <x v="6"/>
    <x v="6"/>
    <s v="15/1AL"/>
    <m/>
    <m/>
    <m/>
    <d v="2019-02-19T00:00:00"/>
    <n v="10000"/>
    <m/>
    <m/>
    <m/>
    <m/>
    <m/>
    <m/>
    <n v="10000"/>
    <n v="0"/>
    <n v="0"/>
    <d v="2020-02-23T00:00:00"/>
  </r>
  <r>
    <x v="227"/>
    <d v="2019-02-13T00:00:00"/>
    <s v="THANH THÚY"/>
    <x v="120"/>
    <x v="123"/>
    <x v="6"/>
    <x v="39"/>
    <x v="0"/>
    <x v="3"/>
    <x v="5"/>
    <s v="NL2018"/>
    <m/>
    <n v="0"/>
    <n v="0"/>
    <x v="12"/>
    <n v="0"/>
    <x v="1"/>
    <d v="2019-01-15T00:00:00"/>
    <x v="6"/>
    <x v="6"/>
    <s v="15/1AL"/>
    <m/>
    <m/>
    <m/>
    <m/>
    <n v="0"/>
    <m/>
    <m/>
    <m/>
    <m/>
    <m/>
    <m/>
    <n v="0"/>
    <n v="0"/>
    <n v="0"/>
    <d v="2020-02-23T00:00:00"/>
  </r>
  <r>
    <x v="228"/>
    <d v="2019-06-21T00:00:00"/>
    <s v="THANH THÚY"/>
    <x v="120"/>
    <x v="123"/>
    <x v="7"/>
    <x v="39"/>
    <x v="0"/>
    <x v="4"/>
    <x v="14"/>
    <s v="NL2018"/>
    <m/>
    <n v="80"/>
    <n v="10000"/>
    <x v="34"/>
    <n v="106000000"/>
    <x v="2"/>
    <d v="2019-09-01T00:00:00"/>
    <x v="2"/>
    <x v="2"/>
    <s v="TẾT"/>
    <m/>
    <m/>
    <m/>
    <m/>
    <m/>
    <m/>
    <m/>
    <m/>
    <m/>
    <m/>
    <m/>
    <n v="0"/>
    <n v="10000"/>
    <n v="106000000"/>
    <m/>
  </r>
  <r>
    <x v="229"/>
    <d v="2019-03-21T00:00:00"/>
    <s v="KIỀU THY"/>
    <x v="121"/>
    <x v="124"/>
    <x v="34"/>
    <x v="1"/>
    <x v="0"/>
    <x v="2"/>
    <x v="2"/>
    <s v="NL2018"/>
    <m/>
    <n v="0"/>
    <n v="0"/>
    <x v="28"/>
    <n v="0"/>
    <x v="1"/>
    <d v="2019-04-17T00:00:00"/>
    <x v="1"/>
    <x v="1"/>
    <s v="2 tháng/lần"/>
    <m/>
    <m/>
    <m/>
    <m/>
    <m/>
    <m/>
    <m/>
    <m/>
    <m/>
    <m/>
    <m/>
    <n v="0"/>
    <n v="0"/>
    <n v="0"/>
    <m/>
  </r>
  <r>
    <x v="229"/>
    <d v="2019-03-21T00:00:00"/>
    <s v="KIỀU THY"/>
    <x v="121"/>
    <x v="124"/>
    <x v="10"/>
    <x v="1"/>
    <x v="0"/>
    <x v="3"/>
    <x v="3"/>
    <s v="NL2018"/>
    <m/>
    <n v="50"/>
    <n v="10000"/>
    <x v="162"/>
    <n v="69000000"/>
    <x v="0"/>
    <d v="2019-04-17T00:00:00"/>
    <x v="1"/>
    <x v="1"/>
    <m/>
    <m/>
    <m/>
    <m/>
    <d v="2019-05-18T00:00:00"/>
    <n v="10000"/>
    <m/>
    <m/>
    <m/>
    <m/>
    <m/>
    <m/>
    <n v="10000"/>
    <n v="0"/>
    <n v="0"/>
    <m/>
  </r>
  <r>
    <x v="229"/>
    <d v="2019-05-17T00:00:00"/>
    <s v="KIỀU THY"/>
    <x v="121"/>
    <x v="124"/>
    <x v="10"/>
    <x v="1"/>
    <x v="0"/>
    <x v="3"/>
    <x v="3"/>
    <s v="NL2018"/>
    <m/>
    <n v="50"/>
    <n v="10000"/>
    <x v="65"/>
    <n v="70000000"/>
    <x v="3"/>
    <d v="2019-05-30T00:00:00"/>
    <x v="17"/>
    <x v="17"/>
    <m/>
    <m/>
    <m/>
    <m/>
    <m/>
    <m/>
    <m/>
    <m/>
    <m/>
    <m/>
    <m/>
    <m/>
    <n v="0"/>
    <n v="10000"/>
    <n v="70000000"/>
    <m/>
  </r>
  <r>
    <x v="230"/>
    <d v="2019-05-14T00:00:00"/>
    <s v="KIỀU THY"/>
    <x v="121"/>
    <x v="124"/>
    <x v="10"/>
    <x v="1"/>
    <x v="0"/>
    <x v="3"/>
    <x v="3"/>
    <s v="NL2018"/>
    <m/>
    <n v="100"/>
    <n v="20000"/>
    <x v="104"/>
    <n v="146000000"/>
    <x v="2"/>
    <d v="2019-09-01T00:00:00"/>
    <x v="2"/>
    <x v="2"/>
    <m/>
    <m/>
    <m/>
    <m/>
    <m/>
    <m/>
    <m/>
    <m/>
    <m/>
    <m/>
    <m/>
    <m/>
    <n v="0"/>
    <n v="20000"/>
    <n v="146000000"/>
    <m/>
  </r>
  <r>
    <x v="231"/>
    <d v="2019-03-25T00:00:00"/>
    <s v="KIỀU THY"/>
    <x v="122"/>
    <x v="125"/>
    <x v="34"/>
    <x v="1"/>
    <x v="0"/>
    <x v="2"/>
    <x v="2"/>
    <s v="NL2018"/>
    <m/>
    <n v="100"/>
    <n v="30000"/>
    <x v="28"/>
    <n v="138000000"/>
    <x v="0"/>
    <d v="2019-04-17T00:00:00"/>
    <x v="1"/>
    <x v="1"/>
    <s v="30/3AL"/>
    <m/>
    <d v="2019-03-31T00:00:00"/>
    <m/>
    <d v="2019-05-19T00:00:00"/>
    <n v="30000"/>
    <m/>
    <m/>
    <m/>
    <m/>
    <m/>
    <m/>
    <n v="30000"/>
    <n v="0"/>
    <n v="0"/>
    <m/>
  </r>
  <r>
    <x v="231"/>
    <d v="2019-05-10T00:00:00"/>
    <s v="KIỀU THY"/>
    <x v="122"/>
    <x v="125"/>
    <x v="34"/>
    <x v="1"/>
    <x v="0"/>
    <x v="2"/>
    <x v="2"/>
    <s v="NL2018"/>
    <m/>
    <n v="134"/>
    <n v="40200"/>
    <x v="8"/>
    <n v="201000000"/>
    <x v="2"/>
    <d v="2019-07-05T00:00:00"/>
    <x v="59"/>
    <x v="59"/>
    <m/>
    <m/>
    <m/>
    <m/>
    <m/>
    <m/>
    <m/>
    <m/>
    <m/>
    <m/>
    <m/>
    <m/>
    <n v="0"/>
    <n v="40200"/>
    <n v="201000000"/>
    <m/>
  </r>
  <r>
    <x v="231"/>
    <d v="2019-03-25T00:00:00"/>
    <s v="KIỀU THY"/>
    <x v="122"/>
    <x v="125"/>
    <x v="3"/>
    <x v="3"/>
    <x v="0"/>
    <x v="3"/>
    <x v="3"/>
    <s v="NL2018"/>
    <m/>
    <n v="150"/>
    <n v="30000"/>
    <x v="8"/>
    <n v="150000000"/>
    <x v="0"/>
    <s v="29-Feb-19"/>
    <x v="10"/>
    <x v="10"/>
    <m/>
    <s v="CONT 18/2019"/>
    <d v="2019-03-31T00:00:00"/>
    <m/>
    <d v="2019-04-08T00:00:00"/>
    <n v="30000"/>
    <m/>
    <m/>
    <m/>
    <m/>
    <m/>
    <m/>
    <n v="30000"/>
    <n v="0"/>
    <n v="0"/>
    <m/>
  </r>
  <r>
    <x v="231"/>
    <d v="2019-03-25T00:00:00"/>
    <s v="KIỀU THY"/>
    <x v="122"/>
    <x v="125"/>
    <x v="3"/>
    <x v="3"/>
    <x v="0"/>
    <x v="3"/>
    <x v="3"/>
    <s v="NL2018"/>
    <m/>
    <n v="150"/>
    <n v="30000"/>
    <x v="109"/>
    <n v="153000000"/>
    <x v="0"/>
    <d v="2019-04-17T00:00:00"/>
    <x v="1"/>
    <x v="1"/>
    <s v="30/3AL"/>
    <m/>
    <d v="2019-03-31T00:00:00"/>
    <m/>
    <d v="2019-05-18T00:00:00"/>
    <n v="30000"/>
    <m/>
    <m/>
    <m/>
    <m/>
    <m/>
    <m/>
    <n v="30000"/>
    <n v="0"/>
    <n v="0"/>
    <m/>
  </r>
  <r>
    <x v="231"/>
    <d v="2019-05-10T00:00:00"/>
    <s v="KIỀU THY"/>
    <x v="122"/>
    <x v="125"/>
    <x v="72"/>
    <x v="36"/>
    <x v="1"/>
    <x v="7"/>
    <x v="0"/>
    <s v="NL2018"/>
    <m/>
    <n v="0"/>
    <n v="0"/>
    <x v="16"/>
    <n v="0"/>
    <x v="1"/>
    <d v="2019-05-18T00:00:00"/>
    <x v="3"/>
    <x v="3"/>
    <m/>
    <m/>
    <m/>
    <m/>
    <m/>
    <m/>
    <m/>
    <m/>
    <m/>
    <m/>
    <m/>
    <m/>
    <n v="0"/>
    <n v="0"/>
    <n v="0"/>
    <m/>
  </r>
  <r>
    <x v="232"/>
    <d v="2019-04-05T00:00:00"/>
    <s v="KIỀU THY"/>
    <x v="123"/>
    <x v="126"/>
    <x v="4"/>
    <x v="3"/>
    <x v="0"/>
    <x v="4"/>
    <x v="14"/>
    <s v="NL2018"/>
    <m/>
    <n v="56"/>
    <n v="7000"/>
    <x v="33"/>
    <n v="74900000"/>
    <x v="2"/>
    <d v="2019-09-01T00:00:00"/>
    <x v="2"/>
    <x v="2"/>
    <s v="TẾT"/>
    <m/>
    <m/>
    <m/>
    <m/>
    <m/>
    <m/>
    <m/>
    <m/>
    <m/>
    <m/>
    <m/>
    <n v="0"/>
    <n v="7000"/>
    <n v="74900000"/>
    <m/>
  </r>
  <r>
    <x v="233"/>
    <d v="2019-03-06T00:00:00"/>
    <s v="KIỀU THY"/>
    <x v="123"/>
    <x v="126"/>
    <x v="3"/>
    <x v="3"/>
    <x v="0"/>
    <x v="3"/>
    <x v="5"/>
    <s v="NL2018"/>
    <m/>
    <n v="15"/>
    <n v="3000"/>
    <x v="43"/>
    <n v="14700000"/>
    <x v="0"/>
    <d v="2019-03-15T00:00:00"/>
    <x v="5"/>
    <x v="5"/>
    <s v="15/3AL"/>
    <s v="CONT 26/2019"/>
    <d v="2019-04-14T00:00:00"/>
    <s v="R"/>
    <d v="2019-04-19T00:00:00"/>
    <n v="3000"/>
    <m/>
    <m/>
    <m/>
    <m/>
    <m/>
    <m/>
    <n v="3000"/>
    <n v="0"/>
    <n v="0"/>
    <m/>
  </r>
  <r>
    <x v="233"/>
    <d v="2019-03-06T00:00:00"/>
    <s v="KIỀU THY"/>
    <x v="123"/>
    <x v="126"/>
    <x v="3"/>
    <x v="3"/>
    <x v="0"/>
    <x v="3"/>
    <x v="5"/>
    <s v="NL2018"/>
    <m/>
    <n v="25"/>
    <n v="5000"/>
    <x v="43"/>
    <n v="24500000"/>
    <x v="0"/>
    <d v="2019-03-15T00:00:00"/>
    <x v="5"/>
    <x v="5"/>
    <s v="15/3AL"/>
    <m/>
    <m/>
    <s v="R"/>
    <d v="2019-05-14T00:00:00"/>
    <n v="5000"/>
    <m/>
    <m/>
    <m/>
    <m/>
    <m/>
    <m/>
    <n v="5000"/>
    <n v="0"/>
    <n v="0"/>
    <m/>
  </r>
  <r>
    <x v="233"/>
    <d v="2019-03-06T00:00:00"/>
    <s v="KIỀU THY"/>
    <x v="123"/>
    <x v="126"/>
    <x v="3"/>
    <x v="3"/>
    <x v="0"/>
    <x v="3"/>
    <x v="5"/>
    <s v="NL2018"/>
    <m/>
    <n v="25"/>
    <n v="5000"/>
    <x v="8"/>
    <n v="25000000"/>
    <x v="0"/>
    <d v="2019-04-17T00:00:00"/>
    <x v="1"/>
    <x v="1"/>
    <s v="30/3AL"/>
    <m/>
    <m/>
    <s v="R"/>
    <d v="2019-05-28T00:00:00"/>
    <n v="5000"/>
    <m/>
    <m/>
    <m/>
    <m/>
    <m/>
    <m/>
    <n v="5000"/>
    <n v="0"/>
    <n v="0"/>
    <m/>
  </r>
  <r>
    <x v="233"/>
    <d v="2019-03-06T00:00:00"/>
    <s v="KIỀU THY"/>
    <x v="123"/>
    <x v="126"/>
    <x v="3"/>
    <x v="3"/>
    <x v="0"/>
    <x v="3"/>
    <x v="5"/>
    <s v="NL2018"/>
    <m/>
    <n v="0"/>
    <n v="0"/>
    <x v="43"/>
    <n v="0"/>
    <x v="0"/>
    <d v="2019-04-17T00:00:00"/>
    <x v="1"/>
    <x v="1"/>
    <s v="30/3AL"/>
    <m/>
    <m/>
    <s v="R"/>
    <m/>
    <n v="0"/>
    <m/>
    <m/>
    <m/>
    <m/>
    <m/>
    <m/>
    <n v="0"/>
    <n v="0"/>
    <n v="0"/>
    <m/>
  </r>
  <r>
    <x v="233"/>
    <d v="2019-06-07T00:00:00"/>
    <s v="KIỀU THY"/>
    <x v="123"/>
    <x v="126"/>
    <x v="3"/>
    <x v="3"/>
    <x v="0"/>
    <x v="3"/>
    <x v="5"/>
    <s v="NL2018"/>
    <m/>
    <n v="35"/>
    <n v="7000"/>
    <x v="54"/>
    <n v="39200000"/>
    <x v="3"/>
    <d v="2019-06-15T00:00:00"/>
    <x v="4"/>
    <x v="4"/>
    <m/>
    <m/>
    <m/>
    <m/>
    <m/>
    <m/>
    <m/>
    <m/>
    <m/>
    <m/>
    <m/>
    <m/>
    <n v="0"/>
    <n v="7000"/>
    <n v="39200000"/>
    <m/>
  </r>
  <r>
    <x v="232"/>
    <d v="2019-04-05T00:00:00"/>
    <s v="KIỀU THY"/>
    <x v="123"/>
    <x v="126"/>
    <x v="7"/>
    <x v="4"/>
    <x v="0"/>
    <x v="4"/>
    <x v="14"/>
    <s v="NL2018"/>
    <m/>
    <n v="136"/>
    <n v="17000"/>
    <x v="34"/>
    <n v="180200000"/>
    <x v="2"/>
    <d v="2019-09-01T00:00:00"/>
    <x v="2"/>
    <x v="2"/>
    <s v="TẾT"/>
    <m/>
    <m/>
    <m/>
    <m/>
    <m/>
    <m/>
    <m/>
    <m/>
    <m/>
    <m/>
    <m/>
    <n v="0"/>
    <n v="17000"/>
    <n v="180200000"/>
    <m/>
  </r>
  <r>
    <x v="234"/>
    <d v="2018-08-24T00:00:00"/>
    <s v="THANH THÚY"/>
    <x v="124"/>
    <x v="127"/>
    <x v="0"/>
    <x v="0"/>
    <x v="0"/>
    <x v="7"/>
    <x v="8"/>
    <s v="NL2018"/>
    <m/>
    <n v="25"/>
    <n v="10000"/>
    <x v="0"/>
    <n v="26000000"/>
    <x v="0"/>
    <d v="2019-01-15T00:00:00"/>
    <x v="6"/>
    <x v="6"/>
    <s v="15/1AL"/>
    <m/>
    <m/>
    <m/>
    <d v="2019-02-19T00:00:00"/>
    <n v="10000"/>
    <m/>
    <m/>
    <m/>
    <m/>
    <m/>
    <m/>
    <n v="10000"/>
    <n v="0"/>
    <n v="0"/>
    <d v="2020-02-25T00:00:00"/>
  </r>
  <r>
    <x v="234"/>
    <d v="2018-08-24T00:00:00"/>
    <s v="THANH THÚY"/>
    <x v="124"/>
    <x v="127"/>
    <x v="0"/>
    <x v="0"/>
    <x v="0"/>
    <x v="7"/>
    <x v="8"/>
    <s v="NL2018"/>
    <m/>
    <n v="25"/>
    <n v="10000"/>
    <x v="0"/>
    <n v="26000000"/>
    <x v="0"/>
    <d v="2019-02-15T00:00:00"/>
    <x v="0"/>
    <x v="0"/>
    <s v="15/2AL"/>
    <s v="CONT 12/2019"/>
    <m/>
    <m/>
    <d v="2019-02-19T00:00:00"/>
    <n v="10000"/>
    <m/>
    <m/>
    <m/>
    <m/>
    <m/>
    <m/>
    <n v="10000"/>
    <n v="0"/>
    <n v="0"/>
    <d v="2020-02-25T00:00:00"/>
  </r>
  <r>
    <x v="234"/>
    <d v="2018-08-24T00:00:00"/>
    <s v="THANH THÚY"/>
    <x v="124"/>
    <x v="127"/>
    <x v="34"/>
    <x v="1"/>
    <x v="0"/>
    <x v="2"/>
    <x v="6"/>
    <s v="NL2018"/>
    <m/>
    <n v="67"/>
    <n v="20100"/>
    <x v="185"/>
    <n v="90349500"/>
    <x v="0"/>
    <d v="2019-01-15T00:00:00"/>
    <x v="6"/>
    <x v="6"/>
    <s v="15/1AL"/>
    <m/>
    <m/>
    <m/>
    <d v="2019-02-19T00:00:00"/>
    <n v="20100"/>
    <m/>
    <m/>
    <m/>
    <m/>
    <m/>
    <m/>
    <n v="20100"/>
    <n v="0"/>
    <n v="0"/>
    <d v="2020-02-25T00:00:00"/>
  </r>
  <r>
    <x v="234"/>
    <d v="2018-08-24T00:00:00"/>
    <s v="THANH THÚY"/>
    <x v="124"/>
    <x v="127"/>
    <x v="34"/>
    <x v="1"/>
    <x v="0"/>
    <x v="2"/>
    <x v="6"/>
    <s v="NL2018"/>
    <m/>
    <n v="84"/>
    <n v="25200"/>
    <x v="14"/>
    <n v="113400000"/>
    <x v="0"/>
    <d v="2019-02-15T00:00:00"/>
    <x v="0"/>
    <x v="0"/>
    <s v="15/2AL"/>
    <s v="CONT 10/2019"/>
    <m/>
    <m/>
    <d v="2019-03-19T00:00:00"/>
    <n v="25200"/>
    <m/>
    <m/>
    <m/>
    <m/>
    <m/>
    <m/>
    <n v="25200"/>
    <n v="0"/>
    <n v="0"/>
    <d v="2020-02-25T00:00:00"/>
  </r>
  <r>
    <x v="234"/>
    <d v="2018-08-24T00:00:00"/>
    <s v="THANH THÚY"/>
    <x v="124"/>
    <x v="127"/>
    <x v="176"/>
    <x v="52"/>
    <x v="0"/>
    <x v="3"/>
    <x v="5"/>
    <s v="NL2018"/>
    <m/>
    <n v="59"/>
    <n v="11800"/>
    <x v="8"/>
    <n v="59000000"/>
    <x v="0"/>
    <s v="29-Feb-19"/>
    <x v="10"/>
    <x v="10"/>
    <s v="30/2AL"/>
    <s v="CONT 14/2019"/>
    <m/>
    <m/>
    <d v="2019-04-03T00:00:00"/>
    <n v="11800"/>
    <m/>
    <m/>
    <m/>
    <m/>
    <m/>
    <m/>
    <n v="11800"/>
    <n v="0"/>
    <n v="0"/>
    <d v="2020-02-25T00:00:00"/>
  </r>
  <r>
    <x v="234"/>
    <d v="2018-08-24T00:00:00"/>
    <s v="THANH THÚY"/>
    <x v="124"/>
    <x v="127"/>
    <x v="165"/>
    <x v="52"/>
    <x v="0"/>
    <x v="1"/>
    <x v="9"/>
    <s v="NL2018"/>
    <m/>
    <n v="134"/>
    <n v="20100"/>
    <x v="94"/>
    <n v="132660000"/>
    <x v="2"/>
    <d v="2019-07-05T00:00:00"/>
    <x v="59"/>
    <x v="59"/>
    <s v="1/7AL. TRỒNG RẰM T10"/>
    <m/>
    <m/>
    <m/>
    <m/>
    <n v="0"/>
    <m/>
    <m/>
    <m/>
    <m/>
    <m/>
    <m/>
    <n v="0"/>
    <n v="20100"/>
    <n v="132660000"/>
    <d v="2020-02-25T00:00:00"/>
  </r>
  <r>
    <x v="234"/>
    <d v="2019-06-25T00:00:00"/>
    <s v="THANH THÚY"/>
    <x v="124"/>
    <x v="127"/>
    <x v="77"/>
    <x v="7"/>
    <x v="0"/>
    <x v="3"/>
    <x v="5"/>
    <s v="NL2018"/>
    <m/>
    <n v="64"/>
    <n v="12800"/>
    <x v="115"/>
    <n v="94720000"/>
    <x v="2"/>
    <d v="2019-08-01T00:00:00"/>
    <x v="49"/>
    <x v="49"/>
    <m/>
    <m/>
    <m/>
    <m/>
    <m/>
    <m/>
    <m/>
    <m/>
    <m/>
    <m/>
    <m/>
    <m/>
    <n v="0"/>
    <n v="12800"/>
    <n v="94720000"/>
    <m/>
  </r>
  <r>
    <x v="235"/>
    <d v="2018-08-24T00:00:00"/>
    <s v="THANH THÚY"/>
    <x v="124"/>
    <x v="127"/>
    <x v="97"/>
    <x v="52"/>
    <x v="0"/>
    <x v="4"/>
    <x v="14"/>
    <s v="NL2018"/>
    <m/>
    <n v="40"/>
    <n v="5000"/>
    <x v="34"/>
    <n v="53000000"/>
    <x v="2"/>
    <d v="2019-09-01T00:00:00"/>
    <x v="2"/>
    <x v="2"/>
    <s v="TẾT"/>
    <m/>
    <m/>
    <m/>
    <m/>
    <n v="0"/>
    <m/>
    <m/>
    <m/>
    <m/>
    <m/>
    <m/>
    <n v="0"/>
    <n v="5000"/>
    <n v="53000000"/>
    <d v="2020-02-25T00:00:00"/>
  </r>
  <r>
    <x v="234"/>
    <d v="2018-08-24T00:00:00"/>
    <s v="THANH THÚY"/>
    <x v="124"/>
    <x v="127"/>
    <x v="98"/>
    <x v="32"/>
    <x v="4"/>
    <x v="3"/>
    <x v="5"/>
    <s v="NL2018"/>
    <m/>
    <n v="50"/>
    <n v="10000"/>
    <x v="50"/>
    <n v="60000000"/>
    <x v="0"/>
    <s v="29-Feb-19"/>
    <x v="10"/>
    <x v="10"/>
    <s v="30/2AL"/>
    <s v="CONT 16/2019"/>
    <m/>
    <m/>
    <d v="2019-04-02T00:00:00"/>
    <n v="10000"/>
    <m/>
    <m/>
    <m/>
    <m/>
    <m/>
    <m/>
    <n v="10000"/>
    <n v="0"/>
    <n v="0"/>
    <d v="2020-02-25T00:00:00"/>
  </r>
  <r>
    <x v="235"/>
    <d v="2018-08-24T00:00:00"/>
    <s v="THANH THÚY"/>
    <x v="124"/>
    <x v="127"/>
    <x v="62"/>
    <x v="32"/>
    <x v="0"/>
    <x v="4"/>
    <x v="14"/>
    <s v="NL2018"/>
    <m/>
    <n v="40"/>
    <n v="5000"/>
    <x v="61"/>
    <n v="67500000"/>
    <x v="2"/>
    <d v="2019-09-01T00:00:00"/>
    <x v="2"/>
    <x v="2"/>
    <s v="TẾT"/>
    <m/>
    <m/>
    <m/>
    <m/>
    <n v="0"/>
    <m/>
    <m/>
    <m/>
    <m/>
    <m/>
    <m/>
    <n v="0"/>
    <n v="5000"/>
    <n v="67500000"/>
    <d v="2020-02-25T00:00:00"/>
  </r>
  <r>
    <x v="235"/>
    <d v="2018-08-24T00:00:00"/>
    <s v="THANH THÚY"/>
    <x v="124"/>
    <x v="127"/>
    <x v="64"/>
    <x v="32"/>
    <x v="0"/>
    <x v="8"/>
    <x v="11"/>
    <s v="NL2018"/>
    <m/>
    <n v="100"/>
    <n v="10000"/>
    <x v="15"/>
    <n v="152000000"/>
    <x v="2"/>
    <d v="2019-09-01T00:00:00"/>
    <x v="2"/>
    <x v="2"/>
    <s v="TẾT"/>
    <m/>
    <m/>
    <m/>
    <m/>
    <n v="0"/>
    <m/>
    <m/>
    <m/>
    <m/>
    <m/>
    <m/>
    <n v="0"/>
    <n v="10000"/>
    <n v="152000000"/>
    <d v="2020-02-25T00:00:00"/>
  </r>
  <r>
    <x v="234"/>
    <d v="2018-08-24T00:00:00"/>
    <s v="THANH THÚY"/>
    <x v="124"/>
    <x v="127"/>
    <x v="6"/>
    <x v="39"/>
    <x v="0"/>
    <x v="3"/>
    <x v="5"/>
    <s v="NL2018"/>
    <m/>
    <n v="50"/>
    <n v="10000"/>
    <x v="28"/>
    <n v="46000000"/>
    <x v="0"/>
    <d v="2019-01-15T00:00:00"/>
    <x v="6"/>
    <x v="6"/>
    <s v="15/1AL"/>
    <m/>
    <m/>
    <m/>
    <d v="2019-02-19T00:00:00"/>
    <n v="10000"/>
    <m/>
    <m/>
    <m/>
    <m/>
    <m/>
    <m/>
    <n v="10000"/>
    <n v="0"/>
    <n v="0"/>
    <d v="2020-02-25T00:00:00"/>
  </r>
  <r>
    <x v="234"/>
    <d v="2018-08-24T00:00:00"/>
    <s v="THANH THÚY"/>
    <x v="124"/>
    <x v="127"/>
    <x v="6"/>
    <x v="39"/>
    <x v="0"/>
    <x v="3"/>
    <x v="5"/>
    <s v="NL2018"/>
    <m/>
    <n v="50"/>
    <n v="10000"/>
    <x v="12"/>
    <n v="47000000"/>
    <x v="0"/>
    <s v="29-Feb-19"/>
    <x v="10"/>
    <x v="10"/>
    <s v="30/2AL"/>
    <s v="CONT 17/2019"/>
    <m/>
    <m/>
    <d v="2019-04-02T00:00:00"/>
    <n v="10000"/>
    <m/>
    <m/>
    <m/>
    <m/>
    <m/>
    <m/>
    <n v="10000"/>
    <n v="0"/>
    <n v="0"/>
    <d v="2020-02-25T00:00:00"/>
  </r>
  <r>
    <x v="234"/>
    <d v="2018-08-24T00:00:00"/>
    <s v="THANH THÚY"/>
    <x v="124"/>
    <x v="127"/>
    <x v="6"/>
    <x v="39"/>
    <x v="0"/>
    <x v="3"/>
    <x v="5"/>
    <s v="NL2018"/>
    <m/>
    <n v="0"/>
    <n v="0"/>
    <x v="12"/>
    <n v="0"/>
    <x v="1"/>
    <m/>
    <x v="35"/>
    <x v="35"/>
    <m/>
    <m/>
    <m/>
    <m/>
    <m/>
    <n v="0"/>
    <m/>
    <m/>
    <m/>
    <m/>
    <m/>
    <m/>
    <n v="0"/>
    <n v="0"/>
    <n v="0"/>
    <d v="2020-02-26T00:00:00"/>
  </r>
  <r>
    <x v="234"/>
    <d v="2018-08-24T00:00:00"/>
    <s v="THANH THÚY"/>
    <x v="124"/>
    <x v="127"/>
    <x v="77"/>
    <x v="7"/>
    <x v="0"/>
    <x v="3"/>
    <x v="5"/>
    <s v="NL2018"/>
    <m/>
    <n v="50"/>
    <n v="10000"/>
    <x v="73"/>
    <n v="63000000"/>
    <x v="0"/>
    <d v="2019-02-15T00:00:00"/>
    <x v="0"/>
    <x v="0"/>
    <s v="15/2AL"/>
    <s v="CONT 11/2019"/>
    <m/>
    <m/>
    <d v="2019-03-19T00:00:00"/>
    <n v="10000"/>
    <m/>
    <m/>
    <m/>
    <m/>
    <m/>
    <m/>
    <n v="10000"/>
    <n v="0"/>
    <n v="0"/>
    <d v="2020-02-25T00:00:00"/>
  </r>
  <r>
    <x v="236"/>
    <m/>
    <m/>
    <x v="125"/>
    <x v="128"/>
    <x v="5"/>
    <x v="3"/>
    <x v="0"/>
    <x v="1"/>
    <x v="1"/>
    <s v="NL2018"/>
    <m/>
    <n v="9"/>
    <n v="1350"/>
    <x v="53"/>
    <m/>
    <x v="4"/>
    <m/>
    <x v="25"/>
    <x v="25"/>
    <m/>
    <m/>
    <m/>
    <m/>
    <m/>
    <m/>
    <m/>
    <m/>
    <m/>
    <m/>
    <m/>
    <m/>
    <n v="0"/>
    <n v="1350"/>
    <n v="0"/>
    <m/>
  </r>
  <r>
    <x v="236"/>
    <m/>
    <m/>
    <x v="125"/>
    <x v="128"/>
    <x v="94"/>
    <x v="47"/>
    <x v="0"/>
    <x v="12"/>
    <x v="0"/>
    <s v="NL2018"/>
    <m/>
    <n v="38"/>
    <n v="15200"/>
    <x v="53"/>
    <m/>
    <x v="4"/>
    <m/>
    <x v="35"/>
    <x v="35"/>
    <m/>
    <m/>
    <m/>
    <m/>
    <m/>
    <m/>
    <m/>
    <m/>
    <m/>
    <m/>
    <m/>
    <m/>
    <n v="0"/>
    <n v="15200"/>
    <n v="0"/>
    <m/>
  </r>
  <r>
    <x v="236"/>
    <m/>
    <m/>
    <x v="125"/>
    <x v="129"/>
    <x v="58"/>
    <x v="33"/>
    <x v="0"/>
    <x v="2"/>
    <x v="2"/>
    <s v="NL2018"/>
    <m/>
    <n v="78"/>
    <n v="23400"/>
    <x v="53"/>
    <m/>
    <x v="3"/>
    <m/>
    <x v="35"/>
    <x v="35"/>
    <m/>
    <m/>
    <m/>
    <m/>
    <m/>
    <m/>
    <m/>
    <m/>
    <m/>
    <m/>
    <m/>
    <m/>
    <n v="0"/>
    <n v="23400"/>
    <n v="0"/>
    <m/>
  </r>
  <r>
    <x v="236"/>
    <m/>
    <m/>
    <x v="125"/>
    <x v="129"/>
    <x v="75"/>
    <x v="32"/>
    <x v="0"/>
    <x v="3"/>
    <x v="3"/>
    <s v="NL2018"/>
    <m/>
    <n v="20"/>
    <n v="4000"/>
    <x v="53"/>
    <m/>
    <x v="3"/>
    <m/>
    <x v="25"/>
    <x v="25"/>
    <m/>
    <m/>
    <m/>
    <m/>
    <m/>
    <m/>
    <m/>
    <m/>
    <m/>
    <m/>
    <m/>
    <m/>
    <n v="0"/>
    <n v="4000"/>
    <n v="0"/>
    <m/>
  </r>
  <r>
    <x v="236"/>
    <m/>
    <m/>
    <x v="125"/>
    <x v="129"/>
    <x v="100"/>
    <x v="26"/>
    <x v="0"/>
    <x v="3"/>
    <x v="3"/>
    <s v="NL2018"/>
    <m/>
    <n v="15"/>
    <n v="3000"/>
    <x v="53"/>
    <m/>
    <x v="3"/>
    <m/>
    <x v="25"/>
    <x v="25"/>
    <m/>
    <m/>
    <m/>
    <m/>
    <m/>
    <m/>
    <m/>
    <m/>
    <m/>
    <m/>
    <m/>
    <m/>
    <n v="0"/>
    <n v="3000"/>
    <n v="0"/>
    <m/>
  </r>
  <r>
    <x v="236"/>
    <m/>
    <m/>
    <x v="125"/>
    <x v="129"/>
    <x v="177"/>
    <x v="47"/>
    <x v="0"/>
    <x v="2"/>
    <x v="2"/>
    <s v="NL2018"/>
    <m/>
    <n v="10"/>
    <n v="3000"/>
    <x v="53"/>
    <m/>
    <x v="3"/>
    <m/>
    <x v="25"/>
    <x v="25"/>
    <m/>
    <m/>
    <m/>
    <m/>
    <m/>
    <m/>
    <m/>
    <m/>
    <m/>
    <m/>
    <m/>
    <m/>
    <n v="0"/>
    <n v="3000"/>
    <n v="0"/>
    <m/>
  </r>
  <r>
    <x v="236"/>
    <m/>
    <m/>
    <x v="125"/>
    <x v="129"/>
    <x v="88"/>
    <x v="13"/>
    <x v="0"/>
    <x v="5"/>
    <x v="2"/>
    <s v="NL2018"/>
    <m/>
    <n v="34"/>
    <n v="10200"/>
    <x v="53"/>
    <m/>
    <x v="3"/>
    <m/>
    <x v="25"/>
    <x v="25"/>
    <m/>
    <m/>
    <m/>
    <m/>
    <m/>
    <m/>
    <m/>
    <m/>
    <m/>
    <m/>
    <m/>
    <m/>
    <n v="0"/>
    <n v="10200"/>
    <n v="0"/>
    <m/>
  </r>
  <r>
    <x v="236"/>
    <m/>
    <m/>
    <x v="125"/>
    <x v="129"/>
    <x v="72"/>
    <x v="36"/>
    <x v="1"/>
    <x v="7"/>
    <x v="0"/>
    <s v="NL2018"/>
    <m/>
    <n v="5"/>
    <n v="2000"/>
    <x v="53"/>
    <m/>
    <x v="3"/>
    <m/>
    <x v="25"/>
    <x v="25"/>
    <m/>
    <m/>
    <m/>
    <m/>
    <m/>
    <m/>
    <m/>
    <m/>
    <m/>
    <m/>
    <m/>
    <m/>
    <n v="0"/>
    <n v="2000"/>
    <n v="0"/>
    <m/>
  </r>
  <r>
    <x v="236"/>
    <m/>
    <m/>
    <x v="125"/>
    <x v="129"/>
    <x v="93"/>
    <x v="3"/>
    <x v="0"/>
    <x v="2"/>
    <x v="2"/>
    <s v="NL2018"/>
    <m/>
    <n v="220"/>
    <n v="66000"/>
    <x v="53"/>
    <m/>
    <x v="3"/>
    <m/>
    <x v="25"/>
    <x v="25"/>
    <m/>
    <m/>
    <m/>
    <m/>
    <m/>
    <m/>
    <m/>
    <m/>
    <m/>
    <m/>
    <m/>
    <m/>
    <n v="0"/>
    <n v="66000"/>
    <n v="0"/>
    <m/>
  </r>
  <r>
    <x v="236"/>
    <m/>
    <m/>
    <x v="125"/>
    <x v="129"/>
    <x v="3"/>
    <x v="3"/>
    <x v="0"/>
    <x v="3"/>
    <x v="3"/>
    <s v="NL2018"/>
    <m/>
    <n v="169.5"/>
    <n v="33900"/>
    <x v="53"/>
    <m/>
    <x v="3"/>
    <m/>
    <x v="25"/>
    <x v="25"/>
    <m/>
    <m/>
    <m/>
    <m/>
    <m/>
    <m/>
    <m/>
    <m/>
    <m/>
    <m/>
    <m/>
    <m/>
    <n v="0"/>
    <n v="33900"/>
    <n v="0"/>
    <m/>
  </r>
  <r>
    <x v="236"/>
    <m/>
    <m/>
    <x v="125"/>
    <x v="129"/>
    <x v="34"/>
    <x v="1"/>
    <x v="0"/>
    <x v="2"/>
    <x v="2"/>
    <s v="NL2018"/>
    <m/>
    <n v="1"/>
    <n v="300"/>
    <x v="53"/>
    <m/>
    <x v="3"/>
    <m/>
    <x v="25"/>
    <x v="25"/>
    <m/>
    <m/>
    <m/>
    <m/>
    <m/>
    <m/>
    <m/>
    <m/>
    <m/>
    <m/>
    <m/>
    <m/>
    <n v="0"/>
    <n v="300"/>
    <n v="0"/>
    <m/>
  </r>
  <r>
    <x v="236"/>
    <m/>
    <m/>
    <x v="125"/>
    <x v="129"/>
    <x v="74"/>
    <x v="0"/>
    <x v="0"/>
    <x v="2"/>
    <x v="2"/>
    <s v="NL2018"/>
    <m/>
    <n v="14"/>
    <n v="4200"/>
    <x v="53"/>
    <m/>
    <x v="3"/>
    <m/>
    <x v="25"/>
    <x v="25"/>
    <m/>
    <m/>
    <m/>
    <m/>
    <m/>
    <m/>
    <m/>
    <m/>
    <m/>
    <m/>
    <m/>
    <m/>
    <n v="0"/>
    <n v="4200"/>
    <n v="0"/>
    <m/>
  </r>
  <r>
    <x v="236"/>
    <m/>
    <m/>
    <x v="125"/>
    <x v="130"/>
    <x v="5"/>
    <x v="3"/>
    <x v="0"/>
    <x v="1"/>
    <x v="1"/>
    <s v="NL2018"/>
    <m/>
    <n v="79"/>
    <n v="11850"/>
    <x v="53"/>
    <m/>
    <x v="3"/>
    <m/>
    <x v="25"/>
    <x v="25"/>
    <m/>
    <m/>
    <m/>
    <m/>
    <m/>
    <m/>
    <m/>
    <m/>
    <m/>
    <m/>
    <m/>
    <m/>
    <n v="0"/>
    <n v="11850"/>
    <n v="0"/>
    <m/>
  </r>
  <r>
    <x v="236"/>
    <m/>
    <m/>
    <x v="125"/>
    <x v="131"/>
    <x v="10"/>
    <x v="1"/>
    <x v="0"/>
    <x v="3"/>
    <x v="3"/>
    <s v="NL2018"/>
    <m/>
    <n v="3"/>
    <n v="600"/>
    <x v="53"/>
    <m/>
    <x v="4"/>
    <m/>
    <x v="25"/>
    <x v="25"/>
    <m/>
    <m/>
    <m/>
    <m/>
    <m/>
    <m/>
    <m/>
    <m/>
    <m/>
    <m/>
    <m/>
    <m/>
    <n v="0"/>
    <n v="600"/>
    <n v="0"/>
    <m/>
  </r>
  <r>
    <x v="236"/>
    <m/>
    <m/>
    <x v="125"/>
    <x v="131"/>
    <x v="5"/>
    <x v="3"/>
    <x v="0"/>
    <x v="1"/>
    <x v="1"/>
    <s v="NL2018"/>
    <m/>
    <n v="9"/>
    <n v="1350"/>
    <x v="53"/>
    <m/>
    <x v="4"/>
    <m/>
    <x v="35"/>
    <x v="35"/>
    <m/>
    <m/>
    <m/>
    <m/>
    <m/>
    <m/>
    <m/>
    <m/>
    <m/>
    <m/>
    <m/>
    <m/>
    <n v="0"/>
    <n v="1350"/>
    <n v="0"/>
    <m/>
  </r>
  <r>
    <x v="236"/>
    <m/>
    <m/>
    <x v="125"/>
    <x v="131"/>
    <x v="27"/>
    <x v="14"/>
    <x v="0"/>
    <x v="3"/>
    <x v="3"/>
    <s v="NL2018"/>
    <m/>
    <n v="5"/>
    <n v="1000"/>
    <x v="53"/>
    <m/>
    <x v="4"/>
    <m/>
    <x v="25"/>
    <x v="25"/>
    <m/>
    <m/>
    <m/>
    <m/>
    <m/>
    <m/>
    <m/>
    <m/>
    <m/>
    <m/>
    <m/>
    <m/>
    <n v="0"/>
    <n v="1000"/>
    <n v="0"/>
    <m/>
  </r>
  <r>
    <x v="236"/>
    <m/>
    <m/>
    <x v="125"/>
    <x v="132"/>
    <x v="54"/>
    <x v="0"/>
    <x v="0"/>
    <x v="3"/>
    <x v="3"/>
    <s v="NL2018"/>
    <m/>
    <n v="15"/>
    <n v="3000"/>
    <x v="53"/>
    <m/>
    <x v="4"/>
    <m/>
    <x v="25"/>
    <x v="25"/>
    <s v="Hà Nội chuyển vô"/>
    <m/>
    <m/>
    <m/>
    <m/>
    <m/>
    <m/>
    <m/>
    <m/>
    <m/>
    <m/>
    <m/>
    <n v="0"/>
    <n v="3000"/>
    <n v="0"/>
    <m/>
  </r>
  <r>
    <x v="236"/>
    <m/>
    <m/>
    <x v="125"/>
    <x v="132"/>
    <x v="11"/>
    <x v="6"/>
    <x v="0"/>
    <x v="3"/>
    <x v="3"/>
    <s v="NL2018"/>
    <m/>
    <n v="25"/>
    <n v="5000"/>
    <x v="53"/>
    <m/>
    <x v="4"/>
    <m/>
    <x v="25"/>
    <x v="25"/>
    <s v="Hà Nội chuyển vô"/>
    <m/>
    <m/>
    <m/>
    <m/>
    <m/>
    <m/>
    <m/>
    <m/>
    <m/>
    <m/>
    <m/>
    <n v="0"/>
    <n v="5000"/>
    <n v="0"/>
    <m/>
  </r>
  <r>
    <x v="237"/>
    <d v="2019-05-09T00:00:00"/>
    <s v="KIỀU THY"/>
    <x v="126"/>
    <x v="133"/>
    <x v="63"/>
    <x v="1"/>
    <x v="0"/>
    <x v="4"/>
    <x v="4"/>
    <s v="NL2018"/>
    <m/>
    <n v="24"/>
    <n v="3000"/>
    <x v="27"/>
    <n v="33000000"/>
    <x v="2"/>
    <d v="2019-09-01T00:00:00"/>
    <x v="2"/>
    <x v="2"/>
    <s v="TẾT"/>
    <m/>
    <m/>
    <m/>
    <m/>
    <m/>
    <m/>
    <m/>
    <m/>
    <m/>
    <m/>
    <m/>
    <n v="0"/>
    <n v="3000"/>
    <n v="33000000"/>
    <m/>
  </r>
  <r>
    <x v="237"/>
    <d v="2019-05-08T00:00:00"/>
    <s v="KIỀU THY"/>
    <x v="126"/>
    <x v="133"/>
    <x v="62"/>
    <x v="32"/>
    <x v="0"/>
    <x v="4"/>
    <x v="4"/>
    <s v="NL2018"/>
    <m/>
    <n v="40"/>
    <n v="5000"/>
    <x v="167"/>
    <n v="68000000"/>
    <x v="2"/>
    <d v="2019-09-01T00:00:00"/>
    <x v="2"/>
    <x v="2"/>
    <s v="TẾT"/>
    <m/>
    <m/>
    <m/>
    <m/>
    <m/>
    <m/>
    <m/>
    <m/>
    <m/>
    <m/>
    <m/>
    <n v="0"/>
    <n v="5000"/>
    <n v="68000000"/>
    <m/>
  </r>
  <r>
    <x v="238"/>
    <d v="2019-04-04T00:00:00"/>
    <s v="KIỀU THY"/>
    <x v="127"/>
    <x v="134"/>
    <x v="62"/>
    <x v="32"/>
    <x v="0"/>
    <x v="4"/>
    <x v="4"/>
    <s v="NL2018"/>
    <m/>
    <n v="120"/>
    <n v="15000"/>
    <x v="167"/>
    <n v="204000000"/>
    <x v="2"/>
    <d v="2019-09-01T00:00:00"/>
    <x v="2"/>
    <x v="2"/>
    <s v="TẾT"/>
    <m/>
    <m/>
    <m/>
    <m/>
    <m/>
    <m/>
    <m/>
    <m/>
    <m/>
    <m/>
    <m/>
    <n v="0"/>
    <n v="15000"/>
    <n v="204000000"/>
    <m/>
  </r>
  <r>
    <x v="68"/>
    <d v="2019-06-25T00:00:00"/>
    <s v="KIỀU THY"/>
    <x v="127"/>
    <x v="134"/>
    <x v="75"/>
    <x v="32"/>
    <x v="0"/>
    <x v="3"/>
    <x v="3"/>
    <s v="NL2018"/>
    <m/>
    <n v="35"/>
    <n v="7000"/>
    <x v="65"/>
    <n v="49000000"/>
    <x v="4"/>
    <d v="2019-05-18T00:00:00"/>
    <x v="3"/>
    <x v="3"/>
    <m/>
    <m/>
    <m/>
    <m/>
    <m/>
    <m/>
    <m/>
    <m/>
    <m/>
    <m/>
    <m/>
    <m/>
    <n v="0"/>
    <n v="7000"/>
    <n v="49000000"/>
    <m/>
  </r>
  <r>
    <x v="239"/>
    <d v="2018-12-27T00:00:00"/>
    <s v="THANH THÚY"/>
    <x v="128"/>
    <x v="135"/>
    <x v="73"/>
    <x v="0"/>
    <x v="3"/>
    <x v="3"/>
    <x v="5"/>
    <s v="NL2018"/>
    <m/>
    <n v="49"/>
    <n v="9800"/>
    <x v="10"/>
    <n v="53900000"/>
    <x v="0"/>
    <d v="2019-04-15T00:00:00"/>
    <x v="32"/>
    <x v="32"/>
    <s v="15/4AL"/>
    <m/>
    <m/>
    <m/>
    <d v="2019-06-17T00:00:00"/>
    <n v="9800"/>
    <m/>
    <m/>
    <m/>
    <m/>
    <m/>
    <m/>
    <n v="9800"/>
    <n v="0"/>
    <n v="0"/>
    <m/>
  </r>
  <r>
    <x v="239"/>
    <d v="2018-12-27T00:00:00"/>
    <s v="THANH THÚY"/>
    <x v="128"/>
    <x v="135"/>
    <x v="0"/>
    <x v="0"/>
    <x v="0"/>
    <x v="7"/>
    <x v="8"/>
    <s v="NL2018"/>
    <m/>
    <n v="71"/>
    <n v="28400"/>
    <x v="0"/>
    <n v="73840000"/>
    <x v="0"/>
    <d v="2019-04-15T00:00:00"/>
    <x v="32"/>
    <x v="32"/>
    <s v="15/4AL"/>
    <m/>
    <m/>
    <m/>
    <d v="2019-04-29T00:00:00"/>
    <n v="3200"/>
    <d v="2019-05-23T00:00:00"/>
    <n v="25200"/>
    <m/>
    <m/>
    <m/>
    <m/>
    <n v="28400"/>
    <n v="0"/>
    <n v="0"/>
    <d v="2020-02-26T00:00:00"/>
  </r>
  <r>
    <x v="239"/>
    <d v="2018-12-27T00:00:00"/>
    <s v="THANH THÚY"/>
    <x v="128"/>
    <x v="135"/>
    <x v="0"/>
    <x v="0"/>
    <x v="0"/>
    <x v="7"/>
    <x v="8"/>
    <s v="NL2018"/>
    <m/>
    <n v="12"/>
    <n v="4800"/>
    <x v="1"/>
    <n v="12960000"/>
    <x v="0"/>
    <d v="2019-04-15T00:00:00"/>
    <x v="32"/>
    <x v="32"/>
    <m/>
    <m/>
    <m/>
    <m/>
    <d v="2019-06-17T00:00:00"/>
    <n v="4800"/>
    <m/>
    <m/>
    <m/>
    <m/>
    <m/>
    <m/>
    <n v="4800"/>
    <n v="0"/>
    <n v="0"/>
    <m/>
  </r>
  <r>
    <x v="239"/>
    <d v="2018-12-27T00:00:00"/>
    <s v="THANH THÚY"/>
    <x v="128"/>
    <x v="135"/>
    <x v="0"/>
    <x v="0"/>
    <x v="0"/>
    <x v="7"/>
    <x v="8"/>
    <s v="NL2018"/>
    <m/>
    <n v="117"/>
    <n v="46800"/>
    <x v="0"/>
    <n v="121680000"/>
    <x v="0"/>
    <s v="29-Feb-19"/>
    <x v="10"/>
    <x v="10"/>
    <s v="30/2AL"/>
    <s v="CONT 18/2019"/>
    <m/>
    <m/>
    <d v="2019-03-21T00:00:00"/>
    <n v="10000"/>
    <d v="2019-04-08T00:00:00"/>
    <n v="20000"/>
    <d v="2019-04-29T00:00:00"/>
    <n v="16800"/>
    <m/>
    <m/>
    <n v="46800"/>
    <n v="0"/>
    <n v="0"/>
    <d v="2020-02-26T00:00:00"/>
  </r>
  <r>
    <x v="239"/>
    <d v="2018-12-27T00:00:00"/>
    <s v="THANH THÚY"/>
    <x v="128"/>
    <x v="135"/>
    <x v="5"/>
    <x v="3"/>
    <x v="0"/>
    <x v="1"/>
    <x v="9"/>
    <s v="NL2018"/>
    <m/>
    <n v="81"/>
    <n v="12150"/>
    <x v="41"/>
    <n v="74115000"/>
    <x v="0"/>
    <d v="2019-01-15T00:00:00"/>
    <x v="6"/>
    <x v="6"/>
    <s v="15/1AL"/>
    <m/>
    <m/>
    <m/>
    <d v="2019-02-25T00:00:00"/>
    <n v="10050"/>
    <d v="2019-02-26T00:00:00"/>
    <n v="2100"/>
    <m/>
    <m/>
    <m/>
    <m/>
    <n v="12150"/>
    <n v="0"/>
    <n v="0"/>
    <d v="2020-02-26T00:00:00"/>
  </r>
  <r>
    <x v="239"/>
    <d v="2018-12-27T00:00:00"/>
    <s v="THANH THÚY"/>
    <x v="128"/>
    <x v="135"/>
    <x v="5"/>
    <x v="3"/>
    <x v="0"/>
    <x v="1"/>
    <x v="9"/>
    <s v="NL2018"/>
    <m/>
    <n v="138"/>
    <n v="20700"/>
    <x v="41"/>
    <n v="126270000"/>
    <x v="0"/>
    <d v="2019-01-23T00:00:00"/>
    <x v="21"/>
    <x v="21"/>
    <s v="23/1AL"/>
    <m/>
    <m/>
    <m/>
    <d v="2019-03-19T00:00:00"/>
    <n v="20700"/>
    <m/>
    <m/>
    <m/>
    <m/>
    <m/>
    <m/>
    <n v="20700"/>
    <n v="0"/>
    <n v="0"/>
    <d v="2020-02-26T00:00:00"/>
  </r>
  <r>
    <x v="239"/>
    <d v="2018-12-27T00:00:00"/>
    <s v="THANH THÚY"/>
    <x v="128"/>
    <x v="135"/>
    <x v="5"/>
    <x v="3"/>
    <x v="0"/>
    <x v="1"/>
    <x v="9"/>
    <s v="NL2018"/>
    <m/>
    <n v="92"/>
    <n v="13800"/>
    <x v="41"/>
    <n v="84180000"/>
    <x v="0"/>
    <d v="2019-02-15T00:00:00"/>
    <x v="0"/>
    <x v="0"/>
    <s v="15/2AL"/>
    <s v="CONT 10/2019"/>
    <m/>
    <m/>
    <d v="2019-04-15T00:00:00"/>
    <n v="13800"/>
    <m/>
    <m/>
    <m/>
    <m/>
    <m/>
    <m/>
    <n v="13800"/>
    <n v="0"/>
    <n v="0"/>
    <m/>
  </r>
  <r>
    <x v="239"/>
    <d v="2018-12-27T00:00:00"/>
    <s v="THANH THÚY"/>
    <x v="128"/>
    <x v="135"/>
    <x v="5"/>
    <x v="3"/>
    <x v="0"/>
    <x v="1"/>
    <x v="9"/>
    <s v="NL2018"/>
    <m/>
    <n v="134"/>
    <n v="20100"/>
    <x v="73"/>
    <n v="126630000"/>
    <x v="0"/>
    <d v="2019-03-15T00:00:00"/>
    <x v="5"/>
    <x v="5"/>
    <s v="15/3AL"/>
    <s v="CONT 25/2019"/>
    <m/>
    <m/>
    <d v="2019-05-19T00:00:00"/>
    <n v="10050"/>
    <d v="2019-05-23T00:00:00"/>
    <n v="10050"/>
    <m/>
    <m/>
    <m/>
    <m/>
    <n v="20100"/>
    <n v="0"/>
    <n v="0"/>
    <d v="2020-02-26T00:00:00"/>
  </r>
  <r>
    <x v="239"/>
    <d v="2018-12-27T00:00:00"/>
    <s v="THANH THÚY"/>
    <x v="128"/>
    <x v="135"/>
    <x v="5"/>
    <x v="3"/>
    <x v="0"/>
    <x v="1"/>
    <x v="9"/>
    <s v="NL2018"/>
    <m/>
    <n v="66"/>
    <n v="9900"/>
    <x v="95"/>
    <n v="64627200"/>
    <x v="0"/>
    <d v="2019-04-17T00:00:00"/>
    <x v="1"/>
    <x v="1"/>
    <m/>
    <m/>
    <m/>
    <m/>
    <d v="2019-06-19T00:00:00"/>
    <n v="9900"/>
    <m/>
    <m/>
    <m/>
    <m/>
    <m/>
    <m/>
    <n v="9900"/>
    <n v="0"/>
    <n v="0"/>
    <m/>
  </r>
  <r>
    <x v="239"/>
    <d v="2018-12-27T00:00:00"/>
    <s v="THANH THÚY"/>
    <x v="128"/>
    <x v="135"/>
    <x v="5"/>
    <x v="3"/>
    <x v="0"/>
    <x v="1"/>
    <x v="9"/>
    <s v="NL2018"/>
    <m/>
    <n v="67"/>
    <n v="10050"/>
    <x v="95"/>
    <n v="65606400"/>
    <x v="0"/>
    <d v="2019-05-05T00:00:00"/>
    <x v="27"/>
    <x v="27"/>
    <m/>
    <m/>
    <m/>
    <m/>
    <d v="2019-06-19T00:00:00"/>
    <n v="10050"/>
    <m/>
    <m/>
    <m/>
    <m/>
    <m/>
    <m/>
    <n v="10050"/>
    <n v="0"/>
    <n v="0"/>
    <m/>
  </r>
  <r>
    <x v="239"/>
    <d v="2019-06-15T00:00:00"/>
    <s v="THANH THÚY"/>
    <x v="128"/>
    <x v="135"/>
    <x v="3"/>
    <x v="3"/>
    <x v="0"/>
    <x v="3"/>
    <x v="5"/>
    <s v="NL2018"/>
    <m/>
    <n v="100"/>
    <n v="20000"/>
    <x v="10"/>
    <n v="110000000"/>
    <x v="0"/>
    <d v="2019-05-15T00:00:00"/>
    <x v="69"/>
    <x v="69"/>
    <m/>
    <m/>
    <m/>
    <m/>
    <d v="2019-06-22T00:00:00"/>
    <n v="20000"/>
    <m/>
    <m/>
    <m/>
    <m/>
    <m/>
    <m/>
    <n v="20000"/>
    <n v="0"/>
    <n v="0"/>
    <m/>
  </r>
  <r>
    <x v="239"/>
    <d v="2019-06-15T00:00:00"/>
    <s v="THANH THÚY"/>
    <x v="128"/>
    <x v="135"/>
    <x v="5"/>
    <x v="3"/>
    <x v="0"/>
    <x v="1"/>
    <x v="9"/>
    <s v="NL2018"/>
    <m/>
    <n v="167"/>
    <n v="25050"/>
    <x v="30"/>
    <n v="187875000"/>
    <x v="3"/>
    <d v="2019-06-01T00:00:00"/>
    <x v="18"/>
    <x v="18"/>
    <s v="Hà Nội chuyển vô"/>
    <m/>
    <m/>
    <m/>
    <m/>
    <m/>
    <m/>
    <m/>
    <m/>
    <m/>
    <m/>
    <m/>
    <n v="0"/>
    <n v="25050"/>
    <n v="187875000"/>
    <m/>
  </r>
  <r>
    <x v="239"/>
    <d v="2019-06-15T00:00:00"/>
    <s v="THANH THÚY"/>
    <x v="128"/>
    <x v="135"/>
    <x v="5"/>
    <x v="3"/>
    <x v="0"/>
    <x v="1"/>
    <x v="9"/>
    <s v="NL2018"/>
    <m/>
    <n v="167"/>
    <n v="25050"/>
    <x v="30"/>
    <n v="187875000"/>
    <x v="3"/>
    <d v="2019-06-15T00:00:00"/>
    <x v="4"/>
    <x v="4"/>
    <m/>
    <m/>
    <m/>
    <m/>
    <m/>
    <m/>
    <m/>
    <m/>
    <m/>
    <m/>
    <m/>
    <m/>
    <n v="0"/>
    <n v="25050"/>
    <n v="187875000"/>
    <m/>
  </r>
  <r>
    <x v="240"/>
    <d v="2019-06-20T00:00:00"/>
    <s v="THANH THÚY"/>
    <x v="128"/>
    <x v="135"/>
    <x v="4"/>
    <x v="3"/>
    <x v="0"/>
    <x v="4"/>
    <x v="14"/>
    <s v="NL2018"/>
    <m/>
    <n v="320"/>
    <n v="40000"/>
    <x v="33"/>
    <n v="428000000"/>
    <x v="2"/>
    <d v="2019-09-01T00:00:00"/>
    <x v="2"/>
    <x v="2"/>
    <s v="TẾT"/>
    <m/>
    <m/>
    <m/>
    <m/>
    <m/>
    <m/>
    <m/>
    <m/>
    <m/>
    <m/>
    <m/>
    <n v="0"/>
    <n v="40000"/>
    <n v="428000000"/>
    <m/>
  </r>
  <r>
    <x v="240"/>
    <d v="2019-02-28T00:00:00"/>
    <s v="THANH THÚY"/>
    <x v="128"/>
    <x v="135"/>
    <x v="62"/>
    <x v="32"/>
    <x v="0"/>
    <x v="4"/>
    <x v="14"/>
    <s v="NL2018"/>
    <m/>
    <n v="240"/>
    <n v="30000"/>
    <x v="61"/>
    <n v="405000000"/>
    <x v="2"/>
    <d v="2019-09-01T00:00:00"/>
    <x v="2"/>
    <x v="2"/>
    <s v="TẾT"/>
    <m/>
    <m/>
    <m/>
    <m/>
    <n v="0"/>
    <m/>
    <m/>
    <m/>
    <m/>
    <m/>
    <m/>
    <n v="0"/>
    <n v="30000"/>
    <n v="405000000"/>
    <d v="2020-02-26T00:00:00"/>
  </r>
  <r>
    <x v="239"/>
    <d v="2018-12-27T00:00:00"/>
    <s v="THANH THÚY"/>
    <x v="128"/>
    <x v="135"/>
    <x v="75"/>
    <x v="32"/>
    <x v="0"/>
    <x v="3"/>
    <x v="5"/>
    <s v="NL2018"/>
    <m/>
    <n v="250"/>
    <n v="50000"/>
    <x v="31"/>
    <n v="335000000"/>
    <x v="0"/>
    <s v="29-Feb-19"/>
    <x v="10"/>
    <x v="10"/>
    <s v="30/2AL"/>
    <s v="CONT 16/2019"/>
    <m/>
    <m/>
    <d v="2019-04-08T00:00:00"/>
    <n v="10000"/>
    <d v="2019-04-29T00:00:00"/>
    <n v="20000"/>
    <d v="2019-04-29T00:00:00"/>
    <n v="20000"/>
    <m/>
    <m/>
    <n v="50000"/>
    <n v="0"/>
    <n v="0"/>
    <d v="2020-02-26T00:00:00"/>
  </r>
  <r>
    <x v="240"/>
    <d v="2019-06-17T00:00:00"/>
    <s v="THANH THÚY"/>
    <x v="128"/>
    <x v="135"/>
    <x v="76"/>
    <x v="15"/>
    <x v="0"/>
    <x v="1"/>
    <x v="9"/>
    <s v="NL2018"/>
    <m/>
    <n v="200"/>
    <n v="30000"/>
    <x v="78"/>
    <n v="300000000"/>
    <x v="2"/>
    <d v="2019-09-01T00:00:00"/>
    <x v="2"/>
    <x v="2"/>
    <s v="TẾT"/>
    <m/>
    <m/>
    <m/>
    <m/>
    <m/>
    <m/>
    <m/>
    <m/>
    <m/>
    <m/>
    <m/>
    <n v="0"/>
    <n v="30000"/>
    <n v="300000000"/>
    <m/>
  </r>
  <r>
    <x v="239"/>
    <d v="2018-12-27T00:00:00"/>
    <s v="THANH THÚY"/>
    <x v="128"/>
    <x v="135"/>
    <x v="6"/>
    <x v="39"/>
    <x v="0"/>
    <x v="3"/>
    <x v="5"/>
    <s v="NL2018"/>
    <m/>
    <n v="50"/>
    <n v="10000"/>
    <x v="28"/>
    <n v="46000000"/>
    <x v="0"/>
    <d v="2019-01-15T00:00:00"/>
    <x v="6"/>
    <x v="6"/>
    <s v="15/1AL"/>
    <m/>
    <m/>
    <m/>
    <d v="2019-02-25T00:00:00"/>
    <n v="10000"/>
    <m/>
    <m/>
    <m/>
    <m/>
    <m/>
    <m/>
    <n v="10000"/>
    <n v="0"/>
    <n v="0"/>
    <d v="2020-02-26T00:00:00"/>
  </r>
  <r>
    <x v="239"/>
    <d v="2018-12-27T00:00:00"/>
    <s v="THANH THÚY"/>
    <x v="128"/>
    <x v="135"/>
    <x v="6"/>
    <x v="4"/>
    <x v="0"/>
    <x v="3"/>
    <x v="5"/>
    <s v="NL2018"/>
    <m/>
    <n v="50"/>
    <n v="10000"/>
    <x v="28"/>
    <n v="46000000"/>
    <x v="0"/>
    <d v="2019-02-15T00:00:00"/>
    <x v="0"/>
    <x v="0"/>
    <s v="15/2AL"/>
    <s v="CONT 10/2019"/>
    <m/>
    <m/>
    <d v="2019-03-22T00:00:00"/>
    <n v="10000"/>
    <m/>
    <m/>
    <m/>
    <m/>
    <m/>
    <m/>
    <n v="10000"/>
    <n v="0"/>
    <n v="0"/>
    <d v="2020-02-26T00:00:00"/>
  </r>
  <r>
    <x v="239"/>
    <d v="2018-12-27T00:00:00"/>
    <s v="THANH THÚY"/>
    <x v="128"/>
    <x v="135"/>
    <x v="77"/>
    <x v="7"/>
    <x v="0"/>
    <x v="3"/>
    <x v="5"/>
    <s v="NL2018"/>
    <m/>
    <n v="115"/>
    <n v="23000"/>
    <x v="50"/>
    <n v="138000000"/>
    <x v="0"/>
    <d v="2019-01-15T00:00:00"/>
    <x v="6"/>
    <x v="6"/>
    <s v="15/1AL"/>
    <m/>
    <m/>
    <m/>
    <d v="2019-02-25T00:00:00"/>
    <n v="20000"/>
    <d v="2019-02-26T00:00:00"/>
    <n v="3000"/>
    <m/>
    <m/>
    <m/>
    <m/>
    <n v="23000"/>
    <n v="0"/>
    <n v="0"/>
    <d v="2020-02-26T00:00:00"/>
  </r>
  <r>
    <x v="239"/>
    <d v="2018-12-27T00:00:00"/>
    <s v="THANH THÚY"/>
    <x v="128"/>
    <x v="135"/>
    <x v="77"/>
    <x v="7"/>
    <x v="0"/>
    <x v="3"/>
    <x v="5"/>
    <s v="NL2018"/>
    <m/>
    <n v="125"/>
    <n v="25000"/>
    <x v="50"/>
    <n v="150000000"/>
    <x v="0"/>
    <d v="2019-02-15T00:00:00"/>
    <x v="0"/>
    <x v="0"/>
    <s v="15/2AL"/>
    <s v="CONT 11/2019"/>
    <m/>
    <m/>
    <d v="2019-05-04T00:00:00"/>
    <n v="25000"/>
    <m/>
    <m/>
    <m/>
    <m/>
    <m/>
    <m/>
    <n v="25000"/>
    <n v="0"/>
    <n v="0"/>
    <d v="2020-02-26T00:00:00"/>
  </r>
  <r>
    <x v="241"/>
    <d v="2019-04-17T00:00:00"/>
    <s v="KIỀU THY"/>
    <x v="129"/>
    <x v="136"/>
    <x v="84"/>
    <x v="40"/>
    <x v="0"/>
    <x v="4"/>
    <x v="4"/>
    <s v="CL2019"/>
    <m/>
    <n v="80"/>
    <n v="10000"/>
    <x v="186"/>
    <n v="138000000"/>
    <x v="2"/>
    <d v="2019-09-01T00:00:00"/>
    <x v="2"/>
    <x v="2"/>
    <s v="TẾT"/>
    <m/>
    <m/>
    <m/>
    <m/>
    <m/>
    <m/>
    <m/>
    <m/>
    <m/>
    <m/>
    <m/>
    <n v="0"/>
    <n v="10000"/>
    <n v="138000000"/>
    <m/>
  </r>
  <r>
    <x v="241"/>
    <d v="2019-05-07T00:00:00"/>
    <s v="KIỀU THY"/>
    <x v="129"/>
    <x v="136"/>
    <x v="62"/>
    <x v="96"/>
    <x v="0"/>
    <x v="4"/>
    <x v="4"/>
    <s v="NL2018"/>
    <m/>
    <n v="24"/>
    <n v="3000"/>
    <x v="187"/>
    <n v="47400000"/>
    <x v="2"/>
    <d v="2019-09-01T00:00:00"/>
    <x v="2"/>
    <x v="2"/>
    <s v="TẾT"/>
    <m/>
    <m/>
    <m/>
    <m/>
    <m/>
    <m/>
    <m/>
    <m/>
    <m/>
    <m/>
    <m/>
    <n v="0"/>
    <n v="3000"/>
    <n v="47400000"/>
    <m/>
  </r>
  <r>
    <x v="241"/>
    <d v="2019-04-17T00:00:00"/>
    <s v="KIỀU THY"/>
    <x v="129"/>
    <x v="136"/>
    <x v="64"/>
    <x v="32"/>
    <x v="0"/>
    <x v="8"/>
    <x v="12"/>
    <s v="NL2018"/>
    <m/>
    <n v="50"/>
    <n v="5000"/>
    <x v="110"/>
    <n v="77000000"/>
    <x v="2"/>
    <d v="2019-09-01T00:00:00"/>
    <x v="2"/>
    <x v="2"/>
    <s v="TẾT"/>
    <m/>
    <m/>
    <m/>
    <m/>
    <m/>
    <m/>
    <m/>
    <m/>
    <m/>
    <m/>
    <m/>
    <n v="0"/>
    <n v="5000"/>
    <n v="77000000"/>
    <m/>
  </r>
  <r>
    <x v="241"/>
    <d v="2019-04-17T00:00:00"/>
    <s v="KIỀU THY"/>
    <x v="129"/>
    <x v="136"/>
    <x v="76"/>
    <x v="15"/>
    <x v="0"/>
    <x v="1"/>
    <x v="1"/>
    <s v="NL2018"/>
    <s v="V.W.S"/>
    <n v="34"/>
    <n v="5100"/>
    <x v="78"/>
    <n v="51000000"/>
    <x v="2"/>
    <d v="2019-09-01T00:00:00"/>
    <x v="2"/>
    <x v="2"/>
    <s v="TẾT"/>
    <m/>
    <m/>
    <m/>
    <m/>
    <m/>
    <m/>
    <m/>
    <m/>
    <m/>
    <m/>
    <m/>
    <n v="0"/>
    <n v="5100"/>
    <n v="51000000"/>
    <m/>
  </r>
  <r>
    <x v="241"/>
    <d v="2019-04-17T00:00:00"/>
    <s v="KIỀU THY"/>
    <x v="129"/>
    <x v="136"/>
    <x v="7"/>
    <x v="4"/>
    <x v="0"/>
    <x v="4"/>
    <x v="4"/>
    <s v="NL2018"/>
    <m/>
    <n v="72"/>
    <n v="9000"/>
    <x v="34"/>
    <n v="95400000"/>
    <x v="2"/>
    <d v="2019-09-01T00:00:00"/>
    <x v="2"/>
    <x v="2"/>
    <s v="TẾT"/>
    <m/>
    <m/>
    <m/>
    <m/>
    <m/>
    <m/>
    <m/>
    <m/>
    <m/>
    <m/>
    <m/>
    <n v="0"/>
    <n v="9000"/>
    <n v="95400000"/>
    <m/>
  </r>
  <r>
    <x v="241"/>
    <d v="2019-04-17T00:00:00"/>
    <s v="KIỀU THY"/>
    <x v="129"/>
    <x v="136"/>
    <x v="104"/>
    <x v="4"/>
    <x v="0"/>
    <x v="11"/>
    <x v="16"/>
    <s v="NL2018"/>
    <m/>
    <n v="80"/>
    <n v="6000"/>
    <x v="15"/>
    <n v="91200000"/>
    <x v="2"/>
    <d v="2019-09-01T00:00:00"/>
    <x v="2"/>
    <x v="2"/>
    <s v="TẾT"/>
    <m/>
    <m/>
    <m/>
    <m/>
    <m/>
    <m/>
    <m/>
    <m/>
    <m/>
    <m/>
    <m/>
    <n v="0"/>
    <n v="6000"/>
    <n v="91200000"/>
    <m/>
  </r>
  <r>
    <x v="242"/>
    <d v="2019-04-17T00:00:00"/>
    <s v="KIỀU THY"/>
    <x v="129"/>
    <x v="136"/>
    <x v="60"/>
    <x v="7"/>
    <x v="0"/>
    <x v="5"/>
    <x v="20"/>
    <s v="NL2018"/>
    <m/>
    <n v="14"/>
    <n v="3500"/>
    <x v="14"/>
    <n v="15750000"/>
    <x v="0"/>
    <d v="2019-03-15T00:00:00"/>
    <x v="5"/>
    <x v="5"/>
    <s v="15/3AL"/>
    <m/>
    <m/>
    <m/>
    <d v="2019-04-25T00:00:00"/>
    <n v="3500"/>
    <m/>
    <m/>
    <m/>
    <m/>
    <m/>
    <m/>
    <n v="3500"/>
    <n v="0"/>
    <n v="0"/>
    <m/>
  </r>
  <r>
    <x v="243"/>
    <d v="2019-03-12T00:00:00"/>
    <s v="KIỀU THY"/>
    <x v="130"/>
    <x v="137"/>
    <x v="32"/>
    <x v="18"/>
    <x v="0"/>
    <x v="2"/>
    <x v="2"/>
    <s v="NL2018"/>
    <m/>
    <n v="7"/>
    <n v="2100"/>
    <x v="37"/>
    <n v="8610000"/>
    <x v="0"/>
    <d v="2019-03-15T00:00:00"/>
    <x v="5"/>
    <x v="5"/>
    <s v="15/3AL"/>
    <s v="CONT 24/2019"/>
    <d v="2019-04-14T00:00:00"/>
    <m/>
    <d v="2019-04-23T00:00:00"/>
    <n v="2100"/>
    <m/>
    <m/>
    <m/>
    <m/>
    <m/>
    <m/>
    <n v="2100"/>
    <n v="0"/>
    <n v="0"/>
    <m/>
  </r>
  <r>
    <x v="243"/>
    <d v="2019-03-12T00:00:00"/>
    <s v="KIỀU THY"/>
    <x v="130"/>
    <x v="137"/>
    <x v="32"/>
    <x v="18"/>
    <x v="0"/>
    <x v="2"/>
    <x v="2"/>
    <s v="NL2018"/>
    <m/>
    <n v="7"/>
    <n v="2100"/>
    <x v="39"/>
    <n v="8820000"/>
    <x v="0"/>
    <d v="2019-03-15T00:00:00"/>
    <x v="5"/>
    <x v="5"/>
    <s v="30/3AL"/>
    <m/>
    <m/>
    <m/>
    <d v="2019-05-04T00:00:00"/>
    <n v="2100"/>
    <m/>
    <m/>
    <m/>
    <m/>
    <m/>
    <m/>
    <n v="2100"/>
    <n v="0"/>
    <n v="0"/>
    <m/>
  </r>
  <r>
    <x v="243"/>
    <d v="2019-03-12T00:00:00"/>
    <s v="KIỀU THY"/>
    <x v="130"/>
    <x v="137"/>
    <x v="31"/>
    <x v="18"/>
    <x v="0"/>
    <x v="7"/>
    <x v="0"/>
    <s v="NL2018"/>
    <m/>
    <n v="5"/>
    <n v="2000"/>
    <x v="36"/>
    <n v="5600000"/>
    <x v="0"/>
    <d v="2019-04-17T00:00:00"/>
    <x v="1"/>
    <x v="1"/>
    <s v="15/4AL"/>
    <m/>
    <m/>
    <m/>
    <d v="2019-05-24T00:00:00"/>
    <n v="2000"/>
    <m/>
    <m/>
    <m/>
    <m/>
    <m/>
    <m/>
    <n v="2000"/>
    <n v="0"/>
    <n v="0"/>
    <m/>
  </r>
  <r>
    <x v="243"/>
    <d v="2019-06-04T00:00:00"/>
    <s v="KIỀU THY"/>
    <x v="130"/>
    <x v="137"/>
    <x v="39"/>
    <x v="22"/>
    <x v="0"/>
    <x v="7"/>
    <x v="0"/>
    <s v="NL2018"/>
    <m/>
    <n v="12"/>
    <n v="4800"/>
    <x v="38"/>
    <n v="13920000"/>
    <x v="0"/>
    <d v="2019-05-05T00:00:00"/>
    <x v="27"/>
    <x v="27"/>
    <m/>
    <m/>
    <m/>
    <m/>
    <d v="2019-06-08T00:00:00"/>
    <n v="2000"/>
    <d v="2019-06-22T00:00:00"/>
    <s v="2800"/>
    <m/>
    <m/>
    <m/>
    <m/>
    <n v="4800"/>
    <n v="0"/>
    <n v="0"/>
    <m/>
  </r>
  <r>
    <x v="243"/>
    <d v="2019-05-25T00:00:00"/>
    <s v="KIỀU THY"/>
    <x v="130"/>
    <x v="137"/>
    <x v="39"/>
    <x v="22"/>
    <x v="0"/>
    <x v="7"/>
    <x v="0"/>
    <s v="NL2018"/>
    <m/>
    <n v="0"/>
    <n v="0"/>
    <x v="38"/>
    <n v="0"/>
    <x v="1"/>
    <d v="2019-05-05T00:00:00"/>
    <x v="27"/>
    <x v="27"/>
    <m/>
    <m/>
    <m/>
    <m/>
    <m/>
    <m/>
    <m/>
    <m/>
    <m/>
    <m/>
    <m/>
    <m/>
    <n v="0"/>
    <n v="0"/>
    <n v="0"/>
    <m/>
  </r>
  <r>
    <x v="243"/>
    <d v="2019-03-12T00:00:00"/>
    <s v="KIỀU THY"/>
    <x v="130"/>
    <x v="137"/>
    <x v="39"/>
    <x v="22"/>
    <x v="0"/>
    <x v="7"/>
    <x v="0"/>
    <s v="NL2018"/>
    <m/>
    <n v="7"/>
    <n v="2800"/>
    <x v="36"/>
    <n v="7840000"/>
    <x v="0"/>
    <d v="2019-03-15T00:00:00"/>
    <x v="5"/>
    <x v="5"/>
    <s v="15/3AL/15 NGÀY XUỐNG 1 LẦN"/>
    <s v="CONT 20/2019"/>
    <d v="2019-04-14T00:00:00"/>
    <m/>
    <d v="2019-04-23T00:00:00"/>
    <n v="2800"/>
    <m/>
    <m/>
    <m/>
    <m/>
    <m/>
    <m/>
    <n v="2800"/>
    <n v="0"/>
    <n v="0"/>
    <m/>
  </r>
  <r>
    <x v="243"/>
    <d v="2019-03-12T00:00:00"/>
    <s v="KIỀU THY"/>
    <x v="130"/>
    <x v="137"/>
    <x v="39"/>
    <x v="22"/>
    <x v="0"/>
    <x v="7"/>
    <x v="0"/>
    <s v="NL2018"/>
    <m/>
    <n v="5"/>
    <n v="2000"/>
    <x v="38"/>
    <n v="5800000"/>
    <x v="0"/>
    <d v="2019-03-15T00:00:00"/>
    <x v="5"/>
    <x v="5"/>
    <s v="30/3AL"/>
    <m/>
    <m/>
    <m/>
    <d v="2019-05-04T00:00:00"/>
    <n v="2000"/>
    <m/>
    <m/>
    <m/>
    <m/>
    <m/>
    <m/>
    <n v="2000"/>
    <n v="0"/>
    <n v="0"/>
    <m/>
  </r>
  <r>
    <x v="243"/>
    <d v="2019-05-04T00:00:00"/>
    <s v="KIỀU THY"/>
    <x v="130"/>
    <x v="137"/>
    <x v="39"/>
    <x v="22"/>
    <x v="0"/>
    <x v="7"/>
    <x v="0"/>
    <s v="NL2018"/>
    <m/>
    <n v="10"/>
    <n v="4000"/>
    <x v="38"/>
    <n v="11600000"/>
    <x v="0"/>
    <d v="2019-04-17T00:00:00"/>
    <x v="1"/>
    <x v="1"/>
    <s v="15/4AL"/>
    <m/>
    <m/>
    <m/>
    <d v="2019-05-24T00:00:00"/>
    <n v="4000"/>
    <m/>
    <m/>
    <m/>
    <m/>
    <m/>
    <m/>
    <n v="4000"/>
    <n v="0"/>
    <n v="0"/>
    <m/>
  </r>
  <r>
    <x v="243"/>
    <d v="2019-06-08T00:00:00"/>
    <s v="KIỀU THY"/>
    <x v="130"/>
    <x v="137"/>
    <x v="39"/>
    <x v="22"/>
    <x v="0"/>
    <x v="7"/>
    <x v="0"/>
    <s v="NL2018"/>
    <m/>
    <n v="15"/>
    <n v="6000"/>
    <x v="44"/>
    <n v="18000000"/>
    <x v="3"/>
    <d v="2019-06-15T00:00:00"/>
    <x v="4"/>
    <x v="4"/>
    <m/>
    <m/>
    <m/>
    <m/>
    <m/>
    <m/>
    <m/>
    <m/>
    <m/>
    <m/>
    <m/>
    <m/>
    <n v="0"/>
    <n v="6000"/>
    <n v="18000000"/>
    <m/>
  </r>
  <r>
    <x v="243"/>
    <d v="2019-03-12T00:00:00"/>
    <s v="KIỀU THY"/>
    <x v="130"/>
    <x v="137"/>
    <x v="42"/>
    <x v="23"/>
    <x v="0"/>
    <x v="7"/>
    <x v="0"/>
    <s v="NL2018"/>
    <m/>
    <n v="6"/>
    <n v="2400"/>
    <x v="44"/>
    <n v="7200000"/>
    <x v="0"/>
    <d v="2019-03-15T00:00:00"/>
    <x v="5"/>
    <x v="5"/>
    <s v="15/3AL/15 NGÀY XUỐNG 1 LẦN"/>
    <s v="CONT 20/2019"/>
    <d v="2019-04-14T00:00:00"/>
    <m/>
    <d v="2019-04-23T00:00:00"/>
    <n v="2400"/>
    <m/>
    <m/>
    <m/>
    <m/>
    <m/>
    <m/>
    <n v="2400"/>
    <n v="0"/>
    <n v="0"/>
    <m/>
  </r>
  <r>
    <x v="243"/>
    <d v="2019-03-12T00:00:00"/>
    <s v="KIỀU THY"/>
    <x v="130"/>
    <x v="137"/>
    <x v="42"/>
    <x v="23"/>
    <x v="0"/>
    <x v="7"/>
    <x v="0"/>
    <s v="NL2018"/>
    <m/>
    <n v="5"/>
    <n v="2000"/>
    <x v="51"/>
    <n v="6400000"/>
    <x v="0"/>
    <d v="2019-05-05T00:00:00"/>
    <x v="27"/>
    <x v="27"/>
    <s v="30/4AL"/>
    <m/>
    <m/>
    <m/>
    <d v="2019-06-08T00:00:00"/>
    <n v="2000"/>
    <m/>
    <m/>
    <m/>
    <m/>
    <m/>
    <m/>
    <n v="2000"/>
    <n v="0"/>
    <n v="0"/>
    <m/>
  </r>
  <r>
    <x v="243"/>
    <d v="2019-03-12T00:00:00"/>
    <s v="KIỀU THY"/>
    <x v="130"/>
    <x v="137"/>
    <x v="42"/>
    <x v="23"/>
    <x v="0"/>
    <x v="7"/>
    <x v="0"/>
    <s v="NL2018"/>
    <m/>
    <n v="5"/>
    <n v="2000"/>
    <x v="48"/>
    <n v="6600000"/>
    <x v="0"/>
    <d v="2019-05-05T00:00:00"/>
    <x v="27"/>
    <x v="27"/>
    <s v="15/5AL"/>
    <m/>
    <m/>
    <m/>
    <d v="2019-06-22T00:00:00"/>
    <n v="2000"/>
    <m/>
    <m/>
    <m/>
    <m/>
    <m/>
    <m/>
    <n v="2000"/>
    <n v="0"/>
    <n v="0"/>
    <m/>
  </r>
  <r>
    <x v="243"/>
    <d v="2019-03-12T00:00:00"/>
    <s v="KIỀU THY"/>
    <x v="130"/>
    <x v="137"/>
    <x v="58"/>
    <x v="33"/>
    <x v="0"/>
    <x v="2"/>
    <x v="2"/>
    <s v="NL2018"/>
    <m/>
    <n v="21"/>
    <n v="6300"/>
    <x v="57"/>
    <n v="24570000"/>
    <x v="0"/>
    <d v="2019-04-17T00:00:00"/>
    <x v="1"/>
    <x v="1"/>
    <s v="15/4AL"/>
    <m/>
    <m/>
    <m/>
    <d v="2019-05-24T00:00:00"/>
    <n v="3000"/>
    <d v="2019-06-08T00:00:00"/>
    <s v="3300"/>
    <m/>
    <m/>
    <m/>
    <m/>
    <n v="6300"/>
    <n v="0"/>
    <n v="0"/>
    <m/>
  </r>
  <r>
    <x v="243"/>
    <d v="2019-03-12T00:00:00"/>
    <s v="KIỀU THY"/>
    <x v="130"/>
    <x v="137"/>
    <x v="58"/>
    <x v="33"/>
    <x v="0"/>
    <x v="2"/>
    <x v="2"/>
    <s v="NL2018"/>
    <m/>
    <n v="10"/>
    <n v="3000"/>
    <x v="45"/>
    <n v="12000000"/>
    <x v="0"/>
    <d v="2019-05-05T00:00:00"/>
    <x v="27"/>
    <x v="27"/>
    <s v="30/4AL"/>
    <m/>
    <m/>
    <m/>
    <d v="2019-06-08T00:00:00"/>
    <n v="3000"/>
    <m/>
    <m/>
    <m/>
    <m/>
    <m/>
    <m/>
    <n v="3000"/>
    <n v="0"/>
    <n v="0"/>
    <m/>
  </r>
  <r>
    <x v="243"/>
    <d v="2019-03-12T00:00:00"/>
    <s v="KIỀU THY"/>
    <x v="130"/>
    <x v="137"/>
    <x v="58"/>
    <x v="33"/>
    <x v="0"/>
    <x v="2"/>
    <x v="2"/>
    <s v="NL2018"/>
    <m/>
    <n v="2"/>
    <n v="600"/>
    <x v="37"/>
    <n v="2460000"/>
    <x v="0"/>
    <d v="2019-05-05T00:00:00"/>
    <x v="27"/>
    <x v="27"/>
    <s v="15/5AL"/>
    <m/>
    <m/>
    <m/>
    <d v="2019-06-22T00:00:00"/>
    <n v="600"/>
    <m/>
    <m/>
    <m/>
    <m/>
    <m/>
    <m/>
    <n v="600"/>
    <n v="0"/>
    <n v="0"/>
    <m/>
  </r>
  <r>
    <x v="244"/>
    <d v="2019-06-22T00:00:00"/>
    <s v="KIỀU THY"/>
    <x v="130"/>
    <x v="137"/>
    <x v="58"/>
    <x v="33"/>
    <x v="0"/>
    <x v="2"/>
    <x v="2"/>
    <s v="NL2018"/>
    <m/>
    <n v="24"/>
    <n v="7200"/>
    <x v="39"/>
    <n v="30240000"/>
    <x v="2"/>
    <d v="2019-09-01T00:00:00"/>
    <x v="2"/>
    <x v="2"/>
    <m/>
    <m/>
    <m/>
    <m/>
    <m/>
    <m/>
    <m/>
    <m/>
    <m/>
    <m/>
    <m/>
    <m/>
    <n v="0"/>
    <n v="7200"/>
    <n v="30240000"/>
    <m/>
  </r>
  <r>
    <x v="243"/>
    <d v="2019-06-08T00:00:00"/>
    <s v="KIỀU THY"/>
    <x v="130"/>
    <x v="137"/>
    <x v="44"/>
    <x v="25"/>
    <x v="0"/>
    <x v="7"/>
    <x v="0"/>
    <s v="NL2018"/>
    <m/>
    <n v="5"/>
    <n v="2000"/>
    <x v="51"/>
    <n v="6400000"/>
    <x v="3"/>
    <d v="2019-06-15T00:00:00"/>
    <x v="4"/>
    <x v="4"/>
    <m/>
    <m/>
    <m/>
    <m/>
    <m/>
    <m/>
    <m/>
    <m/>
    <m/>
    <m/>
    <m/>
    <m/>
    <n v="0"/>
    <n v="2000"/>
    <n v="6400000"/>
    <m/>
  </r>
  <r>
    <x v="243"/>
    <d v="2019-05-29T00:00:00"/>
    <s v="KIỀU THY"/>
    <x v="130"/>
    <x v="137"/>
    <x v="51"/>
    <x v="30"/>
    <x v="0"/>
    <x v="2"/>
    <x v="2"/>
    <s v="NL2018"/>
    <m/>
    <n v="4"/>
    <n v="1200"/>
    <x v="14"/>
    <n v="5400000"/>
    <x v="0"/>
    <d v="2019-05-05T00:00:00"/>
    <x v="27"/>
    <x v="27"/>
    <m/>
    <m/>
    <m/>
    <m/>
    <d v="2019-06-08T00:00:00"/>
    <n v="1200"/>
    <m/>
    <m/>
    <m/>
    <m/>
    <m/>
    <m/>
    <n v="1200"/>
    <n v="0"/>
    <n v="0"/>
    <m/>
  </r>
  <r>
    <x v="243"/>
    <d v="2019-03-12T00:00:00"/>
    <s v="KIỀU THY"/>
    <x v="130"/>
    <x v="137"/>
    <x v="50"/>
    <x v="30"/>
    <x v="0"/>
    <x v="7"/>
    <x v="0"/>
    <s v="NL2018"/>
    <m/>
    <n v="0"/>
    <n v="0"/>
    <x v="36"/>
    <n v="0"/>
    <x v="1"/>
    <d v="2019-04-17T00:00:00"/>
    <x v="1"/>
    <x v="1"/>
    <s v="30/3AL"/>
    <m/>
    <m/>
    <m/>
    <m/>
    <n v="0"/>
    <m/>
    <m/>
    <m/>
    <m/>
    <m/>
    <m/>
    <n v="0"/>
    <n v="0"/>
    <n v="0"/>
    <m/>
  </r>
  <r>
    <x v="245"/>
    <d v="2019-05-31T00:00:00"/>
    <s v="KIỀU THY"/>
    <x v="131"/>
    <x v="138"/>
    <x v="34"/>
    <x v="1"/>
    <x v="0"/>
    <x v="2"/>
    <x v="2"/>
    <s v="NL2018"/>
    <m/>
    <n v="12"/>
    <n v="3600"/>
    <x v="42"/>
    <n v="17280000"/>
    <x v="0"/>
    <d v="2019-04-17T00:00:00"/>
    <x v="1"/>
    <x v="1"/>
    <m/>
    <m/>
    <m/>
    <m/>
    <d v="2019-05-31T00:00:00"/>
    <n v="3600"/>
    <m/>
    <m/>
    <m/>
    <m/>
    <m/>
    <m/>
    <n v="3600"/>
    <n v="0"/>
    <n v="0"/>
    <m/>
  </r>
  <r>
    <x v="245"/>
    <d v="2019-06-06T00:00:00"/>
    <s v="KIỀU THY"/>
    <x v="131"/>
    <x v="138"/>
    <x v="3"/>
    <x v="3"/>
    <x v="0"/>
    <x v="3"/>
    <x v="3"/>
    <s v="NL2018"/>
    <m/>
    <n v="15"/>
    <n v="3000"/>
    <x v="10"/>
    <n v="16500000"/>
    <x v="4"/>
    <d v="2019-05-05T00:00:00"/>
    <x v="27"/>
    <x v="27"/>
    <m/>
    <m/>
    <m/>
    <m/>
    <m/>
    <m/>
    <m/>
    <m/>
    <m/>
    <m/>
    <m/>
    <m/>
    <n v="0"/>
    <n v="3000"/>
    <n v="16500000"/>
    <m/>
  </r>
  <r>
    <x v="246"/>
    <d v="2019-03-07T00:00:00"/>
    <s v="KIỀU THY"/>
    <x v="132"/>
    <x v="138"/>
    <x v="80"/>
    <x v="15"/>
    <x v="0"/>
    <x v="2"/>
    <x v="6"/>
    <s v="NL2018"/>
    <m/>
    <n v="1"/>
    <n v="300"/>
    <x v="10"/>
    <n v="1650000"/>
    <x v="0"/>
    <s v="30-Feb-19"/>
    <x v="29"/>
    <x v="29"/>
    <s v="30/2AL"/>
    <s v="CONT 14/2019"/>
    <d v="2019-03-31T00:00:00"/>
    <m/>
    <d v="2019-04-03T00:00:00"/>
    <n v="300"/>
    <m/>
    <m/>
    <m/>
    <m/>
    <m/>
    <m/>
    <n v="300"/>
    <n v="0"/>
    <n v="0"/>
    <m/>
  </r>
  <r>
    <x v="245"/>
    <d v="2019-05-31T00:00:00"/>
    <s v="KIỀU THY"/>
    <x v="131"/>
    <x v="138"/>
    <x v="23"/>
    <x v="11"/>
    <x v="0"/>
    <x v="2"/>
    <x v="2"/>
    <s v="NL2018"/>
    <m/>
    <n v="2"/>
    <n v="600"/>
    <x v="6"/>
    <n v="3240000"/>
    <x v="0"/>
    <d v="2019-04-17T00:00:00"/>
    <x v="1"/>
    <x v="1"/>
    <m/>
    <m/>
    <m/>
    <m/>
    <d v="2019-05-31T00:00:00"/>
    <s v="600"/>
    <m/>
    <m/>
    <m/>
    <m/>
    <m/>
    <m/>
    <n v="600"/>
    <n v="0"/>
    <n v="0"/>
    <m/>
  </r>
  <r>
    <x v="247"/>
    <d v="2019-02-16T00:00:00"/>
    <s v="THANH THÚY"/>
    <x v="133"/>
    <x v="139"/>
    <x v="74"/>
    <x v="0"/>
    <x v="0"/>
    <x v="2"/>
    <x v="6"/>
    <s v="NL2018"/>
    <m/>
    <n v="2"/>
    <n v="600"/>
    <x v="45"/>
    <n v="2400000"/>
    <x v="0"/>
    <s v="29-Feb-19"/>
    <x v="10"/>
    <x v="10"/>
    <s v="30/2AL"/>
    <m/>
    <m/>
    <m/>
    <d v="2019-04-06T00:00:00"/>
    <n v="600"/>
    <m/>
    <m/>
    <m/>
    <m/>
    <m/>
    <m/>
    <n v="600"/>
    <n v="0"/>
    <n v="0"/>
    <m/>
  </r>
  <r>
    <x v="247"/>
    <d v="2019-02-16T00:00:00"/>
    <s v="THANH THÚY"/>
    <x v="133"/>
    <x v="139"/>
    <x v="54"/>
    <x v="0"/>
    <x v="0"/>
    <x v="3"/>
    <x v="5"/>
    <s v="NL2018"/>
    <m/>
    <n v="10"/>
    <n v="2000"/>
    <x v="8"/>
    <n v="10000000"/>
    <x v="0"/>
    <d v="2019-01-15T00:00:00"/>
    <x v="6"/>
    <x v="6"/>
    <s v="15/1AL"/>
    <m/>
    <m/>
    <m/>
    <d v="2019-02-23T00:00:00"/>
    <n v="2000"/>
    <m/>
    <m/>
    <m/>
    <m/>
    <m/>
    <m/>
    <n v="2000"/>
    <n v="0"/>
    <n v="0"/>
    <d v="2020-02-26T00:00:00"/>
  </r>
  <r>
    <x v="247"/>
    <d v="2019-02-16T00:00:00"/>
    <s v="THANH THÚY"/>
    <x v="133"/>
    <x v="139"/>
    <x v="34"/>
    <x v="1"/>
    <x v="0"/>
    <x v="2"/>
    <x v="6"/>
    <s v="NL2018"/>
    <m/>
    <n v="7"/>
    <n v="2100"/>
    <x v="28"/>
    <n v="9660000"/>
    <x v="0"/>
    <d v="2019-01-15T00:00:00"/>
    <x v="6"/>
    <x v="6"/>
    <s v="15/1AL"/>
    <m/>
    <m/>
    <m/>
    <d v="2019-04-06T00:00:00"/>
    <n v="2100"/>
    <m/>
    <m/>
    <m/>
    <m/>
    <m/>
    <m/>
    <n v="2100"/>
    <n v="0"/>
    <n v="0"/>
    <d v="2020-02-26T00:00:00"/>
  </r>
  <r>
    <x v="247"/>
    <d v="2019-02-16T00:00:00"/>
    <s v="THANH THÚY"/>
    <x v="133"/>
    <x v="139"/>
    <x v="34"/>
    <x v="1"/>
    <x v="0"/>
    <x v="2"/>
    <x v="6"/>
    <s v="NL2018"/>
    <m/>
    <n v="0"/>
    <n v="0"/>
    <x v="28"/>
    <n v="0"/>
    <x v="1"/>
    <s v="29-Feb-19"/>
    <x v="10"/>
    <x v="10"/>
    <s v="30/2AL"/>
    <s v="CONT 17/2019"/>
    <m/>
    <m/>
    <m/>
    <n v="2100"/>
    <m/>
    <m/>
    <m/>
    <m/>
    <m/>
    <m/>
    <n v="2100"/>
    <n v="-2100"/>
    <n v="-9660000"/>
    <d v="2020-02-26T00:00:00"/>
  </r>
  <r>
    <x v="247"/>
    <d v="2019-02-16T00:00:00"/>
    <s v="THANH THÚY"/>
    <x v="133"/>
    <x v="139"/>
    <x v="2"/>
    <x v="2"/>
    <x v="0"/>
    <x v="2"/>
    <x v="6"/>
    <s v="NL2018"/>
    <m/>
    <n v="7"/>
    <n v="2100"/>
    <x v="3"/>
    <n v="7350000"/>
    <x v="0"/>
    <d v="2019-02-15T00:00:00"/>
    <x v="0"/>
    <x v="0"/>
    <s v="15/2AL"/>
    <m/>
    <m/>
    <m/>
    <d v="2019-04-06T00:00:00"/>
    <n v="2100"/>
    <m/>
    <m/>
    <m/>
    <m/>
    <m/>
    <m/>
    <n v="2100"/>
    <n v="0"/>
    <n v="0"/>
    <m/>
  </r>
  <r>
    <x v="248"/>
    <d v="2019-05-16T00:00:00"/>
    <s v="KIỀU THY"/>
    <x v="134"/>
    <x v="140"/>
    <x v="0"/>
    <x v="0"/>
    <x v="0"/>
    <x v="7"/>
    <x v="0"/>
    <s v="NL2018"/>
    <m/>
    <n v="25"/>
    <n v="10000"/>
    <x v="36"/>
    <n v="28000000"/>
    <x v="0"/>
    <d v="2019-04-17T00:00:00"/>
    <x v="1"/>
    <x v="1"/>
    <m/>
    <m/>
    <m/>
    <m/>
    <d v="2019-05-19T00:00:00"/>
    <n v="10000"/>
    <m/>
    <m/>
    <m/>
    <m/>
    <m/>
    <m/>
    <n v="10000"/>
    <n v="0"/>
    <n v="0"/>
    <m/>
  </r>
  <r>
    <x v="248"/>
    <d v="2019-05-16T00:00:00"/>
    <s v="KIỀU THY"/>
    <x v="134"/>
    <x v="140"/>
    <x v="74"/>
    <x v="0"/>
    <x v="0"/>
    <x v="2"/>
    <x v="2"/>
    <s v="NL2018"/>
    <m/>
    <n v="24"/>
    <n v="7200"/>
    <x v="57"/>
    <n v="28080000"/>
    <x v="0"/>
    <d v="2019-05-05T00:00:00"/>
    <x v="27"/>
    <x v="27"/>
    <m/>
    <m/>
    <m/>
    <m/>
    <d v="2019-06-10T00:00:00"/>
    <n v="7200"/>
    <m/>
    <m/>
    <m/>
    <m/>
    <m/>
    <m/>
    <n v="7200"/>
    <n v="0"/>
    <n v="0"/>
    <m/>
  </r>
  <r>
    <x v="248"/>
    <d v="2019-05-20T00:00:00"/>
    <s v="KIỀU THY"/>
    <x v="134"/>
    <x v="140"/>
    <x v="74"/>
    <x v="0"/>
    <x v="0"/>
    <x v="2"/>
    <x v="2"/>
    <s v="NL2018"/>
    <m/>
    <n v="17"/>
    <n v="5100"/>
    <x v="45"/>
    <n v="20400000"/>
    <x v="3"/>
    <d v="2019-05-30T00:00:00"/>
    <x v="17"/>
    <x v="17"/>
    <m/>
    <m/>
    <m/>
    <m/>
    <m/>
    <m/>
    <m/>
    <m/>
    <m/>
    <m/>
    <m/>
    <m/>
    <n v="0"/>
    <n v="5100"/>
    <n v="20400000"/>
    <m/>
  </r>
  <r>
    <x v="248"/>
    <d v="2019-05-31T00:00:00"/>
    <s v="KIỀU THY"/>
    <x v="134"/>
    <x v="140"/>
    <x v="74"/>
    <x v="0"/>
    <x v="0"/>
    <x v="2"/>
    <x v="2"/>
    <s v="NL2018"/>
    <m/>
    <n v="17"/>
    <n v="5100"/>
    <x v="45"/>
    <n v="20400000"/>
    <x v="2"/>
    <d v="2019-07-01T00:00:00"/>
    <x v="30"/>
    <x v="30"/>
    <m/>
    <m/>
    <m/>
    <m/>
    <m/>
    <m/>
    <m/>
    <m/>
    <m/>
    <m/>
    <m/>
    <m/>
    <n v="0"/>
    <n v="5100"/>
    <n v="20400000"/>
    <m/>
  </r>
  <r>
    <x v="249"/>
    <d v="2019-06-17T00:00:00"/>
    <s v="KIỀU THY"/>
    <x v="134"/>
    <x v="140"/>
    <x v="1"/>
    <x v="1"/>
    <x v="0"/>
    <x v="1"/>
    <x v="1"/>
    <s v="NL2018"/>
    <m/>
    <n v="68"/>
    <n v="10200"/>
    <x v="168"/>
    <n v="95880000"/>
    <x v="2"/>
    <d v="2019-09-01T00:00:00"/>
    <x v="2"/>
    <x v="2"/>
    <s v="TẾT"/>
    <m/>
    <m/>
    <m/>
    <m/>
    <m/>
    <m/>
    <m/>
    <m/>
    <m/>
    <m/>
    <m/>
    <n v="0"/>
    <n v="10200"/>
    <n v="95880000"/>
    <m/>
  </r>
  <r>
    <x v="249"/>
    <d v="2019-05-20T00:00:00"/>
    <s v="KIỀU THY"/>
    <x v="134"/>
    <x v="140"/>
    <x v="137"/>
    <x v="3"/>
    <x v="0"/>
    <x v="6"/>
    <x v="13"/>
    <s v="NL2018"/>
    <m/>
    <n v="63"/>
    <n v="5040"/>
    <x v="85"/>
    <n v="77112000"/>
    <x v="2"/>
    <d v="2019-09-01T00:00:00"/>
    <x v="2"/>
    <x v="2"/>
    <s v="TẾT"/>
    <m/>
    <m/>
    <m/>
    <m/>
    <m/>
    <m/>
    <m/>
    <m/>
    <m/>
    <m/>
    <m/>
    <n v="0"/>
    <n v="5040"/>
    <n v="77112000"/>
    <m/>
  </r>
  <r>
    <x v="249"/>
    <d v="2019-06-17T00:00:00"/>
    <s v="KIỀU THY"/>
    <x v="134"/>
    <x v="140"/>
    <x v="4"/>
    <x v="3"/>
    <x v="0"/>
    <x v="4"/>
    <x v="4"/>
    <s v="NL2018"/>
    <m/>
    <n v="40"/>
    <n v="5000"/>
    <x v="33"/>
    <n v="53500000"/>
    <x v="2"/>
    <d v="2019-09-01T00:00:00"/>
    <x v="2"/>
    <x v="2"/>
    <s v="TẾT"/>
    <m/>
    <m/>
    <m/>
    <m/>
    <m/>
    <m/>
    <m/>
    <m/>
    <m/>
    <m/>
    <m/>
    <n v="0"/>
    <n v="5000"/>
    <n v="53500000"/>
    <m/>
  </r>
  <r>
    <x v="248"/>
    <d v="2019-05-22T00:00:00"/>
    <s v="KIỀU THY"/>
    <x v="134"/>
    <x v="140"/>
    <x v="93"/>
    <x v="3"/>
    <x v="0"/>
    <x v="2"/>
    <x v="2"/>
    <s v="NL2018"/>
    <m/>
    <n v="27"/>
    <n v="8100"/>
    <x v="77"/>
    <n v="30780000"/>
    <x v="0"/>
    <d v="2019-05-05T00:00:00"/>
    <x v="27"/>
    <x v="27"/>
    <m/>
    <m/>
    <m/>
    <m/>
    <d v="2019-06-17T00:00:00"/>
    <n v="8100"/>
    <m/>
    <m/>
    <m/>
    <m/>
    <m/>
    <m/>
    <n v="8100"/>
    <n v="0"/>
    <n v="0"/>
    <m/>
  </r>
  <r>
    <x v="248"/>
    <d v="2019-05-22T00:00:00"/>
    <s v="KIỀU THY"/>
    <x v="134"/>
    <x v="140"/>
    <x v="93"/>
    <x v="3"/>
    <x v="0"/>
    <x v="2"/>
    <x v="2"/>
    <s v="NL2018"/>
    <m/>
    <n v="34"/>
    <n v="10200"/>
    <x v="57"/>
    <n v="39780000"/>
    <x v="3"/>
    <d v="2019-05-30T00:00:00"/>
    <x v="17"/>
    <x v="17"/>
    <m/>
    <m/>
    <m/>
    <m/>
    <m/>
    <m/>
    <m/>
    <m/>
    <m/>
    <m/>
    <m/>
    <m/>
    <n v="0"/>
    <n v="10200"/>
    <n v="39780000"/>
    <m/>
  </r>
  <r>
    <x v="248"/>
    <d v="2019-05-31T00:00:00"/>
    <s v="KIỀU THY"/>
    <x v="134"/>
    <x v="140"/>
    <x v="93"/>
    <x v="3"/>
    <x v="0"/>
    <x v="2"/>
    <x v="2"/>
    <s v="NL2018"/>
    <m/>
    <n v="34"/>
    <n v="10200"/>
    <x v="57"/>
    <n v="39780000"/>
    <x v="2"/>
    <d v="2019-07-01T00:00:00"/>
    <x v="30"/>
    <x v="30"/>
    <m/>
    <m/>
    <m/>
    <m/>
    <m/>
    <m/>
    <m/>
    <m/>
    <m/>
    <m/>
    <m/>
    <m/>
    <n v="0"/>
    <n v="10200"/>
    <n v="39780000"/>
    <m/>
  </r>
  <r>
    <x v="249"/>
    <d v="2019-05-16T00:00:00"/>
    <s v="KIỀU THY"/>
    <x v="134"/>
    <x v="140"/>
    <x v="101"/>
    <x v="32"/>
    <x v="0"/>
    <x v="6"/>
    <x v="13"/>
    <s v="NL2018"/>
    <m/>
    <n v="35"/>
    <n v="2800"/>
    <x v="116"/>
    <n v="45360000"/>
    <x v="2"/>
    <d v="2019-09-01T00:00:00"/>
    <x v="2"/>
    <x v="2"/>
    <s v="TẾT"/>
    <m/>
    <m/>
    <m/>
    <m/>
    <m/>
    <m/>
    <m/>
    <m/>
    <m/>
    <m/>
    <m/>
    <n v="0"/>
    <n v="2800"/>
    <n v="45360000"/>
    <m/>
  </r>
  <r>
    <x v="249"/>
    <d v="2019-05-16T00:00:00"/>
    <s v="KIỀU THY"/>
    <x v="134"/>
    <x v="140"/>
    <x v="62"/>
    <x v="32"/>
    <x v="0"/>
    <x v="4"/>
    <x v="4"/>
    <s v="NL2018"/>
    <m/>
    <n v="19"/>
    <n v="2375"/>
    <x v="167"/>
    <n v="32300000"/>
    <x v="2"/>
    <d v="2019-09-01T00:00:00"/>
    <x v="2"/>
    <x v="2"/>
    <s v="TẾT"/>
    <m/>
    <m/>
    <m/>
    <m/>
    <m/>
    <m/>
    <m/>
    <m/>
    <m/>
    <m/>
    <m/>
    <n v="0"/>
    <n v="2375"/>
    <n v="32300000"/>
    <m/>
  </r>
  <r>
    <x v="248"/>
    <d v="2019-06-05T00:00:00"/>
    <s v="KIỀU THY"/>
    <x v="134"/>
    <x v="140"/>
    <x v="23"/>
    <x v="11"/>
    <x v="0"/>
    <x v="2"/>
    <x v="2"/>
    <s v="NL2018"/>
    <m/>
    <n v="9"/>
    <n v="2700"/>
    <x v="10"/>
    <n v="14850000"/>
    <x v="0"/>
    <d v="2019-05-05T00:00:00"/>
    <x v="27"/>
    <x v="27"/>
    <m/>
    <m/>
    <m/>
    <m/>
    <d v="2019-06-17T00:00:00"/>
    <n v="2700"/>
    <m/>
    <m/>
    <m/>
    <m/>
    <m/>
    <m/>
    <n v="2700"/>
    <n v="0"/>
    <n v="0"/>
    <m/>
  </r>
  <r>
    <x v="248"/>
    <d v="2019-06-12T00:00:00"/>
    <s v="KIỀU THY"/>
    <x v="134"/>
    <x v="140"/>
    <x v="23"/>
    <x v="11"/>
    <x v="0"/>
    <x v="2"/>
    <x v="2"/>
    <s v="NL2018"/>
    <m/>
    <n v="17"/>
    <n v="5100"/>
    <x v="10"/>
    <n v="28050000"/>
    <x v="0"/>
    <d v="2019-05-05T00:00:00"/>
    <x v="27"/>
    <x v="27"/>
    <m/>
    <m/>
    <m/>
    <m/>
    <d v="2019-06-17T00:00:00"/>
    <n v="5100"/>
    <m/>
    <m/>
    <m/>
    <m/>
    <m/>
    <m/>
    <n v="5100"/>
    <n v="0"/>
    <n v="0"/>
    <m/>
  </r>
  <r>
    <x v="249"/>
    <d v="2019-06-17T00:00:00"/>
    <s v="KIỀU THY"/>
    <x v="134"/>
    <x v="140"/>
    <x v="7"/>
    <x v="4"/>
    <x v="0"/>
    <x v="4"/>
    <x v="4"/>
    <s v="NL2018"/>
    <m/>
    <n v="40"/>
    <n v="5000"/>
    <x v="34"/>
    <n v="53000000"/>
    <x v="2"/>
    <d v="2019-09-01T00:00:00"/>
    <x v="2"/>
    <x v="2"/>
    <s v="TẾT"/>
    <m/>
    <m/>
    <m/>
    <m/>
    <m/>
    <m/>
    <m/>
    <m/>
    <m/>
    <m/>
    <m/>
    <n v="0"/>
    <n v="5000"/>
    <n v="53000000"/>
    <m/>
  </r>
  <r>
    <x v="248"/>
    <d v="2019-06-12T00:00:00"/>
    <s v="KIỀU THY"/>
    <x v="134"/>
    <x v="140"/>
    <x v="53"/>
    <x v="31"/>
    <x v="0"/>
    <x v="2"/>
    <x v="2"/>
    <s v="NL2018"/>
    <m/>
    <n v="17"/>
    <n v="5100"/>
    <x v="39"/>
    <n v="21420000"/>
    <x v="0"/>
    <d v="2019-05-05T00:00:00"/>
    <x v="27"/>
    <x v="27"/>
    <m/>
    <m/>
    <m/>
    <m/>
    <d v="2019-06-17T00:00:00"/>
    <n v="5100"/>
    <m/>
    <m/>
    <m/>
    <m/>
    <m/>
    <m/>
    <n v="5100"/>
    <n v="0"/>
    <n v="0"/>
    <m/>
  </r>
  <r>
    <x v="250"/>
    <d v="2019-02-12T00:00:00"/>
    <s v="KIỀU THY"/>
    <x v="135"/>
    <x v="141"/>
    <x v="34"/>
    <x v="1"/>
    <x v="0"/>
    <x v="2"/>
    <x v="6"/>
    <s v="NL2018"/>
    <m/>
    <n v="0"/>
    <n v="0"/>
    <x v="28"/>
    <n v="0"/>
    <x v="1"/>
    <d v="2019-03-15T00:00:00"/>
    <x v="5"/>
    <x v="5"/>
    <s v="15/2AL_3.000+10/03AL_4.000"/>
    <s v="CONT 24/2019"/>
    <d v="2019-04-14T00:00:00"/>
    <s v="R"/>
    <m/>
    <n v="0"/>
    <m/>
    <m/>
    <m/>
    <m/>
    <m/>
    <m/>
    <n v="0"/>
    <n v="0"/>
    <n v="0"/>
    <m/>
  </r>
  <r>
    <x v="250"/>
    <d v="2019-02-12T00:00:00"/>
    <s v="KIỀU THY"/>
    <x v="135"/>
    <x v="141"/>
    <x v="34"/>
    <x v="1"/>
    <x v="0"/>
    <x v="2"/>
    <x v="6"/>
    <s v="NL2018"/>
    <m/>
    <n v="7"/>
    <n v="2100"/>
    <x v="28"/>
    <n v="9660000"/>
    <x v="0"/>
    <d v="2019-02-15T00:00:00"/>
    <x v="0"/>
    <x v="0"/>
    <s v="15/2AL_3.000+10/03AL_4.000"/>
    <s v="CONT 10/2019"/>
    <d v="2019-03-17T00:00:00"/>
    <s v="R"/>
    <d v="2019-03-23T00:00:00"/>
    <n v="2100"/>
    <m/>
    <m/>
    <m/>
    <m/>
    <m/>
    <m/>
    <n v="2100"/>
    <n v="0"/>
    <n v="0"/>
    <m/>
  </r>
  <r>
    <x v="250"/>
    <d v="2019-02-12T00:00:00"/>
    <s v="KIỀU THY"/>
    <x v="135"/>
    <x v="141"/>
    <x v="3"/>
    <x v="3"/>
    <x v="0"/>
    <x v="3"/>
    <x v="5"/>
    <s v="NL2018"/>
    <m/>
    <n v="0"/>
    <n v="0"/>
    <x v="8"/>
    <n v="0"/>
    <x v="1"/>
    <d v="2019-03-15T00:00:00"/>
    <x v="5"/>
    <x v="5"/>
    <s v="15/3AL"/>
    <s v="CONT 26/2019"/>
    <d v="2019-04-14T00:00:00"/>
    <s v="R"/>
    <m/>
    <n v="0"/>
    <m/>
    <m/>
    <m/>
    <m/>
    <m/>
    <m/>
    <n v="0"/>
    <n v="0"/>
    <n v="0"/>
    <m/>
  </r>
  <r>
    <x v="250"/>
    <d v="2019-05-20T00:00:00"/>
    <s v="KIỀU THY"/>
    <x v="135"/>
    <x v="141"/>
    <x v="23"/>
    <x v="11"/>
    <x v="0"/>
    <x v="2"/>
    <x v="6"/>
    <s v="NL2018"/>
    <m/>
    <n v="7"/>
    <n v="2100"/>
    <x v="10"/>
    <n v="11550000"/>
    <x v="0"/>
    <d v="2019-04-17T00:00:00"/>
    <x v="1"/>
    <x v="1"/>
    <m/>
    <m/>
    <m/>
    <m/>
    <d v="2019-05-21T00:00:00"/>
    <n v="2100"/>
    <m/>
    <m/>
    <m/>
    <m/>
    <m/>
    <m/>
    <n v="2100"/>
    <n v="0"/>
    <n v="0"/>
    <m/>
  </r>
  <r>
    <x v="250"/>
    <d v="2019-02-12T00:00:00"/>
    <s v="KIỀU THY"/>
    <x v="135"/>
    <x v="141"/>
    <x v="77"/>
    <x v="7"/>
    <x v="0"/>
    <x v="3"/>
    <x v="5"/>
    <s v="NL2018"/>
    <m/>
    <n v="0"/>
    <n v="0"/>
    <x v="73"/>
    <n v="0"/>
    <x v="1"/>
    <d v="2019-02-15T00:00:00"/>
    <x v="0"/>
    <x v="0"/>
    <s v="15/2AL"/>
    <s v="CONT 11/2019"/>
    <d v="2019-03-17T00:00:00"/>
    <m/>
    <m/>
    <m/>
    <m/>
    <m/>
    <m/>
    <m/>
    <m/>
    <m/>
    <n v="0"/>
    <n v="0"/>
    <n v="0"/>
    <m/>
  </r>
  <r>
    <x v="250"/>
    <d v="2019-02-12T00:00:00"/>
    <s v="KIỀU THY"/>
    <x v="135"/>
    <x v="141"/>
    <x v="60"/>
    <x v="7"/>
    <x v="0"/>
    <x v="5"/>
    <x v="17"/>
    <s v="NL2018"/>
    <m/>
    <n v="0"/>
    <n v="0"/>
    <x v="72"/>
    <n v="0"/>
    <x v="1"/>
    <d v="2019-03-15T00:00:00"/>
    <x v="5"/>
    <x v="5"/>
    <s v="15/3AL"/>
    <s v="CONT 22/2019"/>
    <d v="2019-04-14T00:00:00"/>
    <s v="R"/>
    <m/>
    <n v="0"/>
    <m/>
    <m/>
    <m/>
    <m/>
    <m/>
    <m/>
    <n v="0"/>
    <n v="0"/>
    <n v="0"/>
    <s v="check lai gia"/>
  </r>
  <r>
    <x v="250"/>
    <d v="2019-02-12T00:00:00"/>
    <s v="KIỀU THY"/>
    <x v="135"/>
    <x v="141"/>
    <x v="13"/>
    <x v="7"/>
    <x v="0"/>
    <x v="5"/>
    <x v="6"/>
    <s v="NL2018"/>
    <m/>
    <n v="7"/>
    <n v="2100"/>
    <x v="72"/>
    <n v="9177000"/>
    <x v="0"/>
    <d v="2019-02-15T00:00:00"/>
    <x v="0"/>
    <x v="0"/>
    <s v="15/2AL"/>
    <s v="CONT 11/2019"/>
    <d v="2019-03-17T00:00:00"/>
    <s v="R"/>
    <d v="2019-03-23T00:00:00"/>
    <n v="2100"/>
    <m/>
    <m/>
    <m/>
    <m/>
    <m/>
    <m/>
    <n v="2100"/>
    <n v="0"/>
    <n v="0"/>
    <m/>
  </r>
  <r>
    <x v="251"/>
    <d v="2019-03-19T00:00:00"/>
    <s v="THANH THÚY"/>
    <x v="136"/>
    <x v="142"/>
    <x v="17"/>
    <x v="9"/>
    <x v="1"/>
    <x v="7"/>
    <x v="8"/>
    <s v="NL2018"/>
    <m/>
    <n v="1"/>
    <n v="400"/>
    <x v="46"/>
    <n v="3400000"/>
    <x v="0"/>
    <d v="2019-03-30T00:00:00"/>
    <x v="34"/>
    <x v="34"/>
    <s v="30/3AL"/>
    <m/>
    <m/>
    <m/>
    <d v="2019-06-05T00:00:00"/>
    <n v="400"/>
    <m/>
    <m/>
    <m/>
    <m/>
    <m/>
    <m/>
    <n v="400"/>
    <n v="0"/>
    <n v="0"/>
    <m/>
  </r>
  <r>
    <x v="251"/>
    <d v="2019-03-19T00:00:00"/>
    <s v="THANH THÚY"/>
    <x v="136"/>
    <x v="142"/>
    <x v="63"/>
    <x v="1"/>
    <x v="0"/>
    <x v="4"/>
    <x v="14"/>
    <s v="NL2018"/>
    <m/>
    <n v="20"/>
    <n v="2500"/>
    <x v="26"/>
    <n v="27000000"/>
    <x v="2"/>
    <d v="2019-09-01T00:00:00"/>
    <x v="2"/>
    <x v="2"/>
    <s v="TẾT"/>
    <m/>
    <m/>
    <m/>
    <m/>
    <m/>
    <m/>
    <m/>
    <m/>
    <m/>
    <m/>
    <m/>
    <n v="0"/>
    <n v="2500"/>
    <n v="27000000"/>
    <m/>
  </r>
  <r>
    <x v="251"/>
    <d v="2019-03-19T00:00:00"/>
    <s v="THANH THÚY"/>
    <x v="136"/>
    <x v="142"/>
    <x v="4"/>
    <x v="3"/>
    <x v="0"/>
    <x v="4"/>
    <x v="14"/>
    <s v="NL2018"/>
    <m/>
    <n v="16"/>
    <n v="2000"/>
    <x v="5"/>
    <n v="21000000"/>
    <x v="2"/>
    <d v="2019-09-01T00:00:00"/>
    <x v="2"/>
    <x v="2"/>
    <s v="TẾT"/>
    <m/>
    <m/>
    <m/>
    <m/>
    <m/>
    <m/>
    <m/>
    <m/>
    <m/>
    <m/>
    <m/>
    <n v="0"/>
    <n v="2000"/>
    <n v="21000000"/>
    <m/>
  </r>
  <r>
    <x v="251"/>
    <d v="2019-03-19T00:00:00"/>
    <s v="THANH THÚY"/>
    <x v="136"/>
    <x v="142"/>
    <x v="115"/>
    <x v="59"/>
    <x v="1"/>
    <x v="7"/>
    <x v="8"/>
    <s v="NL2018"/>
    <m/>
    <n v="8"/>
    <n v="3200"/>
    <x v="20"/>
    <n v="28160000"/>
    <x v="2"/>
    <d v="2019-09-01T00:00:00"/>
    <x v="2"/>
    <x v="2"/>
    <s v="TẾT"/>
    <m/>
    <m/>
    <m/>
    <m/>
    <m/>
    <m/>
    <m/>
    <m/>
    <m/>
    <m/>
    <m/>
    <n v="0"/>
    <n v="3200"/>
    <n v="28160000"/>
    <m/>
  </r>
  <r>
    <x v="251"/>
    <d v="2019-03-19T00:00:00"/>
    <s v="THANH THÚY"/>
    <x v="136"/>
    <x v="142"/>
    <x v="158"/>
    <x v="87"/>
    <x v="0"/>
    <x v="2"/>
    <x v="6"/>
    <s v="NL2018"/>
    <m/>
    <n v="7"/>
    <n v="2100"/>
    <x v="8"/>
    <n v="10500000"/>
    <x v="0"/>
    <d v="2019-03-30T00:00:00"/>
    <x v="34"/>
    <x v="34"/>
    <s v="30/3AL"/>
    <m/>
    <m/>
    <m/>
    <d v="2019-06-05T00:00:00"/>
    <n v="2100"/>
    <m/>
    <m/>
    <m/>
    <m/>
    <m/>
    <m/>
    <n v="2100"/>
    <n v="0"/>
    <n v="0"/>
    <m/>
  </r>
  <r>
    <x v="251"/>
    <d v="2019-03-19T00:00:00"/>
    <s v="THANH THÚY"/>
    <x v="136"/>
    <x v="142"/>
    <x v="178"/>
    <x v="87"/>
    <x v="0"/>
    <x v="1"/>
    <x v="9"/>
    <s v="NL2018"/>
    <m/>
    <n v="14"/>
    <n v="2100"/>
    <x v="188"/>
    <n v="21420000"/>
    <x v="2"/>
    <d v="2019-09-01T00:00:00"/>
    <x v="2"/>
    <x v="2"/>
    <s v="TẾT"/>
    <m/>
    <m/>
    <m/>
    <m/>
    <m/>
    <m/>
    <m/>
    <m/>
    <m/>
    <m/>
    <m/>
    <n v="0"/>
    <n v="2100"/>
    <n v="21420000"/>
    <m/>
  </r>
  <r>
    <x v="251"/>
    <d v="2019-06-11T00:00:00"/>
    <s v="THANH THÚY"/>
    <x v="136"/>
    <x v="142"/>
    <x v="23"/>
    <x v="11"/>
    <x v="0"/>
    <x v="2"/>
    <x v="6"/>
    <s v="NL2018"/>
    <m/>
    <n v="2"/>
    <n v="600"/>
    <x v="10"/>
    <n v="3300000"/>
    <x v="0"/>
    <d v="2019-05-05T00:00:00"/>
    <x v="27"/>
    <x v="27"/>
    <m/>
    <m/>
    <m/>
    <m/>
    <d v="2019-06-11T00:00:00"/>
    <n v="600"/>
    <m/>
    <m/>
    <m/>
    <m/>
    <m/>
    <m/>
    <n v="600"/>
    <n v="0"/>
    <n v="0"/>
    <m/>
  </r>
  <r>
    <x v="251"/>
    <d v="2019-03-19T00:00:00"/>
    <s v="THANH THÚY"/>
    <x v="136"/>
    <x v="142"/>
    <x v="118"/>
    <x v="11"/>
    <x v="0"/>
    <x v="1"/>
    <x v="9"/>
    <s v="NL2018"/>
    <m/>
    <n v="14"/>
    <n v="2100"/>
    <x v="189"/>
    <n v="25410000"/>
    <x v="2"/>
    <d v="2019-09-01T00:00:00"/>
    <x v="2"/>
    <x v="2"/>
    <s v="TẾT"/>
    <m/>
    <m/>
    <m/>
    <m/>
    <m/>
    <m/>
    <m/>
    <m/>
    <m/>
    <m/>
    <m/>
    <n v="0"/>
    <n v="2100"/>
    <n v="25410000"/>
    <m/>
  </r>
  <r>
    <x v="252"/>
    <d v="2019-01-05T00:00:00"/>
    <s v="THANH THÚY"/>
    <x v="137"/>
    <x v="143"/>
    <x v="0"/>
    <x v="0"/>
    <x v="0"/>
    <x v="7"/>
    <x v="8"/>
    <s v="NL2018"/>
    <m/>
    <n v="75"/>
    <n v="30000"/>
    <x v="0"/>
    <n v="78000000"/>
    <x v="0"/>
    <d v="2019-01-15T00:00:00"/>
    <x v="6"/>
    <x v="6"/>
    <s v="15/1AL"/>
    <m/>
    <m/>
    <m/>
    <d v="2019-02-19T00:00:00"/>
    <n v="30000"/>
    <m/>
    <m/>
    <m/>
    <m/>
    <m/>
    <m/>
    <n v="30000"/>
    <n v="0"/>
    <n v="0"/>
    <d v="2020-02-27T00:00:00"/>
  </r>
  <r>
    <x v="252"/>
    <d v="2019-01-05T00:00:00"/>
    <s v="THANH THÚY"/>
    <x v="137"/>
    <x v="143"/>
    <x v="0"/>
    <x v="0"/>
    <x v="0"/>
    <x v="7"/>
    <x v="8"/>
    <s v="NL2018"/>
    <m/>
    <n v="38"/>
    <n v="15200"/>
    <x v="0"/>
    <n v="39520000"/>
    <x v="0"/>
    <d v="2019-02-15T00:00:00"/>
    <x v="0"/>
    <x v="0"/>
    <s v="15/2AL"/>
    <s v="CONT 12/2019"/>
    <m/>
    <m/>
    <d v="2019-03-19T00:00:00"/>
    <n v="15200"/>
    <m/>
    <m/>
    <m/>
    <m/>
    <m/>
    <m/>
    <n v="15200"/>
    <n v="0"/>
    <n v="0"/>
    <d v="2020-02-27T00:00:00"/>
  </r>
  <r>
    <x v="252"/>
    <d v="2019-01-05T00:00:00"/>
    <s v="THANH THÚY"/>
    <x v="137"/>
    <x v="143"/>
    <x v="0"/>
    <x v="0"/>
    <x v="0"/>
    <x v="7"/>
    <x v="8"/>
    <s v="NL2018"/>
    <m/>
    <n v="38"/>
    <n v="15200"/>
    <x v="0"/>
    <n v="39520000"/>
    <x v="0"/>
    <s v="29-Feb-19"/>
    <x v="10"/>
    <x v="10"/>
    <s v="28/2AL"/>
    <s v="CONT 15/2019"/>
    <m/>
    <m/>
    <d v="2019-04-05T00:00:00"/>
    <n v="15200"/>
    <m/>
    <m/>
    <m/>
    <m/>
    <m/>
    <m/>
    <n v="15200"/>
    <n v="0"/>
    <n v="0"/>
    <d v="2020-03-27T00:00:00"/>
  </r>
  <r>
    <x v="252"/>
    <d v="2019-01-05T00:00:00"/>
    <s v="THANH THÚY"/>
    <x v="137"/>
    <x v="143"/>
    <x v="0"/>
    <x v="0"/>
    <x v="0"/>
    <x v="7"/>
    <x v="8"/>
    <s v="NL2018"/>
    <m/>
    <n v="75"/>
    <n v="30000"/>
    <x v="0"/>
    <n v="78000000"/>
    <x v="0"/>
    <d v="2019-03-15T00:00:00"/>
    <x v="5"/>
    <x v="5"/>
    <s v="15/3AL"/>
    <s v="CONT 24/2019"/>
    <m/>
    <m/>
    <d v="2019-04-17T00:00:00"/>
    <n v="15200"/>
    <d v="2019-05-06T00:00:00"/>
    <n v="14800"/>
    <m/>
    <m/>
    <m/>
    <m/>
    <n v="30000"/>
    <n v="0"/>
    <n v="0"/>
    <d v="2020-03-27T00:00:00"/>
  </r>
  <r>
    <x v="252"/>
    <d v="2019-06-18T00:00:00"/>
    <s v="THANH THÚY"/>
    <x v="137"/>
    <x v="143"/>
    <x v="74"/>
    <x v="0"/>
    <x v="0"/>
    <x v="2"/>
    <x v="6"/>
    <s v="NL2018"/>
    <m/>
    <n v="17"/>
    <n v="5100"/>
    <x v="57"/>
    <n v="19890000"/>
    <x v="0"/>
    <d v="2019-06-18T00:00:00"/>
    <x v="57"/>
    <x v="57"/>
    <m/>
    <m/>
    <m/>
    <m/>
    <d v="2019-06-18T00:00:00"/>
    <n v="5100"/>
    <m/>
    <m/>
    <m/>
    <m/>
    <m/>
    <m/>
    <n v="5100"/>
    <n v="0"/>
    <n v="0"/>
    <m/>
  </r>
  <r>
    <x v="252"/>
    <d v="2019-01-05T00:00:00"/>
    <s v="THANH THÚY"/>
    <x v="137"/>
    <x v="143"/>
    <x v="0"/>
    <x v="0"/>
    <x v="0"/>
    <x v="7"/>
    <x v="8"/>
    <s v="NL2018"/>
    <m/>
    <n v="0"/>
    <n v="0"/>
    <x v="190"/>
    <n v="0"/>
    <x v="1"/>
    <d v="2019-05-15T00:00:00"/>
    <x v="69"/>
    <x v="69"/>
    <s v="15/5AL"/>
    <m/>
    <m/>
    <m/>
    <m/>
    <m/>
    <m/>
    <m/>
    <m/>
    <m/>
    <m/>
    <m/>
    <n v="0"/>
    <n v="0"/>
    <n v="0"/>
    <d v="2020-03-27T00:00:00"/>
  </r>
  <r>
    <x v="252"/>
    <d v="2019-06-14T00:00:00"/>
    <s v="THANH THÚY"/>
    <x v="137"/>
    <x v="143"/>
    <x v="74"/>
    <x v="0"/>
    <x v="0"/>
    <x v="2"/>
    <x v="6"/>
    <s v="NL2018"/>
    <m/>
    <n v="67"/>
    <n v="20100"/>
    <x v="45"/>
    <n v="80400000"/>
    <x v="3"/>
    <d v="2019-06-15T00:00:00"/>
    <x v="4"/>
    <x v="4"/>
    <m/>
    <m/>
    <m/>
    <m/>
    <m/>
    <m/>
    <m/>
    <m/>
    <m/>
    <m/>
    <m/>
    <m/>
    <n v="0"/>
    <n v="20100"/>
    <n v="80400000"/>
    <m/>
  </r>
  <r>
    <x v="252"/>
    <d v="2019-05-28T00:00:00"/>
    <s v="THANH THÚY"/>
    <x v="137"/>
    <x v="143"/>
    <x v="74"/>
    <x v="0"/>
    <x v="0"/>
    <x v="2"/>
    <x v="6"/>
    <s v="NL2018"/>
    <m/>
    <n v="50"/>
    <n v="15000"/>
    <x v="57"/>
    <n v="58500000"/>
    <x v="4"/>
    <d v="2019-05-18T00:00:00"/>
    <x v="3"/>
    <x v="3"/>
    <m/>
    <m/>
    <m/>
    <m/>
    <d v="2019-06-20T00:00:00"/>
    <n v="10200"/>
    <m/>
    <m/>
    <m/>
    <m/>
    <m/>
    <m/>
    <n v="10200"/>
    <n v="4800"/>
    <n v="18720000"/>
    <m/>
  </r>
  <r>
    <x v="252"/>
    <d v="2019-01-05T00:00:00"/>
    <s v="THANH THÚY"/>
    <x v="137"/>
    <x v="143"/>
    <x v="74"/>
    <x v="0"/>
    <x v="0"/>
    <x v="2"/>
    <x v="6"/>
    <s v="NL2018"/>
    <m/>
    <n v="0"/>
    <n v="0"/>
    <x v="77"/>
    <n v="0"/>
    <x v="1"/>
    <m/>
    <x v="35"/>
    <x v="35"/>
    <m/>
    <m/>
    <m/>
    <m/>
    <m/>
    <n v="0"/>
    <m/>
    <m/>
    <m/>
    <m/>
    <m/>
    <m/>
    <n v="0"/>
    <n v="0"/>
    <n v="0"/>
    <d v="2020-03-27T00:00:00"/>
  </r>
  <r>
    <x v="252"/>
    <d v="2019-01-05T00:00:00"/>
    <s v="THANH THÚY"/>
    <x v="137"/>
    <x v="143"/>
    <x v="0"/>
    <x v="0"/>
    <x v="0"/>
    <x v="7"/>
    <x v="8"/>
    <s v="NL2018"/>
    <m/>
    <n v="75"/>
    <n v="30000"/>
    <x v="1"/>
    <n v="81000000"/>
    <x v="0"/>
    <d v="2019-04-17T00:00:00"/>
    <x v="1"/>
    <x v="1"/>
    <s v="29/4AL"/>
    <m/>
    <m/>
    <m/>
    <m/>
    <n v="14800"/>
    <d v="2019-05-31T00:00:00"/>
    <n v="15200"/>
    <m/>
    <m/>
    <m/>
    <m/>
    <n v="30000"/>
    <n v="0"/>
    <n v="0"/>
    <d v="2020-03-27T00:00:00"/>
  </r>
  <r>
    <x v="252"/>
    <d v="2019-01-05T00:00:00"/>
    <s v="THANH THÚY"/>
    <x v="137"/>
    <x v="143"/>
    <x v="17"/>
    <x v="9"/>
    <x v="1"/>
    <x v="7"/>
    <x v="8"/>
    <s v="NL2018"/>
    <m/>
    <n v="0"/>
    <n v="0"/>
    <x v="9"/>
    <n v="0"/>
    <x v="1"/>
    <d v="2019-01-19T00:00:00"/>
    <x v="76"/>
    <x v="76"/>
    <s v="23/1AL. Kh chưa lấy"/>
    <m/>
    <m/>
    <m/>
    <m/>
    <n v="0"/>
    <m/>
    <m/>
    <m/>
    <m/>
    <m/>
    <m/>
    <n v="0"/>
    <n v="0"/>
    <n v="0"/>
    <d v="2020-03-27T00:00:00"/>
  </r>
  <r>
    <x v="252"/>
    <d v="2019-01-05T00:00:00"/>
    <s v="THANH THÚY"/>
    <x v="137"/>
    <x v="143"/>
    <x v="17"/>
    <x v="9"/>
    <x v="1"/>
    <x v="7"/>
    <x v="8"/>
    <s v="NL2018"/>
    <m/>
    <n v="5"/>
    <n v="2000"/>
    <x v="9"/>
    <n v="16000000"/>
    <x v="0"/>
    <d v="2019-01-19T00:00:00"/>
    <x v="76"/>
    <x v="76"/>
    <s v="23/1AL"/>
    <m/>
    <m/>
    <m/>
    <d v="2019-02-27T00:00:00"/>
    <n v="2000"/>
    <m/>
    <m/>
    <m/>
    <m/>
    <m/>
    <m/>
    <n v="2000"/>
    <n v="0"/>
    <n v="0"/>
    <d v="2020-03-27T00:00:00"/>
  </r>
  <r>
    <x v="252"/>
    <d v="2019-01-05T00:00:00"/>
    <s v="THANH THÚY"/>
    <x v="137"/>
    <x v="143"/>
    <x v="25"/>
    <x v="12"/>
    <x v="0"/>
    <x v="3"/>
    <x v="5"/>
    <s v="NL2018"/>
    <m/>
    <n v="25"/>
    <n v="5000"/>
    <x v="10"/>
    <n v="27500000"/>
    <x v="0"/>
    <d v="2019-01-19T00:00:00"/>
    <x v="76"/>
    <x v="76"/>
    <s v="23/1AL"/>
    <m/>
    <m/>
    <m/>
    <d v="2019-02-27T00:00:00"/>
    <n v="5000"/>
    <m/>
    <m/>
    <m/>
    <m/>
    <m/>
    <m/>
    <n v="5000"/>
    <n v="0"/>
    <n v="0"/>
    <d v="2020-03-27T00:00:00"/>
  </r>
  <r>
    <x v="252"/>
    <d v="2019-01-05T00:00:00"/>
    <s v="THANH THÚY"/>
    <x v="137"/>
    <x v="143"/>
    <x v="25"/>
    <x v="12"/>
    <x v="0"/>
    <x v="3"/>
    <x v="5"/>
    <s v="NL2018"/>
    <m/>
    <n v="25"/>
    <n v="5000"/>
    <x v="10"/>
    <n v="27500000"/>
    <x v="0"/>
    <d v="2019-01-19T00:00:00"/>
    <x v="76"/>
    <x v="76"/>
    <s v="23/1AL"/>
    <m/>
    <m/>
    <m/>
    <d v="2019-03-14T00:00:00"/>
    <n v="5000"/>
    <m/>
    <m/>
    <m/>
    <m/>
    <m/>
    <m/>
    <n v="5000"/>
    <n v="0"/>
    <n v="0"/>
    <d v="2020-03-27T00:00:00"/>
  </r>
  <r>
    <x v="252"/>
    <d v="2019-01-05T00:00:00"/>
    <s v="THANH THÚY"/>
    <x v="137"/>
    <x v="143"/>
    <x v="25"/>
    <x v="12"/>
    <x v="0"/>
    <x v="3"/>
    <x v="5"/>
    <s v="NL2018"/>
    <m/>
    <n v="50"/>
    <n v="10000"/>
    <x v="10"/>
    <n v="55000000"/>
    <x v="0"/>
    <s v="29-Feb-19"/>
    <x v="10"/>
    <x v="10"/>
    <s v="28/2AL"/>
    <s v="CONT 15/2019"/>
    <m/>
    <m/>
    <d v="2019-04-05T00:00:00"/>
    <n v="5000"/>
    <d v="2019-05-06T00:00:00"/>
    <n v="5000"/>
    <m/>
    <m/>
    <m/>
    <m/>
    <n v="10000"/>
    <n v="0"/>
    <n v="0"/>
    <d v="2020-03-27T00:00:00"/>
  </r>
  <r>
    <x v="253"/>
    <d v="2019-05-19T00:00:00"/>
    <s v="THANH THÚY"/>
    <x v="137"/>
    <x v="143"/>
    <x v="4"/>
    <x v="3"/>
    <x v="0"/>
    <x v="4"/>
    <x v="14"/>
    <s v="NL2018"/>
    <m/>
    <n v="80"/>
    <n v="10000"/>
    <x v="33"/>
    <n v="107000000"/>
    <x v="2"/>
    <d v="2019-09-01T00:00:00"/>
    <x v="2"/>
    <x v="2"/>
    <s v="TẾT"/>
    <m/>
    <m/>
    <m/>
    <m/>
    <m/>
    <m/>
    <m/>
    <m/>
    <m/>
    <m/>
    <m/>
    <n v="0"/>
    <n v="10000"/>
    <n v="107000000"/>
    <m/>
  </r>
  <r>
    <x v="252"/>
    <d v="2019-01-05T00:00:00"/>
    <s v="THANH THÚY"/>
    <x v="137"/>
    <x v="143"/>
    <x v="11"/>
    <x v="6"/>
    <x v="0"/>
    <x v="3"/>
    <x v="5"/>
    <s v="NL2018"/>
    <m/>
    <n v="90"/>
    <n v="18000"/>
    <x v="31"/>
    <n v="120600000"/>
    <x v="4"/>
    <s v="29-Feb-19"/>
    <x v="10"/>
    <x v="10"/>
    <s v="28/2AL"/>
    <s v="CONT 17/2019"/>
    <m/>
    <m/>
    <d v="2019-05-17T00:00:00"/>
    <n v="8000"/>
    <m/>
    <m/>
    <m/>
    <m/>
    <m/>
    <m/>
    <n v="8000"/>
    <n v="10000"/>
    <n v="67000000"/>
    <d v="2020-03-27T00:00:00"/>
  </r>
  <r>
    <x v="252"/>
    <d v="2019-01-05T00:00:00"/>
    <s v="THANH THÚY"/>
    <x v="137"/>
    <x v="143"/>
    <x v="26"/>
    <x v="13"/>
    <x v="0"/>
    <x v="3"/>
    <x v="5"/>
    <s v="NL2018"/>
    <m/>
    <n v="0"/>
    <n v="0"/>
    <x v="32"/>
    <n v="0"/>
    <x v="1"/>
    <d v="2019-03-15T00:00:00"/>
    <x v="5"/>
    <x v="5"/>
    <m/>
    <m/>
    <m/>
    <m/>
    <m/>
    <m/>
    <m/>
    <m/>
    <m/>
    <m/>
    <m/>
    <m/>
    <n v="0"/>
    <n v="0"/>
    <n v="0"/>
    <m/>
  </r>
  <r>
    <x v="252"/>
    <d v="2019-01-05T00:00:00"/>
    <s v="THANH THÚY"/>
    <x v="137"/>
    <x v="143"/>
    <x v="88"/>
    <x v="13"/>
    <x v="0"/>
    <x v="5"/>
    <x v="6"/>
    <s v="NL2018"/>
    <m/>
    <n v="34"/>
    <n v="10200"/>
    <x v="57"/>
    <n v="39780000"/>
    <x v="0"/>
    <d v="2019-01-15T00:00:00"/>
    <x v="6"/>
    <x v="6"/>
    <s v="15/1AL"/>
    <m/>
    <m/>
    <m/>
    <d v="2019-05-19T00:00:00"/>
    <n v="10200"/>
    <m/>
    <m/>
    <m/>
    <m/>
    <m/>
    <m/>
    <n v="10200"/>
    <n v="0"/>
    <n v="0"/>
    <d v="2020-02-27T00:00:00"/>
  </r>
  <r>
    <x v="252"/>
    <d v="2019-01-05T00:00:00"/>
    <s v="THANH THÚY"/>
    <x v="137"/>
    <x v="143"/>
    <x v="88"/>
    <x v="13"/>
    <x v="0"/>
    <x v="5"/>
    <x v="6"/>
    <s v="NL2018"/>
    <m/>
    <n v="34"/>
    <n v="10200"/>
    <x v="57"/>
    <n v="39780000"/>
    <x v="0"/>
    <d v="2019-02-15T00:00:00"/>
    <x v="0"/>
    <x v="0"/>
    <s v="15/2AL"/>
    <s v="CONT 10/2019"/>
    <m/>
    <m/>
    <d v="2019-03-19T00:00:00"/>
    <n v="5100"/>
    <d v="2019-03-29T00:00:00"/>
    <n v="5100"/>
    <m/>
    <m/>
    <m/>
    <m/>
    <n v="10200"/>
    <n v="0"/>
    <n v="0"/>
    <d v="2020-02-27T00:00:00"/>
  </r>
  <r>
    <x v="252"/>
    <d v="2019-01-05T00:00:00"/>
    <s v="THANH THÚY"/>
    <x v="137"/>
    <x v="143"/>
    <x v="88"/>
    <x v="13"/>
    <x v="0"/>
    <x v="5"/>
    <x v="6"/>
    <s v="NL2018"/>
    <m/>
    <n v="0"/>
    <n v="0"/>
    <x v="57"/>
    <n v="0"/>
    <x v="1"/>
    <d v="2019-04-15T00:00:00"/>
    <x v="32"/>
    <x v="32"/>
    <s v="15/4AL"/>
    <m/>
    <m/>
    <m/>
    <m/>
    <m/>
    <m/>
    <m/>
    <m/>
    <m/>
    <m/>
    <m/>
    <n v="0"/>
    <n v="0"/>
    <n v="0"/>
    <d v="2020-03-27T00:00:00"/>
  </r>
  <r>
    <x v="252"/>
    <d v="2019-01-05T00:00:00"/>
    <s v="THANH THÚY"/>
    <x v="137"/>
    <x v="143"/>
    <x v="88"/>
    <x v="13"/>
    <x v="0"/>
    <x v="5"/>
    <x v="6"/>
    <s v="NL2018"/>
    <m/>
    <n v="34"/>
    <n v="10200"/>
    <x v="57"/>
    <n v="39780000"/>
    <x v="0"/>
    <s v="29-Feb-19"/>
    <x v="10"/>
    <x v="10"/>
    <s v="28/2AL"/>
    <s v="CONT 18/2019"/>
    <m/>
    <m/>
    <d v="2019-05-19T00:00:00"/>
    <n v="10200"/>
    <m/>
    <m/>
    <m/>
    <m/>
    <m/>
    <m/>
    <n v="10200"/>
    <n v="0"/>
    <n v="0"/>
    <d v="2020-03-27T00:00:00"/>
  </r>
  <r>
    <x v="252"/>
    <d v="2019-05-16T00:00:00"/>
    <s v="THANH THÚY"/>
    <x v="137"/>
    <x v="143"/>
    <x v="69"/>
    <x v="13"/>
    <x v="0"/>
    <x v="2"/>
    <x v="6"/>
    <s v="NL2018"/>
    <m/>
    <n v="33"/>
    <n v="9900"/>
    <x v="45"/>
    <n v="39600000"/>
    <x v="4"/>
    <d v="2019-04-29T00:00:00"/>
    <x v="11"/>
    <x v="11"/>
    <m/>
    <m/>
    <m/>
    <m/>
    <d v="2019-06-12T00:00:00"/>
    <n v="5100"/>
    <m/>
    <m/>
    <m/>
    <m/>
    <m/>
    <m/>
    <n v="5100"/>
    <n v="4800"/>
    <n v="19200000"/>
    <m/>
  </r>
  <r>
    <x v="252"/>
    <d v="2019-01-05T00:00:00"/>
    <s v="THANH THÚY"/>
    <x v="137"/>
    <x v="143"/>
    <x v="69"/>
    <x v="13"/>
    <x v="0"/>
    <x v="2"/>
    <x v="6"/>
    <s v="NL2018"/>
    <m/>
    <n v="34"/>
    <n v="10200"/>
    <x v="45"/>
    <n v="40800000"/>
    <x v="0"/>
    <d v="2019-04-17T00:00:00"/>
    <x v="1"/>
    <x v="1"/>
    <s v="29/4AL"/>
    <m/>
    <m/>
    <m/>
    <d v="2019-04-17T00:00:00"/>
    <n v="10200"/>
    <m/>
    <m/>
    <m/>
    <m/>
    <m/>
    <m/>
    <n v="10200"/>
    <n v="0"/>
    <n v="0"/>
    <d v="2020-03-27T00:00:00"/>
  </r>
  <r>
    <x v="252"/>
    <d v="2019-01-05T00:00:00"/>
    <s v="THANH THÚY"/>
    <x v="137"/>
    <x v="143"/>
    <x v="69"/>
    <x v="13"/>
    <x v="0"/>
    <x v="2"/>
    <x v="6"/>
    <s v="NL2018"/>
    <m/>
    <n v="34"/>
    <n v="10200"/>
    <x v="45"/>
    <n v="40800000"/>
    <x v="3"/>
    <d v="2019-06-15T00:00:00"/>
    <x v="4"/>
    <x v="4"/>
    <s v="15/5AL"/>
    <m/>
    <m/>
    <m/>
    <m/>
    <m/>
    <m/>
    <m/>
    <m/>
    <m/>
    <m/>
    <m/>
    <n v="0"/>
    <n v="10200"/>
    <n v="40800000"/>
    <d v="2020-03-27T00:00:00"/>
  </r>
  <r>
    <x v="253"/>
    <d v="2019-05-19T00:00:00"/>
    <s v="THANH THÚY"/>
    <x v="137"/>
    <x v="143"/>
    <x v="179"/>
    <x v="13"/>
    <x v="0"/>
    <x v="4"/>
    <x v="14"/>
    <s v="NL2018"/>
    <m/>
    <n v="120"/>
    <n v="15000"/>
    <x v="150"/>
    <n v="142500000"/>
    <x v="2"/>
    <d v="2019-09-01T00:00:00"/>
    <x v="2"/>
    <x v="2"/>
    <s v="TẾT"/>
    <m/>
    <m/>
    <m/>
    <m/>
    <m/>
    <m/>
    <m/>
    <m/>
    <m/>
    <m/>
    <m/>
    <n v="0"/>
    <n v="15000"/>
    <n v="142500000"/>
    <m/>
  </r>
  <r>
    <x v="252"/>
    <d v="2019-01-05T00:00:00"/>
    <s v="THANH THÚY"/>
    <x v="137"/>
    <x v="143"/>
    <x v="69"/>
    <x v="13"/>
    <x v="0"/>
    <x v="2"/>
    <x v="6"/>
    <s v="NL2018"/>
    <m/>
    <n v="100"/>
    <n v="30000"/>
    <x v="45"/>
    <n v="120000000"/>
    <x v="2"/>
    <m/>
    <x v="35"/>
    <x v="35"/>
    <m/>
    <m/>
    <m/>
    <m/>
    <m/>
    <m/>
    <m/>
    <m/>
    <m/>
    <m/>
    <m/>
    <m/>
    <n v="0"/>
    <n v="30000"/>
    <n v="120000000"/>
    <d v="2020-03-27T00:00:00"/>
  </r>
  <r>
    <x v="252"/>
    <d v="2019-01-05T00:00:00"/>
    <s v="THANH THÚY"/>
    <x v="137"/>
    <x v="143"/>
    <x v="26"/>
    <x v="13"/>
    <x v="0"/>
    <x v="3"/>
    <x v="5"/>
    <s v="NL2018"/>
    <m/>
    <n v="103"/>
    <n v="20600"/>
    <x v="8"/>
    <n v="103000000"/>
    <x v="2"/>
    <m/>
    <x v="35"/>
    <x v="35"/>
    <s v="T6AL bắt đầu về hàng size lớn"/>
    <m/>
    <m/>
    <m/>
    <m/>
    <n v="0"/>
    <m/>
    <m/>
    <m/>
    <m/>
    <m/>
    <m/>
    <n v="0"/>
    <n v="20600"/>
    <n v="103000000"/>
    <d v="2020-03-27T00:00:00"/>
  </r>
  <r>
    <x v="253"/>
    <d v="2019-04-03T00:00:00"/>
    <s v="THANH THÚY"/>
    <x v="137"/>
    <x v="143"/>
    <x v="7"/>
    <x v="4"/>
    <x v="0"/>
    <x v="4"/>
    <x v="14"/>
    <s v="NL2018"/>
    <m/>
    <n v="120"/>
    <n v="15000"/>
    <x v="5"/>
    <n v="157500000"/>
    <x v="2"/>
    <d v="2019-09-01T00:00:00"/>
    <x v="2"/>
    <x v="2"/>
    <s v="TẾT"/>
    <m/>
    <m/>
    <m/>
    <m/>
    <m/>
    <m/>
    <m/>
    <m/>
    <m/>
    <m/>
    <m/>
    <n v="0"/>
    <n v="15000"/>
    <n v="157500000"/>
    <m/>
  </r>
  <r>
    <x v="254"/>
    <d v="2019-02-25T00:00:00"/>
    <s v="KIỀU THY"/>
    <x v="138"/>
    <x v="144"/>
    <x v="74"/>
    <x v="0"/>
    <x v="0"/>
    <x v="2"/>
    <x v="6"/>
    <s v="NL2018"/>
    <m/>
    <n v="65"/>
    <n v="19500"/>
    <x v="77"/>
    <n v="74100000"/>
    <x v="0"/>
    <d v="2019-02-28T00:00:00"/>
    <x v="16"/>
    <x v="16"/>
    <s v="28/2 AL"/>
    <s v="CONT 18/2019"/>
    <d v="2019-03-31T00:00:00"/>
    <s v="08/03/2019 KH THANH TOÁN"/>
    <d v="2019-04-03T00:00:00"/>
    <n v="19500"/>
    <m/>
    <m/>
    <m/>
    <m/>
    <m/>
    <m/>
    <n v="19500"/>
    <n v="0"/>
    <n v="0"/>
    <m/>
  </r>
  <r>
    <x v="254"/>
    <d v="2019-02-25T00:00:00"/>
    <s v="KIỀU THY"/>
    <x v="138"/>
    <x v="144"/>
    <x v="32"/>
    <x v="18"/>
    <x v="0"/>
    <x v="2"/>
    <x v="6"/>
    <s v="NL2018"/>
    <m/>
    <n v="45"/>
    <n v="13500"/>
    <x v="37"/>
    <n v="55350000"/>
    <x v="0"/>
    <d v="2019-02-28T00:00:00"/>
    <x v="16"/>
    <x v="16"/>
    <s v="28/2 AL"/>
    <s v="CONT 15/2019"/>
    <d v="2019-03-31T00:00:00"/>
    <s v="08/03/2019 KH THANH TOÁN"/>
    <d v="2019-04-03T00:00:00"/>
    <n v="13500"/>
    <m/>
    <m/>
    <m/>
    <m/>
    <m/>
    <m/>
    <n v="13500"/>
    <n v="0"/>
    <n v="0"/>
    <m/>
  </r>
  <r>
    <x v="255"/>
    <d v="2019-05-08T00:00:00"/>
    <s v="KIỀU THY"/>
    <x v="139"/>
    <x v="145"/>
    <x v="4"/>
    <x v="3"/>
    <x v="0"/>
    <x v="4"/>
    <x v="4"/>
    <s v="NL2018"/>
    <m/>
    <n v="80"/>
    <n v="10000"/>
    <x v="33"/>
    <n v="107000000"/>
    <x v="2"/>
    <d v="2019-09-01T00:00:00"/>
    <x v="2"/>
    <x v="2"/>
    <s v="TẾT"/>
    <m/>
    <m/>
    <m/>
    <m/>
    <m/>
    <m/>
    <m/>
    <m/>
    <m/>
    <m/>
    <m/>
    <n v="0"/>
    <n v="10000"/>
    <n v="107000000"/>
    <m/>
  </r>
  <r>
    <x v="256"/>
    <d v="2019-04-29T00:00:00"/>
    <s v="KIỀU THY"/>
    <x v="139"/>
    <x v="145"/>
    <x v="78"/>
    <x v="6"/>
    <x v="0"/>
    <x v="2"/>
    <x v="21"/>
    <s v="NL2018"/>
    <m/>
    <n v="20"/>
    <n v="5500"/>
    <x v="8"/>
    <n v="27500000"/>
    <x v="0"/>
    <d v="2019-04-17T00:00:00"/>
    <x v="1"/>
    <x v="1"/>
    <s v="30/3AL"/>
    <m/>
    <m/>
    <m/>
    <d v="2019-06-12T00:00:00"/>
    <n v="5500"/>
    <m/>
    <m/>
    <m/>
    <m/>
    <m/>
    <m/>
    <n v="5500"/>
    <n v="0"/>
    <n v="0"/>
    <m/>
  </r>
  <r>
    <x v="255"/>
    <d v="2019-06-13T00:00:00"/>
    <s v="KIỀU THY"/>
    <x v="139"/>
    <x v="145"/>
    <x v="14"/>
    <x v="4"/>
    <x v="0"/>
    <x v="6"/>
    <x v="13"/>
    <s v="NL2018"/>
    <m/>
    <n v="125"/>
    <n v="10000"/>
    <x v="15"/>
    <n v="152000000"/>
    <x v="2"/>
    <d v="2019-09-01T00:00:00"/>
    <x v="2"/>
    <x v="2"/>
    <s v="TẾT"/>
    <m/>
    <m/>
    <m/>
    <m/>
    <m/>
    <m/>
    <m/>
    <m/>
    <m/>
    <m/>
    <m/>
    <n v="0"/>
    <n v="10000"/>
    <n v="152000000"/>
    <m/>
  </r>
  <r>
    <x v="257"/>
    <d v="2019-02-27T00:00:00"/>
    <s v="KIỀU THY"/>
    <x v="140"/>
    <x v="146"/>
    <x v="83"/>
    <x v="2"/>
    <x v="0"/>
    <x v="3"/>
    <x v="5"/>
    <s v="NL2018"/>
    <m/>
    <n v="50"/>
    <n v="10000"/>
    <x v="8"/>
    <n v="50000000"/>
    <x v="0"/>
    <d v="2019-03-15T00:00:00"/>
    <x v="5"/>
    <x v="5"/>
    <s v="15/3AL"/>
    <s v="CONT 27/2019"/>
    <d v="2019-04-14T00:00:00"/>
    <m/>
    <d v="2019-05-18T00:00:00"/>
    <n v="10000"/>
    <m/>
    <m/>
    <m/>
    <m/>
    <m/>
    <m/>
    <n v="10000"/>
    <n v="0"/>
    <n v="0"/>
    <s v="check lai gia"/>
  </r>
  <r>
    <x v="258"/>
    <d v="2019-05-07T00:00:00"/>
    <s v="KIỀU THY"/>
    <x v="140"/>
    <x v="146"/>
    <x v="55"/>
    <x v="97"/>
    <x v="0"/>
    <x v="8"/>
    <x v="11"/>
    <s v="NZ2019"/>
    <m/>
    <n v="180"/>
    <n v="18000"/>
    <x v="61"/>
    <n v="243000000"/>
    <x v="2"/>
    <d v="2019-09-01T00:00:00"/>
    <x v="2"/>
    <x v="2"/>
    <s v="TẾT"/>
    <m/>
    <m/>
    <m/>
    <m/>
    <m/>
    <m/>
    <m/>
    <m/>
    <m/>
    <m/>
    <m/>
    <n v="0"/>
    <n v="18000"/>
    <n v="243000000"/>
    <m/>
  </r>
  <r>
    <x v="258"/>
    <d v="2019-05-02T00:00:00"/>
    <s v="KIỀU THY"/>
    <x v="140"/>
    <x v="146"/>
    <x v="22"/>
    <x v="3"/>
    <x v="0"/>
    <x v="8"/>
    <x v="11"/>
    <s v="NL2018"/>
    <m/>
    <n v="100"/>
    <n v="10000"/>
    <x v="191"/>
    <n v="137000000"/>
    <x v="2"/>
    <d v="2019-09-01T00:00:00"/>
    <x v="2"/>
    <x v="2"/>
    <s v="TẾT"/>
    <m/>
    <m/>
    <m/>
    <m/>
    <m/>
    <m/>
    <m/>
    <m/>
    <m/>
    <m/>
    <m/>
    <n v="0"/>
    <n v="10000"/>
    <n v="137000000"/>
    <m/>
  </r>
  <r>
    <x v="258"/>
    <d v="2019-05-20T00:00:00"/>
    <s v="KIỀU THY"/>
    <x v="140"/>
    <x v="146"/>
    <x v="137"/>
    <x v="3"/>
    <x v="0"/>
    <x v="6"/>
    <x v="7"/>
    <s v="NL2018"/>
    <m/>
    <n v="88"/>
    <n v="7040"/>
    <x v="85"/>
    <n v="107712000"/>
    <x v="2"/>
    <d v="2019-09-01T00:00:00"/>
    <x v="2"/>
    <x v="2"/>
    <s v="TẾT"/>
    <m/>
    <m/>
    <m/>
    <m/>
    <m/>
    <m/>
    <m/>
    <m/>
    <m/>
    <m/>
    <m/>
    <n v="0"/>
    <n v="7040"/>
    <n v="107712000"/>
    <m/>
  </r>
  <r>
    <x v="257"/>
    <d v="2019-02-27T00:00:00"/>
    <s v="KIỀU THY"/>
    <x v="140"/>
    <x v="146"/>
    <x v="5"/>
    <x v="3"/>
    <x v="0"/>
    <x v="1"/>
    <x v="9"/>
    <s v="NL2018"/>
    <m/>
    <n v="200"/>
    <n v="30000"/>
    <x v="73"/>
    <n v="189000000"/>
    <x v="0"/>
    <d v="2019-03-15T00:00:00"/>
    <x v="5"/>
    <x v="5"/>
    <s v="15/3AL"/>
    <s v="CONT 25/2019"/>
    <d v="2019-04-14T00:00:00"/>
    <m/>
    <d v="2019-05-02T00:00:00"/>
    <n v="10050"/>
    <d v="2019-05-06T00:00:00"/>
    <n v="19950"/>
    <m/>
    <m/>
    <m/>
    <m/>
    <n v="30000"/>
    <n v="0"/>
    <n v="0"/>
    <m/>
  </r>
  <r>
    <x v="257"/>
    <d v="2019-05-07T00:00:00"/>
    <s v="KIỀU THY"/>
    <x v="140"/>
    <x v="146"/>
    <x v="3"/>
    <x v="3"/>
    <x v="0"/>
    <x v="3"/>
    <x v="5"/>
    <s v="NL2018"/>
    <m/>
    <n v="150"/>
    <n v="30000"/>
    <x v="6"/>
    <n v="162000000"/>
    <x v="0"/>
    <d v="2019-04-17T00:00:00"/>
    <x v="1"/>
    <x v="1"/>
    <s v="29/4AL"/>
    <m/>
    <m/>
    <m/>
    <m/>
    <m/>
    <m/>
    <m/>
    <m/>
    <m/>
    <m/>
    <m/>
    <n v="0"/>
    <n v="30000"/>
    <n v="162000000"/>
    <m/>
  </r>
  <r>
    <x v="257"/>
    <d v="2019-05-06T00:00:00"/>
    <s v="KIỀU THY"/>
    <x v="140"/>
    <x v="146"/>
    <x v="3"/>
    <x v="3"/>
    <x v="0"/>
    <x v="3"/>
    <x v="5"/>
    <s v="NL2018"/>
    <m/>
    <n v="500"/>
    <n v="100000"/>
    <x v="10"/>
    <n v="550000000"/>
    <x v="4"/>
    <d v="2019-05-18T00:00:00"/>
    <x v="3"/>
    <x v="3"/>
    <s v="25/5AL"/>
    <m/>
    <m/>
    <m/>
    <m/>
    <m/>
    <m/>
    <m/>
    <m/>
    <m/>
    <m/>
    <m/>
    <n v="0"/>
    <n v="100000"/>
    <n v="550000000"/>
    <m/>
  </r>
  <r>
    <x v="257"/>
    <d v="2019-02-27T00:00:00"/>
    <s v="KIỀU THY"/>
    <x v="140"/>
    <x v="146"/>
    <x v="11"/>
    <x v="6"/>
    <x v="0"/>
    <x v="3"/>
    <x v="5"/>
    <s v="NL2018"/>
    <m/>
    <n v="50"/>
    <n v="10000"/>
    <x v="31"/>
    <n v="67000000"/>
    <x v="0"/>
    <d v="2019-03-15T00:00:00"/>
    <x v="5"/>
    <x v="5"/>
    <s v="15/3AL"/>
    <s v="CONT 23/2019"/>
    <d v="2019-04-14T00:00:00"/>
    <m/>
    <d v="2019-05-18T00:00:00"/>
    <n v="10000"/>
    <m/>
    <m/>
    <m/>
    <m/>
    <m/>
    <m/>
    <n v="10000"/>
    <n v="0"/>
    <n v="0"/>
    <m/>
  </r>
  <r>
    <x v="257"/>
    <d v="2019-06-11T00:00:00"/>
    <s v="KIỀU THY"/>
    <x v="140"/>
    <x v="146"/>
    <x v="43"/>
    <x v="24"/>
    <x v="0"/>
    <x v="3"/>
    <x v="5"/>
    <s v="NL2018"/>
    <m/>
    <n v="15"/>
    <n v="3000"/>
    <x v="83"/>
    <n v="19200000"/>
    <x v="3"/>
    <d v="2019-06-15T00:00:00"/>
    <x v="4"/>
    <x v="4"/>
    <m/>
    <m/>
    <m/>
    <m/>
    <m/>
    <m/>
    <m/>
    <m/>
    <m/>
    <m/>
    <m/>
    <m/>
    <n v="0"/>
    <n v="3000"/>
    <n v="19200000"/>
    <m/>
  </r>
  <r>
    <x v="258"/>
    <d v="2019-05-02T00:00:00"/>
    <s v="KIỀU THY"/>
    <x v="140"/>
    <x v="146"/>
    <x v="64"/>
    <x v="32"/>
    <x v="0"/>
    <x v="8"/>
    <x v="11"/>
    <s v="NL2018"/>
    <m/>
    <n v="75"/>
    <n v="7500"/>
    <x v="110"/>
    <n v="115500000"/>
    <x v="2"/>
    <d v="2019-09-01T00:00:00"/>
    <x v="2"/>
    <x v="2"/>
    <s v="TẾT"/>
    <m/>
    <m/>
    <m/>
    <m/>
    <m/>
    <m/>
    <m/>
    <m/>
    <m/>
    <m/>
    <m/>
    <n v="0"/>
    <n v="7500"/>
    <n v="115500000"/>
    <m/>
  </r>
  <r>
    <x v="258"/>
    <d v="2019-05-02T00:00:00"/>
    <s v="KIỀU THY"/>
    <x v="140"/>
    <x v="146"/>
    <x v="57"/>
    <x v="32"/>
    <x v="0"/>
    <x v="11"/>
    <x v="19"/>
    <s v="NL2018"/>
    <m/>
    <n v="100"/>
    <n v="7500"/>
    <x v="116"/>
    <n v="121500000"/>
    <x v="2"/>
    <d v="2019-09-01T00:00:00"/>
    <x v="2"/>
    <x v="2"/>
    <s v="TẾT"/>
    <m/>
    <m/>
    <m/>
    <m/>
    <m/>
    <m/>
    <m/>
    <m/>
    <m/>
    <m/>
    <m/>
    <n v="0"/>
    <n v="7500"/>
    <n v="121500000"/>
    <m/>
  </r>
  <r>
    <x v="258"/>
    <d v="2019-05-07T00:00:00"/>
    <s v="KIỀU THY"/>
    <x v="140"/>
    <x v="146"/>
    <x v="81"/>
    <x v="37"/>
    <x v="0"/>
    <x v="4"/>
    <x v="14"/>
    <s v="NZ2019"/>
    <m/>
    <n v="40"/>
    <n v="5000"/>
    <x v="80"/>
    <n v="60000000"/>
    <x v="2"/>
    <d v="2019-09-01T00:00:00"/>
    <x v="2"/>
    <x v="2"/>
    <s v="TẾT"/>
    <m/>
    <m/>
    <m/>
    <m/>
    <m/>
    <m/>
    <m/>
    <m/>
    <m/>
    <m/>
    <m/>
    <n v="0"/>
    <n v="5000"/>
    <n v="60000000"/>
    <m/>
  </r>
  <r>
    <x v="258"/>
    <d v="2019-05-07T00:00:00"/>
    <s v="KIỀU THY"/>
    <x v="140"/>
    <x v="146"/>
    <x v="14"/>
    <x v="4"/>
    <x v="0"/>
    <x v="6"/>
    <x v="7"/>
    <s v="NL2018"/>
    <m/>
    <n v="63"/>
    <n v="5040"/>
    <x v="15"/>
    <n v="76608000"/>
    <x v="2"/>
    <d v="2019-09-01T00:00:00"/>
    <x v="2"/>
    <x v="2"/>
    <s v="TẾT"/>
    <m/>
    <m/>
    <m/>
    <m/>
    <m/>
    <m/>
    <m/>
    <m/>
    <m/>
    <m/>
    <m/>
    <n v="0"/>
    <n v="5040"/>
    <n v="76608000"/>
    <m/>
  </r>
  <r>
    <x v="258"/>
    <d v="2019-05-02T00:00:00"/>
    <s v="KIỀU THY"/>
    <x v="140"/>
    <x v="146"/>
    <x v="21"/>
    <x v="4"/>
    <x v="0"/>
    <x v="8"/>
    <x v="11"/>
    <s v="NL2018"/>
    <m/>
    <n v="50"/>
    <n v="5000"/>
    <x v="25"/>
    <n v="62500000"/>
    <x v="2"/>
    <d v="2019-09-01T00:00:00"/>
    <x v="2"/>
    <x v="2"/>
    <s v="TẾT"/>
    <m/>
    <m/>
    <m/>
    <m/>
    <m/>
    <m/>
    <m/>
    <m/>
    <m/>
    <m/>
    <m/>
    <n v="0"/>
    <n v="5000"/>
    <n v="62500000"/>
    <m/>
  </r>
  <r>
    <x v="257"/>
    <d v="2019-02-27T00:00:00"/>
    <s v="KIỀU THY"/>
    <x v="140"/>
    <x v="146"/>
    <x v="6"/>
    <x v="4"/>
    <x v="0"/>
    <x v="3"/>
    <x v="5"/>
    <s v="NL2018"/>
    <m/>
    <n v="150"/>
    <n v="30000"/>
    <x v="8"/>
    <n v="150000000"/>
    <x v="0"/>
    <d v="2019-03-15T00:00:00"/>
    <x v="5"/>
    <x v="5"/>
    <s v="15/3AL"/>
    <s v="CONT 22/2019"/>
    <d v="2019-04-14T00:00:00"/>
    <m/>
    <d v="2019-05-02T00:00:00"/>
    <n v="10000"/>
    <d v="2019-05-06T00:00:00"/>
    <n v="20000"/>
    <m/>
    <m/>
    <m/>
    <m/>
    <n v="30000"/>
    <n v="0"/>
    <n v="0"/>
    <m/>
  </r>
  <r>
    <x v="257"/>
    <d v="2019-02-27T00:00:00"/>
    <s v="KIỀU THY"/>
    <x v="140"/>
    <x v="146"/>
    <x v="77"/>
    <x v="7"/>
    <x v="0"/>
    <x v="3"/>
    <x v="5"/>
    <s v="NL2018"/>
    <m/>
    <n v="50"/>
    <n v="10000"/>
    <x v="73"/>
    <n v="63000000"/>
    <x v="0"/>
    <d v="2019-03-15T00:00:00"/>
    <x v="5"/>
    <x v="5"/>
    <s v="15/3AL"/>
    <s v="CONT 20/2019"/>
    <d v="2019-04-14T00:00:00"/>
    <m/>
    <d v="2019-05-02T00:00:00"/>
    <n v="10000"/>
    <m/>
    <m/>
    <m/>
    <m/>
    <m/>
    <m/>
    <n v="10000"/>
    <n v="0"/>
    <n v="0"/>
    <m/>
  </r>
  <r>
    <x v="259"/>
    <d v="2019-06-14T00:00:00"/>
    <s v="KIỀU THY"/>
    <x v="141"/>
    <x v="147"/>
    <x v="39"/>
    <x v="22"/>
    <x v="0"/>
    <x v="7"/>
    <x v="0"/>
    <s v="NL2018"/>
    <m/>
    <n v="25"/>
    <n v="10000"/>
    <x v="44"/>
    <n v="30000000"/>
    <x v="3"/>
    <d v="2019-06-15T00:00:00"/>
    <x v="4"/>
    <x v="4"/>
    <m/>
    <m/>
    <m/>
    <m/>
    <m/>
    <m/>
    <m/>
    <m/>
    <m/>
    <m/>
    <m/>
    <m/>
    <n v="0"/>
    <n v="10000"/>
    <n v="30000000"/>
    <m/>
  </r>
  <r>
    <x v="259"/>
    <d v="2019-06-14T00:00:00"/>
    <s v="KIỀU THY"/>
    <x v="141"/>
    <x v="147"/>
    <x v="180"/>
    <x v="98"/>
    <x v="0"/>
    <x v="2"/>
    <x v="2"/>
    <s v="NL2018"/>
    <m/>
    <n v="17"/>
    <n v="5100"/>
    <x v="14"/>
    <n v="22950000"/>
    <x v="2"/>
    <d v="2019-06-29T00:00:00"/>
    <x v="13"/>
    <x v="13"/>
    <m/>
    <m/>
    <m/>
    <m/>
    <m/>
    <m/>
    <m/>
    <m/>
    <m/>
    <m/>
    <m/>
    <m/>
    <n v="0"/>
    <n v="5100"/>
    <n v="22950000"/>
    <m/>
  </r>
  <r>
    <x v="259"/>
    <d v="2019-06-14T00:00:00"/>
    <s v="KIỀU THY"/>
    <x v="141"/>
    <x v="147"/>
    <x v="9"/>
    <x v="5"/>
    <x v="0"/>
    <x v="3"/>
    <x v="3"/>
    <s v="NL2018"/>
    <m/>
    <n v="30"/>
    <n v="6000"/>
    <x v="6"/>
    <n v="32400000"/>
    <x v="0"/>
    <d v="2019-04-17T00:00:00"/>
    <x v="1"/>
    <x v="1"/>
    <m/>
    <m/>
    <m/>
    <m/>
    <d v="2019-06-14T00:00:00"/>
    <n v="3000"/>
    <d v="2019-06-21T00:00:00"/>
    <s v="3000"/>
    <m/>
    <m/>
    <m/>
    <m/>
    <n v="6000"/>
    <n v="0"/>
    <n v="0"/>
    <m/>
  </r>
  <r>
    <x v="260"/>
    <d v="2019-05-31T00:00:00"/>
    <s v="KIỀU THY"/>
    <x v="142"/>
    <x v="148"/>
    <x v="54"/>
    <x v="0"/>
    <x v="0"/>
    <x v="3"/>
    <x v="5"/>
    <s v="NL2018"/>
    <m/>
    <n v="10"/>
    <n v="2000"/>
    <x v="10"/>
    <n v="11000000"/>
    <x v="2"/>
    <d v="2019-09-01T00:00:00"/>
    <x v="2"/>
    <x v="2"/>
    <s v="TẾT"/>
    <m/>
    <m/>
    <m/>
    <m/>
    <m/>
    <m/>
    <m/>
    <m/>
    <m/>
    <m/>
    <m/>
    <n v="0"/>
    <n v="2000"/>
    <n v="11000000"/>
    <m/>
  </r>
  <r>
    <x v="261"/>
    <d v="2019-02-16T00:00:00"/>
    <s v="KIỀU THY"/>
    <x v="142"/>
    <x v="148"/>
    <x v="32"/>
    <x v="18"/>
    <x v="0"/>
    <x v="2"/>
    <x v="6"/>
    <s v="NL2018"/>
    <m/>
    <n v="1"/>
    <n v="300"/>
    <x v="37"/>
    <n v="1230000"/>
    <x v="0"/>
    <s v="30-Feb-19"/>
    <x v="29"/>
    <x v="29"/>
    <s v="30/2AL"/>
    <s v="CONT 15/2019"/>
    <d v="2019-03-31T00:00:00"/>
    <s v="R"/>
    <d v="2019-04-03T00:00:00"/>
    <n v="300"/>
    <m/>
    <m/>
    <m/>
    <m/>
    <m/>
    <m/>
    <n v="300"/>
    <n v="0"/>
    <n v="0"/>
    <m/>
  </r>
  <r>
    <x v="260"/>
    <d v="2019-05-31T00:00:00"/>
    <s v="KIỀU THY"/>
    <x v="142"/>
    <x v="148"/>
    <x v="33"/>
    <x v="18"/>
    <x v="0"/>
    <x v="3"/>
    <x v="5"/>
    <s v="NL2018"/>
    <m/>
    <n v="15"/>
    <n v="3000"/>
    <x v="13"/>
    <n v="18600000"/>
    <x v="2"/>
    <d v="2019-09-01T00:00:00"/>
    <x v="2"/>
    <x v="2"/>
    <s v="TẾT"/>
    <m/>
    <m/>
    <m/>
    <m/>
    <m/>
    <m/>
    <m/>
    <m/>
    <m/>
    <m/>
    <m/>
    <n v="0"/>
    <n v="3000"/>
    <n v="18600000"/>
    <m/>
  </r>
  <r>
    <x v="261"/>
    <d v="2019-05-31T00:00:00"/>
    <s v="KIỀU THY"/>
    <x v="142"/>
    <x v="148"/>
    <x v="3"/>
    <x v="3"/>
    <x v="0"/>
    <x v="3"/>
    <x v="5"/>
    <s v="NL2018"/>
    <m/>
    <n v="1"/>
    <n v="200"/>
    <x v="10"/>
    <n v="1100000"/>
    <x v="0"/>
    <d v="2019-05-05T00:00:00"/>
    <x v="27"/>
    <x v="27"/>
    <m/>
    <m/>
    <m/>
    <m/>
    <d v="2019-06-08T00:00:00"/>
    <n v="200"/>
    <m/>
    <m/>
    <m/>
    <m/>
    <m/>
    <m/>
    <n v="200"/>
    <n v="0"/>
    <n v="0"/>
    <m/>
  </r>
  <r>
    <x v="261"/>
    <d v="2019-06-11T00:00:00"/>
    <s v="KIỀU THY"/>
    <x v="142"/>
    <x v="148"/>
    <x v="3"/>
    <x v="3"/>
    <x v="0"/>
    <x v="3"/>
    <x v="5"/>
    <s v="NL2018"/>
    <m/>
    <n v="15"/>
    <n v="3000"/>
    <x v="54"/>
    <n v="16800000"/>
    <x v="4"/>
    <d v="2019-05-18T00:00:00"/>
    <x v="3"/>
    <x v="3"/>
    <m/>
    <m/>
    <m/>
    <m/>
    <m/>
    <m/>
    <m/>
    <m/>
    <m/>
    <m/>
    <m/>
    <m/>
    <n v="0"/>
    <n v="3000"/>
    <n v="16800000"/>
    <m/>
  </r>
  <r>
    <x v="260"/>
    <d v="2019-05-31T00:00:00"/>
    <s v="KIỀU THY"/>
    <x v="142"/>
    <x v="148"/>
    <x v="4"/>
    <x v="3"/>
    <x v="0"/>
    <x v="4"/>
    <x v="14"/>
    <s v="NL2018"/>
    <m/>
    <n v="24"/>
    <n v="3000"/>
    <x v="33"/>
    <n v="32100000"/>
    <x v="2"/>
    <d v="2019-09-01T00:00:00"/>
    <x v="2"/>
    <x v="2"/>
    <s v="TẾT"/>
    <m/>
    <m/>
    <m/>
    <m/>
    <m/>
    <m/>
    <m/>
    <m/>
    <m/>
    <m/>
    <m/>
    <n v="0"/>
    <n v="3000"/>
    <n v="32100000"/>
    <m/>
  </r>
  <r>
    <x v="261"/>
    <d v="2019-02-16T00:00:00"/>
    <s v="KIỀU THY"/>
    <x v="142"/>
    <x v="148"/>
    <x v="39"/>
    <x v="22"/>
    <x v="0"/>
    <x v="7"/>
    <x v="8"/>
    <s v="NL2018"/>
    <m/>
    <n v="5"/>
    <n v="2000"/>
    <x v="36"/>
    <n v="5600000"/>
    <x v="0"/>
    <s v="30-Feb-19"/>
    <x v="29"/>
    <x v="29"/>
    <s v="30/2AL"/>
    <s v="CONT 14/2019"/>
    <d v="2019-03-31T00:00:00"/>
    <m/>
    <d v="2019-04-03T00:00:00"/>
    <n v="2000"/>
    <m/>
    <m/>
    <m/>
    <m/>
    <m/>
    <m/>
    <n v="2000"/>
    <n v="0"/>
    <n v="0"/>
    <m/>
  </r>
  <r>
    <x v="261"/>
    <d v="2019-05-29T00:00:00"/>
    <s v="KIỀU THY"/>
    <x v="142"/>
    <x v="148"/>
    <x v="39"/>
    <x v="22"/>
    <x v="0"/>
    <x v="7"/>
    <x v="8"/>
    <s v="NL2018"/>
    <m/>
    <n v="7"/>
    <n v="2800"/>
    <x v="38"/>
    <n v="8120000"/>
    <x v="0"/>
    <d v="2019-05-05T00:00:00"/>
    <x v="27"/>
    <x v="27"/>
    <m/>
    <m/>
    <m/>
    <m/>
    <d v="2019-06-08T00:00:00"/>
    <n v="2800"/>
    <m/>
    <m/>
    <m/>
    <m/>
    <m/>
    <m/>
    <n v="2800"/>
    <n v="0"/>
    <n v="0"/>
    <m/>
  </r>
  <r>
    <x v="261"/>
    <d v="2019-05-31T00:00:00"/>
    <s v="KIỀU THY"/>
    <x v="142"/>
    <x v="148"/>
    <x v="39"/>
    <x v="22"/>
    <x v="0"/>
    <x v="7"/>
    <x v="8"/>
    <s v="NL2018"/>
    <m/>
    <n v="10"/>
    <n v="4000"/>
    <x v="44"/>
    <n v="12000000"/>
    <x v="4"/>
    <d v="2019-05-05T00:00:00"/>
    <x v="27"/>
    <x v="27"/>
    <s v="8/6al TRỒNG"/>
    <m/>
    <m/>
    <m/>
    <m/>
    <m/>
    <m/>
    <m/>
    <m/>
    <m/>
    <m/>
    <m/>
    <n v="0"/>
    <n v="4000"/>
    <n v="12000000"/>
    <m/>
  </r>
  <r>
    <x v="261"/>
    <d v="2019-06-07T00:00:00"/>
    <s v="KIỀU THY"/>
    <x v="142"/>
    <x v="148"/>
    <x v="39"/>
    <x v="22"/>
    <x v="0"/>
    <x v="7"/>
    <x v="8"/>
    <s v="NL2018"/>
    <m/>
    <n v="15"/>
    <n v="6000"/>
    <x v="44"/>
    <n v="18000000"/>
    <x v="2"/>
    <d v="2019-07-20T00:00:00"/>
    <x v="46"/>
    <x v="46"/>
    <m/>
    <m/>
    <m/>
    <m/>
    <m/>
    <m/>
    <m/>
    <m/>
    <m/>
    <m/>
    <m/>
    <m/>
    <n v="0"/>
    <n v="6000"/>
    <n v="18000000"/>
    <m/>
  </r>
  <r>
    <x v="261"/>
    <d v="2019-06-07T00:00:00"/>
    <s v="KIỀU THY"/>
    <x v="142"/>
    <x v="148"/>
    <x v="39"/>
    <x v="22"/>
    <x v="0"/>
    <x v="7"/>
    <x v="8"/>
    <s v="NL2018"/>
    <m/>
    <n v="18"/>
    <n v="7200"/>
    <x v="35"/>
    <n v="22320000"/>
    <x v="2"/>
    <d v="2019-07-10T00:00:00"/>
    <x v="47"/>
    <x v="47"/>
    <m/>
    <m/>
    <m/>
    <m/>
    <m/>
    <m/>
    <m/>
    <m/>
    <m/>
    <m/>
    <m/>
    <m/>
    <n v="0"/>
    <n v="7200"/>
    <n v="22320000"/>
    <m/>
  </r>
  <r>
    <x v="261"/>
    <d v="2019-06-07T00:00:00"/>
    <s v="KIỀU THY"/>
    <x v="142"/>
    <x v="148"/>
    <x v="39"/>
    <x v="22"/>
    <x v="0"/>
    <x v="7"/>
    <x v="8"/>
    <s v="NL2018"/>
    <m/>
    <n v="18"/>
    <n v="7200"/>
    <x v="35"/>
    <n v="22320000"/>
    <x v="2"/>
    <d v="2019-08-10T00:00:00"/>
    <x v="44"/>
    <x v="44"/>
    <m/>
    <m/>
    <m/>
    <m/>
    <m/>
    <m/>
    <m/>
    <m/>
    <m/>
    <m/>
    <m/>
    <m/>
    <n v="0"/>
    <n v="7200"/>
    <n v="22320000"/>
    <m/>
  </r>
  <r>
    <x v="260"/>
    <d v="2019-05-31T00:00:00"/>
    <s v="KIỀU THY"/>
    <x v="142"/>
    <x v="148"/>
    <x v="40"/>
    <x v="22"/>
    <x v="0"/>
    <x v="2"/>
    <x v="6"/>
    <s v="NL2018"/>
    <m/>
    <n v="4"/>
    <n v="1200"/>
    <x v="28"/>
    <n v="5520000"/>
    <x v="2"/>
    <d v="2019-09-01T00:00:00"/>
    <x v="2"/>
    <x v="2"/>
    <s v="TẾT"/>
    <m/>
    <m/>
    <m/>
    <m/>
    <m/>
    <m/>
    <m/>
    <m/>
    <m/>
    <m/>
    <m/>
    <n v="0"/>
    <n v="1200"/>
    <n v="5520000"/>
    <m/>
  </r>
  <r>
    <x v="260"/>
    <d v="2019-05-31T00:00:00"/>
    <s v="KIỀU THY"/>
    <x v="142"/>
    <x v="148"/>
    <x v="41"/>
    <x v="22"/>
    <x v="0"/>
    <x v="3"/>
    <x v="5"/>
    <s v="NL2018"/>
    <m/>
    <n v="10"/>
    <n v="2000"/>
    <x v="73"/>
    <n v="12600000"/>
    <x v="2"/>
    <d v="2019-09-01T00:00:00"/>
    <x v="2"/>
    <x v="2"/>
    <s v="TẾT"/>
    <m/>
    <m/>
    <m/>
    <m/>
    <m/>
    <m/>
    <m/>
    <m/>
    <m/>
    <m/>
    <m/>
    <n v="0"/>
    <n v="2000"/>
    <n v="12600000"/>
    <m/>
  </r>
  <r>
    <x v="262"/>
    <d v="2019-02-16T00:00:00"/>
    <s v="KIỀU THY"/>
    <x v="143"/>
    <x v="149"/>
    <x v="74"/>
    <x v="0"/>
    <x v="0"/>
    <x v="2"/>
    <x v="6"/>
    <s v="NL2018"/>
    <m/>
    <n v="0"/>
    <n v="0"/>
    <x v="77"/>
    <n v="0"/>
    <x v="1"/>
    <s v="30-Feb-19"/>
    <x v="29"/>
    <x v="29"/>
    <s v="30/2AL"/>
    <s v="CONT 18/2019"/>
    <d v="2019-03-31T00:00:00"/>
    <s v="NHẮC CỌC"/>
    <m/>
    <n v="0"/>
    <m/>
    <m/>
    <m/>
    <m/>
    <m/>
    <m/>
    <n v="0"/>
    <n v="0"/>
    <n v="0"/>
    <m/>
  </r>
  <r>
    <x v="262"/>
    <d v="2019-02-16T00:00:00"/>
    <s v="KIỀU THY"/>
    <x v="143"/>
    <x v="149"/>
    <x v="0"/>
    <x v="0"/>
    <x v="0"/>
    <x v="7"/>
    <x v="8"/>
    <s v="NL2018"/>
    <m/>
    <n v="0"/>
    <n v="0"/>
    <x v="1"/>
    <n v="0"/>
    <x v="1"/>
    <d v="2019-03-15T00:00:00"/>
    <x v="5"/>
    <x v="5"/>
    <s v="15/3AL"/>
    <m/>
    <m/>
    <m/>
    <m/>
    <m/>
    <m/>
    <m/>
    <m/>
    <m/>
    <m/>
    <m/>
    <n v="0"/>
    <n v="0"/>
    <n v="0"/>
    <m/>
  </r>
  <r>
    <x v="262"/>
    <d v="2019-02-16T00:00:00"/>
    <s v="KIỀU THY"/>
    <x v="143"/>
    <x v="149"/>
    <x v="34"/>
    <x v="1"/>
    <x v="0"/>
    <x v="2"/>
    <x v="6"/>
    <s v="NL2018"/>
    <m/>
    <n v="0"/>
    <n v="0"/>
    <x v="28"/>
    <n v="0"/>
    <x v="1"/>
    <s v="30-Feb-19"/>
    <x v="29"/>
    <x v="29"/>
    <s v="30/2AL"/>
    <s v="CONT 17/2019"/>
    <d v="2019-03-31T00:00:00"/>
    <s v="NHẮC CỌC"/>
    <m/>
    <n v="0"/>
    <m/>
    <m/>
    <m/>
    <m/>
    <m/>
    <m/>
    <n v="0"/>
    <n v="0"/>
    <n v="0"/>
    <s v="check lai, KH chuyen tu 16.18 sang 14/16?"/>
  </r>
  <r>
    <x v="262"/>
    <d v="2019-02-16T00:00:00"/>
    <s v="KIỀU THY"/>
    <x v="143"/>
    <x v="149"/>
    <x v="138"/>
    <x v="56"/>
    <x v="0"/>
    <x v="2"/>
    <x v="6"/>
    <s v="NL2018"/>
    <m/>
    <n v="0"/>
    <n v="0"/>
    <x v="42"/>
    <n v="0"/>
    <x v="1"/>
    <d v="2019-03-15T00:00:00"/>
    <x v="5"/>
    <x v="5"/>
    <s v="15/3AL"/>
    <m/>
    <m/>
    <m/>
    <m/>
    <m/>
    <m/>
    <m/>
    <m/>
    <m/>
    <m/>
    <m/>
    <n v="0"/>
    <n v="0"/>
    <n v="0"/>
    <m/>
  </r>
  <r>
    <x v="263"/>
    <d v="2019-03-29T00:00:00"/>
    <s v="KIỀU THY"/>
    <x v="144"/>
    <x v="150"/>
    <x v="74"/>
    <x v="0"/>
    <x v="0"/>
    <x v="2"/>
    <x v="6"/>
    <s v="NL2018"/>
    <m/>
    <n v="0"/>
    <n v="0"/>
    <x v="77"/>
    <n v="0"/>
    <x v="1"/>
    <d v="2019-04-17T00:00:00"/>
    <x v="1"/>
    <x v="1"/>
    <s v="17/4AL"/>
    <m/>
    <m/>
    <m/>
    <m/>
    <m/>
    <m/>
    <m/>
    <m/>
    <m/>
    <m/>
    <m/>
    <n v="0"/>
    <n v="0"/>
    <n v="0"/>
    <m/>
  </r>
  <r>
    <x v="263"/>
    <d v="2019-03-29T00:00:00"/>
    <s v="KIỀU THY"/>
    <x v="144"/>
    <x v="150"/>
    <x v="74"/>
    <x v="0"/>
    <x v="0"/>
    <x v="2"/>
    <x v="6"/>
    <s v="NL2018"/>
    <m/>
    <n v="0"/>
    <n v="0"/>
    <x v="77"/>
    <n v="0"/>
    <x v="1"/>
    <d v="2019-04-29T00:00:00"/>
    <x v="11"/>
    <x v="11"/>
    <s v="29/4AL"/>
    <m/>
    <m/>
    <m/>
    <m/>
    <m/>
    <m/>
    <m/>
    <m/>
    <m/>
    <m/>
    <m/>
    <n v="0"/>
    <n v="0"/>
    <n v="0"/>
    <m/>
  </r>
  <r>
    <x v="264"/>
    <d v="2019-01-05T00:00:00"/>
    <s v="KIỀU THY"/>
    <x v="144"/>
    <x v="150"/>
    <x v="54"/>
    <x v="0"/>
    <x v="0"/>
    <x v="3"/>
    <x v="5"/>
    <s v="NL2018"/>
    <m/>
    <n v="250"/>
    <n v="50000"/>
    <x v="8"/>
    <n v="250000000"/>
    <x v="0"/>
    <d v="2019-01-15T00:00:00"/>
    <x v="6"/>
    <x v="6"/>
    <s v="15/1AL"/>
    <m/>
    <m/>
    <m/>
    <d v="2019-02-22T00:00:00"/>
    <n v="20000"/>
    <d v="2019-02-23T00:00:00"/>
    <n v="30000"/>
    <m/>
    <m/>
    <m/>
    <m/>
    <n v="50000"/>
    <n v="0"/>
    <n v="0"/>
    <m/>
  </r>
  <r>
    <x v="263"/>
    <d v="2019-03-29T00:00:00"/>
    <s v="KIỀU THY"/>
    <x v="144"/>
    <x v="150"/>
    <x v="34"/>
    <x v="1"/>
    <x v="0"/>
    <x v="2"/>
    <x v="6"/>
    <s v="NL2018"/>
    <m/>
    <n v="100"/>
    <n v="30000"/>
    <x v="42"/>
    <n v="144000000"/>
    <x v="0"/>
    <d v="2019-04-17T00:00:00"/>
    <x v="1"/>
    <x v="1"/>
    <s v="17/4AL"/>
    <m/>
    <m/>
    <m/>
    <d v="2019-05-18T00:00:00"/>
    <n v="30000"/>
    <m/>
    <m/>
    <m/>
    <m/>
    <m/>
    <m/>
    <n v="30000"/>
    <n v="0"/>
    <n v="0"/>
    <m/>
  </r>
  <r>
    <x v="263"/>
    <d v="2019-06-11T00:00:00"/>
    <s v="KIỀU THY"/>
    <x v="144"/>
    <x v="150"/>
    <x v="10"/>
    <x v="1"/>
    <x v="0"/>
    <x v="3"/>
    <x v="5"/>
    <s v="NL2018"/>
    <m/>
    <n v="100"/>
    <n v="20000"/>
    <x v="70"/>
    <n v="142000000"/>
    <x v="2"/>
    <d v="2019-06-25T00:00:00"/>
    <x v="19"/>
    <x v="19"/>
    <m/>
    <m/>
    <m/>
    <m/>
    <m/>
    <m/>
    <m/>
    <m/>
    <m/>
    <m/>
    <m/>
    <m/>
    <n v="0"/>
    <n v="20000"/>
    <n v="142000000"/>
    <m/>
  </r>
  <r>
    <x v="263"/>
    <d v="2019-06-11T00:00:00"/>
    <s v="KIỀU THY"/>
    <x v="144"/>
    <x v="150"/>
    <x v="10"/>
    <x v="1"/>
    <x v="0"/>
    <x v="3"/>
    <x v="5"/>
    <s v="NL2018"/>
    <m/>
    <n v="113"/>
    <n v="22600"/>
    <x v="55"/>
    <n v="162720000"/>
    <x v="2"/>
    <d v="2019-07-15T00:00:00"/>
    <x v="39"/>
    <x v="39"/>
    <m/>
    <m/>
    <m/>
    <m/>
    <m/>
    <m/>
    <m/>
    <m/>
    <m/>
    <m/>
    <m/>
    <m/>
    <n v="0"/>
    <n v="22600"/>
    <n v="162720000"/>
    <m/>
  </r>
  <r>
    <x v="265"/>
    <d v="2019-01-05T00:00:00"/>
    <s v="KIỀU THY"/>
    <x v="144"/>
    <x v="150"/>
    <x v="63"/>
    <x v="1"/>
    <x v="0"/>
    <x v="4"/>
    <x v="14"/>
    <s v="NL2018"/>
    <m/>
    <n v="160"/>
    <n v="20000"/>
    <x v="67"/>
    <n v="202000000"/>
    <x v="2"/>
    <d v="2019-09-01T00:00:00"/>
    <x v="2"/>
    <x v="2"/>
    <s v="TẾT"/>
    <m/>
    <m/>
    <m/>
    <m/>
    <n v="0"/>
    <m/>
    <m/>
    <m/>
    <m/>
    <m/>
    <m/>
    <n v="0"/>
    <n v="20000"/>
    <n v="202000000"/>
    <m/>
  </r>
  <r>
    <x v="264"/>
    <d v="2019-01-05T00:00:00"/>
    <s v="KIỀU THY"/>
    <x v="144"/>
    <x v="150"/>
    <x v="10"/>
    <x v="1"/>
    <x v="0"/>
    <x v="3"/>
    <x v="5"/>
    <s v="NL2018"/>
    <m/>
    <n v="50"/>
    <n v="10000"/>
    <x v="10"/>
    <n v="55000000"/>
    <x v="0"/>
    <d v="2019-01-15T00:00:00"/>
    <x v="6"/>
    <x v="6"/>
    <s v="15/1AL"/>
    <m/>
    <m/>
    <m/>
    <d v="2019-02-19T00:00:00"/>
    <n v="10000"/>
    <m/>
    <m/>
    <m/>
    <m/>
    <m/>
    <m/>
    <n v="10000"/>
    <n v="0"/>
    <n v="0"/>
    <m/>
  </r>
  <r>
    <x v="264"/>
    <d v="2019-01-05T00:00:00"/>
    <s v="KIỀU THY"/>
    <x v="144"/>
    <x v="150"/>
    <x v="10"/>
    <x v="1"/>
    <x v="0"/>
    <x v="3"/>
    <x v="5"/>
    <s v="NL2018"/>
    <m/>
    <n v="50"/>
    <n v="10000"/>
    <x v="10"/>
    <n v="55000000"/>
    <x v="0"/>
    <d v="2019-02-15T00:00:00"/>
    <x v="0"/>
    <x v="0"/>
    <s v="15/2AL"/>
    <s v="CONT 12/2019"/>
    <d v="2019-03-17T00:00:00"/>
    <m/>
    <d v="2019-03-19T00:00:00"/>
    <n v="10000"/>
    <m/>
    <m/>
    <m/>
    <m/>
    <m/>
    <m/>
    <n v="10000"/>
    <n v="0"/>
    <n v="0"/>
    <m/>
  </r>
  <r>
    <x v="264"/>
    <d v="2019-01-05T00:00:00"/>
    <s v="KIỀU THY"/>
    <x v="144"/>
    <x v="150"/>
    <x v="10"/>
    <x v="1"/>
    <x v="0"/>
    <x v="3"/>
    <x v="5"/>
    <s v="NL2018"/>
    <m/>
    <n v="100"/>
    <n v="20000"/>
    <x v="10"/>
    <n v="110000000"/>
    <x v="0"/>
    <d v="2019-02-28T00:00:00"/>
    <x v="16"/>
    <x v="16"/>
    <s v="28/2AL"/>
    <s v="CONT 14/2019"/>
    <d v="2019-03-31T00:00:00"/>
    <m/>
    <d v="2019-04-15T00:00:00"/>
    <n v="20000"/>
    <m/>
    <m/>
    <m/>
    <m/>
    <m/>
    <m/>
    <n v="20000"/>
    <n v="0"/>
    <n v="0"/>
    <m/>
  </r>
  <r>
    <x v="264"/>
    <d v="2019-01-05T00:00:00"/>
    <s v="KIỀU THY"/>
    <x v="144"/>
    <x v="150"/>
    <x v="10"/>
    <x v="1"/>
    <x v="0"/>
    <x v="3"/>
    <x v="5"/>
    <s v="NL2018"/>
    <m/>
    <n v="50"/>
    <n v="10000"/>
    <x v="10"/>
    <n v="55000000"/>
    <x v="0"/>
    <d v="2019-03-15T00:00:00"/>
    <x v="5"/>
    <x v="5"/>
    <s v="15/3AL"/>
    <s v="CONT 14/2019"/>
    <d v="2019-03-31T00:00:00"/>
    <m/>
    <d v="2019-04-17T00:00:00"/>
    <n v="10000"/>
    <m/>
    <m/>
    <m/>
    <m/>
    <m/>
    <m/>
    <n v="10000"/>
    <n v="0"/>
    <n v="0"/>
    <m/>
  </r>
  <r>
    <x v="265"/>
    <d v="2019-01-05T00:00:00"/>
    <s v="KIỀU THY"/>
    <x v="144"/>
    <x v="150"/>
    <x v="84"/>
    <x v="40"/>
    <x v="0"/>
    <x v="4"/>
    <x v="14"/>
    <s v="CL2019"/>
    <m/>
    <n v="80"/>
    <n v="10000"/>
    <x v="61"/>
    <n v="135000000"/>
    <x v="2"/>
    <d v="2019-09-01T00:00:00"/>
    <x v="2"/>
    <x v="2"/>
    <s v="TẾT"/>
    <m/>
    <m/>
    <m/>
    <m/>
    <n v="0"/>
    <m/>
    <m/>
    <m/>
    <m/>
    <m/>
    <m/>
    <n v="0"/>
    <n v="10000"/>
    <n v="135000000"/>
    <m/>
  </r>
  <r>
    <x v="265"/>
    <d v="2019-01-05T00:00:00"/>
    <s v="KIỀU THY"/>
    <x v="144"/>
    <x v="150"/>
    <x v="38"/>
    <x v="6"/>
    <x v="0"/>
    <x v="4"/>
    <x v="14"/>
    <s v="NL2018"/>
    <m/>
    <n v="160"/>
    <n v="20000"/>
    <x v="47"/>
    <n v="260000000"/>
    <x v="2"/>
    <d v="2019-09-01T00:00:00"/>
    <x v="2"/>
    <x v="2"/>
    <s v="TẾT"/>
    <m/>
    <m/>
    <m/>
    <m/>
    <n v="0"/>
    <m/>
    <m/>
    <m/>
    <m/>
    <m/>
    <m/>
    <n v="0"/>
    <n v="20000"/>
    <n v="260000000"/>
    <m/>
  </r>
  <r>
    <x v="264"/>
    <d v="2019-01-05T00:00:00"/>
    <s v="KIỀU THY"/>
    <x v="144"/>
    <x v="150"/>
    <x v="11"/>
    <x v="6"/>
    <x v="0"/>
    <x v="3"/>
    <x v="5"/>
    <s v="NL2018"/>
    <m/>
    <n v="150"/>
    <n v="30000"/>
    <x v="96"/>
    <n v="195000000"/>
    <x v="0"/>
    <d v="2019-01-15T00:00:00"/>
    <x v="6"/>
    <x v="6"/>
    <s v="15/1AL"/>
    <m/>
    <m/>
    <m/>
    <d v="2019-02-19T00:00:00"/>
    <n v="30000"/>
    <m/>
    <m/>
    <m/>
    <m/>
    <m/>
    <m/>
    <n v="30000"/>
    <n v="0"/>
    <n v="0"/>
    <m/>
  </r>
  <r>
    <x v="264"/>
    <d v="2019-01-05T00:00:00"/>
    <s v="KIỀU THY"/>
    <x v="144"/>
    <x v="150"/>
    <x v="11"/>
    <x v="6"/>
    <x v="0"/>
    <x v="3"/>
    <x v="5"/>
    <s v="NL2018"/>
    <m/>
    <n v="100"/>
    <n v="20000"/>
    <x v="31"/>
    <n v="134000000"/>
    <x v="0"/>
    <d v="2019-02-15T00:00:00"/>
    <x v="0"/>
    <x v="0"/>
    <s v="15/2AL"/>
    <s v="CONT 12/2019"/>
    <d v="2019-03-17T00:00:00"/>
    <m/>
    <d v="2019-03-19T00:00:00"/>
    <n v="20000"/>
    <m/>
    <m/>
    <m/>
    <m/>
    <m/>
    <m/>
    <n v="20000"/>
    <n v="0"/>
    <n v="0"/>
    <m/>
  </r>
  <r>
    <x v="264"/>
    <d v="2019-01-05T00:00:00"/>
    <s v="KIỀU THY"/>
    <x v="144"/>
    <x v="150"/>
    <x v="11"/>
    <x v="6"/>
    <x v="0"/>
    <x v="3"/>
    <x v="5"/>
    <s v="NL2018"/>
    <m/>
    <n v="50"/>
    <n v="10000"/>
    <x v="31"/>
    <n v="67000000"/>
    <x v="0"/>
    <d v="2019-02-28T00:00:00"/>
    <x v="16"/>
    <x v="16"/>
    <s v="28/2AL"/>
    <s v="CONT 17/2019"/>
    <d v="2019-03-31T00:00:00"/>
    <m/>
    <d v="2019-04-15T00:00:00"/>
    <n v="10000"/>
    <m/>
    <m/>
    <m/>
    <m/>
    <m/>
    <m/>
    <n v="10000"/>
    <n v="0"/>
    <n v="0"/>
    <m/>
  </r>
  <r>
    <x v="263"/>
    <d v="2019-06-11T00:00:00"/>
    <s v="KIỀU THY"/>
    <x v="144"/>
    <x v="150"/>
    <x v="127"/>
    <x v="56"/>
    <x v="0"/>
    <x v="3"/>
    <x v="22"/>
    <s v="NL2018"/>
    <m/>
    <n v="2"/>
    <n v="350"/>
    <x v="13"/>
    <n v="2170000"/>
    <x v="0"/>
    <d v="2019-05-05T00:00:00"/>
    <x v="27"/>
    <x v="27"/>
    <m/>
    <m/>
    <m/>
    <m/>
    <d v="2019-06-17T00:00:00"/>
    <n v="350"/>
    <m/>
    <m/>
    <m/>
    <m/>
    <m/>
    <m/>
    <n v="350"/>
    <n v="0"/>
    <n v="0"/>
    <m/>
  </r>
  <r>
    <x v="263"/>
    <d v="2019-03-29T00:00:00"/>
    <s v="KIỀU THY"/>
    <x v="144"/>
    <x v="150"/>
    <x v="75"/>
    <x v="32"/>
    <x v="0"/>
    <x v="3"/>
    <x v="5"/>
    <s v="NL2018"/>
    <m/>
    <n v="100"/>
    <n v="20000"/>
    <x v="162"/>
    <n v="138000000"/>
    <x v="0"/>
    <d v="2019-04-17T00:00:00"/>
    <x v="1"/>
    <x v="1"/>
    <s v="17/4AL"/>
    <m/>
    <m/>
    <m/>
    <d v="2019-05-18T00:00:00"/>
    <n v="20000"/>
    <m/>
    <m/>
    <m/>
    <m/>
    <m/>
    <m/>
    <n v="20000"/>
    <n v="0"/>
    <n v="0"/>
    <m/>
  </r>
  <r>
    <x v="263"/>
    <d v="2019-03-29T00:00:00"/>
    <s v="KIỀU THY"/>
    <x v="144"/>
    <x v="150"/>
    <x v="75"/>
    <x v="32"/>
    <x v="0"/>
    <x v="3"/>
    <x v="5"/>
    <s v="NL2018"/>
    <m/>
    <n v="100"/>
    <n v="20000"/>
    <x v="162"/>
    <n v="138000000"/>
    <x v="0"/>
    <d v="2019-05-05T00:00:00"/>
    <x v="27"/>
    <x v="27"/>
    <s v="05/5AL"/>
    <m/>
    <m/>
    <m/>
    <d v="2019-06-08T00:00:00"/>
    <n v="20000"/>
    <m/>
    <m/>
    <m/>
    <m/>
    <m/>
    <m/>
    <n v="20000"/>
    <n v="0"/>
    <n v="0"/>
    <m/>
  </r>
  <r>
    <x v="263"/>
    <d v="2019-03-29T00:00:00"/>
    <s v="KIỀU THY"/>
    <x v="144"/>
    <x v="150"/>
    <x v="75"/>
    <x v="32"/>
    <x v="0"/>
    <x v="3"/>
    <x v="5"/>
    <s v="NL2018"/>
    <m/>
    <n v="100"/>
    <n v="20000"/>
    <x v="65"/>
    <n v="140000000"/>
    <x v="4"/>
    <d v="2019-05-18T00:00:00"/>
    <x v="3"/>
    <x v="3"/>
    <s v="30/5AL"/>
    <m/>
    <m/>
    <m/>
    <m/>
    <n v="0"/>
    <m/>
    <m/>
    <m/>
    <m/>
    <m/>
    <m/>
    <n v="0"/>
    <n v="20000"/>
    <n v="140000000"/>
    <m/>
  </r>
  <r>
    <x v="263"/>
    <d v="2019-06-14T00:00:00"/>
    <s v="KIỀU THY"/>
    <x v="144"/>
    <x v="150"/>
    <x v="75"/>
    <x v="32"/>
    <x v="0"/>
    <x v="3"/>
    <x v="5"/>
    <s v="NL2018"/>
    <m/>
    <n v="150"/>
    <n v="30000"/>
    <x v="65"/>
    <n v="210000000"/>
    <x v="3"/>
    <d v="2019-06-15T00:00:00"/>
    <x v="4"/>
    <x v="4"/>
    <m/>
    <m/>
    <m/>
    <m/>
    <m/>
    <m/>
    <m/>
    <m/>
    <m/>
    <m/>
    <m/>
    <m/>
    <n v="0"/>
    <n v="30000"/>
    <n v="210000000"/>
    <m/>
  </r>
  <r>
    <x v="263"/>
    <d v="2019-06-11T00:00:00"/>
    <s v="KIỀU THY"/>
    <x v="144"/>
    <x v="150"/>
    <x v="75"/>
    <x v="32"/>
    <x v="0"/>
    <x v="3"/>
    <x v="5"/>
    <s v="NL2018"/>
    <m/>
    <n v="150"/>
    <n v="30000"/>
    <x v="55"/>
    <n v="216000000"/>
    <x v="2"/>
    <d v="2019-07-15T00:00:00"/>
    <x v="39"/>
    <x v="39"/>
    <m/>
    <m/>
    <m/>
    <m/>
    <m/>
    <m/>
    <m/>
    <m/>
    <m/>
    <m/>
    <m/>
    <m/>
    <n v="0"/>
    <n v="30000"/>
    <n v="216000000"/>
    <m/>
  </r>
  <r>
    <x v="265"/>
    <d v="2019-01-05T00:00:00"/>
    <s v="KIỀU THY"/>
    <x v="144"/>
    <x v="150"/>
    <x v="62"/>
    <x v="32"/>
    <x v="0"/>
    <x v="4"/>
    <x v="14"/>
    <s v="NL2018"/>
    <m/>
    <n v="320"/>
    <n v="40000"/>
    <x v="61"/>
    <n v="540000000"/>
    <x v="2"/>
    <d v="2019-09-01T00:00:00"/>
    <x v="2"/>
    <x v="2"/>
    <s v="TẾT"/>
    <m/>
    <m/>
    <m/>
    <m/>
    <n v="0"/>
    <m/>
    <m/>
    <m/>
    <m/>
    <m/>
    <m/>
    <n v="0"/>
    <n v="40000"/>
    <n v="540000000"/>
    <m/>
  </r>
  <r>
    <x v="265"/>
    <d v="2019-01-05T00:00:00"/>
    <s v="KIỀU THY"/>
    <x v="144"/>
    <x v="150"/>
    <x v="64"/>
    <x v="32"/>
    <x v="0"/>
    <x v="8"/>
    <x v="11"/>
    <s v="NL2018"/>
    <m/>
    <n v="200"/>
    <n v="20000"/>
    <x v="15"/>
    <n v="304000000"/>
    <x v="2"/>
    <d v="2019-09-01T00:00:00"/>
    <x v="2"/>
    <x v="2"/>
    <s v="TẾT"/>
    <m/>
    <m/>
    <m/>
    <m/>
    <n v="0"/>
    <m/>
    <m/>
    <m/>
    <m/>
    <m/>
    <m/>
    <n v="0"/>
    <n v="20000"/>
    <n v="304000000"/>
    <m/>
  </r>
  <r>
    <x v="263"/>
    <d v="2019-03-29T00:00:00"/>
    <s v="KIỀU THY"/>
    <x v="144"/>
    <x v="150"/>
    <x v="75"/>
    <x v="32"/>
    <x v="0"/>
    <x v="3"/>
    <x v="5"/>
    <s v="NL2018"/>
    <m/>
    <n v="350"/>
    <n v="70000"/>
    <x v="105"/>
    <n v="0"/>
    <x v="2"/>
    <m/>
    <x v="35"/>
    <x v="35"/>
    <s v="Trừ dần trong các đợt hàng về"/>
    <m/>
    <m/>
    <m/>
    <m/>
    <n v="0"/>
    <m/>
    <m/>
    <m/>
    <m/>
    <m/>
    <m/>
    <n v="0"/>
    <n v="70000"/>
    <n v="0"/>
    <m/>
  </r>
  <r>
    <x v="264"/>
    <d v="2019-01-05T00:00:00"/>
    <s v="KIỀU THY"/>
    <x v="144"/>
    <x v="150"/>
    <x v="98"/>
    <x v="32"/>
    <x v="4"/>
    <x v="3"/>
    <x v="5"/>
    <s v="NL2018"/>
    <m/>
    <n v="117"/>
    <n v="23400"/>
    <x v="50"/>
    <n v="140400000"/>
    <x v="0"/>
    <d v="2019-02-28T00:00:00"/>
    <x v="16"/>
    <x v="16"/>
    <s v="28/2AL"/>
    <s v="CONT 16/2019"/>
    <d v="2019-03-31T00:00:00"/>
    <m/>
    <d v="2019-04-02T00:00:00"/>
    <n v="11400"/>
    <d v="2019-04-15T00:00:00"/>
    <n v="12000"/>
    <m/>
    <m/>
    <m/>
    <m/>
    <n v="23400"/>
    <n v="0"/>
    <n v="0"/>
    <m/>
  </r>
  <r>
    <x v="264"/>
    <d v="2019-01-05T00:00:00"/>
    <s v="KIỀU THY"/>
    <x v="144"/>
    <x v="150"/>
    <x v="75"/>
    <x v="32"/>
    <x v="0"/>
    <x v="3"/>
    <x v="5"/>
    <s v="NL2018"/>
    <m/>
    <n v="180"/>
    <n v="36000"/>
    <x v="31"/>
    <n v="241200000"/>
    <x v="0"/>
    <d v="2019-02-28T00:00:00"/>
    <x v="16"/>
    <x v="16"/>
    <s v="28/2AL"/>
    <m/>
    <m/>
    <m/>
    <d v="2019-04-02T00:00:00"/>
    <n v="36000"/>
    <m/>
    <m/>
    <m/>
    <m/>
    <m/>
    <m/>
    <n v="36000"/>
    <n v="0"/>
    <n v="0"/>
    <m/>
  </r>
  <r>
    <x v="263"/>
    <d v="2019-03-29T00:00:00"/>
    <s v="KIỀU THY"/>
    <x v="144"/>
    <x v="150"/>
    <x v="26"/>
    <x v="13"/>
    <x v="0"/>
    <x v="3"/>
    <x v="5"/>
    <s v="NL2018"/>
    <m/>
    <n v="150"/>
    <n v="30000"/>
    <x v="6"/>
    <n v="162000000"/>
    <x v="0"/>
    <d v="2019-04-17T00:00:00"/>
    <x v="1"/>
    <x v="1"/>
    <s v="17/4AL"/>
    <m/>
    <m/>
    <m/>
    <d v="2019-05-18T00:00:00"/>
    <n v="30000"/>
    <m/>
    <m/>
    <m/>
    <m/>
    <m/>
    <m/>
    <n v="30000"/>
    <n v="0"/>
    <n v="0"/>
    <m/>
  </r>
  <r>
    <x v="263"/>
    <d v="2019-03-29T00:00:00"/>
    <s v="KIỀU THY"/>
    <x v="144"/>
    <x v="150"/>
    <x v="77"/>
    <x v="7"/>
    <x v="0"/>
    <x v="3"/>
    <x v="5"/>
    <s v="NL2018"/>
    <m/>
    <n v="100"/>
    <n v="20000"/>
    <x v="60"/>
    <n v="136000000"/>
    <x v="0"/>
    <d v="2019-04-17T00:00:00"/>
    <x v="1"/>
    <x v="1"/>
    <s v="17/4AL"/>
    <m/>
    <m/>
    <m/>
    <d v="2019-05-18T00:00:00"/>
    <n v="20000"/>
    <m/>
    <m/>
    <m/>
    <m/>
    <m/>
    <m/>
    <n v="20000"/>
    <n v="0"/>
    <n v="0"/>
    <m/>
  </r>
  <r>
    <x v="263"/>
    <d v="2019-03-29T00:00:00"/>
    <s v="KIỀU THY"/>
    <x v="144"/>
    <x v="150"/>
    <x v="77"/>
    <x v="7"/>
    <x v="0"/>
    <x v="3"/>
    <x v="5"/>
    <s v="NL2018"/>
    <m/>
    <n v="150"/>
    <n v="30000"/>
    <x v="162"/>
    <n v="207000000"/>
    <x v="0"/>
    <d v="2019-05-05T00:00:00"/>
    <x v="27"/>
    <x v="27"/>
    <s v="05/5AL"/>
    <m/>
    <m/>
    <m/>
    <d v="2019-06-08T00:00:00"/>
    <n v="20000"/>
    <d v="2019-06-17T00:00:00"/>
    <n v="10000"/>
    <m/>
    <m/>
    <m/>
    <m/>
    <n v="30000"/>
    <n v="0"/>
    <n v="0"/>
    <m/>
  </r>
  <r>
    <x v="263"/>
    <d v="2019-03-29T00:00:00"/>
    <s v="KIỀU THY"/>
    <x v="144"/>
    <x v="150"/>
    <x v="77"/>
    <x v="7"/>
    <x v="0"/>
    <x v="3"/>
    <x v="5"/>
    <s v="NL2018"/>
    <m/>
    <n v="150"/>
    <n v="30000"/>
    <x v="65"/>
    <n v="210000000"/>
    <x v="3"/>
    <d v="2019-06-15T00:00:00"/>
    <x v="4"/>
    <x v="4"/>
    <s v="05/6AL"/>
    <m/>
    <m/>
    <m/>
    <m/>
    <m/>
    <m/>
    <m/>
    <m/>
    <m/>
    <m/>
    <m/>
    <n v="0"/>
    <n v="30000"/>
    <n v="210000000"/>
    <m/>
  </r>
  <r>
    <x v="265"/>
    <d v="2019-01-05T00:00:00"/>
    <s v="KIỀU THY"/>
    <x v="144"/>
    <x v="150"/>
    <x v="24"/>
    <x v="7"/>
    <x v="0"/>
    <x v="4"/>
    <x v="14"/>
    <s v="NL2018"/>
    <m/>
    <n v="240"/>
    <n v="30000"/>
    <x v="26"/>
    <n v="324000000"/>
    <x v="2"/>
    <d v="2019-09-01T00:00:00"/>
    <x v="2"/>
    <x v="2"/>
    <s v="TẾT"/>
    <m/>
    <m/>
    <m/>
    <m/>
    <n v="0"/>
    <m/>
    <m/>
    <m/>
    <m/>
    <m/>
    <m/>
    <n v="0"/>
    <n v="30000"/>
    <n v="324000000"/>
    <m/>
  </r>
  <r>
    <x v="265"/>
    <d v="2019-01-05T00:00:00"/>
    <s v="KIỀU THY"/>
    <x v="144"/>
    <x v="150"/>
    <x v="24"/>
    <x v="7"/>
    <x v="0"/>
    <x v="4"/>
    <x v="14"/>
    <s v="NL2018"/>
    <m/>
    <n v="80"/>
    <n v="10000"/>
    <x v="27"/>
    <n v="110000000"/>
    <x v="2"/>
    <d v="2019-09-01T00:00:00"/>
    <x v="2"/>
    <x v="2"/>
    <s v="TẾT"/>
    <m/>
    <m/>
    <m/>
    <m/>
    <n v="0"/>
    <m/>
    <m/>
    <m/>
    <m/>
    <m/>
    <m/>
    <n v="0"/>
    <n v="10000"/>
    <n v="110000000"/>
    <m/>
  </r>
  <r>
    <x v="264"/>
    <d v="2019-01-05T00:00:00"/>
    <s v="KIỀU THY"/>
    <x v="144"/>
    <x v="150"/>
    <x v="77"/>
    <x v="7"/>
    <x v="0"/>
    <x v="3"/>
    <x v="5"/>
    <s v="NL2018"/>
    <m/>
    <n v="140"/>
    <n v="28000"/>
    <x v="73"/>
    <n v="176400000"/>
    <x v="0"/>
    <d v="2019-01-15T00:00:00"/>
    <x v="6"/>
    <x v="6"/>
    <s v="15/1AL"/>
    <m/>
    <m/>
    <m/>
    <d v="2019-02-19T00:00:00"/>
    <n v="28000"/>
    <m/>
    <m/>
    <m/>
    <m/>
    <m/>
    <m/>
    <n v="28000"/>
    <n v="0"/>
    <n v="0"/>
    <m/>
  </r>
  <r>
    <x v="264"/>
    <d v="2019-01-05T00:00:00"/>
    <s v="KIỀU THY"/>
    <x v="144"/>
    <x v="150"/>
    <x v="77"/>
    <x v="7"/>
    <x v="0"/>
    <x v="3"/>
    <x v="5"/>
    <s v="NL2018"/>
    <m/>
    <n v="100"/>
    <n v="20000"/>
    <x v="73"/>
    <n v="126000000"/>
    <x v="0"/>
    <d v="2019-02-15T00:00:00"/>
    <x v="0"/>
    <x v="0"/>
    <s v="15/2AL"/>
    <s v="CONT 11/2019"/>
    <d v="2019-03-17T00:00:00"/>
    <m/>
    <d v="2019-03-19T00:00:00"/>
    <n v="20000"/>
    <m/>
    <m/>
    <m/>
    <m/>
    <m/>
    <m/>
    <n v="20000"/>
    <n v="0"/>
    <n v="0"/>
    <m/>
  </r>
  <r>
    <x v="264"/>
    <d v="2019-01-05T00:00:00"/>
    <s v="KIỀU THY"/>
    <x v="144"/>
    <x v="150"/>
    <x v="77"/>
    <x v="7"/>
    <x v="0"/>
    <x v="3"/>
    <x v="5"/>
    <s v="NL2018"/>
    <m/>
    <n v="80"/>
    <n v="16000"/>
    <x v="73"/>
    <n v="100800000"/>
    <x v="0"/>
    <d v="2019-02-28T00:00:00"/>
    <x v="16"/>
    <x v="16"/>
    <s v="28/2AL"/>
    <s v="CONT 14/2019"/>
    <d v="2019-03-31T00:00:00"/>
    <m/>
    <d v="2019-04-15T00:00:00"/>
    <n v="16000"/>
    <m/>
    <m/>
    <m/>
    <m/>
    <m/>
    <m/>
    <n v="16000"/>
    <n v="0"/>
    <n v="0"/>
    <s v="giảm 9000 củ do sl nhập về ko đủ"/>
  </r>
  <r>
    <x v="266"/>
    <d v="2019-04-01T00:00:00"/>
    <s v="THANH THÚY"/>
    <x v="145"/>
    <x v="151"/>
    <x v="32"/>
    <x v="18"/>
    <x v="0"/>
    <x v="2"/>
    <x v="6"/>
    <s v="NL2018"/>
    <m/>
    <n v="7"/>
    <n v="2100"/>
    <x v="39"/>
    <n v="8820000"/>
    <x v="0"/>
    <d v="2019-03-10T00:00:00"/>
    <x v="24"/>
    <x v="24"/>
    <s v="15/3AL"/>
    <m/>
    <m/>
    <m/>
    <d v="2019-04-17T00:00:00"/>
    <n v="2100"/>
    <m/>
    <m/>
    <m/>
    <m/>
    <m/>
    <m/>
    <n v="2100"/>
    <n v="0"/>
    <n v="0"/>
    <m/>
  </r>
  <r>
    <x v="267"/>
    <d v="2019-12-21T00:00:00"/>
    <s v="THANH THÚY"/>
    <x v="145"/>
    <x v="151"/>
    <x v="33"/>
    <x v="18"/>
    <x v="0"/>
    <x v="3"/>
    <x v="5"/>
    <s v="NL2018"/>
    <m/>
    <n v="25"/>
    <n v="5000"/>
    <x v="41"/>
    <n v="30500000"/>
    <x v="2"/>
    <d v="2019-09-01T00:00:00"/>
    <x v="2"/>
    <x v="2"/>
    <s v="TẾT"/>
    <m/>
    <m/>
    <m/>
    <m/>
    <m/>
    <m/>
    <m/>
    <m/>
    <m/>
    <m/>
    <m/>
    <n v="0"/>
    <n v="5000"/>
    <n v="30500000"/>
    <m/>
  </r>
  <r>
    <x v="267"/>
    <d v="2019-12-21T00:00:00"/>
    <s v="THANH THÚY"/>
    <x v="145"/>
    <x v="151"/>
    <x v="22"/>
    <x v="3"/>
    <x v="0"/>
    <x v="8"/>
    <x v="11"/>
    <s v="NL2018"/>
    <m/>
    <n v="70"/>
    <n v="7000"/>
    <x v="25"/>
    <n v="87500000"/>
    <x v="2"/>
    <d v="2019-09-01T00:00:00"/>
    <x v="2"/>
    <x v="2"/>
    <s v="TẾT"/>
    <m/>
    <m/>
    <m/>
    <m/>
    <m/>
    <m/>
    <m/>
    <m/>
    <m/>
    <m/>
    <m/>
    <n v="0"/>
    <n v="7000"/>
    <n v="87500000"/>
    <m/>
  </r>
  <r>
    <x v="266"/>
    <d v="2019-06-05T00:00:00"/>
    <s v="THANH THÚY"/>
    <x v="145"/>
    <x v="151"/>
    <x v="39"/>
    <x v="22"/>
    <x v="0"/>
    <x v="7"/>
    <x v="8"/>
    <s v="NL2018"/>
    <m/>
    <n v="8"/>
    <n v="3200"/>
    <x v="38"/>
    <n v="9280000"/>
    <x v="0"/>
    <d v="2019-04-17T00:00:00"/>
    <x v="1"/>
    <x v="1"/>
    <s v="29/4AL"/>
    <m/>
    <m/>
    <m/>
    <d v="2019-06-06T00:00:00"/>
    <n v="3200"/>
    <m/>
    <m/>
    <m/>
    <m/>
    <m/>
    <m/>
    <n v="3200"/>
    <n v="0"/>
    <n v="0"/>
    <m/>
  </r>
  <r>
    <x v="268"/>
    <d v="2019-12-21T00:00:00"/>
    <s v="THANH THÚY"/>
    <x v="145"/>
    <x v="151"/>
    <x v="42"/>
    <x v="23"/>
    <x v="0"/>
    <x v="7"/>
    <x v="8"/>
    <s v="NL2018"/>
    <m/>
    <n v="63"/>
    <n v="25200"/>
    <x v="44"/>
    <n v="75600000"/>
    <x v="0"/>
    <d v="2019-01-15T00:00:00"/>
    <x v="6"/>
    <x v="6"/>
    <s v="15/1AL"/>
    <m/>
    <m/>
    <m/>
    <d v="2019-02-22T00:00:00"/>
    <n v="17600"/>
    <d v="2019-04-23T00:00:00"/>
    <n v="6000"/>
    <d v="2019-05-02T00:00:00"/>
    <n v="1600"/>
    <m/>
    <m/>
    <n v="25200"/>
    <n v="0"/>
    <n v="0"/>
    <m/>
  </r>
  <r>
    <x v="268"/>
    <d v="2019-12-21T00:00:00"/>
    <s v="THANH THÚY"/>
    <x v="145"/>
    <x v="151"/>
    <x v="42"/>
    <x v="23"/>
    <x v="0"/>
    <x v="7"/>
    <x v="8"/>
    <s v="NL2018"/>
    <m/>
    <n v="75"/>
    <n v="30000"/>
    <x v="44"/>
    <n v="90000000"/>
    <x v="0"/>
    <d v="2019-03-10T00:00:00"/>
    <x v="24"/>
    <x v="24"/>
    <s v="15/3AL"/>
    <s v="CONT 20/2019"/>
    <m/>
    <m/>
    <d v="2019-05-02T00:00:00"/>
    <n v="4400"/>
    <d v="2019-05-08T00:00:00"/>
    <n v="5200"/>
    <d v="2019-05-17T00:00:00"/>
    <n v="20400"/>
    <m/>
    <m/>
    <n v="30000"/>
    <n v="0"/>
    <n v="0"/>
    <m/>
  </r>
  <r>
    <x v="266"/>
    <d v="2019-04-01T00:00:00"/>
    <s v="THANH THÚY"/>
    <x v="145"/>
    <x v="151"/>
    <x v="42"/>
    <x v="23"/>
    <x v="0"/>
    <x v="7"/>
    <x v="8"/>
    <s v="NL2018"/>
    <m/>
    <n v="10"/>
    <n v="4000"/>
    <x v="44"/>
    <n v="12000000"/>
    <x v="0"/>
    <d v="2019-03-10T00:00:00"/>
    <x v="24"/>
    <x v="24"/>
    <s v="15/3AL"/>
    <m/>
    <m/>
    <m/>
    <m/>
    <n v="4000"/>
    <m/>
    <m/>
    <m/>
    <m/>
    <m/>
    <m/>
    <n v="4000"/>
    <n v="0"/>
    <n v="0"/>
    <m/>
  </r>
  <r>
    <x v="266"/>
    <d v="2019-04-01T00:00:00"/>
    <s v="THANH THÚY"/>
    <x v="145"/>
    <x v="151"/>
    <x v="42"/>
    <x v="23"/>
    <x v="0"/>
    <x v="7"/>
    <x v="8"/>
    <s v="NL2018"/>
    <m/>
    <n v="49"/>
    <n v="19600"/>
    <x v="51"/>
    <n v="62720000"/>
    <x v="0"/>
    <d v="2019-04-29T00:00:00"/>
    <x v="11"/>
    <x v="11"/>
    <s v="29/4AL"/>
    <m/>
    <m/>
    <m/>
    <d v="2019-06-14T00:00:00"/>
    <n v="5600"/>
    <d v="2019-06-17T00:00:00"/>
    <n v="8000"/>
    <d v="2019-06-23T00:00:00"/>
    <n v="6000"/>
    <m/>
    <m/>
    <n v="19600"/>
    <n v="0"/>
    <n v="0"/>
    <m/>
  </r>
  <r>
    <x v="267"/>
    <d v="2019-12-21T00:00:00"/>
    <s v="THANH THÚY"/>
    <x v="145"/>
    <x v="151"/>
    <x v="57"/>
    <x v="32"/>
    <x v="0"/>
    <x v="11"/>
    <x v="19"/>
    <s v="NL2018"/>
    <m/>
    <n v="27"/>
    <n v="2025"/>
    <x v="56"/>
    <n v="32400000"/>
    <x v="2"/>
    <d v="2019-09-01T00:00:00"/>
    <x v="2"/>
    <x v="2"/>
    <s v="TẾT"/>
    <m/>
    <m/>
    <m/>
    <m/>
    <m/>
    <m/>
    <m/>
    <m/>
    <m/>
    <m/>
    <m/>
    <n v="0"/>
    <n v="2025"/>
    <n v="32400000"/>
    <m/>
  </r>
  <r>
    <x v="268"/>
    <d v="2019-12-21T00:00:00"/>
    <s v="THANH THÚY"/>
    <x v="145"/>
    <x v="151"/>
    <x v="50"/>
    <x v="30"/>
    <x v="0"/>
    <x v="7"/>
    <x v="8"/>
    <s v="NL2018"/>
    <m/>
    <n v="23"/>
    <n v="9200"/>
    <x v="36"/>
    <n v="25760000"/>
    <x v="0"/>
    <d v="2019-02-15T00:00:00"/>
    <x v="0"/>
    <x v="0"/>
    <s v="15/2AL"/>
    <s v="CONT 9/2019"/>
    <m/>
    <m/>
    <d v="2019-03-29T00:00:00"/>
    <n v="4800"/>
    <d v="2019-04-01T00:00:00"/>
    <n v="4400"/>
    <m/>
    <m/>
    <m/>
    <m/>
    <n v="9200"/>
    <n v="0"/>
    <n v="0"/>
    <m/>
  </r>
  <r>
    <x v="266"/>
    <d v="2019-04-01T00:00:00"/>
    <s v="THANH THÚY"/>
    <x v="145"/>
    <x v="151"/>
    <x v="52"/>
    <x v="30"/>
    <x v="0"/>
    <x v="2"/>
    <x v="15"/>
    <s v="NL2018"/>
    <m/>
    <n v="15"/>
    <n v="4125"/>
    <x v="39"/>
    <n v="17325000"/>
    <x v="0"/>
    <s v="ÔNG LỘC"/>
    <x v="35"/>
    <x v="35"/>
    <s v="15/3AL"/>
    <m/>
    <m/>
    <m/>
    <d v="2019-04-17T00:00:00"/>
    <n v="4125"/>
    <m/>
    <m/>
    <m/>
    <m/>
    <m/>
    <m/>
    <n v="4125"/>
    <n v="0"/>
    <n v="0"/>
    <m/>
  </r>
  <r>
    <x v="266"/>
    <d v="2019-04-01T00:00:00"/>
    <s v="THANH THÚY"/>
    <x v="145"/>
    <x v="151"/>
    <x v="51"/>
    <x v="30"/>
    <x v="0"/>
    <x v="2"/>
    <x v="6"/>
    <s v="NL2018"/>
    <m/>
    <n v="0"/>
    <n v="0"/>
    <x v="14"/>
    <n v="0"/>
    <x v="1"/>
    <d v="2019-04-29T00:00:00"/>
    <x v="11"/>
    <x v="11"/>
    <s v="29/4AL"/>
    <m/>
    <m/>
    <m/>
    <m/>
    <m/>
    <m/>
    <m/>
    <m/>
    <m/>
    <m/>
    <m/>
    <n v="0"/>
    <n v="0"/>
    <n v="0"/>
    <m/>
  </r>
  <r>
    <x v="269"/>
    <d v="2019-03-11T00:00:00"/>
    <s v="KIỀU THY"/>
    <x v="146"/>
    <x v="152"/>
    <x v="2"/>
    <x v="2"/>
    <x v="0"/>
    <x v="2"/>
    <x v="6"/>
    <s v="NL2018"/>
    <m/>
    <n v="10"/>
    <n v="3000"/>
    <x v="106"/>
    <n v="10800000"/>
    <x v="0"/>
    <d v="2019-04-17T00:00:00"/>
    <x v="1"/>
    <x v="1"/>
    <s v="15/4AL"/>
    <m/>
    <m/>
    <m/>
    <d v="2019-05-20T00:00:00"/>
    <n v="3000"/>
    <m/>
    <m/>
    <m/>
    <m/>
    <m/>
    <m/>
    <n v="3000"/>
    <n v="0"/>
    <n v="0"/>
    <m/>
  </r>
  <r>
    <x v="269"/>
    <d v="2019-03-11T00:00:00"/>
    <s v="KIỀU THY"/>
    <x v="146"/>
    <x v="152"/>
    <x v="3"/>
    <x v="3"/>
    <x v="0"/>
    <x v="15"/>
    <x v="5"/>
    <s v="NL2018"/>
    <m/>
    <n v="15"/>
    <n v="3000"/>
    <x v="42"/>
    <n v="14400000"/>
    <x v="0"/>
    <d v="2019-03-15T00:00:00"/>
    <x v="5"/>
    <x v="5"/>
    <s v="15/3AL"/>
    <s v="CONT 25/2019"/>
    <d v="2019-04-14T00:00:00"/>
    <m/>
    <d v="2019-04-24T00:00:00"/>
    <n v="3000"/>
    <m/>
    <m/>
    <m/>
    <m/>
    <m/>
    <m/>
    <n v="3000"/>
    <n v="0"/>
    <n v="0"/>
    <m/>
  </r>
  <r>
    <x v="269"/>
    <d v="2019-03-11T00:00:00"/>
    <s v="KIỀU THY"/>
    <x v="146"/>
    <x v="152"/>
    <x v="3"/>
    <x v="3"/>
    <x v="0"/>
    <x v="15"/>
    <x v="5"/>
    <s v="NL2018"/>
    <m/>
    <n v="15"/>
    <n v="3000"/>
    <x v="42"/>
    <n v="14400000"/>
    <x v="0"/>
    <d v="2019-03-15T00:00:00"/>
    <x v="5"/>
    <x v="5"/>
    <s v="15/3AL"/>
    <m/>
    <m/>
    <m/>
    <d v="2019-04-24T00:00:00"/>
    <n v="3000"/>
    <m/>
    <m/>
    <m/>
    <m/>
    <m/>
    <m/>
    <n v="3000"/>
    <n v="0"/>
    <n v="0"/>
    <m/>
  </r>
  <r>
    <x v="269"/>
    <d v="2019-03-11T00:00:00"/>
    <s v="KIỀU THY"/>
    <x v="146"/>
    <x v="152"/>
    <x v="3"/>
    <x v="3"/>
    <x v="0"/>
    <x v="15"/>
    <x v="5"/>
    <s v="NL2018"/>
    <m/>
    <n v="35"/>
    <n v="7000"/>
    <x v="8"/>
    <n v="35000000"/>
    <x v="0"/>
    <d v="2019-04-17T00:00:00"/>
    <x v="1"/>
    <x v="1"/>
    <s v="15/4AL"/>
    <m/>
    <m/>
    <m/>
    <d v="2019-05-20T00:00:00"/>
    <n v="7000"/>
    <m/>
    <m/>
    <m/>
    <m/>
    <m/>
    <m/>
    <n v="7000"/>
    <n v="0"/>
    <n v="0"/>
    <m/>
  </r>
  <r>
    <x v="270"/>
    <d v="2019-04-24T00:00:00"/>
    <s v="KIỀU THY"/>
    <x v="146"/>
    <x v="152"/>
    <x v="3"/>
    <x v="3"/>
    <x v="0"/>
    <x v="15"/>
    <x v="5"/>
    <s v="NL2018"/>
    <m/>
    <n v="35"/>
    <n v="7000"/>
    <x v="29"/>
    <n v="40600000"/>
    <x v="2"/>
    <d v="2019-09-01T00:00:00"/>
    <x v="2"/>
    <x v="2"/>
    <s v="TẾT"/>
    <m/>
    <m/>
    <m/>
    <m/>
    <m/>
    <m/>
    <m/>
    <m/>
    <m/>
    <m/>
    <m/>
    <n v="0"/>
    <n v="7000"/>
    <n v="40600000"/>
    <m/>
  </r>
  <r>
    <x v="269"/>
    <d v="2019-03-11T00:00:00"/>
    <s v="KIỀU THY"/>
    <x v="146"/>
    <x v="152"/>
    <x v="112"/>
    <x v="26"/>
    <x v="0"/>
    <x v="14"/>
    <x v="17"/>
    <s v="NL2018"/>
    <m/>
    <n v="5"/>
    <n v="1250"/>
    <x v="84"/>
    <n v="7125000"/>
    <x v="0"/>
    <d v="2019-03-15T00:00:00"/>
    <x v="5"/>
    <x v="5"/>
    <s v="15/3AL"/>
    <m/>
    <m/>
    <m/>
    <d v="2019-04-24T00:00:00"/>
    <n v="1250"/>
    <m/>
    <m/>
    <m/>
    <m/>
    <m/>
    <m/>
    <n v="1250"/>
    <n v="0"/>
    <n v="0"/>
    <m/>
  </r>
  <r>
    <x v="269"/>
    <d v="2019-03-11T00:00:00"/>
    <s v="KIỀU THY"/>
    <x v="146"/>
    <x v="152"/>
    <x v="6"/>
    <x v="4"/>
    <x v="0"/>
    <x v="15"/>
    <x v="5"/>
    <s v="NL2018"/>
    <m/>
    <n v="5"/>
    <n v="1000"/>
    <x v="8"/>
    <n v="5000000"/>
    <x v="0"/>
    <d v="2019-03-15T00:00:00"/>
    <x v="5"/>
    <x v="5"/>
    <s v="15/3AL"/>
    <s v="CONT 21/2019"/>
    <d v="2019-04-14T00:00:00"/>
    <m/>
    <d v="2019-04-24T00:00:00"/>
    <n v="1000"/>
    <m/>
    <m/>
    <m/>
    <m/>
    <m/>
    <m/>
    <n v="1000"/>
    <n v="0"/>
    <n v="0"/>
    <m/>
  </r>
  <r>
    <x v="270"/>
    <d v="2019-04-24T00:00:00"/>
    <s v="KIỀU THY"/>
    <x v="146"/>
    <x v="152"/>
    <x v="8"/>
    <x v="4"/>
    <x v="0"/>
    <x v="1"/>
    <x v="9"/>
    <s v="NL2018"/>
    <m/>
    <n v="20"/>
    <n v="3000"/>
    <x v="9"/>
    <n v="24000000"/>
    <x v="2"/>
    <d v="2019-09-01T00:00:00"/>
    <x v="2"/>
    <x v="2"/>
    <s v="TẾT"/>
    <m/>
    <m/>
    <m/>
    <m/>
    <m/>
    <m/>
    <m/>
    <m/>
    <m/>
    <m/>
    <m/>
    <n v="0"/>
    <n v="3000"/>
    <n v="24000000"/>
    <m/>
  </r>
  <r>
    <x v="271"/>
    <d v="2019-05-21T00:00:00"/>
    <s v="KIỀU THY"/>
    <x v="147"/>
    <x v="153"/>
    <x v="99"/>
    <x v="2"/>
    <x v="0"/>
    <x v="1"/>
    <x v="1"/>
    <s v="NL2018"/>
    <m/>
    <n v="67"/>
    <n v="10050"/>
    <x v="11"/>
    <n v="77385000"/>
    <x v="2"/>
    <d v="2019-09-01T00:00:00"/>
    <x v="2"/>
    <x v="2"/>
    <s v="TẾT"/>
    <m/>
    <m/>
    <m/>
    <m/>
    <m/>
    <m/>
    <m/>
    <m/>
    <m/>
    <m/>
    <m/>
    <n v="0"/>
    <n v="10050"/>
    <n v="77385000"/>
    <m/>
  </r>
  <r>
    <x v="271"/>
    <d v="2019-05-21T00:00:00"/>
    <s v="KIỀU THY"/>
    <x v="147"/>
    <x v="153"/>
    <x v="85"/>
    <x v="6"/>
    <x v="0"/>
    <x v="1"/>
    <x v="1"/>
    <s v="NL2018"/>
    <m/>
    <n v="67"/>
    <n v="10050"/>
    <x v="62"/>
    <n v="109545000"/>
    <x v="2"/>
    <d v="2019-09-01T00:00:00"/>
    <x v="2"/>
    <x v="2"/>
    <s v="TẾT"/>
    <m/>
    <m/>
    <m/>
    <m/>
    <m/>
    <m/>
    <m/>
    <m/>
    <m/>
    <m/>
    <m/>
    <n v="0"/>
    <n v="10050"/>
    <n v="109545000"/>
    <m/>
  </r>
  <r>
    <x v="272"/>
    <d v="2019-06-18T00:00:00"/>
    <s v="KIỀU THY"/>
    <x v="147"/>
    <x v="153"/>
    <x v="58"/>
    <x v="33"/>
    <x v="0"/>
    <x v="2"/>
    <x v="2"/>
    <s v="NL2018"/>
    <m/>
    <n v="34"/>
    <n v="10200"/>
    <x v="37"/>
    <n v="41820000"/>
    <x v="3"/>
    <d v="2019-06-15T00:00:00"/>
    <x v="4"/>
    <x v="4"/>
    <m/>
    <m/>
    <m/>
    <m/>
    <m/>
    <m/>
    <m/>
    <m/>
    <m/>
    <m/>
    <m/>
    <m/>
    <n v="0"/>
    <n v="10200"/>
    <n v="41820000"/>
    <m/>
  </r>
  <r>
    <x v="272"/>
    <d v="2019-05-21T00:00:00"/>
    <s v="KIỀU THY"/>
    <x v="147"/>
    <x v="153"/>
    <x v="47"/>
    <x v="27"/>
    <x v="0"/>
    <x v="2"/>
    <x v="2"/>
    <s v="NL2018"/>
    <m/>
    <n v="7"/>
    <n v="2100"/>
    <x v="49"/>
    <n v="9240000"/>
    <x v="2"/>
    <d v="2019-06-25T00:00:00"/>
    <x v="19"/>
    <x v="19"/>
    <m/>
    <m/>
    <m/>
    <m/>
    <m/>
    <m/>
    <m/>
    <m/>
    <m/>
    <m/>
    <m/>
    <m/>
    <n v="0"/>
    <n v="2100"/>
    <n v="9240000"/>
    <m/>
  </r>
  <r>
    <x v="272"/>
    <d v="2019-05-28T00:00:00"/>
    <s v="KIỀU THY"/>
    <x v="147"/>
    <x v="153"/>
    <x v="9"/>
    <x v="5"/>
    <x v="0"/>
    <x v="3"/>
    <x v="3"/>
    <s v="NL2018"/>
    <m/>
    <n v="31"/>
    <n v="6200"/>
    <x v="6"/>
    <n v="33480000"/>
    <x v="0"/>
    <d v="2019-04-17T00:00:00"/>
    <x v="1"/>
    <x v="1"/>
    <m/>
    <m/>
    <m/>
    <m/>
    <d v="2019-06-14T00:00:00"/>
    <n v="6200"/>
    <m/>
    <m/>
    <m/>
    <m/>
    <m/>
    <m/>
    <n v="6200"/>
    <n v="0"/>
    <n v="0"/>
    <m/>
  </r>
  <r>
    <x v="272"/>
    <d v="2019-05-18T00:00:00"/>
    <s v="KIỀU THY"/>
    <x v="147"/>
    <x v="153"/>
    <x v="51"/>
    <x v="30"/>
    <x v="0"/>
    <x v="2"/>
    <x v="2"/>
    <s v="NL2018"/>
    <m/>
    <n v="34"/>
    <n v="10200"/>
    <x v="14"/>
    <n v="45900000"/>
    <x v="3"/>
    <d v="2019-05-30T00:00:00"/>
    <x v="17"/>
    <x v="17"/>
    <m/>
    <m/>
    <m/>
    <m/>
    <m/>
    <m/>
    <m/>
    <m/>
    <m/>
    <m/>
    <m/>
    <m/>
    <n v="0"/>
    <n v="10200"/>
    <n v="45900000"/>
    <m/>
  </r>
  <r>
    <x v="272"/>
    <d v="2019-05-21T00:00:00"/>
    <s v="KIỀU THY"/>
    <x v="147"/>
    <x v="153"/>
    <x v="51"/>
    <x v="30"/>
    <x v="0"/>
    <x v="2"/>
    <x v="2"/>
    <s v="NL2018"/>
    <m/>
    <n v="27"/>
    <n v="8100"/>
    <x v="28"/>
    <n v="37260000"/>
    <x v="2"/>
    <d v="2019-06-25T00:00:00"/>
    <x v="19"/>
    <x v="19"/>
    <m/>
    <m/>
    <m/>
    <m/>
    <m/>
    <m/>
    <m/>
    <m/>
    <m/>
    <m/>
    <m/>
    <m/>
    <n v="0"/>
    <n v="8100"/>
    <n v="37260000"/>
    <m/>
  </r>
  <r>
    <x v="273"/>
    <d v="2019-01-15T00:00:00"/>
    <s v="KIỀU THY"/>
    <x v="148"/>
    <x v="154"/>
    <x v="0"/>
    <x v="0"/>
    <x v="0"/>
    <x v="7"/>
    <x v="8"/>
    <s v="NL2018"/>
    <m/>
    <n v="6"/>
    <n v="2400"/>
    <x v="0"/>
    <n v="6240000"/>
    <x v="0"/>
    <d v="2019-01-15T00:00:00"/>
    <x v="6"/>
    <x v="6"/>
    <s v="15/1AL"/>
    <m/>
    <m/>
    <s v="R"/>
    <d v="2019-02-22T00:00:00"/>
    <n v="2400"/>
    <m/>
    <m/>
    <m/>
    <m/>
    <m/>
    <m/>
    <n v="2400"/>
    <n v="0"/>
    <n v="0"/>
    <m/>
  </r>
  <r>
    <x v="273"/>
    <d v="2019-01-15T00:00:00"/>
    <s v="KIỀU THY"/>
    <x v="148"/>
    <x v="154"/>
    <x v="33"/>
    <x v="18"/>
    <x v="0"/>
    <x v="3"/>
    <x v="5"/>
    <s v="NL2018"/>
    <m/>
    <n v="5"/>
    <n v="1000"/>
    <x v="41"/>
    <n v="6100000"/>
    <x v="2"/>
    <d v="2019-09-01T00:00:00"/>
    <x v="2"/>
    <x v="2"/>
    <s v="TẾT"/>
    <m/>
    <m/>
    <m/>
    <m/>
    <m/>
    <m/>
    <m/>
    <m/>
    <m/>
    <m/>
    <m/>
    <n v="0"/>
    <n v="1000"/>
    <n v="6100000"/>
    <m/>
  </r>
  <r>
    <x v="273"/>
    <d v="2019-01-15T00:00:00"/>
    <s v="KIỀU THY"/>
    <x v="148"/>
    <x v="154"/>
    <x v="39"/>
    <x v="22"/>
    <x v="0"/>
    <x v="7"/>
    <x v="8"/>
    <s v="NL2018"/>
    <m/>
    <n v="6"/>
    <n v="2400"/>
    <x v="36"/>
    <n v="6720000"/>
    <x v="0"/>
    <d v="2019-01-15T00:00:00"/>
    <x v="6"/>
    <x v="6"/>
    <s v="15/1AL"/>
    <m/>
    <m/>
    <s v="R"/>
    <d v="2019-02-22T00:00:00"/>
    <n v="2400"/>
    <m/>
    <m/>
    <m/>
    <m/>
    <m/>
    <m/>
    <n v="2400"/>
    <n v="0"/>
    <n v="0"/>
    <m/>
  </r>
  <r>
    <x v="273"/>
    <d v="2019-01-15T00:00:00"/>
    <s v="KIỀU THY"/>
    <x v="148"/>
    <x v="154"/>
    <x v="39"/>
    <x v="22"/>
    <x v="0"/>
    <x v="7"/>
    <x v="8"/>
    <s v="NL2018"/>
    <m/>
    <n v="6"/>
    <n v="2400"/>
    <x v="36"/>
    <n v="6720000"/>
    <x v="0"/>
    <s v="30-Feb-19"/>
    <x v="29"/>
    <x v="29"/>
    <s v="30/2AL"/>
    <s v="CONT 14/2019"/>
    <d v="2019-03-31T00:00:00"/>
    <s v="R"/>
    <d v="2019-04-03T00:00:00"/>
    <n v="2400"/>
    <m/>
    <m/>
    <m/>
    <m/>
    <m/>
    <m/>
    <n v="2400"/>
    <n v="0"/>
    <n v="0"/>
    <m/>
  </r>
  <r>
    <x v="273"/>
    <d v="2019-01-15T00:00:00"/>
    <s v="KIỀU THY"/>
    <x v="148"/>
    <x v="154"/>
    <x v="42"/>
    <x v="23"/>
    <x v="0"/>
    <x v="7"/>
    <x v="8"/>
    <s v="NL2018"/>
    <m/>
    <n v="6"/>
    <n v="2400"/>
    <x v="44"/>
    <n v="7200000"/>
    <x v="0"/>
    <d v="2019-01-15T00:00:00"/>
    <x v="6"/>
    <x v="6"/>
    <s v="15/1AL"/>
    <m/>
    <m/>
    <s v="R"/>
    <d v="2019-02-22T00:00:00"/>
    <n v="2400"/>
    <m/>
    <m/>
    <m/>
    <m/>
    <m/>
    <m/>
    <n v="2400"/>
    <n v="0"/>
    <n v="0"/>
    <m/>
  </r>
  <r>
    <x v="273"/>
    <d v="2019-01-15T00:00:00"/>
    <s v="KIỀU THY"/>
    <x v="148"/>
    <x v="154"/>
    <x v="50"/>
    <x v="30"/>
    <x v="0"/>
    <x v="7"/>
    <x v="8"/>
    <s v="NL2018"/>
    <m/>
    <n v="12"/>
    <n v="4800"/>
    <x v="36"/>
    <n v="13440000"/>
    <x v="0"/>
    <s v="30-Feb-19"/>
    <x v="29"/>
    <x v="29"/>
    <s v="30/2AL"/>
    <s v="CONT 16/2019"/>
    <d v="2019-03-31T00:00:00"/>
    <s v="R"/>
    <d v="2019-04-03T00:00:00"/>
    <n v="4800"/>
    <m/>
    <m/>
    <m/>
    <m/>
    <m/>
    <m/>
    <n v="4800"/>
    <n v="0"/>
    <n v="0"/>
    <m/>
  </r>
  <r>
    <x v="274"/>
    <d v="2019-05-20T00:00:00"/>
    <s v="KIỀU THY"/>
    <x v="149"/>
    <x v="155"/>
    <x v="4"/>
    <x v="3"/>
    <x v="0"/>
    <x v="4"/>
    <x v="14"/>
    <s v="NL2018"/>
    <m/>
    <n v="80"/>
    <n v="10000"/>
    <x v="33"/>
    <n v="107000000"/>
    <x v="2"/>
    <d v="2019-09-01T00:00:00"/>
    <x v="2"/>
    <x v="2"/>
    <s v="TẾT"/>
    <m/>
    <m/>
    <m/>
    <m/>
    <m/>
    <m/>
    <m/>
    <m/>
    <m/>
    <m/>
    <m/>
    <n v="0"/>
    <n v="10000"/>
    <n v="107000000"/>
    <m/>
  </r>
  <r>
    <x v="274"/>
    <d v="2019-02-16T00:00:00"/>
    <s v="KIỀU THY"/>
    <x v="149"/>
    <x v="155"/>
    <x v="6"/>
    <x v="39"/>
    <x v="0"/>
    <x v="3"/>
    <x v="5"/>
    <s v="NL2018"/>
    <m/>
    <n v="0"/>
    <n v="0"/>
    <x v="12"/>
    <n v="0"/>
    <x v="1"/>
    <d v="2019-07-15T00:00:00"/>
    <x v="39"/>
    <x v="39"/>
    <s v="NHẮC KH CỌC. KH TRỒNG RẰM THÁNG 7"/>
    <m/>
    <m/>
    <s v="CHƯA CỌC, CHƯA XẾP LỊCH"/>
    <m/>
    <n v="0"/>
    <m/>
    <m/>
    <m/>
    <m/>
    <m/>
    <m/>
    <n v="0"/>
    <n v="0"/>
    <n v="0"/>
    <m/>
  </r>
  <r>
    <x v="274"/>
    <d v="2019-05-20T00:00:00"/>
    <s v="KIỀU THY"/>
    <x v="149"/>
    <x v="155"/>
    <x v="7"/>
    <x v="39"/>
    <x v="0"/>
    <x v="4"/>
    <x v="14"/>
    <s v="NL2018"/>
    <m/>
    <n v="80"/>
    <n v="10000"/>
    <x v="34"/>
    <n v="106000000"/>
    <x v="2"/>
    <d v="2019-09-01T00:00:00"/>
    <x v="2"/>
    <x v="2"/>
    <s v="TẾT"/>
    <m/>
    <m/>
    <m/>
    <m/>
    <m/>
    <m/>
    <m/>
    <m/>
    <m/>
    <m/>
    <m/>
    <n v="0"/>
    <n v="10000"/>
    <n v="106000000"/>
    <m/>
  </r>
  <r>
    <x v="275"/>
    <d v="2019-04-09T00:00:00"/>
    <s v="THANH THÚY"/>
    <x v="150"/>
    <x v="156"/>
    <x v="181"/>
    <x v="67"/>
    <x v="0"/>
    <x v="4"/>
    <x v="4"/>
    <s v="CL2019"/>
    <m/>
    <n v="160"/>
    <n v="20000"/>
    <x v="192"/>
    <n v="246000000"/>
    <x v="2"/>
    <d v="2019-09-01T00:00:00"/>
    <x v="2"/>
    <x v="2"/>
    <s v="TẾT"/>
    <m/>
    <m/>
    <m/>
    <m/>
    <n v="0"/>
    <m/>
    <m/>
    <m/>
    <m/>
    <m/>
    <m/>
    <n v="0"/>
    <n v="20000"/>
    <n v="246000000"/>
    <m/>
  </r>
  <r>
    <x v="275"/>
    <d v="2019-04-09T00:00:00"/>
    <s v="THANH THÚY"/>
    <x v="150"/>
    <x v="156"/>
    <x v="64"/>
    <x v="32"/>
    <x v="0"/>
    <x v="8"/>
    <x v="12"/>
    <s v="NL2018"/>
    <m/>
    <n v="200"/>
    <n v="20000"/>
    <x v="110"/>
    <n v="308000000"/>
    <x v="2"/>
    <d v="2019-09-01T00:00:00"/>
    <x v="2"/>
    <x v="2"/>
    <s v="TẾT"/>
    <m/>
    <m/>
    <m/>
    <m/>
    <n v="0"/>
    <m/>
    <m/>
    <m/>
    <m/>
    <m/>
    <m/>
    <n v="0"/>
    <n v="20000"/>
    <n v="308000000"/>
    <m/>
  </r>
  <r>
    <x v="276"/>
    <d v="2019-04-29T00:00:00"/>
    <s v="KIỀU THY"/>
    <x v="151"/>
    <x v="157"/>
    <x v="74"/>
    <x v="0"/>
    <x v="0"/>
    <x v="2"/>
    <x v="2"/>
    <s v="NL2018"/>
    <m/>
    <n v="20"/>
    <n v="6000"/>
    <x v="45"/>
    <n v="24000000"/>
    <x v="3"/>
    <d v="2019-06-15T00:00:00"/>
    <x v="4"/>
    <x v="4"/>
    <m/>
    <m/>
    <m/>
    <m/>
    <m/>
    <m/>
    <m/>
    <m/>
    <m/>
    <m/>
    <m/>
    <m/>
    <n v="0"/>
    <n v="6000"/>
    <n v="24000000"/>
    <m/>
  </r>
  <r>
    <x v="276"/>
    <d v="2019-04-29T00:00:00"/>
    <s v="KIỀU THY"/>
    <x v="151"/>
    <x v="157"/>
    <x v="39"/>
    <x v="22"/>
    <x v="0"/>
    <x v="7"/>
    <x v="0"/>
    <s v="NL2018"/>
    <m/>
    <n v="18"/>
    <n v="7200"/>
    <x v="38"/>
    <n v="20880000"/>
    <x v="0"/>
    <d v="2019-05-05T00:00:00"/>
    <x v="27"/>
    <x v="27"/>
    <s v="5/5AL"/>
    <m/>
    <m/>
    <m/>
    <d v="2019-06-08T00:00:00"/>
    <n v="5200"/>
    <d v="2019-06-18T00:00:00"/>
    <s v="2000"/>
    <m/>
    <m/>
    <m/>
    <m/>
    <n v="7200"/>
    <n v="0"/>
    <n v="0"/>
    <m/>
  </r>
  <r>
    <x v="276"/>
    <d v="2019-05-08T00:00:00"/>
    <s v="KIỀU THY"/>
    <x v="151"/>
    <x v="157"/>
    <x v="39"/>
    <x v="22"/>
    <x v="0"/>
    <x v="7"/>
    <x v="0"/>
    <s v="NL2018"/>
    <m/>
    <n v="0"/>
    <n v="0"/>
    <x v="38"/>
    <n v="0"/>
    <x v="1"/>
    <d v="2019-05-25T00:00:00"/>
    <x v="45"/>
    <x v="45"/>
    <m/>
    <m/>
    <m/>
    <m/>
    <m/>
    <m/>
    <m/>
    <m/>
    <m/>
    <m/>
    <m/>
    <m/>
    <n v="0"/>
    <n v="0"/>
    <n v="0"/>
    <m/>
  </r>
  <r>
    <x v="276"/>
    <d v="2019-04-29T00:00:00"/>
    <s v="KIỀU THY"/>
    <x v="151"/>
    <x v="157"/>
    <x v="58"/>
    <x v="33"/>
    <x v="0"/>
    <x v="2"/>
    <x v="2"/>
    <s v="NL2018"/>
    <m/>
    <n v="14"/>
    <n v="4200"/>
    <x v="37"/>
    <n v="17220000"/>
    <x v="3"/>
    <d v="2019-06-15T00:00:00"/>
    <x v="4"/>
    <x v="4"/>
    <m/>
    <m/>
    <m/>
    <m/>
    <m/>
    <m/>
    <m/>
    <m/>
    <m/>
    <m/>
    <m/>
    <m/>
    <n v="0"/>
    <n v="4200"/>
    <n v="17220000"/>
    <m/>
  </r>
  <r>
    <x v="276"/>
    <d v="2019-04-29T00:00:00"/>
    <s v="KIỀU THY"/>
    <x v="151"/>
    <x v="157"/>
    <x v="51"/>
    <x v="30"/>
    <x v="0"/>
    <x v="2"/>
    <x v="2"/>
    <s v="NL2018"/>
    <m/>
    <n v="50"/>
    <n v="15000"/>
    <x v="14"/>
    <n v="67500000"/>
    <x v="0"/>
    <d v="2019-05-05T00:00:00"/>
    <x v="27"/>
    <x v="27"/>
    <s v="5/5AL"/>
    <m/>
    <m/>
    <m/>
    <d v="2019-06-08T00:00:00"/>
    <n v="15000"/>
    <m/>
    <m/>
    <m/>
    <m/>
    <m/>
    <m/>
    <n v="15000"/>
    <n v="0"/>
    <n v="0"/>
    <m/>
  </r>
  <r>
    <x v="276"/>
    <d v="2019-05-08T00:00:00"/>
    <s v="KIỀU THY"/>
    <x v="151"/>
    <x v="157"/>
    <x v="52"/>
    <x v="30"/>
    <x v="0"/>
    <x v="2"/>
    <x v="21"/>
    <s v="NL2018"/>
    <m/>
    <n v="0"/>
    <n v="0"/>
    <x v="14"/>
    <n v="0"/>
    <x v="1"/>
    <d v="2019-05-18T00:00:00"/>
    <x v="3"/>
    <x v="3"/>
    <m/>
    <m/>
    <m/>
    <m/>
    <m/>
    <m/>
    <m/>
    <m/>
    <m/>
    <m/>
    <m/>
    <m/>
    <n v="0"/>
    <n v="0"/>
    <n v="0"/>
    <m/>
  </r>
  <r>
    <x v="277"/>
    <d v="2019-02-19T00:00:00"/>
    <s v="KIỀU THY"/>
    <x v="152"/>
    <x v="158"/>
    <x v="0"/>
    <x v="0"/>
    <x v="0"/>
    <x v="7"/>
    <x v="8"/>
    <s v="NL2018"/>
    <m/>
    <n v="10"/>
    <n v="4000"/>
    <x v="0"/>
    <n v="10400000"/>
    <x v="0"/>
    <d v="2019-01-15T00:00:00"/>
    <x v="6"/>
    <x v="6"/>
    <s v="15/1AL"/>
    <m/>
    <m/>
    <s v="R"/>
    <d v="2019-02-22T00:00:00"/>
    <n v="4000"/>
    <m/>
    <m/>
    <m/>
    <m/>
    <m/>
    <m/>
    <n v="4000"/>
    <n v="0"/>
    <n v="0"/>
    <m/>
  </r>
  <r>
    <x v="277"/>
    <d v="2019-02-19T00:00:00"/>
    <s v="KIỀU THY"/>
    <x v="152"/>
    <x v="158"/>
    <x v="0"/>
    <x v="0"/>
    <x v="0"/>
    <x v="7"/>
    <x v="8"/>
    <s v="NL2018"/>
    <m/>
    <n v="5"/>
    <n v="2000"/>
    <x v="0"/>
    <n v="5200000"/>
    <x v="0"/>
    <s v="30-Feb-19"/>
    <x v="29"/>
    <x v="29"/>
    <s v="30/2AL"/>
    <s v="CONT 18/2019"/>
    <d v="2019-03-31T00:00:00"/>
    <m/>
    <d v="2019-04-03T00:00:00"/>
    <n v="2000"/>
    <m/>
    <m/>
    <m/>
    <m/>
    <m/>
    <m/>
    <n v="2000"/>
    <n v="0"/>
    <n v="0"/>
    <m/>
  </r>
  <r>
    <x v="277"/>
    <d v="2019-06-22T00:00:00"/>
    <s v="KIỀU THY"/>
    <x v="152"/>
    <x v="158"/>
    <x v="23"/>
    <x v="11"/>
    <x v="0"/>
    <x v="2"/>
    <x v="2"/>
    <s v="NL2018"/>
    <m/>
    <n v="2"/>
    <n v="600"/>
    <x v="10"/>
    <n v="3300000"/>
    <x v="4"/>
    <d v="2019-05-23T00:00:00"/>
    <x v="77"/>
    <x v="77"/>
    <m/>
    <m/>
    <m/>
    <m/>
    <m/>
    <m/>
    <m/>
    <m/>
    <m/>
    <m/>
    <m/>
    <m/>
    <n v="0"/>
    <n v="600"/>
    <n v="3300000"/>
    <m/>
  </r>
  <r>
    <x v="278"/>
    <d v="2019-06-22T00:00:00"/>
    <s v="KIỀU THY"/>
    <x v="152"/>
    <x v="158"/>
    <x v="182"/>
    <x v="32"/>
    <x v="0"/>
    <x v="11"/>
    <x v="13"/>
    <s v="NL2018"/>
    <m/>
    <n v="63"/>
    <n v="5040"/>
    <x v="193"/>
    <n v="83160000"/>
    <x v="2"/>
    <d v="2019-09-01T00:00:00"/>
    <x v="2"/>
    <x v="2"/>
    <m/>
    <m/>
    <m/>
    <m/>
    <m/>
    <m/>
    <m/>
    <m/>
    <m/>
    <m/>
    <m/>
    <m/>
    <n v="0"/>
    <n v="5040"/>
    <n v="83160000"/>
    <m/>
  </r>
  <r>
    <x v="278"/>
    <d v="2019-06-22T00:00:00"/>
    <s v="KIỀU THY"/>
    <x v="152"/>
    <x v="158"/>
    <x v="59"/>
    <x v="11"/>
    <x v="0"/>
    <x v="4"/>
    <x v="4"/>
    <s v="NL2018"/>
    <m/>
    <n v="24"/>
    <n v="3000"/>
    <x v="107"/>
    <n v="42900000"/>
    <x v="2"/>
    <d v="2019-09-01T00:00:00"/>
    <x v="2"/>
    <x v="2"/>
    <m/>
    <m/>
    <m/>
    <m/>
    <m/>
    <m/>
    <m/>
    <m/>
    <m/>
    <m/>
    <m/>
    <m/>
    <n v="0"/>
    <n v="3000"/>
    <n v="42900000"/>
    <m/>
  </r>
  <r>
    <x v="277"/>
    <d v="2019-02-19T00:00:00"/>
    <s v="KIỀU THY"/>
    <x v="152"/>
    <x v="158"/>
    <x v="58"/>
    <x v="33"/>
    <x v="0"/>
    <x v="2"/>
    <x v="6"/>
    <s v="NL2018"/>
    <m/>
    <n v="14"/>
    <n v="4200"/>
    <x v="77"/>
    <n v="15960000"/>
    <x v="0"/>
    <d v="2019-04-17T00:00:00"/>
    <x v="1"/>
    <x v="1"/>
    <s v="30/3AL"/>
    <m/>
    <m/>
    <m/>
    <d v="2019-05-19T00:00:00"/>
    <n v="4200"/>
    <m/>
    <m/>
    <m/>
    <m/>
    <m/>
    <m/>
    <n v="4200"/>
    <n v="0"/>
    <n v="0"/>
    <m/>
  </r>
  <r>
    <x v="279"/>
    <d v="2019-02-22T00:00:00"/>
    <s v="KIỀU THY"/>
    <x v="153"/>
    <x v="159"/>
    <x v="32"/>
    <x v="18"/>
    <x v="0"/>
    <x v="2"/>
    <x v="6"/>
    <s v="NL2018"/>
    <m/>
    <n v="10"/>
    <n v="3000"/>
    <x v="37"/>
    <n v="12300000"/>
    <x v="0"/>
    <d v="2019-03-15T00:00:00"/>
    <x v="5"/>
    <x v="5"/>
    <s v="15/3AL"/>
    <s v="CONT 24/2019"/>
    <d v="2019-04-14T00:00:00"/>
    <m/>
    <d v="2019-04-03T00:00:00"/>
    <n v="3000"/>
    <m/>
    <m/>
    <m/>
    <m/>
    <m/>
    <m/>
    <n v="3000"/>
    <n v="0"/>
    <n v="0"/>
    <m/>
  </r>
  <r>
    <x v="279"/>
    <d v="2019-02-22T00:00:00"/>
    <s v="KIỀU THY"/>
    <x v="153"/>
    <x v="159"/>
    <x v="32"/>
    <x v="18"/>
    <x v="0"/>
    <x v="2"/>
    <x v="6"/>
    <s v="NL2018"/>
    <m/>
    <n v="10"/>
    <n v="3000"/>
    <x v="37"/>
    <n v="12300000"/>
    <x v="0"/>
    <d v="2019-04-17T00:00:00"/>
    <x v="1"/>
    <x v="1"/>
    <s v="30/3AL"/>
    <m/>
    <m/>
    <m/>
    <d v="2019-05-24T00:00:00"/>
    <n v="3000"/>
    <m/>
    <m/>
    <m/>
    <m/>
    <m/>
    <m/>
    <n v="3000"/>
    <n v="0"/>
    <n v="0"/>
    <m/>
  </r>
  <r>
    <x v="280"/>
    <d v="2019-04-04T00:00:00"/>
    <s v="KIỀU THY"/>
    <x v="153"/>
    <x v="159"/>
    <x v="33"/>
    <x v="18"/>
    <x v="0"/>
    <x v="3"/>
    <x v="5"/>
    <s v="NL2018"/>
    <m/>
    <n v="25"/>
    <n v="5000"/>
    <x v="13"/>
    <n v="31000000"/>
    <x v="2"/>
    <d v="2019-09-01T00:00:00"/>
    <x v="2"/>
    <x v="2"/>
    <s v="TẾT"/>
    <m/>
    <m/>
    <m/>
    <m/>
    <m/>
    <m/>
    <m/>
    <m/>
    <m/>
    <m/>
    <m/>
    <n v="0"/>
    <n v="5000"/>
    <n v="31000000"/>
    <m/>
  </r>
  <r>
    <x v="279"/>
    <d v="2019-02-22T00:00:00"/>
    <s v="KIỀU THY"/>
    <x v="153"/>
    <x v="159"/>
    <x v="32"/>
    <x v="18"/>
    <x v="0"/>
    <x v="2"/>
    <x v="6"/>
    <s v="NL2018"/>
    <m/>
    <n v="10"/>
    <n v="3000"/>
    <x v="37"/>
    <n v="12300000"/>
    <x v="0"/>
    <s v="30-Feb-19"/>
    <x v="29"/>
    <x v="29"/>
    <s v="30/2AL"/>
    <s v="CONT 15/2019"/>
    <d v="2019-03-31T00:00:00"/>
    <s v="R"/>
    <d v="2019-05-09T00:00:00"/>
    <n v="3000"/>
    <m/>
    <m/>
    <m/>
    <m/>
    <m/>
    <m/>
    <n v="3000"/>
    <n v="0"/>
    <n v="0"/>
    <m/>
  </r>
  <r>
    <x v="279"/>
    <d v="2019-05-09T00:00:00"/>
    <s v="KIỀU THY"/>
    <x v="153"/>
    <x v="159"/>
    <x v="11"/>
    <x v="6"/>
    <x v="0"/>
    <x v="3"/>
    <x v="5"/>
    <s v="NL2018"/>
    <m/>
    <n v="5"/>
    <n v="1000"/>
    <x v="11"/>
    <n v="7700000"/>
    <x v="0"/>
    <d v="2019-03-15T00:00:00"/>
    <x v="5"/>
    <x v="5"/>
    <s v="15/3AL"/>
    <m/>
    <m/>
    <m/>
    <d v="2019-05-09T00:00:00"/>
    <n v="1000"/>
    <m/>
    <m/>
    <m/>
    <m/>
    <m/>
    <m/>
    <n v="1000"/>
    <n v="0"/>
    <n v="0"/>
    <m/>
  </r>
  <r>
    <x v="280"/>
    <d v="2019-04-04T00:00:00"/>
    <s v="KIỀU THY"/>
    <x v="153"/>
    <x v="159"/>
    <x v="85"/>
    <x v="6"/>
    <x v="0"/>
    <x v="1"/>
    <x v="9"/>
    <s v="NL2018"/>
    <m/>
    <n v="34"/>
    <n v="5100"/>
    <x v="26"/>
    <n v="55080000"/>
    <x v="2"/>
    <d v="2019-09-01T00:00:00"/>
    <x v="2"/>
    <x v="2"/>
    <s v="TẾT"/>
    <m/>
    <m/>
    <m/>
    <m/>
    <m/>
    <m/>
    <m/>
    <m/>
    <m/>
    <m/>
    <m/>
    <n v="0"/>
    <n v="5100"/>
    <n v="55080000"/>
    <m/>
  </r>
  <r>
    <x v="279"/>
    <d v="2019-02-22T00:00:00"/>
    <s v="KIỀU THY"/>
    <x v="153"/>
    <x v="159"/>
    <x v="39"/>
    <x v="22"/>
    <x v="0"/>
    <x v="7"/>
    <x v="8"/>
    <s v="NL2018"/>
    <m/>
    <n v="8"/>
    <n v="3200"/>
    <x v="36"/>
    <n v="8960000"/>
    <x v="0"/>
    <d v="2019-03-15T00:00:00"/>
    <x v="5"/>
    <x v="5"/>
    <s v="15/3AL"/>
    <s v="CONT 20/2019"/>
    <d v="2019-04-14T00:00:00"/>
    <m/>
    <d v="2019-04-03T00:00:00"/>
    <n v="3200"/>
    <m/>
    <m/>
    <m/>
    <m/>
    <m/>
    <m/>
    <n v="3200"/>
    <n v="0"/>
    <n v="0"/>
    <m/>
  </r>
  <r>
    <x v="279"/>
    <d v="2019-02-22T00:00:00"/>
    <s v="KIỀU THY"/>
    <x v="153"/>
    <x v="159"/>
    <x v="39"/>
    <x v="22"/>
    <x v="0"/>
    <x v="7"/>
    <x v="8"/>
    <s v="NL2018"/>
    <m/>
    <n v="8"/>
    <n v="3200"/>
    <x v="36"/>
    <n v="8960000"/>
    <x v="0"/>
    <s v="30-Feb-19"/>
    <x v="29"/>
    <x v="29"/>
    <s v="30/2AL"/>
    <s v="CONT 14/2019"/>
    <d v="2019-03-31T00:00:00"/>
    <s v="R"/>
    <d v="2019-05-09T00:00:00"/>
    <n v="3200"/>
    <m/>
    <m/>
    <m/>
    <m/>
    <m/>
    <m/>
    <n v="3200"/>
    <n v="0"/>
    <n v="0"/>
    <m/>
  </r>
  <r>
    <x v="279"/>
    <d v="2019-05-30T00:00:00"/>
    <s v="KIỀU THY"/>
    <x v="153"/>
    <x v="159"/>
    <x v="58"/>
    <x v="33"/>
    <x v="0"/>
    <x v="2"/>
    <x v="6"/>
    <s v="NL2018"/>
    <m/>
    <n v="0"/>
    <n v="0"/>
    <x v="37"/>
    <n v="0"/>
    <x v="1"/>
    <d v="2019-06-15T00:00:00"/>
    <x v="4"/>
    <x v="4"/>
    <m/>
    <m/>
    <m/>
    <m/>
    <m/>
    <m/>
    <m/>
    <m/>
    <m/>
    <m/>
    <m/>
    <m/>
    <n v="0"/>
    <n v="0"/>
    <n v="0"/>
    <m/>
  </r>
  <r>
    <x v="279"/>
    <d v="2019-02-22T00:00:00"/>
    <s v="KIỀU THY"/>
    <x v="153"/>
    <x v="159"/>
    <x v="58"/>
    <x v="33"/>
    <x v="0"/>
    <x v="2"/>
    <x v="6"/>
    <s v="NL2018"/>
    <m/>
    <n v="10"/>
    <n v="3000"/>
    <x v="77"/>
    <n v="11400000"/>
    <x v="0"/>
    <d v="2019-04-17T00:00:00"/>
    <x v="1"/>
    <x v="1"/>
    <s v="30/3AL"/>
    <m/>
    <m/>
    <m/>
    <d v="2019-05-24T00:00:00"/>
    <n v="3000"/>
    <m/>
    <m/>
    <m/>
    <m/>
    <m/>
    <m/>
    <n v="3000"/>
    <n v="0"/>
    <n v="0"/>
    <m/>
  </r>
  <r>
    <x v="280"/>
    <d v="2019-04-04T00:00:00"/>
    <s v="KIỀU THY"/>
    <x v="153"/>
    <x v="159"/>
    <x v="64"/>
    <x v="32"/>
    <x v="0"/>
    <x v="8"/>
    <x v="11"/>
    <s v="NL2018"/>
    <m/>
    <n v="50"/>
    <n v="5000"/>
    <x v="110"/>
    <n v="77000000"/>
    <x v="2"/>
    <d v="2019-09-01T00:00:00"/>
    <x v="2"/>
    <x v="2"/>
    <s v="TẾT"/>
    <m/>
    <m/>
    <m/>
    <m/>
    <m/>
    <m/>
    <m/>
    <m/>
    <m/>
    <m/>
    <m/>
    <n v="0"/>
    <n v="5000"/>
    <n v="77000000"/>
    <m/>
  </r>
  <r>
    <x v="279"/>
    <d v="2019-05-09T00:00:00"/>
    <s v="KIỀU THY"/>
    <x v="153"/>
    <x v="159"/>
    <x v="47"/>
    <x v="27"/>
    <x v="0"/>
    <x v="2"/>
    <x v="6"/>
    <s v="NL2018"/>
    <m/>
    <n v="10"/>
    <n v="3000"/>
    <x v="39"/>
    <n v="12600000"/>
    <x v="0"/>
    <d v="2019-05-05T00:00:00"/>
    <x v="27"/>
    <x v="27"/>
    <s v="5/5AL"/>
    <m/>
    <m/>
    <m/>
    <d v="2019-06-08T00:00:00"/>
    <n v="3000"/>
    <m/>
    <m/>
    <m/>
    <m/>
    <m/>
    <m/>
    <n v="3000"/>
    <n v="0"/>
    <n v="0"/>
    <m/>
  </r>
  <r>
    <x v="279"/>
    <d v="2019-05-30T00:00:00"/>
    <s v="KIỀU THY"/>
    <x v="153"/>
    <x v="159"/>
    <x v="47"/>
    <x v="27"/>
    <x v="0"/>
    <x v="2"/>
    <x v="6"/>
    <s v="NL2018"/>
    <m/>
    <n v="0"/>
    <n v="0"/>
    <x v="49"/>
    <n v="0"/>
    <x v="1"/>
    <d v="2019-06-15T00:00:00"/>
    <x v="4"/>
    <x v="4"/>
    <m/>
    <m/>
    <m/>
    <m/>
    <m/>
    <m/>
    <m/>
    <m/>
    <m/>
    <m/>
    <m/>
    <m/>
    <n v="0"/>
    <n v="0"/>
    <n v="0"/>
    <m/>
  </r>
  <r>
    <x v="279"/>
    <d v="2019-04-25T00:00:00"/>
    <s v="KIỀU THY"/>
    <x v="153"/>
    <x v="159"/>
    <x v="173"/>
    <x v="95"/>
    <x v="0"/>
    <x v="2"/>
    <x v="6"/>
    <s v="NL2018"/>
    <m/>
    <n v="10"/>
    <n v="3000"/>
    <x v="12"/>
    <n v="14100000"/>
    <x v="0"/>
    <d v="2019-05-05T00:00:00"/>
    <x v="27"/>
    <x v="27"/>
    <s v="5/5AL"/>
    <m/>
    <m/>
    <m/>
    <d v="2019-06-08T00:00:00"/>
    <n v="3000"/>
    <m/>
    <m/>
    <m/>
    <m/>
    <m/>
    <m/>
    <n v="3000"/>
    <n v="0"/>
    <n v="0"/>
    <m/>
  </r>
  <r>
    <x v="280"/>
    <d v="2019-04-04T00:00:00"/>
    <s v="KIỀU THY"/>
    <x v="153"/>
    <x v="159"/>
    <x v="7"/>
    <x v="4"/>
    <x v="0"/>
    <x v="4"/>
    <x v="14"/>
    <s v="NL2018"/>
    <m/>
    <n v="80"/>
    <n v="10000"/>
    <x v="34"/>
    <n v="106000000"/>
    <x v="2"/>
    <d v="2019-09-01T00:00:00"/>
    <x v="2"/>
    <x v="2"/>
    <s v="TẾT"/>
    <m/>
    <m/>
    <m/>
    <m/>
    <m/>
    <m/>
    <m/>
    <m/>
    <m/>
    <m/>
    <m/>
    <n v="0"/>
    <n v="10000"/>
    <n v="106000000"/>
    <m/>
  </r>
  <r>
    <x v="279"/>
    <d v="2019-06-14T00:00:00"/>
    <s v="KIỀU THY"/>
    <x v="153"/>
    <x v="159"/>
    <x v="9"/>
    <x v="5"/>
    <x v="0"/>
    <x v="3"/>
    <x v="5"/>
    <s v="NL2018"/>
    <m/>
    <n v="15"/>
    <n v="3000"/>
    <x v="6"/>
    <n v="16200000"/>
    <x v="0"/>
    <d v="2019-04-17T00:00:00"/>
    <x v="1"/>
    <x v="1"/>
    <m/>
    <m/>
    <m/>
    <m/>
    <d v="2019-06-14T00:00:00"/>
    <n v="3000"/>
    <m/>
    <m/>
    <m/>
    <m/>
    <m/>
    <m/>
    <n v="3000"/>
    <n v="0"/>
    <n v="0"/>
    <m/>
  </r>
  <r>
    <x v="236"/>
    <m/>
    <m/>
    <x v="125"/>
    <x v="160"/>
    <x v="183"/>
    <x v="99"/>
    <x v="0"/>
    <x v="18"/>
    <x v="24"/>
    <m/>
    <m/>
    <m/>
    <m/>
    <x v="53"/>
    <m/>
    <x v="5"/>
    <m/>
    <x v="25"/>
    <x v="25"/>
    <m/>
    <m/>
    <m/>
    <m/>
    <m/>
    <m/>
    <m/>
    <m/>
    <m/>
    <m/>
    <m/>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name="PivotTable1" cacheId="3" applyNumberFormats="0" applyBorderFormats="0" applyFontFormats="0" applyPatternFormats="0" applyAlignmentFormats="0" applyWidthHeightFormats="1" dataCaption="Values" updatedVersion="6" minRefreshableVersion="3" showDrill="0" useAutoFormatting="1" rowGrandTotals="0" colGrandTotals="0" itemPrintTitles="1" createdVersion="6" indent="0" compact="0" compactData="0" gridDropZones="1" multipleFieldFilters="0">
  <location ref="A4:L8" firstHeaderRow="1" firstDataRow="2" firstDataCol="10" rowPageCount="2" colPageCount="1"/>
  <pivotFields count="36">
    <pivotField axis="axisPage" compact="0" outline="0" multipleItemSelectionAllowed="1" showAll="0" defaultSubtotal="0">
      <items count="282">
        <item h="1" x="83"/>
        <item h="1" x="22"/>
        <item h="1" x="229"/>
        <item h="1" x="81"/>
        <item h="1" x="201"/>
        <item h="1" x="215"/>
        <item h="1" x="217"/>
        <item h="1" x="69"/>
        <item h="1" x="269"/>
        <item h="1" x="212"/>
        <item h="1" x="243"/>
        <item h="1" x="72"/>
        <item h="1" x="129"/>
        <item h="1" x="0"/>
        <item h="1" x="99"/>
        <item h="1" x="177"/>
        <item h="1" x="14"/>
        <item h="1" x="214"/>
        <item h="1" x="265"/>
        <item h="1" x="49"/>
        <item h="1" x="26"/>
        <item h="1" x="28"/>
        <item h="1" x="24"/>
        <item h="1" x="138"/>
        <item h="1" x="40"/>
        <item h="1" x="51"/>
        <item h="1" x="53"/>
        <item h="1" x="124"/>
        <item h="1" x="13"/>
        <item h="1" x="264"/>
        <item h="1" x="52"/>
        <item h="1" x="131"/>
        <item h="1" x="86"/>
        <item h="1" x="71"/>
        <item h="1" x="147"/>
        <item h="1" x="273"/>
        <item h="1" x="41"/>
        <item h="1" x="150"/>
        <item h="1" x="123"/>
        <item h="1" x="141"/>
        <item h="1" x="107"/>
        <item h="1" x="250"/>
        <item h="1" x="213"/>
        <item h="1" x="89"/>
        <item h="1" x="274"/>
        <item h="1" x="262"/>
        <item h="1" x="261"/>
        <item h="1" x="34"/>
        <item h="1" x="33"/>
        <item h="1" x="216"/>
        <item h="1" x="219"/>
        <item h="1" x="221"/>
        <item h="1" x="277"/>
        <item h="1" x="161"/>
        <item h="1" x="63"/>
        <item h="1" x="188"/>
        <item h="1" x="279"/>
        <item h="1" x="60"/>
        <item h="1" x="112"/>
        <item h="1" x="97"/>
        <item h="1" x="35"/>
        <item h="1" x="115"/>
        <item h="1" x="149"/>
        <item h="1" x="116"/>
        <item h="1" x="254"/>
        <item h="1" x="139"/>
        <item h="1" x="126"/>
        <item h="1" x="146"/>
        <item h="1" x="257"/>
        <item h="1" x="10"/>
        <item h="1" x="93"/>
        <item h="1" x="36"/>
        <item h="1" x="233"/>
        <item h="1" x="246"/>
        <item h="1" x="194"/>
        <item h="1" x="160"/>
        <item h="1" x="159"/>
        <item h="1" x="236"/>
        <item h="1" x="94"/>
        <item h="1" x="148"/>
        <item h="1" x="200"/>
        <item h="1" x="151"/>
        <item h="1" x="109"/>
        <item h="1" x="56"/>
        <item h="1" x="231"/>
        <item h="1" x="29"/>
        <item h="1" x="133"/>
        <item h="1" x="167"/>
        <item h="1" x="176"/>
        <item h="1" x="218"/>
        <item h="1" x="1"/>
        <item h="1" x="67"/>
        <item h="1" x="66"/>
        <item h="1" x="25"/>
        <item h="1" x="70"/>
        <item h="1" x="110"/>
        <item h="1" x="85"/>
        <item h="1" x="263"/>
        <item h="1" x="12"/>
        <item h="1" x="11"/>
        <item h="1" x="211"/>
        <item h="1" x="113"/>
        <item h="1" x="114"/>
        <item h="1" x="21"/>
        <item h="1" x="100"/>
        <item h="1" x="61"/>
        <item h="1" x="98"/>
        <item h="1" x="108"/>
        <item h="1" x="280"/>
        <item h="1" x="238"/>
        <item h="1" x="130"/>
        <item h="1" x="23"/>
        <item h="1" x="232"/>
        <item h="1" x="128"/>
        <item h="1" x="144"/>
        <item h="1" x="145"/>
        <item h="1" x="132"/>
        <item h="1" x="180"/>
        <item h="1" x="27"/>
        <item h="1" x="54"/>
        <item h="1" x="199"/>
        <item h="1" x="73"/>
        <item h="1" x="15"/>
        <item h="1" x="222"/>
        <item h="1" x="168"/>
        <item h="1" x="125"/>
        <item h="1" x="90"/>
        <item h="1" x="2"/>
        <item h="1" x="3"/>
        <item h="1" x="101"/>
        <item h="1" x="140"/>
        <item h="1" x="242"/>
        <item h="1" x="241"/>
        <item h="1" x="38"/>
        <item h="1" x="39"/>
        <item h="1" x="37"/>
        <item h="1" x="202"/>
        <item h="1" x="179"/>
        <item h="1" x="102"/>
        <item h="1" x="57"/>
        <item h="1" x="142"/>
        <item h="1" x="270"/>
        <item h="1" x="45"/>
        <item h="1" x="255"/>
        <item h="1" x="276"/>
        <item h="1" x="256"/>
        <item h="1" x="258"/>
        <item h="1" x="121"/>
        <item h="1" x="122"/>
        <item h="1" x="181"/>
        <item h="1" x="195"/>
        <item h="1" x="59"/>
        <item h="1" x="237"/>
        <item h="1" x="248"/>
        <item h="1" x="272"/>
        <item h="1" x="162"/>
        <item h="1" x="249"/>
        <item h="1" x="271"/>
        <item h="1" x="220"/>
        <item h="1" x="74"/>
        <item h="1" x="163"/>
        <item h="1" x="103"/>
        <item h="1" x="17"/>
        <item h="1" x="198"/>
        <item h="1" x="79"/>
        <item h="1" x="171"/>
        <item h="1" x="4"/>
        <item h="1" x="5"/>
        <item h="1" x="7"/>
        <item h="1" x="9"/>
        <item h="1" x="8"/>
        <item h="1" x="16"/>
        <item h="1" x="18"/>
        <item h="1" x="19"/>
        <item h="1" x="20"/>
        <item h="1" x="30"/>
        <item h="1" x="31"/>
        <item h="1" x="32"/>
        <item h="1" x="42"/>
        <item h="1" x="43"/>
        <item h="1" x="44"/>
        <item h="1" x="50"/>
        <item h="1" x="55"/>
        <item h="1" x="62"/>
        <item h="1" x="64"/>
        <item h="1" x="65"/>
        <item h="1" x="75"/>
        <item h="1" x="76"/>
        <item h="1" x="78"/>
        <item h="1" x="77"/>
        <item h="1" x="84"/>
        <item h="1" x="96"/>
        <item h="1" x="95"/>
        <item h="1" x="104"/>
        <item h="1" x="105"/>
        <item h="1" x="117"/>
        <item h="1" x="118"/>
        <item h="1" x="120"/>
        <item h="1" x="119"/>
        <item h="1" x="134"/>
        <item h="1" x="135"/>
        <item h="1" x="136"/>
        <item h="1" x="137"/>
        <item h="1" x="152"/>
        <item h="1" x="153"/>
        <item h="1" x="155"/>
        <item h="1" x="156"/>
        <item h="1" x="157"/>
        <item h="1" x="158"/>
        <item h="1" x="164"/>
        <item h="1" x="170"/>
        <item h="1" x="169"/>
        <item h="1" x="172"/>
        <item h="1" x="173"/>
        <item h="1" x="175"/>
        <item h="1" x="174"/>
        <item h="1" x="182"/>
        <item h="1" x="183"/>
        <item h="1" x="185"/>
        <item h="1" x="186"/>
        <item h="1" x="187"/>
        <item h="1" x="190"/>
        <item h="1" x="191"/>
        <item h="1" x="197"/>
        <item h="1" x="204"/>
        <item h="1" x="203"/>
        <item h="1" x="205"/>
        <item h="1" x="206"/>
        <item h="1" x="207"/>
        <item h="1" x="208"/>
        <item h="1" x="209"/>
        <item h="1" x="210"/>
        <item h="1" x="223"/>
        <item h="1" x="226"/>
        <item h="1" x="224"/>
        <item h="1" x="225"/>
        <item h="1" x="227"/>
        <item h="1" x="234"/>
        <item h="1" x="235"/>
        <item h="1" x="239"/>
        <item h="1" x="240"/>
        <item h="1" x="247"/>
        <item h="1" x="251"/>
        <item h="1" x="252"/>
        <item h="1" x="253"/>
        <item h="1" x="268"/>
        <item h="1" x="266"/>
        <item h="1" x="267"/>
        <item h="1" x="275"/>
        <item h="1" x="46"/>
        <item h="1" x="47"/>
        <item h="1" x="178"/>
        <item h="1" x="91"/>
        <item h="1" x="106"/>
        <item h="1" x="245"/>
        <item h="1" x="260"/>
        <item h="1" x="127"/>
        <item x="87"/>
        <item h="1" x="80"/>
        <item h="1" x="88"/>
        <item h="1" x="189"/>
        <item h="1" x="184"/>
        <item h="1" x="58"/>
        <item h="1" x="166"/>
        <item h="1" x="259"/>
        <item h="1" x="196"/>
        <item h="1" x="143"/>
        <item h="1" x="92"/>
        <item h="1" x="192"/>
        <item m="1" x="281"/>
        <item h="1" x="48"/>
        <item h="1" x="230"/>
        <item h="1" x="228"/>
        <item h="1" x="165"/>
        <item h="1" x="244"/>
        <item h="1" x="193"/>
        <item h="1" x="278"/>
        <item h="1" x="6"/>
        <item h="1" x="111"/>
        <item h="1" x="68"/>
        <item h="1" x="82"/>
        <item h="1" x="154"/>
      </items>
      <extLst>
        <ext xmlns:x14="http://schemas.microsoft.com/office/spreadsheetml/2009/9/main" uri="{2946ED86-A175-432a-8AC1-64E0C546D7DE}">
          <x14:pivotField fillDownLabels="1"/>
        </ext>
      </extLst>
    </pivotField>
    <pivotField compact="0" outline="0" multipleItemSelectionAllowed="1"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showAll="0" defaultSubtotal="0">
      <items count="164">
        <item x="66"/>
        <item x="67"/>
        <item x="6"/>
        <item x="83"/>
        <item x="143"/>
        <item x="44"/>
        <item x="115"/>
        <item x="144"/>
        <item x="25"/>
        <item x="12"/>
        <item x="146"/>
        <item x="50"/>
        <item x="71"/>
        <item x="72"/>
        <item x="39"/>
        <item x="20"/>
        <item x="152"/>
        <item x="74"/>
        <item x="35"/>
        <item x="132"/>
        <item x="26"/>
        <item x="0"/>
        <item x="40"/>
        <item x="30"/>
        <item x="130"/>
        <item x="64"/>
        <item x="89"/>
        <item x="116"/>
        <item x="75"/>
        <item x="108"/>
        <item x="109"/>
        <item x="76"/>
        <item x="142"/>
        <item x="4"/>
        <item x="5"/>
        <item x="77"/>
        <item x="135"/>
        <item x="82"/>
        <item x="92"/>
        <item x="84"/>
        <item m="1" x="162"/>
        <item x="11"/>
        <item x="87"/>
        <item m="1" x="160"/>
        <item x="148"/>
        <item x="33"/>
        <item x="96"/>
        <item x="49"/>
        <item m="1" x="155"/>
        <item m="1" x="154"/>
        <item x="55"/>
        <item x="100"/>
        <item x="16"/>
        <item x="121"/>
        <item x="36"/>
        <item x="138"/>
        <item x="140"/>
        <item x="42"/>
        <item x="59"/>
        <item x="17"/>
        <item x="149"/>
        <item x="122"/>
        <item x="57"/>
        <item x="123"/>
        <item x="19"/>
        <item x="18"/>
        <item x="114"/>
        <item x="104"/>
        <item m="1" x="158"/>
        <item x="34"/>
        <item x="28"/>
        <item x="125"/>
        <item m="1" x="163"/>
        <item x="56"/>
        <item x="13"/>
        <item x="69"/>
        <item x="153"/>
        <item x="113"/>
        <item x="58"/>
        <item x="47"/>
        <item x="118"/>
        <item x="127"/>
        <item x="68"/>
        <item x="94"/>
        <item x="7"/>
        <item x="65"/>
        <item x="51"/>
        <item x="129"/>
        <item m="1" x="157"/>
        <item x="22"/>
        <item x="151"/>
        <item x="95"/>
        <item m="1" x="156"/>
        <item x="63"/>
        <item x="134"/>
        <item x="85"/>
        <item x="126"/>
        <item x="52"/>
        <item x="9"/>
        <item x="1"/>
        <item x="2"/>
        <item x="3"/>
        <item x="8"/>
        <item x="10"/>
        <item x="14"/>
        <item x="15"/>
        <item x="21"/>
        <item x="27"/>
        <item x="29"/>
        <item x="31"/>
        <item x="32"/>
        <item x="37"/>
        <item x="41"/>
        <item x="48"/>
        <item x="53"/>
        <item x="54"/>
        <item x="61"/>
        <item x="62"/>
        <item x="70"/>
        <item x="78"/>
        <item x="79"/>
        <item x="80"/>
        <item x="81"/>
        <item x="86"/>
        <item x="88"/>
        <item x="90"/>
        <item x="91"/>
        <item x="97"/>
        <item x="99"/>
        <item x="101"/>
        <item x="106"/>
        <item x="110"/>
        <item x="111"/>
        <item x="112"/>
        <item x="119"/>
        <item x="120"/>
        <item x="124"/>
        <item x="128"/>
        <item x="133"/>
        <item x="136"/>
        <item x="137"/>
        <item x="145"/>
        <item x="150"/>
        <item x="23"/>
        <item m="1" x="161"/>
        <item x="139"/>
        <item x="24"/>
        <item x="93"/>
        <item x="45"/>
        <item x="131"/>
        <item x="107"/>
        <item x="43"/>
        <item x="38"/>
        <item x="98"/>
        <item x="147"/>
        <item x="141"/>
        <item x="105"/>
        <item x="73"/>
        <item m="1" x="159"/>
        <item x="46"/>
        <item x="102"/>
        <item x="103"/>
        <item x="60"/>
        <item x="117"/>
      </items>
      <extLst>
        <ext xmlns:x14="http://schemas.microsoft.com/office/spreadsheetml/2009/9/main" uri="{2946ED86-A175-432a-8AC1-64E0C546D7DE}">
          <x14:pivotField fillDownLabels="1"/>
        </ext>
      </extLst>
    </pivotField>
    <pivotField axis="axisRow" compact="0" outline="0" showAll="0" defaultSubtotal="0">
      <items count="16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m="1" x="161"/>
        <item x="110"/>
        <item x="111"/>
        <item x="112"/>
        <item x="113"/>
        <item x="114"/>
        <item x="115"/>
        <item x="116"/>
        <item x="117"/>
        <item x="118"/>
        <item x="120"/>
        <item x="121"/>
        <item x="122"/>
        <item x="123"/>
        <item x="124"/>
        <item x="125"/>
        <item x="126"/>
        <item x="127"/>
        <item x="128"/>
        <item x="129"/>
        <item x="130"/>
        <item x="131"/>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19"/>
        <item x="132"/>
      </items>
      <extLst>
        <ext xmlns:x14="http://schemas.microsoft.com/office/spreadsheetml/2009/9/main" uri="{2946ED86-A175-432a-8AC1-64E0C546D7DE}">
          <x14:pivotField fillDownLabels="1"/>
        </ext>
      </extLst>
    </pivotField>
    <pivotField axis="axisRow" compact="0" outline="0" showAll="0" sortType="ascending" defaultSubtotal="0">
      <items count="240">
        <item m="1" x="192"/>
        <item m="1" x="218"/>
        <item m="1" x="211"/>
        <item x="53"/>
        <item x="129"/>
        <item m="1" x="200"/>
        <item x="50"/>
        <item x="52"/>
        <item x="51"/>
        <item m="1" x="219"/>
        <item x="110"/>
        <item x="111"/>
        <item x="171"/>
        <item m="1" x="223"/>
        <item x="9"/>
        <item x="170"/>
        <item x="61"/>
        <item m="1" x="226"/>
        <item x="60"/>
        <item x="136"/>
        <item x="13"/>
        <item x="77"/>
        <item x="19"/>
        <item x="128"/>
        <item x="24"/>
        <item x="133"/>
        <item x="96"/>
        <item x="174"/>
        <item x="175"/>
        <item x="49"/>
        <item x="120"/>
        <item x="157"/>
        <item x="119"/>
        <item x="121"/>
        <item m="1" x="222"/>
        <item x="169"/>
        <item x="135"/>
        <item x="168"/>
        <item x="155"/>
        <item x="156"/>
        <item x="48"/>
        <item x="132"/>
        <item m="1" x="210"/>
        <item x="82"/>
        <item x="6"/>
        <item x="8"/>
        <item x="159"/>
        <item x="7"/>
        <item x="81"/>
        <item m="1" x="217"/>
        <item x="21"/>
        <item m="1" x="232"/>
        <item x="14"/>
        <item x="104"/>
        <item m="1" x="235"/>
        <item x="154"/>
        <item x="180"/>
        <item m="1" x="208"/>
        <item x="23"/>
        <item x="117"/>
        <item x="118"/>
        <item x="59"/>
        <item x="95"/>
        <item x="167"/>
        <item x="153"/>
        <item x="173"/>
        <item x="47"/>
        <item x="152"/>
        <item m="1" x="230"/>
        <item m="1" x="231"/>
        <item x="112"/>
        <item x="46"/>
        <item x="100"/>
        <item x="94"/>
        <item x="177"/>
        <item m="1" x="201"/>
        <item x="44"/>
        <item x="45"/>
        <item x="150"/>
        <item x="151"/>
        <item m="1" x="184"/>
        <item x="123"/>
        <item m="1" x="196"/>
        <item x="80"/>
        <item x="28"/>
        <item x="76"/>
        <item m="1" x="205"/>
        <item x="149"/>
        <item x="116"/>
        <item x="89"/>
        <item x="27"/>
        <item m="1" x="206"/>
        <item x="131"/>
        <item x="65"/>
        <item m="1" x="214"/>
        <item x="103"/>
        <item x="130"/>
        <item x="148"/>
        <item m="1" x="207"/>
        <item x="69"/>
        <item x="88"/>
        <item x="26"/>
        <item x="70"/>
        <item x="179"/>
        <item x="79"/>
        <item x="75"/>
        <item x="106"/>
        <item x="62"/>
        <item m="1" x="221"/>
        <item x="64"/>
        <item x="101"/>
        <item x="57"/>
        <item x="182"/>
        <item m="1" x="204"/>
        <item x="98"/>
        <item m="1" x="234"/>
        <item x="125"/>
        <item x="43"/>
        <item x="147"/>
        <item x="146"/>
        <item x="68"/>
        <item m="1" x="188"/>
        <item x="58"/>
        <item m="1" x="203"/>
        <item x="72"/>
        <item x="42"/>
        <item x="56"/>
        <item x="158"/>
        <item x="178"/>
        <item x="134"/>
        <item x="107"/>
        <item x="138"/>
        <item x="127"/>
        <item m="1" x="190"/>
        <item x="145"/>
        <item m="1" x="212"/>
        <item x="115"/>
        <item m="1" x="233"/>
        <item x="39"/>
        <item x="40"/>
        <item x="41"/>
        <item x="166"/>
        <item m="1" x="227"/>
        <item m="1" x="195"/>
        <item x="78"/>
        <item x="12"/>
        <item x="172"/>
        <item x="11"/>
        <item x="162"/>
        <item x="85"/>
        <item x="84"/>
        <item x="38"/>
        <item x="20"/>
        <item m="1" x="215"/>
        <item x="114"/>
        <item x="105"/>
        <item m="1" x="194"/>
        <item m="1" x="225"/>
        <item x="93"/>
        <item x="3"/>
        <item x="5"/>
        <item x="124"/>
        <item m="1" x="189"/>
        <item x="4"/>
        <item x="86"/>
        <item m="1" x="186"/>
        <item x="22"/>
        <item x="55"/>
        <item m="1" x="202"/>
        <item x="137"/>
        <item x="87"/>
        <item m="1" x="209"/>
        <item x="176"/>
        <item x="165"/>
        <item x="97"/>
        <item m="1" x="220"/>
        <item x="25"/>
        <item x="144"/>
        <item m="1" x="238"/>
        <item x="2"/>
        <item x="83"/>
        <item x="99"/>
        <item x="71"/>
        <item x="37"/>
        <item x="164"/>
        <item x="92"/>
        <item x="109"/>
        <item m="1" x="216"/>
        <item x="142"/>
        <item x="143"/>
        <item m="1" x="191"/>
        <item x="15"/>
        <item m="1" x="187"/>
        <item x="16"/>
        <item x="141"/>
        <item x="36"/>
        <item x="35"/>
        <item x="140"/>
        <item x="34"/>
        <item x="163"/>
        <item x="10"/>
        <item m="1" x="193"/>
        <item m="1" x="236"/>
        <item x="126"/>
        <item x="1"/>
        <item x="181"/>
        <item x="63"/>
        <item m="1" x="213"/>
        <item m="1" x="239"/>
        <item x="18"/>
        <item m="1" x="185"/>
        <item x="113"/>
        <item x="31"/>
        <item x="32"/>
        <item x="33"/>
        <item m="1" x="228"/>
        <item x="17"/>
        <item x="102"/>
        <item x="66"/>
        <item x="67"/>
        <item x="139"/>
        <item x="108"/>
        <item m="1" x="197"/>
        <item m="1" x="237"/>
        <item m="1" x="224"/>
        <item x="0"/>
        <item m="1" x="198"/>
        <item x="74"/>
        <item m="1" x="199"/>
        <item x="54"/>
        <item x="122"/>
        <item x="29"/>
        <item x="30"/>
        <item x="73"/>
        <item m="1" x="229"/>
        <item x="90"/>
        <item x="91"/>
        <item x="160"/>
        <item x="161"/>
        <item x="183"/>
      </items>
      <extLst>
        <ext xmlns:x14="http://schemas.microsoft.com/office/spreadsheetml/2009/9/main" uri="{2946ED86-A175-432a-8AC1-64E0C546D7DE}">
          <x14:pivotField fillDownLabels="1"/>
        </ext>
      </extLst>
    </pivotField>
    <pivotField axis="axisRow" compact="0" outline="0" showAll="0" sortType="descending" defaultSubtotal="0">
      <items count="114">
        <item x="99"/>
        <item x="88"/>
        <item x="45"/>
        <item x="43"/>
        <item x="16"/>
        <item m="1" x="106"/>
        <item x="0"/>
        <item x="17"/>
        <item m="1" x="111"/>
        <item x="57"/>
        <item x="74"/>
        <item x="75"/>
        <item x="34"/>
        <item x="9"/>
        <item x="18"/>
        <item x="10"/>
        <item m="1" x="107"/>
        <item x="70"/>
        <item x="67"/>
        <item x="41"/>
        <item x="1"/>
        <item x="76"/>
        <item x="19"/>
        <item x="20"/>
        <item x="77"/>
        <item x="8"/>
        <item x="78"/>
        <item x="46"/>
        <item x="90"/>
        <item x="21"/>
        <item x="2"/>
        <item x="12"/>
        <item x="52"/>
        <item x="62"/>
        <item x="97"/>
        <item x="53"/>
        <item x="51"/>
        <item x="42"/>
        <item x="63"/>
        <item x="3"/>
        <item m="1" x="109"/>
        <item x="55"/>
        <item x="40"/>
        <item x="6"/>
        <item x="91"/>
        <item m="1" x="104"/>
        <item m="1" x="102"/>
        <item x="22"/>
        <item x="59"/>
        <item x="56"/>
        <item x="72"/>
        <item x="87"/>
        <item x="23"/>
        <item x="36"/>
        <item x="33"/>
        <item x="35"/>
        <item x="79"/>
        <item x="24"/>
        <item m="1" x="112"/>
        <item x="96"/>
        <item x="66"/>
        <item x="89"/>
        <item x="32"/>
        <item x="13"/>
        <item x="80"/>
        <item x="54"/>
        <item m="1" x="103"/>
        <item x="14"/>
        <item x="44"/>
        <item x="81"/>
        <item x="15"/>
        <item x="65"/>
        <item m="1" x="110"/>
        <item x="82"/>
        <item x="25"/>
        <item x="47"/>
        <item x="26"/>
        <item m="1" x="105"/>
        <item x="27"/>
        <item x="95"/>
        <item x="83"/>
        <item x="92"/>
        <item x="48"/>
        <item x="11"/>
        <item x="98"/>
        <item x="84"/>
        <item x="64"/>
        <item m="1" x="101"/>
        <item x="37"/>
        <item x="38"/>
        <item x="50"/>
        <item m="1" x="113"/>
        <item x="39"/>
        <item x="49"/>
        <item x="4"/>
        <item x="71"/>
        <item x="28"/>
        <item x="85"/>
        <item x="93"/>
        <item x="73"/>
        <item m="1" x="100"/>
        <item x="60"/>
        <item x="86"/>
        <item x="61"/>
        <item x="29"/>
        <item x="68"/>
        <item x="7"/>
        <item x="5"/>
        <item x="94"/>
        <item x="58"/>
        <item x="30"/>
        <item x="69"/>
        <item x="31"/>
        <item m="1" x="108"/>
      </items>
      <extLst>
        <ext xmlns:x14="http://schemas.microsoft.com/office/spreadsheetml/2009/9/main" uri="{2946ED86-A175-432a-8AC1-64E0C546D7DE}">
          <x14:pivotField fillDownLabels="1"/>
        </ext>
      </extLst>
    </pivotField>
    <pivotField axis="axisRow" compact="0" outline="0" showAll="0" defaultSubtotal="0">
      <items count="10">
        <item x="3"/>
        <item x="4"/>
        <item x="1"/>
        <item x="0"/>
        <item m="1" x="7"/>
        <item m="1" x="8"/>
        <item m="1" x="9"/>
        <item x="2"/>
        <item x="5"/>
        <item x="6"/>
      </items>
      <extLst>
        <ext xmlns:x14="http://schemas.microsoft.com/office/spreadsheetml/2009/9/main" uri="{2946ED86-A175-432a-8AC1-64E0C546D7DE}">
          <x14:pivotField fillDownLabels="1"/>
        </ext>
      </extLst>
    </pivotField>
    <pivotField axis="axisRow" compact="0" outline="0" showAll="0" defaultSubtotal="0">
      <items count="19">
        <item x="0"/>
        <item x="14"/>
        <item x="15"/>
        <item x="10"/>
        <item x="9"/>
        <item x="7"/>
        <item x="2"/>
        <item x="5"/>
        <item x="3"/>
        <item x="1"/>
        <item x="4"/>
        <item x="8"/>
        <item x="6"/>
        <item x="11"/>
        <item x="18"/>
        <item x="12"/>
        <item x="13"/>
        <item x="16"/>
        <item x="17"/>
      </items>
      <extLst>
        <ext xmlns:x14="http://schemas.microsoft.com/office/spreadsheetml/2009/9/main" uri="{2946ED86-A175-432a-8AC1-64E0C546D7DE}">
          <x14:pivotField fillDownLabels="1"/>
        </ext>
      </extLst>
    </pivotField>
    <pivotField axis="axisRow" compact="0" outline="0" showAll="0" defaultSubtotal="0">
      <items count="25">
        <item x="19"/>
        <item x="7"/>
        <item x="11"/>
        <item x="14"/>
        <item x="9"/>
        <item x="5"/>
        <item x="17"/>
        <item x="6"/>
        <item x="10"/>
        <item x="8"/>
        <item x="12"/>
        <item x="4"/>
        <item x="1"/>
        <item x="3"/>
        <item x="2"/>
        <item x="0"/>
        <item x="16"/>
        <item x="24"/>
        <item x="13"/>
        <item x="15"/>
        <item x="21"/>
        <item x="20"/>
        <item x="18"/>
        <item x="23"/>
        <item x="22"/>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axis="axisRow" compact="0" outline="0" showAll="0" defaultSubtotal="0">
      <items count="209">
        <item x="105"/>
        <item m="1" x="205"/>
        <item x="0"/>
        <item x="1"/>
        <item x="36"/>
        <item x="44"/>
        <item x="35"/>
        <item x="51"/>
        <item x="48"/>
        <item x="3"/>
        <item x="106"/>
        <item x="81"/>
        <item x="77"/>
        <item x="57"/>
        <item x="45"/>
        <item x="37"/>
        <item x="39"/>
        <item x="40"/>
        <item x="72"/>
        <item x="49"/>
        <item x="14"/>
        <item x="28"/>
        <item x="12"/>
        <item x="153"/>
        <item x="42"/>
        <item x="43"/>
        <item x="8"/>
        <item x="103"/>
        <item x="109"/>
        <item x="4"/>
        <item x="71"/>
        <item x="101"/>
        <item x="32"/>
        <item x="102"/>
        <item x="10"/>
        <item x="54"/>
        <item x="97"/>
        <item m="1" x="197"/>
        <item x="84"/>
        <item x="90"/>
        <item x="89"/>
        <item x="29"/>
        <item x="91"/>
        <item x="98"/>
        <item x="50"/>
        <item x="92"/>
        <item x="41"/>
        <item x="13"/>
        <item x="73"/>
        <item x="83"/>
        <item x="96"/>
        <item x="94"/>
        <item x="31"/>
        <item x="60"/>
        <item x="146"/>
        <item x="65"/>
        <item x="55"/>
        <item x="104"/>
        <item x="30"/>
        <item x="9"/>
        <item x="149"/>
        <item x="46"/>
        <item x="17"/>
        <item x="22"/>
        <item x="23"/>
        <item x="158"/>
        <item x="2"/>
        <item x="78"/>
        <item x="67"/>
        <item x="5"/>
        <item x="34"/>
        <item x="33"/>
        <item x="26"/>
        <item x="137"/>
        <item x="25"/>
        <item x="47"/>
        <item x="61"/>
        <item x="24"/>
        <item x="15"/>
        <item x="56"/>
        <item x="53"/>
        <item m="1" x="200"/>
        <item x="188"/>
        <item m="1" x="201"/>
        <item x="163"/>
        <item x="160"/>
        <item x="154"/>
        <item x="161"/>
        <item x="70"/>
        <item x="148"/>
        <item x="159"/>
        <item m="1" x="207"/>
        <item x="69"/>
        <item x="6"/>
        <item x="162"/>
        <item x="176"/>
        <item x="113"/>
        <item x="27"/>
        <item x="110"/>
        <item x="119"/>
        <item x="167"/>
        <item m="1" x="196"/>
        <item x="66"/>
        <item x="116"/>
        <item x="152"/>
        <item m="1" x="195"/>
        <item x="115"/>
        <item x="11"/>
        <item x="7"/>
        <item x="186"/>
        <item m="1" x="203"/>
        <item x="74"/>
        <item x="38"/>
        <item m="1" x="198"/>
        <item x="86"/>
        <item x="95"/>
        <item x="112"/>
        <item x="143"/>
        <item x="136"/>
        <item x="133"/>
        <item x="126"/>
        <item x="131"/>
        <item x="145"/>
        <item x="129"/>
        <item x="125"/>
        <item x="142"/>
        <item x="134"/>
        <item x="144"/>
        <item x="16"/>
        <item x="108"/>
        <item x="138"/>
        <item x="139"/>
        <item x="140"/>
        <item x="141"/>
        <item x="62"/>
        <item x="82"/>
        <item x="151"/>
        <item x="117"/>
        <item x="20"/>
        <item x="172"/>
        <item x="191"/>
        <item x="80"/>
        <item x="184"/>
        <item m="1" x="208"/>
        <item m="1" x="199"/>
        <item m="1" x="206"/>
        <item m="1" x="202"/>
        <item x="187"/>
        <item x="76"/>
        <item x="118"/>
        <item x="21"/>
        <item x="166"/>
        <item x="150"/>
        <item x="121"/>
        <item x="122"/>
        <item x="128"/>
        <item x="85"/>
        <item x="147"/>
        <item x="63"/>
        <item x="18"/>
        <item x="19"/>
        <item x="52"/>
        <item x="64"/>
        <item x="87"/>
        <item x="107"/>
        <item x="155"/>
        <item x="156"/>
        <item x="157"/>
        <item x="168"/>
        <item x="88"/>
        <item x="170"/>
        <item x="171"/>
        <item x="174"/>
        <item x="178"/>
        <item x="177"/>
        <item x="175"/>
        <item x="180"/>
        <item x="179"/>
        <item m="1" x="194"/>
        <item x="181"/>
        <item x="182"/>
        <item m="1" x="204"/>
        <item x="185"/>
        <item x="189"/>
        <item x="190"/>
        <item x="192"/>
        <item x="120"/>
        <item x="135"/>
        <item x="130"/>
        <item x="127"/>
        <item x="124"/>
        <item x="123"/>
        <item x="58"/>
        <item x="59"/>
        <item x="114"/>
        <item x="173"/>
        <item x="93"/>
        <item x="164"/>
        <item x="165"/>
        <item x="99"/>
        <item x="100"/>
        <item x="132"/>
        <item x="111"/>
        <item x="169"/>
        <item x="68"/>
        <item x="79"/>
        <item x="183"/>
        <item x="75"/>
        <item x="193"/>
      </items>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axis="axisPage" compact="0" outline="0" multipleItemSelectionAllowed="1" showAll="0" defaultSubtotal="0">
      <items count="6">
        <item h="1" x="1"/>
        <item h="1" x="0"/>
        <item h="1" x="3"/>
        <item h="1" x="4"/>
        <item x="2"/>
        <item h="1" x="5"/>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showAll="0" sortType="ascending" defaultSubtotal="0">
      <items count="100">
        <item x="35"/>
        <item m="1" x="99"/>
        <item x="31"/>
        <item m="1" x="93"/>
        <item x="6"/>
        <item x="28"/>
        <item x="76"/>
        <item m="1" x="97"/>
        <item x="21"/>
        <item x="55"/>
        <item m="1" x="94"/>
        <item m="1" x="83"/>
        <item x="7"/>
        <item m="1" x="87"/>
        <item x="63"/>
        <item x="72"/>
        <item m="1" x="89"/>
        <item x="0"/>
        <item m="1" x="95"/>
        <item x="64"/>
        <item m="1" x="88"/>
        <item x="16"/>
        <item x="10"/>
        <item x="29"/>
        <item m="1" x="91"/>
        <item x="24"/>
        <item x="33"/>
        <item x="5"/>
        <item x="8"/>
        <item m="1" x="96"/>
        <item m="1" x="86"/>
        <item m="1" x="78"/>
        <item m="1" x="98"/>
        <item m="1" x="90"/>
        <item x="34"/>
        <item m="1" x="80"/>
        <item x="37"/>
        <item m="1" x="85"/>
        <item x="26"/>
        <item x="48"/>
        <item x="32"/>
        <item x="1"/>
        <item x="38"/>
        <item m="1" x="82"/>
        <item x="60"/>
        <item x="11"/>
        <item x="51"/>
        <item x="9"/>
        <item x="27"/>
        <item m="1" x="81"/>
        <item x="68"/>
        <item x="75"/>
        <item x="40"/>
        <item x="23"/>
        <item x="69"/>
        <item x="74"/>
        <item x="3"/>
        <item x="22"/>
        <item x="77"/>
        <item x="65"/>
        <item x="45"/>
        <item x="36"/>
        <item x="12"/>
        <item x="17"/>
        <item x="18"/>
        <item m="1" x="92"/>
        <item x="70"/>
        <item x="58"/>
        <item x="41"/>
        <item x="71"/>
        <item x="4"/>
        <item x="20"/>
        <item x="57"/>
        <item m="1" x="79"/>
        <item x="73"/>
        <item x="19"/>
        <item x="13"/>
        <item x="30"/>
        <item x="66"/>
        <item x="59"/>
        <item x="67"/>
        <item x="42"/>
        <item x="47"/>
        <item x="39"/>
        <item x="46"/>
        <item x="52"/>
        <item x="14"/>
        <item x="49"/>
        <item x="61"/>
        <item x="44"/>
        <item x="53"/>
        <item m="1" x="84"/>
        <item x="15"/>
        <item x="50"/>
        <item x="2"/>
        <item x="62"/>
        <item x="43"/>
        <item x="56"/>
        <item x="54"/>
        <item x="25"/>
      </items>
      <extLst>
        <ext xmlns:x14="http://schemas.microsoft.com/office/spreadsheetml/2009/9/main" uri="{2946ED86-A175-432a-8AC1-64E0C546D7DE}">
          <x14:pivotField fillDownLabels="1"/>
        </ext>
      </extLst>
    </pivotField>
    <pivotField axis="axisRow" compact="0" outline="0" showAll="0" sortType="ascending" defaultSubtotal="0">
      <items count="95">
        <item x="35"/>
        <item m="1" x="94"/>
        <item m="1" x="91"/>
        <item x="31"/>
        <item m="1" x="89"/>
        <item x="6"/>
        <item x="28"/>
        <item x="76"/>
        <item m="1" x="93"/>
        <item x="21"/>
        <item x="55"/>
        <item m="1" x="92"/>
        <item m="1" x="81"/>
        <item x="7"/>
        <item m="1" x="84"/>
        <item x="63"/>
        <item x="72"/>
        <item m="1" x="86"/>
        <item x="0"/>
        <item x="64"/>
        <item m="1" x="85"/>
        <item x="16"/>
        <item x="10"/>
        <item x="29"/>
        <item m="1" x="87"/>
        <item x="24"/>
        <item x="33"/>
        <item x="5"/>
        <item x="8"/>
        <item x="34"/>
        <item m="1" x="79"/>
        <item x="37"/>
        <item m="1" x="83"/>
        <item x="26"/>
        <item x="48"/>
        <item x="32"/>
        <item x="1"/>
        <item x="38"/>
        <item x="60"/>
        <item x="11"/>
        <item x="51"/>
        <item x="9"/>
        <item x="27"/>
        <item m="1" x="80"/>
        <item x="68"/>
        <item x="75"/>
        <item x="40"/>
        <item x="23"/>
        <item m="1" x="90"/>
        <item x="69"/>
        <item x="74"/>
        <item x="3"/>
        <item x="22"/>
        <item x="77"/>
        <item x="65"/>
        <item x="45"/>
        <item x="36"/>
        <item x="12"/>
        <item x="17"/>
        <item x="18"/>
        <item m="1" x="88"/>
        <item x="70"/>
        <item x="58"/>
        <item x="41"/>
        <item x="71"/>
        <item x="4"/>
        <item x="20"/>
        <item x="57"/>
        <item m="1" x="78"/>
        <item x="73"/>
        <item x="19"/>
        <item x="13"/>
        <item x="30"/>
        <item x="66"/>
        <item x="59"/>
        <item x="67"/>
        <item x="42"/>
        <item x="47"/>
        <item x="39"/>
        <item x="46"/>
        <item x="52"/>
        <item x="14"/>
        <item x="49"/>
        <item x="61"/>
        <item x="44"/>
        <item x="53"/>
        <item m="1" x="82"/>
        <item x="15"/>
        <item x="50"/>
        <item x="2"/>
        <item x="62"/>
        <item x="43"/>
        <item x="56"/>
        <item x="54"/>
        <item x="25"/>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s>
  <rowFields count="10">
    <field x="3"/>
    <field x="4"/>
    <field x="19"/>
    <field x="5"/>
    <field x="6"/>
    <field x="7"/>
    <field x="8"/>
    <field x="9"/>
    <field x="18"/>
    <field x="14"/>
  </rowFields>
  <rowItems count="3">
    <i>
      <x v="151"/>
      <x v="45"/>
      <x v="89"/>
      <x v="45"/>
      <x v="94"/>
      <x v="3"/>
      <x v="9"/>
      <x v="12"/>
      <x v="94"/>
      <x v="59"/>
    </i>
    <i r="3">
      <x v="47"/>
      <x v="94"/>
      <x v="3"/>
      <x v="10"/>
      <x v="11"/>
      <x v="94"/>
      <x v="70"/>
    </i>
    <i r="3">
      <x v="48"/>
      <x v="88"/>
      <x v="3"/>
      <x v="10"/>
      <x v="11"/>
      <x v="94"/>
      <x v="141"/>
    </i>
  </rowItems>
  <colFields count="1">
    <field x="-2"/>
  </colFields>
  <colItems count="2">
    <i>
      <x/>
    </i>
    <i i="1">
      <x v="1"/>
    </i>
  </colItems>
  <pageFields count="2">
    <pageField fld="0" hier="-1"/>
    <pageField fld="16" hier="-1"/>
  </pageFields>
  <dataFields count="2">
    <dataField name="Sum of Order Qty_Bulbs" fld="13" baseField="14" baseItem="21"/>
    <dataField name="Sum of Customer Contract Amount_VND" fld="15" baseField="14" baseItem="21"/>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6" minRefreshableVersion="3" useAutoFormatting="1" itemPrintTitles="1" createdVersion="6" indent="0" compact="0" compactData="0" gridDropZones="1" multipleFieldFilters="0">
  <location ref="A3:Q1728" firstHeaderRow="1" firstDataRow="3" firstDataCol="3"/>
  <pivotFields count="35">
    <pivotField compact="0" outline="0" showAll="0"/>
    <pivotField compact="0" outline="0" showAll="0"/>
    <pivotField compact="0" outline="0" showAll="0"/>
    <pivotField compact="0" outline="0" showAll="0"/>
    <pivotField axis="axisRow" compact="0" outline="0" showAll="0">
      <items count="168">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4"/>
        <item x="103"/>
        <item x="102"/>
        <item x="101"/>
        <item x="100"/>
        <item x="99"/>
        <item x="98"/>
        <item x="97"/>
        <item x="96"/>
        <item x="95"/>
        <item x="94"/>
        <item x="93"/>
        <item x="92"/>
        <item x="91"/>
        <item x="90"/>
        <item x="89"/>
        <item x="88"/>
        <item x="87"/>
        <item x="86"/>
        <item x="85"/>
        <item x="84"/>
        <item x="83"/>
        <item x="82"/>
        <item x="81"/>
        <item x="80"/>
        <item x="79"/>
        <item x="77"/>
        <item x="76"/>
        <item x="75"/>
        <item x="74"/>
        <item x="73"/>
        <item x="72"/>
        <item x="71"/>
        <item x="70"/>
        <item x="69"/>
        <item x="68"/>
        <item x="67"/>
        <item x="66"/>
        <item x="65"/>
        <item x="64"/>
        <item x="63"/>
        <item x="62"/>
        <item x="61"/>
        <item x="60"/>
        <item x="59"/>
        <item x="58"/>
        <item x="57"/>
        <item x="56"/>
        <item x="55"/>
        <item x="53"/>
        <item x="52"/>
        <item x="51"/>
        <item x="49"/>
        <item x="47"/>
        <item x="46"/>
        <item m="1" x="159"/>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1"/>
        <item x="10"/>
        <item x="9"/>
        <item x="8"/>
        <item x="7"/>
        <item x="6"/>
        <item x="5"/>
        <item x="4"/>
        <item x="3"/>
        <item x="2"/>
        <item x="1"/>
        <item x="0"/>
        <item x="54"/>
        <item x="154"/>
        <item m="1" x="161"/>
        <item x="156"/>
        <item m="1" x="162"/>
        <item m="1" x="166"/>
        <item m="1" x="165"/>
        <item m="1" x="157"/>
        <item m="1" x="160"/>
        <item m="1" x="158"/>
        <item m="1" x="163"/>
        <item x="45"/>
        <item x="12"/>
        <item m="1" x="164"/>
        <item x="155"/>
        <item x="48"/>
        <item x="78"/>
        <item x="105"/>
        <item x="50"/>
        <item t="default"/>
      </items>
    </pivotField>
    <pivotField axis="axisRow" compact="0" outline="0" showAll="0" defaultSubtotal="0">
      <items count="200">
        <item x="66"/>
        <item x="148"/>
        <item x="20"/>
        <item x="13"/>
        <item x="12"/>
        <item x="166"/>
        <item x="167"/>
        <item x="83"/>
        <item x="10"/>
        <item x="95"/>
        <item x="106"/>
        <item x="61"/>
        <item x="135"/>
        <item x="62"/>
        <item x="32"/>
        <item x="173"/>
        <item x="147"/>
        <item x="35"/>
        <item x="139"/>
        <item x="138"/>
        <item x="81"/>
        <item x="82"/>
        <item x="187"/>
        <item x="160"/>
        <item x="120"/>
        <item x="90"/>
        <item x="157"/>
        <item x="88"/>
        <item x="134"/>
        <item x="92"/>
        <item x="121"/>
        <item x="122"/>
        <item x="102"/>
        <item x="137"/>
        <item x="156"/>
        <item x="15"/>
        <item x="25"/>
        <item x="98"/>
        <item x="6"/>
        <item x="110"/>
        <item x="46"/>
        <item x="45"/>
        <item x="71"/>
        <item x="128"/>
        <item x="57"/>
        <item x="145"/>
        <item x="59"/>
        <item x="85"/>
        <item x="163"/>
        <item x="93"/>
        <item x="119"/>
        <item x="0"/>
        <item x="1"/>
        <item x="118"/>
        <item x="23"/>
        <item x="182"/>
        <item x="164"/>
        <item x="91"/>
        <item x="69"/>
        <item x="123"/>
        <item x="124"/>
        <item x="168"/>
        <item x="155"/>
        <item x="175"/>
        <item x="67"/>
        <item x="70"/>
        <item m="1" x="199"/>
        <item x="125"/>
        <item x="158"/>
        <item x="97"/>
        <item x="103"/>
        <item x="142"/>
        <item x="104"/>
        <item x="74"/>
        <item x="140"/>
        <item x="105"/>
        <item x="126"/>
        <item x="54"/>
        <item x="52"/>
        <item x="30"/>
        <item x="117"/>
        <item x="55"/>
        <item x="133"/>
        <item x="29"/>
        <item x="141"/>
        <item x="36"/>
        <item m="1" x="196"/>
        <item x="9"/>
        <item x="63"/>
        <item x="27"/>
        <item x="39"/>
        <item x="152"/>
        <item x="49"/>
        <item x="112"/>
        <item x="114"/>
        <item x="161"/>
        <item x="2"/>
        <item x="78"/>
        <item x="17"/>
        <item x="143"/>
        <item x="56"/>
        <item x="58"/>
        <item x="136"/>
        <item x="149"/>
        <item x="40"/>
        <item x="33"/>
        <item x="115"/>
        <item x="60"/>
        <item x="19"/>
        <item x="3"/>
        <item x="41"/>
        <item x="42"/>
        <item x="94"/>
        <item x="50"/>
        <item x="80"/>
        <item x="84"/>
        <item x="5"/>
        <item x="99"/>
        <item x="7"/>
        <item x="107"/>
        <item x="37"/>
        <item x="87"/>
        <item x="159"/>
        <item x="170"/>
        <item x="65"/>
        <item x="22"/>
        <item x="47"/>
        <item x="153"/>
        <item x="151"/>
        <item x="16"/>
        <item x="108"/>
        <item x="26"/>
        <item x="109"/>
        <item x="44"/>
        <item x="172"/>
        <item x="75"/>
        <item x="76"/>
        <item x="77"/>
        <item x="53"/>
        <item x="116"/>
        <item x="174"/>
        <item x="24"/>
        <item x="48"/>
        <item x="21"/>
        <item x="111"/>
        <item x="183"/>
        <item x="176"/>
        <item x="169"/>
        <item x="129"/>
        <item x="131"/>
        <item x="18"/>
        <item x="188"/>
        <item x="86"/>
        <item x="189"/>
        <item x="127"/>
        <item x="184"/>
        <item x="186"/>
        <item x="132"/>
        <item x="31"/>
        <item x="96"/>
        <item x="34"/>
        <item x="146"/>
        <item x="64"/>
        <item m="1" x="193"/>
        <item x="14"/>
        <item x="89"/>
        <item m="1" x="191"/>
        <item x="165"/>
        <item x="68"/>
        <item x="4"/>
        <item x="8"/>
        <item x="51"/>
        <item x="171"/>
        <item x="180"/>
        <item x="181"/>
        <item x="130"/>
        <item x="150"/>
        <item x="178"/>
        <item x="179"/>
        <item x="11"/>
        <item x="73"/>
        <item x="28"/>
        <item x="79"/>
        <item x="38"/>
        <item x="154"/>
        <item x="185"/>
        <item x="113"/>
        <item x="72"/>
        <item x="162"/>
        <item x="177"/>
        <item x="100"/>
        <item x="101"/>
        <item x="190"/>
        <item m="1" x="198"/>
        <item m="1" x="192"/>
        <item m="1" x="197"/>
        <item m="1" x="194"/>
        <item x="43"/>
        <item x="144"/>
        <item m="1" x="195"/>
      </items>
    </pivotField>
    <pivotField compact="0" outline="0" showAll="0"/>
    <pivotField compact="0" outline="0" showAll="0"/>
    <pivotField compact="0" outline="0" showAll="0"/>
    <pivotField compact="0" outline="0" showAll="0"/>
    <pivotField compact="0" outline="0" showAll="0"/>
    <pivotField compact="0" outline="0" showAll="0"/>
    <pivotField compact="0" numFmtId="165" outline="0" showAll="0"/>
    <pivotField compact="0" outline="0" showAll="0"/>
    <pivotField axis="axisRow" compact="0" outline="0" showAll="0">
      <items count="196">
        <item x="41"/>
        <item x="19"/>
        <item x="12"/>
        <item x="125"/>
        <item x="47"/>
        <item x="58"/>
        <item x="4"/>
        <item x="14"/>
        <item x="17"/>
        <item x="49"/>
        <item x="28"/>
        <item x="69"/>
        <item x="68"/>
        <item x="25"/>
        <item x="117"/>
        <item x="81"/>
        <item x="6"/>
        <item x="56"/>
        <item x="136"/>
        <item x="147"/>
        <item x="57"/>
        <item x="3"/>
        <item x="98"/>
        <item x="1"/>
        <item x="163"/>
        <item x="99"/>
        <item x="188"/>
        <item x="65"/>
        <item x="111"/>
        <item x="2"/>
        <item x="162"/>
        <item x="189"/>
        <item x="75"/>
        <item x="13"/>
        <item x="190"/>
        <item x="21"/>
        <item x="186"/>
        <item x="0"/>
        <item x="132"/>
        <item x="23"/>
        <item x="192"/>
        <item x="77"/>
        <item x="84"/>
        <item x="18"/>
        <item x="180"/>
        <item x="96"/>
        <item x="78"/>
        <item m="1" x="194"/>
        <item x="185"/>
        <item x="83"/>
        <item x="82"/>
        <item x="174"/>
        <item x="133"/>
        <item x="55"/>
        <item x="176"/>
        <item x="112"/>
        <item x="191"/>
        <item x="11"/>
        <item x="141"/>
        <item x="44"/>
        <item x="124"/>
        <item x="97"/>
        <item x="48"/>
        <item x="126"/>
        <item x="113"/>
        <item x="24"/>
        <item x="175"/>
        <item x="173"/>
        <item x="26"/>
        <item x="177"/>
        <item x="100"/>
        <item x="178"/>
        <item x="46"/>
        <item x="179"/>
        <item x="20"/>
        <item x="140"/>
        <item x="9"/>
        <item x="148"/>
        <item x="42"/>
        <item x="193"/>
        <item x="149"/>
        <item x="54"/>
        <item x="123"/>
        <item x="143"/>
        <item x="181"/>
        <item x="122"/>
        <item x="146"/>
        <item x="43"/>
        <item x="134"/>
        <item x="182"/>
        <item x="153"/>
        <item x="76"/>
        <item x="128"/>
        <item x="155"/>
        <item x="145"/>
        <item x="45"/>
        <item x="129"/>
        <item x="156"/>
        <item x="90"/>
        <item x="32"/>
        <item x="91"/>
        <item x="157"/>
        <item x="130"/>
        <item x="139"/>
        <item x="142"/>
        <item x="107"/>
        <item x="31"/>
        <item x="92"/>
        <item x="164"/>
        <item x="138"/>
        <item x="144"/>
        <item x="33"/>
        <item x="34"/>
        <item x="35"/>
        <item x="80"/>
        <item x="166"/>
        <item x="74"/>
        <item x="108"/>
        <item x="5"/>
        <item x="101"/>
        <item x="135"/>
        <item x="27"/>
        <item x="86"/>
        <item x="87"/>
        <item x="118"/>
        <item x="88"/>
        <item x="105"/>
        <item x="102"/>
        <item x="116"/>
        <item x="61"/>
        <item x="79"/>
        <item x="137"/>
        <item x="64"/>
        <item x="94"/>
        <item x="127"/>
        <item x="95"/>
        <item x="89"/>
        <item x="115"/>
        <item x="67"/>
        <item x="60"/>
        <item x="103"/>
        <item x="131"/>
        <item x="71"/>
        <item x="39"/>
        <item x="62"/>
        <item x="165"/>
        <item x="59"/>
        <item x="7"/>
        <item x="16"/>
        <item x="8"/>
        <item x="22"/>
        <item x="36"/>
        <item x="110"/>
        <item x="104"/>
        <item x="121"/>
        <item x="168"/>
        <item x="106"/>
        <item x="53"/>
        <item x="63"/>
        <item x="15"/>
        <item x="29"/>
        <item x="40"/>
        <item x="37"/>
        <item x="66"/>
        <item x="51"/>
        <item x="70"/>
        <item x="160"/>
        <item x="85"/>
        <item x="161"/>
        <item x="167"/>
        <item x="38"/>
        <item x="52"/>
        <item x="10"/>
        <item x="72"/>
        <item x="30"/>
        <item x="50"/>
        <item x="150"/>
        <item x="169"/>
        <item x="159"/>
        <item x="151"/>
        <item x="152"/>
        <item x="109"/>
        <item x="158"/>
        <item x="183"/>
        <item x="93"/>
        <item x="73"/>
        <item x="119"/>
        <item x="120"/>
        <item x="171"/>
        <item x="172"/>
        <item x="154"/>
        <item x="187"/>
        <item x="170"/>
        <item x="114"/>
        <item x="184"/>
        <item t="default"/>
      </items>
    </pivotField>
    <pivotField compact="0" outline="0" showAll="0"/>
    <pivotField axis="axisCol" compact="0" outline="0" showAll="0">
      <items count="7">
        <item x="1"/>
        <item x="0"/>
        <item x="3"/>
        <item x="4"/>
        <item x="2"/>
        <item x="5"/>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64" outline="0" showAll="0"/>
    <pivotField dataField="1" compact="0" numFmtId="164" outline="0" showAll="0"/>
    <pivotField dataField="1" compact="0" outline="0" showAll="0"/>
  </pivotFields>
  <rowFields count="3">
    <field x="4"/>
    <field x="5"/>
    <field x="14"/>
  </rowFields>
  <rowItems count="1723">
    <i>
      <x/>
      <x v="8"/>
      <x v="59"/>
    </i>
    <i r="1">
      <x v="35"/>
      <x v="43"/>
    </i>
    <i r="1">
      <x v="36"/>
      <x v="121"/>
    </i>
    <i r="1">
      <x v="38"/>
      <x v="146"/>
    </i>
    <i r="1">
      <x v="125"/>
      <x v="49"/>
    </i>
    <i r="2">
      <x v="57"/>
    </i>
    <i r="1">
      <x v="126"/>
      <x v="124"/>
    </i>
    <i r="1">
      <x v="129"/>
      <x v="146"/>
    </i>
    <i r="1">
      <x v="141"/>
      <x v="12"/>
    </i>
    <i r="1">
      <x v="162"/>
      <x v="137"/>
    </i>
    <i r="1">
      <x v="179"/>
      <x v="2"/>
    </i>
    <i r="2">
      <x v="4"/>
    </i>
    <i t="default">
      <x/>
    </i>
    <i>
      <x v="1"/>
      <x v="13"/>
      <x v="33"/>
    </i>
    <i r="1">
      <x v="35"/>
      <x v="37"/>
    </i>
    <i r="2">
      <x v="76"/>
    </i>
    <i r="1">
      <x v="114"/>
      <x v="43"/>
    </i>
    <i r="1">
      <x v="116"/>
      <x v="118"/>
    </i>
    <i r="1">
      <x v="160"/>
      <x v="59"/>
    </i>
    <i t="default">
      <x v="1"/>
    </i>
    <i>
      <x v="2"/>
      <x v="151"/>
      <x v="43"/>
    </i>
    <i r="1">
      <x v="153"/>
      <x v="43"/>
    </i>
    <i r="1">
      <x v="179"/>
      <x v="2"/>
    </i>
    <i t="default">
      <x v="2"/>
    </i>
    <i>
      <x v="3"/>
      <x v="15"/>
      <x v="131"/>
    </i>
    <i r="2">
      <x v="132"/>
    </i>
    <i r="2">
      <x v="133"/>
    </i>
    <i r="2">
      <x v="134"/>
    </i>
    <i r="2">
      <x v="135"/>
    </i>
    <i r="1">
      <x v="125"/>
      <x v="40"/>
    </i>
    <i r="1">
      <x v="126"/>
      <x v="79"/>
    </i>
    <i r="1">
      <x v="165"/>
      <x v="131"/>
    </i>
    <i r="1">
      <x v="171"/>
      <x v="130"/>
    </i>
    <i t="default">
      <x v="3"/>
    </i>
    <i>
      <x v="4"/>
      <x v="40"/>
      <x v="160"/>
    </i>
    <i r="1">
      <x v="121"/>
      <x v="167"/>
    </i>
    <i t="default">
      <x v="4"/>
    </i>
    <i>
      <x v="5"/>
      <x v="13"/>
      <x v="35"/>
    </i>
    <i r="1">
      <x v="17"/>
      <x v="149"/>
    </i>
    <i r="2">
      <x v="151"/>
    </i>
    <i r="1">
      <x v="40"/>
      <x v="160"/>
    </i>
    <i r="1">
      <x v="41"/>
      <x v="170"/>
    </i>
    <i r="1">
      <x v="44"/>
      <x v="57"/>
    </i>
    <i r="1">
      <x v="131"/>
      <x v="160"/>
    </i>
    <i r="1">
      <x v="180"/>
      <x v="8"/>
    </i>
    <i t="default">
      <x v="5"/>
    </i>
    <i>
      <x v="6"/>
      <x v="13"/>
      <x v="33"/>
    </i>
    <i r="1">
      <x v="35"/>
      <x v="68"/>
    </i>
    <i r="1">
      <x v="40"/>
      <x v="160"/>
    </i>
    <i r="1">
      <x v="44"/>
      <x v="53"/>
    </i>
    <i r="1">
      <x v="70"/>
      <x v="59"/>
    </i>
    <i r="1">
      <x v="79"/>
      <x v="57"/>
    </i>
    <i r="1">
      <x v="126"/>
      <x v="116"/>
    </i>
    <i r="1">
      <x v="131"/>
      <x v="160"/>
    </i>
    <i r="1">
      <x v="138"/>
      <x v="59"/>
    </i>
    <i r="2">
      <x v="68"/>
    </i>
    <i r="1">
      <x v="198"/>
      <x v="95"/>
    </i>
    <i t="default">
      <x v="6"/>
    </i>
    <i>
      <x v="7"/>
      <x v="38"/>
      <x v="147"/>
    </i>
    <i r="1">
      <x v="41"/>
      <x v="170"/>
    </i>
    <i r="1">
      <x v="129"/>
      <x v="148"/>
    </i>
    <i t="default">
      <x v="7"/>
    </i>
    <i>
      <x v="8"/>
      <x/>
      <x v="20"/>
    </i>
    <i r="1">
      <x v="2"/>
      <x v="6"/>
    </i>
    <i r="1">
      <x v="3"/>
      <x v="23"/>
    </i>
    <i r="2">
      <x v="29"/>
    </i>
    <i r="1">
      <x v="4"/>
      <x v="23"/>
    </i>
    <i r="2">
      <x v="29"/>
    </i>
    <i r="2">
      <x v="35"/>
    </i>
    <i r="1">
      <x v="22"/>
      <x v="184"/>
    </i>
    <i r="1">
      <x v="32"/>
      <x v="95"/>
    </i>
    <i r="1">
      <x v="36"/>
      <x v="116"/>
    </i>
    <i r="1">
      <x v="38"/>
      <x v="147"/>
    </i>
    <i r="1">
      <x v="52"/>
      <x v="25"/>
    </i>
    <i r="1">
      <x v="55"/>
      <x v="56"/>
    </i>
    <i r="1">
      <x v="58"/>
      <x v="10"/>
    </i>
    <i r="1">
      <x v="61"/>
      <x v="8"/>
    </i>
    <i r="1">
      <x v="70"/>
      <x v="68"/>
    </i>
    <i r="1">
      <x v="79"/>
      <x v="43"/>
    </i>
    <i r="2">
      <x v="57"/>
    </i>
    <i r="1">
      <x v="92"/>
      <x v="72"/>
    </i>
    <i r="1">
      <x v="98"/>
      <x v="8"/>
    </i>
    <i r="1">
      <x v="108"/>
      <x v="1"/>
    </i>
    <i r="1">
      <x v="109"/>
      <x v="6"/>
    </i>
    <i r="2">
      <x v="7"/>
    </i>
    <i r="2">
      <x v="11"/>
    </i>
    <i r="1">
      <x v="110"/>
      <x v="29"/>
    </i>
    <i r="2">
      <x v="33"/>
    </i>
    <i r="1">
      <x v="111"/>
      <x v="74"/>
    </i>
    <i r="1">
      <x v="114"/>
      <x v="39"/>
    </i>
    <i r="2">
      <x v="43"/>
    </i>
    <i r="1">
      <x v="116"/>
      <x v="95"/>
    </i>
    <i r="1">
      <x v="120"/>
      <x v="161"/>
    </i>
    <i r="1">
      <x v="126"/>
      <x v="116"/>
    </i>
    <i r="2">
      <x v="129"/>
    </i>
    <i r="1">
      <x v="129"/>
      <x v="146"/>
    </i>
    <i r="1">
      <x v="138"/>
      <x v="59"/>
    </i>
    <i r="1">
      <x v="145"/>
      <x v="20"/>
    </i>
    <i r="1">
      <x v="155"/>
      <x v="6"/>
    </i>
    <i r="1">
      <x v="156"/>
      <x v="8"/>
    </i>
    <i r="1">
      <x v="158"/>
      <x v="35"/>
    </i>
    <i r="2">
      <x v="39"/>
    </i>
    <i r="2">
      <x v="41"/>
    </i>
    <i r="1">
      <x v="160"/>
      <x v="59"/>
    </i>
    <i r="1">
      <x v="162"/>
      <x v="132"/>
    </i>
    <i r="1">
      <x v="168"/>
      <x v="6"/>
    </i>
    <i r="2">
      <x v="7"/>
    </i>
    <i r="1">
      <x v="169"/>
      <x v="21"/>
    </i>
    <i r="2">
      <x v="23"/>
    </i>
    <i r="2">
      <x v="25"/>
    </i>
    <i r="1">
      <x v="170"/>
      <x v="74"/>
    </i>
    <i r="1">
      <x v="179"/>
      <x v="6"/>
    </i>
    <i r="1">
      <x v="185"/>
      <x v="9"/>
    </i>
    <i r="1">
      <x v="186"/>
      <x v="76"/>
    </i>
    <i r="1">
      <x v="197"/>
      <x v="33"/>
    </i>
    <i t="default">
      <x v="8"/>
    </i>
    <i>
      <x v="9"/>
      <x v="36"/>
      <x v="121"/>
    </i>
    <i r="1">
      <x v="38"/>
      <x v="147"/>
    </i>
    <i r="1">
      <x v="40"/>
      <x v="160"/>
    </i>
    <i r="1">
      <x v="125"/>
      <x v="43"/>
    </i>
    <i r="2">
      <x v="57"/>
    </i>
    <i r="1">
      <x v="131"/>
      <x v="160"/>
    </i>
    <i r="1">
      <x v="132"/>
      <x v="161"/>
    </i>
    <i r="1">
      <x v="179"/>
      <x v="6"/>
    </i>
    <i r="1">
      <x v="183"/>
      <x v="62"/>
    </i>
    <i t="default">
      <x v="9"/>
    </i>
    <i>
      <x v="10"/>
      <x v="89"/>
      <x v="174"/>
    </i>
    <i r="1">
      <x v="98"/>
      <x v="10"/>
    </i>
    <i r="1">
      <x v="99"/>
      <x v="113"/>
    </i>
    <i r="1">
      <x v="109"/>
      <x v="6"/>
    </i>
    <i r="2">
      <x v="8"/>
    </i>
    <i r="2">
      <x v="9"/>
    </i>
    <i r="1">
      <x v="111"/>
      <x v="74"/>
    </i>
    <i r="1">
      <x v="129"/>
      <x v="146"/>
    </i>
    <i r="1">
      <x v="131"/>
      <x v="160"/>
    </i>
    <i t="default">
      <x v="10"/>
    </i>
    <i>
      <x v="11"/>
      <x v="2"/>
      <x v="6"/>
    </i>
    <i r="1">
      <x v="3"/>
      <x v="31"/>
    </i>
    <i r="1">
      <x v="4"/>
      <x v="31"/>
    </i>
    <i r="2">
      <x v="34"/>
    </i>
    <i r="1">
      <x v="10"/>
      <x v="129"/>
    </i>
    <i r="1">
      <x v="11"/>
      <x v="29"/>
    </i>
    <i r="1">
      <x v="38"/>
      <x v="146"/>
    </i>
    <i r="1">
      <x v="44"/>
      <x v="59"/>
    </i>
    <i r="1">
      <x v="47"/>
      <x v="167"/>
    </i>
    <i r="1">
      <x v="96"/>
      <x v="17"/>
    </i>
    <i r="1">
      <x v="99"/>
      <x v="113"/>
    </i>
    <i r="1">
      <x v="109"/>
      <x v="8"/>
    </i>
    <i r="1">
      <x v="121"/>
      <x v="167"/>
    </i>
    <i r="1">
      <x v="169"/>
      <x v="21"/>
    </i>
    <i r="2">
      <x v="23"/>
    </i>
    <i r="1">
      <x v="183"/>
      <x v="43"/>
    </i>
    <i t="default">
      <x v="11"/>
    </i>
    <i>
      <x v="12"/>
      <x v="38"/>
      <x v="146"/>
    </i>
    <i r="1">
      <x v="85"/>
      <x v="162"/>
    </i>
    <i r="1">
      <x v="111"/>
      <x v="74"/>
    </i>
    <i r="1">
      <x v="170"/>
      <x v="74"/>
    </i>
    <i t="default">
      <x v="12"/>
    </i>
    <i>
      <x v="13"/>
      <x v="17"/>
      <x v="149"/>
    </i>
    <i r="1">
      <x v="85"/>
      <x v="162"/>
    </i>
    <i r="1">
      <x v="170"/>
      <x v="74"/>
    </i>
    <i t="default">
      <x v="13"/>
    </i>
    <i>
      <x v="14"/>
      <x v="38"/>
      <x v="147"/>
    </i>
    <i r="1">
      <x v="40"/>
      <x v="160"/>
    </i>
    <i r="1">
      <x v="72"/>
      <x v="152"/>
    </i>
    <i r="1">
      <x v="87"/>
      <x v="170"/>
    </i>
    <i r="1">
      <x v="129"/>
      <x v="148"/>
    </i>
    <i r="1">
      <x v="131"/>
      <x v="160"/>
    </i>
    <i r="1">
      <x v="162"/>
      <x v="135"/>
    </i>
    <i r="1">
      <x v="164"/>
      <x v="150"/>
    </i>
    <i t="default">
      <x v="14"/>
    </i>
    <i>
      <x v="15"/>
      <x/>
      <x v="20"/>
    </i>
    <i r="1">
      <x v="8"/>
      <x v="59"/>
    </i>
    <i r="1">
      <x v="10"/>
      <x v="129"/>
    </i>
    <i r="1">
      <x v="17"/>
      <x v="151"/>
    </i>
    <i r="1">
      <x v="32"/>
      <x v="95"/>
    </i>
    <i r="1">
      <x v="35"/>
      <x v="37"/>
    </i>
    <i r="2">
      <x v="43"/>
    </i>
    <i r="1">
      <x v="38"/>
      <x v="146"/>
    </i>
    <i r="1">
      <x v="77"/>
      <x v="20"/>
    </i>
    <i r="1">
      <x v="92"/>
      <x v="72"/>
    </i>
    <i r="1">
      <x v="95"/>
      <x v="76"/>
    </i>
    <i r="1">
      <x v="116"/>
      <x v="95"/>
    </i>
    <i r="1">
      <x v="138"/>
      <x v="59"/>
    </i>
    <i r="1">
      <x v="160"/>
      <x v="59"/>
    </i>
    <i r="1">
      <x v="173"/>
      <x v="26"/>
    </i>
    <i r="1">
      <x v="174"/>
      <x v="111"/>
    </i>
    <i r="1">
      <x v="182"/>
      <x v="16"/>
    </i>
    <i r="1">
      <x v="183"/>
      <x v="43"/>
    </i>
    <i t="default">
      <x v="15"/>
    </i>
    <i>
      <x v="16"/>
      <x v="85"/>
      <x v="162"/>
    </i>
    <i r="1">
      <x v="120"/>
      <x v="161"/>
    </i>
    <i r="1">
      <x v="144"/>
      <x v="137"/>
    </i>
    <i r="1">
      <x v="164"/>
      <x v="143"/>
    </i>
    <i t="default">
      <x v="16"/>
    </i>
    <i>
      <x v="17"/>
      <x v="38"/>
      <x v="146"/>
    </i>
    <i r="1">
      <x v="120"/>
      <x v="161"/>
    </i>
    <i r="1">
      <x v="129"/>
      <x v="146"/>
    </i>
    <i r="1">
      <x v="144"/>
      <x v="137"/>
    </i>
    <i r="1">
      <x v="164"/>
      <x v="151"/>
    </i>
    <i t="default">
      <x v="17"/>
    </i>
    <i>
      <x v="18"/>
      <x v="17"/>
      <x v="149"/>
    </i>
    <i r="1">
      <x v="87"/>
      <x v="170"/>
    </i>
    <i r="1">
      <x v="97"/>
      <x v="121"/>
    </i>
    <i r="1">
      <x v="109"/>
      <x v="6"/>
    </i>
    <i r="1">
      <x v="120"/>
      <x v="161"/>
    </i>
    <i r="1">
      <x v="144"/>
      <x v="137"/>
    </i>
    <i r="1">
      <x v="164"/>
      <x v="143"/>
    </i>
    <i t="default">
      <x v="18"/>
    </i>
    <i>
      <x v="19"/>
      <x v="2"/>
      <x v="6"/>
    </i>
    <i r="1">
      <x v="13"/>
      <x v="27"/>
    </i>
    <i r="1">
      <x v="14"/>
      <x v="78"/>
    </i>
    <i r="1">
      <x v="17"/>
      <x v="151"/>
    </i>
    <i r="1">
      <x v="35"/>
      <x v="43"/>
    </i>
    <i r="2">
      <x v="72"/>
    </i>
    <i r="1">
      <x v="38"/>
      <x v="146"/>
    </i>
    <i r="1">
      <x v="44"/>
      <x v="62"/>
    </i>
    <i r="1">
      <x v="65"/>
      <x v="143"/>
    </i>
    <i r="1">
      <x v="77"/>
      <x v="33"/>
    </i>
    <i r="1">
      <x v="79"/>
      <x v="50"/>
    </i>
    <i r="1">
      <x v="83"/>
      <x v="112"/>
    </i>
    <i r="2">
      <x v="113"/>
    </i>
    <i r="1">
      <x v="85"/>
      <x v="162"/>
    </i>
    <i r="1">
      <x v="87"/>
      <x v="170"/>
    </i>
    <i r="1">
      <x v="98"/>
      <x v="8"/>
    </i>
    <i r="1">
      <x v="109"/>
      <x v="6"/>
    </i>
    <i r="2">
      <x v="8"/>
    </i>
    <i r="1">
      <x v="116"/>
      <x v="95"/>
    </i>
    <i r="2">
      <x v="99"/>
    </i>
    <i r="2">
      <x v="124"/>
    </i>
    <i r="1">
      <x v="120"/>
      <x v="161"/>
    </i>
    <i r="1">
      <x v="129"/>
      <x v="148"/>
    </i>
    <i r="1">
      <x v="144"/>
      <x v="137"/>
    </i>
    <i r="1">
      <x v="158"/>
      <x v="35"/>
    </i>
    <i r="2">
      <x v="36"/>
    </i>
    <i r="2">
      <x v="43"/>
    </i>
    <i r="1">
      <x v="160"/>
      <x v="59"/>
    </i>
    <i r="1">
      <x v="164"/>
      <x v="143"/>
    </i>
    <i r="1">
      <x v="179"/>
      <x v="2"/>
    </i>
    <i r="1">
      <x v="181"/>
      <x v="20"/>
    </i>
    <i r="1">
      <x v="187"/>
      <x v="59"/>
    </i>
    <i r="2">
      <x v="72"/>
    </i>
    <i r="2">
      <x v="191"/>
    </i>
    <i t="default">
      <x v="19"/>
    </i>
    <i>
      <x v="20"/>
      <x v="38"/>
      <x v="147"/>
    </i>
    <i r="1">
      <x v="85"/>
      <x v="162"/>
    </i>
    <i r="1">
      <x v="120"/>
      <x v="161"/>
    </i>
    <i r="1">
      <x v="129"/>
      <x v="148"/>
    </i>
    <i r="1">
      <x v="144"/>
      <x v="137"/>
    </i>
    <i r="2">
      <x v="140"/>
    </i>
    <i t="default">
      <x v="20"/>
    </i>
    <i>
      <x v="21"/>
      <x v="38"/>
      <x v="146"/>
    </i>
    <i r="2">
      <x v="147"/>
    </i>
    <i r="1">
      <x v="120"/>
      <x v="161"/>
    </i>
    <i r="1">
      <x v="144"/>
      <x v="137"/>
    </i>
    <i r="2">
      <x v="140"/>
    </i>
    <i r="1">
      <x v="164"/>
      <x v="143"/>
    </i>
    <i t="default">
      <x v="21"/>
    </i>
    <i>
      <x v="22"/>
      <x v="34"/>
      <x v="14"/>
    </i>
    <i r="1">
      <x v="35"/>
      <x v="37"/>
    </i>
    <i r="2">
      <x v="43"/>
    </i>
    <i r="1">
      <x v="36"/>
      <x v="113"/>
    </i>
    <i r="1">
      <x v="39"/>
      <x v="157"/>
    </i>
    <i r="1">
      <x v="40"/>
      <x v="160"/>
    </i>
    <i r="1">
      <x v="44"/>
      <x v="194"/>
    </i>
    <i r="1">
      <x v="64"/>
      <x v="37"/>
    </i>
    <i r="1">
      <x v="82"/>
      <x v="16"/>
    </i>
    <i r="1">
      <x v="113"/>
      <x v="43"/>
    </i>
    <i r="1">
      <x v="114"/>
      <x v="50"/>
    </i>
    <i r="1">
      <x v="116"/>
      <x v="95"/>
    </i>
    <i r="1">
      <x v="120"/>
      <x v="161"/>
    </i>
    <i r="1">
      <x v="125"/>
      <x v="39"/>
    </i>
    <i r="2">
      <x v="43"/>
    </i>
    <i r="2">
      <x v="48"/>
    </i>
    <i r="1">
      <x v="126"/>
      <x v="78"/>
    </i>
    <i r="2">
      <x v="113"/>
    </i>
    <i r="1">
      <x v="131"/>
      <x v="160"/>
    </i>
    <i r="1">
      <x v="183"/>
      <x v="59"/>
    </i>
    <i t="default">
      <x v="22"/>
    </i>
    <i>
      <x v="23"/>
      <x v="11"/>
      <x v="33"/>
    </i>
    <i r="1">
      <x v="35"/>
      <x v="37"/>
    </i>
    <i r="1">
      <x v="40"/>
      <x v="160"/>
    </i>
    <i r="1">
      <x v="77"/>
      <x v="21"/>
    </i>
    <i r="1">
      <x v="79"/>
      <x v="57"/>
    </i>
    <i r="2">
      <x v="59"/>
    </i>
    <i r="1">
      <x v="98"/>
      <x v="8"/>
    </i>
    <i r="1">
      <x v="109"/>
      <x v="7"/>
    </i>
    <i r="1">
      <x v="120"/>
      <x v="161"/>
    </i>
    <i r="1">
      <x v="125"/>
      <x v="43"/>
    </i>
    <i r="2">
      <x v="57"/>
    </i>
    <i r="1">
      <x v="158"/>
      <x v="39"/>
    </i>
    <i r="1">
      <x v="164"/>
      <x v="151"/>
    </i>
    <i r="1">
      <x v="170"/>
      <x v="74"/>
    </i>
    <i r="1">
      <x v="181"/>
      <x v="16"/>
    </i>
    <i r="2">
      <x v="20"/>
    </i>
    <i r="1">
      <x v="187"/>
      <x v="59"/>
    </i>
    <i t="default">
      <x v="23"/>
    </i>
    <i>
      <x v="24"/>
      <x v="8"/>
      <x v="65"/>
    </i>
    <i r="2">
      <x v="68"/>
    </i>
    <i r="1">
      <x v="35"/>
      <x v="81"/>
    </i>
    <i r="1">
      <x v="38"/>
      <x v="147"/>
    </i>
    <i r="1">
      <x v="41"/>
      <x v="170"/>
    </i>
    <i r="1">
      <x v="44"/>
      <x v="57"/>
    </i>
    <i r="1">
      <x v="116"/>
      <x v="118"/>
    </i>
    <i r="1">
      <x v="118"/>
      <x v="150"/>
    </i>
    <i r="1">
      <x v="119"/>
      <x v="183"/>
    </i>
    <i r="1">
      <x v="125"/>
      <x v="59"/>
    </i>
    <i r="1">
      <x v="142"/>
      <x v="53"/>
    </i>
    <i r="1">
      <x v="181"/>
      <x v="16"/>
    </i>
    <i r="2">
      <x v="17"/>
    </i>
    <i t="default">
      <x v="24"/>
    </i>
    <i>
      <x v="25"/>
      <x v="109"/>
      <x v="7"/>
    </i>
    <i r="1">
      <x v="158"/>
      <x v="39"/>
    </i>
    <i t="default">
      <x v="25"/>
    </i>
    <i>
      <x v="26"/>
      <x v="36"/>
      <x v="121"/>
    </i>
    <i r="1">
      <x v="38"/>
      <x v="147"/>
    </i>
    <i r="1">
      <x v="41"/>
      <x v="170"/>
    </i>
    <i r="1">
      <x v="129"/>
      <x v="148"/>
    </i>
    <i r="1">
      <x v="130"/>
      <x v="160"/>
    </i>
    <i r="1">
      <x v="134"/>
      <x v="171"/>
    </i>
    <i t="default">
      <x v="26"/>
    </i>
    <i>
      <x v="27"/>
      <x v="8"/>
      <x v="62"/>
    </i>
    <i r="1">
      <x v="11"/>
      <x v="27"/>
    </i>
    <i r="1">
      <x v="13"/>
      <x v="27"/>
    </i>
    <i r="1">
      <x v="17"/>
      <x v="149"/>
    </i>
    <i r="1">
      <x v="35"/>
      <x v="43"/>
    </i>
    <i r="1">
      <x v="36"/>
      <x v="116"/>
    </i>
    <i r="1">
      <x v="38"/>
      <x v="146"/>
    </i>
    <i r="1">
      <x v="78"/>
      <x v="17"/>
    </i>
    <i r="1">
      <x v="79"/>
      <x v="50"/>
    </i>
    <i r="2">
      <x v="53"/>
    </i>
    <i r="1">
      <x v="125"/>
      <x v="39"/>
    </i>
    <i r="1">
      <x v="126"/>
      <x v="84"/>
    </i>
    <i r="2">
      <x v="89"/>
    </i>
    <i r="1">
      <x v="129"/>
      <x v="146"/>
    </i>
    <i r="1">
      <x v="171"/>
      <x v="131"/>
    </i>
    <i r="1">
      <x v="177"/>
      <x v="20"/>
    </i>
    <i r="1">
      <x v="178"/>
      <x v="20"/>
    </i>
    <i t="default">
      <x v="27"/>
    </i>
    <i>
      <x v="28"/>
      <x v="35"/>
      <x v="35"/>
    </i>
    <i r="2">
      <x v="44"/>
    </i>
    <i r="2">
      <x v="49"/>
    </i>
    <i r="2">
      <x v="51"/>
    </i>
    <i r="2">
      <x v="54"/>
    </i>
    <i r="2">
      <x v="188"/>
    </i>
    <i r="2">
      <x v="189"/>
    </i>
    <i r="1">
      <x v="36"/>
      <x v="113"/>
    </i>
    <i r="1">
      <x v="38"/>
      <x v="146"/>
    </i>
    <i r="1">
      <x v="69"/>
      <x v="59"/>
    </i>
    <i r="2">
      <x v="64"/>
    </i>
    <i r="2">
      <x v="71"/>
    </i>
    <i r="1">
      <x v="116"/>
      <x v="87"/>
    </i>
    <i r="2">
      <x v="95"/>
    </i>
    <i r="1">
      <x v="126"/>
      <x v="78"/>
    </i>
    <i r="2">
      <x v="88"/>
    </i>
    <i r="2">
      <x v="91"/>
    </i>
    <i r="2">
      <x v="95"/>
    </i>
    <i r="2">
      <x v="99"/>
    </i>
    <i r="2">
      <x v="121"/>
    </i>
    <i r="2">
      <x v="185"/>
    </i>
    <i r="1">
      <x v="129"/>
      <x v="146"/>
    </i>
    <i r="1">
      <x v="160"/>
      <x v="59"/>
    </i>
    <i r="2">
      <x v="66"/>
    </i>
    <i r="2">
      <x v="67"/>
    </i>
    <i r="2">
      <x v="69"/>
    </i>
    <i r="2">
      <x v="73"/>
    </i>
    <i r="1">
      <x v="162"/>
      <x v="135"/>
    </i>
    <i t="default">
      <x v="28"/>
    </i>
    <i>
      <x v="29"/>
      <x v="36"/>
      <x v="121"/>
    </i>
    <i r="1">
      <x v="125"/>
      <x v="43"/>
    </i>
    <i r="1">
      <x v="129"/>
      <x v="146"/>
    </i>
    <i t="default">
      <x v="29"/>
    </i>
    <i>
      <x v="30"/>
      <x v="35"/>
      <x v="37"/>
    </i>
    <i r="1">
      <x v="36"/>
      <x v="113"/>
    </i>
    <i r="2">
      <x v="116"/>
    </i>
    <i r="1">
      <x v="44"/>
      <x v="53"/>
    </i>
    <i r="1">
      <x v="48"/>
      <x v="91"/>
    </i>
    <i r="1">
      <x v="57"/>
      <x v="12"/>
    </i>
    <i r="1">
      <x v="82"/>
      <x v="16"/>
    </i>
    <i r="1">
      <x v="85"/>
      <x v="162"/>
    </i>
    <i r="1">
      <x v="114"/>
      <x v="39"/>
    </i>
    <i r="1">
      <x v="124"/>
      <x v="16"/>
    </i>
    <i r="1">
      <x v="129"/>
      <x v="146"/>
    </i>
    <i r="1">
      <x v="146"/>
      <x v="114"/>
    </i>
    <i r="1">
      <x v="158"/>
      <x v="35"/>
    </i>
    <i r="2">
      <x v="41"/>
    </i>
    <i r="1">
      <x v="179"/>
      <x v="6"/>
    </i>
    <i r="2">
      <x v="7"/>
    </i>
    <i r="1">
      <x v="181"/>
      <x v="16"/>
    </i>
    <i r="2">
      <x v="20"/>
    </i>
    <i r="1">
      <x v="187"/>
      <x v="72"/>
    </i>
    <i r="1">
      <x v="188"/>
      <x v="78"/>
    </i>
    <i r="1">
      <x v="189"/>
      <x v="113"/>
    </i>
    <i t="default">
      <x v="30"/>
    </i>
    <i>
      <x v="31"/>
      <x v="114"/>
      <x v="43"/>
    </i>
    <i r="1">
      <x v="116"/>
      <x v="116"/>
    </i>
    <i r="1">
      <x v="125"/>
      <x v="43"/>
    </i>
    <i r="1">
      <x v="179"/>
      <x v="6"/>
    </i>
    <i r="1">
      <x v="181"/>
      <x v="16"/>
    </i>
    <i t="default">
      <x v="31"/>
    </i>
    <i>
      <x v="32"/>
      <x v="35"/>
      <x v="49"/>
    </i>
    <i r="1">
      <x v="98"/>
      <x v="10"/>
    </i>
    <i r="1">
      <x v="125"/>
      <x v="49"/>
    </i>
    <i r="1">
      <x v="169"/>
      <x v="21"/>
    </i>
    <i r="2">
      <x v="25"/>
    </i>
    <i r="2">
      <x v="29"/>
    </i>
    <i r="1">
      <x v="181"/>
      <x v="16"/>
    </i>
    <i r="2">
      <x v="20"/>
    </i>
    <i t="default">
      <x v="32"/>
    </i>
    <i>
      <x v="33"/>
      <x v="38"/>
      <x/>
    </i>
    <i r="1">
      <x v="40"/>
      <x v="160"/>
    </i>
    <i r="1">
      <x v="120"/>
      <x v="161"/>
    </i>
    <i t="default">
      <x v="33"/>
    </i>
    <i>
      <x v="34"/>
      <x v="38"/>
      <x v="146"/>
    </i>
    <i r="1">
      <x v="126"/>
      <x v="113"/>
    </i>
    <i r="1">
      <x v="131"/>
      <x v="160"/>
    </i>
    <i r="1">
      <x v="183"/>
      <x v="62"/>
    </i>
    <i t="default">
      <x v="34"/>
    </i>
    <i>
      <x v="35"/>
      <x/>
      <x v="20"/>
    </i>
    <i r="1">
      <x v="44"/>
      <x v="53"/>
    </i>
    <i r="1">
      <x v="63"/>
      <x v="37"/>
    </i>
    <i r="1">
      <x v="140"/>
      <x v="13"/>
    </i>
    <i r="1">
      <x v="141"/>
      <x v="13"/>
    </i>
    <i r="1">
      <x v="180"/>
      <x v="144"/>
    </i>
    <i t="default">
      <x v="35"/>
    </i>
    <i>
      <x v="36"/>
      <x v="8"/>
      <x v="68"/>
    </i>
    <i r="1">
      <x v="14"/>
      <x v="78"/>
    </i>
    <i r="1">
      <x v="19"/>
      <x v="154"/>
    </i>
    <i r="1">
      <x v="35"/>
      <x v="35"/>
    </i>
    <i r="2">
      <x v="37"/>
    </i>
    <i r="2">
      <x v="43"/>
    </i>
    <i r="2">
      <x v="72"/>
    </i>
    <i r="1">
      <x v="38"/>
      <x v="146"/>
    </i>
    <i r="1">
      <x v="40"/>
      <x v="160"/>
    </i>
    <i r="1">
      <x v="44"/>
      <x v="53"/>
    </i>
    <i r="1">
      <x v="47"/>
      <x v="167"/>
    </i>
    <i r="1">
      <x v="79"/>
      <x v="53"/>
    </i>
    <i r="1">
      <x v="116"/>
      <x v="95"/>
    </i>
    <i r="2">
      <x v="118"/>
    </i>
    <i r="1">
      <x v="121"/>
      <x v="167"/>
    </i>
    <i r="1">
      <x v="125"/>
      <x v="43"/>
    </i>
    <i r="2">
      <x v="53"/>
    </i>
    <i r="1">
      <x v="126"/>
      <x v="78"/>
    </i>
    <i r="2">
      <x v="113"/>
    </i>
    <i r="2">
      <x v="114"/>
    </i>
    <i r="1">
      <x v="141"/>
      <x v="12"/>
    </i>
    <i r="2">
      <x v="14"/>
    </i>
    <i r="1">
      <x v="142"/>
      <x v="50"/>
    </i>
    <i r="2">
      <x v="53"/>
    </i>
    <i r="2">
      <x v="57"/>
    </i>
    <i r="1">
      <x v="158"/>
      <x v="41"/>
    </i>
    <i r="1">
      <x v="181"/>
      <x v="16"/>
    </i>
    <i r="1">
      <x v="182"/>
      <x v="16"/>
    </i>
    <i r="1">
      <x v="183"/>
      <x v="43"/>
    </i>
    <i t="default">
      <x v="36"/>
    </i>
    <i>
      <x v="37"/>
      <x v="8"/>
      <x v="59"/>
    </i>
    <i r="1">
      <x v="158"/>
      <x v="37"/>
    </i>
    <i r="1">
      <x v="179"/>
      <x v="2"/>
    </i>
    <i r="1">
      <x v="181"/>
      <x v="16"/>
    </i>
    <i t="default">
      <x v="37"/>
    </i>
    <i>
      <x v="38"/>
      <x v="38"/>
      <x v="147"/>
    </i>
    <i r="1">
      <x v="129"/>
      <x v="148"/>
    </i>
    <i r="1">
      <x v="141"/>
      <x v="14"/>
    </i>
    <i t="default">
      <x v="38"/>
    </i>
    <i>
      <x v="39"/>
      <x v="8"/>
      <x v="59"/>
    </i>
    <i r="2">
      <x v="62"/>
    </i>
    <i r="2">
      <x v="68"/>
    </i>
    <i r="1">
      <x v="17"/>
      <x v="151"/>
    </i>
    <i r="1">
      <x v="38"/>
      <x v="147"/>
    </i>
    <i r="1">
      <x v="44"/>
      <x v="53"/>
    </i>
    <i r="2">
      <x v="192"/>
    </i>
    <i r="1">
      <x v="77"/>
      <x v="33"/>
    </i>
    <i r="2">
      <x v="35"/>
    </i>
    <i r="1">
      <x v="79"/>
      <x v="57"/>
    </i>
    <i r="1">
      <x v="80"/>
      <x v="129"/>
    </i>
    <i r="1">
      <x v="83"/>
      <x v="95"/>
    </i>
    <i r="1">
      <x v="87"/>
      <x v="172"/>
    </i>
    <i r="1">
      <x v="113"/>
      <x v="46"/>
    </i>
    <i r="1">
      <x v="114"/>
      <x v="46"/>
    </i>
    <i r="1">
      <x v="124"/>
      <x v="16"/>
    </i>
    <i r="1">
      <x v="125"/>
      <x v="43"/>
    </i>
    <i r="2">
      <x v="57"/>
    </i>
    <i r="2">
      <x v="65"/>
    </i>
    <i r="1">
      <x v="129"/>
      <x v="148"/>
    </i>
    <i r="1">
      <x v="158"/>
      <x v="35"/>
    </i>
    <i r="1">
      <x v="160"/>
      <x v="59"/>
    </i>
    <i r="1">
      <x v="181"/>
      <x v="16"/>
    </i>
    <i r="2">
      <x v="20"/>
    </i>
    <i t="default">
      <x v="39"/>
    </i>
    <i>
      <x v="40"/>
      <x v="4"/>
      <x v="35"/>
    </i>
    <i r="1">
      <x v="38"/>
      <x v="157"/>
    </i>
    <i r="1">
      <x v="44"/>
      <x v="59"/>
    </i>
    <i r="1">
      <x v="96"/>
      <x v="21"/>
    </i>
    <i r="1">
      <x v="129"/>
      <x v="160"/>
    </i>
    <i r="1">
      <x v="158"/>
      <x v="39"/>
    </i>
    <i r="1">
      <x v="164"/>
      <x v="151"/>
    </i>
    <i t="default">
      <x v="40"/>
    </i>
    <i>
      <x v="41"/>
      <x v="4"/>
      <x v="35"/>
    </i>
    <i r="1">
      <x v="129"/>
      <x v="146"/>
    </i>
    <i r="1">
      <x v="137"/>
      <x v="150"/>
    </i>
    <i r="1">
      <x v="158"/>
      <x v="41"/>
    </i>
    <i r="2">
      <x v="43"/>
    </i>
    <i r="1">
      <x v="181"/>
      <x v="16"/>
    </i>
    <i r="2">
      <x v="17"/>
    </i>
    <i t="default">
      <x v="41"/>
    </i>
    <i>
      <x v="42"/>
      <x v="38"/>
      <x v="146"/>
    </i>
    <i r="2">
      <x v="147"/>
    </i>
    <i r="1">
      <x v="99"/>
      <x v="113"/>
    </i>
    <i r="1">
      <x v="129"/>
      <x v="148"/>
    </i>
    <i r="1">
      <x v="131"/>
      <x v="160"/>
    </i>
    <i t="default">
      <x v="42"/>
    </i>
    <i>
      <x v="43"/>
      <x v="38"/>
      <x v="147"/>
    </i>
    <i r="1">
      <x v="65"/>
      <x v="143"/>
    </i>
    <i r="1">
      <x v="129"/>
      <x v="148"/>
    </i>
    <i t="default">
      <x v="43"/>
    </i>
    <i>
      <x v="44"/>
      <x v="11"/>
      <x v="33"/>
    </i>
    <i r="1">
      <x v="13"/>
      <x v="33"/>
    </i>
    <i r="1">
      <x v="14"/>
      <x v="111"/>
    </i>
    <i r="1">
      <x v="15"/>
      <x v="134"/>
    </i>
    <i r="1">
      <x v="35"/>
      <x v="37"/>
    </i>
    <i r="2">
      <x v="43"/>
    </i>
    <i r="1">
      <x v="36"/>
      <x v="121"/>
    </i>
    <i r="1">
      <x v="38"/>
      <x v="146"/>
    </i>
    <i r="1">
      <x v="40"/>
      <x v="160"/>
    </i>
    <i r="1">
      <x v="83"/>
      <x v="95"/>
    </i>
    <i r="1">
      <x v="85"/>
      <x v="162"/>
    </i>
    <i r="1">
      <x v="87"/>
      <x v="170"/>
    </i>
    <i r="1">
      <x v="89"/>
      <x v="174"/>
    </i>
    <i r="1">
      <x v="90"/>
      <x v="72"/>
    </i>
    <i r="1">
      <x v="97"/>
      <x v="121"/>
    </i>
    <i r="1">
      <x v="121"/>
      <x v="169"/>
    </i>
    <i r="1">
      <x v="125"/>
      <x v="39"/>
    </i>
    <i r="2">
      <x v="57"/>
    </i>
    <i r="2">
      <x v="59"/>
    </i>
    <i r="2">
      <x v="177"/>
    </i>
    <i r="1">
      <x v="126"/>
      <x v="118"/>
    </i>
    <i r="1">
      <x v="129"/>
      <x v="146"/>
    </i>
    <i r="2">
      <x v="148"/>
    </i>
    <i r="1">
      <x v="131"/>
      <x v="160"/>
    </i>
    <i r="1">
      <x v="141"/>
      <x v="12"/>
    </i>
    <i r="1">
      <x v="158"/>
      <x v="39"/>
    </i>
    <i r="1">
      <x v="179"/>
      <x v="2"/>
    </i>
    <i r="2">
      <x v="4"/>
    </i>
    <i r="1">
      <x v="180"/>
      <x v="8"/>
    </i>
    <i r="1">
      <x v="182"/>
      <x v="16"/>
    </i>
    <i t="default">
      <x v="44"/>
    </i>
    <i>
      <x v="45"/>
      <x v="36"/>
      <x v="121"/>
    </i>
    <i r="1">
      <x v="38"/>
      <x v="147"/>
    </i>
    <i r="1">
      <x v="39"/>
      <x v="157"/>
    </i>
    <i t="default">
      <x v="45"/>
    </i>
    <i>
      <x v="46"/>
      <x v="56"/>
      <x v="115"/>
    </i>
    <i r="1">
      <x v="85"/>
      <x v="169"/>
    </i>
    <i r="1">
      <x v="126"/>
      <x v="78"/>
    </i>
    <i r="1">
      <x v="129"/>
      <x v="155"/>
    </i>
    <i r="1">
      <x v="143"/>
      <x v="118"/>
    </i>
    <i t="default">
      <x v="46"/>
    </i>
    <i>
      <x v="47"/>
      <x v="36"/>
      <x v="121"/>
    </i>
    <i r="1">
      <x v="38"/>
      <x v="147"/>
    </i>
    <i r="1">
      <x v="39"/>
      <x v="157"/>
    </i>
    <i r="1">
      <x v="40"/>
      <x v="160"/>
    </i>
    <i r="1">
      <x v="129"/>
      <x v="148"/>
    </i>
    <i r="1">
      <x v="130"/>
      <x v="160"/>
    </i>
    <i r="1">
      <x v="131"/>
      <x v="160"/>
    </i>
    <i r="1">
      <x v="132"/>
      <x v="161"/>
    </i>
    <i t="default">
      <x v="47"/>
    </i>
    <i>
      <x v="48"/>
      <x v="8"/>
      <x v="59"/>
    </i>
    <i r="1">
      <x v="35"/>
      <x v="43"/>
    </i>
    <i r="2">
      <x v="72"/>
    </i>
    <i r="1">
      <x v="38"/>
      <x v="146"/>
    </i>
    <i r="1">
      <x v="131"/>
      <x v="160"/>
    </i>
    <i r="1">
      <x v="181"/>
      <x v="16"/>
    </i>
    <i t="default">
      <x v="48"/>
    </i>
    <i>
      <x v="49"/>
      <x v="11"/>
      <x v="33"/>
    </i>
    <i r="1">
      <x v="13"/>
      <x v="33"/>
    </i>
    <i r="1">
      <x v="42"/>
      <x v="170"/>
    </i>
    <i r="1">
      <x v="44"/>
      <x v="59"/>
    </i>
    <i r="1">
      <x v="70"/>
      <x v="68"/>
    </i>
    <i r="1">
      <x v="72"/>
      <x v="153"/>
    </i>
    <i r="1">
      <x v="74"/>
      <x v="112"/>
    </i>
    <i r="1">
      <x v="114"/>
      <x v="43"/>
    </i>
    <i r="1">
      <x v="125"/>
      <x v="53"/>
    </i>
    <i r="1">
      <x v="172"/>
      <x v="166"/>
    </i>
    <i t="default">
      <x v="49"/>
    </i>
    <i>
      <x v="50"/>
      <x v="40"/>
      <x v="160"/>
    </i>
    <i r="1">
      <x v="116"/>
      <x v="95"/>
    </i>
    <i r="1">
      <x v="120"/>
      <x v="161"/>
    </i>
    <i r="1">
      <x v="121"/>
      <x v="167"/>
    </i>
    <i r="1">
      <x v="131"/>
      <x v="160"/>
    </i>
    <i r="1">
      <x v="168"/>
      <x v="6"/>
    </i>
    <i r="1">
      <x v="181"/>
      <x v="16"/>
    </i>
    <i r="1">
      <x v="183"/>
      <x v="184"/>
    </i>
    <i t="default">
      <x v="50"/>
    </i>
    <i>
      <x v="51"/>
      <x v="38"/>
      <x v="146"/>
    </i>
    <i r="2">
      <x v="147"/>
    </i>
    <i r="1">
      <x v="84"/>
      <x v="145"/>
    </i>
    <i r="1">
      <x v="85"/>
      <x v="162"/>
    </i>
    <i r="1">
      <x v="96"/>
      <x v="25"/>
    </i>
    <i r="1">
      <x v="118"/>
      <x v="149"/>
    </i>
    <i r="1">
      <x v="123"/>
      <x v="146"/>
    </i>
    <i r="1">
      <x v="129"/>
      <x v="146"/>
    </i>
    <i r="2">
      <x v="148"/>
    </i>
    <i r="1">
      <x v="168"/>
      <x v="9"/>
    </i>
    <i r="1">
      <x v="169"/>
      <x v="35"/>
    </i>
    <i t="default">
      <x v="51"/>
    </i>
    <i>
      <x v="52"/>
      <x v="103"/>
      <x v="35"/>
    </i>
    <i r="1">
      <x v="109"/>
      <x v="8"/>
    </i>
    <i r="1">
      <x v="125"/>
      <x v="53"/>
    </i>
    <i r="1">
      <x v="141"/>
      <x v="14"/>
    </i>
    <i t="default">
      <x v="52"/>
    </i>
    <i>
      <x v="53"/>
      <x v="38"/>
      <x v="147"/>
    </i>
    <i r="1">
      <x v="41"/>
      <x v="170"/>
    </i>
    <i r="1">
      <x v="70"/>
      <x v="65"/>
    </i>
    <i r="2">
      <x v="74"/>
    </i>
    <i r="1">
      <x v="72"/>
      <x v="152"/>
    </i>
    <i r="1">
      <x v="77"/>
      <x v="20"/>
    </i>
    <i r="1">
      <x v="83"/>
      <x v="108"/>
    </i>
    <i r="1">
      <x v="84"/>
      <x v="145"/>
    </i>
    <i r="1">
      <x v="96"/>
      <x v="17"/>
    </i>
    <i r="2">
      <x v="23"/>
    </i>
    <i r="1">
      <x v="147"/>
      <x v="143"/>
    </i>
    <i r="1">
      <x v="176"/>
      <x v="111"/>
    </i>
    <i r="1">
      <x v="179"/>
      <x v="4"/>
    </i>
    <i t="default">
      <x v="53"/>
    </i>
    <i>
      <x v="54"/>
      <x v="11"/>
      <x v="33"/>
    </i>
    <i r="1">
      <x v="13"/>
      <x v="33"/>
    </i>
    <i r="1">
      <x v="125"/>
      <x v="59"/>
    </i>
    <i r="1">
      <x v="126"/>
      <x v="114"/>
    </i>
    <i t="default">
      <x v="54"/>
    </i>
    <i>
      <x v="55"/>
      <x v="38"/>
      <x v="147"/>
    </i>
    <i r="1">
      <x v="39"/>
      <x v="157"/>
    </i>
    <i r="1">
      <x v="129"/>
      <x v="148"/>
    </i>
    <i r="1">
      <x v="130"/>
      <x v="160"/>
    </i>
    <i r="1">
      <x v="132"/>
      <x v="161"/>
    </i>
    <i r="1">
      <x v="141"/>
      <x v="13"/>
    </i>
    <i r="1">
      <x v="181"/>
      <x v="16"/>
    </i>
    <i t="default">
      <x v="55"/>
    </i>
    <i>
      <x v="56"/>
      <x v="35"/>
      <x v="37"/>
    </i>
    <i r="1">
      <x v="87"/>
      <x v="170"/>
    </i>
    <i r="1">
      <x v="114"/>
      <x v="39"/>
    </i>
    <i r="2">
      <x v="46"/>
    </i>
    <i r="2">
      <x v="50"/>
    </i>
    <i r="1">
      <x v="116"/>
      <x v="95"/>
    </i>
    <i r="1">
      <x v="125"/>
      <x v="39"/>
    </i>
    <i r="1">
      <x v="181"/>
      <x v="16"/>
    </i>
    <i r="1">
      <x v="183"/>
      <x v="43"/>
    </i>
    <i t="default">
      <x v="56"/>
    </i>
    <i>
      <x v="57"/>
      <x v="4"/>
      <x v="30"/>
    </i>
    <i r="2">
      <x v="35"/>
    </i>
    <i r="1">
      <x v="5"/>
      <x v="39"/>
    </i>
    <i r="1">
      <x v="6"/>
      <x v="81"/>
    </i>
    <i r="1">
      <x v="52"/>
      <x v="20"/>
    </i>
    <i r="2">
      <x v="24"/>
    </i>
    <i r="2">
      <x v="25"/>
    </i>
    <i r="2">
      <x v="29"/>
    </i>
    <i r="1">
      <x v="61"/>
      <x v="11"/>
    </i>
    <i r="1">
      <x v="85"/>
      <x v="162"/>
    </i>
    <i r="1">
      <x v="96"/>
      <x v="17"/>
    </i>
    <i r="2">
      <x v="21"/>
    </i>
    <i r="1">
      <x v="99"/>
      <x v="113"/>
    </i>
    <i r="1">
      <x v="108"/>
      <x v="1"/>
    </i>
    <i r="1">
      <x v="109"/>
      <x v="6"/>
    </i>
    <i r="2">
      <x v="7"/>
    </i>
    <i r="2">
      <x v="8"/>
    </i>
    <i r="1">
      <x v="110"/>
      <x v="23"/>
    </i>
    <i r="2">
      <x v="29"/>
    </i>
    <i r="2">
      <x v="30"/>
    </i>
    <i r="2">
      <x v="35"/>
    </i>
    <i r="1">
      <x v="129"/>
      <x v="146"/>
    </i>
    <i r="1">
      <x v="164"/>
      <x v="149"/>
    </i>
    <i r="1">
      <x v="169"/>
      <x v="21"/>
    </i>
    <i r="2">
      <x v="29"/>
    </i>
    <i r="2">
      <x v="30"/>
    </i>
    <i r="1">
      <x v="179"/>
      <x v="4"/>
    </i>
    <i t="default">
      <x v="57"/>
    </i>
    <i>
      <x v="58"/>
      <x v="35"/>
      <x v="43"/>
    </i>
    <i r="1">
      <x v="160"/>
      <x v="59"/>
    </i>
    <i t="default">
      <x v="58"/>
    </i>
    <i>
      <x v="59"/>
      <x v="44"/>
      <x v="57"/>
    </i>
    <i r="1">
      <x v="54"/>
      <x v="65"/>
    </i>
    <i r="1">
      <x v="89"/>
      <x v="174"/>
    </i>
    <i r="1">
      <x v="103"/>
      <x v="39"/>
    </i>
    <i r="1">
      <x v="158"/>
      <x v="35"/>
    </i>
    <i r="1">
      <x v="164"/>
      <x v="151"/>
    </i>
    <i r="1">
      <x v="179"/>
      <x v="4"/>
    </i>
    <i r="1">
      <x v="181"/>
      <x v="16"/>
    </i>
    <i t="default">
      <x v="59"/>
    </i>
    <i>
      <x v="60"/>
      <x v="40"/>
      <x v="160"/>
    </i>
    <i r="1">
      <x v="131"/>
      <x v="160"/>
    </i>
    <i t="default">
      <x v="60"/>
    </i>
    <i>
      <x v="61"/>
      <x v="40"/>
      <x v="160"/>
    </i>
    <i r="1">
      <x v="88"/>
      <x v="174"/>
    </i>
    <i r="1">
      <x v="131"/>
      <x v="160"/>
    </i>
    <i t="default">
      <x v="61"/>
    </i>
    <i>
      <x v="62"/>
      <x/>
      <x v="20"/>
    </i>
    <i r="1">
      <x v="13"/>
      <x v="33"/>
    </i>
    <i r="1">
      <x v="36"/>
      <x v="121"/>
    </i>
    <i r="1">
      <x v="38"/>
      <x v="147"/>
    </i>
    <i r="1">
      <x v="44"/>
      <x v="57"/>
    </i>
    <i r="2">
      <x v="62"/>
    </i>
    <i r="1">
      <x v="47"/>
      <x v="168"/>
    </i>
    <i r="1">
      <x v="83"/>
      <x v="111"/>
    </i>
    <i r="1">
      <x v="124"/>
      <x v="16"/>
    </i>
    <i r="1">
      <x v="125"/>
      <x v="14"/>
    </i>
    <i r="1">
      <x v="129"/>
      <x v="148"/>
    </i>
    <i r="1">
      <x v="130"/>
      <x v="160"/>
    </i>
    <i r="1">
      <x v="141"/>
      <x v="13"/>
    </i>
    <i r="2">
      <x v="16"/>
    </i>
    <i t="default">
      <x v="62"/>
    </i>
    <i>
      <x v="63"/>
      <x v="32"/>
      <x v="95"/>
    </i>
    <i r="1">
      <x v="158"/>
      <x v="35"/>
    </i>
    <i r="1">
      <x v="181"/>
      <x v="20"/>
    </i>
    <i r="2">
      <x v="21"/>
    </i>
    <i r="1">
      <x v="182"/>
      <x v="16"/>
    </i>
    <i t="default">
      <x v="63"/>
    </i>
    <i>
      <x v="64"/>
      <x v="97"/>
      <x v="130"/>
    </i>
    <i r="2">
      <x v="131"/>
    </i>
    <i r="2">
      <x v="132"/>
    </i>
    <i r="1">
      <x v="118"/>
      <x v="150"/>
    </i>
    <i r="1">
      <x v="125"/>
      <x v="59"/>
    </i>
    <i r="2">
      <x v="62"/>
    </i>
    <i r="2">
      <x v="72"/>
    </i>
    <i r="1">
      <x v="129"/>
      <x v="148"/>
    </i>
    <i r="1">
      <x v="167"/>
      <x v="166"/>
    </i>
    <i r="1">
      <x v="171"/>
      <x v="133"/>
    </i>
    <i t="default">
      <x v="64"/>
    </i>
    <i>
      <x v="65"/>
      <x v="36"/>
      <x v="113"/>
    </i>
    <i r="1">
      <x v="44"/>
      <x v="59"/>
    </i>
    <i r="1">
      <x v="87"/>
      <x v="170"/>
    </i>
    <i r="1">
      <x v="125"/>
      <x v="43"/>
    </i>
    <i r="2">
      <x v="49"/>
    </i>
    <i r="2">
      <x v="59"/>
    </i>
    <i r="1">
      <x v="131"/>
      <x v="160"/>
    </i>
    <i r="1">
      <x v="179"/>
      <x v="2"/>
    </i>
    <i r="2">
      <x v="6"/>
    </i>
    <i r="1">
      <x v="181"/>
      <x v="17"/>
    </i>
    <i t="default">
      <x v="65"/>
    </i>
    <i>
      <x v="66"/>
      <x/>
      <x v="20"/>
    </i>
    <i r="1">
      <x v="56"/>
      <x v="81"/>
    </i>
    <i r="1">
      <x v="64"/>
      <x v="43"/>
    </i>
    <i r="1">
      <x v="82"/>
      <x v="14"/>
    </i>
    <i r="1">
      <x v="142"/>
      <x v="50"/>
    </i>
    <i r="2">
      <x v="53"/>
    </i>
    <i r="1">
      <x v="181"/>
      <x v="20"/>
    </i>
    <i r="1">
      <x v="187"/>
      <x v="72"/>
    </i>
    <i t="default">
      <x v="66"/>
    </i>
    <i>
      <x v="67"/>
      <x v="23"/>
      <x v="76"/>
    </i>
    <i r="2">
      <x v="83"/>
    </i>
    <i r="1">
      <x v="25"/>
      <x v="72"/>
    </i>
    <i r="2">
      <x v="75"/>
    </i>
    <i r="2">
      <x v="77"/>
    </i>
    <i r="1">
      <x v="32"/>
      <x v="95"/>
    </i>
    <i r="2">
      <x v="112"/>
    </i>
    <i r="1">
      <x v="35"/>
      <x v="35"/>
    </i>
    <i r="2">
      <x v="43"/>
    </i>
    <i r="2">
      <x v="72"/>
    </i>
    <i r="2">
      <x v="86"/>
    </i>
    <i r="2">
      <x v="90"/>
    </i>
    <i r="2">
      <x v="93"/>
    </i>
    <i r="2">
      <x v="97"/>
    </i>
    <i r="2">
      <x v="101"/>
    </i>
    <i r="1">
      <x v="36"/>
      <x v="116"/>
    </i>
    <i r="1">
      <x v="44"/>
      <x v="58"/>
    </i>
    <i r="1">
      <x v="45"/>
      <x v="95"/>
    </i>
    <i r="1">
      <x v="46"/>
      <x v="156"/>
    </i>
    <i r="1">
      <x v="48"/>
      <x v="95"/>
    </i>
    <i r="1">
      <x v="68"/>
      <x v="16"/>
    </i>
    <i r="2">
      <x v="18"/>
    </i>
    <i r="2">
      <x v="19"/>
    </i>
    <i r="2">
      <x v="176"/>
    </i>
    <i r="1">
      <x v="69"/>
      <x v="74"/>
    </i>
    <i r="1">
      <x v="79"/>
      <x v="53"/>
    </i>
    <i r="1">
      <x v="92"/>
      <x v="72"/>
    </i>
    <i r="2">
      <x v="190"/>
    </i>
    <i r="1">
      <x v="95"/>
      <x v="80"/>
    </i>
    <i r="1">
      <x v="97"/>
      <x v="130"/>
    </i>
    <i r="2">
      <x v="131"/>
    </i>
    <i r="2">
      <x v="182"/>
    </i>
    <i r="1">
      <x v="107"/>
      <x v="130"/>
    </i>
    <i r="1">
      <x v="116"/>
      <x v="87"/>
    </i>
    <i r="2">
      <x v="95"/>
    </i>
    <i r="2">
      <x v="103"/>
    </i>
    <i r="2">
      <x v="110"/>
    </i>
    <i r="2">
      <x v="179"/>
    </i>
    <i r="1">
      <x v="118"/>
      <x v="149"/>
    </i>
    <i r="1">
      <x v="122"/>
      <x v="95"/>
    </i>
    <i r="2">
      <x v="104"/>
    </i>
    <i r="2">
      <x v="180"/>
    </i>
    <i r="1">
      <x v="126"/>
      <x v="78"/>
    </i>
    <i r="2">
      <x v="88"/>
    </i>
    <i r="2">
      <x v="94"/>
    </i>
    <i r="1">
      <x v="158"/>
      <x v="35"/>
    </i>
    <i r="1">
      <x v="160"/>
      <x v="59"/>
    </i>
    <i r="1">
      <x v="165"/>
      <x v="131"/>
    </i>
    <i r="2">
      <x v="182"/>
    </i>
    <i r="1">
      <x v="171"/>
      <x v="130"/>
    </i>
    <i r="2">
      <x v="131"/>
    </i>
    <i r="2">
      <x v="182"/>
    </i>
    <i r="1">
      <x v="181"/>
      <x v="16"/>
    </i>
    <i r="2">
      <x v="17"/>
    </i>
    <i r="1">
      <x v="188"/>
      <x v="78"/>
    </i>
    <i r="2">
      <x v="81"/>
    </i>
    <i r="2">
      <x v="87"/>
    </i>
    <i r="2">
      <x v="178"/>
    </i>
    <i t="default">
      <x v="67"/>
    </i>
    <i>
      <x v="68"/>
      <x v="14"/>
      <x v="78"/>
    </i>
    <i r="1">
      <x v="26"/>
      <x v="127"/>
    </i>
    <i r="1">
      <x v="35"/>
      <x v="35"/>
    </i>
    <i r="2">
      <x v="43"/>
    </i>
    <i r="2">
      <x v="184"/>
    </i>
    <i r="1">
      <x v="36"/>
      <x v="121"/>
    </i>
    <i r="1">
      <x v="45"/>
      <x v="95"/>
    </i>
    <i r="1">
      <x v="116"/>
      <x v="95"/>
    </i>
    <i r="1">
      <x v="126"/>
      <x v="78"/>
    </i>
    <i r="2">
      <x v="88"/>
    </i>
    <i r="2">
      <x v="109"/>
    </i>
    <i r="2">
      <x v="113"/>
    </i>
    <i r="1">
      <x v="129"/>
      <x v="146"/>
    </i>
    <i t="default">
      <x v="68"/>
    </i>
    <i>
      <x v="69"/>
      <x/>
      <x v="43"/>
    </i>
    <i r="1">
      <x v="74"/>
      <x v="125"/>
    </i>
    <i r="1">
      <x v="83"/>
      <x v="121"/>
    </i>
    <i r="1">
      <x v="103"/>
      <x v="62"/>
    </i>
    <i r="1">
      <x v="114"/>
      <x v="72"/>
    </i>
    <i r="1">
      <x v="158"/>
      <x v="62"/>
    </i>
    <i r="1">
      <x v="181"/>
      <x v="39"/>
    </i>
    <i t="default">
      <x v="69"/>
    </i>
    <i>
      <x v="70"/>
      <x v="38"/>
      <x v="146"/>
    </i>
    <i r="1">
      <x v="131"/>
      <x v="160"/>
    </i>
    <i t="default">
      <x v="70"/>
    </i>
    <i>
      <x v="71"/>
      <x v="13"/>
      <x v="27"/>
    </i>
    <i r="2">
      <x v="33"/>
    </i>
    <i r="1">
      <x v="14"/>
      <x v="78"/>
    </i>
    <i r="1">
      <x v="34"/>
      <x v="14"/>
    </i>
    <i r="1">
      <x v="35"/>
      <x v="37"/>
    </i>
    <i r="1">
      <x v="38"/>
      <x v="146"/>
    </i>
    <i r="1">
      <x v="44"/>
      <x v="59"/>
    </i>
    <i r="1">
      <x v="64"/>
      <x v="41"/>
    </i>
    <i r="1">
      <x v="79"/>
      <x v="53"/>
    </i>
    <i r="1">
      <x v="125"/>
      <x v="43"/>
    </i>
    <i r="1">
      <x v="126"/>
      <x v="78"/>
    </i>
    <i r="2">
      <x v="85"/>
    </i>
    <i r="1">
      <x v="129"/>
      <x v="146"/>
    </i>
    <i r="1">
      <x v="141"/>
      <x v="13"/>
    </i>
    <i r="1">
      <x v="142"/>
      <x v="50"/>
    </i>
    <i r="1">
      <x v="158"/>
      <x v="35"/>
    </i>
    <i r="2">
      <x v="39"/>
    </i>
    <i r="1">
      <x v="179"/>
      <x v="2"/>
    </i>
    <i r="1">
      <x v="181"/>
      <x v="16"/>
    </i>
    <i r="2">
      <x v="17"/>
    </i>
    <i r="2">
      <x v="20"/>
    </i>
    <i t="default">
      <x v="71"/>
    </i>
    <i>
      <x v="72"/>
      <x v="35"/>
      <x v="43"/>
    </i>
    <i r="1">
      <x v="38"/>
      <x v="146"/>
    </i>
    <i r="1">
      <x v="44"/>
      <x v="59"/>
    </i>
    <i r="1">
      <x v="57"/>
      <x v="33"/>
    </i>
    <i r="1">
      <x v="62"/>
      <x v="20"/>
    </i>
    <i r="1">
      <x v="84"/>
      <x v="148"/>
    </i>
    <i r="1">
      <x v="85"/>
      <x v="162"/>
    </i>
    <i r="1">
      <x v="96"/>
      <x v="17"/>
    </i>
    <i r="1">
      <x v="98"/>
      <x v="8"/>
    </i>
    <i r="1">
      <x v="99"/>
      <x v="113"/>
    </i>
    <i r="1">
      <x v="109"/>
      <x v="6"/>
    </i>
    <i r="2">
      <x v="8"/>
    </i>
    <i r="1">
      <x v="110"/>
      <x v="23"/>
    </i>
    <i r="1">
      <x v="111"/>
      <x v="74"/>
    </i>
    <i r="1">
      <x v="114"/>
      <x v="43"/>
    </i>
    <i r="2">
      <x v="50"/>
    </i>
    <i r="1">
      <x v="116"/>
      <x v="95"/>
    </i>
    <i r="2">
      <x v="118"/>
    </i>
    <i r="1">
      <x v="120"/>
      <x v="161"/>
    </i>
    <i r="1">
      <x v="158"/>
      <x v="43"/>
    </i>
    <i r="1">
      <x v="160"/>
      <x v="59"/>
    </i>
    <i r="1">
      <x v="164"/>
      <x v="142"/>
    </i>
    <i r="1">
      <x v="168"/>
      <x v="6"/>
    </i>
    <i r="1">
      <x v="179"/>
      <x v="2"/>
    </i>
    <i r="2">
      <x v="7"/>
    </i>
    <i r="1">
      <x v="181"/>
      <x v="16"/>
    </i>
    <i r="1">
      <x v="184"/>
      <x v="128"/>
    </i>
    <i t="default">
      <x v="72"/>
    </i>
    <i>
      <x v="73"/>
      <x v="36"/>
      <x v="121"/>
    </i>
    <i r="1">
      <x v="91"/>
      <x v="131"/>
    </i>
    <i r="1">
      <x v="126"/>
      <x v="88"/>
    </i>
    <i r="2">
      <x v="120"/>
    </i>
    <i r="2">
      <x v="121"/>
    </i>
    <i r="1">
      <x v="127"/>
      <x v="139"/>
    </i>
    <i r="1">
      <x v="128"/>
      <x v="72"/>
    </i>
    <i r="1">
      <x v="129"/>
      <x v="148"/>
    </i>
    <i r="1">
      <x v="181"/>
      <x v="17"/>
    </i>
    <i r="2">
      <x v="18"/>
    </i>
    <i r="1">
      <x v="183"/>
      <x v="43"/>
    </i>
    <i t="default">
      <x v="73"/>
    </i>
    <i>
      <x v="74"/>
      <x v="13"/>
      <x v="29"/>
    </i>
    <i r="1">
      <x v="14"/>
      <x v="78"/>
    </i>
    <i r="1">
      <x v="44"/>
      <x v="57"/>
    </i>
    <i r="1">
      <x v="70"/>
      <x v="68"/>
    </i>
    <i r="1">
      <x v="79"/>
      <x v="57"/>
    </i>
    <i r="1">
      <x v="87"/>
      <x v="172"/>
    </i>
    <i r="1">
      <x v="89"/>
      <x v="174"/>
    </i>
    <i r="2">
      <x v="175"/>
    </i>
    <i r="1">
      <x v="109"/>
      <x v="8"/>
    </i>
    <i r="1">
      <x v="119"/>
      <x v="162"/>
    </i>
    <i r="1">
      <x v="142"/>
      <x v="52"/>
    </i>
    <i r="1">
      <x v="158"/>
      <x v="41"/>
    </i>
    <i r="1">
      <x v="187"/>
      <x v="72"/>
    </i>
    <i t="default">
      <x v="74"/>
    </i>
    <i>
      <x v="75"/>
      <x v="1"/>
      <x v="43"/>
    </i>
    <i r="1">
      <x v="16"/>
      <x v="161"/>
    </i>
    <i r="1">
      <x v="35"/>
      <x v="43"/>
    </i>
    <i r="1">
      <x v="36"/>
      <x v="113"/>
    </i>
    <i r="1">
      <x v="38"/>
      <x v="147"/>
    </i>
    <i r="1">
      <x v="40"/>
      <x v="160"/>
    </i>
    <i r="1">
      <x v="44"/>
      <x v="57"/>
    </i>
    <i r="2">
      <x v="59"/>
    </i>
    <i r="2">
      <x v="62"/>
    </i>
    <i r="1">
      <x v="45"/>
      <x v="95"/>
    </i>
    <i r="1">
      <x v="47"/>
      <x v="167"/>
    </i>
    <i r="1">
      <x v="70"/>
      <x v="59"/>
    </i>
    <i r="2">
      <x v="62"/>
    </i>
    <i r="1">
      <x v="77"/>
      <x v="33"/>
    </i>
    <i r="1">
      <x v="79"/>
      <x v="53"/>
    </i>
    <i r="1">
      <x v="83"/>
      <x v="111"/>
    </i>
    <i r="1">
      <x v="103"/>
      <x v="37"/>
    </i>
    <i r="1">
      <x v="105"/>
      <x v="76"/>
    </i>
    <i r="1">
      <x v="113"/>
      <x v="43"/>
    </i>
    <i r="1">
      <x v="116"/>
      <x v="95"/>
    </i>
    <i r="2">
      <x v="118"/>
    </i>
    <i r="1">
      <x v="125"/>
      <x v="39"/>
    </i>
    <i r="2">
      <x v="57"/>
    </i>
    <i r="2">
      <x v="59"/>
    </i>
    <i r="2">
      <x v="62"/>
    </i>
    <i r="1">
      <x v="131"/>
      <x v="160"/>
    </i>
    <i r="1">
      <x v="141"/>
      <x v="13"/>
    </i>
    <i r="2">
      <x v="14"/>
    </i>
    <i r="1">
      <x v="142"/>
      <x v="50"/>
    </i>
    <i r="1">
      <x v="158"/>
      <x v="35"/>
    </i>
    <i r="2">
      <x v="41"/>
    </i>
    <i r="1">
      <x v="160"/>
      <x v="59"/>
    </i>
    <i r="1">
      <x v="161"/>
      <x v="151"/>
    </i>
    <i r="1">
      <x v="181"/>
      <x v="16"/>
    </i>
    <i t="default">
      <x v="75"/>
    </i>
    <i>
      <x v="76"/>
      <x v="11"/>
      <x v="38"/>
    </i>
    <i r="1">
      <x v="179"/>
      <x v="2"/>
    </i>
    <i t="default">
      <x v="76"/>
    </i>
    <i>
      <x v="77"/>
      <x/>
      <x v="20"/>
    </i>
    <i r="1">
      <x v="4"/>
      <x v="23"/>
    </i>
    <i r="1">
      <x v="14"/>
      <x v="78"/>
    </i>
    <i r="2">
      <x v="82"/>
    </i>
    <i r="1">
      <x v="17"/>
      <x v="149"/>
    </i>
    <i r="1">
      <x v="35"/>
      <x v="37"/>
    </i>
    <i r="1">
      <x v="38"/>
      <x v="146"/>
    </i>
    <i r="1">
      <x v="65"/>
      <x v="142"/>
    </i>
    <i r="1">
      <x v="70"/>
      <x v="60"/>
    </i>
    <i r="2">
      <x v="63"/>
    </i>
    <i r="1">
      <x v="71"/>
      <x v="147"/>
    </i>
    <i r="1">
      <x v="72"/>
      <x v="156"/>
    </i>
    <i r="1">
      <x v="74"/>
      <x v="111"/>
    </i>
    <i r="2">
      <x v="112"/>
    </i>
    <i r="1">
      <x v="75"/>
      <x v="136"/>
    </i>
    <i r="1">
      <x v="84"/>
      <x v="134"/>
    </i>
    <i r="2">
      <x v="135"/>
    </i>
    <i r="2">
      <x v="136"/>
    </i>
    <i r="2">
      <x v="141"/>
    </i>
    <i r="1">
      <x v="87"/>
      <x v="170"/>
    </i>
    <i r="1">
      <x v="99"/>
      <x v="112"/>
    </i>
    <i r="1">
      <x v="109"/>
      <x v="6"/>
    </i>
    <i r="2">
      <x v="7"/>
    </i>
    <i r="1">
      <x v="126"/>
      <x v="78"/>
    </i>
    <i r="2">
      <x v="85"/>
    </i>
    <i r="2">
      <x v="92"/>
    </i>
    <i r="2">
      <x v="96"/>
    </i>
    <i r="2">
      <x v="102"/>
    </i>
    <i r="2">
      <x v="113"/>
    </i>
    <i r="1">
      <x v="129"/>
      <x v="146"/>
    </i>
    <i r="1">
      <x v="158"/>
      <x v="33"/>
    </i>
    <i r="2">
      <x v="35"/>
    </i>
    <i r="2">
      <x v="37"/>
    </i>
    <i r="1">
      <x v="160"/>
      <x v="59"/>
    </i>
    <i r="1">
      <x v="162"/>
      <x v="135"/>
    </i>
    <i r="1">
      <x v="164"/>
      <x v="143"/>
    </i>
    <i r="1">
      <x v="179"/>
      <x v="2"/>
    </i>
    <i r="2">
      <x v="3"/>
    </i>
    <i r="2">
      <x v="4"/>
    </i>
    <i r="2">
      <x v="7"/>
    </i>
    <i r="1">
      <x v="181"/>
      <x v="16"/>
    </i>
    <i r="2">
      <x v="17"/>
    </i>
    <i r="1">
      <x v="183"/>
      <x v="72"/>
    </i>
    <i r="1">
      <x v="198"/>
      <x v="95"/>
    </i>
    <i r="2">
      <x v="99"/>
    </i>
    <i r="2">
      <x v="106"/>
    </i>
    <i t="default">
      <x v="77"/>
    </i>
    <i>
      <x v="78"/>
      <x v="40"/>
      <x v="160"/>
    </i>
    <i r="1">
      <x v="88"/>
      <x v="174"/>
    </i>
    <i r="1">
      <x v="131"/>
      <x v="160"/>
    </i>
    <i t="default">
      <x v="78"/>
    </i>
    <i>
      <x v="79"/>
      <x v="8"/>
      <x v="65"/>
    </i>
    <i r="1">
      <x v="18"/>
      <x v="154"/>
    </i>
    <i r="1">
      <x v="19"/>
      <x v="154"/>
    </i>
    <i r="1">
      <x v="33"/>
      <x v="160"/>
    </i>
    <i r="1">
      <x v="35"/>
      <x v="43"/>
    </i>
    <i r="1">
      <x v="36"/>
      <x v="114"/>
    </i>
    <i r="1">
      <x v="38"/>
      <x v="147"/>
    </i>
    <i r="1">
      <x v="79"/>
      <x v="57"/>
    </i>
    <i r="1">
      <x v="125"/>
      <x v="39"/>
    </i>
    <i r="2">
      <x v="59"/>
    </i>
    <i r="1">
      <x v="160"/>
      <x v="59"/>
    </i>
    <i r="1">
      <x v="179"/>
      <x v="2"/>
    </i>
    <i r="1">
      <x v="181"/>
      <x v="13"/>
    </i>
    <i r="2">
      <x v="16"/>
    </i>
    <i r="2">
      <x v="186"/>
    </i>
    <i r="2">
      <x v="187"/>
    </i>
    <i t="default">
      <x v="79"/>
    </i>
    <i>
      <x v="80"/>
      <x v="13"/>
      <x v="27"/>
    </i>
    <i r="1">
      <x v="125"/>
      <x v="57"/>
    </i>
    <i r="1">
      <x v="180"/>
      <x v="8"/>
    </i>
    <i r="1">
      <x v="181"/>
      <x v="16"/>
    </i>
    <i r="2">
      <x v="17"/>
    </i>
    <i t="default">
      <x v="80"/>
    </i>
    <i>
      <x v="81"/>
      <x v="11"/>
      <x v="27"/>
    </i>
    <i r="1">
      <x v="12"/>
      <x v="27"/>
    </i>
    <i r="1">
      <x v="13"/>
      <x v="27"/>
    </i>
    <i r="1">
      <x v="28"/>
      <x v="121"/>
    </i>
    <i r="1">
      <x v="36"/>
      <x v="121"/>
    </i>
    <i r="1">
      <x v="70"/>
      <x v="68"/>
    </i>
    <i r="1">
      <x v="79"/>
      <x v="43"/>
    </i>
    <i r="1">
      <x v="102"/>
      <x v="99"/>
    </i>
    <i r="1">
      <x v="125"/>
      <x v="43"/>
    </i>
    <i r="2">
      <x v="46"/>
    </i>
    <i r="2">
      <x v="59"/>
    </i>
    <i r="1">
      <x v="179"/>
      <x v="2"/>
    </i>
    <i r="2">
      <x v="4"/>
    </i>
    <i r="2">
      <x v="7"/>
    </i>
    <i r="1">
      <x v="181"/>
      <x v="16"/>
    </i>
    <i t="default">
      <x v="81"/>
    </i>
    <i>
      <x v="82"/>
      <x v="109"/>
      <x v="11"/>
    </i>
    <i r="1">
      <x v="169"/>
      <x v="33"/>
    </i>
    <i t="default">
      <x v="82"/>
    </i>
    <i>
      <x v="83"/>
      <x v="8"/>
      <x v="59"/>
    </i>
    <i r="1">
      <x v="113"/>
      <x v="43"/>
    </i>
    <i r="1">
      <x v="114"/>
      <x v="43"/>
    </i>
    <i r="2">
      <x v="46"/>
    </i>
    <i r="1">
      <x v="181"/>
      <x v="16"/>
    </i>
    <i r="2">
      <x v="17"/>
    </i>
    <i t="default">
      <x v="83"/>
    </i>
    <i>
      <x v="84"/>
      <x v="98"/>
      <x v="8"/>
    </i>
    <i r="1">
      <x v="109"/>
      <x v="6"/>
    </i>
    <i t="default">
      <x v="84"/>
    </i>
    <i>
      <x v="85"/>
      <x v="38"/>
      <x v="147"/>
    </i>
    <i r="1">
      <x v="44"/>
      <x v="59"/>
    </i>
    <i r="2">
      <x v="62"/>
    </i>
    <i r="2">
      <x v="65"/>
    </i>
    <i r="1">
      <x v="77"/>
      <x v="20"/>
    </i>
    <i r="1">
      <x v="79"/>
      <x v="57"/>
    </i>
    <i r="2">
      <x v="59"/>
    </i>
    <i r="1">
      <x v="83"/>
      <x v="111"/>
    </i>
    <i r="1">
      <x v="85"/>
      <x v="163"/>
    </i>
    <i r="1">
      <x v="110"/>
      <x v="29"/>
    </i>
    <i r="1">
      <x v="114"/>
      <x v="46"/>
    </i>
    <i r="2">
      <x v="50"/>
    </i>
    <i r="1">
      <x v="116"/>
      <x v="119"/>
    </i>
    <i r="2">
      <x v="124"/>
    </i>
    <i r="1">
      <x v="118"/>
      <x v="150"/>
    </i>
    <i r="1">
      <x v="125"/>
      <x v="68"/>
    </i>
    <i r="1">
      <x v="142"/>
      <x v="53"/>
    </i>
    <i r="1">
      <x v="169"/>
      <x v="25"/>
    </i>
    <i r="1">
      <x v="181"/>
      <x v="17"/>
    </i>
    <i t="default">
      <x v="85"/>
    </i>
    <i>
      <x v="86"/>
      <x v="82"/>
      <x v="13"/>
    </i>
    <i r="1">
      <x v="104"/>
      <x v="39"/>
    </i>
    <i r="1">
      <x v="181"/>
      <x v="16"/>
    </i>
    <i t="default">
      <x v="86"/>
    </i>
    <i>
      <x v="87"/>
      <x v="38"/>
      <x v="146"/>
    </i>
    <i r="1">
      <x v="113"/>
      <x v="43"/>
    </i>
    <i r="1">
      <x v="114"/>
      <x v="43"/>
    </i>
    <i r="1">
      <x v="125"/>
      <x v="62"/>
    </i>
    <i r="1">
      <x v="129"/>
      <x v="146"/>
    </i>
    <i r="1">
      <x v="141"/>
      <x v="12"/>
    </i>
    <i r="2">
      <x v="14"/>
    </i>
    <i r="1">
      <x v="158"/>
      <x v="43"/>
    </i>
    <i r="1">
      <x v="181"/>
      <x v="20"/>
    </i>
    <i t="default">
      <x v="87"/>
    </i>
    <i>
      <x v="88"/>
      <x v="38"/>
      <x v="146"/>
    </i>
    <i r="1">
      <x v="129"/>
      <x v="146"/>
    </i>
    <i r="1">
      <x v="164"/>
      <x v="149"/>
    </i>
    <i r="1">
      <x v="179"/>
      <x v="2"/>
    </i>
    <i t="default">
      <x v="88"/>
    </i>
    <i>
      <x v="89"/>
      <x v="44"/>
      <x v="59"/>
    </i>
    <i r="1">
      <x v="82"/>
      <x v="16"/>
    </i>
    <i r="1">
      <x v="124"/>
      <x v="16"/>
    </i>
    <i t="default">
      <x v="89"/>
    </i>
    <i>
      <x v="90"/>
      <x v="4"/>
      <x v="29"/>
    </i>
    <i r="1">
      <x v="8"/>
      <x v="50"/>
    </i>
    <i r="2">
      <x v="59"/>
    </i>
    <i r="2">
      <x v="62"/>
    </i>
    <i r="2">
      <x v="64"/>
    </i>
    <i r="1">
      <x v="10"/>
      <x v="129"/>
    </i>
    <i r="1">
      <x v="24"/>
      <x v="12"/>
    </i>
    <i r="1">
      <x v="30"/>
      <x v="12"/>
    </i>
    <i r="1">
      <x v="31"/>
      <x v="50"/>
    </i>
    <i r="1">
      <x v="35"/>
      <x v="35"/>
    </i>
    <i r="1">
      <x v="36"/>
      <x v="121"/>
    </i>
    <i r="1">
      <x v="38"/>
      <x v="146"/>
    </i>
    <i r="1">
      <x v="43"/>
      <x v="50"/>
    </i>
    <i r="1">
      <x v="44"/>
      <x v="57"/>
    </i>
    <i r="2">
      <x v="59"/>
    </i>
    <i r="2">
      <x v="193"/>
    </i>
    <i r="1">
      <x v="47"/>
      <x v="167"/>
    </i>
    <i r="1">
      <x v="50"/>
      <x v="184"/>
    </i>
    <i r="1">
      <x v="53"/>
      <x v="74"/>
    </i>
    <i r="1">
      <x v="59"/>
      <x v="12"/>
    </i>
    <i r="1">
      <x v="60"/>
      <x v="50"/>
    </i>
    <i r="1">
      <x v="67"/>
      <x v="13"/>
    </i>
    <i r="1">
      <x v="69"/>
      <x v="99"/>
    </i>
    <i r="1">
      <x v="75"/>
      <x v="136"/>
    </i>
    <i r="1">
      <x v="76"/>
      <x v="12"/>
    </i>
    <i r="1">
      <x v="78"/>
      <x v="17"/>
    </i>
    <i r="1">
      <x v="80"/>
      <x v="128"/>
    </i>
    <i r="1">
      <x v="92"/>
      <x v="72"/>
    </i>
    <i r="1">
      <x v="93"/>
      <x v="139"/>
    </i>
    <i r="1">
      <x v="94"/>
      <x v="87"/>
    </i>
    <i r="1">
      <x v="96"/>
      <x v="16"/>
    </i>
    <i r="1">
      <x v="98"/>
      <x v="8"/>
    </i>
    <i r="1">
      <x v="106"/>
      <x v="129"/>
    </i>
    <i r="1">
      <x v="108"/>
      <x v="1"/>
    </i>
    <i r="1">
      <x v="109"/>
      <x v="6"/>
    </i>
    <i r="2">
      <x v="7"/>
    </i>
    <i r="2">
      <x v="8"/>
    </i>
    <i r="1">
      <x v="110"/>
      <x v="29"/>
    </i>
    <i r="1">
      <x v="111"/>
      <x v="74"/>
    </i>
    <i r="1">
      <x v="126"/>
      <x v="78"/>
    </i>
    <i r="1">
      <x v="139"/>
      <x v="117"/>
    </i>
    <i r="1">
      <x v="141"/>
      <x v="12"/>
    </i>
    <i r="2">
      <x v="13"/>
    </i>
    <i r="1">
      <x v="143"/>
      <x v="119"/>
    </i>
    <i r="1">
      <x v="144"/>
      <x v="137"/>
    </i>
    <i r="1">
      <x v="148"/>
      <x v="12"/>
    </i>
    <i r="1">
      <x v="149"/>
      <x v="50"/>
    </i>
    <i r="1">
      <x v="154"/>
      <x v="12"/>
    </i>
    <i r="1">
      <x v="157"/>
      <x v="13"/>
    </i>
    <i r="1">
      <x v="158"/>
      <x v="39"/>
    </i>
    <i r="1">
      <x v="160"/>
      <x v="87"/>
    </i>
    <i r="1">
      <x v="162"/>
      <x v="138"/>
    </i>
    <i r="1">
      <x v="168"/>
      <x v="6"/>
    </i>
    <i r="1">
      <x v="169"/>
      <x v="21"/>
    </i>
    <i r="2">
      <x v="23"/>
    </i>
    <i r="1">
      <x v="175"/>
      <x v="12"/>
    </i>
    <i r="1">
      <x v="179"/>
      <x v="2"/>
    </i>
    <i r="1">
      <x v="181"/>
      <x v="16"/>
    </i>
    <i r="2">
      <x v="20"/>
    </i>
    <i r="1">
      <x v="183"/>
      <x v="43"/>
    </i>
    <i r="2">
      <x v="81"/>
    </i>
    <i r="1">
      <x v="186"/>
      <x v="76"/>
    </i>
    <i t="default">
      <x v="90"/>
    </i>
    <i>
      <x v="91"/>
      <x v="35"/>
      <x v="87"/>
    </i>
    <i r="1">
      <x v="38"/>
      <x v="146"/>
    </i>
    <i r="1">
      <x v="44"/>
      <x v="62"/>
    </i>
    <i r="1">
      <x v="100"/>
      <x v="57"/>
    </i>
    <i r="1">
      <x v="114"/>
      <x v="39"/>
    </i>
    <i r="1">
      <x v="125"/>
      <x v="43"/>
    </i>
    <i r="2">
      <x v="59"/>
    </i>
    <i r="1">
      <x v="126"/>
      <x v="78"/>
    </i>
    <i r="1">
      <x v="131"/>
      <x v="160"/>
    </i>
    <i r="1">
      <x v="160"/>
      <x v="59"/>
    </i>
    <i r="1">
      <x v="179"/>
      <x v="2"/>
    </i>
    <i r="2">
      <x v="4"/>
    </i>
    <i r="1">
      <x v="181"/>
      <x v="16"/>
    </i>
    <i t="default">
      <x v="91"/>
    </i>
    <i>
      <x v="92"/>
      <x v="38"/>
      <x v="147"/>
    </i>
    <i r="1">
      <x v="39"/>
      <x v="157"/>
    </i>
    <i r="1">
      <x v="40"/>
      <x v="160"/>
    </i>
    <i r="1">
      <x v="129"/>
      <x v="148"/>
    </i>
    <i r="1">
      <x v="130"/>
      <x v="160"/>
    </i>
    <i r="1">
      <x v="131"/>
      <x v="160"/>
    </i>
    <i r="1">
      <x v="132"/>
      <x v="161"/>
    </i>
    <i t="default">
      <x v="92"/>
    </i>
    <i>
      <x v="93"/>
      <x v="4"/>
      <x v="33"/>
    </i>
    <i r="1">
      <x v="96"/>
      <x v="20"/>
    </i>
    <i r="1">
      <x v="109"/>
      <x v="7"/>
    </i>
    <i r="1">
      <x v="113"/>
      <x v="43"/>
    </i>
    <i r="1">
      <x v="114"/>
      <x v="50"/>
    </i>
    <i r="1">
      <x v="116"/>
      <x v="119"/>
    </i>
    <i r="1">
      <x v="119"/>
      <x v="162"/>
    </i>
    <i t="default">
      <x v="93"/>
    </i>
    <i>
      <x v="94"/>
      <x v="44"/>
      <x v="59"/>
    </i>
    <i t="default">
      <x v="94"/>
    </i>
    <i>
      <x v="95"/>
      <x v="183"/>
      <x v="43"/>
    </i>
    <i t="default">
      <x v="95"/>
    </i>
    <i>
      <x v="96"/>
      <x v="8"/>
      <x v="59"/>
    </i>
    <i r="2">
      <x v="62"/>
    </i>
    <i r="1">
      <x v="10"/>
      <x v="129"/>
    </i>
    <i r="1">
      <x v="13"/>
      <x v="33"/>
    </i>
    <i r="1">
      <x v="14"/>
      <x v="78"/>
    </i>
    <i r="1">
      <x v="35"/>
      <x v="37"/>
    </i>
    <i r="2">
      <x v="43"/>
    </i>
    <i r="1">
      <x v="38"/>
      <x v="146"/>
    </i>
    <i r="1">
      <x v="44"/>
      <x v="53"/>
    </i>
    <i r="2">
      <x v="55"/>
    </i>
    <i r="2">
      <x v="59"/>
    </i>
    <i r="1">
      <x v="75"/>
      <x v="136"/>
    </i>
    <i r="1">
      <x v="92"/>
      <x v="72"/>
    </i>
    <i r="1">
      <x v="125"/>
      <x v="46"/>
    </i>
    <i r="2">
      <x v="59"/>
    </i>
    <i r="1">
      <x v="126"/>
      <x v="78"/>
    </i>
    <i r="1">
      <x v="129"/>
      <x v="148"/>
    </i>
    <i r="1">
      <x v="187"/>
      <x v="59"/>
    </i>
    <i t="default">
      <x v="96"/>
    </i>
    <i>
      <x v="97"/>
      <x v="8"/>
      <x v="43"/>
    </i>
    <i r="2">
      <x v="59"/>
    </i>
    <i r="1">
      <x v="125"/>
      <x v="39"/>
    </i>
    <i r="2">
      <x v="46"/>
    </i>
    <i r="1">
      <x v="141"/>
      <x v="13"/>
    </i>
    <i r="1">
      <x v="158"/>
      <x v="28"/>
    </i>
    <i t="default">
      <x v="97"/>
    </i>
    <i>
      <x v="98"/>
      <x v="36"/>
      <x v="121"/>
    </i>
    <i r="1">
      <x v="77"/>
      <x v="20"/>
    </i>
    <i r="1">
      <x v="113"/>
      <x v="43"/>
    </i>
    <i r="1">
      <x v="124"/>
      <x v="13"/>
    </i>
    <i r="1">
      <x v="125"/>
      <x v="39"/>
    </i>
    <i r="1">
      <x v="126"/>
      <x v="129"/>
    </i>
    <i r="1">
      <x v="141"/>
      <x v="12"/>
    </i>
    <i r="1">
      <x v="179"/>
      <x v="2"/>
    </i>
    <i r="2">
      <x v="4"/>
    </i>
    <i r="1">
      <x v="181"/>
      <x v="16"/>
    </i>
    <i r="2">
      <x v="17"/>
    </i>
    <i t="default">
      <x v="98"/>
    </i>
    <i>
      <x v="99"/>
      <x v="70"/>
      <x v="59"/>
    </i>
    <i r="1">
      <x v="72"/>
      <x v="152"/>
    </i>
    <i r="1">
      <x v="168"/>
      <x v="6"/>
    </i>
    <i r="1">
      <x v="179"/>
      <x v="2"/>
    </i>
    <i r="1">
      <x v="180"/>
      <x v="184"/>
    </i>
    <i r="1">
      <x v="181"/>
      <x v="13"/>
    </i>
    <i r="2">
      <x v="17"/>
    </i>
    <i t="default">
      <x v="99"/>
    </i>
    <i>
      <x v="100"/>
      <x v="32"/>
      <x v="99"/>
    </i>
    <i r="2">
      <x v="105"/>
    </i>
    <i r="1">
      <x v="35"/>
      <x v="81"/>
    </i>
    <i r="1">
      <x v="36"/>
      <x v="117"/>
    </i>
    <i r="2">
      <x v="118"/>
    </i>
    <i r="2">
      <x v="181"/>
    </i>
    <i r="1">
      <x v="38"/>
      <x v="147"/>
    </i>
    <i r="1">
      <x v="125"/>
      <x v="53"/>
    </i>
    <i r="2">
      <x v="59"/>
    </i>
    <i r="2">
      <x v="65"/>
    </i>
    <i r="2">
      <x v="68"/>
    </i>
    <i r="2">
      <x v="184"/>
    </i>
    <i r="1">
      <x v="160"/>
      <x v="59"/>
    </i>
    <i r="1">
      <x v="181"/>
      <x v="20"/>
    </i>
    <i r="2">
      <x v="21"/>
    </i>
    <i t="default">
      <x v="100"/>
    </i>
    <i>
      <x v="101"/>
      <x v="36"/>
      <x v="113"/>
    </i>
    <i r="1">
      <x v="190"/>
      <x v="126"/>
    </i>
    <i r="1">
      <x v="191"/>
      <x v="156"/>
    </i>
    <i t="default">
      <x v="101"/>
    </i>
    <i>
      <x v="102"/>
      <x v="179"/>
      <x v="4"/>
    </i>
    <i t="default">
      <x v="102"/>
    </i>
    <i>
      <x v="104"/>
      <x v="150"/>
      <x v="184"/>
    </i>
    <i r="1">
      <x v="152"/>
      <x v="184"/>
    </i>
    <i r="1">
      <x v="180"/>
      <x v="184"/>
    </i>
    <i r="1">
      <x v="182"/>
      <x v="12"/>
    </i>
    <i t="default">
      <x v="104"/>
    </i>
    <i>
      <x v="105"/>
      <x v="83"/>
      <x v="111"/>
    </i>
    <i r="1">
      <x v="181"/>
      <x v="16"/>
    </i>
    <i r="2">
      <x v="17"/>
    </i>
    <i r="2">
      <x v="20"/>
    </i>
    <i r="1">
      <x v="183"/>
      <x v="53"/>
    </i>
    <i r="1">
      <x v="187"/>
      <x v="72"/>
    </i>
    <i t="default">
      <x v="105"/>
    </i>
    <i>
      <x v="106"/>
      <x v="8"/>
      <x v="57"/>
    </i>
    <i r="1">
      <x v="11"/>
      <x v="33"/>
    </i>
    <i r="1">
      <x v="25"/>
      <x v="72"/>
    </i>
    <i r="1">
      <x v="37"/>
      <x v="140"/>
    </i>
    <i r="1">
      <x v="69"/>
      <x v="62"/>
    </i>
    <i r="1">
      <x v="114"/>
      <x v="43"/>
    </i>
    <i r="1">
      <x v="117"/>
      <x v="153"/>
    </i>
    <i r="1">
      <x v="125"/>
      <x v="41"/>
    </i>
    <i t="default">
      <x v="106"/>
    </i>
    <i>
      <x v="107"/>
      <x v="3"/>
      <x v="33"/>
    </i>
    <i r="1">
      <x v="35"/>
      <x v="45"/>
    </i>
    <i r="1">
      <x v="36"/>
      <x v="116"/>
    </i>
    <i r="2">
      <x v="118"/>
    </i>
    <i r="2">
      <x v="119"/>
    </i>
    <i r="1">
      <x v="85"/>
      <x v="163"/>
    </i>
    <i r="1">
      <x v="100"/>
      <x v="57"/>
    </i>
    <i r="1">
      <x v="105"/>
      <x v="76"/>
    </i>
    <i r="1">
      <x v="124"/>
      <x v="16"/>
    </i>
    <i r="1">
      <x v="126"/>
      <x v="121"/>
    </i>
    <i r="2">
      <x v="125"/>
    </i>
    <i r="2">
      <x v="127"/>
    </i>
    <i r="1">
      <x v="129"/>
      <x v="148"/>
    </i>
    <i r="1">
      <x v="160"/>
      <x v="61"/>
    </i>
    <i r="1">
      <x v="162"/>
      <x v="133"/>
    </i>
    <i r="2">
      <x v="135"/>
    </i>
    <i r="2">
      <x v="136"/>
    </i>
    <i r="1">
      <x v="164"/>
      <x v="151"/>
    </i>
    <i r="1">
      <x v="169"/>
      <x v="22"/>
    </i>
    <i r="2">
      <x v="25"/>
    </i>
    <i r="1">
      <x v="170"/>
      <x v="70"/>
    </i>
    <i r="2">
      <x v="74"/>
    </i>
    <i r="2">
      <x v="76"/>
    </i>
    <i r="1">
      <x v="181"/>
      <x v="17"/>
    </i>
    <i r="2">
      <x v="20"/>
    </i>
    <i r="2">
      <x v="21"/>
    </i>
    <i t="default">
      <x v="107"/>
    </i>
    <i>
      <x v="108"/>
      <x v="83"/>
      <x v="95"/>
    </i>
    <i r="2">
      <x v="98"/>
    </i>
    <i r="2">
      <x v="100"/>
    </i>
    <i r="2">
      <x v="107"/>
    </i>
    <i r="2">
      <x v="184"/>
    </i>
    <i r="1">
      <x v="87"/>
      <x v="172"/>
    </i>
    <i r="1">
      <x v="89"/>
      <x v="175"/>
    </i>
    <i r="1">
      <x v="90"/>
      <x v="95"/>
    </i>
    <i r="1">
      <x v="133"/>
      <x v="172"/>
    </i>
    <i r="1">
      <x v="164"/>
      <x v="151"/>
    </i>
    <i r="1">
      <x v="181"/>
      <x v="13"/>
    </i>
    <i t="default">
      <x v="108"/>
    </i>
    <i>
      <x v="109"/>
      <x v="7"/>
      <x v="122"/>
    </i>
    <i r="2">
      <x v="123"/>
    </i>
    <i r="1">
      <x v="8"/>
      <x v="53"/>
    </i>
    <i r="2">
      <x v="57"/>
    </i>
    <i r="1">
      <x v="9"/>
      <x v="146"/>
    </i>
    <i r="1">
      <x v="14"/>
      <x v="78"/>
    </i>
    <i r="1">
      <x v="25"/>
      <x v="78"/>
    </i>
    <i r="1">
      <x v="27"/>
      <x v="121"/>
    </i>
    <i r="1">
      <x v="29"/>
      <x v="123"/>
    </i>
    <i r="1">
      <x v="49"/>
      <x v="123"/>
    </i>
    <i r="1">
      <x v="57"/>
      <x v="33"/>
    </i>
    <i r="1">
      <x v="64"/>
      <x v="37"/>
    </i>
    <i r="1">
      <x v="77"/>
      <x v="20"/>
    </i>
    <i r="1">
      <x v="79"/>
      <x v="43"/>
    </i>
    <i r="1">
      <x v="97"/>
      <x v="121"/>
    </i>
    <i r="2">
      <x v="122"/>
    </i>
    <i r="2">
      <x v="123"/>
    </i>
    <i r="2">
      <x v="125"/>
    </i>
    <i r="1">
      <x v="107"/>
      <x v="122"/>
    </i>
    <i r="2">
      <x v="125"/>
    </i>
    <i r="1">
      <x v="112"/>
      <x v="21"/>
    </i>
    <i r="1">
      <x v="136"/>
      <x v="113"/>
    </i>
    <i r="1">
      <x v="137"/>
      <x v="150"/>
    </i>
    <i r="1">
      <x v="158"/>
      <x v="35"/>
    </i>
    <i r="2">
      <x v="37"/>
    </i>
    <i r="2">
      <x v="39"/>
    </i>
    <i r="2">
      <x v="43"/>
    </i>
    <i r="1">
      <x v="159"/>
      <x v="136"/>
    </i>
    <i r="1">
      <x v="165"/>
      <x v="123"/>
    </i>
    <i r="1">
      <x v="171"/>
      <x v="121"/>
    </i>
    <i r="2">
      <x v="122"/>
    </i>
    <i r="2">
      <x v="123"/>
    </i>
    <i r="2">
      <x v="125"/>
    </i>
    <i r="1">
      <x v="179"/>
      <x v="2"/>
    </i>
    <i r="2">
      <x v="4"/>
    </i>
    <i r="2">
      <x v="6"/>
    </i>
    <i r="1">
      <x v="182"/>
      <x v="16"/>
    </i>
    <i t="default">
      <x v="109"/>
    </i>
    <i>
      <x v="110"/>
      <x v="158"/>
      <x v="39"/>
    </i>
    <i r="1">
      <x v="181"/>
      <x v="20"/>
    </i>
    <i t="default">
      <x v="110"/>
    </i>
    <i>
      <x v="111"/>
      <x v="35"/>
      <x v="35"/>
    </i>
    <i r="1">
      <x v="40"/>
      <x v="160"/>
    </i>
    <i r="1">
      <x v="121"/>
      <x v="167"/>
    </i>
    <i r="1">
      <x v="131"/>
      <x v="160"/>
    </i>
    <i t="default">
      <x v="111"/>
    </i>
    <i>
      <x v="112"/>
      <x v="13"/>
      <x v="33"/>
    </i>
    <i r="1">
      <x v="35"/>
      <x v="78"/>
    </i>
    <i r="1">
      <x v="38"/>
      <x v="146"/>
    </i>
    <i r="1">
      <x v="126"/>
      <x v="87"/>
    </i>
    <i r="1">
      <x v="129"/>
      <x v="146"/>
    </i>
    <i r="1">
      <x v="180"/>
      <x v="8"/>
    </i>
    <i r="1">
      <x v="181"/>
      <x v="16"/>
    </i>
    <i r="2">
      <x v="20"/>
    </i>
    <i t="default">
      <x v="112"/>
    </i>
    <i>
      <x v="113"/>
      <x v="38"/>
      <x v="146"/>
    </i>
    <i r="1">
      <x v="47"/>
      <x v="167"/>
    </i>
    <i r="1">
      <x v="89"/>
      <x v="174"/>
    </i>
    <i r="1">
      <x v="150"/>
      <x v="43"/>
    </i>
    <i r="1">
      <x v="152"/>
      <x v="59"/>
    </i>
    <i r="1">
      <x v="169"/>
      <x v="23"/>
    </i>
    <i r="1">
      <x v="181"/>
      <x v="16"/>
    </i>
    <i r="1">
      <x v="183"/>
      <x v="43"/>
    </i>
    <i t="default">
      <x v="113"/>
    </i>
    <i>
      <x v="114"/>
      <x v="36"/>
      <x v="113"/>
    </i>
    <i r="1">
      <x v="38"/>
      <x v="146"/>
    </i>
    <i r="1">
      <x v="131"/>
      <x v="160"/>
    </i>
    <i t="default">
      <x v="114"/>
    </i>
    <i>
      <x v="115"/>
      <x v="8"/>
      <x v="65"/>
    </i>
    <i r="1">
      <x v="35"/>
      <x v="37"/>
    </i>
    <i r="2">
      <x v="43"/>
    </i>
    <i r="2">
      <x v="49"/>
    </i>
    <i r="1">
      <x v="36"/>
      <x v="113"/>
    </i>
    <i r="1">
      <x v="38"/>
      <x v="146"/>
    </i>
    <i r="1">
      <x v="40"/>
      <x v="160"/>
    </i>
    <i r="1">
      <x v="113"/>
      <x v="43"/>
    </i>
    <i r="1">
      <x v="114"/>
      <x v="43"/>
    </i>
    <i r="1">
      <x v="115"/>
      <x v="43"/>
    </i>
    <i r="1">
      <x v="120"/>
      <x v="161"/>
    </i>
    <i r="1">
      <x v="125"/>
      <x v="39"/>
    </i>
    <i r="2">
      <x v="42"/>
    </i>
    <i r="2">
      <x v="57"/>
    </i>
    <i r="1">
      <x v="126"/>
      <x v="113"/>
    </i>
    <i r="1">
      <x v="131"/>
      <x v="160"/>
    </i>
    <i r="1">
      <x v="181"/>
      <x v="16"/>
    </i>
    <i t="default">
      <x v="115"/>
    </i>
    <i>
      <x v="116"/>
      <x v="7"/>
      <x v="129"/>
    </i>
    <i r="1">
      <x v="8"/>
      <x v="59"/>
    </i>
    <i r="1">
      <x v="20"/>
      <x v="8"/>
    </i>
    <i r="1">
      <x v="21"/>
      <x v="33"/>
    </i>
    <i r="1">
      <x v="38"/>
      <x v="147"/>
    </i>
    <i r="1">
      <x v="51"/>
      <x v="129"/>
    </i>
    <i r="1">
      <x v="85"/>
      <x v="162"/>
    </i>
    <i r="1">
      <x v="108"/>
      <x v="1"/>
    </i>
    <i r="1">
      <x v="114"/>
      <x v="39"/>
    </i>
    <i r="2">
      <x v="50"/>
    </i>
    <i r="1">
      <x v="116"/>
      <x v="95"/>
    </i>
    <i r="1">
      <x v="129"/>
      <x v="148"/>
    </i>
    <i r="1">
      <x v="160"/>
      <x v="59"/>
    </i>
    <i t="default">
      <x v="116"/>
    </i>
    <i>
      <x v="117"/>
      <x v="35"/>
      <x v="35"/>
    </i>
    <i r="2">
      <x v="37"/>
    </i>
    <i r="1">
      <x v="44"/>
      <x v="53"/>
    </i>
    <i r="1">
      <x v="73"/>
      <x v="39"/>
    </i>
    <i r="1">
      <x v="92"/>
      <x v="72"/>
    </i>
    <i r="1">
      <x v="108"/>
      <x v="1"/>
    </i>
    <i r="1">
      <x v="124"/>
      <x v="16"/>
    </i>
    <i r="1">
      <x v="126"/>
      <x v="78"/>
    </i>
    <i r="1">
      <x v="160"/>
      <x v="59"/>
    </i>
    <i r="1">
      <x v="182"/>
      <x v="15"/>
    </i>
    <i t="default">
      <x v="117"/>
    </i>
    <i>
      <x v="118"/>
      <x v="158"/>
      <x v="35"/>
    </i>
    <i r="1">
      <x v="160"/>
      <x v="106"/>
    </i>
    <i r="2">
      <x v="111"/>
    </i>
    <i r="2">
      <x v="114"/>
    </i>
    <i t="default">
      <x v="118"/>
    </i>
    <i>
      <x v="119"/>
      <x v="97"/>
      <x v="130"/>
    </i>
    <i r="1">
      <x v="125"/>
      <x v="43"/>
    </i>
    <i r="2">
      <x v="46"/>
    </i>
    <i r="1">
      <x v="158"/>
      <x v="35"/>
    </i>
    <i r="2">
      <x v="43"/>
    </i>
    <i t="default">
      <x v="119"/>
    </i>
    <i>
      <x v="120"/>
      <x v="38"/>
      <x v="147"/>
    </i>
    <i r="1">
      <x v="125"/>
      <x v="41"/>
    </i>
    <i r="2">
      <x v="43"/>
    </i>
    <i r="2">
      <x v="62"/>
    </i>
    <i r="1">
      <x v="129"/>
      <x v="148"/>
    </i>
    <i t="default">
      <x v="120"/>
    </i>
    <i>
      <x v="121"/>
      <x v="14"/>
      <x v="78"/>
    </i>
    <i r="1">
      <x v="35"/>
      <x v="35"/>
    </i>
    <i r="2">
      <x v="37"/>
    </i>
    <i r="1">
      <x v="73"/>
      <x v="39"/>
    </i>
    <i r="1">
      <x v="85"/>
      <x v="162"/>
    </i>
    <i r="1">
      <x v="87"/>
      <x v="170"/>
    </i>
    <i r="1">
      <x v="90"/>
      <x v="72"/>
    </i>
    <i r="1">
      <x v="135"/>
      <x v="43"/>
    </i>
    <i r="1">
      <x v="136"/>
      <x v="91"/>
    </i>
    <i r="1">
      <x v="137"/>
      <x v="147"/>
    </i>
    <i r="1">
      <x v="158"/>
      <x v="32"/>
    </i>
    <i r="2">
      <x v="33"/>
    </i>
    <i r="1">
      <x v="179"/>
      <x v="2"/>
    </i>
    <i r="1">
      <x v="180"/>
      <x v="8"/>
    </i>
    <i t="default">
      <x v="121"/>
    </i>
    <i>
      <x v="122"/>
      <x v="85"/>
      <x v="163"/>
    </i>
    <i r="1">
      <x v="164"/>
      <x v="151"/>
    </i>
    <i t="default">
      <x v="122"/>
    </i>
    <i>
      <x v="123"/>
      <x v="85"/>
      <x v="163"/>
    </i>
    <i t="default">
      <x v="123"/>
    </i>
    <i>
      <x v="124"/>
      <x v="14"/>
      <x v="72"/>
    </i>
    <i r="1">
      <x v="35"/>
      <x v="35"/>
    </i>
    <i r="1">
      <x v="65"/>
      <x v="142"/>
    </i>
    <i r="1">
      <x v="83"/>
      <x v="95"/>
    </i>
    <i r="1">
      <x v="85"/>
      <x v="162"/>
    </i>
    <i r="1">
      <x v="125"/>
      <x v="59"/>
    </i>
    <i r="1">
      <x v="126"/>
      <x v="74"/>
    </i>
    <i r="2">
      <x v="78"/>
    </i>
    <i r="2">
      <x v="116"/>
    </i>
    <i r="2">
      <x v="185"/>
    </i>
    <i r="1">
      <x v="179"/>
      <x v="2"/>
    </i>
    <i r="2">
      <x v="4"/>
    </i>
    <i r="1">
      <x v="187"/>
      <x v="59"/>
    </i>
    <i t="default">
      <x v="124"/>
    </i>
    <i>
      <x v="125"/>
      <x v="11"/>
      <x v="33"/>
    </i>
    <i r="1">
      <x v="38"/>
      <x v="147"/>
    </i>
    <i r="1">
      <x v="42"/>
      <x v="170"/>
    </i>
    <i r="1">
      <x v="65"/>
      <x v="142"/>
    </i>
    <i r="1">
      <x v="85"/>
      <x v="173"/>
    </i>
    <i r="1">
      <x v="87"/>
      <x v="172"/>
    </i>
    <i r="1">
      <x v="120"/>
      <x v="165"/>
    </i>
    <i t="default">
      <x v="125"/>
    </i>
    <i>
      <x v="126"/>
      <x v="2"/>
      <x v="6"/>
    </i>
    <i r="1">
      <x v="4"/>
      <x v="33"/>
    </i>
    <i r="1">
      <x v="58"/>
      <x v="10"/>
    </i>
    <i r="1">
      <x v="96"/>
      <x v="17"/>
    </i>
    <i r="2">
      <x v="20"/>
    </i>
    <i r="2">
      <x v="21"/>
    </i>
    <i r="1">
      <x v="98"/>
      <x v="8"/>
    </i>
    <i r="2">
      <x v="10"/>
    </i>
    <i r="2">
      <x v="11"/>
    </i>
    <i r="1">
      <x v="109"/>
      <x v="6"/>
    </i>
    <i r="2">
      <x v="7"/>
    </i>
    <i r="2">
      <x v="8"/>
    </i>
    <i r="1">
      <x v="168"/>
      <x v="6"/>
    </i>
    <i r="1">
      <x v="169"/>
      <x v="21"/>
    </i>
    <i r="2">
      <x v="23"/>
    </i>
    <i t="default">
      <x v="126"/>
    </i>
    <i>
      <x v="127"/>
      <x v="44"/>
      <x v="57"/>
    </i>
    <i r="1">
      <x v="64"/>
      <x v="59"/>
    </i>
    <i r="1">
      <x v="125"/>
      <x v="59"/>
    </i>
    <i r="1">
      <x v="158"/>
      <x v="39"/>
    </i>
    <i t="default">
      <x v="127"/>
    </i>
    <i>
      <x v="128"/>
      <x v="141"/>
      <x v="12"/>
    </i>
    <i r="1">
      <x v="158"/>
      <x v="35"/>
    </i>
    <i r="1">
      <x v="181"/>
      <x v="20"/>
    </i>
    <i r="1">
      <x v="183"/>
      <x v="43"/>
    </i>
    <i t="default">
      <x v="128"/>
    </i>
    <i>
      <x v="129"/>
      <x/>
      <x v="23"/>
    </i>
    <i r="1">
      <x v="38"/>
      <x v="147"/>
    </i>
    <i r="1">
      <x v="44"/>
      <x v="59"/>
    </i>
    <i r="1">
      <x v="85"/>
      <x v="163"/>
    </i>
    <i r="1">
      <x v="88"/>
      <x v="175"/>
    </i>
    <i r="1">
      <x v="124"/>
      <x v="16"/>
    </i>
    <i r="2">
      <x v="17"/>
    </i>
    <i r="1">
      <x v="129"/>
      <x v="148"/>
    </i>
    <i r="1">
      <x v="133"/>
      <x v="171"/>
    </i>
    <i r="1">
      <x v="162"/>
      <x v="138"/>
    </i>
    <i r="1">
      <x v="179"/>
      <x v="6"/>
    </i>
    <i r="1">
      <x v="181"/>
      <x v="17"/>
    </i>
    <i r="2">
      <x v="20"/>
    </i>
    <i t="default">
      <x v="129"/>
    </i>
    <i>
      <x v="130"/>
      <x v="11"/>
      <x v="27"/>
    </i>
    <i r="1">
      <x v="13"/>
      <x v="27"/>
    </i>
    <i r="1">
      <x v="14"/>
      <x v="78"/>
    </i>
    <i r="1">
      <x v="44"/>
      <x v="59"/>
    </i>
    <i r="1">
      <x v="125"/>
      <x v="43"/>
    </i>
    <i r="1">
      <x v="158"/>
      <x v="35"/>
    </i>
    <i t="default">
      <x v="130"/>
    </i>
    <i>
      <x v="131"/>
      <x v="44"/>
      <x v="59"/>
    </i>
    <i r="1">
      <x v="46"/>
      <x v="158"/>
    </i>
    <i r="1">
      <x v="100"/>
      <x v="43"/>
    </i>
    <i r="1">
      <x v="101"/>
      <x v="144"/>
    </i>
    <i r="1">
      <x v="107"/>
      <x v="132"/>
    </i>
    <i r="1">
      <x v="129"/>
      <x v="146"/>
    </i>
    <i r="1">
      <x v="164"/>
      <x v="149"/>
    </i>
    <i r="1">
      <x v="171"/>
      <x v="129"/>
    </i>
    <i t="default">
      <x v="131"/>
    </i>
    <i>
      <x v="132"/>
      <x v="38"/>
      <x v="146"/>
    </i>
    <i r="1">
      <x v="77"/>
      <x v="20"/>
    </i>
    <i r="1">
      <x v="78"/>
      <x v="17"/>
    </i>
    <i r="1">
      <x v="79"/>
      <x v="43"/>
    </i>
    <i r="2">
      <x v="53"/>
    </i>
    <i r="1">
      <x v="81"/>
      <x v="139"/>
    </i>
    <i r="1">
      <x v="116"/>
      <x v="95"/>
    </i>
    <i r="1">
      <x v="129"/>
      <x v="148"/>
    </i>
    <i r="1">
      <x v="138"/>
      <x v="59"/>
    </i>
    <i r="1">
      <x v="171"/>
      <x v="121"/>
    </i>
    <i r="1">
      <x v="179"/>
      <x v="2"/>
    </i>
    <i r="2">
      <x v="4"/>
    </i>
    <i r="2">
      <x v="5"/>
    </i>
    <i r="1">
      <x v="181"/>
      <x v="16"/>
    </i>
    <i r="2">
      <x v="17"/>
    </i>
    <i r="2">
      <x v="20"/>
    </i>
    <i t="default">
      <x v="132"/>
    </i>
    <i>
      <x v="133"/>
      <x v="169"/>
      <x v="21"/>
    </i>
    <i r="1">
      <x v="181"/>
      <x v="16"/>
    </i>
    <i t="default">
      <x v="133"/>
    </i>
    <i>
      <x v="134"/>
      <x v="41"/>
      <x v="170"/>
    </i>
    <i r="1">
      <x v="113"/>
      <x v="43"/>
    </i>
    <i r="1">
      <x v="129"/>
      <x v="148"/>
    </i>
    <i t="default">
      <x v="134"/>
    </i>
    <i>
      <x v="135"/>
      <x v="14"/>
      <x v="78"/>
    </i>
    <i r="1">
      <x v="35"/>
      <x v="43"/>
    </i>
    <i r="1">
      <x v="38"/>
      <x v="157"/>
    </i>
    <i r="1">
      <x v="40"/>
      <x v="160"/>
    </i>
    <i r="1">
      <x v="41"/>
      <x v="170"/>
    </i>
    <i r="1">
      <x v="87"/>
      <x v="172"/>
    </i>
    <i r="1">
      <x v="89"/>
      <x v="175"/>
    </i>
    <i r="1">
      <x v="92"/>
      <x v="81"/>
    </i>
    <i r="1">
      <x v="116"/>
      <x v="95"/>
    </i>
    <i r="1">
      <x v="125"/>
      <x v="57"/>
    </i>
    <i r="2">
      <x v="59"/>
    </i>
    <i r="1">
      <x v="126"/>
      <x v="78"/>
    </i>
    <i r="1">
      <x v="131"/>
      <x v="162"/>
    </i>
    <i r="2">
      <x v="164"/>
    </i>
    <i r="1">
      <x v="133"/>
      <x v="171"/>
    </i>
    <i r="1">
      <x v="142"/>
      <x v="43"/>
    </i>
    <i t="default">
      <x v="135"/>
    </i>
    <i>
      <x v="136"/>
      <x v="108"/>
      <x v="1"/>
    </i>
    <i r="1">
      <x v="109"/>
      <x v="6"/>
    </i>
    <i r="2">
      <x v="7"/>
    </i>
    <i r="2">
      <x v="8"/>
    </i>
    <i r="2">
      <x v="9"/>
    </i>
    <i r="1">
      <x v="110"/>
      <x v="35"/>
    </i>
    <i r="1">
      <x v="111"/>
      <x v="78"/>
    </i>
    <i r="1">
      <x v="125"/>
      <x v="59"/>
    </i>
    <i r="2">
      <x v="62"/>
    </i>
    <i r="1">
      <x v="129"/>
      <x v="148"/>
    </i>
    <i r="1">
      <x v="169"/>
      <x v="21"/>
    </i>
    <i r="1">
      <x v="170"/>
      <x v="76"/>
    </i>
    <i r="1">
      <x v="183"/>
      <x v="59"/>
    </i>
    <i t="default">
      <x v="136"/>
    </i>
    <i>
      <x v="137"/>
      <x v="104"/>
      <x v="39"/>
    </i>
    <i r="1">
      <x v="158"/>
      <x v="35"/>
    </i>
    <i r="1">
      <x v="179"/>
      <x v="4"/>
    </i>
    <i r="1">
      <x v="181"/>
      <x v="16"/>
    </i>
    <i t="default">
      <x v="137"/>
    </i>
    <i>
      <x v="138"/>
      <x v="14"/>
      <x v="78"/>
    </i>
    <i r="2">
      <x v="99"/>
    </i>
    <i r="2">
      <x v="106"/>
    </i>
    <i r="2">
      <x v="111"/>
    </i>
    <i r="1">
      <x v="17"/>
      <x v="149"/>
    </i>
    <i r="2">
      <x v="151"/>
    </i>
    <i r="1">
      <x v="79"/>
      <x v="57"/>
    </i>
    <i r="1">
      <x v="83"/>
      <x/>
    </i>
    <i r="2">
      <x v="95"/>
    </i>
    <i r="2">
      <x v="106"/>
    </i>
    <i r="2">
      <x v="111"/>
    </i>
    <i r="2">
      <x v="113"/>
    </i>
    <i r="1">
      <x v="85"/>
      <x v="162"/>
    </i>
    <i r="1">
      <x v="87"/>
      <x v="170"/>
    </i>
    <i r="1">
      <x v="90"/>
      <x v="72"/>
    </i>
    <i r="1">
      <x v="105"/>
      <x v="76"/>
    </i>
    <i r="1">
      <x v="116"/>
      <x v="87"/>
    </i>
    <i r="2">
      <x v="95"/>
    </i>
    <i r="1">
      <x v="120"/>
      <x v="161"/>
    </i>
    <i r="2">
      <x v="162"/>
    </i>
    <i r="1">
      <x v="158"/>
      <x v="39"/>
    </i>
    <i r="1">
      <x v="160"/>
      <x v="59"/>
    </i>
    <i r="2">
      <x v="112"/>
    </i>
    <i r="2">
      <x v="113"/>
    </i>
    <i r="1">
      <x v="164"/>
      <x v="143"/>
    </i>
    <i r="1">
      <x v="181"/>
      <x v="16"/>
    </i>
    <i r="1">
      <x v="183"/>
      <x v="43"/>
    </i>
    <i t="default">
      <x v="138"/>
    </i>
    <i>
      <x v="139"/>
      <x v="2"/>
      <x v="6"/>
    </i>
    <i r="1">
      <x v="3"/>
      <x v="23"/>
    </i>
    <i r="1">
      <x v="4"/>
      <x v="33"/>
    </i>
    <i r="1">
      <x v="89"/>
      <x v="174"/>
    </i>
    <i r="1">
      <x v="98"/>
      <x v="8"/>
    </i>
    <i r="2">
      <x v="10"/>
    </i>
    <i r="1">
      <x v="108"/>
      <x v="1"/>
    </i>
    <i r="1">
      <x v="109"/>
      <x v="7"/>
    </i>
    <i r="1">
      <x v="131"/>
      <x v="160"/>
    </i>
    <i r="1">
      <x v="169"/>
      <x v="23"/>
    </i>
    <i r="1">
      <x v="170"/>
      <x v="74"/>
    </i>
    <i t="default">
      <x v="139"/>
    </i>
    <i>
      <x v="140"/>
      <x v="35"/>
      <x v="43"/>
    </i>
    <i r="1">
      <x v="36"/>
      <x v="121"/>
    </i>
    <i r="1">
      <x v="54"/>
      <x v="65"/>
    </i>
    <i r="1">
      <x v="125"/>
      <x v="39"/>
    </i>
    <i r="2">
      <x v="43"/>
    </i>
    <i r="2">
      <x v="68"/>
    </i>
    <i r="1">
      <x v="141"/>
      <x v="13"/>
    </i>
    <i t="default">
      <x v="140"/>
    </i>
    <i>
      <x v="141"/>
      <x v="4"/>
      <x v="33"/>
    </i>
    <i r="2">
      <x v="35"/>
    </i>
    <i r="1">
      <x v="8"/>
      <x v="57"/>
    </i>
    <i r="1">
      <x v="52"/>
      <x v="29"/>
    </i>
    <i r="1">
      <x v="96"/>
      <x v="21"/>
    </i>
    <i r="1">
      <x v="118"/>
      <x v="150"/>
    </i>
    <i r="1">
      <x v="143"/>
      <x v="118"/>
    </i>
    <i t="default">
      <x v="141"/>
    </i>
    <i>
      <x v="142"/>
      <x v="2"/>
      <x v="6"/>
    </i>
    <i r="1">
      <x v="98"/>
      <x v="8"/>
    </i>
    <i r="1">
      <x v="108"/>
      <x v="1"/>
    </i>
    <i r="1">
      <x v="109"/>
      <x v="6"/>
    </i>
    <i r="1">
      <x v="150"/>
      <x v="43"/>
    </i>
    <i r="1">
      <x v="170"/>
      <x v="74"/>
    </i>
    <i r="1">
      <x v="179"/>
      <x v="2"/>
    </i>
    <i t="default">
      <x v="142"/>
    </i>
    <i>
      <x v="143"/>
      <x v="35"/>
      <x v="37"/>
    </i>
    <i r="1">
      <x v="38"/>
      <x v="147"/>
    </i>
    <i r="1">
      <x v="129"/>
      <x v="148"/>
    </i>
    <i t="default">
      <x v="143"/>
    </i>
    <i>
      <x v="144"/>
      <x v="87"/>
      <x v="172"/>
    </i>
    <i r="1">
      <x v="164"/>
      <x v="159"/>
    </i>
    <i t="default">
      <x v="144"/>
    </i>
    <i>
      <x v="145"/>
      <x v="3"/>
      <x v="33"/>
    </i>
    <i r="1">
      <x v="4"/>
      <x v="33"/>
    </i>
    <i r="1">
      <x v="109"/>
      <x v="7"/>
    </i>
    <i t="default">
      <x v="145"/>
    </i>
    <i>
      <x v="146"/>
      <x v="96"/>
      <x v="16"/>
    </i>
    <i r="1">
      <x v="179"/>
      <x v="2"/>
    </i>
    <i t="default">
      <x v="146"/>
    </i>
    <i>
      <x v="147"/>
      <x v="8"/>
      <x v="57"/>
    </i>
    <i r="1">
      <x v="38"/>
      <x v="147"/>
    </i>
    <i r="1">
      <x v="51"/>
      <x v="37"/>
    </i>
    <i r="1">
      <x v="52"/>
      <x v="23"/>
    </i>
    <i r="2">
      <x v="29"/>
    </i>
    <i r="1">
      <x v="87"/>
      <x v="172"/>
    </i>
    <i r="1">
      <x v="96"/>
      <x v="16"/>
    </i>
    <i r="2">
      <x v="21"/>
    </i>
    <i r="1">
      <x v="109"/>
      <x v="6"/>
    </i>
    <i r="1">
      <x v="116"/>
      <x v="118"/>
    </i>
    <i r="1">
      <x v="118"/>
      <x v="149"/>
    </i>
    <i r="1">
      <x v="169"/>
      <x v="21"/>
    </i>
    <i r="1">
      <x v="170"/>
      <x v="76"/>
    </i>
    <i t="default">
      <x v="147"/>
    </i>
    <i>
      <x v="148"/>
      <x v="37"/>
      <x v="140"/>
    </i>
    <i r="1">
      <x v="170"/>
      <x v="76"/>
    </i>
    <i t="default">
      <x v="148"/>
    </i>
    <i>
      <x v="149"/>
      <x v="35"/>
      <x v="184"/>
    </i>
    <i r="1">
      <x v="125"/>
      <x v="184"/>
    </i>
    <i r="1">
      <x v="126"/>
      <x v="184"/>
    </i>
    <i t="default">
      <x v="149"/>
    </i>
    <i>
      <x v="151"/>
      <x v="192"/>
      <x v="184"/>
    </i>
    <i t="default">
      <x v="151"/>
    </i>
    <i>
      <x v="159"/>
      <x v="77"/>
      <x v="20"/>
    </i>
    <i r="1">
      <x v="179"/>
      <x v="6"/>
    </i>
    <i t="default">
      <x v="159"/>
    </i>
    <i>
      <x v="160"/>
      <x v="8"/>
      <x v="57"/>
    </i>
    <i r="1">
      <x v="109"/>
      <x v="8"/>
    </i>
    <i r="1">
      <x v="197"/>
      <x v="33"/>
    </i>
    <i t="default">
      <x v="160"/>
    </i>
    <i>
      <x v="162"/>
      <x v="57"/>
      <x v="184"/>
    </i>
    <i t="default">
      <x v="162"/>
    </i>
    <i>
      <x v="163"/>
      <x v="38"/>
      <x v="147"/>
    </i>
    <i r="1">
      <x v="129"/>
      <x v="148"/>
    </i>
    <i t="default">
      <x v="163"/>
    </i>
    <i>
      <x v="164"/>
      <x v="39"/>
      <x v="157"/>
    </i>
    <i r="1">
      <x v="130"/>
      <x v="160"/>
    </i>
    <i r="1">
      <x v="176"/>
      <x v="111"/>
    </i>
    <i t="default">
      <x v="164"/>
    </i>
    <i>
      <x v="165"/>
      <x v="88"/>
      <x v="175"/>
    </i>
    <i r="1">
      <x v="134"/>
      <x v="171"/>
    </i>
    <i t="default">
      <x v="165"/>
    </i>
    <i>
      <x v="166"/>
      <x v="8"/>
      <x v="59"/>
    </i>
    <i t="default">
      <x v="166"/>
    </i>
    <i t="grand">
      <x/>
    </i>
  </rowItems>
  <colFields count="2">
    <field x="16"/>
    <field x="-2"/>
  </colFields>
  <colItems count="14">
    <i>
      <x/>
      <x/>
    </i>
    <i r="1" i="1">
      <x v="1"/>
    </i>
    <i>
      <x v="1"/>
      <x/>
    </i>
    <i r="1" i="1">
      <x v="1"/>
    </i>
    <i>
      <x v="2"/>
      <x/>
    </i>
    <i r="1" i="1">
      <x v="1"/>
    </i>
    <i>
      <x v="3"/>
      <x/>
    </i>
    <i r="1" i="1">
      <x v="1"/>
    </i>
    <i>
      <x v="4"/>
      <x/>
    </i>
    <i r="1" i="1">
      <x v="1"/>
    </i>
    <i>
      <x v="5"/>
      <x/>
    </i>
    <i r="1" i="1">
      <x v="1"/>
    </i>
    <i t="grand">
      <x/>
    </i>
    <i t="grand" i="1">
      <x/>
    </i>
  </colItems>
  <dataFields count="2">
    <dataField name="Sum of Remaining Qty" fld="33" baseField="0" baseItem="0"/>
    <dataField name="Sum of Remaining amount" fld="34" baseField="4" baseItem="0"/>
  </dataFields>
  <formats count="1">
    <format dxfId="681">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name="PivotTable1" cacheId="1" applyNumberFormats="0" applyBorderFormats="0" applyFontFormats="0" applyPatternFormats="0" applyAlignmentFormats="0" applyWidthHeightFormats="1" dataCaption="Values" updatedVersion="6" minRefreshableVersion="3" useAutoFormatting="1" itemPrintTitles="1" createdVersion="6" indent="0" compact="0" compactData="0" gridDropZones="1" multipleFieldFilters="0">
  <location ref="A3:Q1573" firstHeaderRow="1" firstDataRow="3" firstDataCol="3"/>
  <pivotFields count="35">
    <pivotField compact="0" outline="0" showAll="0"/>
    <pivotField compact="0" outline="0" showAll="0"/>
    <pivotField compact="0" outline="0" showAll="0"/>
    <pivotField compact="0" outline="0" showAll="0"/>
    <pivotField axis="axisRow" compact="0" outline="0" showAll="0" defaultSubtotal="0">
      <items count="166">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4"/>
        <item x="103"/>
        <item x="102"/>
        <item x="101"/>
        <item x="100"/>
        <item x="99"/>
        <item x="98"/>
        <item x="97"/>
        <item x="96"/>
        <item x="95"/>
        <item x="94"/>
        <item x="93"/>
        <item x="92"/>
        <item x="91"/>
        <item x="90"/>
        <item x="89"/>
        <item x="88"/>
        <item x="87"/>
        <item x="86"/>
        <item x="85"/>
        <item x="84"/>
        <item x="83"/>
        <item x="82"/>
        <item x="81"/>
        <item x="80"/>
        <item x="79"/>
        <item x="77"/>
        <item x="76"/>
        <item x="75"/>
        <item x="74"/>
        <item x="73"/>
        <item x="72"/>
        <item x="71"/>
        <item x="70"/>
        <item x="69"/>
        <item x="68"/>
        <item x="67"/>
        <item x="66"/>
        <item x="65"/>
        <item x="64"/>
        <item x="63"/>
        <item x="62"/>
        <item x="61"/>
        <item x="60"/>
        <item x="59"/>
        <item x="58"/>
        <item x="57"/>
        <item x="56"/>
        <item x="55"/>
        <item x="53"/>
        <item x="52"/>
        <item x="51"/>
        <item x="49"/>
        <item x="47"/>
        <item x="46"/>
        <item m="1" x="159"/>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1"/>
        <item x="10"/>
        <item x="9"/>
        <item x="8"/>
        <item x="7"/>
        <item x="6"/>
        <item x="5"/>
        <item x="4"/>
        <item x="3"/>
        <item x="2"/>
        <item x="1"/>
        <item x="0"/>
        <item x="54"/>
        <item x="154"/>
        <item m="1" x="161"/>
        <item x="156"/>
        <item m="1" x="162"/>
        <item m="1" x="165"/>
        <item m="1" x="164"/>
        <item m="1" x="157"/>
        <item m="1" x="160"/>
        <item m="1" x="158"/>
        <item m="1" x="163"/>
        <item x="45"/>
        <item x="12"/>
        <item x="48"/>
        <item x="78"/>
        <item x="105"/>
        <item x="50"/>
        <item x="155"/>
      </items>
    </pivotField>
    <pivotField axis="axisRow" compact="0" outline="0" showAll="0" defaultSubtotal="0">
      <items count="196">
        <item x="66"/>
        <item x="148"/>
        <item x="20"/>
        <item x="13"/>
        <item x="12"/>
        <item x="166"/>
        <item x="167"/>
        <item x="83"/>
        <item x="10"/>
        <item x="95"/>
        <item x="106"/>
        <item x="61"/>
        <item x="135"/>
        <item x="62"/>
        <item x="32"/>
        <item x="173"/>
        <item x="147"/>
        <item x="35"/>
        <item x="139"/>
        <item x="138"/>
        <item x="81"/>
        <item x="82"/>
        <item x="187"/>
        <item x="160"/>
        <item x="120"/>
        <item x="90"/>
        <item x="157"/>
        <item x="88"/>
        <item x="134"/>
        <item x="92"/>
        <item x="121"/>
        <item x="122"/>
        <item x="102"/>
        <item x="137"/>
        <item x="156"/>
        <item x="15"/>
        <item x="25"/>
        <item x="98"/>
        <item x="6"/>
        <item x="110"/>
        <item x="46"/>
        <item x="45"/>
        <item x="71"/>
        <item x="128"/>
        <item x="57"/>
        <item x="145"/>
        <item x="59"/>
        <item x="85"/>
        <item x="163"/>
        <item x="93"/>
        <item x="119"/>
        <item x="0"/>
        <item x="1"/>
        <item x="118"/>
        <item x="23"/>
        <item x="182"/>
        <item x="164"/>
        <item x="91"/>
        <item x="69"/>
        <item x="123"/>
        <item x="124"/>
        <item x="168"/>
        <item x="155"/>
        <item x="175"/>
        <item x="67"/>
        <item x="70"/>
        <item m="1" x="195"/>
        <item x="125"/>
        <item x="158"/>
        <item x="97"/>
        <item x="103"/>
        <item x="142"/>
        <item x="104"/>
        <item x="74"/>
        <item x="140"/>
        <item x="105"/>
        <item x="126"/>
        <item x="54"/>
        <item x="52"/>
        <item x="30"/>
        <item x="117"/>
        <item x="55"/>
        <item x="133"/>
        <item x="29"/>
        <item x="141"/>
        <item x="36"/>
        <item m="1" x="193"/>
        <item x="9"/>
        <item x="63"/>
        <item x="27"/>
        <item x="39"/>
        <item x="152"/>
        <item x="49"/>
        <item x="112"/>
        <item x="114"/>
        <item x="161"/>
        <item x="2"/>
        <item x="78"/>
        <item x="17"/>
        <item x="143"/>
        <item x="56"/>
        <item x="58"/>
        <item x="136"/>
        <item x="149"/>
        <item x="40"/>
        <item x="33"/>
        <item x="115"/>
        <item x="60"/>
        <item x="19"/>
        <item x="3"/>
        <item x="41"/>
        <item x="42"/>
        <item x="94"/>
        <item x="50"/>
        <item x="80"/>
        <item x="84"/>
        <item x="5"/>
        <item x="99"/>
        <item x="7"/>
        <item x="107"/>
        <item x="37"/>
        <item x="87"/>
        <item x="159"/>
        <item x="170"/>
        <item x="65"/>
        <item x="22"/>
        <item x="47"/>
        <item x="153"/>
        <item x="151"/>
        <item x="16"/>
        <item x="108"/>
        <item x="26"/>
        <item x="109"/>
        <item x="44"/>
        <item x="172"/>
        <item x="75"/>
        <item x="76"/>
        <item x="77"/>
        <item x="53"/>
        <item x="116"/>
        <item x="174"/>
        <item x="24"/>
        <item x="48"/>
        <item x="21"/>
        <item x="111"/>
        <item x="183"/>
        <item x="176"/>
        <item x="169"/>
        <item x="129"/>
        <item x="131"/>
        <item x="18"/>
        <item x="188"/>
        <item x="86"/>
        <item x="189"/>
        <item x="127"/>
        <item x="184"/>
        <item x="186"/>
        <item x="132"/>
        <item x="31"/>
        <item x="96"/>
        <item x="34"/>
        <item x="146"/>
        <item x="64"/>
        <item m="1" x="192"/>
        <item x="14"/>
        <item x="89"/>
        <item m="1" x="191"/>
        <item x="165"/>
        <item x="68"/>
        <item x="4"/>
        <item x="8"/>
        <item x="51"/>
        <item x="171"/>
        <item x="180"/>
        <item x="181"/>
        <item x="130"/>
        <item x="150"/>
        <item x="178"/>
        <item x="179"/>
        <item x="11"/>
        <item x="73"/>
        <item x="28"/>
        <item x="79"/>
        <item x="38"/>
        <item x="154"/>
        <item x="185"/>
        <item x="113"/>
        <item x="72"/>
        <item x="162"/>
        <item x="177"/>
        <item x="100"/>
        <item x="101"/>
        <item x="190"/>
        <item m="1" x="194"/>
        <item x="144"/>
        <item x="43"/>
      </items>
    </pivotField>
    <pivotField compact="0" outline="0" showAll="0"/>
    <pivotField compact="0" outline="0" showAll="0"/>
    <pivotField compact="0" outline="0" showAll="0"/>
    <pivotField compact="0" outline="0" showAll="0"/>
    <pivotField compact="0" outline="0" showAll="0"/>
    <pivotField compact="0" outline="0" showAll="0"/>
    <pivotField compact="0" numFmtId="165" outline="0" showAll="0"/>
    <pivotField compact="0" outline="0" showAll="0"/>
    <pivotField axis="axisRow" compact="0" outline="0" showAll="0">
      <items count="196">
        <item x="41"/>
        <item x="19"/>
        <item x="12"/>
        <item x="125"/>
        <item x="47"/>
        <item x="58"/>
        <item x="4"/>
        <item x="14"/>
        <item x="17"/>
        <item x="49"/>
        <item x="28"/>
        <item x="69"/>
        <item x="68"/>
        <item x="25"/>
        <item x="117"/>
        <item x="81"/>
        <item x="6"/>
        <item x="56"/>
        <item x="136"/>
        <item x="147"/>
        <item x="57"/>
        <item x="3"/>
        <item x="98"/>
        <item x="1"/>
        <item x="163"/>
        <item x="99"/>
        <item x="188"/>
        <item x="65"/>
        <item x="111"/>
        <item x="2"/>
        <item x="162"/>
        <item x="189"/>
        <item x="75"/>
        <item x="13"/>
        <item x="190"/>
        <item x="21"/>
        <item x="186"/>
        <item x="0"/>
        <item x="132"/>
        <item x="23"/>
        <item x="192"/>
        <item x="77"/>
        <item x="84"/>
        <item x="18"/>
        <item x="180"/>
        <item x="96"/>
        <item x="78"/>
        <item m="1" x="194"/>
        <item x="185"/>
        <item x="83"/>
        <item x="82"/>
        <item x="174"/>
        <item x="133"/>
        <item x="55"/>
        <item x="176"/>
        <item x="112"/>
        <item x="191"/>
        <item x="11"/>
        <item x="141"/>
        <item x="44"/>
        <item x="124"/>
        <item x="97"/>
        <item x="48"/>
        <item x="126"/>
        <item x="113"/>
        <item x="24"/>
        <item x="175"/>
        <item x="173"/>
        <item x="26"/>
        <item x="177"/>
        <item x="100"/>
        <item x="178"/>
        <item x="46"/>
        <item x="179"/>
        <item x="20"/>
        <item x="140"/>
        <item x="9"/>
        <item x="148"/>
        <item x="42"/>
        <item x="193"/>
        <item x="149"/>
        <item x="54"/>
        <item x="123"/>
        <item x="143"/>
        <item x="181"/>
        <item x="122"/>
        <item x="146"/>
        <item x="43"/>
        <item x="134"/>
        <item x="182"/>
        <item x="153"/>
        <item x="76"/>
        <item x="128"/>
        <item x="155"/>
        <item x="145"/>
        <item x="45"/>
        <item x="129"/>
        <item x="156"/>
        <item x="90"/>
        <item x="32"/>
        <item x="91"/>
        <item x="157"/>
        <item x="130"/>
        <item x="139"/>
        <item x="142"/>
        <item x="107"/>
        <item x="31"/>
        <item x="92"/>
        <item x="164"/>
        <item x="138"/>
        <item x="144"/>
        <item x="33"/>
        <item x="34"/>
        <item x="35"/>
        <item x="80"/>
        <item x="166"/>
        <item x="74"/>
        <item x="108"/>
        <item x="5"/>
        <item x="101"/>
        <item x="135"/>
        <item x="27"/>
        <item x="86"/>
        <item x="87"/>
        <item x="118"/>
        <item x="88"/>
        <item x="105"/>
        <item x="102"/>
        <item x="116"/>
        <item x="61"/>
        <item x="79"/>
        <item x="137"/>
        <item x="64"/>
        <item x="94"/>
        <item x="127"/>
        <item x="95"/>
        <item x="89"/>
        <item x="115"/>
        <item x="67"/>
        <item x="60"/>
        <item x="103"/>
        <item x="131"/>
        <item x="71"/>
        <item x="39"/>
        <item x="62"/>
        <item x="165"/>
        <item x="59"/>
        <item x="7"/>
        <item x="16"/>
        <item x="8"/>
        <item x="22"/>
        <item x="36"/>
        <item x="110"/>
        <item x="104"/>
        <item x="121"/>
        <item x="168"/>
        <item x="106"/>
        <item x="53"/>
        <item x="63"/>
        <item x="15"/>
        <item x="29"/>
        <item x="40"/>
        <item x="37"/>
        <item x="66"/>
        <item x="51"/>
        <item x="70"/>
        <item x="160"/>
        <item x="85"/>
        <item x="161"/>
        <item x="167"/>
        <item x="38"/>
        <item x="52"/>
        <item x="10"/>
        <item x="72"/>
        <item x="30"/>
        <item x="50"/>
        <item x="150"/>
        <item x="169"/>
        <item x="159"/>
        <item x="151"/>
        <item x="152"/>
        <item x="109"/>
        <item x="158"/>
        <item x="183"/>
        <item x="93"/>
        <item x="73"/>
        <item x="119"/>
        <item x="120"/>
        <item x="171"/>
        <item x="172"/>
        <item x="154"/>
        <item x="187"/>
        <item x="170"/>
        <item x="114"/>
        <item x="184"/>
        <item t="default"/>
      </items>
    </pivotField>
    <pivotField compact="0" outline="0" showAll="0"/>
    <pivotField axis="axisCol" compact="0" outline="0" showAll="0">
      <items count="7">
        <item x="1"/>
        <item x="0"/>
        <item x="3"/>
        <item x="4"/>
        <item x="2"/>
        <item x="5"/>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64" outline="0" showAll="0"/>
    <pivotField dataField="1" compact="0" numFmtId="164" outline="0" showAll="0"/>
    <pivotField dataField="1" compact="0" outline="0" showAll="0"/>
  </pivotFields>
  <rowFields count="3">
    <field x="5"/>
    <field x="4"/>
    <field x="14"/>
  </rowFields>
  <rowItems count="1568">
    <i>
      <x/>
      <x v="8"/>
      <x v="20"/>
    </i>
    <i r="1">
      <x v="15"/>
      <x v="20"/>
    </i>
    <i r="1">
      <x v="35"/>
      <x v="20"/>
    </i>
    <i r="1">
      <x v="62"/>
      <x v="20"/>
    </i>
    <i r="1">
      <x v="66"/>
      <x v="20"/>
    </i>
    <i r="1">
      <x v="69"/>
      <x v="43"/>
    </i>
    <i r="1">
      <x v="77"/>
      <x v="20"/>
    </i>
    <i r="1">
      <x v="129"/>
      <x v="23"/>
    </i>
    <i>
      <x v="1"/>
      <x v="75"/>
      <x v="43"/>
    </i>
    <i>
      <x v="2"/>
      <x v="8"/>
      <x v="6"/>
    </i>
    <i r="1">
      <x v="11"/>
      <x v="6"/>
    </i>
    <i r="1">
      <x v="19"/>
      <x v="6"/>
    </i>
    <i r="1">
      <x v="126"/>
      <x v="6"/>
    </i>
    <i r="1">
      <x v="139"/>
      <x v="6"/>
    </i>
    <i r="1">
      <x v="142"/>
      <x v="6"/>
    </i>
    <i>
      <x v="3"/>
      <x v="8"/>
      <x v="23"/>
    </i>
    <i r="2">
      <x v="29"/>
    </i>
    <i r="1">
      <x v="11"/>
      <x v="31"/>
    </i>
    <i r="1">
      <x v="107"/>
      <x v="33"/>
    </i>
    <i r="1">
      <x v="139"/>
      <x v="23"/>
    </i>
    <i r="1">
      <x v="145"/>
      <x v="33"/>
    </i>
    <i>
      <x v="4"/>
      <x v="8"/>
      <x v="23"/>
    </i>
    <i r="2">
      <x v="29"/>
    </i>
    <i r="2">
      <x v="35"/>
    </i>
    <i r="1">
      <x v="11"/>
      <x v="31"/>
    </i>
    <i r="2">
      <x v="34"/>
    </i>
    <i r="1">
      <x v="40"/>
      <x v="35"/>
    </i>
    <i r="1">
      <x v="41"/>
      <x v="35"/>
    </i>
    <i r="1">
      <x v="57"/>
      <x v="30"/>
    </i>
    <i r="2">
      <x v="35"/>
    </i>
    <i r="1">
      <x v="77"/>
      <x v="23"/>
    </i>
    <i r="1">
      <x v="90"/>
      <x v="29"/>
    </i>
    <i r="1">
      <x v="93"/>
      <x v="33"/>
    </i>
    <i r="1">
      <x v="126"/>
      <x v="33"/>
    </i>
    <i r="1">
      <x v="139"/>
      <x v="33"/>
    </i>
    <i r="1">
      <x v="141"/>
      <x v="33"/>
    </i>
    <i r="2">
      <x v="35"/>
    </i>
    <i r="1">
      <x v="145"/>
      <x v="33"/>
    </i>
    <i>
      <x v="5"/>
      <x v="57"/>
      <x v="39"/>
    </i>
    <i>
      <x v="6"/>
      <x v="57"/>
      <x v="81"/>
    </i>
    <i>
      <x v="7"/>
      <x v="109"/>
      <x v="122"/>
    </i>
    <i r="2">
      <x v="123"/>
    </i>
    <i r="1">
      <x v="116"/>
      <x v="129"/>
    </i>
    <i>
      <x v="8"/>
      <x/>
      <x v="59"/>
    </i>
    <i r="1">
      <x v="15"/>
      <x v="59"/>
    </i>
    <i r="1">
      <x v="24"/>
      <x v="65"/>
    </i>
    <i r="2">
      <x v="68"/>
    </i>
    <i r="1">
      <x v="27"/>
      <x v="62"/>
    </i>
    <i r="1">
      <x v="36"/>
      <x v="68"/>
    </i>
    <i r="1">
      <x v="37"/>
      <x v="59"/>
    </i>
    <i r="1">
      <x v="39"/>
      <x v="59"/>
    </i>
    <i r="2">
      <x v="62"/>
    </i>
    <i r="2">
      <x v="68"/>
    </i>
    <i r="1">
      <x v="48"/>
      <x v="59"/>
    </i>
    <i r="1">
      <x v="79"/>
      <x v="65"/>
    </i>
    <i r="1">
      <x v="83"/>
      <x v="59"/>
    </i>
    <i r="1">
      <x v="90"/>
      <x v="50"/>
    </i>
    <i r="2">
      <x v="59"/>
    </i>
    <i r="2">
      <x v="62"/>
    </i>
    <i r="2">
      <x v="64"/>
    </i>
    <i r="1">
      <x v="96"/>
      <x v="59"/>
    </i>
    <i r="2">
      <x v="62"/>
    </i>
    <i r="1">
      <x v="97"/>
      <x v="43"/>
    </i>
    <i r="2">
      <x v="59"/>
    </i>
    <i r="1">
      <x v="106"/>
      <x v="57"/>
    </i>
    <i r="1">
      <x v="109"/>
      <x v="53"/>
    </i>
    <i r="2">
      <x v="57"/>
    </i>
    <i r="1">
      <x v="115"/>
      <x v="65"/>
    </i>
    <i r="1">
      <x v="116"/>
      <x v="59"/>
    </i>
    <i r="1">
      <x v="141"/>
      <x v="57"/>
    </i>
    <i r="1">
      <x v="147"/>
      <x v="57"/>
    </i>
    <i r="1">
      <x v="160"/>
      <x v="57"/>
    </i>
    <i r="1">
      <x v="164"/>
      <x v="59"/>
    </i>
    <i>
      <x v="9"/>
      <x v="109"/>
      <x v="146"/>
    </i>
    <i>
      <x v="10"/>
      <x v="11"/>
      <x v="129"/>
    </i>
    <i r="1">
      <x v="15"/>
      <x v="129"/>
    </i>
    <i r="1">
      <x v="90"/>
      <x v="129"/>
    </i>
    <i r="1">
      <x v="96"/>
      <x v="129"/>
    </i>
    <i>
      <x v="11"/>
      <x v="11"/>
      <x v="29"/>
    </i>
    <i r="1">
      <x v="23"/>
      <x v="33"/>
    </i>
    <i r="1">
      <x v="27"/>
      <x v="27"/>
    </i>
    <i r="1">
      <x v="44"/>
      <x v="33"/>
    </i>
    <i r="1">
      <x v="49"/>
      <x v="33"/>
    </i>
    <i r="1">
      <x v="54"/>
      <x v="33"/>
    </i>
    <i r="1">
      <x v="76"/>
      <x v="38"/>
    </i>
    <i r="1">
      <x v="81"/>
      <x v="27"/>
    </i>
    <i r="1">
      <x v="106"/>
      <x v="33"/>
    </i>
    <i r="1">
      <x v="125"/>
      <x v="33"/>
    </i>
    <i r="1">
      <x v="130"/>
      <x v="27"/>
    </i>
    <i>
      <x v="12"/>
      <x v="81"/>
      <x v="27"/>
    </i>
    <i>
      <x v="13"/>
      <x v="1"/>
      <x v="33"/>
    </i>
    <i r="1">
      <x v="5"/>
      <x v="35"/>
    </i>
    <i r="1">
      <x v="6"/>
      <x v="33"/>
    </i>
    <i r="1">
      <x v="19"/>
      <x v="27"/>
    </i>
    <i r="1">
      <x v="27"/>
      <x v="27"/>
    </i>
    <i r="1">
      <x v="44"/>
      <x v="33"/>
    </i>
    <i r="1">
      <x v="49"/>
      <x v="33"/>
    </i>
    <i r="1">
      <x v="54"/>
      <x v="33"/>
    </i>
    <i r="1">
      <x v="62"/>
      <x v="33"/>
    </i>
    <i r="1">
      <x v="71"/>
      <x v="27"/>
    </i>
    <i r="2">
      <x v="33"/>
    </i>
    <i r="1">
      <x v="74"/>
      <x v="29"/>
    </i>
    <i r="1">
      <x v="80"/>
      <x v="27"/>
    </i>
    <i r="1">
      <x v="81"/>
      <x v="27"/>
    </i>
    <i r="1">
      <x v="96"/>
      <x v="33"/>
    </i>
    <i r="1">
      <x v="112"/>
      <x v="33"/>
    </i>
    <i r="1">
      <x v="130"/>
      <x v="27"/>
    </i>
    <i>
      <x v="14"/>
      <x v="19"/>
      <x v="78"/>
    </i>
    <i r="1">
      <x v="36"/>
      <x v="78"/>
    </i>
    <i r="1">
      <x v="44"/>
      <x v="111"/>
    </i>
    <i r="1">
      <x v="68"/>
      <x v="78"/>
    </i>
    <i r="1">
      <x v="71"/>
      <x v="78"/>
    </i>
    <i r="1">
      <x v="74"/>
      <x v="78"/>
    </i>
    <i r="1">
      <x v="77"/>
      <x v="78"/>
    </i>
    <i r="2">
      <x v="82"/>
    </i>
    <i r="1">
      <x v="96"/>
      <x v="78"/>
    </i>
    <i r="1">
      <x v="109"/>
      <x v="78"/>
    </i>
    <i r="1">
      <x v="121"/>
      <x v="78"/>
    </i>
    <i r="1">
      <x v="124"/>
      <x v="72"/>
    </i>
    <i r="1">
      <x v="130"/>
      <x v="78"/>
    </i>
    <i r="1">
      <x v="135"/>
      <x v="78"/>
    </i>
    <i r="1">
      <x v="138"/>
      <x v="78"/>
    </i>
    <i r="2">
      <x v="99"/>
    </i>
    <i r="2">
      <x v="106"/>
    </i>
    <i r="2">
      <x v="111"/>
    </i>
    <i>
      <x v="15"/>
      <x v="3"/>
      <x v="131"/>
    </i>
    <i r="2">
      <x v="132"/>
    </i>
    <i r="2">
      <x v="133"/>
    </i>
    <i r="2">
      <x v="134"/>
    </i>
    <i r="2">
      <x v="135"/>
    </i>
    <i r="1">
      <x v="44"/>
      <x v="134"/>
    </i>
    <i>
      <x v="16"/>
      <x v="75"/>
      <x v="161"/>
    </i>
    <i>
      <x v="17"/>
      <x v="5"/>
      <x v="149"/>
    </i>
    <i r="2">
      <x v="151"/>
    </i>
    <i r="1">
      <x v="13"/>
      <x v="149"/>
    </i>
    <i r="1">
      <x v="15"/>
      <x v="151"/>
    </i>
    <i r="1">
      <x v="18"/>
      <x v="149"/>
    </i>
    <i r="1">
      <x v="19"/>
      <x v="151"/>
    </i>
    <i r="1">
      <x v="27"/>
      <x v="149"/>
    </i>
    <i r="1">
      <x v="39"/>
      <x v="151"/>
    </i>
    <i r="1">
      <x v="77"/>
      <x v="149"/>
    </i>
    <i r="1">
      <x v="138"/>
      <x v="149"/>
    </i>
    <i r="2">
      <x v="151"/>
    </i>
    <i>
      <x v="18"/>
      <x v="79"/>
      <x v="154"/>
    </i>
    <i>
      <x v="19"/>
      <x v="36"/>
      <x v="154"/>
    </i>
    <i r="1">
      <x v="79"/>
      <x v="154"/>
    </i>
    <i>
      <x v="20"/>
      <x v="116"/>
      <x v="8"/>
    </i>
    <i>
      <x v="21"/>
      <x v="116"/>
      <x v="33"/>
    </i>
    <i>
      <x v="22"/>
      <x v="8"/>
      <x v="184"/>
    </i>
    <i>
      <x v="23"/>
      <x v="67"/>
      <x v="76"/>
    </i>
    <i r="2">
      <x v="83"/>
    </i>
    <i>
      <x v="24"/>
      <x v="90"/>
      <x v="12"/>
    </i>
    <i>
      <x v="25"/>
      <x v="67"/>
      <x v="72"/>
    </i>
    <i r="2">
      <x v="75"/>
    </i>
    <i r="2">
      <x v="77"/>
    </i>
    <i r="1">
      <x v="106"/>
      <x v="72"/>
    </i>
    <i r="1">
      <x v="109"/>
      <x v="78"/>
    </i>
    <i>
      <x v="26"/>
      <x v="68"/>
      <x v="127"/>
    </i>
    <i>
      <x v="27"/>
      <x v="109"/>
      <x v="121"/>
    </i>
    <i>
      <x v="28"/>
      <x v="81"/>
      <x v="121"/>
    </i>
    <i>
      <x v="29"/>
      <x v="109"/>
      <x v="123"/>
    </i>
    <i>
      <x v="30"/>
      <x v="90"/>
      <x v="12"/>
    </i>
    <i>
      <x v="31"/>
      <x v="90"/>
      <x v="50"/>
    </i>
    <i>
      <x v="32"/>
      <x v="8"/>
      <x v="95"/>
    </i>
    <i r="1">
      <x v="15"/>
      <x v="95"/>
    </i>
    <i r="1">
      <x v="63"/>
      <x v="95"/>
    </i>
    <i r="1">
      <x v="67"/>
      <x v="95"/>
    </i>
    <i r="2">
      <x v="112"/>
    </i>
    <i r="1">
      <x v="100"/>
      <x v="99"/>
    </i>
    <i r="2">
      <x v="105"/>
    </i>
    <i>
      <x v="33"/>
      <x v="79"/>
      <x v="160"/>
    </i>
    <i>
      <x v="34"/>
      <x v="22"/>
      <x v="14"/>
    </i>
    <i r="1">
      <x v="71"/>
      <x v="14"/>
    </i>
    <i>
      <x v="35"/>
      <x/>
      <x v="43"/>
    </i>
    <i r="1">
      <x v="1"/>
      <x v="37"/>
    </i>
    <i r="2">
      <x v="76"/>
    </i>
    <i r="1">
      <x v="6"/>
      <x v="68"/>
    </i>
    <i r="1">
      <x v="15"/>
      <x v="37"/>
    </i>
    <i r="2">
      <x v="43"/>
    </i>
    <i r="1">
      <x v="19"/>
      <x v="43"/>
    </i>
    <i r="2">
      <x v="72"/>
    </i>
    <i r="1">
      <x v="22"/>
      <x v="37"/>
    </i>
    <i r="2">
      <x v="43"/>
    </i>
    <i r="1">
      <x v="23"/>
      <x v="37"/>
    </i>
    <i r="1">
      <x v="24"/>
      <x v="81"/>
    </i>
    <i r="1">
      <x v="27"/>
      <x v="43"/>
    </i>
    <i r="1">
      <x v="28"/>
      <x v="35"/>
    </i>
    <i r="2">
      <x v="44"/>
    </i>
    <i r="2">
      <x v="49"/>
    </i>
    <i r="2">
      <x v="51"/>
    </i>
    <i r="2">
      <x v="54"/>
    </i>
    <i r="2">
      <x v="188"/>
    </i>
    <i r="2">
      <x v="189"/>
    </i>
    <i r="1">
      <x v="30"/>
      <x v="37"/>
    </i>
    <i r="1">
      <x v="32"/>
      <x v="49"/>
    </i>
    <i r="1">
      <x v="36"/>
      <x v="35"/>
    </i>
    <i r="2">
      <x v="37"/>
    </i>
    <i r="2">
      <x v="43"/>
    </i>
    <i r="2">
      <x v="72"/>
    </i>
    <i r="1">
      <x v="44"/>
      <x v="37"/>
    </i>
    <i r="2">
      <x v="43"/>
    </i>
    <i r="1">
      <x v="48"/>
      <x v="43"/>
    </i>
    <i r="2">
      <x v="72"/>
    </i>
    <i r="1">
      <x v="56"/>
      <x v="37"/>
    </i>
    <i r="1">
      <x v="58"/>
      <x v="43"/>
    </i>
    <i r="1">
      <x v="67"/>
      <x v="35"/>
    </i>
    <i r="2">
      <x v="43"/>
    </i>
    <i r="2">
      <x v="72"/>
    </i>
    <i r="2">
      <x v="86"/>
    </i>
    <i r="2">
      <x v="90"/>
    </i>
    <i r="2">
      <x v="93"/>
    </i>
    <i r="2">
      <x v="97"/>
    </i>
    <i r="2">
      <x v="101"/>
    </i>
    <i r="1">
      <x v="68"/>
      <x v="35"/>
    </i>
    <i r="2">
      <x v="43"/>
    </i>
    <i r="2">
      <x v="184"/>
    </i>
    <i r="1">
      <x v="71"/>
      <x v="37"/>
    </i>
    <i r="1">
      <x v="72"/>
      <x v="43"/>
    </i>
    <i r="1">
      <x v="75"/>
      <x v="43"/>
    </i>
    <i r="1">
      <x v="77"/>
      <x v="37"/>
    </i>
    <i r="1">
      <x v="79"/>
      <x v="43"/>
    </i>
    <i r="1">
      <x v="90"/>
      <x v="35"/>
    </i>
    <i r="1">
      <x v="91"/>
      <x v="87"/>
    </i>
    <i r="1">
      <x v="96"/>
      <x v="37"/>
    </i>
    <i r="2">
      <x v="43"/>
    </i>
    <i r="1">
      <x v="100"/>
      <x v="81"/>
    </i>
    <i r="1">
      <x v="107"/>
      <x v="45"/>
    </i>
    <i r="1">
      <x v="111"/>
      <x v="35"/>
    </i>
    <i r="1">
      <x v="112"/>
      <x v="78"/>
    </i>
    <i r="1">
      <x v="115"/>
      <x v="37"/>
    </i>
    <i r="2">
      <x v="43"/>
    </i>
    <i r="2">
      <x v="49"/>
    </i>
    <i r="1">
      <x v="117"/>
      <x v="35"/>
    </i>
    <i r="2">
      <x v="37"/>
    </i>
    <i r="1">
      <x v="121"/>
      <x v="35"/>
    </i>
    <i r="2">
      <x v="37"/>
    </i>
    <i r="1">
      <x v="124"/>
      <x v="35"/>
    </i>
    <i r="1">
      <x v="135"/>
      <x v="43"/>
    </i>
    <i r="1">
      <x v="140"/>
      <x v="43"/>
    </i>
    <i r="1">
      <x v="143"/>
      <x v="37"/>
    </i>
    <i r="1">
      <x v="149"/>
      <x v="184"/>
    </i>
    <i>
      <x v="36"/>
      <x/>
      <x v="121"/>
    </i>
    <i r="1">
      <x v="8"/>
      <x v="116"/>
    </i>
    <i r="1">
      <x v="9"/>
      <x v="121"/>
    </i>
    <i r="1">
      <x v="22"/>
      <x v="113"/>
    </i>
    <i r="1">
      <x v="26"/>
      <x v="121"/>
    </i>
    <i r="1">
      <x v="27"/>
      <x v="116"/>
    </i>
    <i r="1">
      <x v="28"/>
      <x v="113"/>
    </i>
    <i r="1">
      <x v="29"/>
      <x v="121"/>
    </i>
    <i r="1">
      <x v="30"/>
      <x v="113"/>
    </i>
    <i r="2">
      <x v="116"/>
    </i>
    <i r="1">
      <x v="44"/>
      <x v="121"/>
    </i>
    <i r="1">
      <x v="45"/>
      <x v="121"/>
    </i>
    <i r="1">
      <x v="47"/>
      <x v="121"/>
    </i>
    <i r="1">
      <x v="62"/>
      <x v="121"/>
    </i>
    <i r="1">
      <x v="65"/>
      <x v="113"/>
    </i>
    <i r="1">
      <x v="67"/>
      <x v="116"/>
    </i>
    <i r="1">
      <x v="68"/>
      <x v="121"/>
    </i>
    <i r="1">
      <x v="73"/>
      <x v="121"/>
    </i>
    <i r="1">
      <x v="75"/>
      <x v="113"/>
    </i>
    <i r="1">
      <x v="79"/>
      <x v="114"/>
    </i>
    <i r="1">
      <x v="81"/>
      <x v="121"/>
    </i>
    <i r="1">
      <x v="90"/>
      <x v="121"/>
    </i>
    <i r="1">
      <x v="98"/>
      <x v="121"/>
    </i>
    <i r="1">
      <x v="100"/>
      <x v="117"/>
    </i>
    <i r="2">
      <x v="118"/>
    </i>
    <i r="2">
      <x v="181"/>
    </i>
    <i r="1">
      <x v="101"/>
      <x v="113"/>
    </i>
    <i r="1">
      <x v="107"/>
      <x v="116"/>
    </i>
    <i r="2">
      <x v="118"/>
    </i>
    <i r="2">
      <x v="119"/>
    </i>
    <i r="1">
      <x v="114"/>
      <x v="113"/>
    </i>
    <i r="1">
      <x v="115"/>
      <x v="113"/>
    </i>
    <i r="1">
      <x v="140"/>
      <x v="121"/>
    </i>
    <i>
      <x v="37"/>
      <x v="106"/>
      <x v="140"/>
    </i>
    <i r="1">
      <x v="148"/>
      <x v="140"/>
    </i>
    <i>
      <x v="38"/>
      <x/>
      <x v="146"/>
    </i>
    <i r="1">
      <x v="7"/>
      <x v="147"/>
    </i>
    <i r="1">
      <x v="8"/>
      <x v="147"/>
    </i>
    <i r="1">
      <x v="9"/>
      <x v="147"/>
    </i>
    <i r="1">
      <x v="11"/>
      <x v="146"/>
    </i>
    <i r="1">
      <x v="12"/>
      <x v="146"/>
    </i>
    <i r="1">
      <x v="14"/>
      <x v="147"/>
    </i>
    <i r="1">
      <x v="15"/>
      <x v="146"/>
    </i>
    <i r="1">
      <x v="17"/>
      <x v="146"/>
    </i>
    <i r="1">
      <x v="19"/>
      <x v="146"/>
    </i>
    <i r="1">
      <x v="20"/>
      <x v="147"/>
    </i>
    <i r="1">
      <x v="21"/>
      <x v="146"/>
    </i>
    <i r="2">
      <x v="147"/>
    </i>
    <i r="1">
      <x v="24"/>
      <x v="147"/>
    </i>
    <i r="1">
      <x v="26"/>
      <x v="147"/>
    </i>
    <i r="1">
      <x v="27"/>
      <x v="146"/>
    </i>
    <i r="1">
      <x v="28"/>
      <x v="146"/>
    </i>
    <i r="1">
      <x v="33"/>
      <x/>
    </i>
    <i r="1">
      <x v="34"/>
      <x v="146"/>
    </i>
    <i r="1">
      <x v="36"/>
      <x v="146"/>
    </i>
    <i r="1">
      <x v="38"/>
      <x v="147"/>
    </i>
    <i r="1">
      <x v="39"/>
      <x v="147"/>
    </i>
    <i r="1">
      <x v="40"/>
      <x v="157"/>
    </i>
    <i r="1">
      <x v="42"/>
      <x v="146"/>
    </i>
    <i r="2">
      <x v="147"/>
    </i>
    <i r="1">
      <x v="43"/>
      <x v="147"/>
    </i>
    <i r="1">
      <x v="44"/>
      <x v="146"/>
    </i>
    <i r="1">
      <x v="45"/>
      <x v="147"/>
    </i>
    <i r="1">
      <x v="47"/>
      <x v="147"/>
    </i>
    <i r="1">
      <x v="48"/>
      <x v="146"/>
    </i>
    <i r="1">
      <x v="51"/>
      <x v="146"/>
    </i>
    <i r="2">
      <x v="147"/>
    </i>
    <i r="1">
      <x v="53"/>
      <x v="147"/>
    </i>
    <i r="1">
      <x v="55"/>
      <x v="147"/>
    </i>
    <i r="1">
      <x v="62"/>
      <x v="147"/>
    </i>
    <i r="1">
      <x v="70"/>
      <x v="146"/>
    </i>
    <i r="1">
      <x v="71"/>
      <x v="146"/>
    </i>
    <i r="1">
      <x v="72"/>
      <x v="146"/>
    </i>
    <i r="1">
      <x v="75"/>
      <x v="147"/>
    </i>
    <i r="1">
      <x v="77"/>
      <x v="146"/>
    </i>
    <i r="1">
      <x v="79"/>
      <x v="147"/>
    </i>
    <i r="1">
      <x v="85"/>
      <x v="147"/>
    </i>
    <i r="1">
      <x v="87"/>
      <x v="146"/>
    </i>
    <i r="1">
      <x v="88"/>
      <x v="146"/>
    </i>
    <i r="1">
      <x v="90"/>
      <x v="146"/>
    </i>
    <i r="1">
      <x v="91"/>
      <x v="146"/>
    </i>
    <i r="1">
      <x v="92"/>
      <x v="147"/>
    </i>
    <i r="1">
      <x v="96"/>
      <x v="146"/>
    </i>
    <i r="1">
      <x v="100"/>
      <x v="147"/>
    </i>
    <i r="1">
      <x v="112"/>
      <x v="146"/>
    </i>
    <i r="1">
      <x v="113"/>
      <x v="146"/>
    </i>
    <i r="1">
      <x v="114"/>
      <x v="146"/>
    </i>
    <i r="1">
      <x v="115"/>
      <x v="146"/>
    </i>
    <i r="1">
      <x v="116"/>
      <x v="147"/>
    </i>
    <i r="1">
      <x v="120"/>
      <x v="147"/>
    </i>
    <i r="1">
      <x v="125"/>
      <x v="147"/>
    </i>
    <i r="1">
      <x v="129"/>
      <x v="147"/>
    </i>
    <i r="1">
      <x v="132"/>
      <x v="146"/>
    </i>
    <i r="1">
      <x v="135"/>
      <x v="157"/>
    </i>
    <i r="1">
      <x v="143"/>
      <x v="147"/>
    </i>
    <i r="1">
      <x v="147"/>
      <x v="147"/>
    </i>
    <i r="1">
      <x v="161"/>
      <x v="147"/>
    </i>
    <i>
      <x v="39"/>
      <x v="22"/>
      <x v="157"/>
    </i>
    <i r="1">
      <x v="45"/>
      <x v="157"/>
    </i>
    <i r="1">
      <x v="47"/>
      <x v="157"/>
    </i>
    <i r="1">
      <x v="55"/>
      <x v="157"/>
    </i>
    <i r="1">
      <x v="92"/>
      <x v="157"/>
    </i>
    <i r="1">
      <x v="162"/>
      <x v="157"/>
    </i>
    <i>
      <x v="40"/>
      <x v="4"/>
      <x v="160"/>
    </i>
    <i r="1">
      <x v="5"/>
      <x v="160"/>
    </i>
    <i r="1">
      <x v="6"/>
      <x v="160"/>
    </i>
    <i r="1">
      <x v="9"/>
      <x v="160"/>
    </i>
    <i r="1">
      <x v="14"/>
      <x v="160"/>
    </i>
    <i r="1">
      <x v="22"/>
      <x v="160"/>
    </i>
    <i r="1">
      <x v="23"/>
      <x v="160"/>
    </i>
    <i r="1">
      <x v="33"/>
      <x v="160"/>
    </i>
    <i r="1">
      <x v="36"/>
      <x v="160"/>
    </i>
    <i r="1">
      <x v="44"/>
      <x v="160"/>
    </i>
    <i r="1">
      <x v="47"/>
      <x v="160"/>
    </i>
    <i r="1">
      <x v="50"/>
      <x v="160"/>
    </i>
    <i r="1">
      <x v="60"/>
      <x v="160"/>
    </i>
    <i r="1">
      <x v="61"/>
      <x v="160"/>
    </i>
    <i r="1">
      <x v="75"/>
      <x v="160"/>
    </i>
    <i r="1">
      <x v="78"/>
      <x v="160"/>
    </i>
    <i r="1">
      <x v="92"/>
      <x v="160"/>
    </i>
    <i r="1">
      <x v="111"/>
      <x v="160"/>
    </i>
    <i r="1">
      <x v="115"/>
      <x v="160"/>
    </i>
    <i r="1">
      <x v="135"/>
      <x v="160"/>
    </i>
    <i>
      <x v="41"/>
      <x v="5"/>
      <x v="170"/>
    </i>
    <i r="1">
      <x v="7"/>
      <x v="170"/>
    </i>
    <i r="1">
      <x v="24"/>
      <x v="170"/>
    </i>
    <i r="1">
      <x v="26"/>
      <x v="170"/>
    </i>
    <i r="1">
      <x v="53"/>
      <x v="170"/>
    </i>
    <i r="1">
      <x v="134"/>
      <x v="170"/>
    </i>
    <i r="1">
      <x v="135"/>
      <x v="170"/>
    </i>
    <i>
      <x v="42"/>
      <x v="49"/>
      <x v="170"/>
    </i>
    <i r="1">
      <x v="125"/>
      <x v="170"/>
    </i>
    <i>
      <x v="43"/>
      <x v="90"/>
      <x v="50"/>
    </i>
    <i>
      <x v="44"/>
      <x v="5"/>
      <x v="57"/>
    </i>
    <i r="1">
      <x v="6"/>
      <x v="53"/>
    </i>
    <i r="1">
      <x v="11"/>
      <x v="59"/>
    </i>
    <i r="1">
      <x v="19"/>
      <x v="62"/>
    </i>
    <i r="1">
      <x v="22"/>
      <x v="194"/>
    </i>
    <i r="1">
      <x v="24"/>
      <x v="57"/>
    </i>
    <i r="1">
      <x v="30"/>
      <x v="53"/>
    </i>
    <i r="1">
      <x v="35"/>
      <x v="53"/>
    </i>
    <i r="1">
      <x v="36"/>
      <x v="53"/>
    </i>
    <i r="1">
      <x v="39"/>
      <x v="53"/>
    </i>
    <i r="2">
      <x v="192"/>
    </i>
    <i r="1">
      <x v="40"/>
      <x v="59"/>
    </i>
    <i r="1">
      <x v="49"/>
      <x v="59"/>
    </i>
    <i r="1">
      <x v="59"/>
      <x v="57"/>
    </i>
    <i r="1">
      <x v="62"/>
      <x v="57"/>
    </i>
    <i r="2">
      <x v="62"/>
    </i>
    <i r="1">
      <x v="65"/>
      <x v="59"/>
    </i>
    <i r="1">
      <x v="67"/>
      <x v="58"/>
    </i>
    <i r="1">
      <x v="71"/>
      <x v="59"/>
    </i>
    <i r="1">
      <x v="72"/>
      <x v="59"/>
    </i>
    <i r="1">
      <x v="74"/>
      <x v="57"/>
    </i>
    <i r="1">
      <x v="75"/>
      <x v="57"/>
    </i>
    <i r="2">
      <x v="59"/>
    </i>
    <i r="2">
      <x v="62"/>
    </i>
    <i r="1">
      <x v="85"/>
      <x v="59"/>
    </i>
    <i r="2">
      <x v="62"/>
    </i>
    <i r="2">
      <x v="65"/>
    </i>
    <i r="1">
      <x v="89"/>
      <x v="59"/>
    </i>
    <i r="1">
      <x v="90"/>
      <x v="57"/>
    </i>
    <i r="2">
      <x v="59"/>
    </i>
    <i r="2">
      <x v="193"/>
    </i>
    <i r="1">
      <x v="91"/>
      <x v="62"/>
    </i>
    <i r="1">
      <x v="94"/>
      <x v="59"/>
    </i>
    <i r="1">
      <x v="96"/>
      <x v="53"/>
    </i>
    <i r="2">
      <x v="55"/>
    </i>
    <i r="2">
      <x v="59"/>
    </i>
    <i r="1">
      <x v="117"/>
      <x v="53"/>
    </i>
    <i r="1">
      <x v="127"/>
      <x v="57"/>
    </i>
    <i r="1">
      <x v="129"/>
      <x v="59"/>
    </i>
    <i r="1">
      <x v="130"/>
      <x v="59"/>
    </i>
    <i r="1">
      <x v="131"/>
      <x v="59"/>
    </i>
    <i>
      <x v="45"/>
      <x v="67"/>
      <x v="95"/>
    </i>
    <i r="1">
      <x v="68"/>
      <x v="95"/>
    </i>
    <i r="1">
      <x v="75"/>
      <x v="95"/>
    </i>
    <i>
      <x v="46"/>
      <x v="67"/>
      <x v="156"/>
    </i>
    <i r="1">
      <x v="131"/>
      <x v="158"/>
    </i>
    <i>
      <x v="47"/>
      <x v="11"/>
      <x v="167"/>
    </i>
    <i r="1">
      <x v="36"/>
      <x v="167"/>
    </i>
    <i r="1">
      <x v="62"/>
      <x v="168"/>
    </i>
    <i r="1">
      <x v="75"/>
      <x v="167"/>
    </i>
    <i r="1">
      <x v="90"/>
      <x v="167"/>
    </i>
    <i r="1">
      <x v="113"/>
      <x v="167"/>
    </i>
    <i>
      <x v="48"/>
      <x v="30"/>
      <x v="91"/>
    </i>
    <i r="1">
      <x v="67"/>
      <x v="95"/>
    </i>
    <i>
      <x v="49"/>
      <x v="109"/>
      <x v="123"/>
    </i>
    <i>
      <x v="50"/>
      <x v="90"/>
      <x v="184"/>
    </i>
    <i>
      <x v="51"/>
      <x v="116"/>
      <x v="129"/>
    </i>
    <i r="1">
      <x v="147"/>
      <x v="37"/>
    </i>
    <i>
      <x v="52"/>
      <x v="8"/>
      <x v="25"/>
    </i>
    <i r="1">
      <x v="57"/>
      <x v="20"/>
    </i>
    <i r="2">
      <x v="24"/>
    </i>
    <i r="2">
      <x v="25"/>
    </i>
    <i r="2">
      <x v="29"/>
    </i>
    <i r="1">
      <x v="141"/>
      <x v="29"/>
    </i>
    <i r="1">
      <x v="147"/>
      <x v="23"/>
    </i>
    <i r="2">
      <x v="29"/>
    </i>
    <i>
      <x v="53"/>
      <x v="90"/>
      <x v="74"/>
    </i>
    <i>
      <x v="54"/>
      <x v="59"/>
      <x v="65"/>
    </i>
    <i r="1">
      <x v="140"/>
      <x v="65"/>
    </i>
    <i>
      <x v="55"/>
      <x v="8"/>
      <x v="56"/>
    </i>
    <i>
      <x v="56"/>
      <x v="46"/>
      <x v="115"/>
    </i>
    <i r="1">
      <x v="66"/>
      <x v="81"/>
    </i>
    <i>
      <x v="57"/>
      <x v="30"/>
      <x v="12"/>
    </i>
    <i r="1">
      <x v="72"/>
      <x v="33"/>
    </i>
    <i r="1">
      <x v="109"/>
      <x v="33"/>
    </i>
    <i r="1">
      <x v="165"/>
      <x v="184"/>
    </i>
    <i>
      <x v="58"/>
      <x v="8"/>
      <x v="10"/>
    </i>
    <i r="1">
      <x v="126"/>
      <x v="10"/>
    </i>
    <i>
      <x v="59"/>
      <x v="90"/>
      <x v="12"/>
    </i>
    <i>
      <x v="60"/>
      <x v="90"/>
      <x v="50"/>
    </i>
    <i>
      <x v="61"/>
      <x v="8"/>
      <x v="8"/>
    </i>
    <i r="1">
      <x v="57"/>
      <x v="11"/>
    </i>
    <i>
      <x v="62"/>
      <x v="72"/>
      <x v="20"/>
    </i>
    <i>
      <x v="63"/>
      <x v="35"/>
      <x v="37"/>
    </i>
    <i>
      <x v="64"/>
      <x v="22"/>
      <x v="37"/>
    </i>
    <i r="1">
      <x v="66"/>
      <x v="43"/>
    </i>
    <i r="1">
      <x v="71"/>
      <x v="41"/>
    </i>
    <i r="1">
      <x v="109"/>
      <x v="37"/>
    </i>
    <i r="1">
      <x v="127"/>
      <x v="59"/>
    </i>
    <i>
      <x v="65"/>
      <x v="19"/>
      <x v="143"/>
    </i>
    <i r="1">
      <x v="43"/>
      <x v="143"/>
    </i>
    <i r="1">
      <x v="77"/>
      <x v="142"/>
    </i>
    <i r="1">
      <x v="124"/>
      <x v="142"/>
    </i>
    <i r="1">
      <x v="125"/>
      <x v="142"/>
    </i>
    <i>
      <x v="67"/>
      <x v="90"/>
      <x v="13"/>
    </i>
    <i>
      <x v="68"/>
      <x v="67"/>
      <x v="16"/>
    </i>
    <i r="2">
      <x v="18"/>
    </i>
    <i r="2">
      <x v="19"/>
    </i>
    <i r="2">
      <x v="176"/>
    </i>
    <i>
      <x v="69"/>
      <x v="28"/>
      <x v="59"/>
    </i>
    <i r="2">
      <x v="64"/>
    </i>
    <i r="2">
      <x v="71"/>
    </i>
    <i r="1">
      <x v="67"/>
      <x v="74"/>
    </i>
    <i r="1">
      <x v="90"/>
      <x v="99"/>
    </i>
    <i r="1">
      <x v="106"/>
      <x v="62"/>
    </i>
    <i>
      <x v="70"/>
      <x v="6"/>
      <x v="59"/>
    </i>
    <i r="1">
      <x v="8"/>
      <x v="68"/>
    </i>
    <i r="1">
      <x v="49"/>
      <x v="68"/>
    </i>
    <i r="1">
      <x v="53"/>
      <x v="65"/>
    </i>
    <i r="2">
      <x v="74"/>
    </i>
    <i r="1">
      <x v="74"/>
      <x v="68"/>
    </i>
    <i r="1">
      <x v="75"/>
      <x v="59"/>
    </i>
    <i r="2">
      <x v="62"/>
    </i>
    <i r="1">
      <x v="77"/>
      <x v="60"/>
    </i>
    <i r="2">
      <x v="63"/>
    </i>
    <i r="1">
      <x v="81"/>
      <x v="68"/>
    </i>
    <i r="1">
      <x v="99"/>
      <x v="59"/>
    </i>
    <i>
      <x v="71"/>
      <x v="77"/>
      <x v="147"/>
    </i>
    <i>
      <x v="72"/>
      <x v="14"/>
      <x v="152"/>
    </i>
    <i r="1">
      <x v="49"/>
      <x v="153"/>
    </i>
    <i r="1">
      <x v="53"/>
      <x v="152"/>
    </i>
    <i r="1">
      <x v="77"/>
      <x v="156"/>
    </i>
    <i r="1">
      <x v="99"/>
      <x v="152"/>
    </i>
    <i>
      <x v="73"/>
      <x v="117"/>
      <x v="39"/>
    </i>
    <i r="1">
      <x v="121"/>
      <x v="39"/>
    </i>
    <i>
      <x v="74"/>
      <x v="49"/>
      <x v="112"/>
    </i>
    <i r="1">
      <x v="69"/>
      <x v="125"/>
    </i>
    <i r="1">
      <x v="77"/>
      <x v="111"/>
    </i>
    <i r="2">
      <x v="112"/>
    </i>
    <i>
      <x v="75"/>
      <x v="77"/>
      <x v="136"/>
    </i>
    <i r="1">
      <x v="90"/>
      <x v="136"/>
    </i>
    <i r="1">
      <x v="96"/>
      <x v="136"/>
    </i>
    <i>
      <x v="76"/>
      <x v="90"/>
      <x v="12"/>
    </i>
    <i>
      <x v="77"/>
      <x v="15"/>
      <x v="20"/>
    </i>
    <i r="1">
      <x v="19"/>
      <x v="33"/>
    </i>
    <i r="1">
      <x v="23"/>
      <x v="21"/>
    </i>
    <i r="1">
      <x v="39"/>
      <x v="33"/>
    </i>
    <i r="2">
      <x v="35"/>
    </i>
    <i r="1">
      <x v="53"/>
      <x v="20"/>
    </i>
    <i r="1">
      <x v="75"/>
      <x v="33"/>
    </i>
    <i r="1">
      <x v="85"/>
      <x v="20"/>
    </i>
    <i r="1">
      <x v="98"/>
      <x v="20"/>
    </i>
    <i r="1">
      <x v="109"/>
      <x v="20"/>
    </i>
    <i r="1">
      <x v="132"/>
      <x v="20"/>
    </i>
    <i r="1">
      <x v="159"/>
      <x v="20"/>
    </i>
    <i>
      <x v="78"/>
      <x v="27"/>
      <x v="17"/>
    </i>
    <i r="1">
      <x v="90"/>
      <x v="17"/>
    </i>
    <i r="1">
      <x v="132"/>
      <x v="17"/>
    </i>
    <i>
      <x v="79"/>
      <x v="6"/>
      <x v="57"/>
    </i>
    <i r="1">
      <x v="8"/>
      <x v="43"/>
    </i>
    <i r="2">
      <x v="57"/>
    </i>
    <i r="1">
      <x v="19"/>
      <x v="50"/>
    </i>
    <i r="1">
      <x v="23"/>
      <x v="57"/>
    </i>
    <i r="2">
      <x v="59"/>
    </i>
    <i r="1">
      <x v="27"/>
      <x v="50"/>
    </i>
    <i r="2">
      <x v="53"/>
    </i>
    <i r="1">
      <x v="36"/>
      <x v="53"/>
    </i>
    <i r="1">
      <x v="39"/>
      <x v="57"/>
    </i>
    <i r="1">
      <x v="67"/>
      <x v="53"/>
    </i>
    <i r="1">
      <x v="71"/>
      <x v="53"/>
    </i>
    <i r="1">
      <x v="74"/>
      <x v="57"/>
    </i>
    <i r="1">
      <x v="75"/>
      <x v="53"/>
    </i>
    <i r="1">
      <x v="79"/>
      <x v="57"/>
    </i>
    <i r="1">
      <x v="81"/>
      <x v="43"/>
    </i>
    <i r="1">
      <x v="85"/>
      <x v="57"/>
    </i>
    <i r="2">
      <x v="59"/>
    </i>
    <i r="1">
      <x v="109"/>
      <x v="43"/>
    </i>
    <i r="1">
      <x v="132"/>
      <x v="43"/>
    </i>
    <i r="2">
      <x v="53"/>
    </i>
    <i r="1">
      <x v="138"/>
      <x v="57"/>
    </i>
    <i>
      <x v="80"/>
      <x v="39"/>
      <x v="129"/>
    </i>
    <i r="1">
      <x v="90"/>
      <x v="128"/>
    </i>
    <i>
      <x v="81"/>
      <x v="132"/>
      <x v="139"/>
    </i>
    <i>
      <x v="82"/>
      <x v="22"/>
      <x v="16"/>
    </i>
    <i r="1">
      <x v="30"/>
      <x v="16"/>
    </i>
    <i r="1">
      <x v="66"/>
      <x v="14"/>
    </i>
    <i r="1">
      <x v="86"/>
      <x v="13"/>
    </i>
    <i r="1">
      <x v="89"/>
      <x v="16"/>
    </i>
    <i>
      <x v="83"/>
      <x v="19"/>
      <x v="112"/>
    </i>
    <i r="2">
      <x v="113"/>
    </i>
    <i r="1">
      <x v="39"/>
      <x v="95"/>
    </i>
    <i r="1">
      <x v="44"/>
      <x v="95"/>
    </i>
    <i r="1">
      <x v="53"/>
      <x v="108"/>
    </i>
    <i r="1">
      <x v="62"/>
      <x v="111"/>
    </i>
    <i r="1">
      <x v="69"/>
      <x v="121"/>
    </i>
    <i r="1">
      <x v="75"/>
      <x v="111"/>
    </i>
    <i r="1">
      <x v="85"/>
      <x v="111"/>
    </i>
    <i r="1">
      <x v="105"/>
      <x v="111"/>
    </i>
    <i r="1">
      <x v="108"/>
      <x v="95"/>
    </i>
    <i r="2">
      <x v="98"/>
    </i>
    <i r="2">
      <x v="100"/>
    </i>
    <i r="2">
      <x v="107"/>
    </i>
    <i r="2">
      <x v="184"/>
    </i>
    <i r="1">
      <x v="124"/>
      <x v="95"/>
    </i>
    <i r="1">
      <x v="138"/>
      <x/>
    </i>
    <i r="2">
      <x v="95"/>
    </i>
    <i r="2">
      <x v="106"/>
    </i>
    <i r="2">
      <x v="111"/>
    </i>
    <i r="2">
      <x v="113"/>
    </i>
    <i>
      <x v="84"/>
      <x v="51"/>
      <x v="145"/>
    </i>
    <i r="1">
      <x v="53"/>
      <x v="145"/>
    </i>
    <i r="1">
      <x v="72"/>
      <x v="148"/>
    </i>
    <i r="1">
      <x v="77"/>
      <x v="134"/>
    </i>
    <i r="2">
      <x v="135"/>
    </i>
    <i r="2">
      <x v="136"/>
    </i>
    <i r="2">
      <x v="141"/>
    </i>
    <i>
      <x v="85"/>
      <x v="12"/>
      <x v="162"/>
    </i>
    <i r="1">
      <x v="13"/>
      <x v="162"/>
    </i>
    <i r="1">
      <x v="16"/>
      <x v="162"/>
    </i>
    <i r="1">
      <x v="19"/>
      <x v="162"/>
    </i>
    <i r="1">
      <x v="20"/>
      <x v="162"/>
    </i>
    <i r="1">
      <x v="30"/>
      <x v="162"/>
    </i>
    <i r="1">
      <x v="44"/>
      <x v="162"/>
    </i>
    <i r="1">
      <x v="46"/>
      <x v="169"/>
    </i>
    <i r="1">
      <x v="51"/>
      <x v="162"/>
    </i>
    <i r="1">
      <x v="57"/>
      <x v="162"/>
    </i>
    <i r="1">
      <x v="72"/>
      <x v="162"/>
    </i>
    <i r="1">
      <x v="85"/>
      <x v="163"/>
    </i>
    <i r="1">
      <x v="107"/>
      <x v="163"/>
    </i>
    <i r="1">
      <x v="116"/>
      <x v="162"/>
    </i>
    <i r="1">
      <x v="121"/>
      <x v="162"/>
    </i>
    <i r="1">
      <x v="122"/>
      <x v="163"/>
    </i>
    <i r="1">
      <x v="123"/>
      <x v="163"/>
    </i>
    <i r="1">
      <x v="124"/>
      <x v="162"/>
    </i>
    <i r="1">
      <x v="125"/>
      <x v="173"/>
    </i>
    <i r="1">
      <x v="129"/>
      <x v="163"/>
    </i>
    <i r="1">
      <x v="138"/>
      <x v="162"/>
    </i>
    <i>
      <x v="87"/>
      <x v="14"/>
      <x v="170"/>
    </i>
    <i r="1">
      <x v="18"/>
      <x v="170"/>
    </i>
    <i r="1">
      <x v="19"/>
      <x v="170"/>
    </i>
    <i r="1">
      <x v="39"/>
      <x v="172"/>
    </i>
    <i r="1">
      <x v="44"/>
      <x v="170"/>
    </i>
    <i r="1">
      <x v="56"/>
      <x v="170"/>
    </i>
    <i r="1">
      <x v="65"/>
      <x v="170"/>
    </i>
    <i r="1">
      <x v="74"/>
      <x v="172"/>
    </i>
    <i r="1">
      <x v="77"/>
      <x v="170"/>
    </i>
    <i r="1">
      <x v="108"/>
      <x v="172"/>
    </i>
    <i r="1">
      <x v="121"/>
      <x v="170"/>
    </i>
    <i r="1">
      <x v="125"/>
      <x v="172"/>
    </i>
    <i r="1">
      <x v="135"/>
      <x v="172"/>
    </i>
    <i r="1">
      <x v="138"/>
      <x v="170"/>
    </i>
    <i r="1">
      <x v="144"/>
      <x v="172"/>
    </i>
    <i r="1">
      <x v="147"/>
      <x v="172"/>
    </i>
    <i>
      <x v="88"/>
      <x v="61"/>
      <x v="174"/>
    </i>
    <i r="1">
      <x v="78"/>
      <x v="174"/>
    </i>
    <i r="1">
      <x v="129"/>
      <x v="175"/>
    </i>
    <i r="1">
      <x v="163"/>
      <x v="175"/>
    </i>
    <i>
      <x v="89"/>
      <x v="10"/>
      <x v="174"/>
    </i>
    <i r="1">
      <x v="44"/>
      <x v="174"/>
    </i>
    <i r="1">
      <x v="59"/>
      <x v="174"/>
    </i>
    <i r="1">
      <x v="74"/>
      <x v="174"/>
    </i>
    <i r="2">
      <x v="175"/>
    </i>
    <i r="1">
      <x v="108"/>
      <x v="175"/>
    </i>
    <i r="1">
      <x v="113"/>
      <x v="174"/>
    </i>
    <i r="1">
      <x v="135"/>
      <x v="175"/>
    </i>
    <i r="1">
      <x v="139"/>
      <x v="174"/>
    </i>
    <i>
      <x v="90"/>
      <x v="44"/>
      <x v="72"/>
    </i>
    <i r="1">
      <x v="108"/>
      <x v="95"/>
    </i>
    <i r="1">
      <x v="121"/>
      <x v="72"/>
    </i>
    <i r="1">
      <x v="138"/>
      <x v="72"/>
    </i>
    <i>
      <x v="91"/>
      <x v="73"/>
      <x v="131"/>
    </i>
    <i>
      <x v="92"/>
      <x v="8"/>
      <x v="72"/>
    </i>
    <i r="1">
      <x v="15"/>
      <x v="72"/>
    </i>
    <i r="1">
      <x v="67"/>
      <x v="72"/>
    </i>
    <i r="2">
      <x v="190"/>
    </i>
    <i r="1">
      <x v="90"/>
      <x v="72"/>
    </i>
    <i r="1">
      <x v="96"/>
      <x v="72"/>
    </i>
    <i r="1">
      <x v="117"/>
      <x v="72"/>
    </i>
    <i r="1">
      <x v="135"/>
      <x v="81"/>
    </i>
    <i>
      <x v="93"/>
      <x v="90"/>
      <x v="139"/>
    </i>
    <i>
      <x v="94"/>
      <x v="90"/>
      <x v="87"/>
    </i>
    <i>
      <x v="95"/>
      <x v="15"/>
      <x v="76"/>
    </i>
    <i r="1">
      <x v="67"/>
      <x v="80"/>
    </i>
    <i>
      <x v="96"/>
      <x v="11"/>
      <x v="17"/>
    </i>
    <i r="1">
      <x v="40"/>
      <x v="21"/>
    </i>
    <i r="1">
      <x v="51"/>
      <x v="25"/>
    </i>
    <i r="1">
      <x v="53"/>
      <x v="17"/>
    </i>
    <i r="2">
      <x v="23"/>
    </i>
    <i r="1">
      <x v="57"/>
      <x v="17"/>
    </i>
    <i r="2">
      <x v="21"/>
    </i>
    <i r="1">
      <x v="72"/>
      <x v="17"/>
    </i>
    <i r="1">
      <x v="90"/>
      <x v="16"/>
    </i>
    <i r="1">
      <x v="93"/>
      <x v="20"/>
    </i>
    <i r="1">
      <x v="126"/>
      <x v="17"/>
    </i>
    <i r="2">
      <x v="20"/>
    </i>
    <i r="2">
      <x v="21"/>
    </i>
    <i r="1">
      <x v="141"/>
      <x v="21"/>
    </i>
    <i r="1">
      <x v="146"/>
      <x v="16"/>
    </i>
    <i r="1">
      <x v="147"/>
      <x v="16"/>
    </i>
    <i r="2">
      <x v="21"/>
    </i>
    <i>
      <x v="97"/>
      <x v="18"/>
      <x v="121"/>
    </i>
    <i r="1">
      <x v="44"/>
      <x v="121"/>
    </i>
    <i r="1">
      <x v="64"/>
      <x v="130"/>
    </i>
    <i r="2">
      <x v="131"/>
    </i>
    <i r="2">
      <x v="132"/>
    </i>
    <i r="1">
      <x v="67"/>
      <x v="130"/>
    </i>
    <i r="2">
      <x v="131"/>
    </i>
    <i r="2">
      <x v="182"/>
    </i>
    <i r="1">
      <x v="109"/>
      <x v="121"/>
    </i>
    <i r="2">
      <x v="122"/>
    </i>
    <i r="2">
      <x v="123"/>
    </i>
    <i r="2">
      <x v="125"/>
    </i>
    <i r="1">
      <x v="119"/>
      <x v="130"/>
    </i>
    <i>
      <x v="98"/>
      <x v="8"/>
      <x v="8"/>
    </i>
    <i r="1">
      <x v="10"/>
      <x v="10"/>
    </i>
    <i r="1">
      <x v="19"/>
      <x v="8"/>
    </i>
    <i r="1">
      <x v="23"/>
      <x v="8"/>
    </i>
    <i r="1">
      <x v="32"/>
      <x v="10"/>
    </i>
    <i r="1">
      <x v="72"/>
      <x v="8"/>
    </i>
    <i r="1">
      <x v="84"/>
      <x v="8"/>
    </i>
    <i r="1">
      <x v="90"/>
      <x v="8"/>
    </i>
    <i r="1">
      <x v="126"/>
      <x v="8"/>
    </i>
    <i r="2">
      <x v="10"/>
    </i>
    <i r="2">
      <x v="11"/>
    </i>
    <i r="1">
      <x v="139"/>
      <x v="8"/>
    </i>
    <i r="2">
      <x v="10"/>
    </i>
    <i r="1">
      <x v="142"/>
      <x v="8"/>
    </i>
    <i>
      <x v="99"/>
      <x v="10"/>
      <x v="113"/>
    </i>
    <i r="1">
      <x v="11"/>
      <x v="113"/>
    </i>
    <i r="1">
      <x v="42"/>
      <x v="113"/>
    </i>
    <i r="1">
      <x v="57"/>
      <x v="113"/>
    </i>
    <i r="1">
      <x v="72"/>
      <x v="113"/>
    </i>
    <i r="1">
      <x v="77"/>
      <x v="112"/>
    </i>
    <i>
      <x v="100"/>
      <x v="91"/>
      <x v="57"/>
    </i>
    <i r="1">
      <x v="107"/>
      <x v="57"/>
    </i>
    <i r="1">
      <x v="131"/>
      <x v="43"/>
    </i>
    <i>
      <x v="101"/>
      <x v="131"/>
      <x v="144"/>
    </i>
    <i>
      <x v="102"/>
      <x v="81"/>
      <x v="99"/>
    </i>
    <i>
      <x v="103"/>
      <x v="52"/>
      <x v="35"/>
    </i>
    <i r="1">
      <x v="59"/>
      <x v="39"/>
    </i>
    <i r="1">
      <x v="69"/>
      <x v="62"/>
    </i>
    <i r="1">
      <x v="75"/>
      <x v="37"/>
    </i>
    <i>
      <x v="104"/>
      <x v="86"/>
      <x v="39"/>
    </i>
    <i r="1">
      <x v="137"/>
      <x v="39"/>
    </i>
    <i>
      <x v="105"/>
      <x v="75"/>
      <x v="76"/>
    </i>
    <i r="1">
      <x v="107"/>
      <x v="76"/>
    </i>
    <i r="1">
      <x v="138"/>
      <x v="76"/>
    </i>
    <i>
      <x v="106"/>
      <x v="90"/>
      <x v="129"/>
    </i>
    <i>
      <x v="107"/>
      <x v="67"/>
      <x v="130"/>
    </i>
    <i r="1">
      <x v="109"/>
      <x v="122"/>
    </i>
    <i r="2">
      <x v="125"/>
    </i>
    <i r="1">
      <x v="131"/>
      <x v="132"/>
    </i>
    <i>
      <x v="108"/>
      <x v="8"/>
      <x v="1"/>
    </i>
    <i r="1">
      <x v="57"/>
      <x v="1"/>
    </i>
    <i r="1">
      <x v="90"/>
      <x v="1"/>
    </i>
    <i r="1">
      <x v="116"/>
      <x v="1"/>
    </i>
    <i r="1">
      <x v="117"/>
      <x v="1"/>
    </i>
    <i r="1">
      <x v="136"/>
      <x v="1"/>
    </i>
    <i r="1">
      <x v="139"/>
      <x v="1"/>
    </i>
    <i r="1">
      <x v="142"/>
      <x v="1"/>
    </i>
    <i>
      <x v="109"/>
      <x v="8"/>
      <x v="6"/>
    </i>
    <i r="2">
      <x v="7"/>
    </i>
    <i r="2">
      <x v="11"/>
    </i>
    <i r="1">
      <x v="10"/>
      <x v="6"/>
    </i>
    <i r="2">
      <x v="8"/>
    </i>
    <i r="2">
      <x v="9"/>
    </i>
    <i r="1">
      <x v="11"/>
      <x v="8"/>
    </i>
    <i r="1">
      <x v="18"/>
      <x v="6"/>
    </i>
    <i r="1">
      <x v="19"/>
      <x v="6"/>
    </i>
    <i r="2">
      <x v="8"/>
    </i>
    <i r="1">
      <x v="23"/>
      <x v="7"/>
    </i>
    <i r="1">
      <x v="25"/>
      <x v="7"/>
    </i>
    <i r="1">
      <x v="52"/>
      <x v="8"/>
    </i>
    <i r="1">
      <x v="57"/>
      <x v="6"/>
    </i>
    <i r="2">
      <x v="7"/>
    </i>
    <i r="2">
      <x v="8"/>
    </i>
    <i r="1">
      <x v="72"/>
      <x v="6"/>
    </i>
    <i r="2">
      <x v="8"/>
    </i>
    <i r="1">
      <x v="74"/>
      <x v="8"/>
    </i>
    <i r="1">
      <x v="77"/>
      <x v="6"/>
    </i>
    <i r="2">
      <x v="7"/>
    </i>
    <i r="1">
      <x v="82"/>
      <x v="11"/>
    </i>
    <i r="1">
      <x v="84"/>
      <x v="6"/>
    </i>
    <i r="1">
      <x v="90"/>
      <x v="6"/>
    </i>
    <i r="2">
      <x v="7"/>
    </i>
    <i r="2">
      <x v="8"/>
    </i>
    <i r="1">
      <x v="93"/>
      <x v="7"/>
    </i>
    <i r="1">
      <x v="126"/>
      <x v="6"/>
    </i>
    <i r="2">
      <x v="7"/>
    </i>
    <i r="2">
      <x v="8"/>
    </i>
    <i r="1">
      <x v="136"/>
      <x v="6"/>
    </i>
    <i r="2">
      <x v="7"/>
    </i>
    <i r="2">
      <x v="8"/>
    </i>
    <i r="2">
      <x v="9"/>
    </i>
    <i r="1">
      <x v="139"/>
      <x v="7"/>
    </i>
    <i r="1">
      <x v="142"/>
      <x v="6"/>
    </i>
    <i r="1">
      <x v="145"/>
      <x v="7"/>
    </i>
    <i r="1">
      <x v="147"/>
      <x v="6"/>
    </i>
    <i r="1">
      <x v="160"/>
      <x v="8"/>
    </i>
    <i>
      <x v="110"/>
      <x v="8"/>
      <x v="29"/>
    </i>
    <i r="2">
      <x v="33"/>
    </i>
    <i r="1">
      <x v="57"/>
      <x v="23"/>
    </i>
    <i r="2">
      <x v="29"/>
    </i>
    <i r="2">
      <x v="30"/>
    </i>
    <i r="2">
      <x v="35"/>
    </i>
    <i r="1">
      <x v="72"/>
      <x v="23"/>
    </i>
    <i r="1">
      <x v="85"/>
      <x v="29"/>
    </i>
    <i r="1">
      <x v="90"/>
      <x v="29"/>
    </i>
    <i r="1">
      <x v="136"/>
      <x v="35"/>
    </i>
    <i>
      <x v="111"/>
      <x v="8"/>
      <x v="74"/>
    </i>
    <i r="1">
      <x v="10"/>
      <x v="74"/>
    </i>
    <i r="1">
      <x v="12"/>
      <x v="74"/>
    </i>
    <i r="1">
      <x v="72"/>
      <x v="74"/>
    </i>
    <i r="1">
      <x v="90"/>
      <x v="74"/>
    </i>
    <i r="1">
      <x v="136"/>
      <x v="78"/>
    </i>
    <i>
      <x v="112"/>
      <x v="109"/>
      <x v="21"/>
    </i>
    <i>
      <x v="113"/>
      <x v="22"/>
      <x v="43"/>
    </i>
    <i r="1">
      <x v="39"/>
      <x v="46"/>
    </i>
    <i r="1">
      <x v="75"/>
      <x v="43"/>
    </i>
    <i r="1">
      <x v="83"/>
      <x v="43"/>
    </i>
    <i r="1">
      <x v="87"/>
      <x v="43"/>
    </i>
    <i r="1">
      <x v="93"/>
      <x v="43"/>
    </i>
    <i r="1">
      <x v="98"/>
      <x v="43"/>
    </i>
    <i r="1">
      <x v="115"/>
      <x v="43"/>
    </i>
    <i r="1">
      <x v="134"/>
      <x v="43"/>
    </i>
    <i>
      <x v="114"/>
      <x v="1"/>
      <x v="43"/>
    </i>
    <i r="1">
      <x v="8"/>
      <x v="39"/>
    </i>
    <i r="2">
      <x v="43"/>
    </i>
    <i r="1">
      <x v="22"/>
      <x v="50"/>
    </i>
    <i r="1">
      <x v="30"/>
      <x v="39"/>
    </i>
    <i r="1">
      <x v="31"/>
      <x v="43"/>
    </i>
    <i r="1">
      <x v="39"/>
      <x v="46"/>
    </i>
    <i r="1">
      <x v="49"/>
      <x v="43"/>
    </i>
    <i r="1">
      <x v="56"/>
      <x v="39"/>
    </i>
    <i r="2">
      <x v="46"/>
    </i>
    <i r="2">
      <x v="50"/>
    </i>
    <i r="1">
      <x v="69"/>
      <x v="72"/>
    </i>
    <i r="1">
      <x v="72"/>
      <x v="43"/>
    </i>
    <i r="2">
      <x v="50"/>
    </i>
    <i r="1">
      <x v="83"/>
      <x v="43"/>
    </i>
    <i r="2">
      <x v="46"/>
    </i>
    <i r="1">
      <x v="85"/>
      <x v="46"/>
    </i>
    <i r="2">
      <x v="50"/>
    </i>
    <i r="1">
      <x v="87"/>
      <x v="43"/>
    </i>
    <i r="1">
      <x v="91"/>
      <x v="39"/>
    </i>
    <i r="1">
      <x v="93"/>
      <x v="50"/>
    </i>
    <i r="1">
      <x v="106"/>
      <x v="43"/>
    </i>
    <i r="1">
      <x v="115"/>
      <x v="43"/>
    </i>
    <i r="1">
      <x v="116"/>
      <x v="39"/>
    </i>
    <i r="2">
      <x v="50"/>
    </i>
    <i>
      <x v="115"/>
      <x v="115"/>
      <x v="43"/>
    </i>
    <i>
      <x v="116"/>
      <x v="1"/>
      <x v="118"/>
    </i>
    <i r="1">
      <x v="8"/>
      <x v="95"/>
    </i>
    <i r="1">
      <x v="15"/>
      <x v="95"/>
    </i>
    <i r="1">
      <x v="19"/>
      <x v="95"/>
    </i>
    <i r="2">
      <x v="99"/>
    </i>
    <i r="2">
      <x v="124"/>
    </i>
    <i r="1">
      <x v="22"/>
      <x v="95"/>
    </i>
    <i r="1">
      <x v="24"/>
      <x v="118"/>
    </i>
    <i r="1">
      <x v="28"/>
      <x v="87"/>
    </i>
    <i r="2">
      <x v="95"/>
    </i>
    <i r="1">
      <x v="31"/>
      <x v="116"/>
    </i>
    <i r="1">
      <x v="36"/>
      <x v="95"/>
    </i>
    <i r="2">
      <x v="118"/>
    </i>
    <i r="1">
      <x v="50"/>
      <x v="95"/>
    </i>
    <i r="1">
      <x v="56"/>
      <x v="95"/>
    </i>
    <i r="1">
      <x v="67"/>
      <x v="87"/>
    </i>
    <i r="2">
      <x v="95"/>
    </i>
    <i r="2">
      <x v="103"/>
    </i>
    <i r="2">
      <x v="110"/>
    </i>
    <i r="2">
      <x v="179"/>
    </i>
    <i r="1">
      <x v="68"/>
      <x v="95"/>
    </i>
    <i r="1">
      <x v="72"/>
      <x v="95"/>
    </i>
    <i r="2">
      <x v="118"/>
    </i>
    <i r="1">
      <x v="75"/>
      <x v="95"/>
    </i>
    <i r="2">
      <x v="118"/>
    </i>
    <i r="1">
      <x v="85"/>
      <x v="119"/>
    </i>
    <i r="2">
      <x v="124"/>
    </i>
    <i r="1">
      <x v="93"/>
      <x v="119"/>
    </i>
    <i r="1">
      <x v="116"/>
      <x v="95"/>
    </i>
    <i r="1">
      <x v="132"/>
      <x v="95"/>
    </i>
    <i r="1">
      <x v="135"/>
      <x v="95"/>
    </i>
    <i r="1">
      <x v="138"/>
      <x v="87"/>
    </i>
    <i r="2">
      <x v="95"/>
    </i>
    <i r="1">
      <x v="147"/>
      <x v="118"/>
    </i>
    <i>
      <x v="117"/>
      <x v="106"/>
      <x v="153"/>
    </i>
    <i>
      <x v="118"/>
      <x v="24"/>
      <x v="150"/>
    </i>
    <i r="1">
      <x v="51"/>
      <x v="149"/>
    </i>
    <i r="1">
      <x v="64"/>
      <x v="150"/>
    </i>
    <i r="1">
      <x v="67"/>
      <x v="149"/>
    </i>
    <i r="1">
      <x v="85"/>
      <x v="150"/>
    </i>
    <i r="1">
      <x v="141"/>
      <x v="150"/>
    </i>
    <i r="1">
      <x v="147"/>
      <x v="149"/>
    </i>
    <i>
      <x v="119"/>
      <x v="24"/>
      <x v="183"/>
    </i>
    <i r="1">
      <x v="74"/>
      <x v="162"/>
    </i>
    <i r="1">
      <x v="93"/>
      <x v="162"/>
    </i>
    <i>
      <x v="120"/>
      <x v="8"/>
      <x v="161"/>
    </i>
    <i r="1">
      <x v="16"/>
      <x v="161"/>
    </i>
    <i r="1">
      <x v="17"/>
      <x v="161"/>
    </i>
    <i r="1">
      <x v="18"/>
      <x v="161"/>
    </i>
    <i r="1">
      <x v="19"/>
      <x v="161"/>
    </i>
    <i r="1">
      <x v="20"/>
      <x v="161"/>
    </i>
    <i r="1">
      <x v="21"/>
      <x v="161"/>
    </i>
    <i r="1">
      <x v="22"/>
      <x v="161"/>
    </i>
    <i r="1">
      <x v="23"/>
      <x v="161"/>
    </i>
    <i r="1">
      <x v="33"/>
      <x v="161"/>
    </i>
    <i r="1">
      <x v="50"/>
      <x v="161"/>
    </i>
    <i r="1">
      <x v="72"/>
      <x v="161"/>
    </i>
    <i r="1">
      <x v="115"/>
      <x v="161"/>
    </i>
    <i r="1">
      <x v="125"/>
      <x v="165"/>
    </i>
    <i r="1">
      <x v="138"/>
      <x v="161"/>
    </i>
    <i r="2">
      <x v="162"/>
    </i>
    <i>
      <x v="121"/>
      <x v="4"/>
      <x v="167"/>
    </i>
    <i r="1">
      <x v="11"/>
      <x v="167"/>
    </i>
    <i r="1">
      <x v="36"/>
      <x v="167"/>
    </i>
    <i r="1">
      <x v="44"/>
      <x v="169"/>
    </i>
    <i r="1">
      <x v="50"/>
      <x v="167"/>
    </i>
    <i r="1">
      <x v="111"/>
      <x v="167"/>
    </i>
    <i>
      <x v="122"/>
      <x v="67"/>
      <x v="95"/>
    </i>
    <i r="2">
      <x v="104"/>
    </i>
    <i r="2">
      <x v="180"/>
    </i>
    <i>
      <x v="123"/>
      <x v="51"/>
      <x v="146"/>
    </i>
    <i>
      <x v="124"/>
      <x v="30"/>
      <x v="16"/>
    </i>
    <i r="1">
      <x v="39"/>
      <x v="16"/>
    </i>
    <i r="1">
      <x v="62"/>
      <x v="16"/>
    </i>
    <i r="1">
      <x v="89"/>
      <x v="16"/>
    </i>
    <i r="1">
      <x v="98"/>
      <x v="13"/>
    </i>
    <i r="1">
      <x v="107"/>
      <x v="16"/>
    </i>
    <i r="1">
      <x v="117"/>
      <x v="16"/>
    </i>
    <i r="1">
      <x v="129"/>
      <x v="16"/>
    </i>
    <i r="2">
      <x v="17"/>
    </i>
    <i>
      <x v="125"/>
      <x/>
      <x v="49"/>
    </i>
    <i r="2">
      <x v="57"/>
    </i>
    <i r="1">
      <x v="3"/>
      <x v="40"/>
    </i>
    <i r="1">
      <x v="9"/>
      <x v="43"/>
    </i>
    <i r="2">
      <x v="57"/>
    </i>
    <i r="1">
      <x v="22"/>
      <x v="39"/>
    </i>
    <i r="2">
      <x v="43"/>
    </i>
    <i r="2">
      <x v="48"/>
    </i>
    <i r="1">
      <x v="23"/>
      <x v="43"/>
    </i>
    <i r="2">
      <x v="57"/>
    </i>
    <i r="1">
      <x v="24"/>
      <x v="59"/>
    </i>
    <i r="1">
      <x v="27"/>
      <x v="39"/>
    </i>
    <i r="1">
      <x v="29"/>
      <x v="43"/>
    </i>
    <i r="1">
      <x v="31"/>
      <x v="43"/>
    </i>
    <i r="1">
      <x v="32"/>
      <x v="49"/>
    </i>
    <i r="1">
      <x v="36"/>
      <x v="43"/>
    </i>
    <i r="2">
      <x v="53"/>
    </i>
    <i r="1">
      <x v="39"/>
      <x v="43"/>
    </i>
    <i r="2">
      <x v="57"/>
    </i>
    <i r="2">
      <x v="65"/>
    </i>
    <i r="1">
      <x v="44"/>
      <x v="39"/>
    </i>
    <i r="2">
      <x v="57"/>
    </i>
    <i r="2">
      <x v="59"/>
    </i>
    <i r="2">
      <x v="177"/>
    </i>
    <i r="1">
      <x v="49"/>
      <x v="53"/>
    </i>
    <i r="1">
      <x v="52"/>
      <x v="53"/>
    </i>
    <i r="1">
      <x v="54"/>
      <x v="59"/>
    </i>
    <i r="1">
      <x v="56"/>
      <x v="39"/>
    </i>
    <i r="1">
      <x v="62"/>
      <x v="14"/>
    </i>
    <i r="1">
      <x v="64"/>
      <x v="59"/>
    </i>
    <i r="2">
      <x v="62"/>
    </i>
    <i r="2">
      <x v="72"/>
    </i>
    <i r="1">
      <x v="65"/>
      <x v="43"/>
    </i>
    <i r="2">
      <x v="49"/>
    </i>
    <i r="2">
      <x v="59"/>
    </i>
    <i r="1">
      <x v="71"/>
      <x v="43"/>
    </i>
    <i r="1">
      <x v="75"/>
      <x v="39"/>
    </i>
    <i r="2">
      <x v="57"/>
    </i>
    <i r="2">
      <x v="59"/>
    </i>
    <i r="2">
      <x v="62"/>
    </i>
    <i r="1">
      <x v="79"/>
      <x v="39"/>
    </i>
    <i r="2">
      <x v="59"/>
    </i>
    <i r="1">
      <x v="80"/>
      <x v="57"/>
    </i>
    <i r="1">
      <x v="81"/>
      <x v="43"/>
    </i>
    <i r="2">
      <x v="46"/>
    </i>
    <i r="2">
      <x v="59"/>
    </i>
    <i r="1">
      <x v="85"/>
      <x v="68"/>
    </i>
    <i r="1">
      <x v="87"/>
      <x v="62"/>
    </i>
    <i r="1">
      <x v="91"/>
      <x v="43"/>
    </i>
    <i r="2">
      <x v="59"/>
    </i>
    <i r="1">
      <x v="96"/>
      <x v="46"/>
    </i>
    <i r="2">
      <x v="59"/>
    </i>
    <i r="1">
      <x v="97"/>
      <x v="39"/>
    </i>
    <i r="2">
      <x v="46"/>
    </i>
    <i r="1">
      <x v="98"/>
      <x v="39"/>
    </i>
    <i r="1">
      <x v="100"/>
      <x v="53"/>
    </i>
    <i r="2">
      <x v="59"/>
    </i>
    <i r="2">
      <x v="65"/>
    </i>
    <i r="2">
      <x v="68"/>
    </i>
    <i r="2">
      <x v="184"/>
    </i>
    <i r="1">
      <x v="106"/>
      <x v="41"/>
    </i>
    <i r="1">
      <x v="115"/>
      <x v="39"/>
    </i>
    <i r="2">
      <x v="42"/>
    </i>
    <i r="2">
      <x v="57"/>
    </i>
    <i r="1">
      <x v="119"/>
      <x v="43"/>
    </i>
    <i r="2">
      <x v="46"/>
    </i>
    <i r="1">
      <x v="120"/>
      <x v="41"/>
    </i>
    <i r="2">
      <x v="43"/>
    </i>
    <i r="2">
      <x v="62"/>
    </i>
    <i r="1">
      <x v="124"/>
      <x v="59"/>
    </i>
    <i r="1">
      <x v="127"/>
      <x v="59"/>
    </i>
    <i r="1">
      <x v="130"/>
      <x v="43"/>
    </i>
    <i r="1">
      <x v="135"/>
      <x v="57"/>
    </i>
    <i r="2">
      <x v="59"/>
    </i>
    <i r="1">
      <x v="136"/>
      <x v="59"/>
    </i>
    <i r="2">
      <x v="62"/>
    </i>
    <i r="1">
      <x v="140"/>
      <x v="39"/>
    </i>
    <i r="2">
      <x v="43"/>
    </i>
    <i r="2">
      <x v="68"/>
    </i>
    <i r="1">
      <x v="149"/>
      <x v="184"/>
    </i>
    <i>
      <x v="126"/>
      <x/>
      <x v="124"/>
    </i>
    <i r="1">
      <x v="3"/>
      <x v="79"/>
    </i>
    <i r="1">
      <x v="6"/>
      <x v="116"/>
    </i>
    <i r="1">
      <x v="8"/>
      <x v="116"/>
    </i>
    <i r="2">
      <x v="129"/>
    </i>
    <i r="1">
      <x v="22"/>
      <x v="78"/>
    </i>
    <i r="2">
      <x v="113"/>
    </i>
    <i r="1">
      <x v="27"/>
      <x v="84"/>
    </i>
    <i r="2">
      <x v="89"/>
    </i>
    <i r="1">
      <x v="28"/>
      <x v="78"/>
    </i>
    <i r="2">
      <x v="88"/>
    </i>
    <i r="2">
      <x v="91"/>
    </i>
    <i r="2">
      <x v="95"/>
    </i>
    <i r="2">
      <x v="99"/>
    </i>
    <i r="2">
      <x v="121"/>
    </i>
    <i r="2">
      <x v="185"/>
    </i>
    <i r="1">
      <x v="34"/>
      <x v="113"/>
    </i>
    <i r="1">
      <x v="36"/>
      <x v="78"/>
    </i>
    <i r="2">
      <x v="113"/>
    </i>
    <i r="2">
      <x v="114"/>
    </i>
    <i r="1">
      <x v="44"/>
      <x v="118"/>
    </i>
    <i r="1">
      <x v="46"/>
      <x v="78"/>
    </i>
    <i r="1">
      <x v="54"/>
      <x v="114"/>
    </i>
    <i r="1">
      <x v="67"/>
      <x v="78"/>
    </i>
    <i r="2">
      <x v="88"/>
    </i>
    <i r="2">
      <x v="94"/>
    </i>
    <i r="1">
      <x v="68"/>
      <x v="78"/>
    </i>
    <i r="2">
      <x v="88"/>
    </i>
    <i r="2">
      <x v="109"/>
    </i>
    <i r="2">
      <x v="113"/>
    </i>
    <i r="1">
      <x v="71"/>
      <x v="78"/>
    </i>
    <i r="2">
      <x v="85"/>
    </i>
    <i r="1">
      <x v="73"/>
      <x v="88"/>
    </i>
    <i r="2">
      <x v="120"/>
    </i>
    <i r="2">
      <x v="121"/>
    </i>
    <i r="1">
      <x v="77"/>
      <x v="78"/>
    </i>
    <i r="2">
      <x v="85"/>
    </i>
    <i r="2">
      <x v="92"/>
    </i>
    <i r="2">
      <x v="96"/>
    </i>
    <i r="2">
      <x v="102"/>
    </i>
    <i r="2">
      <x v="113"/>
    </i>
    <i r="1">
      <x v="90"/>
      <x v="78"/>
    </i>
    <i r="1">
      <x v="91"/>
      <x v="78"/>
    </i>
    <i r="1">
      <x v="96"/>
      <x v="78"/>
    </i>
    <i r="1">
      <x v="98"/>
      <x v="129"/>
    </i>
    <i r="1">
      <x v="107"/>
      <x v="121"/>
    </i>
    <i r="2">
      <x v="125"/>
    </i>
    <i r="2">
      <x v="127"/>
    </i>
    <i r="1">
      <x v="112"/>
      <x v="87"/>
    </i>
    <i r="1">
      <x v="115"/>
      <x v="113"/>
    </i>
    <i r="1">
      <x v="117"/>
      <x v="78"/>
    </i>
    <i r="1">
      <x v="124"/>
      <x v="74"/>
    </i>
    <i r="2">
      <x v="78"/>
    </i>
    <i r="2">
      <x v="116"/>
    </i>
    <i r="2">
      <x v="185"/>
    </i>
    <i r="1">
      <x v="135"/>
      <x v="78"/>
    </i>
    <i r="1">
      <x v="149"/>
      <x v="184"/>
    </i>
    <i>
      <x v="127"/>
      <x v="73"/>
      <x v="139"/>
    </i>
    <i>
      <x v="128"/>
      <x v="73"/>
      <x v="72"/>
    </i>
    <i>
      <x v="129"/>
      <x/>
      <x v="146"/>
    </i>
    <i r="1">
      <x v="7"/>
      <x v="148"/>
    </i>
    <i r="1">
      <x v="8"/>
      <x v="146"/>
    </i>
    <i r="1">
      <x v="10"/>
      <x v="146"/>
    </i>
    <i r="1">
      <x v="14"/>
      <x v="148"/>
    </i>
    <i r="1">
      <x v="17"/>
      <x v="146"/>
    </i>
    <i r="1">
      <x v="19"/>
      <x v="148"/>
    </i>
    <i r="1">
      <x v="20"/>
      <x v="148"/>
    </i>
    <i r="1">
      <x v="26"/>
      <x v="148"/>
    </i>
    <i r="1">
      <x v="27"/>
      <x v="146"/>
    </i>
    <i r="1">
      <x v="28"/>
      <x v="146"/>
    </i>
    <i r="1">
      <x v="29"/>
      <x v="146"/>
    </i>
    <i r="1">
      <x v="30"/>
      <x v="146"/>
    </i>
    <i r="1">
      <x v="38"/>
      <x v="148"/>
    </i>
    <i r="1">
      <x v="39"/>
      <x v="148"/>
    </i>
    <i r="1">
      <x v="40"/>
      <x v="160"/>
    </i>
    <i r="1">
      <x v="41"/>
      <x v="146"/>
    </i>
    <i r="1">
      <x v="42"/>
      <x v="148"/>
    </i>
    <i r="1">
      <x v="43"/>
      <x v="148"/>
    </i>
    <i r="1">
      <x v="44"/>
      <x v="146"/>
    </i>
    <i r="2">
      <x v="148"/>
    </i>
    <i r="1">
      <x v="46"/>
      <x v="155"/>
    </i>
    <i r="1">
      <x v="47"/>
      <x v="148"/>
    </i>
    <i r="1">
      <x v="51"/>
      <x v="146"/>
    </i>
    <i r="2">
      <x v="148"/>
    </i>
    <i r="1">
      <x v="55"/>
      <x v="148"/>
    </i>
    <i r="1">
      <x v="57"/>
      <x v="146"/>
    </i>
    <i r="1">
      <x v="62"/>
      <x v="148"/>
    </i>
    <i r="1">
      <x v="64"/>
      <x v="148"/>
    </i>
    <i r="1">
      <x v="68"/>
      <x v="146"/>
    </i>
    <i r="1">
      <x v="71"/>
      <x v="146"/>
    </i>
    <i r="1">
      <x v="73"/>
      <x v="148"/>
    </i>
    <i r="1">
      <x v="77"/>
      <x v="146"/>
    </i>
    <i r="1">
      <x v="87"/>
      <x v="146"/>
    </i>
    <i r="1">
      <x v="88"/>
      <x v="146"/>
    </i>
    <i r="1">
      <x v="92"/>
      <x v="148"/>
    </i>
    <i r="1">
      <x v="96"/>
      <x v="148"/>
    </i>
    <i r="1">
      <x v="107"/>
      <x v="148"/>
    </i>
    <i r="1">
      <x v="112"/>
      <x v="146"/>
    </i>
    <i r="1">
      <x v="116"/>
      <x v="148"/>
    </i>
    <i r="1">
      <x v="120"/>
      <x v="148"/>
    </i>
    <i r="1">
      <x v="129"/>
      <x v="148"/>
    </i>
    <i r="1">
      <x v="131"/>
      <x v="146"/>
    </i>
    <i r="1">
      <x v="132"/>
      <x v="148"/>
    </i>
    <i r="1">
      <x v="134"/>
      <x v="148"/>
    </i>
    <i r="1">
      <x v="136"/>
      <x v="148"/>
    </i>
    <i r="1">
      <x v="143"/>
      <x v="148"/>
    </i>
    <i r="1">
      <x v="161"/>
      <x v="148"/>
    </i>
    <i>
      <x v="130"/>
      <x v="26"/>
      <x v="160"/>
    </i>
    <i r="1">
      <x v="47"/>
      <x v="160"/>
    </i>
    <i r="1">
      <x v="55"/>
      <x v="160"/>
    </i>
    <i r="1">
      <x v="62"/>
      <x v="160"/>
    </i>
    <i r="1">
      <x v="92"/>
      <x v="160"/>
    </i>
    <i r="1">
      <x v="162"/>
      <x v="160"/>
    </i>
    <i>
      <x v="131"/>
      <x v="5"/>
      <x v="160"/>
    </i>
    <i r="1">
      <x v="6"/>
      <x v="160"/>
    </i>
    <i r="1">
      <x v="9"/>
      <x v="160"/>
    </i>
    <i r="1">
      <x v="10"/>
      <x v="160"/>
    </i>
    <i r="1">
      <x v="14"/>
      <x v="160"/>
    </i>
    <i r="1">
      <x v="22"/>
      <x v="160"/>
    </i>
    <i r="1">
      <x v="34"/>
      <x v="160"/>
    </i>
    <i r="1">
      <x v="42"/>
      <x v="160"/>
    </i>
    <i r="1">
      <x v="44"/>
      <x v="160"/>
    </i>
    <i r="1">
      <x v="47"/>
      <x v="160"/>
    </i>
    <i r="1">
      <x v="48"/>
      <x v="160"/>
    </i>
    <i r="1">
      <x v="50"/>
      <x v="160"/>
    </i>
    <i r="1">
      <x v="60"/>
      <x v="160"/>
    </i>
    <i r="1">
      <x v="61"/>
      <x v="160"/>
    </i>
    <i r="1">
      <x v="65"/>
      <x v="160"/>
    </i>
    <i r="1">
      <x v="70"/>
      <x v="160"/>
    </i>
    <i r="1">
      <x v="75"/>
      <x v="160"/>
    </i>
    <i r="1">
      <x v="78"/>
      <x v="160"/>
    </i>
    <i r="1">
      <x v="91"/>
      <x v="160"/>
    </i>
    <i r="1">
      <x v="92"/>
      <x v="160"/>
    </i>
    <i r="1">
      <x v="111"/>
      <x v="160"/>
    </i>
    <i r="1">
      <x v="114"/>
      <x v="160"/>
    </i>
    <i r="1">
      <x v="115"/>
      <x v="160"/>
    </i>
    <i r="1">
      <x v="135"/>
      <x v="162"/>
    </i>
    <i r="2">
      <x v="164"/>
    </i>
    <i r="1">
      <x v="139"/>
      <x v="160"/>
    </i>
    <i>
      <x v="132"/>
      <x v="9"/>
      <x v="161"/>
    </i>
    <i r="1">
      <x v="47"/>
      <x v="161"/>
    </i>
    <i r="1">
      <x v="55"/>
      <x v="161"/>
    </i>
    <i r="1">
      <x v="92"/>
      <x v="161"/>
    </i>
    <i>
      <x v="133"/>
      <x v="108"/>
      <x v="172"/>
    </i>
    <i r="1">
      <x v="129"/>
      <x v="171"/>
    </i>
    <i r="1">
      <x v="135"/>
      <x v="171"/>
    </i>
    <i>
      <x v="134"/>
      <x v="26"/>
      <x v="171"/>
    </i>
    <i r="1">
      <x v="163"/>
      <x v="171"/>
    </i>
    <i>
      <x v="135"/>
      <x v="121"/>
      <x v="43"/>
    </i>
    <i>
      <x v="136"/>
      <x v="109"/>
      <x v="113"/>
    </i>
    <i r="1">
      <x v="121"/>
      <x v="91"/>
    </i>
    <i>
      <x v="137"/>
      <x v="41"/>
      <x v="150"/>
    </i>
    <i r="1">
      <x v="109"/>
      <x v="150"/>
    </i>
    <i r="1">
      <x v="121"/>
      <x v="147"/>
    </i>
    <i>
      <x v="138"/>
      <x v="6"/>
      <x v="59"/>
    </i>
    <i r="2">
      <x v="68"/>
    </i>
    <i r="1">
      <x v="8"/>
      <x v="59"/>
    </i>
    <i r="1">
      <x v="15"/>
      <x v="59"/>
    </i>
    <i r="1">
      <x v="132"/>
      <x v="59"/>
    </i>
    <i>
      <x v="139"/>
      <x v="90"/>
      <x v="117"/>
    </i>
    <i>
      <x v="140"/>
      <x v="35"/>
      <x v="13"/>
    </i>
    <i>
      <x v="141"/>
      <x/>
      <x v="12"/>
    </i>
    <i r="1">
      <x v="35"/>
      <x v="13"/>
    </i>
    <i r="1">
      <x v="36"/>
      <x v="12"/>
    </i>
    <i r="2">
      <x v="14"/>
    </i>
    <i r="1">
      <x v="38"/>
      <x v="14"/>
    </i>
    <i r="1">
      <x v="44"/>
      <x v="12"/>
    </i>
    <i r="1">
      <x v="52"/>
      <x v="14"/>
    </i>
    <i r="1">
      <x v="55"/>
      <x v="13"/>
    </i>
    <i r="1">
      <x v="62"/>
      <x v="13"/>
    </i>
    <i r="2">
      <x v="16"/>
    </i>
    <i r="1">
      <x v="71"/>
      <x v="13"/>
    </i>
    <i r="1">
      <x v="75"/>
      <x v="13"/>
    </i>
    <i r="2">
      <x v="14"/>
    </i>
    <i r="1">
      <x v="87"/>
      <x v="12"/>
    </i>
    <i r="2">
      <x v="14"/>
    </i>
    <i r="1">
      <x v="90"/>
      <x v="12"/>
    </i>
    <i r="2">
      <x v="13"/>
    </i>
    <i r="1">
      <x v="97"/>
      <x v="13"/>
    </i>
    <i r="1">
      <x v="98"/>
      <x v="12"/>
    </i>
    <i r="1">
      <x v="128"/>
      <x v="12"/>
    </i>
    <i r="1">
      <x v="140"/>
      <x v="13"/>
    </i>
    <i>
      <x v="142"/>
      <x v="24"/>
      <x v="53"/>
    </i>
    <i r="1">
      <x v="36"/>
      <x v="50"/>
    </i>
    <i r="2">
      <x v="53"/>
    </i>
    <i r="2">
      <x v="57"/>
    </i>
    <i r="1">
      <x v="66"/>
      <x v="50"/>
    </i>
    <i r="2">
      <x v="53"/>
    </i>
    <i r="1">
      <x v="71"/>
      <x v="50"/>
    </i>
    <i r="1">
      <x v="74"/>
      <x v="52"/>
    </i>
    <i r="1">
      <x v="75"/>
      <x v="50"/>
    </i>
    <i r="1">
      <x v="85"/>
      <x v="53"/>
    </i>
    <i r="1">
      <x v="135"/>
      <x v="43"/>
    </i>
    <i>
      <x v="143"/>
      <x v="46"/>
      <x v="118"/>
    </i>
    <i r="1">
      <x v="90"/>
      <x v="119"/>
    </i>
    <i r="1">
      <x v="141"/>
      <x v="118"/>
    </i>
    <i>
      <x v="144"/>
      <x v="16"/>
      <x v="137"/>
    </i>
    <i r="1">
      <x v="17"/>
      <x v="137"/>
    </i>
    <i r="1">
      <x v="18"/>
      <x v="137"/>
    </i>
    <i r="1">
      <x v="19"/>
      <x v="137"/>
    </i>
    <i r="1">
      <x v="20"/>
      <x v="137"/>
    </i>
    <i r="2">
      <x v="140"/>
    </i>
    <i r="1">
      <x v="21"/>
      <x v="137"/>
    </i>
    <i r="2">
      <x v="140"/>
    </i>
    <i r="1">
      <x v="90"/>
      <x v="137"/>
    </i>
    <i>
      <x v="145"/>
      <x v="8"/>
      <x v="20"/>
    </i>
    <i>
      <x v="146"/>
      <x v="30"/>
      <x v="114"/>
    </i>
    <i>
      <x v="147"/>
      <x v="53"/>
      <x v="143"/>
    </i>
    <i>
      <x v="148"/>
      <x v="90"/>
      <x v="12"/>
    </i>
    <i>
      <x v="149"/>
      <x v="90"/>
      <x v="50"/>
    </i>
    <i>
      <x v="150"/>
      <x v="104"/>
      <x v="184"/>
    </i>
    <i r="1">
      <x v="113"/>
      <x v="43"/>
    </i>
    <i r="1">
      <x v="142"/>
      <x v="43"/>
    </i>
    <i>
      <x v="151"/>
      <x v="2"/>
      <x v="43"/>
    </i>
    <i>
      <x v="152"/>
      <x v="104"/>
      <x v="184"/>
    </i>
    <i r="1">
      <x v="113"/>
      <x v="59"/>
    </i>
    <i>
      <x v="153"/>
      <x v="2"/>
      <x v="43"/>
    </i>
    <i>
      <x v="154"/>
      <x v="90"/>
      <x v="12"/>
    </i>
    <i>
      <x v="155"/>
      <x v="8"/>
      <x v="6"/>
    </i>
    <i>
      <x v="156"/>
      <x v="8"/>
      <x v="8"/>
    </i>
    <i>
      <x v="157"/>
      <x v="90"/>
      <x v="13"/>
    </i>
    <i>
      <x v="158"/>
      <x v="8"/>
      <x v="35"/>
    </i>
    <i r="2">
      <x v="39"/>
    </i>
    <i r="2">
      <x v="41"/>
    </i>
    <i r="1">
      <x v="19"/>
      <x v="35"/>
    </i>
    <i r="2">
      <x v="36"/>
    </i>
    <i r="2">
      <x v="43"/>
    </i>
    <i r="1">
      <x v="23"/>
      <x v="39"/>
    </i>
    <i r="1">
      <x v="25"/>
      <x v="39"/>
    </i>
    <i r="1">
      <x v="30"/>
      <x v="35"/>
    </i>
    <i r="2">
      <x v="41"/>
    </i>
    <i r="1">
      <x v="36"/>
      <x v="41"/>
    </i>
    <i r="1">
      <x v="37"/>
      <x v="37"/>
    </i>
    <i r="1">
      <x v="39"/>
      <x v="35"/>
    </i>
    <i r="1">
      <x v="40"/>
      <x v="39"/>
    </i>
    <i r="1">
      <x v="41"/>
      <x v="41"/>
    </i>
    <i r="2">
      <x v="43"/>
    </i>
    <i r="1">
      <x v="44"/>
      <x v="39"/>
    </i>
    <i r="1">
      <x v="59"/>
      <x v="35"/>
    </i>
    <i r="1">
      <x v="63"/>
      <x v="35"/>
    </i>
    <i r="1">
      <x v="67"/>
      <x v="35"/>
    </i>
    <i r="1">
      <x v="69"/>
      <x v="62"/>
    </i>
    <i r="1">
      <x v="71"/>
      <x v="35"/>
    </i>
    <i r="2">
      <x v="39"/>
    </i>
    <i r="1">
      <x v="72"/>
      <x v="43"/>
    </i>
    <i r="1">
      <x v="74"/>
      <x v="41"/>
    </i>
    <i r="1">
      <x v="75"/>
      <x v="35"/>
    </i>
    <i r="2">
      <x v="41"/>
    </i>
    <i r="1">
      <x v="77"/>
      <x v="33"/>
    </i>
    <i r="2">
      <x v="35"/>
    </i>
    <i r="2">
      <x v="37"/>
    </i>
    <i r="1">
      <x v="87"/>
      <x v="43"/>
    </i>
    <i r="1">
      <x v="90"/>
      <x v="39"/>
    </i>
    <i r="1">
      <x v="97"/>
      <x v="28"/>
    </i>
    <i r="1">
      <x v="109"/>
      <x v="35"/>
    </i>
    <i r="2">
      <x v="37"/>
    </i>
    <i r="2">
      <x v="39"/>
    </i>
    <i r="2">
      <x v="43"/>
    </i>
    <i r="1">
      <x v="110"/>
      <x v="39"/>
    </i>
    <i r="1">
      <x v="118"/>
      <x v="35"/>
    </i>
    <i r="1">
      <x v="119"/>
      <x v="35"/>
    </i>
    <i r="2">
      <x v="43"/>
    </i>
    <i r="1">
      <x v="121"/>
      <x v="32"/>
    </i>
    <i r="2">
      <x v="33"/>
    </i>
    <i r="1">
      <x v="127"/>
      <x v="39"/>
    </i>
    <i r="1">
      <x v="128"/>
      <x v="35"/>
    </i>
    <i r="1">
      <x v="130"/>
      <x v="35"/>
    </i>
    <i r="1">
      <x v="137"/>
      <x v="35"/>
    </i>
    <i r="1">
      <x v="138"/>
      <x v="39"/>
    </i>
    <i>
      <x v="159"/>
      <x v="109"/>
      <x v="136"/>
    </i>
    <i>
      <x v="160"/>
      <x v="1"/>
      <x v="59"/>
    </i>
    <i r="1">
      <x v="8"/>
      <x v="59"/>
    </i>
    <i r="1">
      <x v="15"/>
      <x v="59"/>
    </i>
    <i r="1">
      <x v="19"/>
      <x v="59"/>
    </i>
    <i r="1">
      <x v="28"/>
      <x v="59"/>
    </i>
    <i r="2">
      <x v="66"/>
    </i>
    <i r="2">
      <x v="67"/>
    </i>
    <i r="2">
      <x v="69"/>
    </i>
    <i r="2">
      <x v="73"/>
    </i>
    <i r="1">
      <x v="39"/>
      <x v="59"/>
    </i>
    <i r="1">
      <x v="58"/>
      <x v="59"/>
    </i>
    <i r="1">
      <x v="67"/>
      <x v="59"/>
    </i>
    <i r="1">
      <x v="72"/>
      <x v="59"/>
    </i>
    <i r="1">
      <x v="75"/>
      <x v="59"/>
    </i>
    <i r="1">
      <x v="77"/>
      <x v="59"/>
    </i>
    <i r="1">
      <x v="79"/>
      <x v="59"/>
    </i>
    <i r="1">
      <x v="90"/>
      <x v="87"/>
    </i>
    <i r="1">
      <x v="91"/>
      <x v="59"/>
    </i>
    <i r="1">
      <x v="100"/>
      <x v="59"/>
    </i>
    <i r="1">
      <x v="107"/>
      <x v="61"/>
    </i>
    <i r="1">
      <x v="116"/>
      <x v="59"/>
    </i>
    <i r="1">
      <x v="117"/>
      <x v="59"/>
    </i>
    <i r="1">
      <x v="118"/>
      <x v="106"/>
    </i>
    <i r="2">
      <x v="111"/>
    </i>
    <i r="2">
      <x v="114"/>
    </i>
    <i r="1">
      <x v="138"/>
      <x v="59"/>
    </i>
    <i r="2">
      <x v="112"/>
    </i>
    <i r="2">
      <x v="113"/>
    </i>
    <i>
      <x v="161"/>
      <x v="75"/>
      <x v="151"/>
    </i>
    <i>
      <x v="162"/>
      <x/>
      <x v="137"/>
    </i>
    <i r="1">
      <x v="8"/>
      <x v="132"/>
    </i>
    <i r="1">
      <x v="14"/>
      <x v="135"/>
    </i>
    <i r="1">
      <x v="28"/>
      <x v="135"/>
    </i>
    <i r="1">
      <x v="77"/>
      <x v="135"/>
    </i>
    <i r="1">
      <x v="90"/>
      <x v="138"/>
    </i>
    <i r="1">
      <x v="107"/>
      <x v="133"/>
    </i>
    <i r="2">
      <x v="135"/>
    </i>
    <i r="2">
      <x v="136"/>
    </i>
    <i r="1">
      <x v="129"/>
      <x v="138"/>
    </i>
    <i>
      <x v="164"/>
      <x v="14"/>
      <x v="150"/>
    </i>
    <i r="1">
      <x v="16"/>
      <x v="143"/>
    </i>
    <i r="1">
      <x v="17"/>
      <x v="151"/>
    </i>
    <i r="1">
      <x v="18"/>
      <x v="143"/>
    </i>
    <i r="1">
      <x v="19"/>
      <x v="143"/>
    </i>
    <i r="1">
      <x v="21"/>
      <x v="143"/>
    </i>
    <i r="1">
      <x v="23"/>
      <x v="151"/>
    </i>
    <i r="1">
      <x v="40"/>
      <x v="151"/>
    </i>
    <i r="1">
      <x v="57"/>
      <x v="149"/>
    </i>
    <i r="1">
      <x v="59"/>
      <x v="151"/>
    </i>
    <i r="1">
      <x v="72"/>
      <x v="142"/>
    </i>
    <i r="1">
      <x v="77"/>
      <x v="143"/>
    </i>
    <i r="1">
      <x v="88"/>
      <x v="149"/>
    </i>
    <i r="1">
      <x v="107"/>
      <x v="151"/>
    </i>
    <i r="1">
      <x v="108"/>
      <x v="151"/>
    </i>
    <i r="1">
      <x v="122"/>
      <x v="151"/>
    </i>
    <i r="1">
      <x v="131"/>
      <x v="149"/>
    </i>
    <i r="1">
      <x v="138"/>
      <x v="143"/>
    </i>
    <i r="1">
      <x v="144"/>
      <x v="159"/>
    </i>
    <i>
      <x v="165"/>
      <x v="3"/>
      <x v="131"/>
    </i>
    <i r="1">
      <x v="67"/>
      <x v="131"/>
    </i>
    <i r="2">
      <x v="182"/>
    </i>
    <i r="1">
      <x v="109"/>
      <x v="123"/>
    </i>
    <i>
      <x v="167"/>
      <x v="64"/>
      <x v="166"/>
    </i>
    <i>
      <x v="168"/>
      <x v="8"/>
      <x v="6"/>
    </i>
    <i r="2">
      <x v="7"/>
    </i>
    <i r="1">
      <x v="50"/>
      <x v="6"/>
    </i>
    <i r="1">
      <x v="51"/>
      <x v="9"/>
    </i>
    <i r="1">
      <x v="72"/>
      <x v="6"/>
    </i>
    <i r="1">
      <x v="90"/>
      <x v="6"/>
    </i>
    <i r="1">
      <x v="99"/>
      <x v="6"/>
    </i>
    <i r="1">
      <x v="126"/>
      <x v="6"/>
    </i>
    <i>
      <x v="169"/>
      <x v="8"/>
      <x v="21"/>
    </i>
    <i r="2">
      <x v="23"/>
    </i>
    <i r="2">
      <x v="25"/>
    </i>
    <i r="1">
      <x v="11"/>
      <x v="21"/>
    </i>
    <i r="2">
      <x v="23"/>
    </i>
    <i r="1">
      <x v="32"/>
      <x v="21"/>
    </i>
    <i r="2">
      <x v="25"/>
    </i>
    <i r="2">
      <x v="29"/>
    </i>
    <i r="1">
      <x v="51"/>
      <x v="35"/>
    </i>
    <i r="1">
      <x v="57"/>
      <x v="21"/>
    </i>
    <i r="2">
      <x v="29"/>
    </i>
    <i r="2">
      <x v="30"/>
    </i>
    <i r="1">
      <x v="82"/>
      <x v="33"/>
    </i>
    <i r="1">
      <x v="85"/>
      <x v="25"/>
    </i>
    <i r="1">
      <x v="90"/>
      <x v="21"/>
    </i>
    <i r="2">
      <x v="23"/>
    </i>
    <i r="1">
      <x v="107"/>
      <x v="22"/>
    </i>
    <i r="2">
      <x v="25"/>
    </i>
    <i r="1">
      <x v="113"/>
      <x v="23"/>
    </i>
    <i r="1">
      <x v="126"/>
      <x v="21"/>
    </i>
    <i r="2">
      <x v="23"/>
    </i>
    <i r="1">
      <x v="133"/>
      <x v="21"/>
    </i>
    <i r="1">
      <x v="136"/>
      <x v="21"/>
    </i>
    <i r="1">
      <x v="139"/>
      <x v="23"/>
    </i>
    <i r="1">
      <x v="147"/>
      <x v="21"/>
    </i>
    <i>
      <x v="170"/>
      <x v="8"/>
      <x v="74"/>
    </i>
    <i r="1">
      <x v="12"/>
      <x v="74"/>
    </i>
    <i r="1">
      <x v="13"/>
      <x v="74"/>
    </i>
    <i r="1">
      <x v="23"/>
      <x v="74"/>
    </i>
    <i r="1">
      <x v="107"/>
      <x v="70"/>
    </i>
    <i r="2">
      <x v="74"/>
    </i>
    <i r="2">
      <x v="76"/>
    </i>
    <i r="1">
      <x v="136"/>
      <x v="76"/>
    </i>
    <i r="1">
      <x v="139"/>
      <x v="74"/>
    </i>
    <i r="1">
      <x v="142"/>
      <x v="74"/>
    </i>
    <i r="1">
      <x v="147"/>
      <x v="76"/>
    </i>
    <i r="1">
      <x v="148"/>
      <x v="76"/>
    </i>
    <i>
      <x v="171"/>
      <x v="3"/>
      <x v="130"/>
    </i>
    <i r="1">
      <x v="27"/>
      <x v="131"/>
    </i>
    <i r="1">
      <x v="64"/>
      <x v="133"/>
    </i>
    <i r="1">
      <x v="67"/>
      <x v="130"/>
    </i>
    <i r="2">
      <x v="131"/>
    </i>
    <i r="2">
      <x v="182"/>
    </i>
    <i r="1">
      <x v="109"/>
      <x v="121"/>
    </i>
    <i r="2">
      <x v="122"/>
    </i>
    <i r="2">
      <x v="123"/>
    </i>
    <i r="2">
      <x v="125"/>
    </i>
    <i r="1">
      <x v="131"/>
      <x v="129"/>
    </i>
    <i r="1">
      <x v="132"/>
      <x v="121"/>
    </i>
    <i>
      <x v="172"/>
      <x v="49"/>
      <x v="166"/>
    </i>
    <i>
      <x v="173"/>
      <x v="15"/>
      <x v="26"/>
    </i>
    <i>
      <x v="174"/>
      <x v="15"/>
      <x v="111"/>
    </i>
    <i>
      <x v="175"/>
      <x v="90"/>
      <x v="12"/>
    </i>
    <i>
      <x v="176"/>
      <x v="53"/>
      <x v="111"/>
    </i>
    <i r="1">
      <x v="162"/>
      <x v="111"/>
    </i>
    <i>
      <x v="177"/>
      <x v="27"/>
      <x v="20"/>
    </i>
    <i>
      <x v="178"/>
      <x v="27"/>
      <x v="20"/>
    </i>
    <i>
      <x v="179"/>
      <x/>
      <x v="2"/>
    </i>
    <i r="2">
      <x v="4"/>
    </i>
    <i r="1">
      <x v="2"/>
      <x v="2"/>
    </i>
    <i r="1">
      <x v="8"/>
      <x v="6"/>
    </i>
    <i r="1">
      <x v="9"/>
      <x v="6"/>
    </i>
    <i r="1">
      <x v="19"/>
      <x v="2"/>
    </i>
    <i r="1">
      <x v="30"/>
      <x v="6"/>
    </i>
    <i r="2">
      <x v="7"/>
    </i>
    <i r="1">
      <x v="31"/>
      <x v="6"/>
    </i>
    <i r="1">
      <x v="37"/>
      <x v="2"/>
    </i>
    <i r="1">
      <x v="44"/>
      <x v="2"/>
    </i>
    <i r="2">
      <x v="4"/>
    </i>
    <i r="1">
      <x v="53"/>
      <x v="4"/>
    </i>
    <i r="1">
      <x v="57"/>
      <x v="4"/>
    </i>
    <i r="1">
      <x v="59"/>
      <x v="4"/>
    </i>
    <i r="1">
      <x v="65"/>
      <x v="2"/>
    </i>
    <i r="2">
      <x v="6"/>
    </i>
    <i r="1">
      <x v="71"/>
      <x v="2"/>
    </i>
    <i r="1">
      <x v="72"/>
      <x v="2"/>
    </i>
    <i r="2">
      <x v="7"/>
    </i>
    <i r="1">
      <x v="76"/>
      <x v="2"/>
    </i>
    <i r="1">
      <x v="77"/>
      <x v="2"/>
    </i>
    <i r="2">
      <x v="3"/>
    </i>
    <i r="2">
      <x v="4"/>
    </i>
    <i r="2">
      <x v="7"/>
    </i>
    <i r="1">
      <x v="79"/>
      <x v="2"/>
    </i>
    <i r="1">
      <x v="81"/>
      <x v="2"/>
    </i>
    <i r="2">
      <x v="4"/>
    </i>
    <i r="2">
      <x v="7"/>
    </i>
    <i r="1">
      <x v="88"/>
      <x v="2"/>
    </i>
    <i r="1">
      <x v="90"/>
      <x v="2"/>
    </i>
    <i r="1">
      <x v="91"/>
      <x v="2"/>
    </i>
    <i r="2">
      <x v="4"/>
    </i>
    <i r="1">
      <x v="98"/>
      <x v="2"/>
    </i>
    <i r="2">
      <x v="4"/>
    </i>
    <i r="1">
      <x v="99"/>
      <x v="2"/>
    </i>
    <i r="1">
      <x v="102"/>
      <x v="4"/>
    </i>
    <i r="1">
      <x v="109"/>
      <x v="2"/>
    </i>
    <i r="2">
      <x v="4"/>
    </i>
    <i r="2">
      <x v="6"/>
    </i>
    <i r="1">
      <x v="121"/>
      <x v="2"/>
    </i>
    <i r="1">
      <x v="124"/>
      <x v="2"/>
    </i>
    <i r="2">
      <x v="4"/>
    </i>
    <i r="1">
      <x v="129"/>
      <x v="6"/>
    </i>
    <i r="1">
      <x v="132"/>
      <x v="2"/>
    </i>
    <i r="2">
      <x v="4"/>
    </i>
    <i r="2">
      <x v="5"/>
    </i>
    <i r="1">
      <x v="137"/>
      <x v="4"/>
    </i>
    <i r="1">
      <x v="142"/>
      <x v="2"/>
    </i>
    <i r="1">
      <x v="146"/>
      <x v="2"/>
    </i>
    <i r="1">
      <x v="159"/>
      <x v="6"/>
    </i>
    <i>
      <x v="180"/>
      <x v="5"/>
      <x v="8"/>
    </i>
    <i r="1">
      <x v="35"/>
      <x v="144"/>
    </i>
    <i r="1">
      <x v="44"/>
      <x v="8"/>
    </i>
    <i r="1">
      <x v="80"/>
      <x v="8"/>
    </i>
    <i r="1">
      <x v="99"/>
      <x v="184"/>
    </i>
    <i r="1">
      <x v="104"/>
      <x v="184"/>
    </i>
    <i r="1">
      <x v="112"/>
      <x v="8"/>
    </i>
    <i r="1">
      <x v="121"/>
      <x v="8"/>
    </i>
    <i>
      <x v="181"/>
      <x v="19"/>
      <x v="20"/>
    </i>
    <i r="1">
      <x v="23"/>
      <x v="16"/>
    </i>
    <i r="2">
      <x v="20"/>
    </i>
    <i r="1">
      <x v="24"/>
      <x v="16"/>
    </i>
    <i r="2">
      <x v="17"/>
    </i>
    <i r="1">
      <x v="27"/>
      <x v="20"/>
    </i>
    <i r="1">
      <x v="30"/>
      <x v="16"/>
    </i>
    <i r="2">
      <x v="20"/>
    </i>
    <i r="1">
      <x v="31"/>
      <x v="16"/>
    </i>
    <i r="1">
      <x v="32"/>
      <x v="16"/>
    </i>
    <i r="2">
      <x v="20"/>
    </i>
    <i r="1">
      <x v="36"/>
      <x v="16"/>
    </i>
    <i r="1">
      <x v="37"/>
      <x v="16"/>
    </i>
    <i r="1">
      <x v="39"/>
      <x v="16"/>
    </i>
    <i r="2">
      <x v="20"/>
    </i>
    <i r="1">
      <x v="41"/>
      <x v="16"/>
    </i>
    <i r="2">
      <x v="17"/>
    </i>
    <i r="1">
      <x v="48"/>
      <x v="16"/>
    </i>
    <i r="1">
      <x v="50"/>
      <x v="16"/>
    </i>
    <i r="1">
      <x v="55"/>
      <x v="16"/>
    </i>
    <i r="1">
      <x v="56"/>
      <x v="16"/>
    </i>
    <i r="1">
      <x v="59"/>
      <x v="16"/>
    </i>
    <i r="1">
      <x v="63"/>
      <x v="20"/>
    </i>
    <i r="2">
      <x v="21"/>
    </i>
    <i r="1">
      <x v="65"/>
      <x v="17"/>
    </i>
    <i r="2">
      <x v="20"/>
    </i>
    <i r="1">
      <x v="66"/>
      <x v="20"/>
    </i>
    <i r="1">
      <x v="67"/>
      <x v="16"/>
    </i>
    <i r="2">
      <x v="17"/>
    </i>
    <i r="1">
      <x v="69"/>
      <x v="39"/>
    </i>
    <i r="1">
      <x v="71"/>
      <x v="16"/>
    </i>
    <i r="2">
      <x v="17"/>
    </i>
    <i r="2">
      <x v="20"/>
    </i>
    <i r="1">
      <x v="72"/>
      <x v="16"/>
    </i>
    <i r="1">
      <x v="73"/>
      <x v="17"/>
    </i>
    <i r="2">
      <x v="18"/>
    </i>
    <i r="1">
      <x v="75"/>
      <x v="16"/>
    </i>
    <i r="1">
      <x v="77"/>
      <x v="16"/>
    </i>
    <i r="2">
      <x v="17"/>
    </i>
    <i r="1">
      <x v="79"/>
      <x v="13"/>
    </i>
    <i r="2">
      <x v="16"/>
    </i>
    <i r="2">
      <x v="186"/>
    </i>
    <i r="2">
      <x v="187"/>
    </i>
    <i r="1">
      <x v="80"/>
      <x v="16"/>
    </i>
    <i r="2">
      <x v="17"/>
    </i>
    <i r="1">
      <x v="81"/>
      <x v="16"/>
    </i>
    <i r="1">
      <x v="83"/>
      <x v="16"/>
    </i>
    <i r="2">
      <x v="17"/>
    </i>
    <i r="1">
      <x v="85"/>
      <x v="17"/>
    </i>
    <i r="1">
      <x v="86"/>
      <x v="16"/>
    </i>
    <i r="1">
      <x v="87"/>
      <x v="20"/>
    </i>
    <i r="1">
      <x v="90"/>
      <x v="16"/>
    </i>
    <i r="2">
      <x v="20"/>
    </i>
    <i r="1">
      <x v="91"/>
      <x v="16"/>
    </i>
    <i r="1">
      <x v="98"/>
      <x v="16"/>
    </i>
    <i r="2">
      <x v="17"/>
    </i>
    <i r="1">
      <x v="99"/>
      <x v="13"/>
    </i>
    <i r="2">
      <x v="17"/>
    </i>
    <i r="1">
      <x v="100"/>
      <x v="20"/>
    </i>
    <i r="2">
      <x v="21"/>
    </i>
    <i r="1">
      <x v="105"/>
      <x v="16"/>
    </i>
    <i r="2">
      <x v="17"/>
    </i>
    <i r="2">
      <x v="20"/>
    </i>
    <i r="1">
      <x v="107"/>
      <x v="17"/>
    </i>
    <i r="2">
      <x v="20"/>
    </i>
    <i r="2">
      <x v="21"/>
    </i>
    <i r="1">
      <x v="108"/>
      <x v="13"/>
    </i>
    <i r="1">
      <x v="110"/>
      <x v="20"/>
    </i>
    <i r="1">
      <x v="112"/>
      <x v="16"/>
    </i>
    <i r="2">
      <x v="20"/>
    </i>
    <i r="1">
      <x v="113"/>
      <x v="16"/>
    </i>
    <i r="1">
      <x v="115"/>
      <x v="16"/>
    </i>
    <i r="1">
      <x v="128"/>
      <x v="20"/>
    </i>
    <i r="1">
      <x v="129"/>
      <x v="17"/>
    </i>
    <i r="2">
      <x v="20"/>
    </i>
    <i r="1">
      <x v="132"/>
      <x v="16"/>
    </i>
    <i r="2">
      <x v="17"/>
    </i>
    <i r="2">
      <x v="20"/>
    </i>
    <i r="1">
      <x v="133"/>
      <x v="16"/>
    </i>
    <i r="1">
      <x v="137"/>
      <x v="16"/>
    </i>
    <i r="1">
      <x v="138"/>
      <x v="16"/>
    </i>
    <i>
      <x v="182"/>
      <x v="15"/>
      <x v="16"/>
    </i>
    <i r="1">
      <x v="36"/>
      <x v="16"/>
    </i>
    <i r="1">
      <x v="44"/>
      <x v="16"/>
    </i>
    <i r="1">
      <x v="63"/>
      <x v="16"/>
    </i>
    <i r="1">
      <x v="104"/>
      <x v="12"/>
    </i>
    <i r="1">
      <x v="109"/>
      <x v="16"/>
    </i>
    <i r="1">
      <x v="117"/>
      <x v="15"/>
    </i>
    <i>
      <x v="183"/>
      <x v="9"/>
      <x v="62"/>
    </i>
    <i r="1">
      <x v="11"/>
      <x v="43"/>
    </i>
    <i r="1">
      <x v="15"/>
      <x v="43"/>
    </i>
    <i r="1">
      <x v="22"/>
      <x v="59"/>
    </i>
    <i r="1">
      <x v="34"/>
      <x v="62"/>
    </i>
    <i r="1">
      <x v="36"/>
      <x v="43"/>
    </i>
    <i r="1">
      <x v="50"/>
      <x v="184"/>
    </i>
    <i r="1">
      <x v="56"/>
      <x v="43"/>
    </i>
    <i r="1">
      <x v="73"/>
      <x v="43"/>
    </i>
    <i r="1">
      <x v="77"/>
      <x v="72"/>
    </i>
    <i r="1">
      <x v="90"/>
      <x v="43"/>
    </i>
    <i r="2">
      <x v="81"/>
    </i>
    <i r="1">
      <x v="95"/>
      <x v="43"/>
    </i>
    <i r="1">
      <x v="105"/>
      <x v="53"/>
    </i>
    <i r="1">
      <x v="113"/>
      <x v="43"/>
    </i>
    <i r="1">
      <x v="128"/>
      <x v="43"/>
    </i>
    <i r="1">
      <x v="136"/>
      <x v="59"/>
    </i>
    <i r="1">
      <x v="138"/>
      <x v="43"/>
    </i>
    <i>
      <x v="184"/>
      <x v="72"/>
      <x v="128"/>
    </i>
    <i>
      <x v="185"/>
      <x v="8"/>
      <x v="9"/>
    </i>
    <i>
      <x v="186"/>
      <x v="8"/>
      <x v="76"/>
    </i>
    <i r="1">
      <x v="90"/>
      <x v="76"/>
    </i>
    <i>
      <x v="187"/>
      <x v="19"/>
      <x v="59"/>
    </i>
    <i r="2">
      <x v="72"/>
    </i>
    <i r="2">
      <x v="191"/>
    </i>
    <i r="1">
      <x v="23"/>
      <x v="59"/>
    </i>
    <i r="1">
      <x v="30"/>
      <x v="72"/>
    </i>
    <i r="1">
      <x v="66"/>
      <x v="72"/>
    </i>
    <i r="1">
      <x v="74"/>
      <x v="72"/>
    </i>
    <i r="1">
      <x v="96"/>
      <x v="59"/>
    </i>
    <i r="1">
      <x v="105"/>
      <x v="72"/>
    </i>
    <i r="1">
      <x v="124"/>
      <x v="59"/>
    </i>
    <i>
      <x v="188"/>
      <x v="30"/>
      <x v="78"/>
    </i>
    <i r="1">
      <x v="67"/>
      <x v="78"/>
    </i>
    <i r="2">
      <x v="81"/>
    </i>
    <i r="2">
      <x v="87"/>
    </i>
    <i r="2">
      <x v="178"/>
    </i>
    <i>
      <x v="189"/>
      <x v="30"/>
      <x v="113"/>
    </i>
    <i>
      <x v="190"/>
      <x v="101"/>
      <x v="126"/>
    </i>
    <i>
      <x v="191"/>
      <x v="101"/>
      <x v="156"/>
    </i>
    <i>
      <x v="192"/>
      <x v="151"/>
      <x v="184"/>
    </i>
    <i>
      <x v="194"/>
      <x v="6"/>
      <x v="95"/>
    </i>
    <i r="1">
      <x v="77"/>
      <x v="95"/>
    </i>
    <i r="2">
      <x v="99"/>
    </i>
    <i r="2">
      <x v="106"/>
    </i>
    <i>
      <x v="195"/>
      <x v="8"/>
      <x v="33"/>
    </i>
    <i r="1">
      <x v="160"/>
      <x v="33"/>
    </i>
    <i t="grand">
      <x/>
    </i>
  </rowItems>
  <colFields count="2">
    <field x="16"/>
    <field x="-2"/>
  </colFields>
  <colItems count="14">
    <i>
      <x/>
      <x/>
    </i>
    <i r="1" i="1">
      <x v="1"/>
    </i>
    <i>
      <x v="1"/>
      <x/>
    </i>
    <i r="1" i="1">
      <x v="1"/>
    </i>
    <i>
      <x v="2"/>
      <x/>
    </i>
    <i r="1" i="1">
      <x v="1"/>
    </i>
    <i>
      <x v="3"/>
      <x/>
    </i>
    <i r="1" i="1">
      <x v="1"/>
    </i>
    <i>
      <x v="4"/>
      <x/>
    </i>
    <i r="1" i="1">
      <x v="1"/>
    </i>
    <i>
      <x v="5"/>
      <x/>
    </i>
    <i r="1" i="1">
      <x v="1"/>
    </i>
    <i t="grand">
      <x/>
    </i>
    <i t="grand" i="1">
      <x/>
    </i>
  </colItems>
  <dataFields count="2">
    <dataField name="Sum of Remaining Qty" fld="33" baseField="0" baseItem="0"/>
    <dataField name="Sum of Remaining amount" fld="34" baseField="4" baseItem="0"/>
  </dataFields>
  <formats count="1">
    <format dxfId="68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name="PivotTable1" cacheId="2" applyNumberFormats="0" applyBorderFormats="0" applyFontFormats="0" applyPatternFormats="0" applyAlignmentFormats="0" applyWidthHeightFormats="1" dataCaption="Values" updatedVersion="6" minRefreshableVersion="3" useAutoFormatting="1" itemPrintTitles="1" createdVersion="6" indent="0" compact="0" compactData="0" gridDropZones="1" multipleFieldFilters="0">
  <location ref="A3:G574" firstHeaderRow="1" firstDataRow="2" firstDataCol="5"/>
  <pivotFields count="36">
    <pivotField compact="0" outline="0" subtotalTop="0" showAll="0"/>
    <pivotField compact="0" outline="0" subtotalTop="0" showAll="0"/>
    <pivotField compact="0" outline="0" subtotalTop="0" showAll="0"/>
    <pivotField compact="0" outline="0" subtotalTop="0" showAll="0"/>
    <pivotField axis="axisRow" compact="0" outline="0" subtotalTop="0" showAll="0">
      <items count="16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t="default"/>
      </items>
    </pivotField>
    <pivotField axis="axisRow" compact="0" outline="0" subtotalTop="0" showAll="0" defaultSubtotal="0">
      <items count="195">
        <item x="56"/>
        <item x="138"/>
        <item x="53"/>
        <item x="55"/>
        <item x="54"/>
        <item x="118"/>
        <item x="119"/>
        <item x="182"/>
        <item x="9"/>
        <item x="181"/>
        <item x="64"/>
        <item x="63"/>
        <item x="145"/>
        <item x="13"/>
        <item x="81"/>
        <item x="19"/>
        <item x="137"/>
        <item x="25"/>
        <item x="142"/>
        <item x="104"/>
        <item x="185"/>
        <item x="186"/>
        <item x="52"/>
        <item x="128"/>
        <item x="166"/>
        <item x="127"/>
        <item x="129"/>
        <item x="180"/>
        <item x="144"/>
        <item x="179"/>
        <item x="164"/>
        <item x="165"/>
        <item x="51"/>
        <item x="141"/>
        <item x="86"/>
        <item x="6"/>
        <item x="8"/>
        <item x="168"/>
        <item x="7"/>
        <item x="85"/>
        <item x="21"/>
        <item x="14"/>
        <item x="112"/>
        <item x="163"/>
        <item x="192"/>
        <item x="24"/>
        <item x="125"/>
        <item x="126"/>
        <item x="62"/>
        <item x="101"/>
        <item x="178"/>
        <item x="162"/>
        <item x="184"/>
        <item x="50"/>
        <item x="161"/>
        <item x="120"/>
        <item x="49"/>
        <item x="108"/>
        <item x="100"/>
        <item x="189"/>
        <item x="47"/>
        <item x="48"/>
        <item x="159"/>
        <item x="160"/>
        <item x="46"/>
        <item x="131"/>
        <item x="103"/>
        <item x="84"/>
        <item x="29"/>
        <item x="80"/>
        <item x="158"/>
        <item x="124"/>
        <item x="95"/>
        <item x="28"/>
        <item x="140"/>
        <item x="68"/>
        <item x="187"/>
        <item x="111"/>
        <item x="139"/>
        <item x="157"/>
        <item x="73"/>
        <item x="94"/>
        <item x="27"/>
        <item x="74"/>
        <item x="191"/>
        <item x="83"/>
        <item x="79"/>
        <item x="114"/>
        <item x="65"/>
        <item x="67"/>
        <item x="109"/>
        <item x="60"/>
        <item x="194"/>
        <item x="106"/>
        <item x="134"/>
        <item x="45"/>
        <item x="156"/>
        <item x="155"/>
        <item x="72"/>
        <item x="61"/>
        <item x="76"/>
        <item x="44"/>
        <item x="59"/>
        <item x="167"/>
        <item x="190"/>
        <item x="143"/>
        <item x="115"/>
        <item x="147"/>
        <item x="136"/>
        <item x="154"/>
        <item x="123"/>
        <item x="40"/>
        <item x="41"/>
        <item x="42"/>
        <item x="43"/>
        <item x="177"/>
        <item x="82"/>
        <item x="12"/>
        <item x="183"/>
        <item x="11"/>
        <item x="173"/>
        <item x="89"/>
        <item x="88"/>
        <item x="39"/>
        <item x="20"/>
        <item x="122"/>
        <item x="113"/>
        <item x="99"/>
        <item x="3"/>
        <item x="5"/>
        <item x="132"/>
        <item x="133"/>
        <item x="4"/>
        <item x="90"/>
        <item x="23"/>
        <item x="58"/>
        <item x="146"/>
        <item x="91"/>
        <item x="188"/>
        <item x="176"/>
        <item x="105"/>
        <item x="26"/>
        <item x="153"/>
        <item x="102"/>
        <item x="2"/>
        <item x="87"/>
        <item x="107"/>
        <item x="75"/>
        <item x="38"/>
        <item x="175"/>
        <item x="98"/>
        <item x="117"/>
        <item x="151"/>
        <item x="152"/>
        <item x="171"/>
        <item x="15"/>
        <item x="172"/>
        <item x="16"/>
        <item x="150"/>
        <item x="37"/>
        <item x="36"/>
        <item x="149"/>
        <item x="35"/>
        <item x="174"/>
        <item x="10"/>
        <item x="135"/>
        <item x="1"/>
        <item x="193"/>
        <item x="66"/>
        <item x="18"/>
        <item x="121"/>
        <item x="32"/>
        <item x="33"/>
        <item x="34"/>
        <item x="17"/>
        <item x="110"/>
        <item x="70"/>
        <item x="71"/>
        <item x="148"/>
        <item x="116"/>
        <item x="92"/>
        <item x="93"/>
        <item x="0"/>
        <item x="22"/>
        <item x="78"/>
        <item x="69"/>
        <item x="57"/>
        <item x="130"/>
        <item x="30"/>
        <item x="31"/>
        <item x="77"/>
        <item x="96"/>
        <item x="97"/>
        <item x="169"/>
        <item x="170"/>
      </items>
    </pivotField>
    <pivotField compact="0" outline="0" subtotalTop="0" showAll="0"/>
    <pivotField compact="0" outline="0" subtotalTop="0" showAll="0"/>
    <pivotField compact="0" outline="0" subtotalTop="0" showAll="0"/>
    <pivotField compact="0" outline="0" subtotalTop="0" showAll="0"/>
    <pivotField compact="0" outline="0" subtotalTop="0" showAll="0"/>
    <pivotField compact="0" outline="0" subtotalTop="0" showAll="0"/>
    <pivotField compact="0" numFmtId="165" outline="0" subtotalTop="0" showAll="0"/>
    <pivotField dataField="1" compact="0" outline="0" subtotalTop="0" showAll="0"/>
    <pivotField axis="axisRow" compact="0" outline="0" subtotalTop="0" showAll="0">
      <items count="197">
        <item x="106"/>
        <item x="48"/>
        <item x="0"/>
        <item x="156"/>
        <item x="1"/>
        <item x="192"/>
        <item x="37"/>
        <item x="39"/>
        <item x="26"/>
        <item x="36"/>
        <item x="52"/>
        <item x="49"/>
        <item x="3"/>
        <item x="108"/>
        <item x="82"/>
        <item x="187"/>
        <item x="64"/>
        <item x="58"/>
        <item x="135"/>
        <item x="166"/>
        <item x="136"/>
        <item x="45"/>
        <item x="167"/>
        <item x="38"/>
        <item x="177"/>
        <item x="40"/>
        <item x="123"/>
        <item x="41"/>
        <item x="65"/>
        <item x="74"/>
        <item x="173"/>
        <item x="50"/>
        <item x="122"/>
        <item x="59"/>
        <item x="188"/>
        <item x="14"/>
        <item x="60"/>
        <item x="29"/>
        <item x="70"/>
        <item x="12"/>
        <item x="155"/>
        <item x="43"/>
        <item x="18"/>
        <item x="44"/>
        <item x="186"/>
        <item x="8"/>
        <item x="185"/>
        <item x="104"/>
        <item x="180"/>
        <item x="110"/>
        <item x="78"/>
        <item x="4"/>
        <item x="73"/>
        <item x="77"/>
        <item x="102"/>
        <item x="154"/>
        <item x="33"/>
        <item x="103"/>
        <item x="172"/>
        <item x="112"/>
        <item x="53"/>
        <item x="6"/>
        <item x="80"/>
        <item x="138"/>
        <item x="171"/>
        <item x="10"/>
        <item x="162"/>
        <item x="179"/>
        <item x="55"/>
        <item x="163"/>
        <item x="98"/>
        <item x="85"/>
        <item x="91"/>
        <item x="90"/>
        <item x="30"/>
        <item x="100"/>
        <item x="92"/>
        <item x="101"/>
        <item x="178"/>
        <item x="99"/>
        <item x="51"/>
        <item x="93"/>
        <item x="69"/>
        <item x="42"/>
        <item x="145"/>
        <item x="13"/>
        <item x="146"/>
        <item x="75"/>
        <item x="19"/>
        <item x="134"/>
        <item x="133"/>
        <item x="84"/>
        <item x="165"/>
        <item x="147"/>
        <item x="87"/>
        <item x="150"/>
        <item x="144"/>
        <item x="97"/>
        <item x="96"/>
        <item x="88"/>
        <item x="140"/>
        <item x="95"/>
        <item x="94"/>
        <item x="157"/>
        <item x="141"/>
        <item x="127"/>
        <item x="32"/>
        <item x="158"/>
        <item x="142"/>
        <item x="182"/>
        <item x="71"/>
        <item x="181"/>
        <item x="143"/>
        <item x="159"/>
        <item x="130"/>
        <item x="128"/>
        <item x="175"/>
        <item x="164"/>
        <item x="121"/>
        <item x="148"/>
        <item x="131"/>
        <item x="66"/>
        <item x="72"/>
        <item x="56"/>
        <item x="105"/>
        <item x="116"/>
        <item x="31"/>
        <item x="89"/>
        <item x="11"/>
        <item x="168"/>
        <item x="153"/>
        <item x="9"/>
        <item x="183"/>
        <item x="184"/>
        <item x="7"/>
        <item x="67"/>
        <item x="176"/>
        <item x="149"/>
        <item x="151"/>
        <item x="46"/>
        <item x="16"/>
        <item x="17"/>
        <item x="20"/>
        <item x="21"/>
        <item x="22"/>
        <item x="23"/>
        <item x="160"/>
        <item x="2"/>
        <item x="170"/>
        <item x="152"/>
        <item x="76"/>
        <item x="161"/>
        <item x="79"/>
        <item x="68"/>
        <item x="107"/>
        <item x="120"/>
        <item x="5"/>
        <item x="35"/>
        <item x="34"/>
        <item x="27"/>
        <item x="62"/>
        <item x="28"/>
        <item x="63"/>
        <item x="119"/>
        <item x="109"/>
        <item x="115"/>
        <item x="139"/>
        <item x="81"/>
        <item x="191"/>
        <item x="194"/>
        <item x="25"/>
        <item x="47"/>
        <item x="61"/>
        <item x="169"/>
        <item x="193"/>
        <item x="189"/>
        <item x="118"/>
        <item x="24"/>
        <item x="124"/>
        <item x="114"/>
        <item x="15"/>
        <item x="86"/>
        <item x="111"/>
        <item x="190"/>
        <item x="57"/>
        <item x="117"/>
        <item x="195"/>
        <item x="137"/>
        <item x="113"/>
        <item x="125"/>
        <item x="132"/>
        <item x="129"/>
        <item x="174"/>
        <item x="126"/>
        <item x="83"/>
        <item x="54"/>
        <item t="default"/>
      </items>
    </pivotField>
    <pivotField dataField="1" compact="0" outline="0" subtotalTop="0" showAll="0"/>
    <pivotField axis="axisRow" compact="0" outline="0" subtotalTop="0" showAll="0" defaultSubtotal="0">
      <items count="5">
        <item h="1" x="1"/>
        <item h="1" x="0"/>
        <item h="1" x="4"/>
        <item h="1" x="3"/>
        <item x="2"/>
      </items>
    </pivotField>
    <pivotField axis="axisRow" compact="0" outline="0" subtotalTop="0" showAll="0" defaultSubtotal="0">
      <items count="85">
        <item h="1" x="10"/>
        <item h="1" x="47"/>
        <item h="1" x="30"/>
        <item h="1" x="83"/>
        <item h="1" x="31"/>
        <item h="1" x="32"/>
        <item h="1" x="6"/>
        <item h="1" x="29"/>
        <item h="1" x="81"/>
        <item h="1" x="79"/>
        <item h="1" x="22"/>
        <item h="1" x="58"/>
        <item h="1" x="80"/>
        <item h="1" x="55"/>
        <item h="1" x="7"/>
        <item h="1" x="16"/>
        <item h="1" x="67"/>
        <item h="1" x="76"/>
        <item h="1" x="0"/>
        <item h="1" x="68"/>
        <item h="1" x="17"/>
        <item h="1" x="82"/>
        <item h="1" x="25"/>
        <item h="1" x="35"/>
        <item h="1" x="5"/>
        <item h="1" x="8"/>
        <item h="1" x="36"/>
        <item h="1" x="38"/>
        <item h="1" x="27"/>
        <item h="1" x="50"/>
        <item h="1" x="33"/>
        <item h="1" x="1"/>
        <item h="1" x="39"/>
        <item h="1" x="64"/>
        <item h="1" x="11"/>
        <item h="1" x="53"/>
        <item h="1" x="9"/>
        <item h="1" x="28"/>
        <item h="1" x="72"/>
        <item h="1" x="78"/>
        <item h="1" x="41"/>
        <item h="1" x="24"/>
        <item h="1" x="73"/>
        <item h="1" x="77"/>
        <item h="1" x="3"/>
        <item h="1" x="23"/>
        <item h="1" x="84"/>
        <item h="1" x="69"/>
        <item h="1" x="46"/>
        <item h="1" x="37"/>
        <item h="1" x="12"/>
        <item h="1" x="18"/>
        <item h="1" x="19"/>
        <item h="1" x="74"/>
        <item h="1" x="62"/>
        <item h="1" x="42"/>
        <item h="1" x="75"/>
        <item h="1" x="4"/>
        <item h="1" x="21"/>
        <item h="1" x="61"/>
        <item h="1" x="20"/>
        <item h="1" x="13"/>
        <item h="1" x="60"/>
        <item h="1" x="34"/>
        <item h="1" x="70"/>
        <item h="1" x="63"/>
        <item h="1" x="71"/>
        <item h="1" x="43"/>
        <item h="1" x="49"/>
        <item h="1" x="40"/>
        <item h="1" x="48"/>
        <item h="1" x="54"/>
        <item h="1" x="14"/>
        <item h="1" x="59"/>
        <item h="1" x="51"/>
        <item h="1" x="65"/>
        <item h="1" x="45"/>
        <item h="1" x="56"/>
        <item h="1" x="15"/>
        <item h="1" x="52"/>
        <item x="2"/>
        <item h="1" x="66"/>
        <item h="1" x="44"/>
        <item h="1" x="57"/>
        <item h="1" x="26"/>
      </items>
    </pivotField>
    <pivotField compact="0" outline="0" subtotalTop="0" showAll="0"/>
    <pivotField compact="0" outline="0" subtotalTop="0" showAll="0"/>
    <pivotField compact="0" outline="0" subtotalTop="0" showAll="0"/>
    <pivotField compact="0" outline="0" subtotalTop="0" showAll="0"/>
    <pivotField compact="0" outline="0" subtotalTop="0" showAll="0"/>
    <pivotField compact="0" outline="0" subtotalTop="0" showAll="0"/>
    <pivotField compact="0" outline="0" subtotalTop="0" showAll="0"/>
    <pivotField compact="0" outline="0" subtotalTop="0" showAll="0"/>
    <pivotField compact="0" outline="0" subtotalTop="0" showAll="0"/>
    <pivotField compact="0" outline="0" subtotalTop="0" showAll="0"/>
    <pivotField compact="0" outline="0" subtotalTop="0" showAll="0"/>
    <pivotField compact="0" outline="0" subtotalTop="0" showAll="0"/>
    <pivotField compact="0" outline="0" subtotalTop="0" showAll="0"/>
    <pivotField compact="0" outline="0" subtotalTop="0" showAll="0"/>
    <pivotField compact="0" numFmtId="164" outline="0" subtotalTop="0" showAll="0"/>
    <pivotField compact="0" numFmtId="164" outline="0" subtotalTop="0" showAll="0"/>
    <pivotField compact="0" outline="0" subtotalTop="0" showAll="0"/>
    <pivotField compact="0" outline="0" subtotalTop="0" showAll="0"/>
  </pivotFields>
  <rowFields count="5">
    <field x="4"/>
    <field x="5"/>
    <field x="16"/>
    <field x="17"/>
    <field x="14"/>
  </rowFields>
  <rowItems count="570">
    <i>
      <x/>
      <x v="38"/>
      <x v="4"/>
      <x v="80"/>
      <x v="156"/>
    </i>
    <i r="1">
      <x v="132"/>
      <x v="4"/>
      <x v="80"/>
      <x v="156"/>
    </i>
    <i r="1">
      <x v="166"/>
      <x v="4"/>
      <x v="80"/>
      <x v="147"/>
    </i>
    <i t="default">
      <x/>
    </i>
    <i>
      <x v="1"/>
      <x v="41"/>
      <x v="4"/>
      <x v="80"/>
      <x v="180"/>
    </i>
    <i t="default">
      <x v="1"/>
    </i>
    <i>
      <x v="4"/>
      <x v="40"/>
      <x v="4"/>
      <x v="80"/>
      <x v="170"/>
    </i>
    <i r="1">
      <x v="124"/>
      <x v="4"/>
      <x v="80"/>
      <x v="177"/>
    </i>
    <i t="default">
      <x v="4"/>
    </i>
    <i>
      <x v="5"/>
      <x v="17"/>
      <x v="4"/>
      <x v="80"/>
      <x v="159"/>
    </i>
    <i r="4">
      <x v="161"/>
    </i>
    <i r="1">
      <x v="40"/>
      <x v="4"/>
      <x v="80"/>
      <x v="170"/>
    </i>
    <i r="1">
      <x v="41"/>
      <x v="4"/>
      <x v="80"/>
      <x v="180"/>
    </i>
    <i r="1">
      <x v="134"/>
      <x v="4"/>
      <x v="80"/>
      <x v="170"/>
    </i>
    <i t="default">
      <x v="5"/>
    </i>
    <i>
      <x v="6"/>
      <x v="40"/>
      <x v="4"/>
      <x v="80"/>
      <x v="170"/>
    </i>
    <i r="1">
      <x v="134"/>
      <x v="4"/>
      <x v="80"/>
      <x v="170"/>
    </i>
    <i t="default">
      <x v="6"/>
    </i>
    <i>
      <x v="7"/>
      <x v="38"/>
      <x v="4"/>
      <x v="80"/>
      <x v="157"/>
    </i>
    <i r="1">
      <x v="41"/>
      <x v="4"/>
      <x v="80"/>
      <x v="180"/>
    </i>
    <i r="1">
      <x v="132"/>
      <x v="4"/>
      <x v="80"/>
      <x v="158"/>
    </i>
    <i t="default">
      <x v="7"/>
    </i>
    <i>
      <x v="8"/>
      <x v="36"/>
      <x v="4"/>
      <x v="80"/>
      <x v="126"/>
    </i>
    <i r="1">
      <x v="38"/>
      <x v="4"/>
      <x v="80"/>
      <x v="157"/>
    </i>
    <i r="1">
      <x v="112"/>
      <x v="4"/>
      <x v="80"/>
      <x v="11"/>
    </i>
    <i r="1">
      <x v="114"/>
      <x v="4"/>
      <x v="80"/>
      <x v="83"/>
    </i>
    <i r="1">
      <x v="129"/>
      <x v="4"/>
      <x v="80"/>
      <x v="126"/>
    </i>
    <i r="4">
      <x v="139"/>
    </i>
    <i r="1">
      <x v="132"/>
      <x v="4"/>
      <x v="80"/>
      <x v="156"/>
    </i>
    <i r="1">
      <x v="166"/>
      <x v="4"/>
      <x v="80"/>
      <x v="142"/>
    </i>
    <i r="1">
      <x v="173"/>
      <x v="4"/>
      <x v="80"/>
      <x v="83"/>
    </i>
    <i r="1">
      <x v="189"/>
      <x v="4"/>
      <x v="80"/>
      <x v="85"/>
    </i>
    <i t="default">
      <x v="8"/>
    </i>
    <i>
      <x v="9"/>
      <x v="36"/>
      <x v="4"/>
      <x v="80"/>
      <x v="131"/>
    </i>
    <i r="1">
      <x v="38"/>
      <x v="4"/>
      <x v="80"/>
      <x v="157"/>
    </i>
    <i r="1">
      <x v="40"/>
      <x v="4"/>
      <x v="80"/>
      <x v="170"/>
    </i>
    <i r="1">
      <x v="134"/>
      <x v="4"/>
      <x v="80"/>
      <x v="170"/>
    </i>
    <i r="1">
      <x v="135"/>
      <x v="4"/>
      <x v="80"/>
      <x v="171"/>
    </i>
    <i r="1">
      <x v="186"/>
      <x v="4"/>
      <x v="80"/>
      <x v="68"/>
    </i>
    <i t="default">
      <x v="9"/>
    </i>
    <i>
      <x v="10"/>
      <x v="91"/>
      <x v="4"/>
      <x v="80"/>
      <x v="184"/>
    </i>
    <i r="1">
      <x v="102"/>
      <x v="4"/>
      <x v="80"/>
      <x v="123"/>
    </i>
    <i r="1">
      <x v="114"/>
      <x v="4"/>
      <x v="80"/>
      <x v="83"/>
    </i>
    <i r="1">
      <x v="132"/>
      <x v="4"/>
      <x v="80"/>
      <x v="156"/>
    </i>
    <i t="default">
      <x v="10"/>
    </i>
    <i>
      <x v="11"/>
      <x v="10"/>
      <x v="4"/>
      <x v="80"/>
      <x v="139"/>
    </i>
    <i r="1">
      <x v="38"/>
      <x v="4"/>
      <x v="80"/>
      <x v="156"/>
    </i>
    <i r="1">
      <x v="48"/>
      <x v="4"/>
      <x v="80"/>
      <x v="177"/>
    </i>
    <i r="1">
      <x v="102"/>
      <x v="4"/>
      <x v="80"/>
      <x v="123"/>
    </i>
    <i r="1">
      <x v="124"/>
      <x v="4"/>
      <x v="80"/>
      <x v="177"/>
    </i>
    <i t="default">
      <x v="11"/>
    </i>
    <i>
      <x v="12"/>
      <x v="38"/>
      <x v="4"/>
      <x v="80"/>
      <x v="156"/>
    </i>
    <i r="1">
      <x v="88"/>
      <x v="4"/>
      <x v="80"/>
      <x v="172"/>
    </i>
    <i r="1">
      <x v="114"/>
      <x v="4"/>
      <x v="80"/>
      <x v="83"/>
    </i>
    <i r="1">
      <x v="173"/>
      <x v="4"/>
      <x v="80"/>
      <x v="83"/>
    </i>
    <i t="default">
      <x v="12"/>
    </i>
    <i>
      <x v="13"/>
      <x v="17"/>
      <x v="4"/>
      <x v="80"/>
      <x v="159"/>
    </i>
    <i r="1">
      <x v="88"/>
      <x v="4"/>
      <x v="80"/>
      <x v="172"/>
    </i>
    <i r="1">
      <x v="173"/>
      <x v="4"/>
      <x v="80"/>
      <x v="83"/>
    </i>
    <i t="default">
      <x v="13"/>
    </i>
    <i>
      <x v="14"/>
      <x v="38"/>
      <x v="4"/>
      <x v="80"/>
      <x v="157"/>
    </i>
    <i r="1">
      <x v="40"/>
      <x v="4"/>
      <x v="80"/>
      <x v="170"/>
    </i>
    <i r="1">
      <x v="75"/>
      <x v="4"/>
      <x v="80"/>
      <x v="162"/>
    </i>
    <i r="1">
      <x v="89"/>
      <x v="4"/>
      <x v="80"/>
      <x v="180"/>
    </i>
    <i r="1">
      <x v="132"/>
      <x v="4"/>
      <x v="80"/>
      <x v="158"/>
    </i>
    <i r="1">
      <x v="134"/>
      <x v="4"/>
      <x v="80"/>
      <x v="170"/>
    </i>
    <i r="1">
      <x v="166"/>
      <x v="4"/>
      <x v="80"/>
      <x v="145"/>
    </i>
    <i r="1">
      <x v="168"/>
      <x v="4"/>
      <x v="80"/>
      <x v="160"/>
    </i>
    <i t="default">
      <x v="14"/>
    </i>
    <i>
      <x v="15"/>
      <x v="38"/>
      <x v="4"/>
      <x v="80"/>
      <x v="156"/>
    </i>
    <i r="1">
      <x v="83"/>
      <x v="4"/>
      <x v="80"/>
      <x v="135"/>
    </i>
    <i t="default">
      <x v="15"/>
    </i>
    <i>
      <x v="16"/>
      <x v="88"/>
      <x v="4"/>
      <x v="80"/>
      <x v="172"/>
    </i>
    <i r="1">
      <x v="123"/>
      <x v="4"/>
      <x v="80"/>
      <x v="171"/>
    </i>
    <i r="1">
      <x v="147"/>
      <x v="4"/>
      <x v="80"/>
      <x v="147"/>
    </i>
    <i r="1">
      <x v="168"/>
      <x v="4"/>
      <x v="80"/>
      <x v="153"/>
    </i>
    <i t="default">
      <x v="16"/>
    </i>
    <i>
      <x v="17"/>
      <x v="38"/>
      <x v="4"/>
      <x v="80"/>
      <x v="156"/>
    </i>
    <i r="1">
      <x v="123"/>
      <x v="4"/>
      <x v="80"/>
      <x v="171"/>
    </i>
    <i r="1">
      <x v="132"/>
      <x v="4"/>
      <x v="80"/>
      <x v="156"/>
    </i>
    <i r="1">
      <x v="147"/>
      <x v="4"/>
      <x v="80"/>
      <x v="147"/>
    </i>
    <i r="1">
      <x v="168"/>
      <x v="4"/>
      <x v="80"/>
      <x v="161"/>
    </i>
    <i t="default">
      <x v="17"/>
    </i>
    <i>
      <x v="18"/>
      <x v="17"/>
      <x v="4"/>
      <x v="80"/>
      <x v="159"/>
    </i>
    <i r="1">
      <x v="89"/>
      <x v="4"/>
      <x v="80"/>
      <x v="180"/>
    </i>
    <i r="1">
      <x v="123"/>
      <x v="4"/>
      <x v="80"/>
      <x v="171"/>
    </i>
    <i r="1">
      <x v="147"/>
      <x v="4"/>
      <x v="80"/>
      <x v="147"/>
    </i>
    <i r="1">
      <x v="168"/>
      <x v="4"/>
      <x v="80"/>
      <x v="153"/>
    </i>
    <i t="default">
      <x v="18"/>
    </i>
    <i>
      <x v="19"/>
      <x v="17"/>
      <x v="4"/>
      <x v="80"/>
      <x v="161"/>
    </i>
    <i r="1">
      <x v="38"/>
      <x v="4"/>
      <x v="80"/>
      <x v="156"/>
    </i>
    <i r="1">
      <x v="69"/>
      <x v="4"/>
      <x v="80"/>
      <x v="153"/>
    </i>
    <i r="1">
      <x v="88"/>
      <x v="4"/>
      <x v="80"/>
      <x v="172"/>
    </i>
    <i r="1">
      <x v="89"/>
      <x v="4"/>
      <x v="80"/>
      <x v="180"/>
    </i>
    <i r="1">
      <x v="123"/>
      <x v="4"/>
      <x v="80"/>
      <x v="171"/>
    </i>
    <i r="1">
      <x v="132"/>
      <x v="4"/>
      <x v="80"/>
      <x v="158"/>
    </i>
    <i r="1">
      <x v="147"/>
      <x v="4"/>
      <x v="80"/>
      <x v="147"/>
    </i>
    <i r="1">
      <x v="168"/>
      <x v="4"/>
      <x v="80"/>
      <x v="153"/>
    </i>
    <i t="default">
      <x v="19"/>
    </i>
    <i>
      <x v="20"/>
      <x v="38"/>
      <x v="4"/>
      <x v="80"/>
      <x v="157"/>
    </i>
    <i r="1">
      <x v="88"/>
      <x v="4"/>
      <x v="80"/>
      <x v="172"/>
    </i>
    <i r="1">
      <x v="123"/>
      <x v="4"/>
      <x v="80"/>
      <x v="171"/>
    </i>
    <i r="1">
      <x v="132"/>
      <x v="4"/>
      <x v="80"/>
      <x v="158"/>
    </i>
    <i r="1">
      <x v="147"/>
      <x v="4"/>
      <x v="80"/>
      <x v="147"/>
    </i>
    <i r="4">
      <x v="150"/>
    </i>
    <i t="default">
      <x v="20"/>
    </i>
    <i>
      <x v="21"/>
      <x v="38"/>
      <x v="4"/>
      <x v="80"/>
      <x v="156"/>
    </i>
    <i r="4">
      <x v="157"/>
    </i>
    <i r="1">
      <x v="123"/>
      <x v="4"/>
      <x v="80"/>
      <x v="171"/>
    </i>
    <i r="1">
      <x v="147"/>
      <x v="4"/>
      <x v="80"/>
      <x v="147"/>
    </i>
    <i r="4">
      <x v="150"/>
    </i>
    <i r="1">
      <x v="168"/>
      <x v="4"/>
      <x v="80"/>
      <x v="153"/>
    </i>
    <i t="default">
      <x v="21"/>
    </i>
    <i>
      <x v="22"/>
      <x v="36"/>
      <x v="4"/>
      <x v="80"/>
      <x v="123"/>
    </i>
    <i r="1">
      <x v="39"/>
      <x v="4"/>
      <x v="80"/>
      <x v="167"/>
    </i>
    <i r="1">
      <x v="40"/>
      <x v="4"/>
      <x v="80"/>
      <x v="170"/>
    </i>
    <i r="1">
      <x v="69"/>
      <x v="4"/>
      <x v="80"/>
      <x v="152"/>
    </i>
    <i r="1">
      <x v="123"/>
      <x v="4"/>
      <x v="80"/>
      <x v="171"/>
    </i>
    <i r="1">
      <x v="186"/>
      <x v="4"/>
      <x v="80"/>
      <x v="65"/>
    </i>
    <i t="default">
      <x v="22"/>
    </i>
    <i>
      <x v="23"/>
      <x v="40"/>
      <x v="4"/>
      <x v="80"/>
      <x v="170"/>
    </i>
    <i r="1">
      <x v="123"/>
      <x v="4"/>
      <x v="80"/>
      <x v="171"/>
    </i>
    <i r="1">
      <x v="168"/>
      <x v="4"/>
      <x v="80"/>
      <x v="161"/>
    </i>
    <i r="1">
      <x v="173"/>
      <x v="4"/>
      <x v="80"/>
      <x v="83"/>
    </i>
    <i t="default">
      <x v="23"/>
    </i>
    <i>
      <x v="26"/>
      <x v="36"/>
      <x v="4"/>
      <x v="80"/>
      <x v="131"/>
    </i>
    <i r="1">
      <x v="38"/>
      <x v="4"/>
      <x v="80"/>
      <x v="157"/>
    </i>
    <i r="1">
      <x v="41"/>
      <x v="4"/>
      <x v="80"/>
      <x v="180"/>
    </i>
    <i r="1">
      <x v="132"/>
      <x v="4"/>
      <x v="80"/>
      <x v="158"/>
    </i>
    <i r="1">
      <x v="133"/>
      <x v="4"/>
      <x v="80"/>
      <x v="170"/>
    </i>
    <i r="1">
      <x v="137"/>
      <x v="4"/>
      <x v="80"/>
      <x v="181"/>
    </i>
    <i t="default">
      <x v="26"/>
    </i>
    <i>
      <x v="27"/>
      <x v="17"/>
      <x v="4"/>
      <x v="80"/>
      <x v="159"/>
    </i>
    <i r="1">
      <x v="36"/>
      <x v="4"/>
      <x v="80"/>
      <x v="126"/>
    </i>
    <i r="1">
      <x v="38"/>
      <x v="4"/>
      <x v="80"/>
      <x v="156"/>
    </i>
    <i r="1">
      <x v="132"/>
      <x v="4"/>
      <x v="80"/>
      <x v="156"/>
    </i>
    <i t="default">
      <x v="27"/>
    </i>
    <i>
      <x v="28"/>
      <x v="36"/>
      <x v="4"/>
      <x v="80"/>
      <x v="123"/>
    </i>
    <i r="1">
      <x v="38"/>
      <x v="4"/>
      <x v="80"/>
      <x v="156"/>
    </i>
    <i r="1">
      <x v="132"/>
      <x v="4"/>
      <x v="80"/>
      <x v="156"/>
    </i>
    <i r="1">
      <x v="166"/>
      <x v="4"/>
      <x v="80"/>
      <x v="145"/>
    </i>
    <i t="default">
      <x v="28"/>
    </i>
    <i>
      <x v="29"/>
      <x v="36"/>
      <x v="4"/>
      <x v="80"/>
      <x v="131"/>
    </i>
    <i r="1">
      <x v="132"/>
      <x v="4"/>
      <x v="80"/>
      <x v="156"/>
    </i>
    <i t="default">
      <x v="29"/>
    </i>
    <i>
      <x v="30"/>
      <x v="36"/>
      <x v="4"/>
      <x v="80"/>
      <x v="123"/>
    </i>
    <i r="4">
      <x v="126"/>
    </i>
    <i r="1">
      <x v="88"/>
      <x v="4"/>
      <x v="80"/>
      <x v="172"/>
    </i>
    <i r="1">
      <x v="132"/>
      <x v="4"/>
      <x v="80"/>
      <x v="156"/>
    </i>
    <i t="default">
      <x v="30"/>
    </i>
    <i>
      <x v="33"/>
      <x v="38"/>
      <x v="4"/>
      <x v="80"/>
      <x/>
    </i>
    <i r="1">
      <x v="40"/>
      <x v="4"/>
      <x v="80"/>
      <x v="170"/>
    </i>
    <i r="1">
      <x v="123"/>
      <x v="4"/>
      <x v="80"/>
      <x v="171"/>
    </i>
    <i t="default">
      <x v="33"/>
    </i>
    <i>
      <x v="34"/>
      <x v="38"/>
      <x v="4"/>
      <x v="80"/>
      <x v="156"/>
    </i>
    <i r="1">
      <x v="129"/>
      <x v="4"/>
      <x v="80"/>
      <x v="123"/>
    </i>
    <i r="1">
      <x v="134"/>
      <x v="4"/>
      <x v="80"/>
      <x v="170"/>
    </i>
    <i r="1">
      <x v="186"/>
      <x v="4"/>
      <x v="80"/>
      <x v="68"/>
    </i>
    <i t="default">
      <x v="34"/>
    </i>
    <i>
      <x v="36"/>
      <x v="19"/>
      <x v="4"/>
      <x v="80"/>
      <x v="164"/>
    </i>
    <i r="1">
      <x v="38"/>
      <x v="4"/>
      <x v="80"/>
      <x v="156"/>
    </i>
    <i r="1">
      <x v="40"/>
      <x v="4"/>
      <x v="80"/>
      <x v="170"/>
    </i>
    <i r="1">
      <x v="48"/>
      <x v="4"/>
      <x v="80"/>
      <x v="177"/>
    </i>
    <i r="1">
      <x v="124"/>
      <x v="4"/>
      <x v="80"/>
      <x v="177"/>
    </i>
    <i t="default">
      <x v="36"/>
    </i>
    <i>
      <x v="38"/>
      <x v="38"/>
      <x v="4"/>
      <x v="80"/>
      <x v="157"/>
    </i>
    <i r="1">
      <x v="132"/>
      <x v="4"/>
      <x v="80"/>
      <x v="158"/>
    </i>
    <i t="default">
      <x v="38"/>
    </i>
    <i>
      <x v="39"/>
      <x v="17"/>
      <x v="4"/>
      <x v="80"/>
      <x v="161"/>
    </i>
    <i r="1">
      <x v="38"/>
      <x v="4"/>
      <x v="80"/>
      <x v="157"/>
    </i>
    <i r="1">
      <x v="83"/>
      <x v="4"/>
      <x v="80"/>
      <x v="139"/>
    </i>
    <i r="1">
      <x v="89"/>
      <x v="4"/>
      <x v="80"/>
      <x v="182"/>
    </i>
    <i r="1">
      <x v="132"/>
      <x v="4"/>
      <x v="80"/>
      <x v="158"/>
    </i>
    <i t="default">
      <x v="39"/>
    </i>
    <i>
      <x v="40"/>
      <x v="38"/>
      <x v="4"/>
      <x v="80"/>
      <x v="167"/>
    </i>
    <i r="1">
      <x v="132"/>
      <x v="4"/>
      <x v="80"/>
      <x v="170"/>
    </i>
    <i r="1">
      <x v="168"/>
      <x v="4"/>
      <x v="80"/>
      <x v="161"/>
    </i>
    <i t="default">
      <x v="40"/>
    </i>
    <i>
      <x v="41"/>
      <x v="132"/>
      <x v="4"/>
      <x v="80"/>
      <x v="156"/>
    </i>
    <i r="1">
      <x v="140"/>
      <x v="4"/>
      <x v="80"/>
      <x v="160"/>
    </i>
    <i t="default">
      <x v="41"/>
    </i>
    <i>
      <x v="42"/>
      <x v="38"/>
      <x v="4"/>
      <x v="80"/>
      <x v="156"/>
    </i>
    <i r="4">
      <x v="157"/>
    </i>
    <i r="1">
      <x v="102"/>
      <x v="4"/>
      <x v="80"/>
      <x v="123"/>
    </i>
    <i r="1">
      <x v="132"/>
      <x v="4"/>
      <x v="80"/>
      <x v="158"/>
    </i>
    <i r="1">
      <x v="134"/>
      <x v="4"/>
      <x v="80"/>
      <x v="170"/>
    </i>
    <i t="default">
      <x v="42"/>
    </i>
    <i>
      <x v="43"/>
      <x v="38"/>
      <x v="4"/>
      <x v="80"/>
      <x v="157"/>
    </i>
    <i r="1">
      <x v="69"/>
      <x v="4"/>
      <x v="80"/>
      <x v="153"/>
    </i>
    <i t="default">
      <x v="43"/>
    </i>
    <i>
      <x v="44"/>
      <x v="36"/>
      <x v="4"/>
      <x v="80"/>
      <x v="131"/>
    </i>
    <i r="1">
      <x v="38"/>
      <x v="4"/>
      <x v="80"/>
      <x v="156"/>
    </i>
    <i r="1">
      <x v="40"/>
      <x v="4"/>
      <x v="80"/>
      <x v="170"/>
    </i>
    <i r="1">
      <x v="88"/>
      <x v="4"/>
      <x v="80"/>
      <x v="172"/>
    </i>
    <i r="1">
      <x v="89"/>
      <x v="4"/>
      <x v="80"/>
      <x v="180"/>
    </i>
    <i r="1">
      <x v="91"/>
      <x v="4"/>
      <x v="80"/>
      <x v="184"/>
    </i>
    <i r="1">
      <x v="124"/>
      <x v="4"/>
      <x v="80"/>
      <x v="179"/>
    </i>
    <i r="1">
      <x v="129"/>
      <x v="4"/>
      <x v="80"/>
      <x v="128"/>
    </i>
    <i r="1">
      <x v="132"/>
      <x v="4"/>
      <x v="80"/>
      <x v="156"/>
    </i>
    <i r="4">
      <x v="158"/>
    </i>
    <i r="1">
      <x v="134"/>
      <x v="4"/>
      <x v="80"/>
      <x v="170"/>
    </i>
    <i t="default">
      <x v="44"/>
    </i>
    <i>
      <x v="45"/>
      <x v="36"/>
      <x v="4"/>
      <x v="80"/>
      <x v="131"/>
    </i>
    <i r="1">
      <x v="38"/>
      <x v="4"/>
      <x v="80"/>
      <x v="157"/>
    </i>
    <i r="1">
      <x v="39"/>
      <x v="4"/>
      <x v="80"/>
      <x v="167"/>
    </i>
    <i t="default">
      <x v="45"/>
    </i>
    <i>
      <x v="46"/>
      <x v="88"/>
      <x v="4"/>
      <x v="80"/>
      <x v="179"/>
    </i>
    <i r="1">
      <x v="132"/>
      <x v="4"/>
      <x v="80"/>
      <x v="165"/>
    </i>
    <i r="1">
      <x v="146"/>
      <x v="4"/>
      <x v="80"/>
      <x v="128"/>
    </i>
    <i t="default">
      <x v="46"/>
    </i>
    <i>
      <x v="47"/>
      <x v="36"/>
      <x v="4"/>
      <x v="80"/>
      <x v="131"/>
    </i>
    <i r="1">
      <x v="39"/>
      <x v="4"/>
      <x v="80"/>
      <x v="167"/>
    </i>
    <i r="1">
      <x v="133"/>
      <x v="4"/>
      <x v="80"/>
      <x v="170"/>
    </i>
    <i r="1">
      <x v="135"/>
      <x v="4"/>
      <x v="80"/>
      <x v="171"/>
    </i>
    <i t="default">
      <x v="47"/>
    </i>
    <i>
      <x v="48"/>
      <x v="90"/>
      <x v="4"/>
      <x v="80"/>
      <x v="185"/>
    </i>
    <i r="1">
      <x v="137"/>
      <x v="4"/>
      <x v="80"/>
      <x v="181"/>
    </i>
    <i t="default">
      <x v="48"/>
    </i>
    <i>
      <x v="50"/>
      <x v="41"/>
      <x v="4"/>
      <x v="80"/>
      <x v="180"/>
    </i>
    <i r="1">
      <x v="42"/>
      <x v="4"/>
      <x v="80"/>
      <x v="180"/>
    </i>
    <i r="1">
      <x v="75"/>
      <x v="4"/>
      <x v="80"/>
      <x v="163"/>
    </i>
    <i r="1">
      <x v="175"/>
      <x v="4"/>
      <x v="80"/>
      <x v="176"/>
    </i>
    <i t="default">
      <x v="50"/>
    </i>
    <i>
      <x v="51"/>
      <x v="40"/>
      <x v="4"/>
      <x v="80"/>
      <x v="170"/>
    </i>
    <i r="1">
      <x v="123"/>
      <x v="4"/>
      <x v="80"/>
      <x v="171"/>
    </i>
    <i r="1">
      <x v="124"/>
      <x v="4"/>
      <x v="80"/>
      <x v="177"/>
    </i>
    <i r="1">
      <x v="134"/>
      <x v="4"/>
      <x v="80"/>
      <x v="170"/>
    </i>
    <i t="default">
      <x v="51"/>
    </i>
    <i>
      <x v="52"/>
      <x v="38"/>
      <x v="4"/>
      <x v="80"/>
      <x v="156"/>
    </i>
    <i r="4">
      <x v="157"/>
    </i>
    <i r="1">
      <x v="87"/>
      <x v="4"/>
      <x v="80"/>
      <x v="155"/>
    </i>
    <i r="1">
      <x v="88"/>
      <x v="4"/>
      <x v="80"/>
      <x v="172"/>
    </i>
    <i r="1">
      <x v="121"/>
      <x v="4"/>
      <x v="80"/>
      <x v="159"/>
    </i>
    <i r="1">
      <x v="126"/>
      <x v="4"/>
      <x v="80"/>
      <x v="156"/>
    </i>
    <i r="1">
      <x v="132"/>
      <x v="4"/>
      <x v="80"/>
      <x v="156"/>
    </i>
    <i r="4">
      <x v="158"/>
    </i>
    <i r="1">
      <x v="172"/>
      <x v="4"/>
      <x v="80"/>
      <x v="37"/>
    </i>
    <i t="default">
      <x v="52"/>
    </i>
    <i>
      <x v="54"/>
      <x v="38"/>
      <x v="4"/>
      <x v="80"/>
      <x v="157"/>
    </i>
    <i r="1">
      <x v="41"/>
      <x v="4"/>
      <x v="80"/>
      <x v="180"/>
    </i>
    <i r="1">
      <x v="73"/>
      <x v="4"/>
      <x v="80"/>
      <x v="83"/>
    </i>
    <i r="1">
      <x v="75"/>
      <x v="4"/>
      <x v="80"/>
      <x v="162"/>
    </i>
    <i r="1">
      <x v="87"/>
      <x v="4"/>
      <x v="80"/>
      <x v="155"/>
    </i>
    <i r="1">
      <x v="99"/>
      <x v="4"/>
      <x v="80"/>
      <x v="25"/>
    </i>
    <i r="1">
      <x v="151"/>
      <x v="4"/>
      <x v="80"/>
      <x v="153"/>
    </i>
    <i r="1">
      <x v="179"/>
      <x v="4"/>
      <x v="80"/>
      <x v="121"/>
    </i>
    <i t="default">
      <x v="54"/>
    </i>
    <i>
      <x v="56"/>
      <x v="39"/>
      <x v="4"/>
      <x v="80"/>
      <x v="167"/>
    </i>
    <i r="1">
      <x v="133"/>
      <x v="4"/>
      <x v="80"/>
      <x v="170"/>
    </i>
    <i r="1">
      <x v="135"/>
      <x v="4"/>
      <x v="80"/>
      <x v="171"/>
    </i>
    <i t="default">
      <x v="56"/>
    </i>
    <i>
      <x v="57"/>
      <x v="89"/>
      <x v="4"/>
      <x v="80"/>
      <x v="180"/>
    </i>
    <i t="default">
      <x v="57"/>
    </i>
    <i>
      <x v="58"/>
      <x v="5"/>
      <x v="4"/>
      <x v="80"/>
      <x v="41"/>
    </i>
    <i r="1">
      <x v="6"/>
      <x v="4"/>
      <x v="80"/>
      <x v="91"/>
    </i>
    <i r="1">
      <x v="88"/>
      <x v="4"/>
      <x v="80"/>
      <x v="172"/>
    </i>
    <i r="1">
      <x v="102"/>
      <x v="4"/>
      <x v="80"/>
      <x v="123"/>
    </i>
    <i r="1">
      <x v="113"/>
      <x v="4"/>
      <x v="80"/>
      <x v="37"/>
    </i>
    <i r="1">
      <x v="132"/>
      <x v="4"/>
      <x v="80"/>
      <x v="156"/>
    </i>
    <i r="1">
      <x v="168"/>
      <x v="4"/>
      <x v="80"/>
      <x v="159"/>
    </i>
    <i t="default">
      <x v="58"/>
    </i>
    <i>
      <x v="61"/>
      <x v="40"/>
      <x v="4"/>
      <x v="80"/>
      <x v="170"/>
    </i>
    <i r="1">
      <x v="134"/>
      <x v="4"/>
      <x v="80"/>
      <x v="170"/>
    </i>
    <i t="default">
      <x v="61"/>
    </i>
    <i>
      <x v="62"/>
      <x v="40"/>
      <x v="4"/>
      <x v="80"/>
      <x v="170"/>
    </i>
    <i r="1">
      <x v="90"/>
      <x v="4"/>
      <x v="80"/>
      <x v="184"/>
    </i>
    <i r="1">
      <x v="134"/>
      <x v="4"/>
      <x v="80"/>
      <x v="170"/>
    </i>
    <i t="default">
      <x v="62"/>
    </i>
    <i>
      <x v="63"/>
      <x v="38"/>
      <x v="4"/>
      <x v="80"/>
      <x v="157"/>
    </i>
    <i r="1">
      <x v="48"/>
      <x v="4"/>
      <x v="80"/>
      <x v="178"/>
    </i>
    <i r="1">
      <x v="132"/>
      <x v="4"/>
      <x v="80"/>
      <x v="158"/>
    </i>
    <i r="1">
      <x v="133"/>
      <x v="4"/>
      <x v="80"/>
      <x v="170"/>
    </i>
    <i t="default">
      <x v="63"/>
    </i>
    <i>
      <x v="65"/>
      <x v="121"/>
      <x v="4"/>
      <x v="80"/>
      <x v="160"/>
    </i>
    <i r="1">
      <x v="132"/>
      <x v="4"/>
      <x v="80"/>
      <x v="158"/>
    </i>
    <i t="default">
      <x v="65"/>
    </i>
    <i>
      <x v="66"/>
      <x v="36"/>
      <x v="4"/>
      <x v="80"/>
      <x v="123"/>
    </i>
    <i r="1">
      <x v="89"/>
      <x v="4"/>
      <x v="80"/>
      <x v="180"/>
    </i>
    <i r="1">
      <x v="134"/>
      <x v="4"/>
      <x v="80"/>
      <x v="170"/>
    </i>
    <i t="default">
      <x v="66"/>
    </i>
    <i>
      <x v="68"/>
      <x v="36"/>
      <x v="4"/>
      <x v="80"/>
      <x v="126"/>
    </i>
    <i r="1">
      <x v="47"/>
      <x v="4"/>
      <x v="80"/>
      <x v="166"/>
    </i>
    <i r="1">
      <x v="72"/>
      <x v="4"/>
      <x v="80"/>
      <x v="83"/>
    </i>
    <i r="1">
      <x v="121"/>
      <x v="4"/>
      <x v="80"/>
      <x v="159"/>
    </i>
    <i t="default">
      <x v="68"/>
    </i>
    <i>
      <x v="69"/>
      <x v="36"/>
      <x v="4"/>
      <x v="80"/>
      <x v="131"/>
    </i>
    <i r="1">
      <x v="129"/>
      <x v="4"/>
      <x v="80"/>
      <x v="123"/>
    </i>
    <i r="1">
      <x v="132"/>
      <x v="4"/>
      <x v="80"/>
      <x v="156"/>
    </i>
    <i t="default">
      <x v="69"/>
    </i>
    <i>
      <x v="71"/>
      <x v="38"/>
      <x v="4"/>
      <x v="80"/>
      <x v="156"/>
    </i>
    <i r="1">
      <x v="134"/>
      <x v="4"/>
      <x v="80"/>
      <x v="170"/>
    </i>
    <i t="default">
      <x v="71"/>
    </i>
    <i>
      <x v="72"/>
      <x v="38"/>
      <x v="4"/>
      <x v="80"/>
      <x v="156"/>
    </i>
    <i r="1">
      <x v="132"/>
      <x v="4"/>
      <x v="80"/>
      <x v="156"/>
    </i>
    <i t="default">
      <x v="72"/>
    </i>
    <i>
      <x v="73"/>
      <x v="38"/>
      <x v="4"/>
      <x v="80"/>
      <x v="156"/>
    </i>
    <i r="1">
      <x v="87"/>
      <x v="4"/>
      <x v="80"/>
      <x v="158"/>
    </i>
    <i r="1">
      <x v="88"/>
      <x v="4"/>
      <x v="80"/>
      <x v="172"/>
    </i>
    <i r="1">
      <x v="102"/>
      <x v="4"/>
      <x v="80"/>
      <x v="123"/>
    </i>
    <i r="1">
      <x v="114"/>
      <x v="4"/>
      <x v="80"/>
      <x v="83"/>
    </i>
    <i r="1">
      <x v="123"/>
      <x v="4"/>
      <x v="80"/>
      <x v="171"/>
    </i>
    <i r="1">
      <x v="168"/>
      <x v="4"/>
      <x v="80"/>
      <x v="152"/>
    </i>
    <i r="1">
      <x v="187"/>
      <x v="4"/>
      <x v="80"/>
      <x v="138"/>
    </i>
    <i t="default">
      <x v="73"/>
    </i>
    <i>
      <x v="74"/>
      <x v="36"/>
      <x v="4"/>
      <x v="80"/>
      <x v="131"/>
    </i>
    <i r="1">
      <x v="132"/>
      <x v="4"/>
      <x v="80"/>
      <x v="158"/>
    </i>
    <i t="default">
      <x v="74"/>
    </i>
    <i>
      <x v="75"/>
      <x v="39"/>
      <x v="4"/>
      <x v="80"/>
      <x v="167"/>
    </i>
    <i r="1">
      <x v="133"/>
      <x v="4"/>
      <x v="80"/>
      <x v="170"/>
    </i>
    <i r="1">
      <x v="179"/>
      <x v="4"/>
      <x v="80"/>
      <x v="121"/>
    </i>
    <i t="default">
      <x v="75"/>
    </i>
    <i>
      <x v="76"/>
      <x v="91"/>
      <x v="4"/>
      <x v="80"/>
      <x v="184"/>
    </i>
    <i r="4">
      <x v="185"/>
    </i>
    <i r="1">
      <x v="122"/>
      <x v="4"/>
      <x v="80"/>
      <x v="172"/>
    </i>
    <i t="default">
      <x v="76"/>
    </i>
    <i>
      <x v="77"/>
      <x v="16"/>
      <x v="4"/>
      <x v="80"/>
      <x v="171"/>
    </i>
    <i r="1">
      <x v="36"/>
      <x v="4"/>
      <x v="80"/>
      <x v="123"/>
    </i>
    <i r="1">
      <x v="38"/>
      <x v="4"/>
      <x v="80"/>
      <x v="157"/>
    </i>
    <i r="1">
      <x v="40"/>
      <x v="4"/>
      <x v="80"/>
      <x v="170"/>
    </i>
    <i r="1">
      <x v="48"/>
      <x v="4"/>
      <x v="80"/>
      <x v="177"/>
    </i>
    <i r="1">
      <x v="134"/>
      <x v="4"/>
      <x v="80"/>
      <x v="170"/>
    </i>
    <i r="1">
      <x v="165"/>
      <x v="4"/>
      <x v="80"/>
      <x v="161"/>
    </i>
    <i t="default">
      <x v="77"/>
    </i>
    <i>
      <x v="79"/>
      <x v="17"/>
      <x v="4"/>
      <x v="80"/>
      <x v="159"/>
    </i>
    <i r="1">
      <x v="38"/>
      <x v="4"/>
      <x v="80"/>
      <x v="156"/>
    </i>
    <i r="1">
      <x v="69"/>
      <x v="4"/>
      <x v="80"/>
      <x v="152"/>
    </i>
    <i r="1">
      <x v="74"/>
      <x v="4"/>
      <x v="80"/>
      <x v="157"/>
    </i>
    <i r="1">
      <x v="75"/>
      <x v="4"/>
      <x v="80"/>
      <x v="166"/>
    </i>
    <i r="1">
      <x v="78"/>
      <x v="4"/>
      <x v="80"/>
      <x v="146"/>
    </i>
    <i r="1">
      <x v="87"/>
      <x v="4"/>
      <x v="80"/>
      <x v="151"/>
    </i>
    <i r="1">
      <x v="89"/>
      <x v="4"/>
      <x v="80"/>
      <x v="180"/>
    </i>
    <i r="1">
      <x v="102"/>
      <x v="4"/>
      <x v="80"/>
      <x v="122"/>
    </i>
    <i r="1">
      <x v="129"/>
      <x v="4"/>
      <x v="80"/>
      <x v="123"/>
    </i>
    <i r="1">
      <x v="132"/>
      <x v="4"/>
      <x v="80"/>
      <x v="156"/>
    </i>
    <i r="1">
      <x v="166"/>
      <x v="4"/>
      <x v="80"/>
      <x v="145"/>
    </i>
    <i r="1">
      <x v="168"/>
      <x v="4"/>
      <x v="80"/>
      <x v="153"/>
    </i>
    <i r="1">
      <x v="186"/>
      <x v="4"/>
      <x v="80"/>
      <x v="80"/>
    </i>
    <i t="default">
      <x v="79"/>
    </i>
    <i>
      <x v="81"/>
      <x v="18"/>
      <x v="4"/>
      <x v="80"/>
      <x v="164"/>
    </i>
    <i r="1">
      <x v="19"/>
      <x v="4"/>
      <x v="80"/>
      <x v="164"/>
    </i>
    <i r="1">
      <x v="33"/>
      <x v="4"/>
      <x v="80"/>
      <x v="170"/>
    </i>
    <i r="1">
      <x v="38"/>
      <x v="4"/>
      <x v="80"/>
      <x v="157"/>
    </i>
    <i t="default">
      <x v="81"/>
    </i>
    <i>
      <x v="83"/>
      <x v="36"/>
      <x v="4"/>
      <x v="80"/>
      <x v="131"/>
    </i>
    <i r="1">
      <x v="105"/>
      <x v="4"/>
      <x v="80"/>
      <x v="110"/>
    </i>
    <i t="default">
      <x v="83"/>
    </i>
    <i>
      <x v="87"/>
      <x v="38"/>
      <x v="4"/>
      <x v="80"/>
      <x v="157"/>
    </i>
    <i r="1">
      <x v="88"/>
      <x v="4"/>
      <x v="80"/>
      <x v="173"/>
    </i>
    <i r="1">
      <x v="121"/>
      <x v="4"/>
      <x v="80"/>
      <x v="160"/>
    </i>
    <i t="default">
      <x v="87"/>
    </i>
    <i>
      <x v="88"/>
      <x v="41"/>
      <x v="4"/>
      <x v="80"/>
      <x v="180"/>
    </i>
    <i r="1">
      <x v="136"/>
      <x v="4"/>
      <x v="80"/>
      <x v="181"/>
    </i>
    <i r="1">
      <x v="168"/>
      <x v="4"/>
      <x v="80"/>
      <x v="161"/>
    </i>
    <i t="default">
      <x v="88"/>
    </i>
    <i>
      <x v="89"/>
      <x v="38"/>
      <x v="4"/>
      <x v="80"/>
      <x v="156"/>
    </i>
    <i r="1">
      <x v="132"/>
      <x v="4"/>
      <x v="80"/>
      <x v="156"/>
    </i>
    <i t="default">
      <x v="89"/>
    </i>
    <i>
      <x v="90"/>
      <x v="38"/>
      <x v="4"/>
      <x v="80"/>
      <x v="156"/>
    </i>
    <i r="1">
      <x v="132"/>
      <x v="4"/>
      <x v="80"/>
      <x v="156"/>
    </i>
    <i r="1">
      <x v="168"/>
      <x v="4"/>
      <x v="80"/>
      <x v="159"/>
    </i>
    <i t="default">
      <x v="90"/>
    </i>
    <i>
      <x v="92"/>
      <x v="10"/>
      <x v="4"/>
      <x v="80"/>
      <x v="139"/>
    </i>
    <i r="1">
      <x v="24"/>
      <x v="4"/>
      <x v="80"/>
      <x v="12"/>
    </i>
    <i r="1">
      <x v="30"/>
      <x v="4"/>
      <x v="80"/>
      <x v="12"/>
    </i>
    <i r="1">
      <x v="31"/>
      <x v="4"/>
      <x v="80"/>
      <x v="52"/>
    </i>
    <i r="1">
      <x v="36"/>
      <x v="4"/>
      <x v="80"/>
      <x v="131"/>
    </i>
    <i r="1">
      <x v="38"/>
      <x v="4"/>
      <x v="80"/>
      <x v="156"/>
    </i>
    <i r="1">
      <x v="43"/>
      <x v="4"/>
      <x v="80"/>
      <x v="52"/>
    </i>
    <i r="1">
      <x v="48"/>
      <x v="4"/>
      <x v="80"/>
      <x v="177"/>
    </i>
    <i r="1">
      <x v="51"/>
      <x v="4"/>
      <x v="80"/>
      <x v="195"/>
    </i>
    <i r="1">
      <x v="54"/>
      <x v="4"/>
      <x v="80"/>
      <x v="83"/>
    </i>
    <i r="1">
      <x v="62"/>
      <x v="4"/>
      <x v="80"/>
      <x v="12"/>
    </i>
    <i r="1">
      <x v="63"/>
      <x v="4"/>
      <x v="80"/>
      <x v="52"/>
    </i>
    <i r="1">
      <x v="70"/>
      <x v="4"/>
      <x v="80"/>
      <x v="13"/>
    </i>
    <i r="1">
      <x v="72"/>
      <x v="4"/>
      <x v="80"/>
      <x v="110"/>
    </i>
    <i r="1">
      <x v="78"/>
      <x v="4"/>
      <x v="80"/>
      <x v="146"/>
    </i>
    <i r="1">
      <x v="79"/>
      <x v="4"/>
      <x v="80"/>
      <x v="12"/>
    </i>
    <i r="1">
      <x v="83"/>
      <x v="4"/>
      <x v="80"/>
      <x v="138"/>
    </i>
    <i r="1">
      <x v="96"/>
      <x v="4"/>
      <x v="80"/>
      <x v="149"/>
    </i>
    <i r="1">
      <x v="97"/>
      <x v="4"/>
      <x v="80"/>
      <x v="97"/>
    </i>
    <i r="1">
      <x v="109"/>
      <x v="4"/>
      <x v="80"/>
      <x v="139"/>
    </i>
    <i r="1">
      <x v="114"/>
      <x v="4"/>
      <x v="80"/>
      <x v="83"/>
    </i>
    <i r="1">
      <x v="142"/>
      <x v="4"/>
      <x v="80"/>
      <x v="127"/>
    </i>
    <i r="1">
      <x v="146"/>
      <x v="4"/>
      <x v="80"/>
      <x v="129"/>
    </i>
    <i r="1">
      <x v="147"/>
      <x v="4"/>
      <x v="80"/>
      <x v="147"/>
    </i>
    <i r="1">
      <x v="152"/>
      <x v="4"/>
      <x v="80"/>
      <x v="12"/>
    </i>
    <i r="1">
      <x v="153"/>
      <x v="4"/>
      <x v="80"/>
      <x v="52"/>
    </i>
    <i r="1">
      <x v="158"/>
      <x v="4"/>
      <x v="80"/>
      <x v="12"/>
    </i>
    <i r="1">
      <x v="161"/>
      <x v="4"/>
      <x v="80"/>
      <x v="13"/>
    </i>
    <i r="1">
      <x v="166"/>
      <x v="4"/>
      <x v="80"/>
      <x v="148"/>
    </i>
    <i r="1">
      <x v="178"/>
      <x v="4"/>
      <x v="80"/>
      <x v="12"/>
    </i>
    <i r="1">
      <x v="186"/>
      <x v="4"/>
      <x v="80"/>
      <x v="91"/>
    </i>
    <i r="1">
      <x v="189"/>
      <x v="4"/>
      <x v="80"/>
      <x v="85"/>
    </i>
    <i t="default">
      <x v="92"/>
    </i>
    <i>
      <x v="93"/>
      <x v="38"/>
      <x v="4"/>
      <x v="80"/>
      <x v="156"/>
    </i>
    <i r="1">
      <x v="134"/>
      <x v="4"/>
      <x v="80"/>
      <x v="170"/>
    </i>
    <i t="default">
      <x v="93"/>
    </i>
    <i>
      <x v="94"/>
      <x v="39"/>
      <x v="4"/>
      <x v="80"/>
      <x v="167"/>
    </i>
    <i r="1">
      <x v="133"/>
      <x v="4"/>
      <x v="80"/>
      <x v="170"/>
    </i>
    <i r="1">
      <x v="135"/>
      <x v="4"/>
      <x v="80"/>
      <x v="171"/>
    </i>
    <i t="default">
      <x v="94"/>
    </i>
    <i>
      <x v="95"/>
      <x v="122"/>
      <x v="4"/>
      <x v="80"/>
      <x v="172"/>
    </i>
    <i t="default">
      <x v="95"/>
    </i>
    <i>
      <x v="98"/>
      <x v="10"/>
      <x v="4"/>
      <x v="80"/>
      <x v="139"/>
    </i>
    <i r="1">
      <x v="38"/>
      <x v="4"/>
      <x v="80"/>
      <x v="156"/>
    </i>
    <i r="1">
      <x v="78"/>
      <x v="4"/>
      <x v="80"/>
      <x v="146"/>
    </i>
    <i r="1">
      <x v="132"/>
      <x v="4"/>
      <x v="80"/>
      <x v="158"/>
    </i>
    <i t="default">
      <x v="98"/>
    </i>
    <i>
      <x v="99"/>
      <x v="37"/>
      <x v="4"/>
      <x v="80"/>
      <x v="150"/>
    </i>
    <i r="1">
      <x v="173"/>
      <x v="4"/>
      <x v="80"/>
      <x v="85"/>
    </i>
    <i t="default">
      <x v="99"/>
    </i>
    <i>
      <x v="101"/>
      <x v="36"/>
      <x v="4"/>
      <x v="80"/>
      <x v="131"/>
    </i>
    <i r="1">
      <x v="129"/>
      <x v="4"/>
      <x v="80"/>
      <x v="139"/>
    </i>
    <i t="default">
      <x v="101"/>
    </i>
    <i>
      <x v="102"/>
      <x v="75"/>
      <x v="4"/>
      <x v="80"/>
      <x v="162"/>
    </i>
    <i t="default">
      <x v="102"/>
    </i>
    <i>
      <x v="104"/>
      <x v="38"/>
      <x v="4"/>
      <x v="80"/>
      <x v="157"/>
    </i>
    <i r="1">
      <x v="132"/>
      <x v="4"/>
      <x v="80"/>
      <x v="158"/>
    </i>
    <i t="default">
      <x v="104"/>
    </i>
    <i>
      <x v="105"/>
      <x v="38"/>
      <x v="4"/>
      <x v="80"/>
      <x v="157"/>
    </i>
    <i t="default">
      <x v="105"/>
    </i>
    <i>
      <x v="106"/>
      <x v="38"/>
      <x v="4"/>
      <x v="80"/>
      <x v="157"/>
    </i>
    <i r="1">
      <x v="132"/>
      <x v="4"/>
      <x v="80"/>
      <x v="158"/>
    </i>
    <i t="default">
      <x v="106"/>
    </i>
    <i>
      <x v="107"/>
      <x v="36"/>
      <x v="4"/>
      <x v="80"/>
      <x v="123"/>
    </i>
    <i r="1">
      <x v="193"/>
      <x v="4"/>
      <x v="80"/>
      <x v="136"/>
    </i>
    <i r="1">
      <x v="194"/>
      <x v="4"/>
      <x v="80"/>
      <x v="166"/>
    </i>
    <i t="default">
      <x v="107"/>
    </i>
    <i>
      <x v="112"/>
      <x v="37"/>
      <x v="4"/>
      <x v="80"/>
      <x v="150"/>
    </i>
    <i r="1">
      <x v="120"/>
      <x v="4"/>
      <x v="80"/>
      <x v="163"/>
    </i>
    <i t="default">
      <x v="112"/>
    </i>
    <i>
      <x v="113"/>
      <x v="88"/>
      <x v="4"/>
      <x v="80"/>
      <x v="173"/>
    </i>
    <i r="1">
      <x v="132"/>
      <x v="4"/>
      <x v="80"/>
      <x v="158"/>
    </i>
    <i r="1">
      <x v="168"/>
      <x v="4"/>
      <x v="80"/>
      <x v="161"/>
    </i>
    <i t="default">
      <x v="113"/>
    </i>
    <i>
      <x v="114"/>
      <x v="89"/>
      <x v="4"/>
      <x v="80"/>
      <x v="182"/>
    </i>
    <i r="1">
      <x v="91"/>
      <x v="4"/>
      <x v="80"/>
      <x v="185"/>
    </i>
    <i r="1">
      <x v="136"/>
      <x v="4"/>
      <x v="80"/>
      <x v="182"/>
    </i>
    <i r="1">
      <x v="168"/>
      <x v="4"/>
      <x v="80"/>
      <x v="161"/>
    </i>
    <i t="default">
      <x v="114"/>
    </i>
    <i>
      <x v="115"/>
      <x v="140"/>
      <x v="4"/>
      <x v="80"/>
      <x v="160"/>
    </i>
    <i r="1">
      <x v="163"/>
      <x v="4"/>
      <x v="80"/>
      <x v="146"/>
    </i>
    <i r="1">
      <x v="170"/>
      <x v="4"/>
      <x v="80"/>
      <x v="176"/>
    </i>
    <i t="default">
      <x v="115"/>
    </i>
    <i>
      <x v="117"/>
      <x v="40"/>
      <x v="4"/>
      <x v="80"/>
      <x v="170"/>
    </i>
    <i r="1">
      <x v="124"/>
      <x v="4"/>
      <x v="80"/>
      <x v="177"/>
    </i>
    <i r="1">
      <x v="134"/>
      <x v="4"/>
      <x v="80"/>
      <x v="170"/>
    </i>
    <i t="default">
      <x v="117"/>
    </i>
    <i>
      <x v="118"/>
      <x v="38"/>
      <x v="4"/>
      <x v="80"/>
      <x v="156"/>
    </i>
    <i r="1">
      <x v="132"/>
      <x v="4"/>
      <x v="80"/>
      <x v="156"/>
    </i>
    <i t="default">
      <x v="118"/>
    </i>
    <i>
      <x v="119"/>
      <x v="38"/>
      <x v="4"/>
      <x v="80"/>
      <x v="156"/>
    </i>
    <i r="1">
      <x v="48"/>
      <x v="4"/>
      <x v="80"/>
      <x v="177"/>
    </i>
    <i r="1">
      <x v="91"/>
      <x v="4"/>
      <x v="80"/>
      <x v="184"/>
    </i>
    <i t="default">
      <x v="119"/>
    </i>
    <i>
      <x v="120"/>
      <x v="36"/>
      <x v="4"/>
      <x v="80"/>
      <x v="123"/>
    </i>
    <i r="1">
      <x v="38"/>
      <x v="4"/>
      <x v="80"/>
      <x v="156"/>
    </i>
    <i r="1">
      <x v="134"/>
      <x v="4"/>
      <x v="80"/>
      <x v="170"/>
    </i>
    <i t="default">
      <x v="120"/>
    </i>
    <i>
      <x v="121"/>
      <x v="36"/>
      <x v="4"/>
      <x v="80"/>
      <x v="123"/>
    </i>
    <i r="1">
      <x v="38"/>
      <x v="4"/>
      <x v="80"/>
      <x v="156"/>
    </i>
    <i r="1">
      <x v="40"/>
      <x v="4"/>
      <x v="80"/>
      <x v="170"/>
    </i>
    <i r="1">
      <x v="123"/>
      <x v="4"/>
      <x v="80"/>
      <x v="171"/>
    </i>
    <i r="1">
      <x v="134"/>
      <x v="4"/>
      <x v="80"/>
      <x v="170"/>
    </i>
    <i t="default">
      <x v="121"/>
    </i>
    <i>
      <x v="122"/>
      <x v="38"/>
      <x v="4"/>
      <x v="80"/>
      <x v="157"/>
    </i>
    <i r="1">
      <x v="88"/>
      <x v="4"/>
      <x v="80"/>
      <x v="172"/>
    </i>
    <i r="1">
      <x v="132"/>
      <x v="4"/>
      <x v="80"/>
      <x v="158"/>
    </i>
    <i t="default">
      <x v="122"/>
    </i>
    <i>
      <x v="123"/>
      <x v="38"/>
      <x v="4"/>
      <x v="80"/>
      <x v="157"/>
    </i>
    <i r="1">
      <x v="136"/>
      <x v="4"/>
      <x v="80"/>
      <x v="181"/>
    </i>
    <i r="1">
      <x v="168"/>
      <x v="4"/>
      <x v="80"/>
      <x v="161"/>
    </i>
    <i t="default">
      <x v="123"/>
    </i>
    <i>
      <x v="124"/>
      <x v="164"/>
      <x v="4"/>
      <x v="80"/>
      <x v="124"/>
    </i>
    <i t="default">
      <x v="124"/>
    </i>
    <i>
      <x v="126"/>
      <x v="38"/>
      <x v="4"/>
      <x v="80"/>
      <x v="157"/>
    </i>
    <i r="1">
      <x v="132"/>
      <x v="4"/>
      <x v="80"/>
      <x v="158"/>
    </i>
    <i t="default">
      <x v="126"/>
    </i>
    <i>
      <x v="127"/>
      <x v="88"/>
      <x v="4"/>
      <x v="80"/>
      <x v="172"/>
    </i>
    <i r="1">
      <x v="89"/>
      <x v="4"/>
      <x v="80"/>
      <x v="180"/>
    </i>
    <i r="1">
      <x v="140"/>
      <x v="4"/>
      <x v="80"/>
      <x v="157"/>
    </i>
    <i t="default">
      <x v="127"/>
    </i>
    <i>
      <x v="132"/>
      <x v="88"/>
      <x v="4"/>
      <x v="80"/>
      <x v="173"/>
    </i>
    <i r="1">
      <x v="168"/>
      <x v="4"/>
      <x v="80"/>
      <x v="161"/>
    </i>
    <i t="default">
      <x v="132"/>
    </i>
    <i>
      <x v="133"/>
      <x v="88"/>
      <x v="4"/>
      <x v="80"/>
      <x v="173"/>
    </i>
    <i t="default">
      <x v="133"/>
    </i>
    <i>
      <x v="134"/>
      <x v="69"/>
      <x v="4"/>
      <x v="80"/>
      <x v="152"/>
    </i>
    <i r="1">
      <x v="88"/>
      <x v="4"/>
      <x v="80"/>
      <x v="172"/>
    </i>
    <i r="1">
      <x v="132"/>
      <x v="4"/>
      <x v="80"/>
      <x v="158"/>
    </i>
    <i t="default">
      <x v="134"/>
    </i>
    <i>
      <x v="135"/>
      <x v="38"/>
      <x v="4"/>
      <x v="80"/>
      <x v="157"/>
    </i>
    <i r="1">
      <x v="42"/>
      <x v="4"/>
      <x v="80"/>
      <x v="180"/>
    </i>
    <i r="1">
      <x v="69"/>
      <x v="4"/>
      <x v="80"/>
      <x v="152"/>
    </i>
    <i r="1">
      <x v="88"/>
      <x v="4"/>
      <x v="80"/>
      <x v="183"/>
    </i>
    <i r="1">
      <x v="89"/>
      <x v="4"/>
      <x v="80"/>
      <x v="182"/>
    </i>
    <i r="1">
      <x v="122"/>
      <x v="4"/>
      <x v="80"/>
      <x v="175"/>
    </i>
    <i t="default">
      <x v="135"/>
    </i>
    <i>
      <x v="136"/>
      <x v="99"/>
      <x v="4"/>
      <x v="80"/>
      <x v="25"/>
    </i>
    <i t="default">
      <x v="136"/>
    </i>
    <i>
      <x v="139"/>
      <x v="38"/>
      <x v="4"/>
      <x v="80"/>
      <x v="157"/>
    </i>
    <i r="1">
      <x v="88"/>
      <x v="4"/>
      <x v="80"/>
      <x v="173"/>
    </i>
    <i r="1">
      <x v="90"/>
      <x v="4"/>
      <x v="80"/>
      <x v="185"/>
    </i>
    <i r="1">
      <x v="132"/>
      <x v="4"/>
      <x v="80"/>
      <x v="158"/>
    </i>
    <i r="1">
      <x v="136"/>
      <x v="4"/>
      <x v="80"/>
      <x v="181"/>
    </i>
    <i r="1">
      <x v="166"/>
      <x v="4"/>
      <x v="80"/>
      <x v="148"/>
    </i>
    <i t="default">
      <x v="139"/>
    </i>
    <i>
      <x v="141"/>
      <x v="47"/>
      <x v="4"/>
      <x v="80"/>
      <x v="168"/>
    </i>
    <i r="1">
      <x v="104"/>
      <x v="4"/>
      <x v="80"/>
      <x v="154"/>
    </i>
    <i r="1">
      <x v="110"/>
      <x v="4"/>
      <x v="80"/>
      <x v="142"/>
    </i>
    <i r="1">
      <x v="132"/>
      <x v="4"/>
      <x v="80"/>
      <x v="156"/>
    </i>
    <i r="1">
      <x v="168"/>
      <x v="4"/>
      <x v="80"/>
      <x v="159"/>
    </i>
    <i t="default">
      <x v="141"/>
    </i>
    <i>
      <x v="142"/>
      <x v="38"/>
      <x v="4"/>
      <x v="80"/>
      <x v="156"/>
    </i>
    <i r="1">
      <x v="84"/>
      <x v="4"/>
      <x v="80"/>
      <x v="149"/>
    </i>
    <i r="1">
      <x v="132"/>
      <x v="4"/>
      <x v="80"/>
      <x v="158"/>
    </i>
    <i t="default">
      <x v="142"/>
    </i>
    <i>
      <x v="144"/>
      <x v="41"/>
      <x v="4"/>
      <x v="80"/>
      <x v="180"/>
    </i>
    <i r="1">
      <x v="132"/>
      <x v="4"/>
      <x v="80"/>
      <x v="158"/>
    </i>
    <i t="default">
      <x v="144"/>
    </i>
    <i>
      <x v="145"/>
      <x v="39"/>
      <x v="4"/>
      <x v="80"/>
      <x v="167"/>
    </i>
    <i r="1">
      <x v="40"/>
      <x v="4"/>
      <x v="80"/>
      <x v="170"/>
    </i>
    <i r="1">
      <x v="41"/>
      <x v="4"/>
      <x v="80"/>
      <x v="180"/>
    </i>
    <i r="1">
      <x v="89"/>
      <x v="4"/>
      <x v="80"/>
      <x v="182"/>
    </i>
    <i r="1">
      <x v="91"/>
      <x v="4"/>
      <x v="80"/>
      <x v="185"/>
    </i>
    <i r="1">
      <x v="134"/>
      <x v="4"/>
      <x v="80"/>
      <x v="174"/>
    </i>
    <i r="1">
      <x v="135"/>
      <x v="4"/>
      <x v="80"/>
      <x v="172"/>
    </i>
    <i r="1">
      <x v="136"/>
      <x v="4"/>
      <x v="80"/>
      <x v="181"/>
    </i>
    <i t="default">
      <x v="145"/>
    </i>
    <i>
      <x v="147"/>
      <x v="113"/>
      <x v="4"/>
      <x v="80"/>
      <x v="37"/>
    </i>
    <i r="1">
      <x v="114"/>
      <x v="4"/>
      <x v="80"/>
      <x v="87"/>
    </i>
    <i r="1">
      <x v="132"/>
      <x v="4"/>
      <x v="80"/>
      <x v="158"/>
    </i>
    <i r="1">
      <x v="173"/>
      <x v="4"/>
      <x v="80"/>
      <x v="85"/>
    </i>
    <i r="1">
      <x v="186"/>
      <x v="4"/>
      <x v="80"/>
      <x v="65"/>
    </i>
    <i t="default">
      <x v="147"/>
    </i>
    <i>
      <x v="149"/>
      <x v="17"/>
      <x v="4"/>
      <x v="80"/>
      <x v="159"/>
    </i>
    <i r="4">
      <x v="161"/>
    </i>
    <i r="1">
      <x v="88"/>
      <x v="4"/>
      <x v="80"/>
      <x v="172"/>
    </i>
    <i r="1">
      <x v="89"/>
      <x v="4"/>
      <x v="80"/>
      <x v="180"/>
    </i>
    <i r="1">
      <x v="122"/>
      <x v="4"/>
      <x v="80"/>
      <x v="172"/>
    </i>
    <i r="1">
      <x v="123"/>
      <x v="4"/>
      <x v="80"/>
      <x v="171"/>
    </i>
    <i r="1">
      <x v="168"/>
      <x v="4"/>
      <x v="80"/>
      <x v="153"/>
    </i>
    <i t="default">
      <x v="149"/>
    </i>
    <i>
      <x v="150"/>
      <x v="91"/>
      <x v="4"/>
      <x v="80"/>
      <x v="184"/>
    </i>
    <i r="1">
      <x v="134"/>
      <x v="4"/>
      <x v="80"/>
      <x v="170"/>
    </i>
    <i r="1">
      <x v="173"/>
      <x v="4"/>
      <x v="80"/>
      <x v="83"/>
    </i>
    <i t="default">
      <x v="150"/>
    </i>
    <i>
      <x v="151"/>
      <x v="36"/>
      <x v="4"/>
      <x v="80"/>
      <x v="131"/>
    </i>
    <i r="1">
      <x v="128"/>
      <x v="4"/>
      <x v="80"/>
      <x v="74"/>
    </i>
    <i t="default">
      <x v="151"/>
    </i>
    <i>
      <x v="152"/>
      <x v="121"/>
      <x v="4"/>
      <x v="80"/>
      <x v="160"/>
    </i>
    <i r="1">
      <x v="146"/>
      <x v="4"/>
      <x v="80"/>
      <x v="128"/>
    </i>
    <i t="default">
      <x v="152"/>
    </i>
    <i>
      <x v="153"/>
      <x v="173"/>
      <x v="4"/>
      <x v="80"/>
      <x v="83"/>
    </i>
    <i t="default">
      <x v="153"/>
    </i>
    <i>
      <x v="154"/>
      <x v="38"/>
      <x v="4"/>
      <x v="80"/>
      <x v="157"/>
    </i>
    <i r="1">
      <x v="132"/>
      <x v="4"/>
      <x v="80"/>
      <x v="158"/>
    </i>
    <i t="default">
      <x v="154"/>
    </i>
    <i>
      <x v="155"/>
      <x v="89"/>
      <x v="4"/>
      <x v="80"/>
      <x v="182"/>
    </i>
    <i r="1">
      <x v="167"/>
      <x v="4"/>
      <x v="80"/>
      <x v="169"/>
    </i>
    <i t="default">
      <x v="155"/>
    </i>
    <i>
      <x v="157"/>
      <x v="48"/>
      <x v="4"/>
      <x v="80"/>
      <x v="178"/>
    </i>
    <i r="1">
      <x v="92"/>
      <x v="4"/>
      <x v="80"/>
      <x v="186"/>
    </i>
    <i t="default">
      <x v="157"/>
    </i>
    <i>
      <x v="158"/>
      <x v="38"/>
      <x v="4"/>
      <x v="80"/>
      <x v="157"/>
    </i>
    <i r="1">
      <x v="89"/>
      <x v="4"/>
      <x v="80"/>
      <x v="182"/>
    </i>
    <i r="1">
      <x v="121"/>
      <x v="4"/>
      <x v="80"/>
      <x v="159"/>
    </i>
    <i r="1">
      <x v="173"/>
      <x v="4"/>
      <x v="80"/>
      <x v="85"/>
    </i>
    <i t="default">
      <x v="158"/>
    </i>
    <i t="grand">
      <x/>
    </i>
  </rowItems>
  <colFields count="1">
    <field x="-2"/>
  </colFields>
  <colItems count="2">
    <i>
      <x/>
    </i>
    <i i="1">
      <x v="1"/>
    </i>
  </colItems>
  <dataFields count="2">
    <dataField name="Sum of Order Qty_Bulbs" fld="13" baseField="0" baseItem="0"/>
    <dataField name="Sum of Customer Contract Amount_VND" fld="15"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SubtotalsOnTopDefault="0"/>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D1:AB81"/>
  <sheetViews>
    <sheetView showGridLines="0" view="pageBreakPreview" topLeftCell="A2" zoomScaleNormal="100" zoomScaleSheetLayoutView="100" workbookViewId="0">
      <selection activeCell="J35" sqref="J35"/>
    </sheetView>
  </sheetViews>
  <sheetFormatPr defaultRowHeight="15" outlineLevelCol="1"/>
  <cols>
    <col min="4" max="4" width="5.7109375" customWidth="1"/>
    <col min="5" max="5" width="28.42578125" customWidth="1"/>
    <col min="6" max="6" width="8.7109375" customWidth="1"/>
    <col min="7" max="7" width="8.140625" customWidth="1"/>
    <col min="8" max="8" width="9.85546875" customWidth="1"/>
    <col min="9" max="9" width="10.140625" customWidth="1"/>
    <col min="10" max="10" width="11.7109375" customWidth="1"/>
    <col min="11" max="11" width="15.42578125" customWidth="1"/>
    <col min="14" max="15" width="10.7109375" hidden="1" customWidth="1" outlineLevel="1"/>
    <col min="16" max="27" width="9.140625" hidden="1" customWidth="1" outlineLevel="1"/>
    <col min="28" max="28" width="9.140625" customWidth="1" collapsed="1"/>
  </cols>
  <sheetData>
    <row r="1" spans="4:11" hidden="1">
      <c r="D1" t="s">
        <v>508</v>
      </c>
      <c r="E1" t="s">
        <v>7</v>
      </c>
      <c r="F1" t="s">
        <v>8</v>
      </c>
      <c r="G1" t="s">
        <v>9</v>
      </c>
      <c r="H1" t="s">
        <v>352</v>
      </c>
      <c r="I1" t="s">
        <v>353</v>
      </c>
      <c r="J1" t="s">
        <v>12</v>
      </c>
      <c r="K1" t="s">
        <v>354</v>
      </c>
    </row>
    <row r="2" spans="4:11" s="123" customFormat="1" ht="12.75">
      <c r="D2" s="273" t="s">
        <v>509</v>
      </c>
      <c r="E2" s="273"/>
      <c r="F2" s="273"/>
      <c r="G2" s="122"/>
      <c r="H2" s="122"/>
      <c r="I2" s="273" t="s">
        <v>510</v>
      </c>
      <c r="J2" s="273"/>
      <c r="K2" s="273"/>
    </row>
    <row r="3" spans="4:11" s="123" customFormat="1" ht="12.75">
      <c r="D3" s="273" t="s">
        <v>1851</v>
      </c>
      <c r="E3" s="273"/>
      <c r="F3" s="273"/>
      <c r="G3" s="122"/>
      <c r="H3" s="122"/>
      <c r="I3" s="273" t="s">
        <v>511</v>
      </c>
      <c r="J3" s="273"/>
      <c r="K3" s="273"/>
    </row>
    <row r="4" spans="4:11" s="123" customFormat="1" ht="12.75">
      <c r="D4" s="124" t="s">
        <v>508</v>
      </c>
      <c r="E4" s="121"/>
      <c r="F4" s="121"/>
      <c r="G4" s="122"/>
      <c r="H4" s="122"/>
      <c r="I4" s="274" t="s">
        <v>512</v>
      </c>
      <c r="J4" s="273"/>
      <c r="K4" s="273"/>
    </row>
    <row r="5" spans="4:11" ht="20.25">
      <c r="D5" s="275" t="s">
        <v>513</v>
      </c>
      <c r="E5" s="275"/>
      <c r="F5" s="275"/>
      <c r="G5" s="275"/>
      <c r="H5" s="275"/>
      <c r="I5" s="275"/>
      <c r="J5" s="275"/>
      <c r="K5" s="275"/>
    </row>
    <row r="6" spans="4:11" ht="15.75">
      <c r="D6" s="276" t="s">
        <v>1330</v>
      </c>
      <c r="E6" s="276"/>
      <c r="F6" s="276"/>
      <c r="G6" s="276"/>
      <c r="H6" s="276"/>
      <c r="I6" s="276"/>
      <c r="J6" s="276"/>
      <c r="K6" s="276"/>
    </row>
    <row r="7" spans="4:11" ht="15.75">
      <c r="D7" s="277" t="str">
        <f>" Số hợp đồng: "&amp;Order!C8</f>
        <v xml:space="preserve"> Số hợp đồng: 236/2019</v>
      </c>
      <c r="E7" s="277"/>
      <c r="F7" s="277"/>
      <c r="G7" s="277"/>
      <c r="H7" s="277"/>
      <c r="I7" s="277"/>
      <c r="J7" s="277"/>
      <c r="K7" s="277"/>
    </row>
    <row r="8" spans="4:11">
      <c r="D8" s="126" t="s">
        <v>508</v>
      </c>
      <c r="E8" s="127"/>
      <c r="F8" s="127"/>
      <c r="G8" s="127"/>
      <c r="H8" s="127"/>
      <c r="I8" s="127"/>
      <c r="J8" s="127"/>
      <c r="K8" s="127"/>
    </row>
    <row r="9" spans="4:11" s="128" customFormat="1" ht="15.75">
      <c r="D9" s="278" t="s">
        <v>514</v>
      </c>
      <c r="E9" s="278"/>
      <c r="F9" s="278"/>
      <c r="G9" s="278"/>
      <c r="H9" s="278"/>
      <c r="I9" s="278"/>
      <c r="J9" s="278"/>
      <c r="K9" s="278"/>
    </row>
    <row r="10" spans="4:11" s="128" customFormat="1" ht="47.25" customHeight="1">
      <c r="D10" s="278" t="s">
        <v>515</v>
      </c>
      <c r="E10" s="278"/>
      <c r="F10" s="278"/>
      <c r="G10" s="278"/>
      <c r="H10" s="278"/>
      <c r="I10" s="278"/>
      <c r="J10" s="278"/>
      <c r="K10" s="278"/>
    </row>
    <row r="11" spans="4:11" s="128" customFormat="1" ht="15.75">
      <c r="D11" s="278" t="s">
        <v>516</v>
      </c>
      <c r="E11" s="278"/>
      <c r="F11" s="278"/>
      <c r="G11" s="278"/>
      <c r="H11" s="278"/>
      <c r="I11" s="278"/>
      <c r="J11" s="278"/>
      <c r="K11" s="278"/>
    </row>
    <row r="12" spans="4:11" s="128" customFormat="1" ht="15.75">
      <c r="D12" s="272" t="s">
        <v>517</v>
      </c>
      <c r="E12" s="272"/>
      <c r="F12" s="272"/>
      <c r="G12" s="272"/>
      <c r="H12" s="272"/>
      <c r="I12" s="272"/>
      <c r="J12" s="272"/>
      <c r="K12" s="272"/>
    </row>
    <row r="13" spans="4:11" s="128" customFormat="1" ht="15.75">
      <c r="D13" s="280" t="s">
        <v>518</v>
      </c>
      <c r="E13" s="280"/>
      <c r="F13" s="280"/>
      <c r="G13" s="280"/>
      <c r="H13" s="280"/>
      <c r="I13" s="280"/>
      <c r="J13" s="280"/>
      <c r="K13" s="280"/>
    </row>
    <row r="14" spans="4:11" s="128" customFormat="1" ht="15.75">
      <c r="D14" s="280" t="s">
        <v>509</v>
      </c>
      <c r="E14" s="280"/>
      <c r="F14" s="280"/>
      <c r="G14" s="280"/>
      <c r="H14" s="280"/>
      <c r="I14" s="280"/>
      <c r="J14" s="280"/>
      <c r="K14" s="280"/>
    </row>
    <row r="15" spans="4:11" s="128" customFormat="1" ht="15.75">
      <c r="D15" s="279" t="s">
        <v>519</v>
      </c>
      <c r="E15" s="279"/>
      <c r="F15" s="279"/>
      <c r="G15" s="279"/>
      <c r="H15" s="279"/>
      <c r="I15" s="279"/>
      <c r="J15" s="279"/>
      <c r="K15" s="279"/>
    </row>
    <row r="16" spans="4:11" s="128" customFormat="1" ht="15.75">
      <c r="D16" s="279" t="s">
        <v>520</v>
      </c>
      <c r="E16" s="279"/>
      <c r="F16" s="279"/>
      <c r="G16" s="279"/>
      <c r="H16" s="279"/>
      <c r="I16" s="279"/>
      <c r="J16" s="279"/>
      <c r="K16" s="279"/>
    </row>
    <row r="17" spans="4:28" s="128" customFormat="1" ht="15.75">
      <c r="D17" s="279" t="s">
        <v>521</v>
      </c>
      <c r="E17" s="279"/>
      <c r="F17" s="279"/>
      <c r="G17" s="279"/>
      <c r="H17" s="279"/>
      <c r="I17" s="279" t="s">
        <v>522</v>
      </c>
      <c r="J17" s="279"/>
      <c r="K17" s="279"/>
    </row>
    <row r="18" spans="4:28" s="128" customFormat="1" ht="15.75">
      <c r="D18" s="279" t="s">
        <v>523</v>
      </c>
      <c r="E18" s="279"/>
      <c r="F18" s="279"/>
      <c r="G18" s="279"/>
      <c r="H18" s="279"/>
      <c r="I18" s="279"/>
      <c r="J18" s="279"/>
      <c r="K18" s="279"/>
    </row>
    <row r="19" spans="4:28" s="128" customFormat="1" ht="15.75">
      <c r="D19" s="279" t="s">
        <v>524</v>
      </c>
      <c r="E19" s="279"/>
      <c r="F19" s="279"/>
      <c r="G19" s="279"/>
      <c r="H19" s="279"/>
      <c r="I19" s="279"/>
      <c r="J19" s="279"/>
      <c r="K19" s="279"/>
    </row>
    <row r="20" spans="4:28" s="128" customFormat="1" ht="15.75">
      <c r="D20" s="280" t="s">
        <v>525</v>
      </c>
      <c r="E20" s="280"/>
      <c r="F20" s="280"/>
      <c r="G20" s="280"/>
      <c r="H20" s="280"/>
      <c r="I20" s="280"/>
      <c r="J20" s="280"/>
      <c r="K20" s="280"/>
    </row>
    <row r="21" spans="4:28" s="128" customFormat="1" ht="15.75">
      <c r="D21" s="280" t="str">
        <f>VLOOKUP(Order!C7,'Customer list'!$A:$E,2,0)</f>
        <v>LÊ BÌNH</v>
      </c>
      <c r="E21" s="280"/>
      <c r="F21" s="280"/>
      <c r="G21" s="280"/>
      <c r="H21" s="280"/>
      <c r="I21" s="280"/>
      <c r="J21" s="280"/>
      <c r="K21" s="280"/>
    </row>
    <row r="22" spans="4:28" s="128" customFormat="1" ht="15.75">
      <c r="D22" s="279" t="str">
        <f>"Điện thoại: "&amp;VLOOKUP(Order!C7,'Customer list'!$A:$E,5,0)</f>
        <v>Điện thoại: 0989490207</v>
      </c>
      <c r="E22" s="279"/>
      <c r="F22" s="279"/>
      <c r="G22" s="279"/>
      <c r="H22" s="279"/>
      <c r="I22" s="279"/>
      <c r="J22" s="279"/>
      <c r="K22" s="279"/>
    </row>
    <row r="23" spans="4:28" s="128" customFormat="1" ht="15.75">
      <c r="D23" s="279" t="str">
        <f>"Điạ chỉ: "&amp;VLOOKUP(Order!C7,'Customer list'!$A:$E,4,0)</f>
        <v>Điạ chỉ: 46 Thái phiên</v>
      </c>
      <c r="E23" s="279"/>
      <c r="F23" s="279"/>
      <c r="G23" s="279"/>
      <c r="H23" s="279"/>
      <c r="I23" s="279"/>
      <c r="J23" s="279"/>
      <c r="K23" s="279"/>
    </row>
    <row r="24" spans="4:28" s="128" customFormat="1" ht="15.75">
      <c r="D24" s="279" t="s">
        <v>526</v>
      </c>
      <c r="E24" s="279"/>
      <c r="F24" s="279"/>
      <c r="G24" s="279"/>
      <c r="H24" s="279"/>
      <c r="I24" s="279"/>
      <c r="J24" s="279"/>
      <c r="K24" s="279"/>
    </row>
    <row r="25" spans="4:28" s="128" customFormat="1" ht="15.75">
      <c r="D25" s="130" t="s">
        <v>508</v>
      </c>
      <c r="E25" s="131"/>
      <c r="F25" s="131"/>
      <c r="G25" s="131"/>
      <c r="H25" s="131"/>
      <c r="I25" s="131"/>
      <c r="J25" s="131"/>
      <c r="K25" s="131"/>
    </row>
    <row r="26" spans="4:28" s="128" customFormat="1" ht="15.75">
      <c r="D26" s="280" t="s">
        <v>527</v>
      </c>
      <c r="E26" s="280"/>
      <c r="F26" s="280"/>
      <c r="G26" s="280"/>
      <c r="H26" s="280"/>
      <c r="I26" s="280"/>
      <c r="J26" s="280"/>
      <c r="K26" s="280"/>
    </row>
    <row r="27" spans="4:28" s="128" customFormat="1" ht="15.75">
      <c r="D27" s="279" t="s">
        <v>528</v>
      </c>
      <c r="E27" s="279"/>
      <c r="F27" s="279"/>
      <c r="G27" s="279"/>
      <c r="H27" s="279"/>
      <c r="I27" s="279"/>
      <c r="J27" s="279"/>
      <c r="K27" s="279"/>
    </row>
    <row r="28" spans="4:28" s="233" customFormat="1" ht="28.5">
      <c r="D28" s="236" t="s">
        <v>362</v>
      </c>
      <c r="E28" s="236" t="s">
        <v>529</v>
      </c>
      <c r="F28" s="236" t="s">
        <v>365</v>
      </c>
      <c r="G28" s="236" t="s">
        <v>530</v>
      </c>
      <c r="H28" s="236" t="s">
        <v>531</v>
      </c>
      <c r="I28" s="236" t="s">
        <v>532</v>
      </c>
      <c r="J28" s="236" t="s">
        <v>533</v>
      </c>
      <c r="K28" s="236" t="s">
        <v>534</v>
      </c>
      <c r="O28" s="238"/>
      <c r="P28" s="133"/>
      <c r="Q28" s="134"/>
      <c r="R28" s="134"/>
      <c r="S28" s="134"/>
      <c r="T28" s="135"/>
      <c r="U28" s="135"/>
      <c r="V28" s="135"/>
      <c r="W28" s="136"/>
      <c r="X28" s="136"/>
      <c r="Y28" s="136"/>
      <c r="Z28" s="137"/>
      <c r="AA28" s="137"/>
      <c r="AB28" s="137"/>
    </row>
    <row r="29" spans="4:28" s="233" customFormat="1" ht="15" customHeight="1">
      <c r="D29" s="229">
        <f>IF((ROW()-COUNTA($D$1:$D$28))&lt;=(COUNTA('Oder Filter'!$A$6:$A$50)),(ROW()-COUNTA($D$1:$D$28)),"")</f>
        <v>1</v>
      </c>
      <c r="E29" s="230" t="str">
        <f>IFERROR(INDEX('Oder Filter'!$A$6:$W$50,$D29,MATCH(E$1,'Oder Filter'!$5:$5,0)),"")</f>
        <v>CONCADOR</v>
      </c>
      <c r="F29" s="231" t="str">
        <f>IFERROR(INDEX('Oder Filter'!$A$6:$W$50,$D29,MATCH(F$1,'Oder Filter'!$5:$5,0)),"")</f>
        <v>18.20</v>
      </c>
      <c r="G29" s="232" t="str">
        <f>IFERROR(INDEX('Oder Filter'!$A$6:$W$50,$D29,MATCH(G$1,'Oder Filter'!$5:$5,0)),"")</f>
        <v>150</v>
      </c>
      <c r="H29" s="232">
        <f>+I29/G29</f>
        <v>34</v>
      </c>
      <c r="I29" s="232">
        <f>IFERROR(INDEX('Oder Filter'!$A$6:$W$50,$D29,MATCH(I$1,'Oder Filter'!$5:$5,0)),"")</f>
        <v>5100</v>
      </c>
      <c r="J29" s="232">
        <f>IFERROR(INDEX('Oder Filter'!$A$6:$W$50,$D29,MATCH(J$1,'Oder Filter'!$5:$5,0)),"")</f>
        <v>8000</v>
      </c>
      <c r="K29" s="232">
        <f>IFERROR(INDEX('Oder Filter'!$A$6:$W$50,$D29,MATCH(K$1,'Oder Filter'!$5:$5,0)),"")</f>
        <v>40800000</v>
      </c>
      <c r="O29" s="234"/>
      <c r="P29" s="139"/>
      <c r="Q29" s="140"/>
      <c r="R29" s="140"/>
      <c r="S29" s="140"/>
      <c r="T29" s="141"/>
      <c r="U29" s="141"/>
      <c r="V29" s="141"/>
      <c r="W29" s="142"/>
      <c r="X29" s="142"/>
      <c r="Y29" s="142"/>
      <c r="Z29" s="143"/>
      <c r="AA29" s="143"/>
      <c r="AB29" s="143"/>
    </row>
    <row r="30" spans="4:28" s="233" customFormat="1" ht="15" customHeight="1">
      <c r="D30" s="229">
        <f>IF((ROW()-COUNTA($D$1:$D$28))&lt;=(COUNTA('Oder Filter'!$A$6:$A$50)),(ROW()-COUNTA($D$1:$D$28)),"")</f>
        <v>2</v>
      </c>
      <c r="E30" s="230" t="str">
        <f>IFERROR(INDEX('Oder Filter'!$A$6:$W$50,$D30,MATCH(E$1,'Oder Filter'!$5:$5,0)),"")</f>
        <v>CONCADOR</v>
      </c>
      <c r="F30" s="231" t="str">
        <f>IFERROR(INDEX('Oder Filter'!$A$6:$W$50,$D30,MATCH(F$1,'Oder Filter'!$5:$5,0)),"")</f>
        <v>20.22</v>
      </c>
      <c r="G30" s="232" t="str">
        <f>IFERROR(INDEX('Oder Filter'!$A$6:$W$50,$D30,MATCH(G$1,'Oder Filter'!$5:$5,0)),"")</f>
        <v>125</v>
      </c>
      <c r="H30" s="232">
        <f>+I30/G30</f>
        <v>80</v>
      </c>
      <c r="I30" s="232">
        <f>IFERROR(INDEX('Oder Filter'!$A$6:$W$50,$D30,MATCH(I$1,'Oder Filter'!$5:$5,0)),"")</f>
        <v>10000</v>
      </c>
      <c r="J30" s="232">
        <f>IFERROR(INDEX('Oder Filter'!$A$6:$W$50,$D30,MATCH(J$1,'Oder Filter'!$5:$5,0)),"")</f>
        <v>10600</v>
      </c>
      <c r="K30" s="232">
        <f>IFERROR(INDEX('Oder Filter'!$A$6:$W$50,$D30,MATCH(K$1,'Oder Filter'!$5:$5,0)),"")</f>
        <v>106000000</v>
      </c>
      <c r="O30" s="234"/>
      <c r="P30" s="139"/>
      <c r="Q30" s="140"/>
      <c r="R30" s="140"/>
      <c r="S30" s="140"/>
      <c r="T30" s="141"/>
      <c r="U30" s="141"/>
      <c r="V30" s="141"/>
      <c r="W30" s="142"/>
      <c r="X30" s="142"/>
      <c r="Y30" s="142"/>
      <c r="Z30" s="143"/>
      <c r="AA30" s="143"/>
      <c r="AB30" s="143"/>
    </row>
    <row r="31" spans="4:28" s="233" customFormat="1" ht="15" customHeight="1">
      <c r="D31" s="229">
        <f>IF((ROW()-COUNTA($D$1:$D$28))&lt;=(COUNTA('Oder Filter'!$A$6:$A$50)),(ROW()-COUNTA($D$1:$D$28)),"")</f>
        <v>3</v>
      </c>
      <c r="E31" s="230" t="str">
        <f>IFERROR(INDEX('Oder Filter'!$A$6:$W$50,$D31,MATCH(E$1,'Oder Filter'!$5:$5,0)),"")</f>
        <v>CONCADOR NEWZELAND</v>
      </c>
      <c r="F31" s="231" t="str">
        <f>IFERROR(INDEX('Oder Filter'!$A$6:$W$50,$D31,MATCH(F$1,'Oder Filter'!$5:$5,0)),"")</f>
        <v>20.22</v>
      </c>
      <c r="G31" s="232" t="str">
        <f>IFERROR(INDEX('Oder Filter'!$A$6:$W$50,$D31,MATCH(G$1,'Oder Filter'!$5:$5,0)),"")</f>
        <v>125</v>
      </c>
      <c r="H31" s="232">
        <f>+I31/G31</f>
        <v>40</v>
      </c>
      <c r="I31" s="232">
        <f>IFERROR(INDEX('Oder Filter'!$A$6:$W$50,$D31,MATCH(I$1,'Oder Filter'!$5:$5,0)),"")</f>
        <v>5000</v>
      </c>
      <c r="J31" s="232">
        <f>IFERROR(INDEX('Oder Filter'!$A$6:$W$50,$D31,MATCH(J$1,'Oder Filter'!$5:$5,0)),"")</f>
        <v>12000</v>
      </c>
      <c r="K31" s="232">
        <f>IFERROR(INDEX('Oder Filter'!$A$6:$W$50,$D31,MATCH(K$1,'Oder Filter'!$5:$5,0)),"")</f>
        <v>60000000</v>
      </c>
      <c r="O31" s="144"/>
      <c r="P31" s="139"/>
      <c r="Q31" s="145"/>
      <c r="R31" s="145"/>
      <c r="S31" s="145"/>
      <c r="T31" s="146"/>
      <c r="U31" s="146"/>
      <c r="V31" s="146"/>
      <c r="W31" s="147"/>
      <c r="X31" s="147"/>
      <c r="Y31" s="147"/>
      <c r="Z31" s="148"/>
      <c r="AA31" s="148"/>
      <c r="AB31" s="148"/>
    </row>
    <row r="32" spans="4:28" s="233" customFormat="1" ht="15" customHeight="1">
      <c r="D32" s="229" t="str">
        <f>IF((ROW()-COUNTA($D$1:$D$28))&lt;=(COUNTA('Oder Filter'!$A$6:$A$50)),(ROW()-COUNTA($D$1:$D$28)),"")</f>
        <v/>
      </c>
      <c r="E32" s="230" t="str">
        <f>IFERROR(INDEX('Oder Filter'!$A$6:$W$50,$D32,MATCH(E$1,'Oder Filter'!$5:$5,0)),"")</f>
        <v/>
      </c>
      <c r="F32" s="231" t="str">
        <f>IFERROR(INDEX('Oder Filter'!$A$6:$W$50,$D32,MATCH(F$1,'Oder Filter'!$5:$5,0)),"")</f>
        <v/>
      </c>
      <c r="G32" s="232" t="str">
        <f>IFERROR(INDEX('Oder Filter'!$A$6:$W$50,$D32,MATCH(G$1,'Oder Filter'!$5:$5,0)),"")</f>
        <v/>
      </c>
      <c r="H32" s="232"/>
      <c r="I32" s="232" t="str">
        <f>IFERROR(INDEX('Oder Filter'!$A$6:$W$50,$D32,MATCH(I$1,'Oder Filter'!$5:$5,0)),"")</f>
        <v/>
      </c>
      <c r="J32" s="232" t="str">
        <f>IFERROR(INDEX('Oder Filter'!$A$6:$W$50,$D32,MATCH(J$1,'Oder Filter'!$5:$5,0)),"")</f>
        <v/>
      </c>
      <c r="K32" s="232" t="str">
        <f>IFERROR(INDEX('Oder Filter'!$A$6:$W$50,$D32,MATCH(K$1,'Oder Filter'!$5:$5,0)),"")</f>
        <v/>
      </c>
      <c r="O32" s="234"/>
      <c r="P32" s="139"/>
      <c r="Q32" s="149"/>
      <c r="R32" s="149"/>
      <c r="S32" s="149"/>
      <c r="T32" s="150"/>
      <c r="U32" s="150"/>
      <c r="V32" s="150"/>
      <c r="W32" s="151"/>
      <c r="X32" s="151"/>
      <c r="Y32" s="151"/>
      <c r="Z32" s="152"/>
      <c r="AA32" s="152"/>
      <c r="AB32" s="152"/>
    </row>
    <row r="33" spans="4:27" s="233" customFormat="1" ht="15" customHeight="1">
      <c r="D33" s="229" t="str">
        <f>IF((ROW()-COUNTA($D$1:$D$28))&lt;=(COUNTA('Oder Filter'!$A$6:$A$50)),(ROW()-COUNTA($D$1:$D$28)),"")</f>
        <v/>
      </c>
      <c r="E33" s="230" t="str">
        <f>IFERROR(INDEX('Oder Filter'!$A$6:$W$50,$D33,MATCH(E$1,'Oder Filter'!$5:$5,0)),"")</f>
        <v/>
      </c>
      <c r="F33" s="231" t="str">
        <f>IFERROR(INDEX('Oder Filter'!$A$6:$W$50,$D33,MATCH(F$1,'Oder Filter'!$5:$5,0)),"")</f>
        <v/>
      </c>
      <c r="G33" s="232" t="str">
        <f>IFERROR(INDEX('Oder Filter'!$A$6:$W$50,$D33,MATCH(G$1,'Oder Filter'!$5:$5,0)),"")</f>
        <v/>
      </c>
      <c r="H33" s="232"/>
      <c r="I33" s="232" t="str">
        <f>IFERROR(INDEX('Oder Filter'!$A$6:$W$50,$D33,MATCH(I$1,'Oder Filter'!$5:$5,0)),"")</f>
        <v/>
      </c>
      <c r="J33" s="232" t="str">
        <f>IFERROR(INDEX('Oder Filter'!$A$6:$W$50,$D33,MATCH(J$1,'Oder Filter'!$5:$5,0)),"")</f>
        <v/>
      </c>
      <c r="K33" s="232" t="str">
        <f>IFERROR(INDEX('Oder Filter'!$A$6:$W$50,$D33,MATCH(K$1,'Oder Filter'!$5:$5,0)),"")</f>
        <v/>
      </c>
    </row>
    <row r="34" spans="4:27" s="233" customFormat="1" ht="15" customHeight="1">
      <c r="D34" s="229" t="str">
        <f>IF((ROW()-COUNTA($D$1:$D$28))&lt;=(COUNTA('Oder Filter'!$A$6:$A$50)),(ROW()-COUNTA($D$1:$D$28)),"")</f>
        <v/>
      </c>
      <c r="E34" s="230" t="str">
        <f>IFERROR(INDEX('Oder Filter'!$A$6:$W$50,$D34,MATCH(E$1,'Oder Filter'!$5:$5,0)),"")</f>
        <v/>
      </c>
      <c r="F34" s="231" t="str">
        <f>IFERROR(INDEX('Oder Filter'!$A$6:$W$50,$D34,MATCH(F$1,'Oder Filter'!$5:$5,0)),"")</f>
        <v/>
      </c>
      <c r="G34" s="232" t="str">
        <f>IFERROR(INDEX('Oder Filter'!$A$6:$W$50,$D34,MATCH(G$1,'Oder Filter'!$5:$5,0)),"")</f>
        <v/>
      </c>
      <c r="H34" s="232"/>
      <c r="I34" s="232" t="str">
        <f>IFERROR(INDEX('Oder Filter'!$A$6:$W$50,$D34,MATCH(I$1,'Oder Filter'!$5:$5,0)),"")</f>
        <v/>
      </c>
      <c r="J34" s="232" t="str">
        <f>IFERROR(INDEX('Oder Filter'!$A$6:$W$50,$D34,MATCH(J$1,'Oder Filter'!$5:$5,0)),"")</f>
        <v/>
      </c>
      <c r="K34" s="232" t="str">
        <f>IFERROR(INDEX('Oder Filter'!$A$6:$W$50,$D34,MATCH(K$1,'Oder Filter'!$5:$5,0)),"")</f>
        <v/>
      </c>
    </row>
    <row r="35" spans="4:27" s="233" customFormat="1" ht="15" customHeight="1">
      <c r="D35" s="229" t="str">
        <f>IF((ROW()-COUNTA($D$1:$D$28))&lt;=(COUNTA('Oder Filter'!$A$6:$A$50)),(ROW()-COUNTA($D$1:$D$28)),"")</f>
        <v/>
      </c>
      <c r="E35" s="230" t="str">
        <f>IFERROR(INDEX('Oder Filter'!$A$6:$W$50,$D35,MATCH(E$1,'Oder Filter'!$5:$5,0)),"")</f>
        <v/>
      </c>
      <c r="F35" s="231" t="str">
        <f>IFERROR(INDEX('Oder Filter'!$A$6:$W$50,$D35,MATCH(F$1,'Oder Filter'!$5:$5,0)),"")</f>
        <v/>
      </c>
      <c r="G35" s="232" t="str">
        <f>IFERROR(INDEX('Oder Filter'!$A$6:$W$50,$D35,MATCH(G$1,'Oder Filter'!$5:$5,0)),"")</f>
        <v/>
      </c>
      <c r="H35" s="232"/>
      <c r="I35" s="232" t="str">
        <f>IFERROR(INDEX('Oder Filter'!$A$6:$W$50,$D35,MATCH(I$1,'Oder Filter'!$5:$5,0)),"")</f>
        <v/>
      </c>
      <c r="J35" s="232" t="str">
        <f>IFERROR(INDEX('Oder Filter'!$A$6:$W$50,$D35,MATCH(J$1,'Oder Filter'!$5:$5,0)),"")</f>
        <v/>
      </c>
      <c r="K35" s="232" t="str">
        <f>IFERROR(INDEX('Oder Filter'!$A$6:$W$50,$D35,MATCH(K$1,'Oder Filter'!$5:$5,0)),"")</f>
        <v/>
      </c>
    </row>
    <row r="36" spans="4:27" s="233" customFormat="1" ht="15" hidden="1" customHeight="1">
      <c r="D36" s="229" t="str">
        <f>IF((ROW()-COUNTA($D$1:$D$28))&lt;=(COUNTA('Oder Filter'!$A$6:$A$50)),(ROW()-COUNTA($D$1:$D$28)),"")</f>
        <v/>
      </c>
      <c r="E36" s="230" t="str">
        <f>IFERROR(INDEX('Oder Filter'!$A$6:$W$50,$D36,MATCH(E$1,'Oder Filter'!$5:$5,0)),"")</f>
        <v/>
      </c>
      <c r="F36" s="231" t="str">
        <f>IFERROR(INDEX('Oder Filter'!$A$6:$W$50,$D36,MATCH(F$1,'Oder Filter'!$5:$5,0)),"")</f>
        <v/>
      </c>
      <c r="G36" s="232" t="str">
        <f>IFERROR(INDEX('Oder Filter'!$A$6:$W$50,$D36,MATCH(G$1,'Oder Filter'!$5:$5,0)),"")</f>
        <v/>
      </c>
      <c r="H36" s="232"/>
      <c r="I36" s="232" t="str">
        <f>IFERROR(INDEX('Oder Filter'!$A$6:$W$50,$D36,MATCH(I$1,'Oder Filter'!$5:$5,0)),"")</f>
        <v/>
      </c>
      <c r="J36" s="232" t="str">
        <f>IFERROR(INDEX('Oder Filter'!$A$6:$W$50,$D36,MATCH(J$1,'Oder Filter'!$5:$5,0)),"")</f>
        <v/>
      </c>
      <c r="K36" s="232" t="str">
        <f>IFERROR(INDEX('Oder Filter'!$A$6:$W$50,$D36,MATCH(K$1,'Oder Filter'!$5:$5,0)),"")</f>
        <v/>
      </c>
    </row>
    <row r="37" spans="4:27" s="233" customFormat="1" ht="15" hidden="1" customHeight="1">
      <c r="D37" s="229" t="str">
        <f>IF((ROW()-COUNTA($D$1:$D$28))&lt;=(COUNTA('Oder Filter'!$A$6:$A$50)),(ROW()-COUNTA($D$1:$D$28)),"")</f>
        <v/>
      </c>
      <c r="E37" s="230" t="str">
        <f>IFERROR(INDEX('Oder Filter'!$A$6:$W$50,$D37,MATCH(E$1,'Oder Filter'!$5:$5,0)),"")</f>
        <v/>
      </c>
      <c r="F37" s="231" t="str">
        <f>IFERROR(INDEX('Oder Filter'!$A$6:$W$50,$D37,MATCH(F$1,'Oder Filter'!$5:$5,0)),"")</f>
        <v/>
      </c>
      <c r="G37" s="232" t="str">
        <f>IFERROR(INDEX('Oder Filter'!$A$6:$W$50,$D37,MATCH(G$1,'Oder Filter'!$5:$5,0)),"")</f>
        <v/>
      </c>
      <c r="H37" s="232"/>
      <c r="I37" s="232" t="str">
        <f>IFERROR(INDEX('Oder Filter'!$A$6:$W$50,$D37,MATCH(I$1,'Oder Filter'!$5:$5,0)),"")</f>
        <v/>
      </c>
      <c r="J37" s="232" t="str">
        <f>IFERROR(INDEX('Oder Filter'!$A$6:$W$50,$D37,MATCH(J$1,'Oder Filter'!$5:$5,0)),"")</f>
        <v/>
      </c>
      <c r="K37" s="232" t="str">
        <f>IFERROR(INDEX('Oder Filter'!$A$6:$W$50,$D37,MATCH(K$1,'Oder Filter'!$5:$5,0)),"")</f>
        <v/>
      </c>
    </row>
    <row r="38" spans="4:27" s="233" customFormat="1" ht="15" hidden="1" customHeight="1">
      <c r="D38" s="229" t="str">
        <f>IF((ROW()-COUNTA($D$1:$D$28))&lt;=(COUNTA('Oder Filter'!$A$6:$A$50)),(ROW()-COUNTA($D$1:$D$28)),"")</f>
        <v/>
      </c>
      <c r="E38" s="230" t="str">
        <f>IFERROR(INDEX('Oder Filter'!$A$6:$W$50,$D38,MATCH(E$1,'Oder Filter'!$5:$5,0)),"")</f>
        <v/>
      </c>
      <c r="F38" s="231" t="str">
        <f>IFERROR(INDEX('Oder Filter'!$A$6:$W$50,$D38,MATCH(F$1,'Oder Filter'!$5:$5,0)),"")</f>
        <v/>
      </c>
      <c r="G38" s="232" t="str">
        <f>IFERROR(INDEX('Oder Filter'!$A$6:$W$50,$D38,MATCH(G$1,'Oder Filter'!$5:$5,0)),"")</f>
        <v/>
      </c>
      <c r="H38" s="232"/>
      <c r="I38" s="232" t="str">
        <f>IFERROR(INDEX('Oder Filter'!$A$6:$W$50,$D38,MATCH(I$1,'Oder Filter'!$5:$5,0)),"")</f>
        <v/>
      </c>
      <c r="J38" s="232" t="str">
        <f>IFERROR(INDEX('Oder Filter'!$A$6:$W$50,$D38,MATCH(J$1,'Oder Filter'!$5:$5,0)),"")</f>
        <v/>
      </c>
      <c r="K38" s="232" t="str">
        <f>IFERROR(INDEX('Oder Filter'!$A$6:$W$50,$D38,MATCH(K$1,'Oder Filter'!$5:$5,0)),"")</f>
        <v/>
      </c>
    </row>
    <row r="39" spans="4:27" s="233" customFormat="1" ht="15" hidden="1" customHeight="1">
      <c r="D39" s="229" t="str">
        <f>IF((ROW()-COUNTA($D$1:$D$28))&lt;=(COUNTA('Oder Filter'!$A$6:$A$50)),(ROW()-COUNTA($D$1:$D$28)),"")</f>
        <v/>
      </c>
      <c r="E39" s="230" t="str">
        <f>IFERROR(INDEX('Oder Filter'!$A$6:$W$50,$D39,MATCH(E$1,'Oder Filter'!$5:$5,0)),"")</f>
        <v/>
      </c>
      <c r="F39" s="231" t="str">
        <f>IFERROR(INDEX('Oder Filter'!$A$6:$W$50,$D39,MATCH(F$1,'Oder Filter'!$5:$5,0)),"")</f>
        <v/>
      </c>
      <c r="G39" s="232" t="str">
        <f>IFERROR(INDEX('Oder Filter'!$A$6:$W$50,$D39,MATCH(G$1,'Oder Filter'!$5:$5,0)),"")</f>
        <v/>
      </c>
      <c r="H39" s="232"/>
      <c r="I39" s="232" t="str">
        <f>IFERROR(INDEX('Oder Filter'!$A$6:$W$50,$D39,MATCH(I$1,'Oder Filter'!$5:$5,0)),"")</f>
        <v/>
      </c>
      <c r="J39" s="232" t="str">
        <f>IFERROR(INDEX('Oder Filter'!$A$6:$W$50,$D39,MATCH(J$1,'Oder Filter'!$5:$5,0)),"")</f>
        <v/>
      </c>
      <c r="K39" s="232" t="str">
        <f>IFERROR(INDEX('Oder Filter'!$A$6:$W$50,$D39,MATCH(K$1,'Oder Filter'!$5:$5,0)),"")</f>
        <v/>
      </c>
    </row>
    <row r="40" spans="4:27" s="233" customFormat="1" ht="15" hidden="1" customHeight="1">
      <c r="D40" s="229" t="str">
        <f>IF((ROW()-COUNTA($D$1:$D$28))&lt;=(COUNTA('Oder Filter'!$A$6:$A$50)),(ROW()-COUNTA($D$1:$D$28)),"")</f>
        <v/>
      </c>
      <c r="E40" s="230" t="str">
        <f>IFERROR(INDEX('Oder Filter'!$A$6:$W$50,$D40,MATCH(E$1,'Oder Filter'!$5:$5,0)),"")</f>
        <v/>
      </c>
      <c r="F40" s="231" t="str">
        <f>IFERROR(INDEX('Oder Filter'!$A$6:$W$50,$D40,MATCH(F$1,'Oder Filter'!$5:$5,0)),"")</f>
        <v/>
      </c>
      <c r="G40" s="232" t="str">
        <f>IFERROR(INDEX('Oder Filter'!$A$6:$W$50,$D40,MATCH(G$1,'Oder Filter'!$5:$5,0)),"")</f>
        <v/>
      </c>
      <c r="H40" s="232"/>
      <c r="I40" s="232" t="str">
        <f>IFERROR(INDEX('Oder Filter'!$A$6:$W$50,$D40,MATCH(I$1,'Oder Filter'!$5:$5,0)),"")</f>
        <v/>
      </c>
      <c r="J40" s="232" t="str">
        <f>IFERROR(INDEX('Oder Filter'!$A$6:$W$50,$D40,MATCH(J$1,'Oder Filter'!$5:$5,0)),"")</f>
        <v/>
      </c>
      <c r="K40" s="232" t="str">
        <f>IFERROR(INDEX('Oder Filter'!$A$6:$W$50,$D40,MATCH(K$1,'Oder Filter'!$5:$5,0)),"")</f>
        <v/>
      </c>
    </row>
    <row r="41" spans="4:27" s="233" customFormat="1" ht="15" hidden="1" customHeight="1">
      <c r="D41" s="229" t="str">
        <f>IF((ROW()-COUNTA($D$1:$D$28))&lt;=(COUNTA('Oder Filter'!$A$6:$A$50)),(ROW()-COUNTA($D$1:$D$28)),"")</f>
        <v/>
      </c>
      <c r="E41" s="230" t="str">
        <f>IFERROR(INDEX('Oder Filter'!$A$6:$W$50,$D41,MATCH(E$1,'Oder Filter'!$5:$5,0)),"")</f>
        <v/>
      </c>
      <c r="F41" s="231" t="str">
        <f>IFERROR(INDEX('Oder Filter'!$A$6:$W$50,$D41,MATCH(F$1,'Oder Filter'!$5:$5,0)),"")</f>
        <v/>
      </c>
      <c r="G41" s="232" t="str">
        <f>IFERROR(INDEX('Oder Filter'!$A$6:$W$50,$D41,MATCH(G$1,'Oder Filter'!$5:$5,0)),"")</f>
        <v/>
      </c>
      <c r="H41" s="232"/>
      <c r="I41" s="232" t="str">
        <f>IFERROR(INDEX('Oder Filter'!$A$6:$W$50,$D41,MATCH(I$1,'Oder Filter'!$5:$5,0)),"")</f>
        <v/>
      </c>
      <c r="J41" s="232" t="str">
        <f>IFERROR(INDEX('Oder Filter'!$A$6:$W$50,$D41,MATCH(J$1,'Oder Filter'!$5:$5,0)),"")</f>
        <v/>
      </c>
      <c r="K41" s="232" t="str">
        <f>IFERROR(INDEX('Oder Filter'!$A$6:$W$50,$D41,MATCH(K$1,'Oder Filter'!$5:$5,0)),"")</f>
        <v/>
      </c>
    </row>
    <row r="42" spans="4:27" s="233" customFormat="1" ht="15" hidden="1" customHeight="1">
      <c r="D42" s="229" t="str">
        <f>IF((ROW()-COUNTA($D$1:$D$28))&lt;=(COUNTA('Oder Filter'!$A$6:$A$50)),(ROW()-COUNTA($D$1:$D$28)),"")</f>
        <v/>
      </c>
      <c r="E42" s="230" t="str">
        <f>IFERROR(INDEX('Oder Filter'!$A$6:$W$50,$D42,MATCH(E$1,'Oder Filter'!$5:$5,0)),"")</f>
        <v/>
      </c>
      <c r="F42" s="231" t="str">
        <f>IFERROR(INDEX('Oder Filter'!$A$6:$W$50,$D42,MATCH(F$1,'Oder Filter'!$5:$5,0)),"")</f>
        <v/>
      </c>
      <c r="G42" s="232" t="str">
        <f>IFERROR(INDEX('Oder Filter'!$A$6:$W$50,$D42,MATCH(G$1,'Oder Filter'!$5:$5,0)),"")</f>
        <v/>
      </c>
      <c r="H42" s="232"/>
      <c r="I42" s="232" t="str">
        <f>IFERROR(INDEX('Oder Filter'!$A$6:$W$50,$D42,MATCH(I$1,'Oder Filter'!$5:$5,0)),"")</f>
        <v/>
      </c>
      <c r="J42" s="232" t="str">
        <f>IFERROR(INDEX('Oder Filter'!$A$6:$W$50,$D42,MATCH(J$1,'Oder Filter'!$5:$5,0)),"")</f>
        <v/>
      </c>
      <c r="K42" s="232" t="str">
        <f>IFERROR(INDEX('Oder Filter'!$A$6:$W$50,$D42,MATCH(K$1,'Oder Filter'!$5:$5,0)),"")</f>
        <v/>
      </c>
    </row>
    <row r="43" spans="4:27" s="233" customFormat="1" ht="15" customHeight="1">
      <c r="D43" s="235"/>
      <c r="E43" s="236" t="s">
        <v>535</v>
      </c>
      <c r="F43" s="236"/>
      <c r="G43" s="236"/>
      <c r="H43" s="237">
        <f>SUM(H29:H42)</f>
        <v>154</v>
      </c>
      <c r="I43" s="237">
        <f>SUM(I29:I42)</f>
        <v>20100</v>
      </c>
      <c r="J43" s="237"/>
      <c r="K43" s="237">
        <f>SUM(K29:K42)</f>
        <v>206800000</v>
      </c>
    </row>
    <row r="44" spans="4:27" s="128" customFormat="1" ht="15.75">
      <c r="D44" s="281" t="str">
        <f>"Tổng giá trị hợp đồng là "&amp;FIXED(K43,0)&amp;" đồng."</f>
        <v>Tổng giá trị hợp đồng là 206,800,000 đồng.</v>
      </c>
      <c r="E44" s="281"/>
      <c r="F44" s="281"/>
      <c r="G44" s="281"/>
      <c r="H44" s="281"/>
      <c r="I44" s="281"/>
      <c r="J44" s="281"/>
      <c r="K44" s="281"/>
      <c r="N44" s="132">
        <f>K43</f>
        <v>206800000</v>
      </c>
      <c r="O44" s="133" t="str">
        <f>RIGHT("000000000000"&amp;ROUND(N44,0),12)</f>
        <v>000206800000</v>
      </c>
      <c r="P44" s="134">
        <v>1</v>
      </c>
      <c r="Q44" s="134">
        <v>2</v>
      </c>
      <c r="R44" s="134">
        <v>3</v>
      </c>
      <c r="S44" s="135">
        <v>4</v>
      </c>
      <c r="T44" s="135">
        <v>5</v>
      </c>
      <c r="U44" s="135">
        <v>6</v>
      </c>
      <c r="V44" s="136">
        <v>7</v>
      </c>
      <c r="W44" s="136">
        <v>8</v>
      </c>
      <c r="X44" s="136">
        <v>9</v>
      </c>
      <c r="Y44" s="137">
        <v>10</v>
      </c>
      <c r="Z44" s="137">
        <v>11</v>
      </c>
      <c r="AA44" s="137">
        <v>12</v>
      </c>
    </row>
    <row r="45" spans="4:27" s="128" customFormat="1" ht="15.75">
      <c r="D45" s="158" t="str">
        <f>"(Bằng chữ: "&amp;O49&amp;" đồng)"</f>
        <v>(Bằng chữ: Hai trăm lẻ sáu triệu tám trăm nghìn đồng)</v>
      </c>
      <c r="E45" s="159"/>
      <c r="F45" s="159"/>
      <c r="G45" s="159"/>
      <c r="H45" s="159"/>
      <c r="I45" s="159"/>
      <c r="J45" s="159"/>
      <c r="K45" s="159"/>
      <c r="N45" s="138"/>
      <c r="O45" s="139"/>
      <c r="P45" s="140">
        <f>VALUE(MID(O44,P44,1))</f>
        <v>0</v>
      </c>
      <c r="Q45" s="140">
        <f>VALUE(MID(O44,Q44,1))</f>
        <v>0</v>
      </c>
      <c r="R45" s="140">
        <f>VALUE(MID(O44,R44,1))</f>
        <v>0</v>
      </c>
      <c r="S45" s="141">
        <f>VALUE(MID(O44,S44,1))</f>
        <v>2</v>
      </c>
      <c r="T45" s="141">
        <f>VALUE(MID(O44,T44,1))</f>
        <v>0</v>
      </c>
      <c r="U45" s="141">
        <f>VALUE(MID(O44,U44,1))</f>
        <v>6</v>
      </c>
      <c r="V45" s="142">
        <f>VALUE(MID(O44,V44,1))</f>
        <v>8</v>
      </c>
      <c r="W45" s="142">
        <f>VALUE(MID(O44,W44,1))</f>
        <v>0</v>
      </c>
      <c r="X45" s="142">
        <f>VALUE(MID(O44,X44,1))</f>
        <v>0</v>
      </c>
      <c r="Y45" s="143">
        <f>VALUE(MID(O44,Y44,1))</f>
        <v>0</v>
      </c>
      <c r="Z45" s="143">
        <f>VALUE(MID(O44,Z44,1))</f>
        <v>0</v>
      </c>
      <c r="AA45" s="143">
        <f>VALUE(MID(O44,AA44,1))</f>
        <v>0</v>
      </c>
    </row>
    <row r="46" spans="4:27" s="128" customFormat="1" ht="15.75" hidden="1">
      <c r="D46" s="156"/>
      <c r="E46" s="155"/>
      <c r="F46" s="155"/>
      <c r="G46" s="155"/>
      <c r="H46" s="155"/>
      <c r="I46" s="155"/>
      <c r="J46" s="155"/>
      <c r="K46" s="155"/>
      <c r="N46" s="138"/>
      <c r="O46" s="139"/>
      <c r="P46" s="140">
        <f>SUM(P45:P45)</f>
        <v>0</v>
      </c>
      <c r="Q46" s="140">
        <f>SUM(P45:Q45)</f>
        <v>0</v>
      </c>
      <c r="R46" s="140">
        <f>SUM(P45:R45)</f>
        <v>0</v>
      </c>
      <c r="S46" s="141">
        <f>SUM(S45:S45)</f>
        <v>2</v>
      </c>
      <c r="T46" s="141">
        <f>SUM(S45:T45)</f>
        <v>2</v>
      </c>
      <c r="U46" s="141">
        <f>SUM(S45:U45)</f>
        <v>8</v>
      </c>
      <c r="V46" s="142">
        <f>SUM(V45:V45)</f>
        <v>8</v>
      </c>
      <c r="W46" s="142">
        <f>SUM(V45:W45)</f>
        <v>8</v>
      </c>
      <c r="X46" s="142">
        <f>SUM(V45:X45)</f>
        <v>8</v>
      </c>
      <c r="Y46" s="143">
        <f>SUM(Y45:Y45)</f>
        <v>0</v>
      </c>
      <c r="Z46" s="143">
        <f>SUM(Y45:Z45)</f>
        <v>0</v>
      </c>
      <c r="AA46" s="143">
        <f>SUM(Y45:AA45)</f>
        <v>0</v>
      </c>
    </row>
    <row r="47" spans="4:27" s="128" customFormat="1" ht="15.75">
      <c r="D47" s="282" t="s">
        <v>536</v>
      </c>
      <c r="E47" s="282"/>
      <c r="F47" s="282"/>
      <c r="G47" s="282"/>
      <c r="H47" s="282"/>
      <c r="I47" s="282"/>
      <c r="J47" s="282"/>
      <c r="K47" s="282"/>
      <c r="N47" s="144"/>
      <c r="O47" s="139"/>
      <c r="P47" s="145" t="str">
        <f>IF(P45=0,"",CHOOSE(P45,"một","hai","ba","bốn","năm","sáu","bảy","tám","chín"))</f>
        <v/>
      </c>
      <c r="Q47" s="145" t="str">
        <f>IF(Q45=0,IF(AND(P45&lt;&gt;0,R45&lt;&gt;0),"lẻ",""),CHOOSE(Q45,"mười","hai","ba","bốn","năm","sáu","bảy","tám","chín"))</f>
        <v/>
      </c>
      <c r="R47" s="145" t="str">
        <f>IF(R45=0,"",CHOOSE(R45,IF(Q45&gt;1,"mốt","một"),"hai","ba","bốn",IF(Q45=0,"năm","lăm"),"sáu","bảy","tám","chín"))</f>
        <v/>
      </c>
      <c r="S47" s="146" t="str">
        <f>IF(S45=0,"",CHOOSE(S45,"một","hai","ba","bốn","năm","sáu","bảy","tám","chín"))</f>
        <v>hai</v>
      </c>
      <c r="T47" s="146" t="str">
        <f>IF(T45=0,IF(AND(S45&lt;&gt;0,U45&lt;&gt;0),"lẻ",""),CHOOSE(T45,"mười","hai","ba","bốn","năm","sáu","bảy","tám","chín"))</f>
        <v>lẻ</v>
      </c>
      <c r="U47" s="146" t="str">
        <f>IF(U45=0,"",CHOOSE(U45,IF(T45&gt;1,"mốt","một"),"hai","ba","bốn",IF(T45=0,"năm","lăm"),"sáu","bảy","tám","chín"))</f>
        <v>sáu</v>
      </c>
      <c r="V47" s="147" t="str">
        <f>IF(V45=0,"",CHOOSE(V45,"một","hai","ba","bốn","năm","sáu","bảy","tám","chín"))</f>
        <v>tám</v>
      </c>
      <c r="W47" s="147" t="str">
        <f>IF(W45=0,IF(AND(V45&lt;&gt;0,X45&lt;&gt;0),"lẻ",""),CHOOSE(W45,"mười","hai","ba","bốn","năm","sáu","bảy","tám","chín"))</f>
        <v/>
      </c>
      <c r="X47" s="147" t="str">
        <f>IF(X45=0,"",CHOOSE(X45,IF(W45&gt;1,"mốt","một"),"hai","ba","bốn",IF(W45=0,"năm","lăm"),"sáu","bảy","tám","chín"))</f>
        <v/>
      </c>
      <c r="Y47" s="148" t="str">
        <f>IF(Y45=0,"",CHOOSE(Y45,"một","hai","ba","bốn","năm","sáu","bảy","tám","chín"))</f>
        <v/>
      </c>
      <c r="Z47" s="148" t="str">
        <f>IF(Z45=0,IF(AND(Y45&lt;&gt;0,AA45&lt;&gt;0),"lẻ",""),CHOOSE(Z45,"mười","hai","ba","bốn","năm","sáu","bảy","tám","chín"))</f>
        <v/>
      </c>
      <c r="AA47" s="148" t="str">
        <f>IF(AA45=0,"",CHOOSE(AA45,IF(Z45&gt;1,"mốt","một"),"hai","ba","bốn",IF(Z45=0,"năm","lăm"),"sáu","bảy","tám","chín"))</f>
        <v/>
      </c>
    </row>
    <row r="48" spans="4:27" s="128" customFormat="1" ht="15.75">
      <c r="D48" s="270" t="s">
        <v>537</v>
      </c>
      <c r="E48" s="270"/>
      <c r="F48" s="270"/>
      <c r="G48" s="270"/>
      <c r="H48" s="270"/>
      <c r="I48" s="270"/>
      <c r="J48" s="270"/>
      <c r="K48" s="270"/>
      <c r="N48" s="138"/>
      <c r="O48" s="139"/>
      <c r="P48" s="149" t="str">
        <f>IF(P45=0,"","trăm")</f>
        <v/>
      </c>
      <c r="Q48" s="149" t="str">
        <f>IF(Q45=0,"",IF(Q45=1,"","mươi"))</f>
        <v/>
      </c>
      <c r="R48" s="149" t="str">
        <f>IF(AND(R45=0,R46=0),"","tỷ")</f>
        <v/>
      </c>
      <c r="S48" s="150" t="str">
        <f>IF(S45=0,"","trăm")</f>
        <v>trăm</v>
      </c>
      <c r="T48" s="150" t="str">
        <f>IF(T45=0,"",IF(T45=1,"","mươi"))</f>
        <v/>
      </c>
      <c r="U48" s="150" t="str">
        <f>IF(AND(U45=0,U46=0),"","triệu")</f>
        <v>triệu</v>
      </c>
      <c r="V48" s="151" t="str">
        <f>IF(V45=0,"","trăm")</f>
        <v>trăm</v>
      </c>
      <c r="W48" s="151" t="str">
        <f>IF(W45=0,"",IF(W45=1,"","mươi"))</f>
        <v/>
      </c>
      <c r="X48" s="151" t="str">
        <f>IF(AND(X45=0,X46=0),"","nghìn")</f>
        <v>nghìn</v>
      </c>
      <c r="Y48" s="152" t="str">
        <f>IF(Y45=0,"","trăm")</f>
        <v/>
      </c>
      <c r="Z48" s="152" t="str">
        <f>IF(Z45=0,"",IF(Z45=1,"","mươi"))</f>
        <v/>
      </c>
      <c r="AA48" s="152"/>
    </row>
    <row r="49" spans="4:27" s="128" customFormat="1" ht="15.75">
      <c r="D49" s="270" t="s">
        <v>538</v>
      </c>
      <c r="E49" s="270"/>
      <c r="F49" s="270"/>
      <c r="G49" s="270"/>
      <c r="H49" s="270"/>
      <c r="I49" s="270"/>
      <c r="J49" s="270"/>
      <c r="K49" s="270"/>
      <c r="N49" s="138"/>
      <c r="O49" s="153" t="str">
        <f>UPPER(LEFT(TRIM(IF(N44=0,"không đồng.",P47&amp;" "&amp;P48&amp;" "&amp;Q47&amp;" "&amp;Q48&amp;" "&amp;R47&amp;" "&amp;R48&amp;" "&amp;S47&amp;" "&amp;S48&amp;" "&amp;T47&amp;" "&amp;T48&amp;" "&amp;U47&amp;" "&amp;U48&amp;" "&amp;V47&amp;" "&amp;V48&amp;" "&amp;W47&amp;" "&amp;W48&amp;" "&amp;X47&amp;" "&amp;X48&amp;" "&amp;Y47&amp;" "&amp;Y48&amp;" "&amp;Z47&amp;" "&amp;Z48&amp;" "&amp;AA47&amp;" "&amp;AA48)),1))&amp;RIGHT(TRIM(IF(N44=0,"không đồng.",P47&amp;" "&amp;P48&amp;" "&amp;Q47&amp;" "&amp;Q48&amp;" "&amp;R47&amp;" "&amp;R48&amp;" "&amp;S47&amp;" "&amp;S48&amp;" "&amp;T47&amp;" "&amp;T48&amp;" "&amp;U47&amp;" "&amp;U48&amp;" "&amp;V47&amp;" "&amp;V48&amp;" "&amp;W47&amp;" "&amp;W48&amp;" "&amp;X47&amp;" "&amp;X48&amp;" "&amp;Y47&amp;" "&amp;Y48&amp;" "&amp;Z47&amp;" "&amp;Z48&amp;" "&amp;AA47&amp;" "&amp;AA48)),LEN(TRIM(IF(N44=0,"không đồng.",P47&amp;" "&amp;P48&amp;" "&amp;Q47&amp;" "&amp;Q48&amp;" "&amp;R47&amp;" "&amp;R48&amp;" "&amp;S47&amp;" "&amp;S48&amp;" "&amp;T47&amp;" "&amp;T48&amp;" "&amp;U47&amp;" "&amp;U48&amp;" "&amp;V47&amp;" "&amp;V48&amp;" "&amp;W47&amp;" "&amp;W48&amp;" "&amp;X47&amp;" "&amp;X48&amp;" "&amp;Y47&amp;" "&amp;Y48&amp;" "&amp;Z47&amp;" "&amp;Z48&amp;" "&amp;AA47&amp;" "&amp;AA48)))-1)</f>
        <v>Hai trăm lẻ sáu triệu tám trăm nghìn</v>
      </c>
      <c r="P49" s="154"/>
      <c r="Q49" s="154"/>
      <c r="R49" s="154"/>
      <c r="S49" s="154"/>
      <c r="T49" s="154"/>
      <c r="U49" s="154"/>
      <c r="V49" s="154"/>
      <c r="W49" s="154"/>
      <c r="X49" s="154"/>
      <c r="Y49" s="154"/>
      <c r="Z49" s="154"/>
      <c r="AA49" s="154"/>
    </row>
    <row r="50" spans="4:27" s="128" customFormat="1" ht="15.75">
      <c r="D50" s="282" t="s">
        <v>539</v>
      </c>
      <c r="E50" s="282"/>
      <c r="F50" s="282"/>
      <c r="G50" s="282"/>
      <c r="H50" s="282"/>
      <c r="I50" s="282"/>
      <c r="J50" s="282"/>
      <c r="K50" s="282"/>
    </row>
    <row r="51" spans="4:27" s="128" customFormat="1" ht="15.75">
      <c r="D51" s="270" t="s">
        <v>1329</v>
      </c>
      <c r="E51" s="270"/>
      <c r="F51" s="270"/>
      <c r="G51" s="270"/>
      <c r="H51" s="270"/>
      <c r="I51" s="270"/>
      <c r="J51" s="270"/>
      <c r="K51" s="270"/>
    </row>
    <row r="52" spans="4:27" s="128" customFormat="1" ht="15.75">
      <c r="D52" s="270" t="s">
        <v>1328</v>
      </c>
      <c r="E52" s="270"/>
      <c r="F52" s="270"/>
      <c r="G52" s="270"/>
      <c r="H52" s="270"/>
      <c r="I52" s="270"/>
      <c r="J52" s="270"/>
      <c r="K52" s="270"/>
    </row>
    <row r="53" spans="4:27" s="128" customFormat="1" ht="15.75">
      <c r="D53" s="282" t="s">
        <v>540</v>
      </c>
      <c r="E53" s="282"/>
      <c r="F53" s="282"/>
      <c r="G53" s="282"/>
      <c r="H53" s="282"/>
      <c r="I53" s="282"/>
      <c r="J53" s="282"/>
      <c r="K53" s="282"/>
    </row>
    <row r="54" spans="4:27" s="128" customFormat="1" ht="32.25" customHeight="1">
      <c r="D54" s="270" t="s">
        <v>541</v>
      </c>
      <c r="E54" s="270"/>
      <c r="F54" s="270"/>
      <c r="G54" s="270"/>
      <c r="H54" s="270"/>
      <c r="I54" s="270"/>
      <c r="J54" s="270"/>
      <c r="K54" s="270"/>
    </row>
    <row r="55" spans="4:27" s="128" customFormat="1" ht="32.25" customHeight="1">
      <c r="D55" s="270" t="s">
        <v>542</v>
      </c>
      <c r="E55" s="270"/>
      <c r="F55" s="270"/>
      <c r="G55" s="270"/>
      <c r="H55" s="270"/>
      <c r="I55" s="270"/>
      <c r="J55" s="270"/>
      <c r="K55" s="270"/>
    </row>
    <row r="56" spans="4:27" s="128" customFormat="1" ht="32.25" customHeight="1">
      <c r="D56" s="271" t="s">
        <v>543</v>
      </c>
      <c r="E56" s="271"/>
      <c r="F56" s="271"/>
      <c r="G56" s="271"/>
      <c r="H56" s="271"/>
      <c r="I56" s="271"/>
      <c r="J56" s="271"/>
      <c r="K56" s="271"/>
    </row>
    <row r="57" spans="4:27" s="128" customFormat="1" ht="31.5" customHeight="1">
      <c r="D57" s="271" t="s">
        <v>544</v>
      </c>
      <c r="E57" s="271"/>
      <c r="F57" s="271"/>
      <c r="G57" s="271"/>
      <c r="H57" s="271"/>
      <c r="I57" s="271"/>
      <c r="J57" s="271"/>
      <c r="K57" s="271"/>
    </row>
    <row r="58" spans="4:27" s="128" customFormat="1" ht="48" customHeight="1">
      <c r="D58" s="270" t="s">
        <v>545</v>
      </c>
      <c r="E58" s="270"/>
      <c r="F58" s="270"/>
      <c r="G58" s="270"/>
      <c r="H58" s="270"/>
      <c r="I58" s="270"/>
      <c r="J58" s="270"/>
      <c r="K58" s="270"/>
    </row>
    <row r="59" spans="4:27" s="128" customFormat="1" ht="31.5" customHeight="1">
      <c r="D59" s="270" t="s">
        <v>546</v>
      </c>
      <c r="E59" s="270"/>
      <c r="F59" s="270"/>
      <c r="G59" s="270"/>
      <c r="H59" s="270"/>
      <c r="I59" s="270"/>
      <c r="J59" s="270"/>
      <c r="K59" s="270"/>
    </row>
    <row r="60" spans="4:27" s="128" customFormat="1" ht="15.75">
      <c r="D60" s="270" t="s">
        <v>547</v>
      </c>
      <c r="E60" s="270"/>
      <c r="F60" s="270"/>
      <c r="G60" s="270"/>
      <c r="H60" s="270"/>
      <c r="I60" s="270"/>
      <c r="J60" s="270"/>
      <c r="K60" s="270"/>
    </row>
    <row r="61" spans="4:27" s="128" customFormat="1" ht="15.75">
      <c r="D61" s="270" t="s">
        <v>548</v>
      </c>
      <c r="E61" s="270"/>
      <c r="F61" s="270"/>
      <c r="G61" s="270"/>
      <c r="H61" s="270"/>
      <c r="I61" s="270"/>
      <c r="J61" s="270"/>
      <c r="K61" s="270"/>
    </row>
    <row r="62" spans="4:27" s="128" customFormat="1" ht="15.75">
      <c r="D62" s="282" t="s">
        <v>549</v>
      </c>
      <c r="E62" s="282"/>
      <c r="F62" s="282"/>
      <c r="G62" s="282"/>
      <c r="H62" s="282"/>
      <c r="I62" s="282"/>
      <c r="J62" s="282"/>
      <c r="K62" s="282"/>
    </row>
    <row r="63" spans="4:27" s="128" customFormat="1" ht="15.75" customHeight="1">
      <c r="D63" s="269" t="s">
        <v>1479</v>
      </c>
      <c r="E63" s="270"/>
      <c r="F63" s="270"/>
      <c r="G63" s="270"/>
      <c r="H63" s="270"/>
      <c r="I63" s="270"/>
      <c r="J63" s="270"/>
      <c r="K63" s="270"/>
      <c r="L63" s="161" t="s">
        <v>1340</v>
      </c>
    </row>
    <row r="64" spans="4:27" s="128" customFormat="1" ht="33" customHeight="1">
      <c r="D64" s="269" t="s">
        <v>1337</v>
      </c>
      <c r="E64" s="270"/>
      <c r="F64" s="270"/>
      <c r="G64" s="270"/>
      <c r="H64" s="270"/>
      <c r="I64" s="270"/>
      <c r="J64" s="270"/>
      <c r="K64" s="270"/>
      <c r="M64" s="269" t="s">
        <v>1337</v>
      </c>
      <c r="N64" s="270"/>
      <c r="O64" s="270"/>
      <c r="P64" s="270"/>
      <c r="Q64" s="270"/>
      <c r="R64" s="270"/>
      <c r="S64" s="270"/>
      <c r="T64" s="270"/>
    </row>
    <row r="65" spans="4:20" s="128" customFormat="1" ht="33" customHeight="1">
      <c r="D65" s="269" t="s">
        <v>1338</v>
      </c>
      <c r="E65" s="270"/>
      <c r="F65" s="270"/>
      <c r="G65" s="270"/>
      <c r="H65" s="270"/>
      <c r="I65" s="270"/>
      <c r="J65" s="270"/>
      <c r="K65" s="270"/>
      <c r="M65" s="269" t="s">
        <v>1338</v>
      </c>
      <c r="N65" s="270"/>
      <c r="O65" s="270"/>
      <c r="P65" s="270"/>
      <c r="Q65" s="270"/>
      <c r="R65" s="270"/>
      <c r="S65" s="270"/>
      <c r="T65" s="270"/>
    </row>
    <row r="66" spans="4:20" s="128" customFormat="1" ht="30.75" customHeight="1">
      <c r="D66" s="269" t="s">
        <v>1339</v>
      </c>
      <c r="E66" s="270"/>
      <c r="F66" s="270"/>
      <c r="G66" s="270"/>
      <c r="H66" s="270"/>
      <c r="I66" s="270"/>
      <c r="J66" s="270"/>
      <c r="K66" s="270"/>
      <c r="M66" s="269" t="s">
        <v>1339</v>
      </c>
      <c r="N66" s="270"/>
      <c r="O66" s="270"/>
      <c r="P66" s="270"/>
      <c r="Q66" s="270"/>
      <c r="R66" s="270"/>
      <c r="S66" s="270"/>
      <c r="T66" s="270"/>
    </row>
    <row r="67" spans="4:20" s="128" customFormat="1" ht="32.25" customHeight="1">
      <c r="D67" s="271" t="s">
        <v>1342</v>
      </c>
      <c r="E67" s="271"/>
      <c r="F67" s="271"/>
      <c r="G67" s="271"/>
      <c r="H67" s="271"/>
      <c r="I67" s="271"/>
      <c r="J67" s="271"/>
      <c r="K67" s="271"/>
      <c r="M67" s="271" t="s">
        <v>1342</v>
      </c>
      <c r="N67" s="271"/>
      <c r="O67" s="271"/>
      <c r="P67" s="271"/>
      <c r="Q67" s="271"/>
      <c r="R67" s="271"/>
      <c r="S67" s="271"/>
      <c r="T67" s="271"/>
    </row>
    <row r="68" spans="4:20" s="128" customFormat="1" ht="15.75">
      <c r="D68" s="271" t="s">
        <v>1341</v>
      </c>
      <c r="E68" s="271"/>
      <c r="F68" s="271"/>
      <c r="G68" s="271"/>
      <c r="H68" s="271"/>
      <c r="I68" s="271"/>
      <c r="J68" s="271"/>
      <c r="K68" s="271"/>
      <c r="M68" s="271" t="s">
        <v>1341</v>
      </c>
      <c r="N68" s="271"/>
      <c r="O68" s="271"/>
      <c r="P68" s="271"/>
      <c r="Q68" s="271"/>
      <c r="R68" s="271"/>
      <c r="S68" s="271"/>
      <c r="T68" s="271"/>
    </row>
    <row r="69" spans="4:20" s="128" customFormat="1" ht="15.75">
      <c r="D69" s="282" t="s">
        <v>550</v>
      </c>
      <c r="E69" s="282"/>
      <c r="F69" s="282"/>
      <c r="G69" s="282"/>
      <c r="H69" s="282"/>
      <c r="I69" s="282"/>
      <c r="J69" s="282"/>
      <c r="K69" s="282"/>
    </row>
    <row r="70" spans="4:20" s="128" customFormat="1" ht="48" customHeight="1">
      <c r="D70" s="270" t="s">
        <v>551</v>
      </c>
      <c r="E70" s="270"/>
      <c r="F70" s="270"/>
      <c r="G70" s="270"/>
      <c r="H70" s="270"/>
      <c r="I70" s="270"/>
      <c r="J70" s="270"/>
      <c r="K70" s="270"/>
    </row>
    <row r="71" spans="4:20" s="128" customFormat="1" ht="47.25" customHeight="1">
      <c r="D71" s="270" t="s">
        <v>552</v>
      </c>
      <c r="E71" s="270"/>
      <c r="F71" s="270"/>
      <c r="G71" s="270"/>
      <c r="H71" s="270"/>
      <c r="I71" s="270"/>
      <c r="J71" s="270"/>
      <c r="K71" s="270"/>
    </row>
    <row r="72" spans="4:20" s="128" customFormat="1" ht="33" customHeight="1">
      <c r="D72" s="270" t="s">
        <v>553</v>
      </c>
      <c r="E72" s="270"/>
      <c r="F72" s="270"/>
      <c r="G72" s="270"/>
      <c r="H72" s="270"/>
      <c r="I72" s="270"/>
      <c r="J72" s="270"/>
      <c r="K72" s="270"/>
    </row>
    <row r="73" spans="4:20" s="128" customFormat="1" ht="30.75" customHeight="1">
      <c r="D73" s="270" t="s">
        <v>554</v>
      </c>
      <c r="E73" s="270"/>
      <c r="F73" s="270"/>
      <c r="G73" s="270"/>
      <c r="H73" s="270"/>
      <c r="I73" s="270"/>
      <c r="J73" s="270"/>
      <c r="K73" s="270"/>
    </row>
    <row r="74" spans="4:20" s="128" customFormat="1" ht="15.75" hidden="1">
      <c r="D74" s="157"/>
      <c r="E74" s="157"/>
      <c r="F74" s="157"/>
      <c r="G74" s="157"/>
      <c r="H74" s="157"/>
      <c r="I74" s="157"/>
      <c r="J74" s="157"/>
      <c r="K74" s="157"/>
    </row>
    <row r="75" spans="4:20" s="128" customFormat="1" ht="15.75">
      <c r="D75" s="276" t="s">
        <v>555</v>
      </c>
      <c r="E75" s="276"/>
      <c r="F75" s="276"/>
      <c r="G75" s="131"/>
      <c r="H75" s="131"/>
      <c r="I75" s="276" t="s">
        <v>556</v>
      </c>
      <c r="J75" s="276"/>
      <c r="K75" s="276"/>
    </row>
    <row r="76" spans="4:20" s="128" customFormat="1" ht="15.75">
      <c r="D76" s="125"/>
      <c r="E76" s="129"/>
      <c r="F76" s="131"/>
      <c r="G76" s="131"/>
      <c r="H76" s="131"/>
      <c r="I76" s="125"/>
      <c r="J76" s="131"/>
      <c r="K76" s="131"/>
    </row>
    <row r="77" spans="4:20" s="128" customFormat="1" ht="15.75">
      <c r="D77" s="125"/>
      <c r="E77" s="129"/>
      <c r="F77" s="131"/>
      <c r="G77" s="131"/>
      <c r="H77" s="131"/>
      <c r="I77" s="125"/>
      <c r="J77" s="131"/>
      <c r="K77" s="131"/>
    </row>
    <row r="78" spans="4:20" s="128" customFormat="1" ht="15.75">
      <c r="D78" s="125"/>
      <c r="E78" s="129"/>
      <c r="F78" s="131"/>
      <c r="G78" s="131"/>
      <c r="H78" s="131"/>
      <c r="I78" s="125"/>
      <c r="J78" s="131"/>
      <c r="K78" s="131"/>
    </row>
    <row r="79" spans="4:20" s="128" customFormat="1" ht="15.75">
      <c r="D79" s="125"/>
      <c r="E79" s="129"/>
      <c r="F79" s="131"/>
      <c r="G79" s="131"/>
      <c r="H79" s="131"/>
      <c r="I79" s="125"/>
      <c r="J79" s="131"/>
      <c r="K79" s="131"/>
    </row>
    <row r="80" spans="4:20" s="128" customFormat="1" ht="15.75">
      <c r="D80" s="276" t="s">
        <v>557</v>
      </c>
      <c r="E80" s="276"/>
      <c r="F80" s="276"/>
      <c r="G80" s="131"/>
      <c r="H80" s="131"/>
      <c r="I80" s="276"/>
      <c r="J80" s="276"/>
      <c r="K80" s="276"/>
    </row>
    <row r="81" spans="4:11" ht="15.75">
      <c r="D81" s="283" t="s">
        <v>558</v>
      </c>
      <c r="E81" s="283"/>
      <c r="F81" s="283"/>
      <c r="G81" s="127"/>
      <c r="H81" s="127"/>
      <c r="I81" s="283"/>
      <c r="J81" s="283"/>
      <c r="K81" s="283"/>
    </row>
  </sheetData>
  <mergeCells count="66">
    <mergeCell ref="D63:K63"/>
    <mergeCell ref="D64:K64"/>
    <mergeCell ref="D65:K65"/>
    <mergeCell ref="D66:K66"/>
    <mergeCell ref="D67:K67"/>
    <mergeCell ref="D68:K68"/>
    <mergeCell ref="D75:F75"/>
    <mergeCell ref="I75:K75"/>
    <mergeCell ref="D80:F80"/>
    <mergeCell ref="I80:K80"/>
    <mergeCell ref="D81:F81"/>
    <mergeCell ref="I81:K81"/>
    <mergeCell ref="D69:K69"/>
    <mergeCell ref="D70:K70"/>
    <mergeCell ref="D71:K71"/>
    <mergeCell ref="D72:K72"/>
    <mergeCell ref="D73:K73"/>
    <mergeCell ref="D61:K61"/>
    <mergeCell ref="D62:K62"/>
    <mergeCell ref="D55:K55"/>
    <mergeCell ref="D56:K56"/>
    <mergeCell ref="D57:K57"/>
    <mergeCell ref="D58:K58"/>
    <mergeCell ref="D59:K59"/>
    <mergeCell ref="D60:K60"/>
    <mergeCell ref="D54:K54"/>
    <mergeCell ref="D24:K24"/>
    <mergeCell ref="D26:K26"/>
    <mergeCell ref="D27:K27"/>
    <mergeCell ref="D44:K44"/>
    <mergeCell ref="D47:K47"/>
    <mergeCell ref="D48:K48"/>
    <mergeCell ref="D49:K49"/>
    <mergeCell ref="D50:K50"/>
    <mergeCell ref="D51:K51"/>
    <mergeCell ref="D52:K52"/>
    <mergeCell ref="D53:K53"/>
    <mergeCell ref="D23:K23"/>
    <mergeCell ref="D13:K13"/>
    <mergeCell ref="D14:K14"/>
    <mergeCell ref="D15:K15"/>
    <mergeCell ref="D16:K16"/>
    <mergeCell ref="D17:H17"/>
    <mergeCell ref="I17:K17"/>
    <mergeCell ref="D18:K18"/>
    <mergeCell ref="D19:K19"/>
    <mergeCell ref="D20:K20"/>
    <mergeCell ref="D21:K21"/>
    <mergeCell ref="D22:K22"/>
    <mergeCell ref="D12:K12"/>
    <mergeCell ref="D2:F2"/>
    <mergeCell ref="I2:K2"/>
    <mergeCell ref="D3:F3"/>
    <mergeCell ref="I3:K3"/>
    <mergeCell ref="I4:K4"/>
    <mergeCell ref="D5:K5"/>
    <mergeCell ref="D6:K6"/>
    <mergeCell ref="D7:K7"/>
    <mergeCell ref="D9:K9"/>
    <mergeCell ref="D10:K10"/>
    <mergeCell ref="D11:K11"/>
    <mergeCell ref="M64:T64"/>
    <mergeCell ref="M65:T65"/>
    <mergeCell ref="M66:T66"/>
    <mergeCell ref="M67:T67"/>
    <mergeCell ref="M68:T68"/>
  </mergeCells>
  <pageMargins left="0.7" right="0.7" top="0.75" bottom="0.75" header="0.3" footer="0.3"/>
  <pageSetup scale="92" fitToHeight="0"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J52"/>
  <sheetViews>
    <sheetView showGridLines="0" view="pageBreakPreview" zoomScale="70" zoomScaleNormal="70" zoomScaleSheetLayoutView="70" workbookViewId="0">
      <selection activeCell="I35" sqref="I35"/>
    </sheetView>
  </sheetViews>
  <sheetFormatPr defaultColWidth="9.140625" defaultRowHeight="17.25"/>
  <cols>
    <col min="1" max="1" width="6" style="34" customWidth="1"/>
    <col min="2" max="2" width="29.7109375" style="34" customWidth="1"/>
    <col min="3" max="3" width="27.5703125" style="34" customWidth="1"/>
    <col min="4" max="4" width="9.42578125" style="34" customWidth="1"/>
    <col min="5" max="5" width="7.42578125" style="34" customWidth="1"/>
    <col min="6" max="6" width="9.5703125" style="34" customWidth="1"/>
    <col min="7" max="7" width="12.85546875" style="34" customWidth="1"/>
    <col min="8" max="8" width="14.42578125" style="34" customWidth="1"/>
    <col min="9" max="9" width="17.85546875" style="34" customWidth="1"/>
    <col min="10" max="10" width="17.140625" style="44" customWidth="1"/>
    <col min="11" max="11" width="12.140625" style="34" customWidth="1"/>
    <col min="12" max="16384" width="9.140625" style="34"/>
  </cols>
  <sheetData>
    <row r="1" spans="1:10">
      <c r="A1" s="261"/>
      <c r="B1" s="35" t="s">
        <v>6</v>
      </c>
      <c r="C1" s="35" t="s">
        <v>7</v>
      </c>
      <c r="D1" s="35" t="s">
        <v>8</v>
      </c>
      <c r="E1" s="35" t="s">
        <v>9</v>
      </c>
      <c r="F1" s="35" t="s">
        <v>352</v>
      </c>
      <c r="G1" s="35" t="s">
        <v>353</v>
      </c>
      <c r="H1" s="35" t="s">
        <v>12</v>
      </c>
      <c r="I1" s="35" t="s">
        <v>354</v>
      </c>
      <c r="J1" s="36" t="s">
        <v>16</v>
      </c>
    </row>
    <row r="2" spans="1:10">
      <c r="A2" s="37" t="s">
        <v>355</v>
      </c>
      <c r="B2" s="38"/>
      <c r="C2" s="38"/>
      <c r="D2" s="38"/>
      <c r="E2" s="38"/>
      <c r="F2" s="38"/>
      <c r="G2" s="38"/>
      <c r="H2" s="38"/>
      <c r="I2" s="38"/>
      <c r="J2" s="39"/>
    </row>
    <row r="3" spans="1:10">
      <c r="A3" s="40" t="s">
        <v>399</v>
      </c>
      <c r="B3" s="38"/>
      <c r="C3" s="38"/>
      <c r="D3" s="38"/>
      <c r="E3" s="38"/>
      <c r="F3" s="38"/>
      <c r="G3" s="38"/>
      <c r="H3" s="38"/>
      <c r="I3" s="38"/>
      <c r="J3" s="39"/>
    </row>
    <row r="4" spans="1:10">
      <c r="A4" s="40"/>
      <c r="B4" s="38"/>
      <c r="C4" s="38"/>
      <c r="D4" s="38"/>
      <c r="E4" s="38"/>
      <c r="F4" s="38"/>
      <c r="G4" s="38"/>
      <c r="H4" s="38"/>
      <c r="I4" s="38"/>
      <c r="J4" s="39"/>
    </row>
    <row r="5" spans="1:10" ht="23.25">
      <c r="A5" s="284" t="s">
        <v>356</v>
      </c>
      <c r="B5" s="284"/>
      <c r="C5" s="284"/>
      <c r="D5" s="284"/>
      <c r="E5" s="284"/>
      <c r="F5" s="284"/>
      <c r="G5" s="284"/>
      <c r="H5" s="284"/>
      <c r="I5" s="284"/>
      <c r="J5" s="284"/>
    </row>
    <row r="7" spans="1:10">
      <c r="A7" s="41" t="s">
        <v>357</v>
      </c>
      <c r="B7" s="41"/>
      <c r="C7" s="42" t="str">
        <f>VLOOKUP($C$8,'Customer Contract 2019'!$A:$E,4,0)</f>
        <v>LB01</v>
      </c>
      <c r="F7" s="43" t="s">
        <v>358</v>
      </c>
      <c r="G7" s="42" t="str">
        <f>VLOOKUP($C$8,'Customer Contract 2019'!$A:$E,5,0)</f>
        <v>LÊ BÌNH</v>
      </c>
    </row>
    <row r="8" spans="1:10">
      <c r="A8" s="41" t="s">
        <v>359</v>
      </c>
      <c r="B8" s="41"/>
      <c r="C8" s="42" t="str">
        <f>'Oder Filter'!B1</f>
        <v>236/2019</v>
      </c>
      <c r="F8" s="43" t="s">
        <v>360</v>
      </c>
      <c r="G8" s="42" t="str">
        <f>TEXT(VLOOKUP($C$8,'Customer Contract 2019'!$A:$E,2,0),"DD/MM/YYYY")</f>
        <v>01/06/2019</v>
      </c>
    </row>
    <row r="9" spans="1:10">
      <c r="A9" s="41" t="s">
        <v>361</v>
      </c>
      <c r="B9" s="41"/>
    </row>
    <row r="10" spans="1:10" ht="18" thickBot="1">
      <c r="H10" s="45"/>
    </row>
    <row r="11" spans="1:10" ht="35.25" thickBot="1">
      <c r="A11" s="46" t="s">
        <v>362</v>
      </c>
      <c r="B11" s="47" t="s">
        <v>363</v>
      </c>
      <c r="C11" s="47" t="s">
        <v>364</v>
      </c>
      <c r="D11" s="47" t="s">
        <v>365</v>
      </c>
      <c r="E11" s="47" t="s">
        <v>366</v>
      </c>
      <c r="F11" s="47" t="s">
        <v>367</v>
      </c>
      <c r="G11" s="47" t="s">
        <v>368</v>
      </c>
      <c r="H11" s="47" t="s">
        <v>369</v>
      </c>
      <c r="I11" s="47" t="s">
        <v>370</v>
      </c>
      <c r="J11" s="48" t="s">
        <v>444</v>
      </c>
    </row>
    <row r="12" spans="1:10" ht="18" thickTop="1">
      <c r="A12" s="116">
        <f>IF(ROW()-11&lt;=(COUNTA('Oder Filter'!$A$6:$A$50)),ROW()-11,"")</f>
        <v>1</v>
      </c>
      <c r="B12" s="49" t="str">
        <f>IFERROR(INDEX('Oder Filter'!$A$6:$W$50,$A12,MATCH(B$1,'Oder Filter'!$5:$5,0)),"")</f>
        <v>CONC_18.20_150_NL2018</v>
      </c>
      <c r="C12" s="115" t="str">
        <f>IFERROR(INDEX('Oder Filter'!$A$6:$W$50,$A12,MATCH(C$1,'Oder Filter'!$5:$5,0)),"")</f>
        <v>CONCADOR</v>
      </c>
      <c r="D12" s="114" t="str">
        <f>IFERROR(INDEX('Oder Filter'!$A$6:$W$50,$A12,MATCH(D$1,'Oder Filter'!$5:$5,0)),"")</f>
        <v>18.20</v>
      </c>
      <c r="E12" s="49" t="str">
        <f>IFERROR(INDEX('Oder Filter'!$A$6:$W$50,$A12,MATCH(E$1,'Oder Filter'!$5:$5,0)),"")</f>
        <v>150</v>
      </c>
      <c r="F12" s="49">
        <f>+G12/E12</f>
        <v>34</v>
      </c>
      <c r="G12" s="49">
        <f>IFERROR(INDEX('Oder Filter'!$A$6:$W$50,$A12,MATCH(G$1,'Oder Filter'!$5:$5,0)),"")</f>
        <v>5100</v>
      </c>
      <c r="H12" s="49">
        <f>IFERROR(INDEX('Oder Filter'!$A$6:$W$50,$A12,MATCH(H$1,'Oder Filter'!$5:$5,0)),"")</f>
        <v>8000</v>
      </c>
      <c r="I12" s="49">
        <f>IFERROR(INDEX('Oder Filter'!$A$6:$W$50,$A12,MATCH(I$1,'Oder Filter'!$5:$5,0)),"")</f>
        <v>40800000</v>
      </c>
      <c r="J12" s="50" t="str">
        <f>IFERROR(IF(TEXT(INDEX('Oder Filter'!$A$6:$W$50,$A12,MATCH(J$1,'Oder Filter'!$5:$5,0)),"dd/mm/yyyy")="(blank)","",TEXT(INDEX('Oder Filter'!$A$6:$W$50,$A12,MATCH(J$1,'Oder Filter'!$5:$5,0)),"dd/mm/yyyy")),"")</f>
        <v>29/09/2019</v>
      </c>
    </row>
    <row r="13" spans="1:10">
      <c r="A13" s="116">
        <f>IF(ROW()-11&lt;=(COUNTA('Oder Filter'!$A$6:$A$50)),ROW()-11,"")</f>
        <v>2</v>
      </c>
      <c r="B13" s="49" t="str">
        <f>IFERROR(INDEX('Oder Filter'!$A$6:$W$50,$A13,MATCH(B$1,'Oder Filter'!$5:$5,0)),"")</f>
        <v>CONC_20.22_125_NL2018</v>
      </c>
      <c r="C13" s="115" t="str">
        <f>IFERROR(INDEX('Oder Filter'!$A$6:$W$50,$A13,MATCH(C$1,'Oder Filter'!$5:$5,0)),"")</f>
        <v>CONCADOR</v>
      </c>
      <c r="D13" s="114" t="str">
        <f>IFERROR(INDEX('Oder Filter'!$A$6:$W$50,$A13,MATCH(D$1,'Oder Filter'!$5:$5,0)),"")</f>
        <v>20.22</v>
      </c>
      <c r="E13" s="49" t="str">
        <f>IFERROR(INDEX('Oder Filter'!$A$6:$W$50,$A13,MATCH(E$1,'Oder Filter'!$5:$5,0)),"")</f>
        <v>125</v>
      </c>
      <c r="F13" s="49">
        <f t="shared" ref="F13:F14" si="0">+G13/E13</f>
        <v>80</v>
      </c>
      <c r="G13" s="49">
        <f>IFERROR(INDEX('Oder Filter'!$A$6:$W$50,$A13,MATCH(G$1,'Oder Filter'!$5:$5,0)),"")</f>
        <v>10000</v>
      </c>
      <c r="H13" s="49">
        <f>IFERROR(INDEX('Oder Filter'!$A$6:$W$50,$A13,MATCH(H$1,'Oder Filter'!$5:$5,0)),"")</f>
        <v>10600</v>
      </c>
      <c r="I13" s="49">
        <f>IFERROR(INDEX('Oder Filter'!$A$6:$W$50,$A13,MATCH(I$1,'Oder Filter'!$5:$5,0)),"")</f>
        <v>106000000</v>
      </c>
      <c r="J13" s="50" t="str">
        <f>IFERROR(IF(TEXT(INDEX('Oder Filter'!$A$6:$W$50,$A13,MATCH(J$1,'Oder Filter'!$5:$5,0)),"dd/mm/yyyy")="(blank)","",TEXT(INDEX('Oder Filter'!$A$6:$W$50,$A13,MATCH(J$1,'Oder Filter'!$5:$5,0)),"dd/mm/yyyy")),"")</f>
        <v>29/09/2019</v>
      </c>
    </row>
    <row r="14" spans="1:10">
      <c r="A14" s="116">
        <f>IF(ROW()-11&lt;=(COUNTA('Oder Filter'!$A$6:$A$50)),ROW()-11,"")</f>
        <v>3</v>
      </c>
      <c r="B14" s="49" t="str">
        <f>IFERROR(INDEX('Oder Filter'!$A$6:$W$50,$A14,MATCH(B$1,'Oder Filter'!$5:$5,0)),"")</f>
        <v>CONC_20.22_125_NZ2019</v>
      </c>
      <c r="C14" s="115" t="str">
        <f>IFERROR(INDEX('Oder Filter'!$A$6:$W$50,$A14,MATCH(C$1,'Oder Filter'!$5:$5,0)),"")</f>
        <v>CONCADOR NEWZELAND</v>
      </c>
      <c r="D14" s="114" t="str">
        <f>IFERROR(INDEX('Oder Filter'!$A$6:$W$50,$A14,MATCH(D$1,'Oder Filter'!$5:$5,0)),"")</f>
        <v>20.22</v>
      </c>
      <c r="E14" s="49" t="str">
        <f>IFERROR(INDEX('Oder Filter'!$A$6:$W$50,$A14,MATCH(E$1,'Oder Filter'!$5:$5,0)),"")</f>
        <v>125</v>
      </c>
      <c r="F14" s="49">
        <f t="shared" si="0"/>
        <v>40</v>
      </c>
      <c r="G14" s="49">
        <f>IFERROR(INDEX('Oder Filter'!$A$6:$W$50,$A14,MATCH(G$1,'Oder Filter'!$5:$5,0)),"")</f>
        <v>5000</v>
      </c>
      <c r="H14" s="49">
        <f>IFERROR(INDEX('Oder Filter'!$A$6:$W$50,$A14,MATCH(H$1,'Oder Filter'!$5:$5,0)),"")</f>
        <v>12000</v>
      </c>
      <c r="I14" s="49">
        <f>IFERROR(INDEX('Oder Filter'!$A$6:$W$50,$A14,MATCH(I$1,'Oder Filter'!$5:$5,0)),"")</f>
        <v>60000000</v>
      </c>
      <c r="J14" s="50" t="str">
        <f>IFERROR(IF(TEXT(INDEX('Oder Filter'!$A$6:$W$50,$A14,MATCH(J$1,'Oder Filter'!$5:$5,0)),"dd/mm/yyyy")="(blank)","",TEXT(INDEX('Oder Filter'!$A$6:$W$50,$A14,MATCH(J$1,'Oder Filter'!$5:$5,0)),"dd/mm/yyyy")),"")</f>
        <v>29/09/2019</v>
      </c>
    </row>
    <row r="15" spans="1:10">
      <c r="A15" s="116" t="str">
        <f>IF(ROW()-11&lt;=(COUNTA('Oder Filter'!$A$6:$A$50)),ROW()-11,"")</f>
        <v/>
      </c>
      <c r="B15" s="49" t="str">
        <f>IFERROR(INDEX('Oder Filter'!$A$6:$W$50,$A15,MATCH(B$1,'Oder Filter'!$5:$5,0)),"")</f>
        <v/>
      </c>
      <c r="C15" s="115" t="str">
        <f>IFERROR(INDEX('Oder Filter'!$A$6:$W$50,$A15,MATCH(C$1,'Oder Filter'!$5:$5,0)),"")</f>
        <v/>
      </c>
      <c r="D15" s="114" t="str">
        <f>IFERROR(INDEX('Oder Filter'!$A$6:$W$50,$A15,MATCH(D$1,'Oder Filter'!$5:$5,0)),"")</f>
        <v/>
      </c>
      <c r="E15" s="49" t="str">
        <f>IFERROR(INDEX('Oder Filter'!$A$6:$W$50,$A15,MATCH(E$1,'Oder Filter'!$5:$5,0)),"")</f>
        <v/>
      </c>
      <c r="F15" s="49"/>
      <c r="G15" s="49" t="str">
        <f>IFERROR(INDEX('Oder Filter'!$A$6:$W$50,$A15,MATCH(G$1,'Oder Filter'!$5:$5,0)),"")</f>
        <v/>
      </c>
      <c r="H15" s="49" t="str">
        <f>IFERROR(INDEX('Oder Filter'!$A$6:$W$50,$A15,MATCH(H$1,'Oder Filter'!$5:$5,0)),"")</f>
        <v/>
      </c>
      <c r="I15" s="49" t="str">
        <f>IFERROR(INDEX('Oder Filter'!$A$6:$W$50,$A15,MATCH(I$1,'Oder Filter'!$5:$5,0)),"")</f>
        <v/>
      </c>
      <c r="J15" s="50" t="str">
        <f>IFERROR(IF(TEXT(INDEX('Oder Filter'!$A$6:$W$50,$A15,MATCH(J$1,'Oder Filter'!$5:$5,0)),"dd/mm/yyyy")="(blank)","",TEXT(INDEX('Oder Filter'!$A$6:$W$50,$A15,MATCH(J$1,'Oder Filter'!$5:$5,0)),"dd/mm/yyyy")),"")</f>
        <v/>
      </c>
    </row>
    <row r="16" spans="1:10">
      <c r="A16" s="116" t="str">
        <f>IF(ROW()-11&lt;=(COUNTA('Oder Filter'!$A$6:$A$50)),ROW()-11,"")</f>
        <v/>
      </c>
      <c r="B16" s="49" t="str">
        <f>IFERROR(INDEX('Oder Filter'!$A$6:$W$50,$A16,MATCH(B$1,'Oder Filter'!$5:$5,0)),"")</f>
        <v/>
      </c>
      <c r="C16" s="115" t="str">
        <f>IFERROR(INDEX('Oder Filter'!$A$6:$W$50,$A16,MATCH(C$1,'Oder Filter'!$5:$5,0)),"")</f>
        <v/>
      </c>
      <c r="D16" s="114" t="str">
        <f>IFERROR(INDEX('Oder Filter'!$A$6:$W$50,$A16,MATCH(D$1,'Oder Filter'!$5:$5,0)),"")</f>
        <v/>
      </c>
      <c r="E16" s="49" t="str">
        <f>IFERROR(INDEX('Oder Filter'!$A$6:$W$50,$A16,MATCH(E$1,'Oder Filter'!$5:$5,0)),"")</f>
        <v/>
      </c>
      <c r="F16" s="49"/>
      <c r="G16" s="49" t="str">
        <f>IFERROR(INDEX('Oder Filter'!$A$6:$W$50,$A16,MATCH(G$1,'Oder Filter'!$5:$5,0)),"")</f>
        <v/>
      </c>
      <c r="H16" s="49" t="str">
        <f>IFERROR(INDEX('Oder Filter'!$A$6:$W$50,$A16,MATCH(H$1,'Oder Filter'!$5:$5,0)),"")</f>
        <v/>
      </c>
      <c r="I16" s="49" t="str">
        <f>IFERROR(INDEX('Oder Filter'!$A$6:$W$50,$A16,MATCH(I$1,'Oder Filter'!$5:$5,0)),"")</f>
        <v/>
      </c>
      <c r="J16" s="50" t="str">
        <f>IFERROR(IF(TEXT(INDEX('Oder Filter'!$A$6:$W$50,$A16,MATCH(J$1,'Oder Filter'!$5:$5,0)),"dd/mm/yyyy")="(blank)","",TEXT(INDEX('Oder Filter'!$A$6:$W$50,$A16,MATCH(J$1,'Oder Filter'!$5:$5,0)),"dd/mm/yyyy")),"")</f>
        <v/>
      </c>
    </row>
    <row r="17" spans="1:10">
      <c r="A17" s="116" t="str">
        <f>IF(ROW()-11&lt;=(COUNTA('Oder Filter'!$A$6:$A$50)),ROW()-11,"")</f>
        <v/>
      </c>
      <c r="B17" s="49" t="str">
        <f>IFERROR(INDEX('Oder Filter'!$A$6:$W$50,$A17,MATCH(B$1,'Oder Filter'!$5:$5,0)),"")</f>
        <v/>
      </c>
      <c r="C17" s="115" t="str">
        <f>IFERROR(INDEX('Oder Filter'!$A$6:$W$50,$A17,MATCH(C$1,'Oder Filter'!$5:$5,0)),"")</f>
        <v/>
      </c>
      <c r="D17" s="114" t="str">
        <f>IFERROR(INDEX('Oder Filter'!$A$6:$W$50,$A17,MATCH(D$1,'Oder Filter'!$5:$5,0)),"")</f>
        <v/>
      </c>
      <c r="E17" s="49" t="str">
        <f>IFERROR(INDEX('Oder Filter'!$A$6:$W$50,$A17,MATCH(E$1,'Oder Filter'!$5:$5,0)),"")</f>
        <v/>
      </c>
      <c r="F17" s="49"/>
      <c r="G17" s="49" t="str">
        <f>IFERROR(INDEX('Oder Filter'!$A$6:$W$50,$A17,MATCH(G$1,'Oder Filter'!$5:$5,0)),"")</f>
        <v/>
      </c>
      <c r="H17" s="49" t="str">
        <f>IFERROR(INDEX('Oder Filter'!$A$6:$W$50,$A17,MATCH(H$1,'Oder Filter'!$5:$5,0)),"")</f>
        <v/>
      </c>
      <c r="I17" s="49" t="str">
        <f>IFERROR(INDEX('Oder Filter'!$A$6:$W$50,$A17,MATCH(I$1,'Oder Filter'!$5:$5,0)),"")</f>
        <v/>
      </c>
      <c r="J17" s="50" t="str">
        <f>IFERROR(IF(TEXT(INDEX('Oder Filter'!$A$6:$W$50,$A17,MATCH(J$1,'Oder Filter'!$5:$5,0)),"dd/mm/yyyy")="(blank)","",TEXT(INDEX('Oder Filter'!$A$6:$W$50,$A17,MATCH(J$1,'Oder Filter'!$5:$5,0)),"dd/mm/yyyy")),"")</f>
        <v/>
      </c>
    </row>
    <row r="18" spans="1:10">
      <c r="A18" s="116" t="str">
        <f>IF(ROW()-11&lt;=(COUNTA('Oder Filter'!$A$6:$A$50)),ROW()-11,"")</f>
        <v/>
      </c>
      <c r="B18" s="49" t="str">
        <f>IFERROR(INDEX('Oder Filter'!$A$6:$W$50,$A18,MATCH(B$1,'Oder Filter'!$5:$5,0)),"")</f>
        <v/>
      </c>
      <c r="C18" s="115" t="str">
        <f>IFERROR(INDEX('Oder Filter'!$A$6:$W$50,$A18,MATCH(C$1,'Oder Filter'!$5:$5,0)),"")</f>
        <v/>
      </c>
      <c r="D18" s="114" t="str">
        <f>IFERROR(INDEX('Oder Filter'!$A$6:$W$50,$A18,MATCH(D$1,'Oder Filter'!$5:$5,0)),"")</f>
        <v/>
      </c>
      <c r="E18" s="49" t="str">
        <f>IFERROR(INDEX('Oder Filter'!$A$6:$W$50,$A18,MATCH(E$1,'Oder Filter'!$5:$5,0)),"")</f>
        <v/>
      </c>
      <c r="F18" s="49"/>
      <c r="G18" s="49" t="str">
        <f>IFERROR(INDEX('Oder Filter'!$A$6:$W$50,$A18,MATCH(G$1,'Oder Filter'!$5:$5,0)),"")</f>
        <v/>
      </c>
      <c r="H18" s="49" t="str">
        <f>IFERROR(INDEX('Oder Filter'!$A$6:$W$50,$A18,MATCH(H$1,'Oder Filter'!$5:$5,0)),"")</f>
        <v/>
      </c>
      <c r="I18" s="49" t="str">
        <f>IFERROR(INDEX('Oder Filter'!$A$6:$W$50,$A18,MATCH(I$1,'Oder Filter'!$5:$5,0)),"")</f>
        <v/>
      </c>
      <c r="J18" s="50" t="str">
        <f>IFERROR(IF(TEXT(INDEX('Oder Filter'!$A$6:$W$50,$A18,MATCH(J$1,'Oder Filter'!$5:$5,0)),"dd/mm/yyyy")="(blank)","",TEXT(INDEX('Oder Filter'!$A$6:$W$50,$A18,MATCH(J$1,'Oder Filter'!$5:$5,0)),"dd/mm/yyyy")),"")</f>
        <v/>
      </c>
    </row>
    <row r="19" spans="1:10">
      <c r="A19" s="116" t="str">
        <f>IF(ROW()-11&lt;=(COUNTA('Oder Filter'!$A$6:$A$50)),ROW()-11,"")</f>
        <v/>
      </c>
      <c r="B19" s="49" t="str">
        <f>IFERROR(INDEX('Oder Filter'!$A$6:$W$50,$A19,MATCH(B$1,'Oder Filter'!$5:$5,0)),"")</f>
        <v/>
      </c>
      <c r="C19" s="115" t="str">
        <f>IFERROR(INDEX('Oder Filter'!$A$6:$W$50,$A19,MATCH(C$1,'Oder Filter'!$5:$5,0)),"")</f>
        <v/>
      </c>
      <c r="D19" s="114" t="str">
        <f>IFERROR(INDEX('Oder Filter'!$A$6:$W$50,$A19,MATCH(D$1,'Oder Filter'!$5:$5,0)),"")</f>
        <v/>
      </c>
      <c r="E19" s="49" t="str">
        <f>IFERROR(INDEX('Oder Filter'!$A$6:$W$50,$A19,MATCH(E$1,'Oder Filter'!$5:$5,0)),"")</f>
        <v/>
      </c>
      <c r="F19" s="49"/>
      <c r="G19" s="49" t="str">
        <f>IFERROR(INDEX('Oder Filter'!$A$6:$W$50,$A19,MATCH(G$1,'Oder Filter'!$5:$5,0)),"")</f>
        <v/>
      </c>
      <c r="H19" s="49" t="str">
        <f>IFERROR(INDEX('Oder Filter'!$A$6:$W$50,$A19,MATCH(H$1,'Oder Filter'!$5:$5,0)),"")</f>
        <v/>
      </c>
      <c r="I19" s="49" t="str">
        <f>IFERROR(INDEX('Oder Filter'!$A$6:$W$50,$A19,MATCH(I$1,'Oder Filter'!$5:$5,0)),"")</f>
        <v/>
      </c>
      <c r="J19" s="50" t="str">
        <f>IFERROR(IF(TEXT(INDEX('Oder Filter'!$A$6:$W$50,$A19,MATCH(J$1,'Oder Filter'!$5:$5,0)),"dd/mm/yyyy")="(blank)","",TEXT(INDEX('Oder Filter'!$A$6:$W$50,$A19,MATCH(J$1,'Oder Filter'!$5:$5,0)),"dd/mm/yyyy")),"")</f>
        <v/>
      </c>
    </row>
    <row r="20" spans="1:10">
      <c r="A20" s="116" t="str">
        <f>IF(ROW()-11&lt;=(COUNTA('Oder Filter'!$A$6:$A$50)),ROW()-11,"")</f>
        <v/>
      </c>
      <c r="B20" s="49" t="str">
        <f>IFERROR(INDEX('Oder Filter'!$A$6:$W$50,$A20,MATCH(B$1,'Oder Filter'!$5:$5,0)),"")</f>
        <v/>
      </c>
      <c r="C20" s="115" t="str">
        <f>IFERROR(INDEX('Oder Filter'!$A$6:$W$50,$A20,MATCH(C$1,'Oder Filter'!$5:$5,0)),"")</f>
        <v/>
      </c>
      <c r="D20" s="114" t="str">
        <f>IFERROR(INDEX('Oder Filter'!$A$6:$W$50,$A20,MATCH(D$1,'Oder Filter'!$5:$5,0)),"")</f>
        <v/>
      </c>
      <c r="E20" s="49" t="str">
        <f>IFERROR(INDEX('Oder Filter'!$A$6:$W$50,$A20,MATCH(E$1,'Oder Filter'!$5:$5,0)),"")</f>
        <v/>
      </c>
      <c r="F20" s="49"/>
      <c r="G20" s="49" t="str">
        <f>IFERROR(INDEX('Oder Filter'!$A$6:$W$50,$A20,MATCH(G$1,'Oder Filter'!$5:$5,0)),"")</f>
        <v/>
      </c>
      <c r="H20" s="49" t="str">
        <f>IFERROR(INDEX('Oder Filter'!$A$6:$W$50,$A20,MATCH(H$1,'Oder Filter'!$5:$5,0)),"")</f>
        <v/>
      </c>
      <c r="I20" s="49" t="str">
        <f>IFERROR(INDEX('Oder Filter'!$A$6:$W$50,$A20,MATCH(I$1,'Oder Filter'!$5:$5,0)),"")</f>
        <v/>
      </c>
      <c r="J20" s="50" t="str">
        <f>IFERROR(IF(TEXT(INDEX('Oder Filter'!$A$6:$W$50,$A20,MATCH(J$1,'Oder Filter'!$5:$5,0)),"dd/mm/yyyy")="(blank)","",TEXT(INDEX('Oder Filter'!$A$6:$W$50,$A20,MATCH(J$1,'Oder Filter'!$5:$5,0)),"dd/mm/yyyy")),"")</f>
        <v/>
      </c>
    </row>
    <row r="21" spans="1:10">
      <c r="A21" s="116" t="str">
        <f>IF(ROW()-11&lt;=(COUNTA('Oder Filter'!$A$6:$A$50)),ROW()-11,"")</f>
        <v/>
      </c>
      <c r="B21" s="49" t="str">
        <f>IFERROR(INDEX('Oder Filter'!$A$6:$W$50,$A21,MATCH(B$1,'Oder Filter'!$5:$5,0)),"")</f>
        <v/>
      </c>
      <c r="C21" s="115" t="str">
        <f>IFERROR(INDEX('Oder Filter'!$A$6:$W$50,$A21,MATCH(C$1,'Oder Filter'!$5:$5,0)),"")</f>
        <v/>
      </c>
      <c r="D21" s="114" t="str">
        <f>IFERROR(INDEX('Oder Filter'!$A$6:$W$50,$A21,MATCH(D$1,'Oder Filter'!$5:$5,0)),"")</f>
        <v/>
      </c>
      <c r="E21" s="49" t="str">
        <f>IFERROR(INDEX('Oder Filter'!$A$6:$W$50,$A21,MATCH(E$1,'Oder Filter'!$5:$5,0)),"")</f>
        <v/>
      </c>
      <c r="F21" s="49"/>
      <c r="G21" s="49" t="str">
        <f>IFERROR(INDEX('Oder Filter'!$A$6:$W$50,$A21,MATCH(G$1,'Oder Filter'!$5:$5,0)),"")</f>
        <v/>
      </c>
      <c r="H21" s="49" t="str">
        <f>IFERROR(INDEX('Oder Filter'!$A$6:$W$50,$A21,MATCH(H$1,'Oder Filter'!$5:$5,0)),"")</f>
        <v/>
      </c>
      <c r="I21" s="49" t="str">
        <f>IFERROR(INDEX('Oder Filter'!$A$6:$W$50,$A21,MATCH(I$1,'Oder Filter'!$5:$5,0)),"")</f>
        <v/>
      </c>
      <c r="J21" s="50" t="str">
        <f>IFERROR(IF(TEXT(INDEX('Oder Filter'!$A$6:$W$50,$A21,MATCH(J$1,'Oder Filter'!$5:$5,0)),"dd/mm/yyyy")="(blank)","",TEXT(INDEX('Oder Filter'!$A$6:$W$50,$A21,MATCH(J$1,'Oder Filter'!$5:$5,0)),"dd/mm/yyyy")),"")</f>
        <v/>
      </c>
    </row>
    <row r="22" spans="1:10">
      <c r="A22" s="116" t="str">
        <f>IF(ROW()-11&lt;=(COUNTA('Oder Filter'!$A$6:$A$50)),ROW()-11,"")</f>
        <v/>
      </c>
      <c r="B22" s="49" t="str">
        <f>IFERROR(INDEX('Oder Filter'!$A$6:$W$50,$A22,MATCH(B$1,'Oder Filter'!$5:$5,0)),"")</f>
        <v/>
      </c>
      <c r="C22" s="115" t="str">
        <f>IFERROR(INDEX('Oder Filter'!$A$6:$W$50,$A22,MATCH(C$1,'Oder Filter'!$5:$5,0)),"")</f>
        <v/>
      </c>
      <c r="D22" s="114" t="str">
        <f>IFERROR(INDEX('Oder Filter'!$A$6:$W$50,$A22,MATCH(D$1,'Oder Filter'!$5:$5,0)),"")</f>
        <v/>
      </c>
      <c r="E22" s="49" t="str">
        <f>IFERROR(INDEX('Oder Filter'!$A$6:$W$50,$A22,MATCH(E$1,'Oder Filter'!$5:$5,0)),"")</f>
        <v/>
      </c>
      <c r="F22" s="49"/>
      <c r="G22" s="49" t="str">
        <f>IFERROR(INDEX('Oder Filter'!$A$6:$W$50,$A22,MATCH(G$1,'Oder Filter'!$5:$5,0)),"")</f>
        <v/>
      </c>
      <c r="H22" s="49" t="str">
        <f>IFERROR(INDEX('Oder Filter'!$A$6:$W$50,$A22,MATCH(H$1,'Oder Filter'!$5:$5,0)),"")</f>
        <v/>
      </c>
      <c r="I22" s="49" t="str">
        <f>IFERROR(INDEX('Oder Filter'!$A$6:$W$50,$A22,MATCH(I$1,'Oder Filter'!$5:$5,0)),"")</f>
        <v/>
      </c>
      <c r="J22" s="50" t="str">
        <f>IFERROR(IF(TEXT(INDEX('Oder Filter'!$A$6:$W$50,$A22,MATCH(J$1,'Oder Filter'!$5:$5,0)),"dd/mm/yyyy")="(blank)","",TEXT(INDEX('Oder Filter'!$A$6:$W$50,$A22,MATCH(J$1,'Oder Filter'!$5:$5,0)),"dd/mm/yyyy")),"")</f>
        <v/>
      </c>
    </row>
    <row r="23" spans="1:10">
      <c r="A23" s="116" t="str">
        <f>IF(ROW()-11&lt;=(COUNTA('Oder Filter'!$A$6:$A$50)),ROW()-11,"")</f>
        <v/>
      </c>
      <c r="B23" s="49" t="str">
        <f>IFERROR(INDEX('Oder Filter'!$A$6:$W$50,$A23,MATCH(B$1,'Oder Filter'!$5:$5,0)),"")</f>
        <v/>
      </c>
      <c r="C23" s="115" t="str">
        <f>IFERROR(INDEX('Oder Filter'!$A$6:$W$50,$A23,MATCH(C$1,'Oder Filter'!$5:$5,0)),"")</f>
        <v/>
      </c>
      <c r="D23" s="114" t="str">
        <f>IFERROR(INDEX('Oder Filter'!$A$6:$W$50,$A23,MATCH(D$1,'Oder Filter'!$5:$5,0)),"")</f>
        <v/>
      </c>
      <c r="E23" s="49" t="str">
        <f>IFERROR(INDEX('Oder Filter'!$A$6:$W$50,$A23,MATCH(E$1,'Oder Filter'!$5:$5,0)),"")</f>
        <v/>
      </c>
      <c r="F23" s="49"/>
      <c r="G23" s="49" t="str">
        <f>IFERROR(INDEX('Oder Filter'!$A$6:$W$50,$A23,MATCH(G$1,'Oder Filter'!$5:$5,0)),"")</f>
        <v/>
      </c>
      <c r="H23" s="49" t="str">
        <f>IFERROR(INDEX('Oder Filter'!$A$6:$W$50,$A23,MATCH(H$1,'Oder Filter'!$5:$5,0)),"")</f>
        <v/>
      </c>
      <c r="I23" s="49" t="str">
        <f>IFERROR(INDEX('Oder Filter'!$A$6:$W$50,$A23,MATCH(I$1,'Oder Filter'!$5:$5,0)),"")</f>
        <v/>
      </c>
      <c r="J23" s="50" t="str">
        <f>IFERROR(IF(TEXT(INDEX('Oder Filter'!$A$6:$W$50,$A23,MATCH(J$1,'Oder Filter'!$5:$5,0)),"dd/mm/yyyy")="(blank)","",TEXT(INDEX('Oder Filter'!$A$6:$W$50,$A23,MATCH(J$1,'Oder Filter'!$5:$5,0)),"dd/mm/yyyy")),"")</f>
        <v/>
      </c>
    </row>
    <row r="24" spans="1:10">
      <c r="A24" s="116" t="str">
        <f>IF(ROW()-11&lt;=(COUNTA('Oder Filter'!$A$6:$A$50)),ROW()-11,"")</f>
        <v/>
      </c>
      <c r="B24" s="49" t="str">
        <f>IFERROR(INDEX('Oder Filter'!$A$6:$W$50,$A24,MATCH(B$1,'Oder Filter'!$5:$5,0)),"")</f>
        <v/>
      </c>
      <c r="C24" s="115" t="str">
        <f>IFERROR(INDEX('Oder Filter'!$A$6:$W$50,$A24,MATCH(C$1,'Oder Filter'!$5:$5,0)),"")</f>
        <v/>
      </c>
      <c r="D24" s="114" t="str">
        <f>IFERROR(INDEX('Oder Filter'!$A$6:$W$50,$A24,MATCH(D$1,'Oder Filter'!$5:$5,0)),"")</f>
        <v/>
      </c>
      <c r="E24" s="49" t="str">
        <f>IFERROR(INDEX('Oder Filter'!$A$6:$W$50,$A24,MATCH(E$1,'Oder Filter'!$5:$5,0)),"")</f>
        <v/>
      </c>
      <c r="F24" s="49"/>
      <c r="G24" s="49" t="str">
        <f>IFERROR(INDEX('Oder Filter'!$A$6:$W$50,$A24,MATCH(G$1,'Oder Filter'!$5:$5,0)),"")</f>
        <v/>
      </c>
      <c r="H24" s="49" t="str">
        <f>IFERROR(INDEX('Oder Filter'!$A$6:$W$50,$A24,MATCH(H$1,'Oder Filter'!$5:$5,0)),"")</f>
        <v/>
      </c>
      <c r="I24" s="49" t="str">
        <f>IFERROR(INDEX('Oder Filter'!$A$6:$W$50,$A24,MATCH(I$1,'Oder Filter'!$5:$5,0)),"")</f>
        <v/>
      </c>
      <c r="J24" s="50" t="str">
        <f>IFERROR(IF(TEXT(INDEX('Oder Filter'!$A$6:$W$50,$A24,MATCH(J$1,'Oder Filter'!$5:$5,0)),"dd/mm/yyyy")="(blank)","",TEXT(INDEX('Oder Filter'!$A$6:$W$50,$A24,MATCH(J$1,'Oder Filter'!$5:$5,0)),"dd/mm/yyyy")),"")</f>
        <v/>
      </c>
    </row>
    <row r="25" spans="1:10">
      <c r="A25" s="116" t="str">
        <f>IF(ROW()-11&lt;=(COUNTA('Oder Filter'!$A$6:$A$50)),ROW()-11,"")</f>
        <v/>
      </c>
      <c r="B25" s="49" t="str">
        <f>IFERROR(INDEX('Oder Filter'!$A$6:$W$50,$A25,MATCH(B$1,'Oder Filter'!$5:$5,0)),"")</f>
        <v/>
      </c>
      <c r="C25" s="115" t="str">
        <f>IFERROR(INDEX('Oder Filter'!$A$6:$W$50,$A25,MATCH(C$1,'Oder Filter'!$5:$5,0)),"")</f>
        <v/>
      </c>
      <c r="D25" s="114" t="str">
        <f>IFERROR(INDEX('Oder Filter'!$A$6:$W$50,$A25,MATCH(D$1,'Oder Filter'!$5:$5,0)),"")</f>
        <v/>
      </c>
      <c r="E25" s="49" t="str">
        <f>IFERROR(INDEX('Oder Filter'!$A$6:$W$50,$A25,MATCH(E$1,'Oder Filter'!$5:$5,0)),"")</f>
        <v/>
      </c>
      <c r="F25" s="49"/>
      <c r="G25" s="49" t="str">
        <f>IFERROR(INDEX('Oder Filter'!$A$6:$W$50,$A25,MATCH(G$1,'Oder Filter'!$5:$5,0)),"")</f>
        <v/>
      </c>
      <c r="H25" s="49" t="str">
        <f>IFERROR(INDEX('Oder Filter'!$A$6:$W$50,$A25,MATCH(H$1,'Oder Filter'!$5:$5,0)),"")</f>
        <v/>
      </c>
      <c r="I25" s="49" t="str">
        <f>IFERROR(INDEX('Oder Filter'!$A$6:$W$50,$A25,MATCH(I$1,'Oder Filter'!$5:$5,0)),"")</f>
        <v/>
      </c>
      <c r="J25" s="50" t="str">
        <f>IFERROR(IF(TEXT(INDEX('Oder Filter'!$A$6:$W$50,$A25,MATCH(J$1,'Oder Filter'!$5:$5,0)),"dd/mm/yyyy")="(blank)","",TEXT(INDEX('Oder Filter'!$A$6:$W$50,$A25,MATCH(J$1,'Oder Filter'!$5:$5,0)),"dd/mm/yyyy")),"")</f>
        <v/>
      </c>
    </row>
    <row r="26" spans="1:10">
      <c r="A26" s="116" t="str">
        <f>IF(ROW()-11&lt;=(COUNTA('Oder Filter'!$A$6:$A$50)),ROW()-11,"")</f>
        <v/>
      </c>
      <c r="B26" s="49" t="str">
        <f>IFERROR(INDEX('Oder Filter'!$A$6:$W$50,$A26,MATCH(B$1,'Oder Filter'!$5:$5,0)),"")</f>
        <v/>
      </c>
      <c r="C26" s="115" t="str">
        <f>IFERROR(INDEX('Oder Filter'!$A$6:$W$50,$A26,MATCH(C$1,'Oder Filter'!$5:$5,0)),"")</f>
        <v/>
      </c>
      <c r="D26" s="114" t="str">
        <f>IFERROR(INDEX('Oder Filter'!$A$6:$W$50,$A26,MATCH(D$1,'Oder Filter'!$5:$5,0)),"")</f>
        <v/>
      </c>
      <c r="E26" s="49" t="str">
        <f>IFERROR(INDEX('Oder Filter'!$A$6:$W$50,$A26,MATCH(E$1,'Oder Filter'!$5:$5,0)),"")</f>
        <v/>
      </c>
      <c r="F26" s="49"/>
      <c r="G26" s="49" t="str">
        <f>IFERROR(INDEX('Oder Filter'!$A$6:$W$50,$A26,MATCH(G$1,'Oder Filter'!$5:$5,0)),"")</f>
        <v/>
      </c>
      <c r="H26" s="49" t="str">
        <f>IFERROR(INDEX('Oder Filter'!$A$6:$W$50,$A26,MATCH(H$1,'Oder Filter'!$5:$5,0)),"")</f>
        <v/>
      </c>
      <c r="I26" s="49" t="str">
        <f>IFERROR(INDEX('Oder Filter'!$A$6:$W$50,$A26,MATCH(I$1,'Oder Filter'!$5:$5,0)),"")</f>
        <v/>
      </c>
      <c r="J26" s="50" t="str">
        <f>IFERROR(IF(TEXT(INDEX('Oder Filter'!$A$6:$W$50,$A26,MATCH(J$1,'Oder Filter'!$5:$5,0)),"dd/mm/yyyy")="(blank)","",TEXT(INDEX('Oder Filter'!$A$6:$W$50,$A26,MATCH(J$1,'Oder Filter'!$5:$5,0)),"dd/mm/yyyy")),"")</f>
        <v/>
      </c>
    </row>
    <row r="27" spans="1:10">
      <c r="A27" s="116" t="str">
        <f>IF(ROW()-11&lt;=(COUNTA('Oder Filter'!$A$6:$A$50)),ROW()-11,"")</f>
        <v/>
      </c>
      <c r="B27" s="49" t="str">
        <f>IFERROR(INDEX('Oder Filter'!$A$6:$W$50,$A27,MATCH(B$1,'Oder Filter'!$5:$5,0)),"")</f>
        <v/>
      </c>
      <c r="C27" s="115" t="str">
        <f>IFERROR(INDEX('Oder Filter'!$A$6:$W$50,$A27,MATCH(C$1,'Oder Filter'!$5:$5,0)),"")</f>
        <v/>
      </c>
      <c r="D27" s="114" t="str">
        <f>IFERROR(INDEX('Oder Filter'!$A$6:$W$50,$A27,MATCH(D$1,'Oder Filter'!$5:$5,0)),"")</f>
        <v/>
      </c>
      <c r="E27" s="49" t="str">
        <f>IFERROR(INDEX('Oder Filter'!$A$6:$W$50,$A27,MATCH(E$1,'Oder Filter'!$5:$5,0)),"")</f>
        <v/>
      </c>
      <c r="F27" s="49"/>
      <c r="G27" s="49" t="str">
        <f>IFERROR(INDEX('Oder Filter'!$A$6:$W$50,$A27,MATCH(G$1,'Oder Filter'!$5:$5,0)),"")</f>
        <v/>
      </c>
      <c r="H27" s="49" t="str">
        <f>IFERROR(INDEX('Oder Filter'!$A$6:$W$50,$A27,MATCH(H$1,'Oder Filter'!$5:$5,0)),"")</f>
        <v/>
      </c>
      <c r="I27" s="49" t="str">
        <f>IFERROR(INDEX('Oder Filter'!$A$6:$W$50,$A27,MATCH(I$1,'Oder Filter'!$5:$5,0)),"")</f>
        <v/>
      </c>
      <c r="J27" s="50" t="str">
        <f>IFERROR(IF(TEXT(INDEX('Oder Filter'!$A$6:$W$50,$A27,MATCH(J$1,'Oder Filter'!$5:$5,0)),"dd/mm/yyyy")="(blank)","",TEXT(INDEX('Oder Filter'!$A$6:$W$50,$A27,MATCH(J$1,'Oder Filter'!$5:$5,0)),"dd/mm/yyyy")),"")</f>
        <v/>
      </c>
    </row>
    <row r="28" spans="1:10">
      <c r="A28" s="116" t="str">
        <f>IF(ROW()-11&lt;=(COUNTA('Oder Filter'!$A$6:$A$50)),ROW()-11,"")</f>
        <v/>
      </c>
      <c r="B28" s="49" t="str">
        <f>IFERROR(INDEX('Oder Filter'!$A$6:$W$50,$A28,MATCH(B$1,'Oder Filter'!$5:$5,0)),"")</f>
        <v/>
      </c>
      <c r="C28" s="115" t="str">
        <f>IFERROR(INDEX('Oder Filter'!$A$6:$W$50,$A28,MATCH(C$1,'Oder Filter'!$5:$5,0)),"")</f>
        <v/>
      </c>
      <c r="D28" s="114" t="str">
        <f>IFERROR(INDEX('Oder Filter'!$A$6:$W$50,$A28,MATCH(D$1,'Oder Filter'!$5:$5,0)),"")</f>
        <v/>
      </c>
      <c r="E28" s="49" t="str">
        <f>IFERROR(INDEX('Oder Filter'!$A$6:$W$50,$A28,MATCH(E$1,'Oder Filter'!$5:$5,0)),"")</f>
        <v/>
      </c>
      <c r="F28" s="49"/>
      <c r="G28" s="49" t="str">
        <f>IFERROR(INDEX('Oder Filter'!$A$6:$W$50,$A28,MATCH(G$1,'Oder Filter'!$5:$5,0)),"")</f>
        <v/>
      </c>
      <c r="H28" s="49" t="str">
        <f>IFERROR(INDEX('Oder Filter'!$A$6:$W$50,$A28,MATCH(H$1,'Oder Filter'!$5:$5,0)),"")</f>
        <v/>
      </c>
      <c r="I28" s="49" t="str">
        <f>IFERROR(INDEX('Oder Filter'!$A$6:$W$50,$A28,MATCH(I$1,'Oder Filter'!$5:$5,0)),"")</f>
        <v/>
      </c>
      <c r="J28" s="50" t="str">
        <f>IFERROR(IF(TEXT(INDEX('Oder Filter'!$A$6:$W$50,$A28,MATCH(J$1,'Oder Filter'!$5:$5,0)),"dd/mm/yyyy")="(blank)","",TEXT(INDEX('Oder Filter'!$A$6:$W$50,$A28,MATCH(J$1,'Oder Filter'!$5:$5,0)),"dd/mm/yyyy")),"")</f>
        <v/>
      </c>
    </row>
    <row r="29" spans="1:10" ht="18" thickBot="1">
      <c r="A29" s="116" t="str">
        <f>IF(ROW()-11&lt;=(COUNTA('Oder Filter'!$A$6:$A$50)),ROW()-11,"")</f>
        <v/>
      </c>
      <c r="B29" s="49" t="str">
        <f>IFERROR(INDEX('Oder Filter'!$A$6:$W$50,$A29,MATCH(B$1,'Oder Filter'!$5:$5,0)),"")</f>
        <v/>
      </c>
      <c r="C29" s="115" t="str">
        <f>IFERROR(INDEX('Oder Filter'!$A$6:$W$50,$A29,MATCH(C$1,'Oder Filter'!$5:$5,0)),"")</f>
        <v/>
      </c>
      <c r="D29" s="114" t="str">
        <f>IFERROR(INDEX('Oder Filter'!$A$6:$W$50,$A29,MATCH(D$1,'Oder Filter'!$5:$5,0)),"")</f>
        <v/>
      </c>
      <c r="E29" s="49" t="str">
        <f>IFERROR(INDEX('Oder Filter'!$A$6:$W$50,$A29,MATCH(E$1,'Oder Filter'!$5:$5,0)),"")</f>
        <v/>
      </c>
      <c r="F29" s="49"/>
      <c r="G29" s="49" t="str">
        <f>IFERROR(INDEX('Oder Filter'!$A$6:$W$50,$A29,MATCH(G$1,'Oder Filter'!$5:$5,0)),"")</f>
        <v/>
      </c>
      <c r="H29" s="49" t="str">
        <f>IFERROR(INDEX('Oder Filter'!$A$6:$W$50,$A29,MATCH(H$1,'Oder Filter'!$5:$5,0)),"")</f>
        <v/>
      </c>
      <c r="I29" s="49" t="str">
        <f>IFERROR(INDEX('Oder Filter'!$A$6:$W$50,$A29,MATCH(I$1,'Oder Filter'!$5:$5,0)),"")</f>
        <v/>
      </c>
      <c r="J29" s="50" t="str">
        <f>IFERROR(IF(TEXT(INDEX('Oder Filter'!$A$6:$W$50,$A29,MATCH(J$1,'Oder Filter'!$5:$5,0)),"dd/mm/yyyy")="(blank)","",TEXT(INDEX('Oder Filter'!$A$6:$W$50,$A29,MATCH(J$1,'Oder Filter'!$5:$5,0)),"dd/mm/yyyy")),"")</f>
        <v/>
      </c>
    </row>
    <row r="30" spans="1:10" ht="18.75" thickTop="1" thickBot="1">
      <c r="A30" s="51"/>
      <c r="B30" s="52" t="s">
        <v>371</v>
      </c>
      <c r="C30" s="53"/>
      <c r="D30" s="53"/>
      <c r="E30" s="52"/>
      <c r="F30" s="54">
        <f>SUM(F12:F29)</f>
        <v>154</v>
      </c>
      <c r="G30" s="54">
        <f>SUM(G12:G29)</f>
        <v>20100</v>
      </c>
      <c r="H30" s="54"/>
      <c r="I30" s="54">
        <f>SUM(I12:I29)</f>
        <v>206800000</v>
      </c>
      <c r="J30" s="55"/>
    </row>
    <row r="31" spans="1:10" s="73" customFormat="1">
      <c r="A31" s="34"/>
      <c r="B31" s="34"/>
      <c r="C31" s="34"/>
      <c r="D31" s="34"/>
      <c r="E31" s="34"/>
      <c r="F31" s="34"/>
      <c r="G31" s="34"/>
      <c r="H31" s="34"/>
      <c r="I31" s="34"/>
      <c r="J31" s="44"/>
    </row>
    <row r="32" spans="1:10">
      <c r="B32" s="56" t="s">
        <v>372</v>
      </c>
      <c r="C32" s="57"/>
      <c r="D32" s="58"/>
      <c r="E32" s="58"/>
      <c r="F32" s="58"/>
      <c r="G32" s="59"/>
      <c r="H32" s="58"/>
      <c r="I32" s="60"/>
      <c r="J32" s="61"/>
    </row>
    <row r="33" spans="1:10">
      <c r="A33" s="45"/>
      <c r="B33" s="62"/>
      <c r="C33" s="45"/>
      <c r="D33" s="45"/>
      <c r="E33" s="45"/>
      <c r="F33" s="63" t="s">
        <v>373</v>
      </c>
      <c r="I33" s="64"/>
      <c r="J33" s="65"/>
    </row>
    <row r="34" spans="1:10">
      <c r="A34" s="45"/>
      <c r="B34" s="62"/>
      <c r="C34" s="45"/>
      <c r="D34" s="45"/>
      <c r="E34" s="45"/>
      <c r="F34" s="163" t="s">
        <v>2387</v>
      </c>
      <c r="G34" s="162"/>
      <c r="I34" s="84">
        <v>20000000</v>
      </c>
      <c r="J34" s="65"/>
    </row>
    <row r="35" spans="1:10">
      <c r="A35" s="45"/>
      <c r="B35" s="62"/>
      <c r="C35" s="45"/>
      <c r="D35" s="45"/>
      <c r="E35" s="45"/>
      <c r="F35" s="163"/>
      <c r="G35" s="162"/>
      <c r="I35" s="84"/>
      <c r="J35" s="65"/>
    </row>
    <row r="36" spans="1:10">
      <c r="A36" s="45"/>
      <c r="B36" s="62"/>
      <c r="C36" s="45"/>
      <c r="D36" s="45"/>
      <c r="E36" s="45"/>
      <c r="F36" s="163"/>
      <c r="G36" s="120"/>
      <c r="I36" s="84"/>
      <c r="J36" s="65"/>
    </row>
    <row r="37" spans="1:10">
      <c r="A37" s="45"/>
      <c r="B37" s="62"/>
      <c r="C37" s="45"/>
      <c r="D37" s="45"/>
      <c r="E37" s="45"/>
      <c r="F37" s="63"/>
      <c r="G37" s="83"/>
      <c r="I37" s="84"/>
      <c r="J37" s="65"/>
    </row>
    <row r="38" spans="1:10">
      <c r="A38" s="45"/>
      <c r="B38" s="62"/>
      <c r="C38" s="45"/>
      <c r="D38" s="45"/>
      <c r="E38" s="45"/>
      <c r="F38" s="63"/>
      <c r="I38" s="64"/>
      <c r="J38" s="65"/>
    </row>
    <row r="39" spans="1:10" s="73" customFormat="1">
      <c r="A39" s="34"/>
      <c r="B39" s="66"/>
      <c r="C39" s="67"/>
      <c r="D39" s="67"/>
      <c r="E39" s="67"/>
      <c r="F39" s="68" t="s">
        <v>374</v>
      </c>
      <c r="G39" s="67"/>
      <c r="H39" s="67"/>
      <c r="I39" s="164">
        <f>I30-SUM(I34:I38)</f>
        <v>186800000</v>
      </c>
      <c r="J39" s="69"/>
    </row>
    <row r="41" spans="1:10">
      <c r="A41" s="73"/>
      <c r="B41" s="70" t="s">
        <v>375</v>
      </c>
      <c r="C41" s="71"/>
      <c r="D41" s="71"/>
      <c r="E41" s="71"/>
      <c r="F41" s="71"/>
      <c r="G41" s="71"/>
      <c r="H41" s="71"/>
      <c r="I41" s="71"/>
      <c r="J41" s="72"/>
    </row>
    <row r="42" spans="1:10">
      <c r="B42" s="74" t="s">
        <v>376</v>
      </c>
      <c r="J42" s="75"/>
    </row>
    <row r="43" spans="1:10">
      <c r="B43" s="76"/>
      <c r="C43" s="77" t="s">
        <v>377</v>
      </c>
      <c r="J43" s="75"/>
    </row>
    <row r="44" spans="1:10">
      <c r="B44" s="76"/>
      <c r="C44" s="77" t="s">
        <v>378</v>
      </c>
      <c r="J44" s="75"/>
    </row>
    <row r="45" spans="1:10">
      <c r="B45" s="76"/>
      <c r="C45" s="77" t="s">
        <v>379</v>
      </c>
      <c r="D45" s="45"/>
      <c r="E45" s="45"/>
      <c r="F45" s="45"/>
      <c r="G45" s="45"/>
      <c r="I45" s="45"/>
      <c r="J45" s="65"/>
    </row>
    <row r="46" spans="1:10">
      <c r="B46" s="74" t="s">
        <v>380</v>
      </c>
      <c r="C46" s="45"/>
      <c r="D46" s="45"/>
      <c r="E46" s="45"/>
      <c r="F46" s="45"/>
      <c r="G46" s="45"/>
      <c r="I46" s="63"/>
      <c r="J46" s="65"/>
    </row>
    <row r="47" spans="1:10">
      <c r="B47" s="66"/>
      <c r="C47" s="78" t="s">
        <v>381</v>
      </c>
      <c r="D47" s="79"/>
      <c r="E47" s="79"/>
      <c r="F47" s="79"/>
      <c r="G47" s="79"/>
      <c r="H47" s="67"/>
      <c r="I47" s="67"/>
      <c r="J47" s="80"/>
    </row>
    <row r="48" spans="1:10">
      <c r="B48" s="77"/>
      <c r="I48" s="77"/>
    </row>
    <row r="49" spans="1:10">
      <c r="A49" s="73"/>
      <c r="B49" s="70" t="s">
        <v>382</v>
      </c>
      <c r="C49" s="71"/>
      <c r="D49" s="71"/>
      <c r="E49" s="71"/>
      <c r="F49" s="71"/>
      <c r="G49" s="71"/>
      <c r="H49" s="71"/>
      <c r="I49" s="71"/>
      <c r="J49" s="72"/>
    </row>
    <row r="50" spans="1:10">
      <c r="B50" s="76" t="s">
        <v>398</v>
      </c>
      <c r="J50" s="75"/>
    </row>
    <row r="51" spans="1:10">
      <c r="B51" s="76" t="s">
        <v>383</v>
      </c>
      <c r="J51" s="75"/>
    </row>
    <row r="52" spans="1:10">
      <c r="B52" s="66" t="s">
        <v>400</v>
      </c>
      <c r="C52" s="67"/>
      <c r="D52" s="67"/>
      <c r="E52" s="67"/>
      <c r="F52" s="67"/>
      <c r="G52" s="67"/>
      <c r="H52" s="67"/>
      <c r="I52" s="67"/>
      <c r="J52" s="69"/>
    </row>
  </sheetData>
  <mergeCells count="1">
    <mergeCell ref="A5:J5"/>
  </mergeCells>
  <pageMargins left="0.25" right="0.25" top="0.75" bottom="0.75" header="0.3" footer="0.3"/>
  <pageSetup scale="67"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4951"/>
  <sheetViews>
    <sheetView topLeftCell="B1" workbookViewId="0">
      <selection activeCell="L6" sqref="L6:L7"/>
    </sheetView>
  </sheetViews>
  <sheetFormatPr defaultRowHeight="15"/>
  <cols>
    <col min="1" max="1" width="12.42578125" customWidth="1"/>
    <col min="2" max="2" width="28.7109375" customWidth="1"/>
    <col min="3" max="3" width="16.42578125" customWidth="1"/>
    <col min="4" max="4" width="13.42578125" customWidth="1"/>
    <col min="5" max="5" width="26.7109375" style="15" bestFit="1" customWidth="1"/>
    <col min="6" max="6" width="18.85546875" bestFit="1" customWidth="1"/>
    <col min="7" max="7" width="7.5703125" bestFit="1" customWidth="1"/>
    <col min="8" max="8" width="7.28515625" bestFit="1" customWidth="1"/>
    <col min="9" max="9" width="20.42578125" customWidth="1"/>
    <col min="10" max="10" width="12.7109375" bestFit="1" customWidth="1"/>
    <col min="11" max="11" width="24.85546875" bestFit="1" customWidth="1"/>
    <col min="12" max="13" width="39.7109375" bestFit="1" customWidth="1"/>
    <col min="14" max="14" width="37.42578125" customWidth="1"/>
  </cols>
  <sheetData>
    <row r="1" spans="1:12">
      <c r="A1" s="81" t="s">
        <v>1</v>
      </c>
      <c r="B1" s="165" t="s">
        <v>1817</v>
      </c>
    </row>
    <row r="2" spans="1:12">
      <c r="A2" s="81" t="s">
        <v>13</v>
      </c>
      <c r="B2" s="165" t="s">
        <v>29</v>
      </c>
    </row>
    <row r="4" spans="1:12">
      <c r="E4"/>
      <c r="K4" s="81" t="s">
        <v>384</v>
      </c>
    </row>
    <row r="5" spans="1:12">
      <c r="A5" s="81" t="s">
        <v>4</v>
      </c>
      <c r="B5" s="81" t="s">
        <v>5</v>
      </c>
      <c r="C5" s="81" t="s">
        <v>16</v>
      </c>
      <c r="D5" s="81" t="s">
        <v>6</v>
      </c>
      <c r="E5" s="81" t="s">
        <v>7</v>
      </c>
      <c r="F5" s="81" t="s">
        <v>0</v>
      </c>
      <c r="G5" s="81" t="s">
        <v>8</v>
      </c>
      <c r="H5" s="81" t="s">
        <v>9</v>
      </c>
      <c r="I5" s="81" t="s">
        <v>15</v>
      </c>
      <c r="J5" s="81" t="s">
        <v>12</v>
      </c>
      <c r="K5" s="165" t="s">
        <v>353</v>
      </c>
      <c r="L5" s="165" t="s">
        <v>354</v>
      </c>
    </row>
    <row r="6" spans="1:12">
      <c r="A6" s="165" t="s">
        <v>1819</v>
      </c>
      <c r="B6" s="165" t="s">
        <v>1818</v>
      </c>
      <c r="C6" s="250">
        <v>43737</v>
      </c>
      <c r="D6" s="165" t="s">
        <v>2060</v>
      </c>
      <c r="E6" s="165" t="s">
        <v>40</v>
      </c>
      <c r="F6" s="165" t="s">
        <v>385</v>
      </c>
      <c r="G6" s="165" t="s">
        <v>27</v>
      </c>
      <c r="H6" s="165" t="s">
        <v>126</v>
      </c>
      <c r="I6" s="250">
        <v>43737</v>
      </c>
      <c r="J6" s="165">
        <v>8000</v>
      </c>
      <c r="K6" s="166">
        <v>5100</v>
      </c>
      <c r="L6" s="166">
        <v>40800000</v>
      </c>
    </row>
    <row r="7" spans="1:12">
      <c r="A7" s="165" t="s">
        <v>1819</v>
      </c>
      <c r="B7" s="165" t="s">
        <v>1818</v>
      </c>
      <c r="C7" s="250">
        <v>43737</v>
      </c>
      <c r="D7" s="165" t="s">
        <v>2011</v>
      </c>
      <c r="E7" s="165" t="s">
        <v>40</v>
      </c>
      <c r="F7" s="165" t="s">
        <v>385</v>
      </c>
      <c r="G7" s="165" t="s">
        <v>74</v>
      </c>
      <c r="H7" s="165" t="s">
        <v>122</v>
      </c>
      <c r="I7" s="250">
        <v>43737</v>
      </c>
      <c r="J7" s="165">
        <v>10600</v>
      </c>
      <c r="K7" s="166">
        <v>10000</v>
      </c>
      <c r="L7" s="166">
        <v>106000000</v>
      </c>
    </row>
    <row r="8" spans="1:12">
      <c r="A8" s="165" t="s">
        <v>1819</v>
      </c>
      <c r="B8" s="165" t="s">
        <v>1818</v>
      </c>
      <c r="C8" s="250">
        <v>43737</v>
      </c>
      <c r="D8" s="165" t="s">
        <v>2062</v>
      </c>
      <c r="E8" s="165" t="s">
        <v>1509</v>
      </c>
      <c r="F8" s="165" t="s">
        <v>385</v>
      </c>
      <c r="G8" s="165" t="s">
        <v>74</v>
      </c>
      <c r="H8" s="165" t="s">
        <v>122</v>
      </c>
      <c r="I8" s="250">
        <v>43737</v>
      </c>
      <c r="J8" s="165">
        <v>12000</v>
      </c>
      <c r="K8" s="166">
        <v>5000</v>
      </c>
      <c r="L8" s="166">
        <v>60000000</v>
      </c>
    </row>
    <row r="9" spans="1:12">
      <c r="E9"/>
    </row>
    <row r="10" spans="1:12">
      <c r="E10"/>
    </row>
    <row r="11" spans="1:12">
      <c r="E11"/>
    </row>
    <row r="12" spans="1:12">
      <c r="E12"/>
    </row>
    <row r="13" spans="1:12">
      <c r="E13"/>
    </row>
    <row r="14" spans="1:12">
      <c r="E14"/>
    </row>
    <row r="15" spans="1:12">
      <c r="E15"/>
    </row>
    <row r="16" spans="1:12">
      <c r="E16"/>
    </row>
    <row r="17" spans="5:5">
      <c r="E17"/>
    </row>
    <row r="18" spans="5:5">
      <c r="E18"/>
    </row>
    <row r="19" spans="5:5">
      <c r="E19"/>
    </row>
    <row r="20" spans="5:5">
      <c r="E20"/>
    </row>
    <row r="21" spans="5:5">
      <c r="E21"/>
    </row>
    <row r="22" spans="5:5">
      <c r="E22"/>
    </row>
    <row r="23" spans="5:5">
      <c r="E23"/>
    </row>
    <row r="24" spans="5:5">
      <c r="E24"/>
    </row>
    <row r="25" spans="5:5">
      <c r="E25"/>
    </row>
    <row r="26" spans="5:5">
      <c r="E26"/>
    </row>
    <row r="27" spans="5:5">
      <c r="E27"/>
    </row>
    <row r="28" spans="5:5">
      <c r="E28"/>
    </row>
    <row r="29" spans="5:5">
      <c r="E29"/>
    </row>
    <row r="30" spans="5:5">
      <c r="E30"/>
    </row>
    <row r="31" spans="5:5">
      <c r="E31"/>
    </row>
    <row r="32" spans="5:5">
      <c r="E32"/>
    </row>
    <row r="33" spans="5:5">
      <c r="E33"/>
    </row>
    <row r="34" spans="5:5">
      <c r="E34"/>
    </row>
    <row r="35" spans="5:5">
      <c r="E35"/>
    </row>
    <row r="36" spans="5:5">
      <c r="E36"/>
    </row>
    <row r="37" spans="5:5">
      <c r="E37"/>
    </row>
    <row r="38" spans="5:5">
      <c r="E38"/>
    </row>
    <row r="39" spans="5:5">
      <c r="E39"/>
    </row>
    <row r="40" spans="5:5">
      <c r="E40"/>
    </row>
    <row r="41" spans="5:5">
      <c r="E41"/>
    </row>
    <row r="42" spans="5:5">
      <c r="E42"/>
    </row>
    <row r="43" spans="5:5">
      <c r="E43"/>
    </row>
    <row r="44" spans="5:5">
      <c r="E44"/>
    </row>
    <row r="45" spans="5:5">
      <c r="E45"/>
    </row>
    <row r="46" spans="5:5">
      <c r="E46"/>
    </row>
    <row r="47" spans="5:5">
      <c r="E47"/>
    </row>
    <row r="48" spans="5:5">
      <c r="E48"/>
    </row>
    <row r="49" spans="5:5">
      <c r="E49"/>
    </row>
    <row r="50" spans="5:5">
      <c r="E50"/>
    </row>
    <row r="51" spans="5:5">
      <c r="E51"/>
    </row>
    <row r="52" spans="5:5">
      <c r="E52"/>
    </row>
    <row r="53" spans="5:5">
      <c r="E53"/>
    </row>
    <row r="54" spans="5:5">
      <c r="E54"/>
    </row>
    <row r="55" spans="5:5">
      <c r="E55"/>
    </row>
    <row r="56" spans="5:5">
      <c r="E56"/>
    </row>
    <row r="57" spans="5:5">
      <c r="E57"/>
    </row>
    <row r="58" spans="5:5">
      <c r="E58"/>
    </row>
    <row r="59" spans="5:5">
      <c r="E59"/>
    </row>
    <row r="60" spans="5:5">
      <c r="E60"/>
    </row>
    <row r="61" spans="5:5">
      <c r="E61"/>
    </row>
    <row r="62" spans="5:5">
      <c r="E62"/>
    </row>
    <row r="63" spans="5:5">
      <c r="E63"/>
    </row>
    <row r="64" spans="5:5">
      <c r="E64"/>
    </row>
    <row r="65" spans="5:5">
      <c r="E65"/>
    </row>
    <row r="66" spans="5:5">
      <c r="E66"/>
    </row>
    <row r="67" spans="5:5">
      <c r="E67"/>
    </row>
    <row r="68" spans="5:5">
      <c r="E68"/>
    </row>
    <row r="69" spans="5:5">
      <c r="E69"/>
    </row>
    <row r="70" spans="5:5">
      <c r="E70"/>
    </row>
    <row r="71" spans="5:5">
      <c r="E71"/>
    </row>
    <row r="72" spans="5:5">
      <c r="E72"/>
    </row>
    <row r="73" spans="5:5">
      <c r="E73"/>
    </row>
    <row r="74" spans="5:5">
      <c r="E74"/>
    </row>
    <row r="75" spans="5:5">
      <c r="E75"/>
    </row>
    <row r="76" spans="5:5">
      <c r="E76"/>
    </row>
    <row r="77" spans="5:5">
      <c r="E77"/>
    </row>
    <row r="78" spans="5:5">
      <c r="E78"/>
    </row>
    <row r="79" spans="5:5">
      <c r="E79"/>
    </row>
    <row r="80" spans="5:5">
      <c r="E80"/>
    </row>
    <row r="81" spans="5:5">
      <c r="E81"/>
    </row>
    <row r="82" spans="5:5">
      <c r="E82"/>
    </row>
    <row r="83" spans="5:5">
      <c r="E83"/>
    </row>
    <row r="84" spans="5:5">
      <c r="E84"/>
    </row>
    <row r="85" spans="5:5">
      <c r="E85"/>
    </row>
    <row r="86" spans="5:5">
      <c r="E86"/>
    </row>
    <row r="87" spans="5:5">
      <c r="E87"/>
    </row>
    <row r="88" spans="5:5">
      <c r="E88"/>
    </row>
    <row r="89" spans="5:5">
      <c r="E89"/>
    </row>
    <row r="90" spans="5:5">
      <c r="E90"/>
    </row>
    <row r="91" spans="5:5">
      <c r="E91"/>
    </row>
    <row r="92" spans="5:5">
      <c r="E92"/>
    </row>
    <row r="93" spans="5:5">
      <c r="E93"/>
    </row>
    <row r="94" spans="5:5">
      <c r="E94"/>
    </row>
    <row r="95" spans="5:5">
      <c r="E95"/>
    </row>
    <row r="96" spans="5:5">
      <c r="E96"/>
    </row>
    <row r="97" spans="5:5">
      <c r="E97"/>
    </row>
    <row r="98" spans="5:5">
      <c r="E98"/>
    </row>
    <row r="99" spans="5:5">
      <c r="E99"/>
    </row>
    <row r="100" spans="5:5">
      <c r="E100"/>
    </row>
    <row r="101" spans="5:5">
      <c r="E101"/>
    </row>
    <row r="102" spans="5:5">
      <c r="E102"/>
    </row>
    <row r="103" spans="5:5">
      <c r="E103"/>
    </row>
    <row r="104" spans="5:5">
      <c r="E104"/>
    </row>
    <row r="105" spans="5:5">
      <c r="E105"/>
    </row>
    <row r="106" spans="5:5">
      <c r="E106"/>
    </row>
    <row r="107" spans="5:5">
      <c r="E107"/>
    </row>
    <row r="108" spans="5:5">
      <c r="E108"/>
    </row>
    <row r="109" spans="5:5">
      <c r="E109"/>
    </row>
    <row r="110" spans="5:5">
      <c r="E110"/>
    </row>
    <row r="111" spans="5:5">
      <c r="E111"/>
    </row>
    <row r="112" spans="5:5">
      <c r="E112"/>
    </row>
    <row r="113" spans="5:5">
      <c r="E113"/>
    </row>
    <row r="114" spans="5:5">
      <c r="E114"/>
    </row>
    <row r="115" spans="5:5">
      <c r="E115"/>
    </row>
    <row r="116" spans="5:5">
      <c r="E116"/>
    </row>
    <row r="117" spans="5:5">
      <c r="E117"/>
    </row>
    <row r="118" spans="5:5">
      <c r="E118"/>
    </row>
    <row r="119" spans="5:5">
      <c r="E119"/>
    </row>
    <row r="120" spans="5:5">
      <c r="E120"/>
    </row>
    <row r="121" spans="5:5">
      <c r="E121"/>
    </row>
    <row r="122" spans="5:5">
      <c r="E122"/>
    </row>
    <row r="123" spans="5:5">
      <c r="E123"/>
    </row>
    <row r="124" spans="5:5">
      <c r="E124"/>
    </row>
    <row r="125" spans="5:5">
      <c r="E125"/>
    </row>
    <row r="126" spans="5:5">
      <c r="E126"/>
    </row>
    <row r="127" spans="5:5">
      <c r="E127"/>
    </row>
    <row r="128" spans="5:5">
      <c r="E128"/>
    </row>
    <row r="129" spans="5:5">
      <c r="E129"/>
    </row>
    <row r="130" spans="5:5">
      <c r="E130"/>
    </row>
    <row r="131" spans="5:5">
      <c r="E131"/>
    </row>
    <row r="132" spans="5:5">
      <c r="E132"/>
    </row>
    <row r="133" spans="5:5">
      <c r="E133"/>
    </row>
    <row r="134" spans="5:5">
      <c r="E134"/>
    </row>
    <row r="135" spans="5:5">
      <c r="E135"/>
    </row>
    <row r="136" spans="5:5">
      <c r="E136"/>
    </row>
    <row r="137" spans="5:5">
      <c r="E137"/>
    </row>
    <row r="138" spans="5:5">
      <c r="E138"/>
    </row>
    <row r="139" spans="5:5">
      <c r="E139"/>
    </row>
    <row r="140" spans="5:5">
      <c r="E140"/>
    </row>
    <row r="141" spans="5:5">
      <c r="E141"/>
    </row>
    <row r="142" spans="5:5">
      <c r="E142"/>
    </row>
    <row r="143" spans="5:5">
      <c r="E143"/>
    </row>
    <row r="144" spans="5:5">
      <c r="E144"/>
    </row>
    <row r="145" spans="5:5">
      <c r="E145"/>
    </row>
    <row r="146" spans="5:5">
      <c r="E146"/>
    </row>
    <row r="147" spans="5:5">
      <c r="E147"/>
    </row>
    <row r="148" spans="5:5">
      <c r="E148"/>
    </row>
    <row r="149" spans="5:5">
      <c r="E149"/>
    </row>
    <row r="150" spans="5:5">
      <c r="E150"/>
    </row>
    <row r="151" spans="5:5">
      <c r="E151"/>
    </row>
    <row r="152" spans="5:5">
      <c r="E152"/>
    </row>
    <row r="153" spans="5:5">
      <c r="E153"/>
    </row>
    <row r="154" spans="5:5">
      <c r="E154"/>
    </row>
    <row r="155" spans="5:5">
      <c r="E155"/>
    </row>
    <row r="156" spans="5:5">
      <c r="E156"/>
    </row>
    <row r="157" spans="5:5">
      <c r="E157"/>
    </row>
    <row r="158" spans="5:5">
      <c r="E158"/>
    </row>
    <row r="159" spans="5:5">
      <c r="E159"/>
    </row>
    <row r="160" spans="5:5">
      <c r="E160"/>
    </row>
    <row r="161" spans="5:5">
      <c r="E161"/>
    </row>
    <row r="162" spans="5:5">
      <c r="E162"/>
    </row>
    <row r="163" spans="5:5">
      <c r="E163"/>
    </row>
    <row r="164" spans="5:5">
      <c r="E164"/>
    </row>
    <row r="165" spans="5:5">
      <c r="E165"/>
    </row>
    <row r="166" spans="5:5">
      <c r="E166"/>
    </row>
    <row r="167" spans="5:5">
      <c r="E167"/>
    </row>
    <row r="168" spans="5:5">
      <c r="E168"/>
    </row>
    <row r="169" spans="5:5">
      <c r="E169"/>
    </row>
    <row r="170" spans="5:5">
      <c r="E170"/>
    </row>
    <row r="171" spans="5:5">
      <c r="E171"/>
    </row>
    <row r="172" spans="5:5">
      <c r="E172"/>
    </row>
    <row r="173" spans="5:5">
      <c r="E173"/>
    </row>
    <row r="174" spans="5:5">
      <c r="E174"/>
    </row>
    <row r="175" spans="5:5">
      <c r="E175"/>
    </row>
    <row r="176" spans="5:5">
      <c r="E176"/>
    </row>
    <row r="177" spans="5:5">
      <c r="E177"/>
    </row>
    <row r="178" spans="5:5">
      <c r="E178"/>
    </row>
    <row r="179" spans="5:5">
      <c r="E179"/>
    </row>
    <row r="180" spans="5:5">
      <c r="E180"/>
    </row>
    <row r="181" spans="5:5">
      <c r="E181"/>
    </row>
    <row r="182" spans="5:5">
      <c r="E182"/>
    </row>
    <row r="183" spans="5:5">
      <c r="E183"/>
    </row>
    <row r="184" spans="5:5">
      <c r="E184"/>
    </row>
    <row r="185" spans="5:5">
      <c r="E185"/>
    </row>
    <row r="186" spans="5:5">
      <c r="E186"/>
    </row>
    <row r="187" spans="5:5">
      <c r="E187"/>
    </row>
    <row r="188" spans="5:5">
      <c r="E188"/>
    </row>
    <row r="189" spans="5:5">
      <c r="E189"/>
    </row>
    <row r="190" spans="5:5">
      <c r="E190"/>
    </row>
    <row r="191" spans="5:5">
      <c r="E191"/>
    </row>
    <row r="192" spans="5:5">
      <c r="E192"/>
    </row>
    <row r="193" spans="5:5">
      <c r="E193"/>
    </row>
    <row r="194" spans="5:5">
      <c r="E194"/>
    </row>
    <row r="195" spans="5:5">
      <c r="E195"/>
    </row>
    <row r="196" spans="5:5">
      <c r="E196"/>
    </row>
    <row r="197" spans="5:5">
      <c r="E197"/>
    </row>
    <row r="198" spans="5:5">
      <c r="E198"/>
    </row>
    <row r="199" spans="5:5">
      <c r="E199"/>
    </row>
    <row r="200" spans="5:5">
      <c r="E200"/>
    </row>
    <row r="201" spans="5:5">
      <c r="E201"/>
    </row>
    <row r="202" spans="5:5">
      <c r="E202"/>
    </row>
    <row r="203" spans="5:5">
      <c r="E203"/>
    </row>
    <row r="204" spans="5:5">
      <c r="E204"/>
    </row>
    <row r="205" spans="5:5">
      <c r="E205"/>
    </row>
    <row r="206" spans="5:5">
      <c r="E206"/>
    </row>
    <row r="207" spans="5:5">
      <c r="E207"/>
    </row>
    <row r="208" spans="5:5">
      <c r="E208"/>
    </row>
    <row r="209" spans="5:5">
      <c r="E209"/>
    </row>
    <row r="210" spans="5:5">
      <c r="E210"/>
    </row>
    <row r="211" spans="5:5">
      <c r="E211"/>
    </row>
    <row r="212" spans="5:5">
      <c r="E212"/>
    </row>
    <row r="213" spans="5:5">
      <c r="E213"/>
    </row>
    <row r="214" spans="5:5">
      <c r="E214"/>
    </row>
    <row r="215" spans="5:5">
      <c r="E215"/>
    </row>
    <row r="216" spans="5:5">
      <c r="E216"/>
    </row>
    <row r="217" spans="5:5">
      <c r="E217"/>
    </row>
    <row r="218" spans="5:5">
      <c r="E218"/>
    </row>
    <row r="219" spans="5:5">
      <c r="E219"/>
    </row>
    <row r="220" spans="5:5">
      <c r="E220"/>
    </row>
    <row r="221" spans="5:5">
      <c r="E221"/>
    </row>
    <row r="222" spans="5:5">
      <c r="E222"/>
    </row>
    <row r="223" spans="5:5">
      <c r="E223"/>
    </row>
    <row r="224" spans="5:5">
      <c r="E224"/>
    </row>
    <row r="225" spans="5:5">
      <c r="E225"/>
    </row>
    <row r="226" spans="5:5">
      <c r="E226"/>
    </row>
    <row r="227" spans="5:5">
      <c r="E227"/>
    </row>
    <row r="228" spans="5:5">
      <c r="E228"/>
    </row>
    <row r="229" spans="5:5">
      <c r="E229"/>
    </row>
    <row r="230" spans="5:5">
      <c r="E230"/>
    </row>
    <row r="231" spans="5:5">
      <c r="E231"/>
    </row>
    <row r="232" spans="5:5">
      <c r="E232"/>
    </row>
    <row r="233" spans="5:5">
      <c r="E233"/>
    </row>
    <row r="234" spans="5:5">
      <c r="E234"/>
    </row>
    <row r="235" spans="5:5">
      <c r="E235"/>
    </row>
    <row r="236" spans="5:5">
      <c r="E236"/>
    </row>
    <row r="237" spans="5:5">
      <c r="E237"/>
    </row>
    <row r="238" spans="5:5">
      <c r="E238"/>
    </row>
    <row r="239" spans="5:5">
      <c r="E239"/>
    </row>
    <row r="240" spans="5:5">
      <c r="E240"/>
    </row>
    <row r="241" spans="5:5">
      <c r="E241"/>
    </row>
    <row r="242" spans="5:5">
      <c r="E242"/>
    </row>
    <row r="243" spans="5:5">
      <c r="E243"/>
    </row>
    <row r="244" spans="5:5">
      <c r="E244"/>
    </row>
    <row r="245" spans="5:5">
      <c r="E245"/>
    </row>
    <row r="246" spans="5:5">
      <c r="E246"/>
    </row>
    <row r="247" spans="5:5">
      <c r="E247"/>
    </row>
    <row r="248" spans="5:5">
      <c r="E248"/>
    </row>
    <row r="249" spans="5:5">
      <c r="E249"/>
    </row>
    <row r="250" spans="5:5">
      <c r="E250"/>
    </row>
    <row r="251" spans="5:5">
      <c r="E251"/>
    </row>
    <row r="252" spans="5:5">
      <c r="E252"/>
    </row>
    <row r="253" spans="5:5">
      <c r="E253"/>
    </row>
    <row r="254" spans="5:5">
      <c r="E254"/>
    </row>
    <row r="255" spans="5:5">
      <c r="E255"/>
    </row>
    <row r="256" spans="5:5">
      <c r="E256"/>
    </row>
    <row r="257" spans="5:5">
      <c r="E257"/>
    </row>
    <row r="258" spans="5:5">
      <c r="E258"/>
    </row>
    <row r="259" spans="5:5">
      <c r="E259"/>
    </row>
    <row r="260" spans="5:5">
      <c r="E260"/>
    </row>
    <row r="261" spans="5:5">
      <c r="E261"/>
    </row>
    <row r="262" spans="5:5">
      <c r="E262"/>
    </row>
    <row r="263" spans="5:5">
      <c r="E263"/>
    </row>
    <row r="264" spans="5:5">
      <c r="E264"/>
    </row>
    <row r="265" spans="5:5">
      <c r="E265"/>
    </row>
    <row r="266" spans="5:5">
      <c r="E266"/>
    </row>
    <row r="267" spans="5:5">
      <c r="E267"/>
    </row>
    <row r="268" spans="5:5">
      <c r="E268"/>
    </row>
    <row r="269" spans="5:5">
      <c r="E269"/>
    </row>
    <row r="270" spans="5:5">
      <c r="E270"/>
    </row>
    <row r="271" spans="5:5">
      <c r="E271"/>
    </row>
    <row r="272" spans="5:5">
      <c r="E272"/>
    </row>
    <row r="273" spans="5:5">
      <c r="E273"/>
    </row>
    <row r="274" spans="5:5">
      <c r="E274"/>
    </row>
    <row r="275" spans="5:5">
      <c r="E275"/>
    </row>
    <row r="276" spans="5:5">
      <c r="E276"/>
    </row>
    <row r="277" spans="5:5">
      <c r="E277"/>
    </row>
    <row r="278" spans="5:5">
      <c r="E278"/>
    </row>
    <row r="279" spans="5:5">
      <c r="E279"/>
    </row>
    <row r="280" spans="5:5">
      <c r="E280"/>
    </row>
    <row r="281" spans="5:5">
      <c r="E281"/>
    </row>
    <row r="282" spans="5:5">
      <c r="E282"/>
    </row>
    <row r="283" spans="5:5">
      <c r="E283"/>
    </row>
    <row r="284" spans="5:5">
      <c r="E284"/>
    </row>
    <row r="285" spans="5:5">
      <c r="E285"/>
    </row>
    <row r="286" spans="5:5">
      <c r="E286"/>
    </row>
    <row r="287" spans="5:5">
      <c r="E287"/>
    </row>
    <row r="288" spans="5:5">
      <c r="E288"/>
    </row>
    <row r="289" spans="5:5">
      <c r="E289"/>
    </row>
    <row r="290" spans="5:5">
      <c r="E290"/>
    </row>
    <row r="291" spans="5:5">
      <c r="E291"/>
    </row>
    <row r="292" spans="5:5">
      <c r="E292"/>
    </row>
    <row r="293" spans="5:5">
      <c r="E293"/>
    </row>
    <row r="294" spans="5:5">
      <c r="E294"/>
    </row>
    <row r="295" spans="5:5">
      <c r="E295"/>
    </row>
    <row r="296" spans="5:5">
      <c r="E296"/>
    </row>
    <row r="297" spans="5:5">
      <c r="E297"/>
    </row>
    <row r="298" spans="5:5">
      <c r="E298"/>
    </row>
    <row r="299" spans="5:5">
      <c r="E299"/>
    </row>
    <row r="300" spans="5:5">
      <c r="E300"/>
    </row>
    <row r="301" spans="5:5">
      <c r="E301"/>
    </row>
    <row r="302" spans="5:5">
      <c r="E302"/>
    </row>
    <row r="303" spans="5:5">
      <c r="E303"/>
    </row>
    <row r="304" spans="5:5">
      <c r="E304"/>
    </row>
    <row r="305" spans="5:5">
      <c r="E305"/>
    </row>
    <row r="306" spans="5:5">
      <c r="E306"/>
    </row>
    <row r="307" spans="5:5">
      <c r="E307"/>
    </row>
    <row r="308" spans="5:5">
      <c r="E308"/>
    </row>
    <row r="309" spans="5:5">
      <c r="E309"/>
    </row>
    <row r="310" spans="5:5">
      <c r="E310"/>
    </row>
    <row r="311" spans="5:5">
      <c r="E311"/>
    </row>
    <row r="312" spans="5:5">
      <c r="E312"/>
    </row>
    <row r="313" spans="5:5">
      <c r="E313"/>
    </row>
    <row r="314" spans="5:5">
      <c r="E314"/>
    </row>
    <row r="315" spans="5:5">
      <c r="E315"/>
    </row>
    <row r="316" spans="5:5">
      <c r="E316"/>
    </row>
    <row r="317" spans="5:5">
      <c r="E317"/>
    </row>
    <row r="318" spans="5:5">
      <c r="E318"/>
    </row>
    <row r="319" spans="5:5">
      <c r="E319"/>
    </row>
    <row r="320" spans="5:5">
      <c r="E320"/>
    </row>
    <row r="321" spans="5:5">
      <c r="E321"/>
    </row>
    <row r="322" spans="5:5">
      <c r="E322"/>
    </row>
    <row r="323" spans="5:5">
      <c r="E323"/>
    </row>
    <row r="324" spans="5:5">
      <c r="E324"/>
    </row>
    <row r="325" spans="5:5">
      <c r="E325"/>
    </row>
    <row r="326" spans="5:5">
      <c r="E326"/>
    </row>
    <row r="327" spans="5:5">
      <c r="E327"/>
    </row>
    <row r="328" spans="5:5">
      <c r="E328"/>
    </row>
    <row r="329" spans="5:5">
      <c r="E329"/>
    </row>
    <row r="330" spans="5:5">
      <c r="E330"/>
    </row>
    <row r="331" spans="5:5">
      <c r="E331"/>
    </row>
    <row r="332" spans="5:5">
      <c r="E332"/>
    </row>
    <row r="333" spans="5:5">
      <c r="E333"/>
    </row>
    <row r="334" spans="5:5">
      <c r="E334"/>
    </row>
    <row r="335" spans="5:5">
      <c r="E335"/>
    </row>
    <row r="336" spans="5:5">
      <c r="E336"/>
    </row>
    <row r="337" spans="5:5">
      <c r="E337"/>
    </row>
    <row r="338" spans="5:5">
      <c r="E338"/>
    </row>
    <row r="339" spans="5:5">
      <c r="E339"/>
    </row>
    <row r="340" spans="5:5">
      <c r="E340"/>
    </row>
    <row r="341" spans="5:5">
      <c r="E341"/>
    </row>
    <row r="342" spans="5:5">
      <c r="E342"/>
    </row>
    <row r="343" spans="5:5">
      <c r="E343"/>
    </row>
    <row r="344" spans="5:5">
      <c r="E344"/>
    </row>
    <row r="345" spans="5:5">
      <c r="E345"/>
    </row>
    <row r="346" spans="5:5">
      <c r="E346"/>
    </row>
    <row r="347" spans="5:5">
      <c r="E347"/>
    </row>
    <row r="348" spans="5:5">
      <c r="E348"/>
    </row>
    <row r="349" spans="5:5">
      <c r="E349"/>
    </row>
    <row r="350" spans="5:5">
      <c r="E350"/>
    </row>
    <row r="351" spans="5:5">
      <c r="E351"/>
    </row>
    <row r="352" spans="5:5">
      <c r="E352"/>
    </row>
    <row r="353" spans="5:5">
      <c r="E353"/>
    </row>
    <row r="354" spans="5:5">
      <c r="E354"/>
    </row>
    <row r="355" spans="5:5">
      <c r="E355"/>
    </row>
    <row r="356" spans="5:5">
      <c r="E356"/>
    </row>
    <row r="357" spans="5:5">
      <c r="E357"/>
    </row>
    <row r="358" spans="5:5">
      <c r="E358"/>
    </row>
    <row r="359" spans="5:5">
      <c r="E359"/>
    </row>
    <row r="360" spans="5:5">
      <c r="E360"/>
    </row>
    <row r="361" spans="5:5">
      <c r="E361"/>
    </row>
    <row r="362" spans="5:5">
      <c r="E362"/>
    </row>
    <row r="363" spans="5:5">
      <c r="E363"/>
    </row>
    <row r="364" spans="5:5">
      <c r="E364"/>
    </row>
    <row r="365" spans="5:5">
      <c r="E365"/>
    </row>
    <row r="366" spans="5:5">
      <c r="E366"/>
    </row>
    <row r="367" spans="5:5">
      <c r="E367"/>
    </row>
    <row r="368" spans="5:5">
      <c r="E368"/>
    </row>
    <row r="369" spans="5:5">
      <c r="E369"/>
    </row>
    <row r="370" spans="5:5">
      <c r="E370"/>
    </row>
    <row r="371" spans="5:5">
      <c r="E371"/>
    </row>
    <row r="372" spans="5:5">
      <c r="E372"/>
    </row>
    <row r="373" spans="5:5">
      <c r="E373"/>
    </row>
    <row r="374" spans="5:5">
      <c r="E374"/>
    </row>
    <row r="375" spans="5:5">
      <c r="E375"/>
    </row>
    <row r="376" spans="5:5">
      <c r="E376"/>
    </row>
    <row r="377" spans="5:5">
      <c r="E377"/>
    </row>
    <row r="378" spans="5:5">
      <c r="E378"/>
    </row>
    <row r="379" spans="5:5">
      <c r="E379"/>
    </row>
    <row r="380" spans="5:5">
      <c r="E380"/>
    </row>
    <row r="381" spans="5:5">
      <c r="E381"/>
    </row>
    <row r="382" spans="5:5">
      <c r="E382"/>
    </row>
    <row r="383" spans="5:5">
      <c r="E383"/>
    </row>
    <row r="384" spans="5:5">
      <c r="E384"/>
    </row>
    <row r="385" spans="5:5">
      <c r="E385"/>
    </row>
    <row r="386" spans="5:5">
      <c r="E386"/>
    </row>
    <row r="387" spans="5:5">
      <c r="E387"/>
    </row>
    <row r="388" spans="5:5">
      <c r="E388"/>
    </row>
    <row r="389" spans="5:5">
      <c r="E389"/>
    </row>
    <row r="390" spans="5:5">
      <c r="E390"/>
    </row>
    <row r="391" spans="5:5">
      <c r="E391"/>
    </row>
    <row r="392" spans="5:5">
      <c r="E392"/>
    </row>
    <row r="393" spans="5:5">
      <c r="E393"/>
    </row>
    <row r="394" spans="5:5">
      <c r="E394"/>
    </row>
    <row r="395" spans="5:5">
      <c r="E395"/>
    </row>
    <row r="396" spans="5:5">
      <c r="E396"/>
    </row>
    <row r="397" spans="5:5">
      <c r="E397"/>
    </row>
    <row r="398" spans="5:5">
      <c r="E398"/>
    </row>
    <row r="399" spans="5:5">
      <c r="E399"/>
    </row>
    <row r="400" spans="5:5">
      <c r="E400"/>
    </row>
    <row r="401" spans="5:5">
      <c r="E401"/>
    </row>
    <row r="402" spans="5:5">
      <c r="E402"/>
    </row>
    <row r="403" spans="5:5">
      <c r="E403"/>
    </row>
    <row r="404" spans="5:5">
      <c r="E404"/>
    </row>
    <row r="405" spans="5:5">
      <c r="E405"/>
    </row>
    <row r="406" spans="5:5">
      <c r="E406"/>
    </row>
    <row r="407" spans="5:5">
      <c r="E407"/>
    </row>
    <row r="408" spans="5:5">
      <c r="E408"/>
    </row>
    <row r="409" spans="5:5">
      <c r="E409"/>
    </row>
    <row r="410" spans="5:5">
      <c r="E410"/>
    </row>
    <row r="411" spans="5:5">
      <c r="E411"/>
    </row>
    <row r="412" spans="5:5">
      <c r="E412"/>
    </row>
    <row r="413" spans="5:5">
      <c r="E413"/>
    </row>
    <row r="414" spans="5:5">
      <c r="E414"/>
    </row>
    <row r="415" spans="5:5">
      <c r="E415"/>
    </row>
    <row r="416" spans="5:5">
      <c r="E416"/>
    </row>
    <row r="417" spans="5:5">
      <c r="E417"/>
    </row>
    <row r="418" spans="5:5">
      <c r="E418"/>
    </row>
    <row r="419" spans="5:5">
      <c r="E419"/>
    </row>
    <row r="420" spans="5:5">
      <c r="E420"/>
    </row>
    <row r="421" spans="5:5">
      <c r="E421"/>
    </row>
    <row r="422" spans="5:5">
      <c r="E422"/>
    </row>
    <row r="423" spans="5:5">
      <c r="E423"/>
    </row>
    <row r="424" spans="5:5">
      <c r="E424"/>
    </row>
    <row r="425" spans="5:5">
      <c r="E425"/>
    </row>
    <row r="426" spans="5:5">
      <c r="E426"/>
    </row>
    <row r="427" spans="5:5">
      <c r="E427"/>
    </row>
    <row r="428" spans="5:5">
      <c r="E428"/>
    </row>
    <row r="429" spans="5:5">
      <c r="E429"/>
    </row>
    <row r="430" spans="5:5">
      <c r="E430"/>
    </row>
    <row r="431" spans="5:5">
      <c r="E431"/>
    </row>
    <row r="432" spans="5:5">
      <c r="E432"/>
    </row>
    <row r="433" spans="5:5">
      <c r="E433"/>
    </row>
    <row r="434" spans="5:5">
      <c r="E434"/>
    </row>
    <row r="435" spans="5:5">
      <c r="E435"/>
    </row>
    <row r="436" spans="5:5">
      <c r="E436"/>
    </row>
    <row r="437" spans="5:5">
      <c r="E437"/>
    </row>
    <row r="438" spans="5:5">
      <c r="E438"/>
    </row>
    <row r="439" spans="5:5">
      <c r="E439"/>
    </row>
    <row r="440" spans="5:5">
      <c r="E440"/>
    </row>
    <row r="441" spans="5:5">
      <c r="E441"/>
    </row>
    <row r="442" spans="5:5">
      <c r="E442"/>
    </row>
    <row r="443" spans="5:5">
      <c r="E443"/>
    </row>
    <row r="444" spans="5:5">
      <c r="E444"/>
    </row>
    <row r="445" spans="5:5">
      <c r="E445"/>
    </row>
    <row r="446" spans="5:5">
      <c r="E446"/>
    </row>
    <row r="447" spans="5:5">
      <c r="E447"/>
    </row>
    <row r="448" spans="5:5">
      <c r="E448"/>
    </row>
    <row r="449" spans="5:5">
      <c r="E449"/>
    </row>
    <row r="450" spans="5:5">
      <c r="E450"/>
    </row>
    <row r="451" spans="5:5">
      <c r="E451"/>
    </row>
    <row r="452" spans="5:5">
      <c r="E452"/>
    </row>
    <row r="453" spans="5:5">
      <c r="E453"/>
    </row>
    <row r="454" spans="5:5">
      <c r="E454"/>
    </row>
    <row r="455" spans="5:5">
      <c r="E455"/>
    </row>
    <row r="456" spans="5:5">
      <c r="E456"/>
    </row>
    <row r="457" spans="5:5">
      <c r="E457"/>
    </row>
    <row r="458" spans="5:5">
      <c r="E458"/>
    </row>
    <row r="459" spans="5:5">
      <c r="E459"/>
    </row>
    <row r="460" spans="5:5">
      <c r="E460"/>
    </row>
    <row r="461" spans="5:5">
      <c r="E461"/>
    </row>
    <row r="462" spans="5:5">
      <c r="E462"/>
    </row>
    <row r="463" spans="5:5">
      <c r="E463"/>
    </row>
    <row r="464" spans="5:5">
      <c r="E464"/>
    </row>
    <row r="465" spans="5:5">
      <c r="E465"/>
    </row>
    <row r="466" spans="5:5">
      <c r="E466"/>
    </row>
    <row r="467" spans="5:5">
      <c r="E467"/>
    </row>
    <row r="468" spans="5:5">
      <c r="E468"/>
    </row>
    <row r="469" spans="5:5">
      <c r="E469"/>
    </row>
    <row r="470" spans="5:5">
      <c r="E470"/>
    </row>
    <row r="471" spans="5:5">
      <c r="E471"/>
    </row>
    <row r="472" spans="5:5">
      <c r="E472"/>
    </row>
    <row r="473" spans="5:5">
      <c r="E473"/>
    </row>
    <row r="474" spans="5:5">
      <c r="E474"/>
    </row>
    <row r="475" spans="5:5">
      <c r="E475"/>
    </row>
    <row r="476" spans="5:5">
      <c r="E476"/>
    </row>
    <row r="477" spans="5:5">
      <c r="E477"/>
    </row>
    <row r="478" spans="5:5">
      <c r="E478"/>
    </row>
    <row r="479" spans="5:5">
      <c r="E479"/>
    </row>
    <row r="480" spans="5:5">
      <c r="E480"/>
    </row>
    <row r="481" spans="5:5">
      <c r="E481"/>
    </row>
    <row r="482" spans="5:5">
      <c r="E482"/>
    </row>
    <row r="483" spans="5:5">
      <c r="E483"/>
    </row>
    <row r="484" spans="5:5">
      <c r="E484"/>
    </row>
    <row r="485" spans="5:5">
      <c r="E485"/>
    </row>
    <row r="486" spans="5:5">
      <c r="E486"/>
    </row>
    <row r="487" spans="5:5">
      <c r="E487"/>
    </row>
    <row r="488" spans="5:5">
      <c r="E488"/>
    </row>
    <row r="489" spans="5:5">
      <c r="E489"/>
    </row>
    <row r="490" spans="5:5">
      <c r="E490"/>
    </row>
    <row r="491" spans="5:5">
      <c r="E491"/>
    </row>
    <row r="492" spans="5:5">
      <c r="E492"/>
    </row>
    <row r="493" spans="5:5">
      <c r="E493"/>
    </row>
    <row r="494" spans="5:5">
      <c r="E494"/>
    </row>
    <row r="495" spans="5:5">
      <c r="E495"/>
    </row>
    <row r="496" spans="5:5">
      <c r="E496"/>
    </row>
    <row r="497" spans="5:5">
      <c r="E497"/>
    </row>
    <row r="498" spans="5:5">
      <c r="E498"/>
    </row>
    <row r="499" spans="5:5">
      <c r="E499"/>
    </row>
    <row r="500" spans="5:5">
      <c r="E500"/>
    </row>
    <row r="501" spans="5:5">
      <c r="E501"/>
    </row>
    <row r="502" spans="5:5">
      <c r="E502"/>
    </row>
    <row r="503" spans="5:5">
      <c r="E503"/>
    </row>
    <row r="504" spans="5:5">
      <c r="E504"/>
    </row>
    <row r="505" spans="5:5">
      <c r="E505"/>
    </row>
    <row r="506" spans="5:5">
      <c r="E506"/>
    </row>
    <row r="507" spans="5:5">
      <c r="E507"/>
    </row>
    <row r="508" spans="5:5">
      <c r="E508"/>
    </row>
    <row r="509" spans="5:5">
      <c r="E509"/>
    </row>
    <row r="510" spans="5:5">
      <c r="E510"/>
    </row>
    <row r="511" spans="5:5">
      <c r="E511"/>
    </row>
    <row r="512" spans="5:5">
      <c r="E512"/>
    </row>
    <row r="513" spans="5:5">
      <c r="E513"/>
    </row>
    <row r="514" spans="5:5">
      <c r="E514"/>
    </row>
    <row r="515" spans="5:5">
      <c r="E515"/>
    </row>
    <row r="516" spans="5:5">
      <c r="E516"/>
    </row>
    <row r="517" spans="5:5">
      <c r="E517"/>
    </row>
    <row r="518" spans="5:5">
      <c r="E518"/>
    </row>
    <row r="519" spans="5:5">
      <c r="E519"/>
    </row>
    <row r="520" spans="5:5">
      <c r="E520"/>
    </row>
    <row r="521" spans="5:5">
      <c r="E521"/>
    </row>
    <row r="522" spans="5:5">
      <c r="E522"/>
    </row>
    <row r="523" spans="5:5">
      <c r="E523"/>
    </row>
    <row r="524" spans="5:5">
      <c r="E524"/>
    </row>
    <row r="525" spans="5:5">
      <c r="E525"/>
    </row>
    <row r="526" spans="5:5">
      <c r="E526"/>
    </row>
    <row r="527" spans="5:5">
      <c r="E527"/>
    </row>
    <row r="528" spans="5:5">
      <c r="E528"/>
    </row>
    <row r="529" spans="5:5">
      <c r="E529"/>
    </row>
    <row r="530" spans="5:5">
      <c r="E530"/>
    </row>
    <row r="531" spans="5:5">
      <c r="E531"/>
    </row>
    <row r="532" spans="5:5">
      <c r="E532"/>
    </row>
    <row r="533" spans="5:5">
      <c r="E533"/>
    </row>
    <row r="534" spans="5:5">
      <c r="E534"/>
    </row>
    <row r="535" spans="5:5">
      <c r="E535"/>
    </row>
    <row r="536" spans="5:5">
      <c r="E536"/>
    </row>
    <row r="537" spans="5:5">
      <c r="E537"/>
    </row>
    <row r="538" spans="5:5">
      <c r="E538"/>
    </row>
    <row r="539" spans="5:5">
      <c r="E539"/>
    </row>
    <row r="540" spans="5:5">
      <c r="E540"/>
    </row>
    <row r="541" spans="5:5">
      <c r="E541"/>
    </row>
    <row r="542" spans="5:5">
      <c r="E542"/>
    </row>
    <row r="543" spans="5:5">
      <c r="E543"/>
    </row>
    <row r="544" spans="5:5">
      <c r="E544"/>
    </row>
    <row r="545" spans="5:5">
      <c r="E545"/>
    </row>
    <row r="546" spans="5:5">
      <c r="E546"/>
    </row>
    <row r="547" spans="5:5">
      <c r="E547"/>
    </row>
    <row r="548" spans="5:5">
      <c r="E548"/>
    </row>
    <row r="549" spans="5:5">
      <c r="E549"/>
    </row>
    <row r="550" spans="5:5">
      <c r="E550"/>
    </row>
    <row r="551" spans="5:5">
      <c r="E551"/>
    </row>
    <row r="552" spans="5:5">
      <c r="E552"/>
    </row>
    <row r="553" spans="5:5">
      <c r="E553"/>
    </row>
    <row r="554" spans="5:5">
      <c r="E554"/>
    </row>
    <row r="555" spans="5:5">
      <c r="E555"/>
    </row>
    <row r="556" spans="5:5">
      <c r="E556"/>
    </row>
    <row r="557" spans="5:5">
      <c r="E557"/>
    </row>
    <row r="558" spans="5:5">
      <c r="E558"/>
    </row>
    <row r="559" spans="5:5">
      <c r="E559"/>
    </row>
    <row r="560" spans="5:5">
      <c r="E560"/>
    </row>
    <row r="561" spans="5:5">
      <c r="E561"/>
    </row>
    <row r="562" spans="5:5">
      <c r="E562"/>
    </row>
    <row r="563" spans="5:5">
      <c r="E563"/>
    </row>
    <row r="564" spans="5:5">
      <c r="E564"/>
    </row>
    <row r="565" spans="5:5">
      <c r="E565"/>
    </row>
    <row r="566" spans="5:5">
      <c r="E566"/>
    </row>
    <row r="567" spans="5:5">
      <c r="E567"/>
    </row>
    <row r="568" spans="5:5">
      <c r="E568"/>
    </row>
    <row r="569" spans="5:5">
      <c r="E569"/>
    </row>
    <row r="570" spans="5:5">
      <c r="E570"/>
    </row>
    <row r="571" spans="5:5">
      <c r="E571"/>
    </row>
    <row r="572" spans="5:5">
      <c r="E572"/>
    </row>
    <row r="573" spans="5:5">
      <c r="E573"/>
    </row>
    <row r="574" spans="5:5">
      <c r="E574"/>
    </row>
    <row r="575" spans="5:5">
      <c r="E575"/>
    </row>
    <row r="576" spans="5:5">
      <c r="E576"/>
    </row>
    <row r="577" spans="5:5">
      <c r="E577"/>
    </row>
    <row r="578" spans="5:5">
      <c r="E578"/>
    </row>
    <row r="579" spans="5:5">
      <c r="E579"/>
    </row>
    <row r="580" spans="5:5">
      <c r="E580"/>
    </row>
    <row r="581" spans="5:5">
      <c r="E581"/>
    </row>
    <row r="582" spans="5:5">
      <c r="E582"/>
    </row>
    <row r="583" spans="5:5">
      <c r="E583"/>
    </row>
    <row r="584" spans="5:5">
      <c r="E584"/>
    </row>
    <row r="585" spans="5:5">
      <c r="E585"/>
    </row>
    <row r="586" spans="5:5">
      <c r="E586"/>
    </row>
    <row r="587" spans="5:5">
      <c r="E587"/>
    </row>
    <row r="588" spans="5:5">
      <c r="E588"/>
    </row>
    <row r="589" spans="5:5">
      <c r="E589"/>
    </row>
    <row r="590" spans="5:5">
      <c r="E590"/>
    </row>
    <row r="591" spans="5:5">
      <c r="E591"/>
    </row>
    <row r="592" spans="5:5">
      <c r="E592"/>
    </row>
    <row r="593" spans="5:5">
      <c r="E593"/>
    </row>
    <row r="594" spans="5:5">
      <c r="E594"/>
    </row>
    <row r="595" spans="5:5">
      <c r="E595"/>
    </row>
    <row r="596" spans="5:5">
      <c r="E596"/>
    </row>
    <row r="597" spans="5:5">
      <c r="E597"/>
    </row>
    <row r="598" spans="5:5">
      <c r="E598"/>
    </row>
    <row r="599" spans="5:5">
      <c r="E599"/>
    </row>
    <row r="600" spans="5:5">
      <c r="E600"/>
    </row>
    <row r="601" spans="5:5">
      <c r="E601"/>
    </row>
    <row r="602" spans="5:5">
      <c r="E602"/>
    </row>
    <row r="603" spans="5:5">
      <c r="E603"/>
    </row>
    <row r="604" spans="5:5">
      <c r="E604"/>
    </row>
    <row r="605" spans="5:5">
      <c r="E605"/>
    </row>
    <row r="606" spans="5:5">
      <c r="E606"/>
    </row>
    <row r="607" spans="5:5">
      <c r="E607"/>
    </row>
    <row r="608" spans="5:5">
      <c r="E608"/>
    </row>
    <row r="609" spans="5:5">
      <c r="E609"/>
    </row>
    <row r="610" spans="5:5">
      <c r="E610"/>
    </row>
    <row r="611" spans="5:5">
      <c r="E611"/>
    </row>
    <row r="612" spans="5:5">
      <c r="E612"/>
    </row>
    <row r="613" spans="5:5">
      <c r="E613"/>
    </row>
    <row r="614" spans="5:5">
      <c r="E614"/>
    </row>
    <row r="615" spans="5:5">
      <c r="E615"/>
    </row>
    <row r="616" spans="5:5">
      <c r="E616"/>
    </row>
    <row r="617" spans="5:5">
      <c r="E617"/>
    </row>
    <row r="618" spans="5:5">
      <c r="E618"/>
    </row>
    <row r="619" spans="5:5">
      <c r="E619"/>
    </row>
    <row r="620" spans="5:5">
      <c r="E620"/>
    </row>
    <row r="621" spans="5:5">
      <c r="E621"/>
    </row>
    <row r="622" spans="5:5">
      <c r="E622"/>
    </row>
    <row r="623" spans="5:5">
      <c r="E623"/>
    </row>
    <row r="624" spans="5:5">
      <c r="E624"/>
    </row>
    <row r="625" spans="5:5">
      <c r="E625"/>
    </row>
    <row r="626" spans="5:5">
      <c r="E626"/>
    </row>
    <row r="627" spans="5:5">
      <c r="E627"/>
    </row>
    <row r="628" spans="5:5">
      <c r="E628"/>
    </row>
    <row r="629" spans="5:5">
      <c r="E629"/>
    </row>
    <row r="630" spans="5:5">
      <c r="E630"/>
    </row>
    <row r="631" spans="5:5">
      <c r="E631"/>
    </row>
    <row r="632" spans="5:5">
      <c r="E632"/>
    </row>
    <row r="633" spans="5:5">
      <c r="E633"/>
    </row>
    <row r="634" spans="5:5">
      <c r="E634"/>
    </row>
    <row r="635" spans="5:5">
      <c r="E635"/>
    </row>
    <row r="636" spans="5:5">
      <c r="E636"/>
    </row>
    <row r="637" spans="5:5">
      <c r="E637"/>
    </row>
    <row r="638" spans="5:5">
      <c r="E638"/>
    </row>
    <row r="639" spans="5:5">
      <c r="E639"/>
    </row>
    <row r="640" spans="5:5">
      <c r="E640"/>
    </row>
    <row r="641" spans="5:5">
      <c r="E641"/>
    </row>
    <row r="642" spans="5:5">
      <c r="E642"/>
    </row>
    <row r="643" spans="5:5">
      <c r="E643"/>
    </row>
    <row r="644" spans="5:5">
      <c r="E644"/>
    </row>
    <row r="645" spans="5:5">
      <c r="E645"/>
    </row>
    <row r="646" spans="5:5">
      <c r="E646"/>
    </row>
    <row r="647" spans="5:5">
      <c r="E647"/>
    </row>
    <row r="648" spans="5:5">
      <c r="E648"/>
    </row>
    <row r="649" spans="5:5">
      <c r="E649"/>
    </row>
    <row r="650" spans="5:5">
      <c r="E650"/>
    </row>
    <row r="651" spans="5:5">
      <c r="E651"/>
    </row>
    <row r="652" spans="5:5">
      <c r="E652"/>
    </row>
    <row r="653" spans="5:5">
      <c r="E653"/>
    </row>
    <row r="654" spans="5:5">
      <c r="E654"/>
    </row>
    <row r="655" spans="5:5">
      <c r="E655"/>
    </row>
    <row r="656" spans="5:5">
      <c r="E656"/>
    </row>
    <row r="657" spans="5:5">
      <c r="E657"/>
    </row>
    <row r="658" spans="5:5">
      <c r="E658"/>
    </row>
    <row r="659" spans="5:5">
      <c r="E659"/>
    </row>
    <row r="660" spans="5:5">
      <c r="E660"/>
    </row>
    <row r="661" spans="5:5">
      <c r="E661"/>
    </row>
    <row r="662" spans="5:5">
      <c r="E662"/>
    </row>
    <row r="663" spans="5:5">
      <c r="E663"/>
    </row>
    <row r="664" spans="5:5">
      <c r="E664"/>
    </row>
    <row r="665" spans="5:5">
      <c r="E665"/>
    </row>
    <row r="666" spans="5:5">
      <c r="E666"/>
    </row>
    <row r="667" spans="5:5">
      <c r="E667"/>
    </row>
    <row r="668" spans="5:5">
      <c r="E668"/>
    </row>
    <row r="669" spans="5:5">
      <c r="E669"/>
    </row>
    <row r="670" spans="5:5">
      <c r="E670"/>
    </row>
    <row r="671" spans="5:5">
      <c r="E671"/>
    </row>
    <row r="672" spans="5:5">
      <c r="E672"/>
    </row>
    <row r="673" spans="5:5">
      <c r="E673"/>
    </row>
    <row r="674" spans="5:5">
      <c r="E674"/>
    </row>
    <row r="675" spans="5:5">
      <c r="E675"/>
    </row>
    <row r="676" spans="5:5">
      <c r="E676"/>
    </row>
    <row r="677" spans="5:5">
      <c r="E677"/>
    </row>
    <row r="678" spans="5:5">
      <c r="E678"/>
    </row>
    <row r="679" spans="5:5">
      <c r="E679"/>
    </row>
    <row r="680" spans="5:5">
      <c r="E680"/>
    </row>
    <row r="681" spans="5:5">
      <c r="E681"/>
    </row>
    <row r="682" spans="5:5">
      <c r="E682"/>
    </row>
    <row r="683" spans="5:5">
      <c r="E683"/>
    </row>
    <row r="684" spans="5:5">
      <c r="E684"/>
    </row>
    <row r="685" spans="5:5">
      <c r="E685"/>
    </row>
    <row r="686" spans="5:5">
      <c r="E686"/>
    </row>
    <row r="687" spans="5:5">
      <c r="E687"/>
    </row>
    <row r="688" spans="5:5">
      <c r="E688"/>
    </row>
    <row r="689" spans="5:5">
      <c r="E689"/>
    </row>
    <row r="690" spans="5:5">
      <c r="E690"/>
    </row>
    <row r="691" spans="5:5">
      <c r="E691"/>
    </row>
    <row r="692" spans="5:5">
      <c r="E692"/>
    </row>
    <row r="693" spans="5:5">
      <c r="E693"/>
    </row>
    <row r="694" spans="5:5">
      <c r="E694"/>
    </row>
    <row r="695" spans="5:5">
      <c r="E695"/>
    </row>
    <row r="696" spans="5:5">
      <c r="E696"/>
    </row>
    <row r="697" spans="5:5">
      <c r="E697"/>
    </row>
    <row r="698" spans="5:5">
      <c r="E698"/>
    </row>
    <row r="699" spans="5:5">
      <c r="E699"/>
    </row>
    <row r="700" spans="5:5">
      <c r="E700"/>
    </row>
    <row r="701" spans="5:5">
      <c r="E701"/>
    </row>
    <row r="702" spans="5:5">
      <c r="E702"/>
    </row>
    <row r="703" spans="5:5">
      <c r="E703"/>
    </row>
    <row r="704" spans="5:5">
      <c r="E704"/>
    </row>
    <row r="705" spans="5:5">
      <c r="E705"/>
    </row>
    <row r="706" spans="5:5">
      <c r="E706"/>
    </row>
    <row r="707" spans="5:5">
      <c r="E707"/>
    </row>
    <row r="708" spans="5:5">
      <c r="E708"/>
    </row>
    <row r="709" spans="5:5">
      <c r="E709"/>
    </row>
    <row r="710" spans="5:5">
      <c r="E710"/>
    </row>
    <row r="711" spans="5:5">
      <c r="E711"/>
    </row>
    <row r="712" spans="5:5">
      <c r="E712"/>
    </row>
    <row r="713" spans="5:5">
      <c r="E713"/>
    </row>
    <row r="714" spans="5:5">
      <c r="E714"/>
    </row>
    <row r="715" spans="5:5">
      <c r="E715"/>
    </row>
    <row r="716" spans="5:5">
      <c r="E716"/>
    </row>
    <row r="717" spans="5:5">
      <c r="E717"/>
    </row>
    <row r="718" spans="5:5">
      <c r="E718"/>
    </row>
    <row r="719" spans="5:5">
      <c r="E719"/>
    </row>
    <row r="720" spans="5:5">
      <c r="E720"/>
    </row>
    <row r="721" spans="5:5">
      <c r="E721"/>
    </row>
    <row r="722" spans="5:5">
      <c r="E722"/>
    </row>
    <row r="723" spans="5:5">
      <c r="E723"/>
    </row>
    <row r="724" spans="5:5">
      <c r="E724"/>
    </row>
    <row r="725" spans="5:5">
      <c r="E725"/>
    </row>
    <row r="726" spans="5:5">
      <c r="E726"/>
    </row>
    <row r="727" spans="5:5">
      <c r="E727"/>
    </row>
    <row r="728" spans="5:5">
      <c r="E728"/>
    </row>
    <row r="729" spans="5:5">
      <c r="E729"/>
    </row>
    <row r="730" spans="5:5">
      <c r="E730"/>
    </row>
    <row r="731" spans="5:5">
      <c r="E731"/>
    </row>
    <row r="732" spans="5:5">
      <c r="E732"/>
    </row>
    <row r="733" spans="5:5">
      <c r="E733"/>
    </row>
    <row r="734" spans="5:5">
      <c r="E734"/>
    </row>
    <row r="735" spans="5:5">
      <c r="E735"/>
    </row>
    <row r="736" spans="5:5">
      <c r="E736"/>
    </row>
    <row r="737" spans="5:5">
      <c r="E737"/>
    </row>
    <row r="738" spans="5:5">
      <c r="E738"/>
    </row>
    <row r="739" spans="5:5">
      <c r="E739"/>
    </row>
    <row r="740" spans="5:5">
      <c r="E740"/>
    </row>
    <row r="741" spans="5:5">
      <c r="E741"/>
    </row>
    <row r="742" spans="5:5">
      <c r="E742"/>
    </row>
    <row r="743" spans="5:5">
      <c r="E743"/>
    </row>
    <row r="744" spans="5:5">
      <c r="E744"/>
    </row>
    <row r="745" spans="5:5">
      <c r="E745"/>
    </row>
    <row r="746" spans="5:5">
      <c r="E746"/>
    </row>
    <row r="747" spans="5:5">
      <c r="E747"/>
    </row>
    <row r="748" spans="5:5">
      <c r="E748"/>
    </row>
    <row r="749" spans="5:5">
      <c r="E749"/>
    </row>
    <row r="750" spans="5:5">
      <c r="E750"/>
    </row>
    <row r="751" spans="5:5">
      <c r="E751"/>
    </row>
    <row r="752" spans="5:5">
      <c r="E752"/>
    </row>
    <row r="753" spans="5:5">
      <c r="E753"/>
    </row>
    <row r="754" spans="5:5">
      <c r="E754"/>
    </row>
    <row r="755" spans="5:5">
      <c r="E755"/>
    </row>
    <row r="756" spans="5:5">
      <c r="E756"/>
    </row>
    <row r="757" spans="5:5">
      <c r="E757"/>
    </row>
    <row r="758" spans="5:5">
      <c r="E758"/>
    </row>
    <row r="759" spans="5:5">
      <c r="E759"/>
    </row>
    <row r="760" spans="5:5">
      <c r="E760"/>
    </row>
    <row r="761" spans="5:5">
      <c r="E761"/>
    </row>
    <row r="762" spans="5:5">
      <c r="E762"/>
    </row>
    <row r="763" spans="5:5">
      <c r="E763"/>
    </row>
    <row r="764" spans="5:5">
      <c r="E764"/>
    </row>
    <row r="765" spans="5:5">
      <c r="E765"/>
    </row>
    <row r="766" spans="5:5">
      <c r="E766"/>
    </row>
    <row r="767" spans="5:5">
      <c r="E767"/>
    </row>
    <row r="768" spans="5:5">
      <c r="E768"/>
    </row>
    <row r="769" spans="5:5">
      <c r="E769"/>
    </row>
    <row r="770" spans="5:5">
      <c r="E770"/>
    </row>
    <row r="771" spans="5:5">
      <c r="E771"/>
    </row>
    <row r="772" spans="5:5">
      <c r="E772"/>
    </row>
    <row r="773" spans="5:5">
      <c r="E773"/>
    </row>
    <row r="774" spans="5:5">
      <c r="E774"/>
    </row>
    <row r="775" spans="5:5">
      <c r="E775"/>
    </row>
    <row r="776" spans="5:5">
      <c r="E776"/>
    </row>
    <row r="777" spans="5:5">
      <c r="E777"/>
    </row>
    <row r="778" spans="5:5">
      <c r="E778"/>
    </row>
    <row r="779" spans="5:5">
      <c r="E779"/>
    </row>
    <row r="780" spans="5:5">
      <c r="E780"/>
    </row>
    <row r="781" spans="5:5">
      <c r="E781"/>
    </row>
    <row r="782" spans="5:5">
      <c r="E782"/>
    </row>
    <row r="783" spans="5:5">
      <c r="E783"/>
    </row>
    <row r="784" spans="5:5">
      <c r="E784"/>
    </row>
    <row r="785" spans="5:5">
      <c r="E785"/>
    </row>
    <row r="786" spans="5:5">
      <c r="E786"/>
    </row>
    <row r="787" spans="5:5">
      <c r="E787"/>
    </row>
    <row r="788" spans="5:5">
      <c r="E788"/>
    </row>
    <row r="789" spans="5:5">
      <c r="E789"/>
    </row>
    <row r="790" spans="5:5">
      <c r="E790"/>
    </row>
    <row r="791" spans="5:5">
      <c r="E791"/>
    </row>
    <row r="792" spans="5:5">
      <c r="E792"/>
    </row>
    <row r="793" spans="5:5">
      <c r="E793"/>
    </row>
    <row r="794" spans="5:5">
      <c r="E794"/>
    </row>
    <row r="795" spans="5:5">
      <c r="E795"/>
    </row>
    <row r="796" spans="5:5">
      <c r="E796"/>
    </row>
    <row r="797" spans="5:5">
      <c r="E797"/>
    </row>
    <row r="798" spans="5:5">
      <c r="E798"/>
    </row>
    <row r="799" spans="5:5">
      <c r="E799"/>
    </row>
    <row r="800" spans="5:5">
      <c r="E800"/>
    </row>
    <row r="801" spans="5:5">
      <c r="E801"/>
    </row>
    <row r="802" spans="5:5">
      <c r="E802"/>
    </row>
    <row r="803" spans="5:5">
      <c r="E803"/>
    </row>
    <row r="804" spans="5:5">
      <c r="E804"/>
    </row>
    <row r="805" spans="5:5">
      <c r="E805"/>
    </row>
    <row r="806" spans="5:5">
      <c r="E806"/>
    </row>
    <row r="807" spans="5:5">
      <c r="E807"/>
    </row>
    <row r="808" spans="5:5">
      <c r="E808"/>
    </row>
    <row r="809" spans="5:5">
      <c r="E809"/>
    </row>
    <row r="810" spans="5:5">
      <c r="E810"/>
    </row>
    <row r="811" spans="5:5">
      <c r="E811"/>
    </row>
    <row r="812" spans="5:5">
      <c r="E812"/>
    </row>
    <row r="813" spans="5:5">
      <c r="E813"/>
    </row>
    <row r="814" spans="5:5">
      <c r="E814"/>
    </row>
    <row r="815" spans="5:5">
      <c r="E815"/>
    </row>
    <row r="816" spans="5:5">
      <c r="E816"/>
    </row>
    <row r="817" spans="5:5">
      <c r="E817"/>
    </row>
    <row r="818" spans="5:5">
      <c r="E818"/>
    </row>
    <row r="819" spans="5:5">
      <c r="E819"/>
    </row>
    <row r="820" spans="5:5">
      <c r="E820"/>
    </row>
    <row r="821" spans="5:5">
      <c r="E821"/>
    </row>
    <row r="822" spans="5:5">
      <c r="E822"/>
    </row>
    <row r="823" spans="5:5">
      <c r="E823"/>
    </row>
    <row r="824" spans="5:5">
      <c r="E824"/>
    </row>
    <row r="825" spans="5:5">
      <c r="E825"/>
    </row>
    <row r="826" spans="5:5">
      <c r="E826"/>
    </row>
    <row r="827" spans="5:5">
      <c r="E827"/>
    </row>
    <row r="828" spans="5:5">
      <c r="E828"/>
    </row>
    <row r="829" spans="5:5">
      <c r="E829"/>
    </row>
    <row r="830" spans="5:5">
      <c r="E830"/>
    </row>
    <row r="831" spans="5:5">
      <c r="E831"/>
    </row>
    <row r="832" spans="5:5">
      <c r="E832"/>
    </row>
    <row r="833" spans="5:5">
      <c r="E833"/>
    </row>
    <row r="834" spans="5:5">
      <c r="E834"/>
    </row>
    <row r="835" spans="5:5">
      <c r="E835"/>
    </row>
    <row r="836" spans="5:5">
      <c r="E836"/>
    </row>
    <row r="837" spans="5:5">
      <c r="E837"/>
    </row>
    <row r="838" spans="5:5">
      <c r="E838"/>
    </row>
    <row r="839" spans="5:5">
      <c r="E839"/>
    </row>
    <row r="840" spans="5:5">
      <c r="E840"/>
    </row>
    <row r="841" spans="5:5">
      <c r="E841"/>
    </row>
    <row r="842" spans="5:5">
      <c r="E842"/>
    </row>
    <row r="843" spans="5:5">
      <c r="E843"/>
    </row>
    <row r="844" spans="5:5">
      <c r="E844"/>
    </row>
    <row r="845" spans="5:5">
      <c r="E845"/>
    </row>
    <row r="846" spans="5:5">
      <c r="E846"/>
    </row>
    <row r="847" spans="5:5">
      <c r="E847"/>
    </row>
    <row r="848" spans="5:5">
      <c r="E848"/>
    </row>
    <row r="849" spans="5:5">
      <c r="E849"/>
    </row>
    <row r="850" spans="5:5">
      <c r="E850"/>
    </row>
    <row r="851" spans="5:5">
      <c r="E851"/>
    </row>
    <row r="852" spans="5:5">
      <c r="E852"/>
    </row>
    <row r="853" spans="5:5">
      <c r="E853"/>
    </row>
    <row r="854" spans="5:5">
      <c r="E854"/>
    </row>
    <row r="855" spans="5:5">
      <c r="E855"/>
    </row>
    <row r="856" spans="5:5">
      <c r="E856"/>
    </row>
    <row r="857" spans="5:5">
      <c r="E857"/>
    </row>
    <row r="858" spans="5:5">
      <c r="E858"/>
    </row>
    <row r="859" spans="5:5">
      <c r="E859"/>
    </row>
    <row r="860" spans="5:5">
      <c r="E860"/>
    </row>
    <row r="861" spans="5:5">
      <c r="E861"/>
    </row>
    <row r="862" spans="5:5">
      <c r="E862"/>
    </row>
    <row r="863" spans="5:5">
      <c r="E863"/>
    </row>
    <row r="864" spans="5:5">
      <c r="E864"/>
    </row>
    <row r="865" spans="5:5">
      <c r="E865"/>
    </row>
    <row r="866" spans="5:5">
      <c r="E866"/>
    </row>
    <row r="867" spans="5:5">
      <c r="E867"/>
    </row>
    <row r="868" spans="5:5">
      <c r="E868"/>
    </row>
    <row r="869" spans="5:5">
      <c r="E869"/>
    </row>
    <row r="870" spans="5:5">
      <c r="E870"/>
    </row>
    <row r="871" spans="5:5">
      <c r="E871"/>
    </row>
    <row r="872" spans="5:5">
      <c r="E872"/>
    </row>
    <row r="873" spans="5:5">
      <c r="E873"/>
    </row>
    <row r="874" spans="5:5">
      <c r="E874"/>
    </row>
    <row r="875" spans="5:5">
      <c r="E875"/>
    </row>
    <row r="876" spans="5:5">
      <c r="E876"/>
    </row>
    <row r="877" spans="5:5">
      <c r="E877"/>
    </row>
    <row r="878" spans="5:5">
      <c r="E878"/>
    </row>
    <row r="879" spans="5:5">
      <c r="E879"/>
    </row>
    <row r="880" spans="5:5">
      <c r="E880"/>
    </row>
    <row r="881" spans="5:5">
      <c r="E881"/>
    </row>
    <row r="882" spans="5:5">
      <c r="E882"/>
    </row>
    <row r="883" spans="5:5">
      <c r="E883"/>
    </row>
    <row r="884" spans="5:5">
      <c r="E884"/>
    </row>
    <row r="885" spans="5:5">
      <c r="E885"/>
    </row>
    <row r="886" spans="5:5">
      <c r="E886"/>
    </row>
    <row r="887" spans="5:5">
      <c r="E887"/>
    </row>
    <row r="888" spans="5:5">
      <c r="E888"/>
    </row>
    <row r="889" spans="5:5">
      <c r="E889"/>
    </row>
    <row r="890" spans="5:5">
      <c r="E890"/>
    </row>
    <row r="891" spans="5:5">
      <c r="E891"/>
    </row>
    <row r="892" spans="5:5">
      <c r="E892"/>
    </row>
    <row r="893" spans="5:5">
      <c r="E893"/>
    </row>
    <row r="894" spans="5:5">
      <c r="E894"/>
    </row>
    <row r="895" spans="5:5">
      <c r="E895"/>
    </row>
    <row r="896" spans="5:5">
      <c r="E896"/>
    </row>
    <row r="897" spans="5:5">
      <c r="E897"/>
    </row>
    <row r="898" spans="5:5">
      <c r="E898"/>
    </row>
    <row r="899" spans="5:5">
      <c r="E899"/>
    </row>
    <row r="900" spans="5:5">
      <c r="E900"/>
    </row>
    <row r="901" spans="5:5">
      <c r="E901"/>
    </row>
    <row r="902" spans="5:5">
      <c r="E902"/>
    </row>
    <row r="903" spans="5:5">
      <c r="E903"/>
    </row>
    <row r="904" spans="5:5">
      <c r="E904"/>
    </row>
    <row r="905" spans="5:5">
      <c r="E905"/>
    </row>
    <row r="906" spans="5:5">
      <c r="E906"/>
    </row>
    <row r="907" spans="5:5">
      <c r="E907"/>
    </row>
    <row r="908" spans="5:5">
      <c r="E908"/>
    </row>
    <row r="909" spans="5:5">
      <c r="E909"/>
    </row>
    <row r="910" spans="5:5">
      <c r="E910"/>
    </row>
    <row r="911" spans="5:5">
      <c r="E911"/>
    </row>
    <row r="912" spans="5:5">
      <c r="E912"/>
    </row>
    <row r="913" spans="5:5">
      <c r="E913"/>
    </row>
    <row r="914" spans="5:5">
      <c r="E914"/>
    </row>
    <row r="915" spans="5:5">
      <c r="E915"/>
    </row>
    <row r="916" spans="5:5">
      <c r="E916"/>
    </row>
    <row r="917" spans="5:5">
      <c r="E917"/>
    </row>
    <row r="918" spans="5:5">
      <c r="E918"/>
    </row>
    <row r="919" spans="5:5">
      <c r="E919"/>
    </row>
    <row r="920" spans="5:5">
      <c r="E920"/>
    </row>
    <row r="921" spans="5:5">
      <c r="E921"/>
    </row>
    <row r="922" spans="5:5">
      <c r="E922"/>
    </row>
    <row r="923" spans="5:5">
      <c r="E923"/>
    </row>
    <row r="924" spans="5:5">
      <c r="E924"/>
    </row>
    <row r="925" spans="5:5">
      <c r="E925"/>
    </row>
    <row r="926" spans="5:5">
      <c r="E926"/>
    </row>
    <row r="927" spans="5:5">
      <c r="E927"/>
    </row>
    <row r="928" spans="5:5">
      <c r="E928"/>
    </row>
    <row r="929" spans="5:5">
      <c r="E929"/>
    </row>
    <row r="930" spans="5:5">
      <c r="E930"/>
    </row>
    <row r="931" spans="5:5">
      <c r="E931"/>
    </row>
    <row r="932" spans="5:5">
      <c r="E932"/>
    </row>
    <row r="933" spans="5:5">
      <c r="E933"/>
    </row>
    <row r="934" spans="5:5">
      <c r="E934"/>
    </row>
    <row r="935" spans="5:5">
      <c r="E935"/>
    </row>
    <row r="936" spans="5:5">
      <c r="E936"/>
    </row>
    <row r="937" spans="5:5">
      <c r="E937"/>
    </row>
    <row r="938" spans="5:5">
      <c r="E938"/>
    </row>
    <row r="939" spans="5:5">
      <c r="E939"/>
    </row>
    <row r="940" spans="5:5">
      <c r="E940"/>
    </row>
    <row r="941" spans="5:5">
      <c r="E941"/>
    </row>
    <row r="942" spans="5:5">
      <c r="E942"/>
    </row>
    <row r="943" spans="5:5">
      <c r="E943"/>
    </row>
    <row r="944" spans="5:5">
      <c r="E944"/>
    </row>
    <row r="945" spans="5:5">
      <c r="E945"/>
    </row>
    <row r="946" spans="5:5">
      <c r="E946"/>
    </row>
    <row r="947" spans="5:5">
      <c r="E947"/>
    </row>
    <row r="948" spans="5:5">
      <c r="E948"/>
    </row>
    <row r="949" spans="5:5">
      <c r="E949"/>
    </row>
    <row r="950" spans="5:5">
      <c r="E950"/>
    </row>
    <row r="951" spans="5:5">
      <c r="E951"/>
    </row>
    <row r="952" spans="5:5">
      <c r="E952"/>
    </row>
    <row r="953" spans="5:5">
      <c r="E953"/>
    </row>
    <row r="954" spans="5:5">
      <c r="E954"/>
    </row>
    <row r="955" spans="5:5">
      <c r="E955"/>
    </row>
    <row r="956" spans="5:5">
      <c r="E956"/>
    </row>
    <row r="957" spans="5:5">
      <c r="E957"/>
    </row>
    <row r="958" spans="5:5">
      <c r="E958"/>
    </row>
    <row r="959" spans="5:5">
      <c r="E959"/>
    </row>
    <row r="960" spans="5:5">
      <c r="E960"/>
    </row>
    <row r="961" spans="5:5">
      <c r="E961"/>
    </row>
    <row r="962" spans="5:5">
      <c r="E962"/>
    </row>
    <row r="963" spans="5:5">
      <c r="E963"/>
    </row>
    <row r="964" spans="5:5">
      <c r="E964"/>
    </row>
    <row r="965" spans="5:5">
      <c r="E965"/>
    </row>
    <row r="966" spans="5:5">
      <c r="E966"/>
    </row>
    <row r="967" spans="5:5">
      <c r="E967"/>
    </row>
    <row r="968" spans="5:5">
      <c r="E968"/>
    </row>
    <row r="969" spans="5:5">
      <c r="E969"/>
    </row>
    <row r="970" spans="5:5">
      <c r="E970"/>
    </row>
    <row r="971" spans="5:5">
      <c r="E971"/>
    </row>
    <row r="972" spans="5:5">
      <c r="E972"/>
    </row>
    <row r="973" spans="5:5">
      <c r="E973"/>
    </row>
    <row r="974" spans="5:5">
      <c r="E974"/>
    </row>
    <row r="975" spans="5:5">
      <c r="E975"/>
    </row>
    <row r="976" spans="5:5">
      <c r="E976"/>
    </row>
    <row r="977" spans="5:5">
      <c r="E977"/>
    </row>
    <row r="978" spans="5:5">
      <c r="E978"/>
    </row>
    <row r="979" spans="5:5">
      <c r="E979"/>
    </row>
    <row r="980" spans="5:5">
      <c r="E980"/>
    </row>
    <row r="981" spans="5:5">
      <c r="E981"/>
    </row>
    <row r="982" spans="5:5">
      <c r="E982"/>
    </row>
    <row r="983" spans="5:5">
      <c r="E983"/>
    </row>
    <row r="984" spans="5:5">
      <c r="E984"/>
    </row>
    <row r="985" spans="5:5">
      <c r="E985"/>
    </row>
    <row r="986" spans="5:5">
      <c r="E986"/>
    </row>
    <row r="987" spans="5:5">
      <c r="E987"/>
    </row>
    <row r="988" spans="5:5">
      <c r="E988"/>
    </row>
    <row r="989" spans="5:5">
      <c r="E989"/>
    </row>
    <row r="990" spans="5:5">
      <c r="E990"/>
    </row>
    <row r="991" spans="5:5">
      <c r="E991"/>
    </row>
    <row r="992" spans="5:5">
      <c r="E992"/>
    </row>
    <row r="993" spans="5:5">
      <c r="E993"/>
    </row>
    <row r="994" spans="5:5">
      <c r="E994"/>
    </row>
    <row r="995" spans="5:5">
      <c r="E995"/>
    </row>
    <row r="996" spans="5:5">
      <c r="E996"/>
    </row>
    <row r="997" spans="5:5">
      <c r="E997"/>
    </row>
    <row r="998" spans="5:5">
      <c r="E998"/>
    </row>
    <row r="999" spans="5:5">
      <c r="E999"/>
    </row>
    <row r="1000" spans="5:5">
      <c r="E1000"/>
    </row>
    <row r="1001" spans="5:5">
      <c r="E1001"/>
    </row>
    <row r="1002" spans="5:5">
      <c r="E1002"/>
    </row>
    <row r="1003" spans="5:5">
      <c r="E1003"/>
    </row>
    <row r="1004" spans="5:5">
      <c r="E1004"/>
    </row>
    <row r="1005" spans="5:5">
      <c r="E1005"/>
    </row>
    <row r="1006" spans="5:5">
      <c r="E1006"/>
    </row>
    <row r="1007" spans="5:5">
      <c r="E1007"/>
    </row>
    <row r="1008" spans="5:5">
      <c r="E1008"/>
    </row>
    <row r="1009" spans="5:5">
      <c r="E1009"/>
    </row>
    <row r="1010" spans="5:5">
      <c r="E1010"/>
    </row>
    <row r="1011" spans="5:5">
      <c r="E1011"/>
    </row>
    <row r="1012" spans="5:5">
      <c r="E1012"/>
    </row>
    <row r="1013" spans="5:5">
      <c r="E1013"/>
    </row>
    <row r="1014" spans="5:5">
      <c r="E1014"/>
    </row>
    <row r="1015" spans="5:5">
      <c r="E1015"/>
    </row>
    <row r="1016" spans="5:5">
      <c r="E1016"/>
    </row>
    <row r="1017" spans="5:5">
      <c r="E1017"/>
    </row>
    <row r="1018" spans="5:5">
      <c r="E1018"/>
    </row>
    <row r="1019" spans="5:5">
      <c r="E1019"/>
    </row>
    <row r="1020" spans="5:5">
      <c r="E1020"/>
    </row>
    <row r="1021" spans="5:5">
      <c r="E1021"/>
    </row>
    <row r="1022" spans="5:5">
      <c r="E1022"/>
    </row>
    <row r="1023" spans="5:5">
      <c r="E1023"/>
    </row>
    <row r="1024" spans="5:5">
      <c r="E1024"/>
    </row>
    <row r="1025" spans="5:5">
      <c r="E1025"/>
    </row>
    <row r="1026" spans="5:5">
      <c r="E1026"/>
    </row>
    <row r="1027" spans="5:5">
      <c r="E1027"/>
    </row>
    <row r="1028" spans="5:5">
      <c r="E1028"/>
    </row>
    <row r="1029" spans="5:5">
      <c r="E1029"/>
    </row>
    <row r="1030" spans="5:5">
      <c r="E1030"/>
    </row>
    <row r="1031" spans="5:5">
      <c r="E1031"/>
    </row>
    <row r="1032" spans="5:5">
      <c r="E1032"/>
    </row>
    <row r="1033" spans="5:5">
      <c r="E1033"/>
    </row>
    <row r="1034" spans="5:5">
      <c r="E1034"/>
    </row>
    <row r="1035" spans="5:5">
      <c r="E1035"/>
    </row>
    <row r="1036" spans="5:5">
      <c r="E1036"/>
    </row>
    <row r="1037" spans="5:5">
      <c r="E1037"/>
    </row>
    <row r="1038" spans="5:5">
      <c r="E1038"/>
    </row>
    <row r="1039" spans="5:5">
      <c r="E1039"/>
    </row>
    <row r="1040" spans="5:5">
      <c r="E1040"/>
    </row>
    <row r="1041" spans="5:5">
      <c r="E1041"/>
    </row>
    <row r="1042" spans="5:5">
      <c r="E1042"/>
    </row>
    <row r="1043" spans="5:5">
      <c r="E1043"/>
    </row>
    <row r="1044" spans="5:5">
      <c r="E1044"/>
    </row>
    <row r="1045" spans="5:5">
      <c r="E1045"/>
    </row>
    <row r="1046" spans="5:5">
      <c r="E1046"/>
    </row>
    <row r="1047" spans="5:5">
      <c r="E1047"/>
    </row>
    <row r="1048" spans="5:5">
      <c r="E1048"/>
    </row>
    <row r="1049" spans="5:5">
      <c r="E1049"/>
    </row>
    <row r="1050" spans="5:5">
      <c r="E1050"/>
    </row>
    <row r="1051" spans="5:5">
      <c r="E1051"/>
    </row>
    <row r="1052" spans="5:5">
      <c r="E1052"/>
    </row>
    <row r="1053" spans="5:5">
      <c r="E1053"/>
    </row>
    <row r="1054" spans="5:5">
      <c r="E1054"/>
    </row>
    <row r="1055" spans="5:5">
      <c r="E1055"/>
    </row>
    <row r="1056" spans="5:5">
      <c r="E1056"/>
    </row>
    <row r="1057" spans="5:5">
      <c r="E1057"/>
    </row>
    <row r="1058" spans="5:5">
      <c r="E1058"/>
    </row>
    <row r="1059" spans="5:5">
      <c r="E1059"/>
    </row>
    <row r="1060" spans="5:5">
      <c r="E1060"/>
    </row>
    <row r="1061" spans="5:5">
      <c r="E1061"/>
    </row>
    <row r="1062" spans="5:5">
      <c r="E1062"/>
    </row>
    <row r="1063" spans="5:5">
      <c r="E1063"/>
    </row>
    <row r="1064" spans="5:5">
      <c r="E1064"/>
    </row>
    <row r="1065" spans="5:5">
      <c r="E1065"/>
    </row>
    <row r="1066" spans="5:5">
      <c r="E1066"/>
    </row>
    <row r="1067" spans="5:5">
      <c r="E1067"/>
    </row>
    <row r="1068" spans="5:5">
      <c r="E1068"/>
    </row>
    <row r="1069" spans="5:5">
      <c r="E1069"/>
    </row>
    <row r="1070" spans="5:5">
      <c r="E1070"/>
    </row>
    <row r="1071" spans="5:5">
      <c r="E1071"/>
    </row>
    <row r="1072" spans="5:5">
      <c r="E1072"/>
    </row>
    <row r="1073" spans="5:5">
      <c r="E1073"/>
    </row>
    <row r="1074" spans="5:5">
      <c r="E1074"/>
    </row>
    <row r="1075" spans="5:5">
      <c r="E1075"/>
    </row>
    <row r="1076" spans="5:5">
      <c r="E1076"/>
    </row>
    <row r="1077" spans="5:5">
      <c r="E1077"/>
    </row>
    <row r="1078" spans="5:5">
      <c r="E1078"/>
    </row>
    <row r="1079" spans="5:5">
      <c r="E1079"/>
    </row>
    <row r="1080" spans="5:5">
      <c r="E1080"/>
    </row>
    <row r="1081" spans="5:5">
      <c r="E1081"/>
    </row>
    <row r="1082" spans="5:5">
      <c r="E1082"/>
    </row>
    <row r="1083" spans="5:5">
      <c r="E1083"/>
    </row>
    <row r="1084" spans="5:5">
      <c r="E1084"/>
    </row>
    <row r="1085" spans="5:5">
      <c r="E1085"/>
    </row>
    <row r="1086" spans="5:5">
      <c r="E1086"/>
    </row>
    <row r="1087" spans="5:5">
      <c r="E1087"/>
    </row>
    <row r="1088" spans="5:5">
      <c r="E1088"/>
    </row>
    <row r="1089" spans="5:5">
      <c r="E1089"/>
    </row>
    <row r="1090" spans="5:5">
      <c r="E1090"/>
    </row>
    <row r="1091" spans="5:5">
      <c r="E1091"/>
    </row>
    <row r="1092" spans="5:5">
      <c r="E1092"/>
    </row>
    <row r="1093" spans="5:5">
      <c r="E1093"/>
    </row>
    <row r="1094" spans="5:5">
      <c r="E1094"/>
    </row>
    <row r="1095" spans="5:5">
      <c r="E1095"/>
    </row>
    <row r="1096" spans="5:5">
      <c r="E1096"/>
    </row>
    <row r="1097" spans="5:5">
      <c r="E1097"/>
    </row>
    <row r="1098" spans="5:5">
      <c r="E1098"/>
    </row>
    <row r="1099" spans="5:5">
      <c r="E1099"/>
    </row>
    <row r="1100" spans="5:5">
      <c r="E1100"/>
    </row>
    <row r="1101" spans="5:5">
      <c r="E1101"/>
    </row>
    <row r="1102" spans="5:5">
      <c r="E1102"/>
    </row>
    <row r="1103" spans="5:5">
      <c r="E1103"/>
    </row>
    <row r="1104" spans="5:5">
      <c r="E1104"/>
    </row>
    <row r="1105" spans="5:5">
      <c r="E1105"/>
    </row>
    <row r="1106" spans="5:5">
      <c r="E1106"/>
    </row>
    <row r="1107" spans="5:5">
      <c r="E1107"/>
    </row>
    <row r="1108" spans="5:5">
      <c r="E1108"/>
    </row>
    <row r="1109" spans="5:5">
      <c r="E1109"/>
    </row>
    <row r="1110" spans="5:5">
      <c r="E1110"/>
    </row>
    <row r="1111" spans="5:5">
      <c r="E1111"/>
    </row>
    <row r="1112" spans="5:5">
      <c r="E1112"/>
    </row>
    <row r="1113" spans="5:5">
      <c r="E1113"/>
    </row>
    <row r="1114" spans="5:5">
      <c r="E1114"/>
    </row>
    <row r="1115" spans="5:5">
      <c r="E1115"/>
    </row>
    <row r="1116" spans="5:5">
      <c r="E1116"/>
    </row>
    <row r="1117" spans="5:5">
      <c r="E1117"/>
    </row>
    <row r="1118" spans="5:5">
      <c r="E1118"/>
    </row>
    <row r="1119" spans="5:5">
      <c r="E1119"/>
    </row>
    <row r="1120" spans="5:5">
      <c r="E1120"/>
    </row>
    <row r="1121" spans="5:5">
      <c r="E1121"/>
    </row>
    <row r="1122" spans="5:5">
      <c r="E1122"/>
    </row>
    <row r="1123" spans="5:5">
      <c r="E1123"/>
    </row>
    <row r="1124" spans="5:5">
      <c r="E1124"/>
    </row>
    <row r="1125" spans="5:5">
      <c r="E1125"/>
    </row>
    <row r="1126" spans="5:5">
      <c r="E1126"/>
    </row>
    <row r="1127" spans="5:5">
      <c r="E1127"/>
    </row>
    <row r="1128" spans="5:5">
      <c r="E1128"/>
    </row>
    <row r="1129" spans="5:5">
      <c r="E1129"/>
    </row>
    <row r="1130" spans="5:5">
      <c r="E1130"/>
    </row>
    <row r="1131" spans="5:5">
      <c r="E1131"/>
    </row>
    <row r="1132" spans="5:5">
      <c r="E1132"/>
    </row>
    <row r="1133" spans="5:5">
      <c r="E1133"/>
    </row>
    <row r="1134" spans="5:5">
      <c r="E1134"/>
    </row>
    <row r="1135" spans="5:5">
      <c r="E1135"/>
    </row>
    <row r="1136" spans="5:5">
      <c r="E1136"/>
    </row>
    <row r="1137" spans="5:5">
      <c r="E1137"/>
    </row>
    <row r="1138" spans="5:5">
      <c r="E1138"/>
    </row>
    <row r="1139" spans="5:5">
      <c r="E1139"/>
    </row>
    <row r="1140" spans="5:5">
      <c r="E1140"/>
    </row>
    <row r="1141" spans="5:5">
      <c r="E1141"/>
    </row>
    <row r="1142" spans="5:5">
      <c r="E1142"/>
    </row>
    <row r="1143" spans="5:5">
      <c r="E1143"/>
    </row>
    <row r="1144" spans="5:5">
      <c r="E1144"/>
    </row>
    <row r="1145" spans="5:5">
      <c r="E1145"/>
    </row>
    <row r="1146" spans="5:5">
      <c r="E1146"/>
    </row>
    <row r="1147" spans="5:5">
      <c r="E1147"/>
    </row>
    <row r="1148" spans="5:5">
      <c r="E1148"/>
    </row>
    <row r="1149" spans="5:5">
      <c r="E1149"/>
    </row>
    <row r="1150" spans="5:5">
      <c r="E1150"/>
    </row>
    <row r="1151" spans="5:5">
      <c r="E1151"/>
    </row>
    <row r="1152" spans="5:5">
      <c r="E1152"/>
    </row>
    <row r="1153" spans="5:5">
      <c r="E1153"/>
    </row>
    <row r="1154" spans="5:5">
      <c r="E1154"/>
    </row>
    <row r="1155" spans="5:5">
      <c r="E1155"/>
    </row>
    <row r="1156" spans="5:5">
      <c r="E1156"/>
    </row>
    <row r="1157" spans="5:5">
      <c r="E1157"/>
    </row>
    <row r="1158" spans="5:5">
      <c r="E1158"/>
    </row>
    <row r="1159" spans="5:5">
      <c r="E1159"/>
    </row>
    <row r="1160" spans="5:5">
      <c r="E1160"/>
    </row>
    <row r="1161" spans="5:5">
      <c r="E1161"/>
    </row>
    <row r="1162" spans="5:5">
      <c r="E1162"/>
    </row>
    <row r="1163" spans="5:5">
      <c r="E1163"/>
    </row>
    <row r="1164" spans="5:5">
      <c r="E1164"/>
    </row>
    <row r="1165" spans="5:5">
      <c r="E1165"/>
    </row>
    <row r="1166" spans="5:5">
      <c r="E1166"/>
    </row>
    <row r="1167" spans="5:5">
      <c r="E1167"/>
    </row>
    <row r="1168" spans="5:5">
      <c r="E1168"/>
    </row>
    <row r="1169" spans="5:5">
      <c r="E1169"/>
    </row>
    <row r="1170" spans="5:5">
      <c r="E1170"/>
    </row>
    <row r="1171" spans="5:5">
      <c r="E1171"/>
    </row>
    <row r="1172" spans="5:5">
      <c r="E1172"/>
    </row>
    <row r="1173" spans="5:5">
      <c r="E1173"/>
    </row>
    <row r="1174" spans="5:5">
      <c r="E1174"/>
    </row>
    <row r="1175" spans="5:5">
      <c r="E1175"/>
    </row>
    <row r="1176" spans="5:5">
      <c r="E1176"/>
    </row>
    <row r="1177" spans="5:5">
      <c r="E1177"/>
    </row>
    <row r="1178" spans="5:5">
      <c r="E1178"/>
    </row>
    <row r="1179" spans="5:5">
      <c r="E1179"/>
    </row>
    <row r="1180" spans="5:5">
      <c r="E1180"/>
    </row>
    <row r="1181" spans="5:5">
      <c r="E1181"/>
    </row>
    <row r="1182" spans="5:5">
      <c r="E1182"/>
    </row>
    <row r="1183" spans="5:5">
      <c r="E1183"/>
    </row>
    <row r="1184" spans="5:5">
      <c r="E1184"/>
    </row>
    <row r="1185" spans="5:5">
      <c r="E1185"/>
    </row>
    <row r="1186" spans="5:5">
      <c r="E1186"/>
    </row>
    <row r="1187" spans="5:5">
      <c r="E1187"/>
    </row>
    <row r="1188" spans="5:5">
      <c r="E1188"/>
    </row>
    <row r="1189" spans="5:5">
      <c r="E1189"/>
    </row>
    <row r="1190" spans="5:5">
      <c r="E1190"/>
    </row>
    <row r="1191" spans="5:5">
      <c r="E1191"/>
    </row>
    <row r="1192" spans="5:5">
      <c r="E1192"/>
    </row>
    <row r="1193" spans="5:5">
      <c r="E1193"/>
    </row>
    <row r="1194" spans="5:5">
      <c r="E1194"/>
    </row>
    <row r="1195" spans="5:5">
      <c r="E1195"/>
    </row>
    <row r="1196" spans="5:5">
      <c r="E1196"/>
    </row>
    <row r="1197" spans="5:5">
      <c r="E1197"/>
    </row>
    <row r="1198" spans="5:5">
      <c r="E1198"/>
    </row>
    <row r="1199" spans="5:5">
      <c r="E1199"/>
    </row>
    <row r="1200" spans="5:5">
      <c r="E1200"/>
    </row>
    <row r="1201" spans="5:5">
      <c r="E1201"/>
    </row>
    <row r="1202" spans="5:5">
      <c r="E1202"/>
    </row>
    <row r="1203" spans="5:5">
      <c r="E1203"/>
    </row>
    <row r="1204" spans="5:5">
      <c r="E1204"/>
    </row>
    <row r="1205" spans="5:5">
      <c r="E1205"/>
    </row>
    <row r="1206" spans="5:5">
      <c r="E1206"/>
    </row>
    <row r="1207" spans="5:5">
      <c r="E1207"/>
    </row>
    <row r="1208" spans="5:5">
      <c r="E1208"/>
    </row>
    <row r="1209" spans="5:5">
      <c r="E1209"/>
    </row>
    <row r="1210" spans="5:5">
      <c r="E1210"/>
    </row>
    <row r="1211" spans="5:5">
      <c r="E1211"/>
    </row>
    <row r="1212" spans="5:5">
      <c r="E1212"/>
    </row>
    <row r="1213" spans="5:5">
      <c r="E1213"/>
    </row>
    <row r="1214" spans="5:5">
      <c r="E1214"/>
    </row>
    <row r="1215" spans="5:5">
      <c r="E1215"/>
    </row>
    <row r="1216" spans="5:5">
      <c r="E1216"/>
    </row>
    <row r="1217" spans="5:5">
      <c r="E1217"/>
    </row>
    <row r="1218" spans="5:5">
      <c r="E1218"/>
    </row>
    <row r="1219" spans="5:5">
      <c r="E1219"/>
    </row>
    <row r="1220" spans="5:5">
      <c r="E1220"/>
    </row>
    <row r="1221" spans="5:5">
      <c r="E1221"/>
    </row>
    <row r="1222" spans="5:5">
      <c r="E1222"/>
    </row>
    <row r="1223" spans="5:5">
      <c r="E1223"/>
    </row>
    <row r="1224" spans="5:5">
      <c r="E1224"/>
    </row>
    <row r="1225" spans="5:5">
      <c r="E1225"/>
    </row>
    <row r="1226" spans="5:5">
      <c r="E1226"/>
    </row>
    <row r="1227" spans="5:5">
      <c r="E1227"/>
    </row>
    <row r="1228" spans="5:5">
      <c r="E1228"/>
    </row>
    <row r="1229" spans="5:5">
      <c r="E1229"/>
    </row>
    <row r="1230" spans="5:5">
      <c r="E1230"/>
    </row>
    <row r="1231" spans="5:5">
      <c r="E1231"/>
    </row>
    <row r="1232" spans="5:5">
      <c r="E1232"/>
    </row>
    <row r="1233" spans="5:5">
      <c r="E1233"/>
    </row>
    <row r="1234" spans="5:5">
      <c r="E1234"/>
    </row>
    <row r="1235" spans="5:5">
      <c r="E1235"/>
    </row>
    <row r="1236" spans="5:5">
      <c r="E1236"/>
    </row>
    <row r="1237" spans="5:5">
      <c r="E1237"/>
    </row>
    <row r="1238" spans="5:5">
      <c r="E1238"/>
    </row>
    <row r="1239" spans="5:5">
      <c r="E1239"/>
    </row>
    <row r="1240" spans="5:5">
      <c r="E1240"/>
    </row>
    <row r="1241" spans="5:5">
      <c r="E1241"/>
    </row>
    <row r="1242" spans="5:5">
      <c r="E1242"/>
    </row>
    <row r="1243" spans="5:5">
      <c r="E1243"/>
    </row>
    <row r="1244" spans="5:5">
      <c r="E1244"/>
    </row>
    <row r="1245" spans="5:5">
      <c r="E1245"/>
    </row>
    <row r="1246" spans="5:5">
      <c r="E1246"/>
    </row>
    <row r="1247" spans="5:5">
      <c r="E1247"/>
    </row>
    <row r="1248" spans="5:5">
      <c r="E1248"/>
    </row>
    <row r="1249" spans="5:5">
      <c r="E1249"/>
    </row>
    <row r="1250" spans="5:5">
      <c r="E1250"/>
    </row>
    <row r="1251" spans="5:5">
      <c r="E1251"/>
    </row>
    <row r="1252" spans="5:5">
      <c r="E1252"/>
    </row>
    <row r="1253" spans="5:5">
      <c r="E1253"/>
    </row>
    <row r="1254" spans="5:5">
      <c r="E1254"/>
    </row>
    <row r="1255" spans="5:5">
      <c r="E1255"/>
    </row>
    <row r="1256" spans="5:5">
      <c r="E1256"/>
    </row>
    <row r="1257" spans="5:5">
      <c r="E1257"/>
    </row>
    <row r="1258" spans="5:5">
      <c r="E1258"/>
    </row>
    <row r="1259" spans="5:5">
      <c r="E1259"/>
    </row>
    <row r="1260" spans="5:5">
      <c r="E1260"/>
    </row>
    <row r="1261" spans="5:5">
      <c r="E1261"/>
    </row>
    <row r="1262" spans="5:5">
      <c r="E1262"/>
    </row>
    <row r="1263" spans="5:5">
      <c r="E1263"/>
    </row>
    <row r="1264" spans="5:5">
      <c r="E1264"/>
    </row>
    <row r="1265" spans="5:5">
      <c r="E1265"/>
    </row>
    <row r="1266" spans="5:5">
      <c r="E1266"/>
    </row>
    <row r="1267" spans="5:5">
      <c r="E1267"/>
    </row>
    <row r="1268" spans="5:5">
      <c r="E1268"/>
    </row>
    <row r="1269" spans="5:5">
      <c r="E1269"/>
    </row>
    <row r="1270" spans="5:5">
      <c r="E1270"/>
    </row>
    <row r="1271" spans="5:5">
      <c r="E1271"/>
    </row>
    <row r="1272" spans="5:5">
      <c r="E1272"/>
    </row>
    <row r="1273" spans="5:5">
      <c r="E1273"/>
    </row>
    <row r="1274" spans="5:5">
      <c r="E1274"/>
    </row>
    <row r="1275" spans="5:5">
      <c r="E1275"/>
    </row>
    <row r="1276" spans="5:5">
      <c r="E1276"/>
    </row>
    <row r="1277" spans="5:5">
      <c r="E1277"/>
    </row>
    <row r="1278" spans="5:5">
      <c r="E1278"/>
    </row>
    <row r="1279" spans="5:5">
      <c r="E1279"/>
    </row>
    <row r="1280" spans="5:5">
      <c r="E1280"/>
    </row>
    <row r="1281" spans="5:5">
      <c r="E1281"/>
    </row>
    <row r="1282" spans="5:5">
      <c r="E1282"/>
    </row>
    <row r="1283" spans="5:5">
      <c r="E1283"/>
    </row>
    <row r="1284" spans="5:5">
      <c r="E1284"/>
    </row>
    <row r="1285" spans="5:5">
      <c r="E1285"/>
    </row>
    <row r="1286" spans="5:5">
      <c r="E1286"/>
    </row>
    <row r="1287" spans="5:5">
      <c r="E1287"/>
    </row>
    <row r="1288" spans="5:5">
      <c r="E1288"/>
    </row>
    <row r="1289" spans="5:5">
      <c r="E1289"/>
    </row>
    <row r="1290" spans="5:5">
      <c r="E1290"/>
    </row>
    <row r="1291" spans="5:5">
      <c r="E1291"/>
    </row>
    <row r="1292" spans="5:5">
      <c r="E1292"/>
    </row>
    <row r="1293" spans="5:5">
      <c r="E1293"/>
    </row>
    <row r="1294" spans="5:5">
      <c r="E1294"/>
    </row>
    <row r="1295" spans="5:5">
      <c r="E1295"/>
    </row>
    <row r="1296" spans="5:5">
      <c r="E1296"/>
    </row>
    <row r="1297" spans="5:5">
      <c r="E1297"/>
    </row>
    <row r="1298" spans="5:5">
      <c r="E1298"/>
    </row>
    <row r="1299" spans="5:5">
      <c r="E1299"/>
    </row>
    <row r="1300" spans="5:5">
      <c r="E1300"/>
    </row>
    <row r="1301" spans="5:5">
      <c r="E1301"/>
    </row>
    <row r="1302" spans="5:5">
      <c r="E1302"/>
    </row>
    <row r="1303" spans="5:5">
      <c r="E1303"/>
    </row>
    <row r="1304" spans="5:5">
      <c r="E1304"/>
    </row>
    <row r="1305" spans="5:5">
      <c r="E1305"/>
    </row>
    <row r="1306" spans="5:5">
      <c r="E1306"/>
    </row>
    <row r="1307" spans="5:5">
      <c r="E1307"/>
    </row>
    <row r="1308" spans="5:5">
      <c r="E1308"/>
    </row>
    <row r="1309" spans="5:5">
      <c r="E1309"/>
    </row>
    <row r="1310" spans="5:5">
      <c r="E1310"/>
    </row>
    <row r="1311" spans="5:5">
      <c r="E1311"/>
    </row>
    <row r="1312" spans="5:5">
      <c r="E1312"/>
    </row>
    <row r="1313" spans="5:5">
      <c r="E1313"/>
    </row>
    <row r="1314" spans="5:5">
      <c r="E1314"/>
    </row>
    <row r="1315" spans="5:5">
      <c r="E1315"/>
    </row>
    <row r="1316" spans="5:5">
      <c r="E1316"/>
    </row>
    <row r="1317" spans="5:5">
      <c r="E1317"/>
    </row>
    <row r="1318" spans="5:5">
      <c r="E1318"/>
    </row>
    <row r="1319" spans="5:5">
      <c r="E1319"/>
    </row>
    <row r="1320" spans="5:5">
      <c r="E1320"/>
    </row>
    <row r="1321" spans="5:5">
      <c r="E1321"/>
    </row>
    <row r="1322" spans="5:5">
      <c r="E1322"/>
    </row>
    <row r="1323" spans="5:5">
      <c r="E1323"/>
    </row>
    <row r="1324" spans="5:5">
      <c r="E1324"/>
    </row>
    <row r="1325" spans="5:5">
      <c r="E1325"/>
    </row>
    <row r="1326" spans="5:5">
      <c r="E1326"/>
    </row>
    <row r="1327" spans="5:5">
      <c r="E1327"/>
    </row>
    <row r="1328" spans="5:5">
      <c r="E1328"/>
    </row>
    <row r="1329" spans="5:5">
      <c r="E1329"/>
    </row>
    <row r="1330" spans="5:5">
      <c r="E1330"/>
    </row>
    <row r="1331" spans="5:5">
      <c r="E1331"/>
    </row>
    <row r="1332" spans="5:5">
      <c r="E1332"/>
    </row>
    <row r="1333" spans="5:5">
      <c r="E1333"/>
    </row>
    <row r="1334" spans="5:5">
      <c r="E1334"/>
    </row>
    <row r="1335" spans="5:5">
      <c r="E1335"/>
    </row>
    <row r="1336" spans="5:5">
      <c r="E1336"/>
    </row>
    <row r="1337" spans="5:5">
      <c r="E1337"/>
    </row>
    <row r="1338" spans="5:5">
      <c r="E1338"/>
    </row>
    <row r="1339" spans="5:5">
      <c r="E1339"/>
    </row>
    <row r="1340" spans="5:5">
      <c r="E1340"/>
    </row>
    <row r="1341" spans="5:5">
      <c r="E1341"/>
    </row>
    <row r="1342" spans="5:5">
      <c r="E1342"/>
    </row>
    <row r="1343" spans="5:5">
      <c r="E1343"/>
    </row>
    <row r="1344" spans="5:5">
      <c r="E1344"/>
    </row>
    <row r="1345" spans="5:5">
      <c r="E1345"/>
    </row>
    <row r="1346" spans="5:5">
      <c r="E1346"/>
    </row>
    <row r="1347" spans="5:5">
      <c r="E1347"/>
    </row>
    <row r="1348" spans="5:5">
      <c r="E1348"/>
    </row>
    <row r="1349" spans="5:5">
      <c r="E1349"/>
    </row>
    <row r="1350" spans="5:5">
      <c r="E1350"/>
    </row>
    <row r="1351" spans="5:5">
      <c r="E1351"/>
    </row>
    <row r="1352" spans="5:5">
      <c r="E1352"/>
    </row>
    <row r="1353" spans="5:5">
      <c r="E1353"/>
    </row>
    <row r="1354" spans="5:5">
      <c r="E1354"/>
    </row>
    <row r="1355" spans="5:5">
      <c r="E1355"/>
    </row>
    <row r="1356" spans="5:5">
      <c r="E1356"/>
    </row>
    <row r="1357" spans="5:5">
      <c r="E1357"/>
    </row>
    <row r="1358" spans="5:5">
      <c r="E1358"/>
    </row>
    <row r="1359" spans="5:5">
      <c r="E1359"/>
    </row>
    <row r="1360" spans="5:5">
      <c r="E1360"/>
    </row>
    <row r="1361" spans="5:5">
      <c r="E1361"/>
    </row>
    <row r="1362" spans="5:5">
      <c r="E1362"/>
    </row>
    <row r="1363" spans="5:5">
      <c r="E1363"/>
    </row>
    <row r="1364" spans="5:5">
      <c r="E1364"/>
    </row>
    <row r="1365" spans="5:5">
      <c r="E1365"/>
    </row>
    <row r="1366" spans="5:5">
      <c r="E1366"/>
    </row>
    <row r="1367" spans="5:5">
      <c r="E1367"/>
    </row>
    <row r="1368" spans="5:5">
      <c r="E1368"/>
    </row>
    <row r="1369" spans="5:5">
      <c r="E1369"/>
    </row>
    <row r="1370" spans="5:5">
      <c r="E1370"/>
    </row>
    <row r="1371" spans="5:5">
      <c r="E1371"/>
    </row>
    <row r="1372" spans="5:5">
      <c r="E1372"/>
    </row>
    <row r="1373" spans="5:5">
      <c r="E1373"/>
    </row>
    <row r="1374" spans="5:5">
      <c r="E1374"/>
    </row>
    <row r="1375" spans="5:5">
      <c r="E1375"/>
    </row>
    <row r="1376" spans="5:5">
      <c r="E1376"/>
    </row>
    <row r="1377" spans="5:5">
      <c r="E1377"/>
    </row>
    <row r="1378" spans="5:5">
      <c r="E1378"/>
    </row>
    <row r="1379" spans="5:5">
      <c r="E1379"/>
    </row>
    <row r="1380" spans="5:5">
      <c r="E1380"/>
    </row>
    <row r="1381" spans="5:5">
      <c r="E1381"/>
    </row>
    <row r="1382" spans="5:5">
      <c r="E1382"/>
    </row>
    <row r="1383" spans="5:5">
      <c r="E1383"/>
    </row>
    <row r="1384" spans="5:5">
      <c r="E1384"/>
    </row>
    <row r="1385" spans="5:5">
      <c r="E1385"/>
    </row>
    <row r="1386" spans="5:5">
      <c r="E1386"/>
    </row>
    <row r="1387" spans="5:5">
      <c r="E1387"/>
    </row>
    <row r="1388" spans="5:5">
      <c r="E1388"/>
    </row>
    <row r="1389" spans="5:5">
      <c r="E1389"/>
    </row>
    <row r="1390" spans="5:5">
      <c r="E1390"/>
    </row>
    <row r="1391" spans="5:5">
      <c r="E1391"/>
    </row>
    <row r="1392" spans="5:5">
      <c r="E1392"/>
    </row>
    <row r="1393" spans="5:5">
      <c r="E1393"/>
    </row>
    <row r="1394" spans="5:5">
      <c r="E1394"/>
    </row>
    <row r="1395" spans="5:5">
      <c r="E1395"/>
    </row>
    <row r="1396" spans="5:5">
      <c r="E1396"/>
    </row>
    <row r="1397" spans="5:5">
      <c r="E1397"/>
    </row>
    <row r="1398" spans="5:5">
      <c r="E1398"/>
    </row>
    <row r="1399" spans="5:5">
      <c r="E1399"/>
    </row>
    <row r="1400" spans="5:5">
      <c r="E1400"/>
    </row>
    <row r="1401" spans="5:5">
      <c r="E1401"/>
    </row>
    <row r="1402" spans="5:5">
      <c r="E1402"/>
    </row>
    <row r="1403" spans="5:5">
      <c r="E1403"/>
    </row>
    <row r="1404" spans="5:5">
      <c r="E1404"/>
    </row>
    <row r="1405" spans="5:5">
      <c r="E1405"/>
    </row>
    <row r="1406" spans="5:5">
      <c r="E1406"/>
    </row>
    <row r="1407" spans="5:5">
      <c r="E1407"/>
    </row>
    <row r="1408" spans="5:5">
      <c r="E1408"/>
    </row>
    <row r="1409" spans="5:5">
      <c r="E1409"/>
    </row>
    <row r="1410" spans="5:5">
      <c r="E1410"/>
    </row>
    <row r="1411" spans="5:5">
      <c r="E1411"/>
    </row>
    <row r="1412" spans="5:5">
      <c r="E1412"/>
    </row>
    <row r="1413" spans="5:5">
      <c r="E1413"/>
    </row>
    <row r="1414" spans="5:5">
      <c r="E1414"/>
    </row>
    <row r="1415" spans="5:5">
      <c r="E1415"/>
    </row>
    <row r="1416" spans="5:5">
      <c r="E1416"/>
    </row>
    <row r="1417" spans="5:5">
      <c r="E1417"/>
    </row>
    <row r="1418" spans="5:5">
      <c r="E1418"/>
    </row>
    <row r="1419" spans="5:5">
      <c r="E1419"/>
    </row>
    <row r="1420" spans="5:5">
      <c r="E1420"/>
    </row>
    <row r="1421" spans="5:5">
      <c r="E1421"/>
    </row>
    <row r="1422" spans="5:5">
      <c r="E1422"/>
    </row>
    <row r="1423" spans="5:5">
      <c r="E1423"/>
    </row>
    <row r="1424" spans="5:5">
      <c r="E1424"/>
    </row>
    <row r="1425" spans="5:5">
      <c r="E1425"/>
    </row>
    <row r="1426" spans="5:5">
      <c r="E1426"/>
    </row>
    <row r="1427" spans="5:5">
      <c r="E1427"/>
    </row>
    <row r="1428" spans="5:5">
      <c r="E1428"/>
    </row>
    <row r="1429" spans="5:5">
      <c r="E1429"/>
    </row>
    <row r="1430" spans="5:5">
      <c r="E1430"/>
    </row>
    <row r="1431" spans="5:5">
      <c r="E1431"/>
    </row>
    <row r="1432" spans="5:5">
      <c r="E1432"/>
    </row>
    <row r="1433" spans="5:5">
      <c r="E1433"/>
    </row>
    <row r="1434" spans="5:5">
      <c r="E1434"/>
    </row>
    <row r="1435" spans="5:5">
      <c r="E1435"/>
    </row>
    <row r="1436" spans="5:5">
      <c r="E1436"/>
    </row>
    <row r="1437" spans="5:5">
      <c r="E1437"/>
    </row>
    <row r="1438" spans="5:5">
      <c r="E1438"/>
    </row>
    <row r="1439" spans="5:5">
      <c r="E1439"/>
    </row>
    <row r="1440" spans="5:5">
      <c r="E1440"/>
    </row>
    <row r="1441" spans="5:5">
      <c r="E1441"/>
    </row>
    <row r="1442" spans="5:5">
      <c r="E1442"/>
    </row>
    <row r="1443" spans="5:5">
      <c r="E1443"/>
    </row>
    <row r="1444" spans="5:5">
      <c r="E1444"/>
    </row>
    <row r="1445" spans="5:5">
      <c r="E1445"/>
    </row>
    <row r="1446" spans="5:5">
      <c r="E1446"/>
    </row>
    <row r="1447" spans="5:5">
      <c r="E1447"/>
    </row>
    <row r="1448" spans="5:5">
      <c r="E1448"/>
    </row>
    <row r="1449" spans="5:5">
      <c r="E1449"/>
    </row>
    <row r="1450" spans="5:5">
      <c r="E1450"/>
    </row>
    <row r="1451" spans="5:5">
      <c r="E1451"/>
    </row>
    <row r="1452" spans="5:5">
      <c r="E1452"/>
    </row>
    <row r="1453" spans="5:5">
      <c r="E1453"/>
    </row>
    <row r="1454" spans="5:5">
      <c r="E1454"/>
    </row>
    <row r="1455" spans="5:5">
      <c r="E1455"/>
    </row>
    <row r="1456" spans="5:5">
      <c r="E1456"/>
    </row>
    <row r="1457" spans="5:5">
      <c r="E1457"/>
    </row>
    <row r="1458" spans="5:5">
      <c r="E1458"/>
    </row>
    <row r="1459" spans="5:5">
      <c r="E1459"/>
    </row>
    <row r="1460" spans="5:5">
      <c r="E1460"/>
    </row>
    <row r="1461" spans="5:5">
      <c r="E1461"/>
    </row>
    <row r="1462" spans="5:5">
      <c r="E1462"/>
    </row>
    <row r="1463" spans="5:5">
      <c r="E1463"/>
    </row>
    <row r="1464" spans="5:5">
      <c r="E1464"/>
    </row>
    <row r="1465" spans="5:5">
      <c r="E1465"/>
    </row>
    <row r="1466" spans="5:5">
      <c r="E1466"/>
    </row>
    <row r="1467" spans="5:5">
      <c r="E1467"/>
    </row>
    <row r="1468" spans="5:5">
      <c r="E1468"/>
    </row>
    <row r="1469" spans="5:5">
      <c r="E1469"/>
    </row>
    <row r="1470" spans="5:5">
      <c r="E1470"/>
    </row>
    <row r="1471" spans="5:5">
      <c r="E1471"/>
    </row>
    <row r="1472" spans="5:5">
      <c r="E1472"/>
    </row>
    <row r="1473" spans="5:5">
      <c r="E1473"/>
    </row>
    <row r="1474" spans="5:5">
      <c r="E1474"/>
    </row>
    <row r="1475" spans="5:5">
      <c r="E1475"/>
    </row>
    <row r="1476" spans="5:5">
      <c r="E1476"/>
    </row>
    <row r="1477" spans="5:5">
      <c r="E1477"/>
    </row>
    <row r="1478" spans="5:5">
      <c r="E1478"/>
    </row>
    <row r="1479" spans="5:5">
      <c r="E1479"/>
    </row>
    <row r="1480" spans="5:5">
      <c r="E1480"/>
    </row>
    <row r="1481" spans="5:5">
      <c r="E1481"/>
    </row>
    <row r="1482" spans="5:5">
      <c r="E1482"/>
    </row>
    <row r="1483" spans="5:5">
      <c r="E1483"/>
    </row>
    <row r="1484" spans="5:5">
      <c r="E1484"/>
    </row>
    <row r="1485" spans="5:5">
      <c r="E1485"/>
    </row>
    <row r="1486" spans="5:5">
      <c r="E1486"/>
    </row>
    <row r="1487" spans="5:5">
      <c r="E1487"/>
    </row>
    <row r="1488" spans="5:5">
      <c r="E1488"/>
    </row>
    <row r="1489" spans="5:5">
      <c r="E1489"/>
    </row>
    <row r="1490" spans="5:5">
      <c r="E1490"/>
    </row>
    <row r="1491" spans="5:5">
      <c r="E1491"/>
    </row>
    <row r="1492" spans="5:5">
      <c r="E1492"/>
    </row>
    <row r="1493" spans="5:5">
      <c r="E1493"/>
    </row>
    <row r="1494" spans="5:5">
      <c r="E1494"/>
    </row>
    <row r="1495" spans="5:5">
      <c r="E1495"/>
    </row>
    <row r="1496" spans="5:5">
      <c r="E1496"/>
    </row>
    <row r="1497" spans="5:5">
      <c r="E1497"/>
    </row>
    <row r="1498" spans="5:5">
      <c r="E1498"/>
    </row>
    <row r="1499" spans="5:5">
      <c r="E1499"/>
    </row>
    <row r="1500" spans="5:5">
      <c r="E1500"/>
    </row>
    <row r="1501" spans="5:5">
      <c r="E1501"/>
    </row>
    <row r="1502" spans="5:5">
      <c r="E1502"/>
    </row>
    <row r="1503" spans="5:5">
      <c r="E1503"/>
    </row>
    <row r="1504" spans="5:5">
      <c r="E1504"/>
    </row>
    <row r="1505" spans="5:5">
      <c r="E1505"/>
    </row>
    <row r="1506" spans="5:5">
      <c r="E1506"/>
    </row>
    <row r="1507" spans="5:5">
      <c r="E1507"/>
    </row>
    <row r="1508" spans="5:5">
      <c r="E1508"/>
    </row>
    <row r="1509" spans="5:5">
      <c r="E1509"/>
    </row>
    <row r="1510" spans="5:5">
      <c r="E1510"/>
    </row>
    <row r="1511" spans="5:5">
      <c r="E1511"/>
    </row>
    <row r="1512" spans="5:5">
      <c r="E1512"/>
    </row>
    <row r="1513" spans="5:5">
      <c r="E1513"/>
    </row>
    <row r="1514" spans="5:5">
      <c r="E1514"/>
    </row>
    <row r="1515" spans="5:5">
      <c r="E1515"/>
    </row>
    <row r="1516" spans="5:5">
      <c r="E1516"/>
    </row>
    <row r="1517" spans="5:5">
      <c r="E1517"/>
    </row>
    <row r="1518" spans="5:5">
      <c r="E1518"/>
    </row>
    <row r="1519" spans="5:5">
      <c r="E1519"/>
    </row>
    <row r="1520" spans="5:5">
      <c r="E1520"/>
    </row>
    <row r="1521" spans="5:5">
      <c r="E1521"/>
    </row>
    <row r="1522" spans="5:5">
      <c r="E1522"/>
    </row>
    <row r="1523" spans="5:5">
      <c r="E1523"/>
    </row>
    <row r="1524" spans="5:5">
      <c r="E1524"/>
    </row>
    <row r="1525" spans="5:5">
      <c r="E1525"/>
    </row>
    <row r="1526" spans="5:5">
      <c r="E1526"/>
    </row>
    <row r="1527" spans="5:5">
      <c r="E1527"/>
    </row>
    <row r="1528" spans="5:5">
      <c r="E1528"/>
    </row>
    <row r="1529" spans="5:5">
      <c r="E1529"/>
    </row>
    <row r="1530" spans="5:5">
      <c r="E1530"/>
    </row>
    <row r="1531" spans="5:5">
      <c r="E1531"/>
    </row>
    <row r="1532" spans="5:5">
      <c r="E1532"/>
    </row>
    <row r="1533" spans="5:5">
      <c r="E1533"/>
    </row>
    <row r="1534" spans="5:5">
      <c r="E1534"/>
    </row>
    <row r="1535" spans="5:5">
      <c r="E1535"/>
    </row>
    <row r="1536" spans="5:5">
      <c r="E1536"/>
    </row>
    <row r="1537" spans="5:5">
      <c r="E1537"/>
    </row>
    <row r="1538" spans="5:5">
      <c r="E1538"/>
    </row>
    <row r="1539" spans="5:5">
      <c r="E1539"/>
    </row>
    <row r="1540" spans="5:5">
      <c r="E1540"/>
    </row>
    <row r="1541" spans="5:5">
      <c r="E1541"/>
    </row>
    <row r="1542" spans="5:5">
      <c r="E1542"/>
    </row>
    <row r="1543" spans="5:5">
      <c r="E1543"/>
    </row>
    <row r="1544" spans="5:5">
      <c r="E1544"/>
    </row>
    <row r="1545" spans="5:5">
      <c r="E1545"/>
    </row>
    <row r="1546" spans="5:5">
      <c r="E1546"/>
    </row>
    <row r="1547" spans="5:5">
      <c r="E1547"/>
    </row>
    <row r="1548" spans="5:5">
      <c r="E1548"/>
    </row>
    <row r="1549" spans="5:5">
      <c r="E1549"/>
    </row>
    <row r="1550" spans="5:5">
      <c r="E1550"/>
    </row>
    <row r="1551" spans="5:5">
      <c r="E1551"/>
    </row>
    <row r="1552" spans="5:5">
      <c r="E1552"/>
    </row>
    <row r="1553" spans="5:5">
      <c r="E1553"/>
    </row>
    <row r="1554" spans="5:5">
      <c r="E1554"/>
    </row>
    <row r="1555" spans="5:5">
      <c r="E1555"/>
    </row>
    <row r="1556" spans="5:5">
      <c r="E1556"/>
    </row>
    <row r="1557" spans="5:5">
      <c r="E1557"/>
    </row>
    <row r="1558" spans="5:5">
      <c r="E1558"/>
    </row>
    <row r="1559" spans="5:5">
      <c r="E1559"/>
    </row>
    <row r="1560" spans="5:5">
      <c r="E1560"/>
    </row>
    <row r="1561" spans="5:5">
      <c r="E1561"/>
    </row>
    <row r="1562" spans="5:5">
      <c r="E1562"/>
    </row>
    <row r="1563" spans="5:5">
      <c r="E1563"/>
    </row>
    <row r="1564" spans="5:5">
      <c r="E1564"/>
    </row>
    <row r="1565" spans="5:5">
      <c r="E1565"/>
    </row>
    <row r="1566" spans="5:5">
      <c r="E1566"/>
    </row>
    <row r="1567" spans="5:5">
      <c r="E1567"/>
    </row>
    <row r="1568" spans="5:5">
      <c r="E1568"/>
    </row>
    <row r="1569" spans="5:5">
      <c r="E1569"/>
    </row>
    <row r="1570" spans="5:5">
      <c r="E1570"/>
    </row>
    <row r="1571" spans="5:5">
      <c r="E1571"/>
    </row>
    <row r="1572" spans="5:5">
      <c r="E1572"/>
    </row>
    <row r="1573" spans="5:5">
      <c r="E1573"/>
    </row>
    <row r="1574" spans="5:5">
      <c r="E1574"/>
    </row>
    <row r="1575" spans="5:5">
      <c r="E1575"/>
    </row>
    <row r="1576" spans="5:5">
      <c r="E1576"/>
    </row>
    <row r="1577" spans="5:5">
      <c r="E1577"/>
    </row>
    <row r="1578" spans="5:5">
      <c r="E1578"/>
    </row>
    <row r="1579" spans="5:5">
      <c r="E1579"/>
    </row>
    <row r="1580" spans="5:5">
      <c r="E1580"/>
    </row>
    <row r="1581" spans="5:5">
      <c r="E1581"/>
    </row>
    <row r="1582" spans="5:5">
      <c r="E1582"/>
    </row>
    <row r="1583" spans="5:5">
      <c r="E1583"/>
    </row>
    <row r="1584" spans="5:5">
      <c r="E1584"/>
    </row>
    <row r="1585" spans="5:5">
      <c r="E1585"/>
    </row>
    <row r="1586" spans="5:5">
      <c r="E1586"/>
    </row>
    <row r="1587" spans="5:5">
      <c r="E1587"/>
    </row>
    <row r="1588" spans="5:5">
      <c r="E1588"/>
    </row>
    <row r="1589" spans="5:5">
      <c r="E1589"/>
    </row>
    <row r="1590" spans="5:5">
      <c r="E1590"/>
    </row>
    <row r="1591" spans="5:5">
      <c r="E1591"/>
    </row>
    <row r="1592" spans="5:5">
      <c r="E1592"/>
    </row>
    <row r="1593" spans="5:5">
      <c r="E1593"/>
    </row>
    <row r="1594" spans="5:5">
      <c r="E1594"/>
    </row>
    <row r="1595" spans="5:5">
      <c r="E1595"/>
    </row>
    <row r="1596" spans="5:5">
      <c r="E1596"/>
    </row>
    <row r="1597" spans="5:5">
      <c r="E1597"/>
    </row>
    <row r="1598" spans="5:5">
      <c r="E1598"/>
    </row>
    <row r="1599" spans="5:5">
      <c r="E1599"/>
    </row>
    <row r="1600" spans="5:5">
      <c r="E1600"/>
    </row>
    <row r="1601" spans="5:5">
      <c r="E1601"/>
    </row>
    <row r="1602" spans="5:5">
      <c r="E1602"/>
    </row>
    <row r="1603" spans="5:5">
      <c r="E1603"/>
    </row>
    <row r="1604" spans="5:5">
      <c r="E1604"/>
    </row>
    <row r="1605" spans="5:5">
      <c r="E1605"/>
    </row>
    <row r="1606" spans="5:5">
      <c r="E1606"/>
    </row>
    <row r="1607" spans="5:5">
      <c r="E1607"/>
    </row>
    <row r="1608" spans="5:5">
      <c r="E1608"/>
    </row>
    <row r="1609" spans="5:5">
      <c r="E1609"/>
    </row>
    <row r="1610" spans="5:5">
      <c r="E1610"/>
    </row>
    <row r="1611" spans="5:5">
      <c r="E1611"/>
    </row>
    <row r="1612" spans="5:5">
      <c r="E1612"/>
    </row>
    <row r="1613" spans="5:5">
      <c r="E1613"/>
    </row>
    <row r="1614" spans="5:5">
      <c r="E1614"/>
    </row>
    <row r="1615" spans="5:5">
      <c r="E1615"/>
    </row>
    <row r="1616" spans="5:5">
      <c r="E1616"/>
    </row>
    <row r="1617" spans="5:5">
      <c r="E1617"/>
    </row>
    <row r="1618" spans="5:5">
      <c r="E1618"/>
    </row>
    <row r="1619" spans="5:5">
      <c r="E1619"/>
    </row>
    <row r="1620" spans="5:5">
      <c r="E1620"/>
    </row>
    <row r="1621" spans="5:5">
      <c r="E1621"/>
    </row>
    <row r="1622" spans="5:5">
      <c r="E1622"/>
    </row>
    <row r="1623" spans="5:5">
      <c r="E1623"/>
    </row>
    <row r="1624" spans="5:5">
      <c r="E1624"/>
    </row>
    <row r="1625" spans="5:5">
      <c r="E1625"/>
    </row>
    <row r="1626" spans="5:5">
      <c r="E1626"/>
    </row>
    <row r="1627" spans="5:5">
      <c r="E1627"/>
    </row>
    <row r="1628" spans="5:5">
      <c r="E1628"/>
    </row>
    <row r="1629" spans="5:5">
      <c r="E1629"/>
    </row>
    <row r="1630" spans="5:5">
      <c r="E1630"/>
    </row>
    <row r="1631" spans="5:5">
      <c r="E1631"/>
    </row>
    <row r="1632" spans="5:5">
      <c r="E1632"/>
    </row>
    <row r="1633" spans="5:5">
      <c r="E1633"/>
    </row>
    <row r="1634" spans="5:5">
      <c r="E1634"/>
    </row>
    <row r="1635" spans="5:5">
      <c r="E1635"/>
    </row>
    <row r="1636" spans="5:5">
      <c r="E1636"/>
    </row>
    <row r="1637" spans="5:5">
      <c r="E1637"/>
    </row>
    <row r="1638" spans="5:5">
      <c r="E1638"/>
    </row>
    <row r="1639" spans="5:5">
      <c r="E1639"/>
    </row>
    <row r="1640" spans="5:5">
      <c r="E1640"/>
    </row>
    <row r="1641" spans="5:5">
      <c r="E1641"/>
    </row>
    <row r="1642" spans="5:5">
      <c r="E1642"/>
    </row>
    <row r="1643" spans="5:5">
      <c r="E1643"/>
    </row>
    <row r="1644" spans="5:5">
      <c r="E1644"/>
    </row>
    <row r="1645" spans="5:5">
      <c r="E1645"/>
    </row>
    <row r="1646" spans="5:5">
      <c r="E1646"/>
    </row>
    <row r="1647" spans="5:5">
      <c r="E1647"/>
    </row>
    <row r="1648" spans="5:5">
      <c r="E1648"/>
    </row>
    <row r="1649" spans="5:5">
      <c r="E1649"/>
    </row>
    <row r="1650" spans="5:5">
      <c r="E1650"/>
    </row>
    <row r="1651" spans="5:5">
      <c r="E1651"/>
    </row>
    <row r="1652" spans="5:5">
      <c r="E1652"/>
    </row>
    <row r="1653" spans="5:5">
      <c r="E1653"/>
    </row>
    <row r="1654" spans="5:5">
      <c r="E1654"/>
    </row>
    <row r="1655" spans="5:5">
      <c r="E1655"/>
    </row>
    <row r="1656" spans="5:5">
      <c r="E1656"/>
    </row>
    <row r="1657" spans="5:5">
      <c r="E1657"/>
    </row>
    <row r="1658" spans="5:5">
      <c r="E1658"/>
    </row>
    <row r="1659" spans="5:5">
      <c r="E1659"/>
    </row>
    <row r="1660" spans="5:5">
      <c r="E1660"/>
    </row>
    <row r="1661" spans="5:5">
      <c r="E1661"/>
    </row>
    <row r="1662" spans="5:5">
      <c r="E1662"/>
    </row>
    <row r="1663" spans="5:5">
      <c r="E1663"/>
    </row>
    <row r="1664" spans="5:5">
      <c r="E1664"/>
    </row>
    <row r="1665" spans="5:5">
      <c r="E1665"/>
    </row>
    <row r="1666" spans="5:5">
      <c r="E1666"/>
    </row>
    <row r="1667" spans="5:5">
      <c r="E1667"/>
    </row>
    <row r="1668" spans="5:5">
      <c r="E1668"/>
    </row>
    <row r="1669" spans="5:5">
      <c r="E1669"/>
    </row>
    <row r="1670" spans="5:5">
      <c r="E1670"/>
    </row>
    <row r="1671" spans="5:5">
      <c r="E1671"/>
    </row>
    <row r="1672" spans="5:5">
      <c r="E1672"/>
    </row>
    <row r="1673" spans="5:5">
      <c r="E1673"/>
    </row>
    <row r="1674" spans="5:5">
      <c r="E1674"/>
    </row>
    <row r="1675" spans="5:5">
      <c r="E1675"/>
    </row>
    <row r="1676" spans="5:5">
      <c r="E1676"/>
    </row>
    <row r="1677" spans="5:5">
      <c r="E1677"/>
    </row>
    <row r="1678" spans="5:5">
      <c r="E1678"/>
    </row>
    <row r="1679" spans="5:5">
      <c r="E1679"/>
    </row>
    <row r="1680" spans="5:5">
      <c r="E1680"/>
    </row>
    <row r="1681" spans="5:5">
      <c r="E1681"/>
    </row>
    <row r="1682" spans="5:5">
      <c r="E1682"/>
    </row>
    <row r="1683" spans="5:5">
      <c r="E1683"/>
    </row>
    <row r="1684" spans="5:5">
      <c r="E1684"/>
    </row>
    <row r="1685" spans="5:5">
      <c r="E1685"/>
    </row>
    <row r="1686" spans="5:5">
      <c r="E1686"/>
    </row>
    <row r="1687" spans="5:5">
      <c r="E1687"/>
    </row>
    <row r="1688" spans="5:5">
      <c r="E1688"/>
    </row>
    <row r="1689" spans="5:5">
      <c r="E1689"/>
    </row>
    <row r="1690" spans="5:5">
      <c r="E1690"/>
    </row>
    <row r="1691" spans="5:5">
      <c r="E1691"/>
    </row>
    <row r="1692" spans="5:5">
      <c r="E1692"/>
    </row>
    <row r="1693" spans="5:5">
      <c r="E1693"/>
    </row>
    <row r="1694" spans="5:5">
      <c r="E1694"/>
    </row>
    <row r="1695" spans="5:5">
      <c r="E1695"/>
    </row>
    <row r="1696" spans="5:5">
      <c r="E1696"/>
    </row>
    <row r="1697" spans="5:5">
      <c r="E1697"/>
    </row>
    <row r="1698" spans="5:5">
      <c r="E1698"/>
    </row>
    <row r="1699" spans="5:5">
      <c r="E1699"/>
    </row>
    <row r="1700" spans="5:5">
      <c r="E1700"/>
    </row>
    <row r="1701" spans="5:5">
      <c r="E1701"/>
    </row>
    <row r="1702" spans="5:5">
      <c r="E1702"/>
    </row>
    <row r="1703" spans="5:5">
      <c r="E1703"/>
    </row>
    <row r="1704" spans="5:5">
      <c r="E1704"/>
    </row>
    <row r="1705" spans="5:5">
      <c r="E1705"/>
    </row>
    <row r="1706" spans="5:5">
      <c r="E1706"/>
    </row>
    <row r="1707" spans="5:5">
      <c r="E1707"/>
    </row>
    <row r="1708" spans="5:5">
      <c r="E1708"/>
    </row>
    <row r="1709" spans="5:5">
      <c r="E1709"/>
    </row>
    <row r="1710" spans="5:5">
      <c r="E1710"/>
    </row>
    <row r="1711" spans="5:5">
      <c r="E1711"/>
    </row>
    <row r="1712" spans="5:5">
      <c r="E1712"/>
    </row>
    <row r="1713" spans="5:5">
      <c r="E1713"/>
    </row>
    <row r="1714" spans="5:5">
      <c r="E1714"/>
    </row>
    <row r="1715" spans="5:5">
      <c r="E1715"/>
    </row>
    <row r="1716" spans="5:5">
      <c r="E1716"/>
    </row>
    <row r="1717" spans="5:5">
      <c r="E1717"/>
    </row>
    <row r="1718" spans="5:5">
      <c r="E1718"/>
    </row>
    <row r="1719" spans="5:5">
      <c r="E1719"/>
    </row>
    <row r="1720" spans="5:5">
      <c r="E1720"/>
    </row>
    <row r="1721" spans="5:5">
      <c r="E1721"/>
    </row>
    <row r="1722" spans="5:5">
      <c r="E1722"/>
    </row>
    <row r="1723" spans="5:5">
      <c r="E1723"/>
    </row>
    <row r="1724" spans="5:5">
      <c r="E1724"/>
    </row>
    <row r="1725" spans="5:5">
      <c r="E1725"/>
    </row>
    <row r="1726" spans="5:5">
      <c r="E1726"/>
    </row>
    <row r="1727" spans="5:5">
      <c r="E1727"/>
    </row>
    <row r="1728" spans="5:5">
      <c r="E1728"/>
    </row>
    <row r="1729" spans="5:5">
      <c r="E1729"/>
    </row>
    <row r="1730" spans="5:5">
      <c r="E1730"/>
    </row>
    <row r="1731" spans="5:5">
      <c r="E1731"/>
    </row>
    <row r="1732" spans="5:5">
      <c r="E1732"/>
    </row>
    <row r="1733" spans="5:5">
      <c r="E1733"/>
    </row>
    <row r="1734" spans="5:5">
      <c r="E1734"/>
    </row>
    <row r="1735" spans="5:5">
      <c r="E1735"/>
    </row>
    <row r="1736" spans="5:5">
      <c r="E1736"/>
    </row>
    <row r="1737" spans="5:5">
      <c r="E1737"/>
    </row>
    <row r="1738" spans="5:5">
      <c r="E1738"/>
    </row>
    <row r="1739" spans="5:5">
      <c r="E1739"/>
    </row>
    <row r="1740" spans="5:5">
      <c r="E1740"/>
    </row>
    <row r="1741" spans="5:5">
      <c r="E1741"/>
    </row>
    <row r="1742" spans="5:5">
      <c r="E1742"/>
    </row>
    <row r="1743" spans="5:5">
      <c r="E1743"/>
    </row>
    <row r="1744" spans="5:5">
      <c r="E1744"/>
    </row>
    <row r="1745" spans="5:5">
      <c r="E1745"/>
    </row>
    <row r="1746" spans="5:5">
      <c r="E1746"/>
    </row>
    <row r="1747" spans="5:5">
      <c r="E1747"/>
    </row>
    <row r="1748" spans="5:5">
      <c r="E1748"/>
    </row>
    <row r="1749" spans="5:5">
      <c r="E1749"/>
    </row>
    <row r="1750" spans="5:5">
      <c r="E1750"/>
    </row>
    <row r="1751" spans="5:5">
      <c r="E1751"/>
    </row>
    <row r="1752" spans="5:5">
      <c r="E1752"/>
    </row>
    <row r="1753" spans="5:5">
      <c r="E1753"/>
    </row>
    <row r="1754" spans="5:5">
      <c r="E1754"/>
    </row>
    <row r="1755" spans="5:5">
      <c r="E1755"/>
    </row>
    <row r="1756" spans="5:5">
      <c r="E1756"/>
    </row>
    <row r="1757" spans="5:5">
      <c r="E1757"/>
    </row>
    <row r="1758" spans="5:5">
      <c r="E1758"/>
    </row>
    <row r="1759" spans="5:5">
      <c r="E1759"/>
    </row>
    <row r="1760" spans="5:5">
      <c r="E1760"/>
    </row>
    <row r="1761" spans="5:5">
      <c r="E1761"/>
    </row>
    <row r="1762" spans="5:5">
      <c r="E1762"/>
    </row>
    <row r="1763" spans="5:5">
      <c r="E1763"/>
    </row>
    <row r="1764" spans="5:5">
      <c r="E1764"/>
    </row>
    <row r="1765" spans="5:5">
      <c r="E1765"/>
    </row>
    <row r="1766" spans="5:5">
      <c r="E1766"/>
    </row>
    <row r="1767" spans="5:5">
      <c r="E1767"/>
    </row>
    <row r="1768" spans="5:5">
      <c r="E1768"/>
    </row>
    <row r="1769" spans="5:5">
      <c r="E1769"/>
    </row>
    <row r="1770" spans="5:5">
      <c r="E1770"/>
    </row>
    <row r="1771" spans="5:5">
      <c r="E1771"/>
    </row>
    <row r="1772" spans="5:5">
      <c r="E1772"/>
    </row>
    <row r="1773" spans="5:5">
      <c r="E1773"/>
    </row>
    <row r="1774" spans="5:5">
      <c r="E1774"/>
    </row>
    <row r="1775" spans="5:5">
      <c r="E1775"/>
    </row>
    <row r="1776" spans="5:5">
      <c r="E1776"/>
    </row>
    <row r="1777" spans="5:5">
      <c r="E1777"/>
    </row>
    <row r="1778" spans="5:5">
      <c r="E1778"/>
    </row>
    <row r="1779" spans="5:5">
      <c r="E1779"/>
    </row>
    <row r="1780" spans="5:5">
      <c r="E1780"/>
    </row>
    <row r="1781" spans="5:5">
      <c r="E1781"/>
    </row>
    <row r="1782" spans="5:5">
      <c r="E1782"/>
    </row>
    <row r="1783" spans="5:5">
      <c r="E1783"/>
    </row>
    <row r="1784" spans="5:5">
      <c r="E1784"/>
    </row>
    <row r="1785" spans="5:5">
      <c r="E1785"/>
    </row>
    <row r="1786" spans="5:5">
      <c r="E1786"/>
    </row>
    <row r="1787" spans="5:5">
      <c r="E1787"/>
    </row>
    <row r="1788" spans="5:5">
      <c r="E1788"/>
    </row>
    <row r="1789" spans="5:5">
      <c r="E1789"/>
    </row>
    <row r="1790" spans="5:5">
      <c r="E1790"/>
    </row>
    <row r="1791" spans="5:5">
      <c r="E1791"/>
    </row>
    <row r="1792" spans="5:5">
      <c r="E1792"/>
    </row>
    <row r="1793" spans="5:5">
      <c r="E1793"/>
    </row>
    <row r="1794" spans="5:5">
      <c r="E1794"/>
    </row>
    <row r="1795" spans="5:5">
      <c r="E1795"/>
    </row>
    <row r="1796" spans="5:5">
      <c r="E1796"/>
    </row>
    <row r="1797" spans="5:5">
      <c r="E1797"/>
    </row>
    <row r="1798" spans="5:5">
      <c r="E1798"/>
    </row>
    <row r="1799" spans="5:5">
      <c r="E1799"/>
    </row>
    <row r="1800" spans="5:5">
      <c r="E1800"/>
    </row>
    <row r="1801" spans="5:5">
      <c r="E1801"/>
    </row>
    <row r="1802" spans="5:5">
      <c r="E1802"/>
    </row>
    <row r="1803" spans="5:5">
      <c r="E1803"/>
    </row>
    <row r="1804" spans="5:5">
      <c r="E1804"/>
    </row>
    <row r="1805" spans="5:5">
      <c r="E1805"/>
    </row>
    <row r="1806" spans="5:5">
      <c r="E1806"/>
    </row>
    <row r="1807" spans="5:5">
      <c r="E1807"/>
    </row>
    <row r="1808" spans="5:5">
      <c r="E1808"/>
    </row>
    <row r="1809" spans="5:5">
      <c r="E1809"/>
    </row>
    <row r="1810" spans="5:5">
      <c r="E1810"/>
    </row>
    <row r="1811" spans="5:5">
      <c r="E1811"/>
    </row>
    <row r="1812" spans="5:5">
      <c r="E1812"/>
    </row>
    <row r="1813" spans="5:5">
      <c r="E1813"/>
    </row>
    <row r="1814" spans="5:5">
      <c r="E1814"/>
    </row>
    <row r="1815" spans="5:5">
      <c r="E1815"/>
    </row>
    <row r="1816" spans="5:5">
      <c r="E1816"/>
    </row>
    <row r="1817" spans="5:5">
      <c r="E1817"/>
    </row>
    <row r="1818" spans="5:5">
      <c r="E1818"/>
    </row>
    <row r="1819" spans="5:5">
      <c r="E1819"/>
    </row>
    <row r="1820" spans="5:5">
      <c r="E1820"/>
    </row>
    <row r="1821" spans="5:5">
      <c r="E1821"/>
    </row>
    <row r="1822" spans="5:5">
      <c r="E1822"/>
    </row>
    <row r="1823" spans="5:5">
      <c r="E1823"/>
    </row>
    <row r="1824" spans="5:5">
      <c r="E1824"/>
    </row>
    <row r="1825" spans="5:5">
      <c r="E1825"/>
    </row>
    <row r="1826" spans="5:5">
      <c r="E1826"/>
    </row>
    <row r="1827" spans="5:5">
      <c r="E1827"/>
    </row>
    <row r="1828" spans="5:5">
      <c r="E1828"/>
    </row>
    <row r="1829" spans="5:5">
      <c r="E1829"/>
    </row>
    <row r="1830" spans="5:5">
      <c r="E1830"/>
    </row>
    <row r="1831" spans="5:5">
      <c r="E1831"/>
    </row>
    <row r="1832" spans="5:5">
      <c r="E1832"/>
    </row>
    <row r="1833" spans="5:5">
      <c r="E1833"/>
    </row>
    <row r="1834" spans="5:5">
      <c r="E1834"/>
    </row>
    <row r="1835" spans="5:5">
      <c r="E1835"/>
    </row>
    <row r="1836" spans="5:5">
      <c r="E1836"/>
    </row>
    <row r="1837" spans="5:5">
      <c r="E1837"/>
    </row>
    <row r="1838" spans="5:5">
      <c r="E1838"/>
    </row>
    <row r="1839" spans="5:5">
      <c r="E1839"/>
    </row>
    <row r="1840" spans="5:5">
      <c r="E1840"/>
    </row>
    <row r="1841" spans="5:5">
      <c r="E1841"/>
    </row>
    <row r="1842" spans="5:5">
      <c r="E1842"/>
    </row>
    <row r="1843" spans="5:5">
      <c r="E1843"/>
    </row>
    <row r="1844" spans="5:5">
      <c r="E1844"/>
    </row>
    <row r="1845" spans="5:5">
      <c r="E1845"/>
    </row>
    <row r="1846" spans="5:5">
      <c r="E1846"/>
    </row>
    <row r="1847" spans="5:5">
      <c r="E1847"/>
    </row>
    <row r="1848" spans="5:5">
      <c r="E1848"/>
    </row>
    <row r="1849" spans="5:5">
      <c r="E1849"/>
    </row>
    <row r="1850" spans="5:5">
      <c r="E1850"/>
    </row>
    <row r="1851" spans="5:5">
      <c r="E1851"/>
    </row>
    <row r="1852" spans="5:5">
      <c r="E1852"/>
    </row>
    <row r="1853" spans="5:5">
      <c r="E1853"/>
    </row>
    <row r="1854" spans="5:5">
      <c r="E1854"/>
    </row>
    <row r="1855" spans="5:5">
      <c r="E1855"/>
    </row>
    <row r="1856" spans="5:5">
      <c r="E1856"/>
    </row>
    <row r="1857" spans="5:5">
      <c r="E1857"/>
    </row>
    <row r="1858" spans="5:5">
      <c r="E1858"/>
    </row>
    <row r="1859" spans="5:5">
      <c r="E1859"/>
    </row>
    <row r="1860" spans="5:5">
      <c r="E1860"/>
    </row>
    <row r="1861" spans="5:5">
      <c r="E1861"/>
    </row>
    <row r="1862" spans="5:5">
      <c r="E1862"/>
    </row>
    <row r="1863" spans="5:5">
      <c r="E1863"/>
    </row>
    <row r="1864" spans="5:5">
      <c r="E1864"/>
    </row>
    <row r="1865" spans="5:5">
      <c r="E1865"/>
    </row>
    <row r="1866" spans="5:5">
      <c r="E1866"/>
    </row>
    <row r="1867" spans="5:5">
      <c r="E1867"/>
    </row>
    <row r="1868" spans="5:5">
      <c r="E1868"/>
    </row>
    <row r="1869" spans="5:5">
      <c r="E1869"/>
    </row>
    <row r="1870" spans="5:5">
      <c r="E1870"/>
    </row>
    <row r="1871" spans="5:5">
      <c r="E1871"/>
    </row>
    <row r="1872" spans="5:5">
      <c r="E1872"/>
    </row>
    <row r="1873" spans="5:5">
      <c r="E1873"/>
    </row>
    <row r="1874" spans="5:5">
      <c r="E1874"/>
    </row>
    <row r="1875" spans="5:5">
      <c r="E1875"/>
    </row>
    <row r="1876" spans="5:5">
      <c r="E1876"/>
    </row>
    <row r="1877" spans="5:5">
      <c r="E1877"/>
    </row>
    <row r="1878" spans="5:5">
      <c r="E1878"/>
    </row>
    <row r="1879" spans="5:5">
      <c r="E1879"/>
    </row>
    <row r="1880" spans="5:5">
      <c r="E1880"/>
    </row>
    <row r="1881" spans="5:5">
      <c r="E1881"/>
    </row>
    <row r="1882" spans="5:5">
      <c r="E1882"/>
    </row>
    <row r="1883" spans="5:5">
      <c r="E1883"/>
    </row>
    <row r="1884" spans="5:5">
      <c r="E1884"/>
    </row>
    <row r="1885" spans="5:5">
      <c r="E1885"/>
    </row>
    <row r="1886" spans="5:5">
      <c r="E1886"/>
    </row>
    <row r="1887" spans="5:5">
      <c r="E1887"/>
    </row>
    <row r="1888" spans="5:5">
      <c r="E1888"/>
    </row>
    <row r="1889" spans="5:5">
      <c r="E1889"/>
    </row>
    <row r="1890" spans="5:5">
      <c r="E1890"/>
    </row>
    <row r="1891" spans="5:5">
      <c r="E1891"/>
    </row>
    <row r="1892" spans="5:5">
      <c r="E1892"/>
    </row>
    <row r="1893" spans="5:5">
      <c r="E1893"/>
    </row>
    <row r="1894" spans="5:5">
      <c r="E1894"/>
    </row>
    <row r="1895" spans="5:5">
      <c r="E1895"/>
    </row>
    <row r="1896" spans="5:5">
      <c r="E1896"/>
    </row>
    <row r="1897" spans="5:5">
      <c r="E1897"/>
    </row>
    <row r="1898" spans="5:5">
      <c r="E1898"/>
    </row>
    <row r="1899" spans="5:5">
      <c r="E1899"/>
    </row>
    <row r="1900" spans="5:5">
      <c r="E1900"/>
    </row>
    <row r="1901" spans="5:5">
      <c r="E1901"/>
    </row>
    <row r="1902" spans="5:5">
      <c r="E1902"/>
    </row>
    <row r="1903" spans="5:5">
      <c r="E1903"/>
    </row>
    <row r="1904" spans="5:5">
      <c r="E1904"/>
    </row>
    <row r="1905" spans="5:5">
      <c r="E1905"/>
    </row>
    <row r="1906" spans="5:5">
      <c r="E1906"/>
    </row>
    <row r="1907" spans="5:5">
      <c r="E1907"/>
    </row>
    <row r="1908" spans="5:5">
      <c r="E1908"/>
    </row>
    <row r="1909" spans="5:5">
      <c r="E1909"/>
    </row>
    <row r="1910" spans="5:5">
      <c r="E1910"/>
    </row>
    <row r="1911" spans="5:5">
      <c r="E1911"/>
    </row>
    <row r="1912" spans="5:5">
      <c r="E1912"/>
    </row>
    <row r="1913" spans="5:5">
      <c r="E1913"/>
    </row>
    <row r="1914" spans="5:5">
      <c r="E1914"/>
    </row>
    <row r="1915" spans="5:5">
      <c r="E1915"/>
    </row>
    <row r="1916" spans="5:5">
      <c r="E1916"/>
    </row>
    <row r="1917" spans="5:5">
      <c r="E1917"/>
    </row>
    <row r="1918" spans="5:5">
      <c r="E1918"/>
    </row>
    <row r="1919" spans="5:5">
      <c r="E1919"/>
    </row>
    <row r="1920" spans="5:5">
      <c r="E1920"/>
    </row>
    <row r="1921" spans="5:5">
      <c r="E1921"/>
    </row>
    <row r="1922" spans="5:5">
      <c r="E1922"/>
    </row>
    <row r="1923" spans="5:5">
      <c r="E1923"/>
    </row>
    <row r="1924" spans="5:5">
      <c r="E1924"/>
    </row>
    <row r="1925" spans="5:5">
      <c r="E1925"/>
    </row>
    <row r="1926" spans="5:5">
      <c r="E1926"/>
    </row>
    <row r="1927" spans="5:5">
      <c r="E1927"/>
    </row>
    <row r="1928" spans="5:5">
      <c r="E1928"/>
    </row>
    <row r="1929" spans="5:5">
      <c r="E1929"/>
    </row>
    <row r="1930" spans="5:5">
      <c r="E1930"/>
    </row>
    <row r="1931" spans="5:5">
      <c r="E1931"/>
    </row>
    <row r="1932" spans="5:5">
      <c r="E1932"/>
    </row>
    <row r="1933" spans="5:5">
      <c r="E1933"/>
    </row>
    <row r="1934" spans="5:5">
      <c r="E1934"/>
    </row>
    <row r="1935" spans="5:5">
      <c r="E1935"/>
    </row>
    <row r="1936" spans="5:5">
      <c r="E1936"/>
    </row>
    <row r="1937" spans="5:5">
      <c r="E1937"/>
    </row>
    <row r="1938" spans="5:5">
      <c r="E1938"/>
    </row>
    <row r="1939" spans="5:5">
      <c r="E1939"/>
    </row>
    <row r="1940" spans="5:5">
      <c r="E1940"/>
    </row>
    <row r="1941" spans="5:5">
      <c r="E1941"/>
    </row>
    <row r="1942" spans="5:5">
      <c r="E1942"/>
    </row>
    <row r="1943" spans="5:5">
      <c r="E1943"/>
    </row>
    <row r="1944" spans="5:5">
      <c r="E1944"/>
    </row>
    <row r="1945" spans="5:5">
      <c r="E1945"/>
    </row>
    <row r="1946" spans="5:5">
      <c r="E1946"/>
    </row>
    <row r="1947" spans="5:5">
      <c r="E1947"/>
    </row>
    <row r="1948" spans="5:5">
      <c r="E1948"/>
    </row>
    <row r="1949" spans="5:5">
      <c r="E1949"/>
    </row>
    <row r="1950" spans="5:5">
      <c r="E1950"/>
    </row>
    <row r="1951" spans="5:5">
      <c r="E1951"/>
    </row>
    <row r="1952" spans="5:5">
      <c r="E1952"/>
    </row>
    <row r="1953" spans="5:5">
      <c r="E1953"/>
    </row>
    <row r="1954" spans="5:5">
      <c r="E1954"/>
    </row>
    <row r="1955" spans="5:5">
      <c r="E1955"/>
    </row>
    <row r="1956" spans="5:5">
      <c r="E1956"/>
    </row>
    <row r="1957" spans="5:5">
      <c r="E1957"/>
    </row>
    <row r="1958" spans="5:5">
      <c r="E1958"/>
    </row>
    <row r="1959" spans="5:5">
      <c r="E1959"/>
    </row>
    <row r="1960" spans="5:5">
      <c r="E1960"/>
    </row>
    <row r="1961" spans="5:5">
      <c r="E1961"/>
    </row>
    <row r="1962" spans="5:5">
      <c r="E1962"/>
    </row>
    <row r="1963" spans="5:5">
      <c r="E1963"/>
    </row>
    <row r="1964" spans="5:5">
      <c r="E1964"/>
    </row>
    <row r="1965" spans="5:5">
      <c r="E1965"/>
    </row>
    <row r="1966" spans="5:5">
      <c r="E1966"/>
    </row>
    <row r="1967" spans="5:5">
      <c r="E1967"/>
    </row>
    <row r="1968" spans="5:5">
      <c r="E1968"/>
    </row>
    <row r="1969" spans="5:5">
      <c r="E1969"/>
    </row>
    <row r="1970" spans="5:5">
      <c r="E1970"/>
    </row>
    <row r="1971" spans="5:5">
      <c r="E1971"/>
    </row>
    <row r="1972" spans="5:5">
      <c r="E1972"/>
    </row>
    <row r="1973" spans="5:5">
      <c r="E1973"/>
    </row>
    <row r="1974" spans="5:5">
      <c r="E1974"/>
    </row>
    <row r="1975" spans="5:5">
      <c r="E1975"/>
    </row>
    <row r="1976" spans="5:5">
      <c r="E1976"/>
    </row>
    <row r="1977" spans="5:5">
      <c r="E1977"/>
    </row>
    <row r="1978" spans="5:5">
      <c r="E1978"/>
    </row>
    <row r="1979" spans="5:5">
      <c r="E1979"/>
    </row>
    <row r="1980" spans="5:5">
      <c r="E1980"/>
    </row>
    <row r="1981" spans="5:5">
      <c r="E1981"/>
    </row>
    <row r="1982" spans="5:5">
      <c r="E1982"/>
    </row>
    <row r="1983" spans="5:5">
      <c r="E1983"/>
    </row>
    <row r="1984" spans="5:5">
      <c r="E1984"/>
    </row>
    <row r="1985" spans="5:5">
      <c r="E1985"/>
    </row>
    <row r="1986" spans="5:5">
      <c r="E1986"/>
    </row>
    <row r="1987" spans="5:5">
      <c r="E1987"/>
    </row>
    <row r="1988" spans="5:5">
      <c r="E1988"/>
    </row>
    <row r="1989" spans="5:5">
      <c r="E1989"/>
    </row>
    <row r="1990" spans="5:5">
      <c r="E1990"/>
    </row>
    <row r="1991" spans="5:5">
      <c r="E1991"/>
    </row>
    <row r="1992" spans="5:5">
      <c r="E1992"/>
    </row>
    <row r="1993" spans="5:5">
      <c r="E1993"/>
    </row>
    <row r="1994" spans="5:5">
      <c r="E1994"/>
    </row>
    <row r="1995" spans="5:5">
      <c r="E1995"/>
    </row>
    <row r="1996" spans="5:5">
      <c r="E1996"/>
    </row>
    <row r="1997" spans="5:5">
      <c r="E1997"/>
    </row>
    <row r="1998" spans="5:5">
      <c r="E1998"/>
    </row>
    <row r="1999" spans="5:5">
      <c r="E1999"/>
    </row>
    <row r="2000" spans="5:5">
      <c r="E2000"/>
    </row>
    <row r="2001" spans="5:5">
      <c r="E2001"/>
    </row>
    <row r="2002" spans="5:5">
      <c r="E2002"/>
    </row>
    <row r="2003" spans="5:5">
      <c r="E2003"/>
    </row>
    <row r="2004" spans="5:5">
      <c r="E2004"/>
    </row>
    <row r="2005" spans="5:5">
      <c r="E2005"/>
    </row>
    <row r="2006" spans="5:5">
      <c r="E2006"/>
    </row>
    <row r="2007" spans="5:5">
      <c r="E2007"/>
    </row>
    <row r="2008" spans="5:5">
      <c r="E2008"/>
    </row>
    <row r="2009" spans="5:5">
      <c r="E2009"/>
    </row>
    <row r="2010" spans="5:5">
      <c r="E2010"/>
    </row>
    <row r="2011" spans="5:5">
      <c r="E2011"/>
    </row>
    <row r="2012" spans="5:5">
      <c r="E2012"/>
    </row>
    <row r="2013" spans="5:5">
      <c r="E2013"/>
    </row>
    <row r="2014" spans="5:5">
      <c r="E2014"/>
    </row>
    <row r="2015" spans="5:5">
      <c r="E2015"/>
    </row>
    <row r="2016" spans="5:5">
      <c r="E2016"/>
    </row>
    <row r="2017" spans="5:5">
      <c r="E2017"/>
    </row>
    <row r="2018" spans="5:5">
      <c r="E2018"/>
    </row>
    <row r="2019" spans="5:5">
      <c r="E2019"/>
    </row>
    <row r="2020" spans="5:5">
      <c r="E2020"/>
    </row>
    <row r="2021" spans="5:5">
      <c r="E2021"/>
    </row>
    <row r="2022" spans="5:5">
      <c r="E2022"/>
    </row>
    <row r="2023" spans="5:5">
      <c r="E2023"/>
    </row>
    <row r="2024" spans="5:5">
      <c r="E2024"/>
    </row>
    <row r="2025" spans="5:5">
      <c r="E2025"/>
    </row>
    <row r="2026" spans="5:5">
      <c r="E2026"/>
    </row>
    <row r="2027" spans="5:5">
      <c r="E2027"/>
    </row>
    <row r="2028" spans="5:5">
      <c r="E2028"/>
    </row>
    <row r="2029" spans="5:5">
      <c r="E2029"/>
    </row>
    <row r="2030" spans="5:5">
      <c r="E2030"/>
    </row>
    <row r="2031" spans="5:5">
      <c r="E2031"/>
    </row>
    <row r="2032" spans="5:5">
      <c r="E2032"/>
    </row>
    <row r="2033" spans="5:5">
      <c r="E2033"/>
    </row>
    <row r="2034" spans="5:5">
      <c r="E2034"/>
    </row>
    <row r="2035" spans="5:5">
      <c r="E2035"/>
    </row>
    <row r="2036" spans="5:5">
      <c r="E2036"/>
    </row>
    <row r="2037" spans="5:5">
      <c r="E2037"/>
    </row>
    <row r="2038" spans="5:5">
      <c r="E2038"/>
    </row>
    <row r="2039" spans="5:5">
      <c r="E2039"/>
    </row>
    <row r="2040" spans="5:5">
      <c r="E2040"/>
    </row>
    <row r="2041" spans="5:5">
      <c r="E2041"/>
    </row>
    <row r="2042" spans="5:5">
      <c r="E2042"/>
    </row>
    <row r="2043" spans="5:5">
      <c r="E2043"/>
    </row>
    <row r="2044" spans="5:5">
      <c r="E2044"/>
    </row>
    <row r="2045" spans="5:5">
      <c r="E2045"/>
    </row>
    <row r="2046" spans="5:5">
      <c r="E2046"/>
    </row>
    <row r="2047" spans="5:5">
      <c r="E2047"/>
    </row>
    <row r="2048" spans="5:5">
      <c r="E2048"/>
    </row>
    <row r="2049" spans="5:5">
      <c r="E2049"/>
    </row>
    <row r="2050" spans="5:5">
      <c r="E2050"/>
    </row>
    <row r="2051" spans="5:5">
      <c r="E2051"/>
    </row>
    <row r="2052" spans="5:5">
      <c r="E2052"/>
    </row>
    <row r="2053" spans="5:5">
      <c r="E2053"/>
    </row>
    <row r="2054" spans="5:5">
      <c r="E2054"/>
    </row>
    <row r="2055" spans="5:5">
      <c r="E2055"/>
    </row>
    <row r="2056" spans="5:5">
      <c r="E2056"/>
    </row>
    <row r="2057" spans="5:5">
      <c r="E2057"/>
    </row>
    <row r="2058" spans="5:5">
      <c r="E2058"/>
    </row>
    <row r="2059" spans="5:5">
      <c r="E2059"/>
    </row>
    <row r="2060" spans="5:5">
      <c r="E2060"/>
    </row>
    <row r="2061" spans="5:5">
      <c r="E2061"/>
    </row>
    <row r="2062" spans="5:5">
      <c r="E2062"/>
    </row>
    <row r="2063" spans="5:5">
      <c r="E2063"/>
    </row>
    <row r="2064" spans="5:5">
      <c r="E2064"/>
    </row>
    <row r="2065" spans="5:5">
      <c r="E2065"/>
    </row>
    <row r="2066" spans="5:5">
      <c r="E2066"/>
    </row>
    <row r="2067" spans="5:5">
      <c r="E2067"/>
    </row>
    <row r="2068" spans="5:5">
      <c r="E2068"/>
    </row>
    <row r="2069" spans="5:5">
      <c r="E2069"/>
    </row>
    <row r="2070" spans="5:5">
      <c r="E2070"/>
    </row>
    <row r="2071" spans="5:5">
      <c r="E2071"/>
    </row>
    <row r="2072" spans="5:5">
      <c r="E2072"/>
    </row>
    <row r="2073" spans="5:5">
      <c r="E2073"/>
    </row>
    <row r="2074" spans="5:5">
      <c r="E2074"/>
    </row>
    <row r="2075" spans="5:5">
      <c r="E2075"/>
    </row>
    <row r="2076" spans="5:5">
      <c r="E2076"/>
    </row>
    <row r="2077" spans="5:5">
      <c r="E2077"/>
    </row>
    <row r="2078" spans="5:5">
      <c r="E2078"/>
    </row>
    <row r="2079" spans="5:5">
      <c r="E2079"/>
    </row>
    <row r="2080" spans="5:5">
      <c r="E2080"/>
    </row>
    <row r="2081" spans="5:5">
      <c r="E2081"/>
    </row>
    <row r="2082" spans="5:5">
      <c r="E2082"/>
    </row>
    <row r="2083" spans="5:5">
      <c r="E2083"/>
    </row>
    <row r="2084" spans="5:5">
      <c r="E2084"/>
    </row>
    <row r="2085" spans="5:5">
      <c r="E2085"/>
    </row>
    <row r="2086" spans="5:5">
      <c r="E2086"/>
    </row>
    <row r="2087" spans="5:5">
      <c r="E2087"/>
    </row>
    <row r="2088" spans="5:5">
      <c r="E2088"/>
    </row>
    <row r="2089" spans="5:5">
      <c r="E2089"/>
    </row>
    <row r="2090" spans="5:5">
      <c r="E2090"/>
    </row>
    <row r="2091" spans="5:5">
      <c r="E2091"/>
    </row>
    <row r="2092" spans="5:5">
      <c r="E2092"/>
    </row>
    <row r="2093" spans="5:5">
      <c r="E2093"/>
    </row>
    <row r="2094" spans="5:5">
      <c r="E2094"/>
    </row>
    <row r="2095" spans="5:5">
      <c r="E2095"/>
    </row>
    <row r="2096" spans="5:5">
      <c r="E2096"/>
    </row>
    <row r="2097" spans="5:5">
      <c r="E2097"/>
    </row>
    <row r="2098" spans="5:5">
      <c r="E2098"/>
    </row>
    <row r="2099" spans="5:5">
      <c r="E2099"/>
    </row>
    <row r="2100" spans="5:5">
      <c r="E2100"/>
    </row>
    <row r="2101" spans="5:5">
      <c r="E2101"/>
    </row>
    <row r="2102" spans="5:5">
      <c r="E2102"/>
    </row>
    <row r="2103" spans="5:5">
      <c r="E2103"/>
    </row>
    <row r="2104" spans="5:5">
      <c r="E2104"/>
    </row>
    <row r="2105" spans="5:5">
      <c r="E2105"/>
    </row>
    <row r="2106" spans="5:5">
      <c r="E2106"/>
    </row>
    <row r="2107" spans="5:5">
      <c r="E2107"/>
    </row>
    <row r="2108" spans="5:5">
      <c r="E2108"/>
    </row>
    <row r="2109" spans="5:5">
      <c r="E2109"/>
    </row>
    <row r="2110" spans="5:5">
      <c r="E2110"/>
    </row>
    <row r="2111" spans="5:5">
      <c r="E2111"/>
    </row>
    <row r="2112" spans="5:5">
      <c r="E2112"/>
    </row>
    <row r="2113" spans="5:5">
      <c r="E2113"/>
    </row>
    <row r="2114" spans="5:5">
      <c r="E2114"/>
    </row>
    <row r="2115" spans="5:5">
      <c r="E2115"/>
    </row>
    <row r="2116" spans="5:5">
      <c r="E2116"/>
    </row>
    <row r="2117" spans="5:5">
      <c r="E2117"/>
    </row>
    <row r="2118" spans="5:5">
      <c r="E2118"/>
    </row>
    <row r="2119" spans="5:5">
      <c r="E2119"/>
    </row>
    <row r="2120" spans="5:5">
      <c r="E2120"/>
    </row>
    <row r="2121" spans="5:5">
      <c r="E2121"/>
    </row>
    <row r="2122" spans="5:5">
      <c r="E2122"/>
    </row>
    <row r="2123" spans="5:5">
      <c r="E2123"/>
    </row>
    <row r="2124" spans="5:5">
      <c r="E2124"/>
    </row>
    <row r="2125" spans="5:5">
      <c r="E2125"/>
    </row>
    <row r="2126" spans="5:5">
      <c r="E2126"/>
    </row>
    <row r="2127" spans="5:5">
      <c r="E2127"/>
    </row>
    <row r="2128" spans="5:5">
      <c r="E2128"/>
    </row>
    <row r="2129" spans="5:5">
      <c r="E2129"/>
    </row>
    <row r="2130" spans="5:5">
      <c r="E2130"/>
    </row>
    <row r="2131" spans="5:5">
      <c r="E2131"/>
    </row>
    <row r="2132" spans="5:5">
      <c r="E2132"/>
    </row>
    <row r="2133" spans="5:5">
      <c r="E2133"/>
    </row>
    <row r="2134" spans="5:5">
      <c r="E2134"/>
    </row>
    <row r="2135" spans="5:5">
      <c r="E2135"/>
    </row>
    <row r="2136" spans="5:5">
      <c r="E2136"/>
    </row>
    <row r="2137" spans="5:5">
      <c r="E2137"/>
    </row>
    <row r="2138" spans="5:5">
      <c r="E2138"/>
    </row>
    <row r="2139" spans="5:5">
      <c r="E2139"/>
    </row>
    <row r="2140" spans="5:5">
      <c r="E2140"/>
    </row>
    <row r="2141" spans="5:5">
      <c r="E2141"/>
    </row>
    <row r="2142" spans="5:5">
      <c r="E2142"/>
    </row>
    <row r="2143" spans="5:5">
      <c r="E2143"/>
    </row>
    <row r="2144" spans="5:5">
      <c r="E2144"/>
    </row>
    <row r="2145" spans="5:5">
      <c r="E2145"/>
    </row>
    <row r="2146" spans="5:5">
      <c r="E2146"/>
    </row>
    <row r="2147" spans="5:5">
      <c r="E2147"/>
    </row>
    <row r="2148" spans="5:5">
      <c r="E2148"/>
    </row>
    <row r="2149" spans="5:5">
      <c r="E2149"/>
    </row>
    <row r="2150" spans="5:5">
      <c r="E2150"/>
    </row>
    <row r="2151" spans="5:5">
      <c r="E2151"/>
    </row>
    <row r="2152" spans="5:5">
      <c r="E2152"/>
    </row>
    <row r="2153" spans="5:5">
      <c r="E2153"/>
    </row>
    <row r="2154" spans="5:5">
      <c r="E2154"/>
    </row>
    <row r="2155" spans="5:5">
      <c r="E2155"/>
    </row>
    <row r="2156" spans="5:5">
      <c r="E2156"/>
    </row>
    <row r="2157" spans="5:5">
      <c r="E2157"/>
    </row>
    <row r="2158" spans="5:5">
      <c r="E2158"/>
    </row>
    <row r="2159" spans="5:5">
      <c r="E2159"/>
    </row>
    <row r="2160" spans="5:5">
      <c r="E2160"/>
    </row>
    <row r="2161" spans="5:5">
      <c r="E2161"/>
    </row>
    <row r="2162" spans="5:5">
      <c r="E2162"/>
    </row>
    <row r="2163" spans="5:5">
      <c r="E2163"/>
    </row>
    <row r="2164" spans="5:5">
      <c r="E2164"/>
    </row>
    <row r="2165" spans="5:5">
      <c r="E2165"/>
    </row>
    <row r="2166" spans="5:5">
      <c r="E2166"/>
    </row>
    <row r="2167" spans="5:5">
      <c r="E2167"/>
    </row>
    <row r="2168" spans="5:5">
      <c r="E2168"/>
    </row>
    <row r="2169" spans="5:5">
      <c r="E2169"/>
    </row>
    <row r="2170" spans="5:5">
      <c r="E2170"/>
    </row>
    <row r="2171" spans="5:5">
      <c r="E2171"/>
    </row>
    <row r="2172" spans="5:5">
      <c r="E2172"/>
    </row>
    <row r="2173" spans="5:5">
      <c r="E2173"/>
    </row>
    <row r="2174" spans="5:5">
      <c r="E2174"/>
    </row>
    <row r="2175" spans="5:5">
      <c r="E2175"/>
    </row>
    <row r="2176" spans="5:5">
      <c r="E2176"/>
    </row>
    <row r="2177" spans="5:5">
      <c r="E2177"/>
    </row>
    <row r="2178" spans="5:5">
      <c r="E2178"/>
    </row>
    <row r="2179" spans="5:5">
      <c r="E2179"/>
    </row>
    <row r="2180" spans="5:5">
      <c r="E2180"/>
    </row>
    <row r="2181" spans="5:5">
      <c r="E2181"/>
    </row>
    <row r="2182" spans="5:5">
      <c r="E2182"/>
    </row>
    <row r="2183" spans="5:5">
      <c r="E2183"/>
    </row>
    <row r="2184" spans="5:5">
      <c r="E2184"/>
    </row>
    <row r="2185" spans="5:5">
      <c r="E2185"/>
    </row>
    <row r="2186" spans="5:5">
      <c r="E2186"/>
    </row>
    <row r="2187" spans="5:5">
      <c r="E2187"/>
    </row>
    <row r="2188" spans="5:5">
      <c r="E2188"/>
    </row>
    <row r="2189" spans="5:5">
      <c r="E2189"/>
    </row>
    <row r="2190" spans="5:5">
      <c r="E2190"/>
    </row>
    <row r="2191" spans="5:5">
      <c r="E2191"/>
    </row>
    <row r="2192" spans="5:5">
      <c r="E2192"/>
    </row>
    <row r="2193" spans="5:5">
      <c r="E2193"/>
    </row>
    <row r="2194" spans="5:5">
      <c r="E2194"/>
    </row>
    <row r="2195" spans="5:5">
      <c r="E2195"/>
    </row>
    <row r="2196" spans="5:5">
      <c r="E2196"/>
    </row>
    <row r="2197" spans="5:5">
      <c r="E2197"/>
    </row>
    <row r="2198" spans="5:5">
      <c r="E2198"/>
    </row>
    <row r="2199" spans="5:5">
      <c r="E2199"/>
    </row>
    <row r="2200" spans="5:5">
      <c r="E2200"/>
    </row>
    <row r="2201" spans="5:5">
      <c r="E2201"/>
    </row>
    <row r="2202" spans="5:5">
      <c r="E2202"/>
    </row>
    <row r="2203" spans="5:5">
      <c r="E2203"/>
    </row>
    <row r="2204" spans="5:5">
      <c r="E2204"/>
    </row>
    <row r="2205" spans="5:5">
      <c r="E2205"/>
    </row>
    <row r="2206" spans="5:5">
      <c r="E2206"/>
    </row>
    <row r="2207" spans="5:5">
      <c r="E2207"/>
    </row>
    <row r="2208" spans="5:5">
      <c r="E2208"/>
    </row>
    <row r="2209" spans="5:5">
      <c r="E2209"/>
    </row>
    <row r="2210" spans="5:5">
      <c r="E2210"/>
    </row>
    <row r="2211" spans="5:5">
      <c r="E2211"/>
    </row>
    <row r="2212" spans="5:5">
      <c r="E2212"/>
    </row>
    <row r="2213" spans="5:5">
      <c r="E2213"/>
    </row>
    <row r="2214" spans="5:5">
      <c r="E2214"/>
    </row>
    <row r="2215" spans="5:5">
      <c r="E2215"/>
    </row>
    <row r="2216" spans="5:5">
      <c r="E2216"/>
    </row>
    <row r="2217" spans="5:5">
      <c r="E2217"/>
    </row>
    <row r="2218" spans="5:5">
      <c r="E2218"/>
    </row>
    <row r="2219" spans="5:5">
      <c r="E2219"/>
    </row>
    <row r="2220" spans="5:5">
      <c r="E2220"/>
    </row>
    <row r="2221" spans="5:5">
      <c r="E2221"/>
    </row>
    <row r="2222" spans="5:5">
      <c r="E2222"/>
    </row>
    <row r="2223" spans="5:5">
      <c r="E2223"/>
    </row>
    <row r="2224" spans="5:5">
      <c r="E2224"/>
    </row>
    <row r="2225" spans="5:5">
      <c r="E2225"/>
    </row>
    <row r="2226" spans="5:5">
      <c r="E2226"/>
    </row>
    <row r="2227" spans="5:5">
      <c r="E2227"/>
    </row>
    <row r="2228" spans="5:5">
      <c r="E2228"/>
    </row>
    <row r="2229" spans="5:5">
      <c r="E2229"/>
    </row>
    <row r="2230" spans="5:5">
      <c r="E2230"/>
    </row>
    <row r="2231" spans="5:5">
      <c r="E2231"/>
    </row>
    <row r="2232" spans="5:5">
      <c r="E2232"/>
    </row>
    <row r="2233" spans="5:5">
      <c r="E2233"/>
    </row>
    <row r="2234" spans="5:5">
      <c r="E2234"/>
    </row>
    <row r="2235" spans="5:5">
      <c r="E2235"/>
    </row>
    <row r="2236" spans="5:5">
      <c r="E2236"/>
    </row>
    <row r="2237" spans="5:5">
      <c r="E2237"/>
    </row>
    <row r="2238" spans="5:5">
      <c r="E2238"/>
    </row>
    <row r="2239" spans="5:5">
      <c r="E2239"/>
    </row>
    <row r="2240" spans="5:5">
      <c r="E2240"/>
    </row>
    <row r="2241" spans="5:5">
      <c r="E2241"/>
    </row>
    <row r="2242" spans="5:5">
      <c r="E2242"/>
    </row>
    <row r="2243" spans="5:5">
      <c r="E2243"/>
    </row>
    <row r="2244" spans="5:5">
      <c r="E2244"/>
    </row>
    <row r="2245" spans="5:5">
      <c r="E2245"/>
    </row>
    <row r="2246" spans="5:5">
      <c r="E2246"/>
    </row>
    <row r="2247" spans="5:5">
      <c r="E2247"/>
    </row>
    <row r="2248" spans="5:5">
      <c r="E2248"/>
    </row>
    <row r="2249" spans="5:5">
      <c r="E2249"/>
    </row>
    <row r="2250" spans="5:5">
      <c r="E2250"/>
    </row>
    <row r="2251" spans="5:5">
      <c r="E2251"/>
    </row>
    <row r="2252" spans="5:5">
      <c r="E2252"/>
    </row>
    <row r="2253" spans="5:5">
      <c r="E2253"/>
    </row>
    <row r="2254" spans="5:5">
      <c r="E2254"/>
    </row>
    <row r="2255" spans="5:5">
      <c r="E2255"/>
    </row>
    <row r="2256" spans="5:5">
      <c r="E2256"/>
    </row>
    <row r="2257" spans="5:5">
      <c r="E2257"/>
    </row>
    <row r="2258" spans="5:5">
      <c r="E2258"/>
    </row>
    <row r="2259" spans="5:5">
      <c r="E2259"/>
    </row>
    <row r="2260" spans="5:5">
      <c r="E2260"/>
    </row>
    <row r="2261" spans="5:5">
      <c r="E2261"/>
    </row>
    <row r="2262" spans="5:5">
      <c r="E2262"/>
    </row>
    <row r="2263" spans="5:5">
      <c r="E2263"/>
    </row>
    <row r="2264" spans="5:5">
      <c r="E2264"/>
    </row>
    <row r="2265" spans="5:5">
      <c r="E2265"/>
    </row>
    <row r="2266" spans="5:5">
      <c r="E2266"/>
    </row>
    <row r="2267" spans="5:5">
      <c r="E2267"/>
    </row>
    <row r="2268" spans="5:5">
      <c r="E2268"/>
    </row>
    <row r="2269" spans="5:5">
      <c r="E2269"/>
    </row>
    <row r="2270" spans="5:5">
      <c r="E2270"/>
    </row>
    <row r="2271" spans="5:5">
      <c r="E2271"/>
    </row>
    <row r="2272" spans="5:5">
      <c r="E2272"/>
    </row>
    <row r="2273" spans="5:5">
      <c r="E2273"/>
    </row>
    <row r="2274" spans="5:5">
      <c r="E2274"/>
    </row>
    <row r="2275" spans="5:5">
      <c r="E2275"/>
    </row>
    <row r="2276" spans="5:5">
      <c r="E2276"/>
    </row>
    <row r="2277" spans="5:5">
      <c r="E2277"/>
    </row>
    <row r="2278" spans="5:5">
      <c r="E2278"/>
    </row>
    <row r="2279" spans="5:5">
      <c r="E2279"/>
    </row>
    <row r="2280" spans="5:5">
      <c r="E2280"/>
    </row>
    <row r="2281" spans="5:5">
      <c r="E2281"/>
    </row>
    <row r="2282" spans="5:5">
      <c r="E2282"/>
    </row>
    <row r="2283" spans="5:5">
      <c r="E2283"/>
    </row>
    <row r="2284" spans="5:5">
      <c r="E2284"/>
    </row>
    <row r="2285" spans="5:5">
      <c r="E2285"/>
    </row>
    <row r="2286" spans="5:5">
      <c r="E2286"/>
    </row>
    <row r="2287" spans="5:5">
      <c r="E2287"/>
    </row>
    <row r="2288" spans="5:5">
      <c r="E2288"/>
    </row>
    <row r="2289" spans="5:5">
      <c r="E2289"/>
    </row>
    <row r="2290" spans="5:5">
      <c r="E2290"/>
    </row>
    <row r="2291" spans="5:5">
      <c r="E2291"/>
    </row>
    <row r="2292" spans="5:5">
      <c r="E2292"/>
    </row>
    <row r="2293" spans="5:5">
      <c r="E2293"/>
    </row>
    <row r="2294" spans="5:5">
      <c r="E2294"/>
    </row>
    <row r="2295" spans="5:5">
      <c r="E2295"/>
    </row>
    <row r="2296" spans="5:5">
      <c r="E2296"/>
    </row>
    <row r="2297" spans="5:5">
      <c r="E2297"/>
    </row>
    <row r="2298" spans="5:5">
      <c r="E2298"/>
    </row>
    <row r="2299" spans="5:5">
      <c r="E2299"/>
    </row>
    <row r="2300" spans="5:5">
      <c r="E2300"/>
    </row>
    <row r="2301" spans="5:5">
      <c r="E2301"/>
    </row>
    <row r="2302" spans="5:5">
      <c r="E2302"/>
    </row>
    <row r="2303" spans="5:5">
      <c r="E2303"/>
    </row>
    <row r="2304" spans="5:5">
      <c r="E2304"/>
    </row>
    <row r="2305" spans="5:5">
      <c r="E2305"/>
    </row>
    <row r="2306" spans="5:5">
      <c r="E2306"/>
    </row>
    <row r="2307" spans="5:5">
      <c r="E2307"/>
    </row>
    <row r="2308" spans="5:5">
      <c r="E2308"/>
    </row>
    <row r="2309" spans="5:5">
      <c r="E2309"/>
    </row>
    <row r="2310" spans="5:5">
      <c r="E2310"/>
    </row>
    <row r="2311" spans="5:5">
      <c r="E2311"/>
    </row>
    <row r="2312" spans="5:5">
      <c r="E2312"/>
    </row>
    <row r="2313" spans="5:5">
      <c r="E2313"/>
    </row>
    <row r="2314" spans="5:5">
      <c r="E2314"/>
    </row>
    <row r="2315" spans="5:5">
      <c r="E2315"/>
    </row>
    <row r="2316" spans="5:5">
      <c r="E2316"/>
    </row>
    <row r="2317" spans="5:5">
      <c r="E2317"/>
    </row>
    <row r="2318" spans="5:5">
      <c r="E2318"/>
    </row>
    <row r="2319" spans="5:5">
      <c r="E2319"/>
    </row>
    <row r="2320" spans="5:5">
      <c r="E2320"/>
    </row>
    <row r="2321" spans="5:5">
      <c r="E2321"/>
    </row>
    <row r="2322" spans="5:5">
      <c r="E2322"/>
    </row>
    <row r="2323" spans="5:5">
      <c r="E2323"/>
    </row>
    <row r="2324" spans="5:5">
      <c r="E2324"/>
    </row>
    <row r="2325" spans="5:5">
      <c r="E2325"/>
    </row>
    <row r="2326" spans="5:5">
      <c r="E2326"/>
    </row>
    <row r="2327" spans="5:5">
      <c r="E2327"/>
    </row>
    <row r="2328" spans="5:5">
      <c r="E2328"/>
    </row>
    <row r="2329" spans="5:5">
      <c r="E2329"/>
    </row>
    <row r="2330" spans="5:5">
      <c r="E2330"/>
    </row>
    <row r="2331" spans="5:5">
      <c r="E2331"/>
    </row>
    <row r="2332" spans="5:5">
      <c r="E2332"/>
    </row>
    <row r="2333" spans="5:5">
      <c r="E2333"/>
    </row>
    <row r="2334" spans="5:5">
      <c r="E2334"/>
    </row>
    <row r="2335" spans="5:5">
      <c r="E2335"/>
    </row>
    <row r="2336" spans="5:5">
      <c r="E2336"/>
    </row>
    <row r="2337" spans="5:5">
      <c r="E2337"/>
    </row>
    <row r="2338" spans="5:5">
      <c r="E2338"/>
    </row>
    <row r="2339" spans="5:5">
      <c r="E2339"/>
    </row>
    <row r="2340" spans="5:5">
      <c r="E2340"/>
    </row>
    <row r="2341" spans="5:5">
      <c r="E2341"/>
    </row>
    <row r="2342" spans="5:5">
      <c r="E2342"/>
    </row>
    <row r="2343" spans="5:5">
      <c r="E2343"/>
    </row>
    <row r="2344" spans="5:5">
      <c r="E2344"/>
    </row>
    <row r="2345" spans="5:5">
      <c r="E2345"/>
    </row>
    <row r="2346" spans="5:5">
      <c r="E2346"/>
    </row>
    <row r="2347" spans="5:5">
      <c r="E2347"/>
    </row>
    <row r="2348" spans="5:5">
      <c r="E2348"/>
    </row>
    <row r="2349" spans="5:5">
      <c r="E2349"/>
    </row>
    <row r="2350" spans="5:5">
      <c r="E2350"/>
    </row>
    <row r="2351" spans="5:5">
      <c r="E2351"/>
    </row>
    <row r="2352" spans="5:5">
      <c r="E2352"/>
    </row>
    <row r="2353" spans="5:5">
      <c r="E2353"/>
    </row>
    <row r="2354" spans="5:5">
      <c r="E2354"/>
    </row>
    <row r="2355" spans="5:5">
      <c r="E2355"/>
    </row>
    <row r="2356" spans="5:5">
      <c r="E2356"/>
    </row>
    <row r="2357" spans="5:5">
      <c r="E2357"/>
    </row>
    <row r="2358" spans="5:5">
      <c r="E2358"/>
    </row>
    <row r="2359" spans="5:5">
      <c r="E2359"/>
    </row>
    <row r="2360" spans="5:5">
      <c r="E2360"/>
    </row>
    <row r="2361" spans="5:5">
      <c r="E2361"/>
    </row>
    <row r="2362" spans="5:5">
      <c r="E2362"/>
    </row>
    <row r="2363" spans="5:5">
      <c r="E2363"/>
    </row>
    <row r="2364" spans="5:5">
      <c r="E2364"/>
    </row>
    <row r="2365" spans="5:5">
      <c r="E2365"/>
    </row>
    <row r="2366" spans="5:5">
      <c r="E2366"/>
    </row>
    <row r="2367" spans="5:5">
      <c r="E2367"/>
    </row>
    <row r="2368" spans="5:5">
      <c r="E2368"/>
    </row>
    <row r="2369" spans="5:5">
      <c r="E2369"/>
    </row>
    <row r="2370" spans="5:5">
      <c r="E2370"/>
    </row>
    <row r="2371" spans="5:5">
      <c r="E2371"/>
    </row>
    <row r="2372" spans="5:5">
      <c r="E2372"/>
    </row>
    <row r="2373" spans="5:5">
      <c r="E2373"/>
    </row>
    <row r="2374" spans="5:5">
      <c r="E2374"/>
    </row>
    <row r="2375" spans="5:5">
      <c r="E2375"/>
    </row>
    <row r="2376" spans="5:5">
      <c r="E2376"/>
    </row>
    <row r="2377" spans="5:5">
      <c r="E2377"/>
    </row>
    <row r="2378" spans="5:5">
      <c r="E2378"/>
    </row>
    <row r="2379" spans="5:5">
      <c r="E2379"/>
    </row>
    <row r="2380" spans="5:5">
      <c r="E2380"/>
    </row>
    <row r="2381" spans="5:5">
      <c r="E2381"/>
    </row>
    <row r="2382" spans="5:5">
      <c r="E2382"/>
    </row>
    <row r="2383" spans="5:5">
      <c r="E2383"/>
    </row>
    <row r="2384" spans="5:5">
      <c r="E2384"/>
    </row>
    <row r="2385" spans="5:5">
      <c r="E2385"/>
    </row>
    <row r="2386" spans="5:5">
      <c r="E2386"/>
    </row>
    <row r="2387" spans="5:5">
      <c r="E2387"/>
    </row>
    <row r="2388" spans="5:5">
      <c r="E2388"/>
    </row>
    <row r="2389" spans="5:5">
      <c r="E2389"/>
    </row>
    <row r="2390" spans="5:5">
      <c r="E2390"/>
    </row>
    <row r="2391" spans="5:5">
      <c r="E2391"/>
    </row>
    <row r="2392" spans="5:5">
      <c r="E2392"/>
    </row>
    <row r="2393" spans="5:5">
      <c r="E2393"/>
    </row>
    <row r="2394" spans="5:5">
      <c r="E2394"/>
    </row>
    <row r="2395" spans="5:5">
      <c r="E2395"/>
    </row>
    <row r="2396" spans="5:5">
      <c r="E2396"/>
    </row>
    <row r="2397" spans="5:5">
      <c r="E2397"/>
    </row>
    <row r="2398" spans="5:5">
      <c r="E2398"/>
    </row>
    <row r="2399" spans="5:5">
      <c r="E2399"/>
    </row>
    <row r="2400" spans="5:5">
      <c r="E2400"/>
    </row>
    <row r="2401" spans="5:5">
      <c r="E2401"/>
    </row>
    <row r="2402" spans="5:5">
      <c r="E2402"/>
    </row>
    <row r="2403" spans="5:5">
      <c r="E2403"/>
    </row>
    <row r="2404" spans="5:5">
      <c r="E2404"/>
    </row>
    <row r="2405" spans="5:5">
      <c r="E2405"/>
    </row>
    <row r="2406" spans="5:5">
      <c r="E2406"/>
    </row>
    <row r="2407" spans="5:5">
      <c r="E2407"/>
    </row>
    <row r="2408" spans="5:5">
      <c r="E2408"/>
    </row>
    <row r="2409" spans="5:5">
      <c r="E2409"/>
    </row>
    <row r="2410" spans="5:5">
      <c r="E2410"/>
    </row>
    <row r="2411" spans="5:5">
      <c r="E2411"/>
    </row>
    <row r="2412" spans="5:5">
      <c r="E2412"/>
    </row>
    <row r="2413" spans="5:5">
      <c r="E2413"/>
    </row>
    <row r="2414" spans="5:5">
      <c r="E2414"/>
    </row>
    <row r="2415" spans="5:5">
      <c r="E2415"/>
    </row>
    <row r="2416" spans="5:5">
      <c r="E2416"/>
    </row>
    <row r="2417" spans="5:5">
      <c r="E2417"/>
    </row>
    <row r="2418" spans="5:5">
      <c r="E2418"/>
    </row>
    <row r="2419" spans="5:5">
      <c r="E2419"/>
    </row>
    <row r="2420" spans="5:5">
      <c r="E2420"/>
    </row>
    <row r="2421" spans="5:5">
      <c r="E2421"/>
    </row>
    <row r="2422" spans="5:5">
      <c r="E2422"/>
    </row>
    <row r="2423" spans="5:5">
      <c r="E2423"/>
    </row>
    <row r="2424" spans="5:5">
      <c r="E2424"/>
    </row>
    <row r="2425" spans="5:5">
      <c r="E2425"/>
    </row>
    <row r="2426" spans="5:5">
      <c r="E2426"/>
    </row>
    <row r="2427" spans="5:5">
      <c r="E2427"/>
    </row>
    <row r="2428" spans="5:5">
      <c r="E2428"/>
    </row>
    <row r="2429" spans="5:5">
      <c r="E2429"/>
    </row>
    <row r="2430" spans="5:5">
      <c r="E2430"/>
    </row>
    <row r="2431" spans="5:5">
      <c r="E2431"/>
    </row>
    <row r="2432" spans="5:5">
      <c r="E2432"/>
    </row>
    <row r="2433" spans="5:5">
      <c r="E2433"/>
    </row>
    <row r="2434" spans="5:5">
      <c r="E2434"/>
    </row>
    <row r="2435" spans="5:5">
      <c r="E2435"/>
    </row>
    <row r="2436" spans="5:5">
      <c r="E2436"/>
    </row>
    <row r="2437" spans="5:5">
      <c r="E2437"/>
    </row>
    <row r="2438" spans="5:5">
      <c r="E2438"/>
    </row>
    <row r="2439" spans="5:5">
      <c r="E2439"/>
    </row>
    <row r="2440" spans="5:5">
      <c r="E2440"/>
    </row>
    <row r="2441" spans="5:5">
      <c r="E2441"/>
    </row>
    <row r="2442" spans="5:5">
      <c r="E2442"/>
    </row>
    <row r="2443" spans="5:5">
      <c r="E2443"/>
    </row>
    <row r="2444" spans="5:5">
      <c r="E2444"/>
    </row>
    <row r="2445" spans="5:5">
      <c r="E2445"/>
    </row>
    <row r="2446" spans="5:5">
      <c r="E2446"/>
    </row>
    <row r="2447" spans="5:5">
      <c r="E2447"/>
    </row>
    <row r="2448" spans="5:5">
      <c r="E2448"/>
    </row>
    <row r="2449" spans="5:5">
      <c r="E2449"/>
    </row>
    <row r="2450" spans="5:5">
      <c r="E2450"/>
    </row>
    <row r="2451" spans="5:5">
      <c r="E2451"/>
    </row>
    <row r="2452" spans="5:5">
      <c r="E2452"/>
    </row>
    <row r="2453" spans="5:5">
      <c r="E2453"/>
    </row>
    <row r="2454" spans="5:5">
      <c r="E2454"/>
    </row>
    <row r="2455" spans="5:5">
      <c r="E2455"/>
    </row>
    <row r="2456" spans="5:5">
      <c r="E2456"/>
    </row>
    <row r="2457" spans="5:5">
      <c r="E2457"/>
    </row>
    <row r="2458" spans="5:5">
      <c r="E2458"/>
    </row>
    <row r="2459" spans="5:5">
      <c r="E2459"/>
    </row>
    <row r="2460" spans="5:5">
      <c r="E2460"/>
    </row>
    <row r="2461" spans="5:5">
      <c r="E2461"/>
    </row>
    <row r="2462" spans="5:5">
      <c r="E2462"/>
    </row>
    <row r="2463" spans="5:5">
      <c r="E2463"/>
    </row>
    <row r="2464" spans="5:5">
      <c r="E2464"/>
    </row>
    <row r="2465" spans="5:5">
      <c r="E2465"/>
    </row>
    <row r="2466" spans="5:5">
      <c r="E2466"/>
    </row>
    <row r="2467" spans="5:5">
      <c r="E2467"/>
    </row>
    <row r="2468" spans="5:5">
      <c r="E2468"/>
    </row>
    <row r="2469" spans="5:5">
      <c r="E2469"/>
    </row>
    <row r="2470" spans="5:5">
      <c r="E2470"/>
    </row>
    <row r="2471" spans="5:5">
      <c r="E2471"/>
    </row>
    <row r="2472" spans="5:5">
      <c r="E2472"/>
    </row>
    <row r="2473" spans="5:5">
      <c r="E2473"/>
    </row>
    <row r="2474" spans="5:5">
      <c r="E2474"/>
    </row>
    <row r="2475" spans="5:5">
      <c r="E2475"/>
    </row>
    <row r="2476" spans="5:5">
      <c r="E2476"/>
    </row>
    <row r="2477" spans="5:5">
      <c r="E2477"/>
    </row>
    <row r="2478" spans="5:5">
      <c r="E2478"/>
    </row>
    <row r="2479" spans="5:5">
      <c r="E2479"/>
    </row>
    <row r="2480" spans="5:5">
      <c r="E2480"/>
    </row>
    <row r="2481" spans="5:5">
      <c r="E2481"/>
    </row>
    <row r="2482" spans="5:5">
      <c r="E2482"/>
    </row>
    <row r="2483" spans="5:5">
      <c r="E2483"/>
    </row>
    <row r="2484" spans="5:5">
      <c r="E2484"/>
    </row>
    <row r="2485" spans="5:5">
      <c r="E2485"/>
    </row>
    <row r="2486" spans="5:5">
      <c r="E2486"/>
    </row>
    <row r="2487" spans="5:5">
      <c r="E2487"/>
    </row>
    <row r="2488" spans="5:5">
      <c r="E2488"/>
    </row>
    <row r="2489" spans="5:5">
      <c r="E2489"/>
    </row>
    <row r="2490" spans="5:5">
      <c r="E2490"/>
    </row>
    <row r="2491" spans="5:5">
      <c r="E2491"/>
    </row>
    <row r="2492" spans="5:5">
      <c r="E2492"/>
    </row>
    <row r="2493" spans="5:5">
      <c r="E2493"/>
    </row>
    <row r="2494" spans="5:5">
      <c r="E2494"/>
    </row>
    <row r="2495" spans="5:5">
      <c r="E2495"/>
    </row>
    <row r="2496" spans="5:5">
      <c r="E2496"/>
    </row>
    <row r="2497" spans="5:5">
      <c r="E2497"/>
    </row>
    <row r="2498" spans="5:5">
      <c r="E2498"/>
    </row>
    <row r="2499" spans="5:5">
      <c r="E2499"/>
    </row>
    <row r="2500" spans="5:5">
      <c r="E2500"/>
    </row>
    <row r="2501" spans="5:5">
      <c r="E2501"/>
    </row>
    <row r="2502" spans="5:5">
      <c r="E2502"/>
    </row>
    <row r="2503" spans="5:5">
      <c r="E2503"/>
    </row>
    <row r="2504" spans="5:5">
      <c r="E2504"/>
    </row>
    <row r="2505" spans="5:5">
      <c r="E2505"/>
    </row>
    <row r="2506" spans="5:5">
      <c r="E2506"/>
    </row>
    <row r="2507" spans="5:5">
      <c r="E2507"/>
    </row>
    <row r="2508" spans="5:5">
      <c r="E2508"/>
    </row>
    <row r="2509" spans="5:5">
      <c r="E2509"/>
    </row>
    <row r="2510" spans="5:5">
      <c r="E2510"/>
    </row>
    <row r="2511" spans="5:5">
      <c r="E2511"/>
    </row>
    <row r="2512" spans="5:5">
      <c r="E2512"/>
    </row>
    <row r="2513" spans="5:5">
      <c r="E2513"/>
    </row>
    <row r="2514" spans="5:5">
      <c r="E2514"/>
    </row>
    <row r="2515" spans="5:5">
      <c r="E2515"/>
    </row>
    <row r="2516" spans="5:5">
      <c r="E2516"/>
    </row>
    <row r="2517" spans="5:5">
      <c r="E2517"/>
    </row>
    <row r="2518" spans="5:5">
      <c r="E2518"/>
    </row>
    <row r="2519" spans="5:5">
      <c r="E2519"/>
    </row>
    <row r="2520" spans="5:5">
      <c r="E2520"/>
    </row>
    <row r="2521" spans="5:5">
      <c r="E2521"/>
    </row>
    <row r="2522" spans="5:5">
      <c r="E2522"/>
    </row>
    <row r="2523" spans="5:5">
      <c r="E2523"/>
    </row>
    <row r="2524" spans="5:5">
      <c r="E2524"/>
    </row>
    <row r="2525" spans="5:5">
      <c r="E2525"/>
    </row>
    <row r="2526" spans="5:5">
      <c r="E2526"/>
    </row>
    <row r="2527" spans="5:5">
      <c r="E2527"/>
    </row>
    <row r="2528" spans="5:5">
      <c r="E2528"/>
    </row>
    <row r="2529" spans="5:5">
      <c r="E2529"/>
    </row>
    <row r="2530" spans="5:5">
      <c r="E2530"/>
    </row>
    <row r="2531" spans="5:5">
      <c r="E2531"/>
    </row>
    <row r="2532" spans="5:5">
      <c r="E2532"/>
    </row>
    <row r="2533" spans="5:5">
      <c r="E2533"/>
    </row>
    <row r="2534" spans="5:5">
      <c r="E2534"/>
    </row>
    <row r="2535" spans="5:5">
      <c r="E2535"/>
    </row>
    <row r="2536" spans="5:5">
      <c r="E2536"/>
    </row>
    <row r="2537" spans="5:5">
      <c r="E2537"/>
    </row>
    <row r="2538" spans="5:5">
      <c r="E2538"/>
    </row>
    <row r="2539" spans="5:5">
      <c r="E2539"/>
    </row>
    <row r="2540" spans="5:5">
      <c r="E2540"/>
    </row>
    <row r="2541" spans="5:5">
      <c r="E2541"/>
    </row>
    <row r="2542" spans="5:5">
      <c r="E2542"/>
    </row>
    <row r="2543" spans="5:5">
      <c r="E2543"/>
    </row>
    <row r="2544" spans="5:5">
      <c r="E2544"/>
    </row>
    <row r="2545" spans="5:5">
      <c r="E2545"/>
    </row>
    <row r="2546" spans="5:5">
      <c r="E2546"/>
    </row>
    <row r="2547" spans="5:5">
      <c r="E2547"/>
    </row>
    <row r="2548" spans="5:5">
      <c r="E2548"/>
    </row>
    <row r="2549" spans="5:5">
      <c r="E2549"/>
    </row>
    <row r="2550" spans="5:5">
      <c r="E2550"/>
    </row>
    <row r="2551" spans="5:5">
      <c r="E2551"/>
    </row>
    <row r="2552" spans="5:5">
      <c r="E2552"/>
    </row>
    <row r="2553" spans="5:5">
      <c r="E2553"/>
    </row>
    <row r="2554" spans="5:5">
      <c r="E2554"/>
    </row>
    <row r="2555" spans="5:5">
      <c r="E2555"/>
    </row>
    <row r="2556" spans="5:5">
      <c r="E2556"/>
    </row>
    <row r="2557" spans="5:5">
      <c r="E2557"/>
    </row>
    <row r="2558" spans="5:5">
      <c r="E2558"/>
    </row>
    <row r="2559" spans="5:5">
      <c r="E2559"/>
    </row>
    <row r="2560" spans="5:5">
      <c r="E2560"/>
    </row>
    <row r="2561" spans="5:5">
      <c r="E2561"/>
    </row>
    <row r="2562" spans="5:5">
      <c r="E2562"/>
    </row>
    <row r="2563" spans="5:5">
      <c r="E2563"/>
    </row>
    <row r="2564" spans="5:5">
      <c r="E2564"/>
    </row>
    <row r="2565" spans="5:5">
      <c r="E2565"/>
    </row>
    <row r="2566" spans="5:5">
      <c r="E2566"/>
    </row>
    <row r="2567" spans="5:5">
      <c r="E2567"/>
    </row>
    <row r="2568" spans="5:5">
      <c r="E2568"/>
    </row>
    <row r="2569" spans="5:5">
      <c r="E2569"/>
    </row>
    <row r="2570" spans="5:5">
      <c r="E2570"/>
    </row>
    <row r="2571" spans="5:5">
      <c r="E2571"/>
    </row>
    <row r="2572" spans="5:5">
      <c r="E2572"/>
    </row>
    <row r="2573" spans="5:5">
      <c r="E2573"/>
    </row>
    <row r="2574" spans="5:5">
      <c r="E2574"/>
    </row>
    <row r="2575" spans="5:5">
      <c r="E2575"/>
    </row>
    <row r="2576" spans="5:5">
      <c r="E2576"/>
    </row>
    <row r="2577" spans="5:5">
      <c r="E2577"/>
    </row>
    <row r="2578" spans="5:5">
      <c r="E2578"/>
    </row>
    <row r="2579" spans="5:5">
      <c r="E2579"/>
    </row>
    <row r="2580" spans="5:5">
      <c r="E2580"/>
    </row>
    <row r="2581" spans="5:5">
      <c r="E2581"/>
    </row>
    <row r="2582" spans="5:5">
      <c r="E2582"/>
    </row>
    <row r="2583" spans="5:5">
      <c r="E2583"/>
    </row>
    <row r="2584" spans="5:5">
      <c r="E2584"/>
    </row>
    <row r="2585" spans="5:5">
      <c r="E2585"/>
    </row>
    <row r="2586" spans="5:5">
      <c r="E2586"/>
    </row>
    <row r="2587" spans="5:5">
      <c r="E2587"/>
    </row>
    <row r="2588" spans="5:5">
      <c r="E2588"/>
    </row>
    <row r="2589" spans="5:5">
      <c r="E2589"/>
    </row>
    <row r="2590" spans="5:5">
      <c r="E2590"/>
    </row>
    <row r="2591" spans="5:5">
      <c r="E2591"/>
    </row>
    <row r="2592" spans="5:5">
      <c r="E2592"/>
    </row>
    <row r="2593" spans="5:5">
      <c r="E2593"/>
    </row>
    <row r="2594" spans="5:5">
      <c r="E2594"/>
    </row>
    <row r="2595" spans="5:5">
      <c r="E2595"/>
    </row>
    <row r="2596" spans="5:5">
      <c r="E2596"/>
    </row>
    <row r="2597" spans="5:5">
      <c r="E2597"/>
    </row>
    <row r="2598" spans="5:5">
      <c r="E2598"/>
    </row>
    <row r="2599" spans="5:5">
      <c r="E2599"/>
    </row>
    <row r="2600" spans="5:5">
      <c r="E2600"/>
    </row>
    <row r="2601" spans="5:5">
      <c r="E2601"/>
    </row>
    <row r="2602" spans="5:5">
      <c r="E2602"/>
    </row>
    <row r="2603" spans="5:5">
      <c r="E2603"/>
    </row>
    <row r="2604" spans="5:5">
      <c r="E2604"/>
    </row>
    <row r="2605" spans="5:5">
      <c r="E2605"/>
    </row>
    <row r="2606" spans="5:5">
      <c r="E2606"/>
    </row>
    <row r="2607" spans="5:5">
      <c r="E2607"/>
    </row>
    <row r="2608" spans="5:5">
      <c r="E2608"/>
    </row>
    <row r="2609" spans="5:5">
      <c r="E2609"/>
    </row>
    <row r="2610" spans="5:5">
      <c r="E2610"/>
    </row>
    <row r="2611" spans="5:5">
      <c r="E2611"/>
    </row>
    <row r="2612" spans="5:5">
      <c r="E2612"/>
    </row>
    <row r="2613" spans="5:5">
      <c r="E2613"/>
    </row>
    <row r="2614" spans="5:5">
      <c r="E2614"/>
    </row>
    <row r="2615" spans="5:5">
      <c r="E2615"/>
    </row>
    <row r="2616" spans="5:5">
      <c r="E2616"/>
    </row>
    <row r="2617" spans="5:5">
      <c r="E2617"/>
    </row>
    <row r="2618" spans="5:5">
      <c r="E2618"/>
    </row>
    <row r="2619" spans="5:5">
      <c r="E2619"/>
    </row>
    <row r="2620" spans="5:5">
      <c r="E2620"/>
    </row>
    <row r="2621" spans="5:5">
      <c r="E2621"/>
    </row>
    <row r="2622" spans="5:5">
      <c r="E2622"/>
    </row>
    <row r="2623" spans="5:5">
      <c r="E2623"/>
    </row>
    <row r="2624" spans="5:5">
      <c r="E2624"/>
    </row>
    <row r="2625" spans="5:5">
      <c r="E2625"/>
    </row>
    <row r="2626" spans="5:5">
      <c r="E2626"/>
    </row>
    <row r="2627" spans="5:5">
      <c r="E2627"/>
    </row>
    <row r="2628" spans="5:5">
      <c r="E2628"/>
    </row>
    <row r="2629" spans="5:5">
      <c r="E2629"/>
    </row>
    <row r="2630" spans="5:5">
      <c r="E2630"/>
    </row>
    <row r="2631" spans="5:5">
      <c r="E2631"/>
    </row>
    <row r="2632" spans="5:5">
      <c r="E2632"/>
    </row>
    <row r="2633" spans="5:5">
      <c r="E2633"/>
    </row>
    <row r="2634" spans="5:5">
      <c r="E2634"/>
    </row>
    <row r="2635" spans="5:5">
      <c r="E2635"/>
    </row>
    <row r="2636" spans="5:5">
      <c r="E2636"/>
    </row>
    <row r="2637" spans="5:5">
      <c r="E2637"/>
    </row>
    <row r="2638" spans="5:5">
      <c r="E2638"/>
    </row>
    <row r="2639" spans="5:5">
      <c r="E2639"/>
    </row>
    <row r="2640" spans="5:5">
      <c r="E2640"/>
    </row>
    <row r="2641" spans="5:5">
      <c r="E2641"/>
    </row>
    <row r="2642" spans="5:5">
      <c r="E2642"/>
    </row>
    <row r="2643" spans="5:5">
      <c r="E2643"/>
    </row>
    <row r="2644" spans="5:5">
      <c r="E2644"/>
    </row>
    <row r="2645" spans="5:5">
      <c r="E2645"/>
    </row>
    <row r="2646" spans="5:5">
      <c r="E2646"/>
    </row>
    <row r="2647" spans="5:5">
      <c r="E2647"/>
    </row>
    <row r="2648" spans="5:5">
      <c r="E2648"/>
    </row>
    <row r="2649" spans="5:5">
      <c r="E2649"/>
    </row>
    <row r="2650" spans="5:5">
      <c r="E2650"/>
    </row>
    <row r="2651" spans="5:5">
      <c r="E2651"/>
    </row>
    <row r="2652" spans="5:5">
      <c r="E2652"/>
    </row>
    <row r="2653" spans="5:5">
      <c r="E2653"/>
    </row>
    <row r="2654" spans="5:5">
      <c r="E2654"/>
    </row>
    <row r="2655" spans="5:5">
      <c r="E2655"/>
    </row>
    <row r="2656" spans="5:5">
      <c r="E2656"/>
    </row>
    <row r="2657" spans="5:5">
      <c r="E2657"/>
    </row>
    <row r="2658" spans="5:5">
      <c r="E2658"/>
    </row>
    <row r="2659" spans="5:5">
      <c r="E2659"/>
    </row>
    <row r="2660" spans="5:5">
      <c r="E2660"/>
    </row>
    <row r="2661" spans="5:5">
      <c r="E2661"/>
    </row>
    <row r="2662" spans="5:5">
      <c r="E2662"/>
    </row>
    <row r="2663" spans="5:5">
      <c r="E2663"/>
    </row>
    <row r="2664" spans="5:5">
      <c r="E2664"/>
    </row>
    <row r="2665" spans="5:5">
      <c r="E2665"/>
    </row>
    <row r="2666" spans="5:5">
      <c r="E2666"/>
    </row>
    <row r="2667" spans="5:5">
      <c r="E2667"/>
    </row>
    <row r="2668" spans="5:5">
      <c r="E2668"/>
    </row>
    <row r="2669" spans="5:5">
      <c r="E2669"/>
    </row>
    <row r="2670" spans="5:5">
      <c r="E2670"/>
    </row>
    <row r="2671" spans="5:5">
      <c r="E2671"/>
    </row>
    <row r="2672" spans="5:5">
      <c r="E2672"/>
    </row>
    <row r="2673" spans="5:5">
      <c r="E2673"/>
    </row>
    <row r="2674" spans="5:5">
      <c r="E2674"/>
    </row>
    <row r="2675" spans="5:5">
      <c r="E2675"/>
    </row>
    <row r="2676" spans="5:5">
      <c r="E2676"/>
    </row>
    <row r="2677" spans="5:5">
      <c r="E2677"/>
    </row>
    <row r="2678" spans="5:5">
      <c r="E2678"/>
    </row>
    <row r="2679" spans="5:5">
      <c r="E2679"/>
    </row>
    <row r="2680" spans="5:5">
      <c r="E2680"/>
    </row>
    <row r="2681" spans="5:5">
      <c r="E2681"/>
    </row>
    <row r="2682" spans="5:5">
      <c r="E2682"/>
    </row>
    <row r="2683" spans="5:5">
      <c r="E2683"/>
    </row>
    <row r="2684" spans="5:5">
      <c r="E2684"/>
    </row>
    <row r="2685" spans="5:5">
      <c r="E2685"/>
    </row>
    <row r="2686" spans="5:5">
      <c r="E2686"/>
    </row>
    <row r="2687" spans="5:5">
      <c r="E2687"/>
    </row>
    <row r="2688" spans="5:5">
      <c r="E2688"/>
    </row>
    <row r="2689" spans="5:5">
      <c r="E2689"/>
    </row>
    <row r="2690" spans="5:5">
      <c r="E2690"/>
    </row>
    <row r="2691" spans="5:5">
      <c r="E2691"/>
    </row>
    <row r="2692" spans="5:5">
      <c r="E2692"/>
    </row>
    <row r="2693" spans="5:5">
      <c r="E2693"/>
    </row>
    <row r="2694" spans="5:5">
      <c r="E2694"/>
    </row>
    <row r="2695" spans="5:5">
      <c r="E2695"/>
    </row>
    <row r="2696" spans="5:5">
      <c r="E2696"/>
    </row>
    <row r="2697" spans="5:5">
      <c r="E2697"/>
    </row>
    <row r="2698" spans="5:5">
      <c r="E2698"/>
    </row>
    <row r="2699" spans="5:5">
      <c r="E2699"/>
    </row>
    <row r="2700" spans="5:5">
      <c r="E2700"/>
    </row>
    <row r="2701" spans="5:5">
      <c r="E2701"/>
    </row>
    <row r="2702" spans="5:5">
      <c r="E2702"/>
    </row>
    <row r="2703" spans="5:5">
      <c r="E2703"/>
    </row>
    <row r="2704" spans="5:5">
      <c r="E2704"/>
    </row>
    <row r="2705" spans="5:5">
      <c r="E2705"/>
    </row>
    <row r="2706" spans="5:5">
      <c r="E2706"/>
    </row>
    <row r="2707" spans="5:5">
      <c r="E2707"/>
    </row>
    <row r="2708" spans="5:5">
      <c r="E2708"/>
    </row>
    <row r="2709" spans="5:5">
      <c r="E2709"/>
    </row>
    <row r="2710" spans="5:5">
      <c r="E2710"/>
    </row>
    <row r="2711" spans="5:5">
      <c r="E2711"/>
    </row>
    <row r="2712" spans="5:5">
      <c r="E2712"/>
    </row>
    <row r="2713" spans="5:5">
      <c r="E2713"/>
    </row>
    <row r="2714" spans="5:5">
      <c r="E2714"/>
    </row>
    <row r="2715" spans="5:5">
      <c r="E2715"/>
    </row>
    <row r="2716" spans="5:5">
      <c r="E2716"/>
    </row>
    <row r="2717" spans="5:5">
      <c r="E2717"/>
    </row>
    <row r="2718" spans="5:5">
      <c r="E2718"/>
    </row>
    <row r="2719" spans="5:5">
      <c r="E2719"/>
    </row>
    <row r="2720" spans="5:5">
      <c r="E2720"/>
    </row>
    <row r="2721" spans="5:5">
      <c r="E2721"/>
    </row>
    <row r="2722" spans="5:5">
      <c r="E2722"/>
    </row>
    <row r="2723" spans="5:5">
      <c r="E2723"/>
    </row>
    <row r="2724" spans="5:5">
      <c r="E2724"/>
    </row>
    <row r="2725" spans="5:5">
      <c r="E2725"/>
    </row>
    <row r="2726" spans="5:5">
      <c r="E2726"/>
    </row>
    <row r="2727" spans="5:5">
      <c r="E2727"/>
    </row>
    <row r="2728" spans="5:5">
      <c r="E2728"/>
    </row>
    <row r="2729" spans="5:5">
      <c r="E2729"/>
    </row>
    <row r="2730" spans="5:5">
      <c r="E2730"/>
    </row>
    <row r="2731" spans="5:5">
      <c r="E2731"/>
    </row>
    <row r="2732" spans="5:5">
      <c r="E2732"/>
    </row>
    <row r="2733" spans="5:5">
      <c r="E2733"/>
    </row>
    <row r="2734" spans="5:5">
      <c r="E2734"/>
    </row>
    <row r="2735" spans="5:5">
      <c r="E2735"/>
    </row>
    <row r="2736" spans="5:5">
      <c r="E2736"/>
    </row>
    <row r="2737" spans="5:5">
      <c r="E2737"/>
    </row>
    <row r="2738" spans="5:5">
      <c r="E2738"/>
    </row>
    <row r="2739" spans="5:5">
      <c r="E2739"/>
    </row>
    <row r="2740" spans="5:5">
      <c r="E2740"/>
    </row>
    <row r="2741" spans="5:5">
      <c r="E2741"/>
    </row>
    <row r="2742" spans="5:5">
      <c r="E2742"/>
    </row>
    <row r="2743" spans="5:5">
      <c r="E2743"/>
    </row>
    <row r="2744" spans="5:5">
      <c r="E2744"/>
    </row>
    <row r="2745" spans="5:5">
      <c r="E2745"/>
    </row>
    <row r="2746" spans="5:5">
      <c r="E2746"/>
    </row>
    <row r="2747" spans="5:5">
      <c r="E2747"/>
    </row>
    <row r="2748" spans="5:5">
      <c r="E2748"/>
    </row>
    <row r="2749" spans="5:5">
      <c r="E2749"/>
    </row>
    <row r="2750" spans="5:5">
      <c r="E2750"/>
    </row>
    <row r="2751" spans="5:5">
      <c r="E2751"/>
    </row>
    <row r="2752" spans="5:5">
      <c r="E2752"/>
    </row>
    <row r="2753" spans="5:5">
      <c r="E2753"/>
    </row>
    <row r="2754" spans="5:5">
      <c r="E2754"/>
    </row>
    <row r="2755" spans="5:5">
      <c r="E2755"/>
    </row>
    <row r="2756" spans="5:5">
      <c r="E2756"/>
    </row>
    <row r="2757" spans="5:5">
      <c r="E2757"/>
    </row>
    <row r="2758" spans="5:5">
      <c r="E2758"/>
    </row>
    <row r="2759" spans="5:5">
      <c r="E2759"/>
    </row>
    <row r="2760" spans="5:5">
      <c r="E2760"/>
    </row>
    <row r="2761" spans="5:5">
      <c r="E2761"/>
    </row>
    <row r="2762" spans="5:5">
      <c r="E2762"/>
    </row>
    <row r="2763" spans="5:5">
      <c r="E2763"/>
    </row>
    <row r="2764" spans="5:5">
      <c r="E2764"/>
    </row>
    <row r="2765" spans="5:5">
      <c r="E2765"/>
    </row>
    <row r="2766" spans="5:5">
      <c r="E2766"/>
    </row>
    <row r="2767" spans="5:5">
      <c r="E2767"/>
    </row>
    <row r="2768" spans="5:5">
      <c r="E2768"/>
    </row>
    <row r="2769" spans="5:5">
      <c r="E2769"/>
    </row>
    <row r="2770" spans="5:5">
      <c r="E2770"/>
    </row>
    <row r="2771" spans="5:5">
      <c r="E2771"/>
    </row>
    <row r="2772" spans="5:5">
      <c r="E2772"/>
    </row>
    <row r="2773" spans="5:5">
      <c r="E2773"/>
    </row>
    <row r="2774" spans="5:5">
      <c r="E2774"/>
    </row>
    <row r="2775" spans="5:5">
      <c r="E2775"/>
    </row>
    <row r="2776" spans="5:5">
      <c r="E2776"/>
    </row>
    <row r="2777" spans="5:5">
      <c r="E2777"/>
    </row>
    <row r="2778" spans="5:5">
      <c r="E2778"/>
    </row>
    <row r="2779" spans="5:5">
      <c r="E2779"/>
    </row>
    <row r="2780" spans="5:5">
      <c r="E2780"/>
    </row>
    <row r="2781" spans="5:5">
      <c r="E2781"/>
    </row>
    <row r="2782" spans="5:5">
      <c r="E2782"/>
    </row>
    <row r="2783" spans="5:5">
      <c r="E2783"/>
    </row>
    <row r="2784" spans="5:5">
      <c r="E2784"/>
    </row>
    <row r="2785" spans="5:5">
      <c r="E2785"/>
    </row>
    <row r="2786" spans="5:5">
      <c r="E2786"/>
    </row>
    <row r="2787" spans="5:5">
      <c r="E2787"/>
    </row>
    <row r="2788" spans="5:5">
      <c r="E2788"/>
    </row>
    <row r="2789" spans="5:5">
      <c r="E2789"/>
    </row>
    <row r="2790" spans="5:5">
      <c r="E2790"/>
    </row>
    <row r="2791" spans="5:5">
      <c r="E2791"/>
    </row>
    <row r="2792" spans="5:5">
      <c r="E2792"/>
    </row>
    <row r="2793" spans="5:5">
      <c r="E2793"/>
    </row>
    <row r="2794" spans="5:5">
      <c r="E2794"/>
    </row>
    <row r="2795" spans="5:5">
      <c r="E2795"/>
    </row>
    <row r="2796" spans="5:5">
      <c r="E2796"/>
    </row>
    <row r="2797" spans="5:5">
      <c r="E2797"/>
    </row>
    <row r="2798" spans="5:5">
      <c r="E2798"/>
    </row>
    <row r="2799" spans="5:5">
      <c r="E2799"/>
    </row>
    <row r="2800" spans="5:5">
      <c r="E2800"/>
    </row>
    <row r="2801" spans="5:5">
      <c r="E2801"/>
    </row>
    <row r="2802" spans="5:5">
      <c r="E2802"/>
    </row>
    <row r="2803" spans="5:5">
      <c r="E2803"/>
    </row>
    <row r="2804" spans="5:5">
      <c r="E2804"/>
    </row>
    <row r="2805" spans="5:5">
      <c r="E2805"/>
    </row>
    <row r="2806" spans="5:5">
      <c r="E2806"/>
    </row>
    <row r="2807" spans="5:5">
      <c r="E2807"/>
    </row>
    <row r="2808" spans="5:5">
      <c r="E2808"/>
    </row>
    <row r="2809" spans="5:5">
      <c r="E2809"/>
    </row>
    <row r="2810" spans="5:5">
      <c r="E2810"/>
    </row>
    <row r="2811" spans="5:5">
      <c r="E2811"/>
    </row>
    <row r="2812" spans="5:5">
      <c r="E2812"/>
    </row>
    <row r="2813" spans="5:5">
      <c r="E2813"/>
    </row>
    <row r="2814" spans="5:5">
      <c r="E2814"/>
    </row>
    <row r="2815" spans="5:5">
      <c r="E2815"/>
    </row>
    <row r="2816" spans="5:5">
      <c r="E2816"/>
    </row>
    <row r="2817" spans="5:5">
      <c r="E2817"/>
    </row>
    <row r="2818" spans="5:5">
      <c r="E2818"/>
    </row>
    <row r="2819" spans="5:5">
      <c r="E2819"/>
    </row>
    <row r="2820" spans="5:5">
      <c r="E2820"/>
    </row>
    <row r="2821" spans="5:5">
      <c r="E2821"/>
    </row>
    <row r="2822" spans="5:5">
      <c r="E2822"/>
    </row>
    <row r="2823" spans="5:5">
      <c r="E2823"/>
    </row>
    <row r="2824" spans="5:5">
      <c r="E2824"/>
    </row>
    <row r="2825" spans="5:5">
      <c r="E2825"/>
    </row>
    <row r="2826" spans="5:5">
      <c r="E2826"/>
    </row>
    <row r="2827" spans="5:5">
      <c r="E2827"/>
    </row>
    <row r="2828" spans="5:5">
      <c r="E2828"/>
    </row>
    <row r="2829" spans="5:5">
      <c r="E2829"/>
    </row>
    <row r="2830" spans="5:5">
      <c r="E2830"/>
    </row>
    <row r="2831" spans="5:5">
      <c r="E2831"/>
    </row>
    <row r="2832" spans="5:5">
      <c r="E2832"/>
    </row>
    <row r="2833" spans="5:5">
      <c r="E2833"/>
    </row>
    <row r="2834" spans="5:5">
      <c r="E2834"/>
    </row>
    <row r="2835" spans="5:5">
      <c r="E2835"/>
    </row>
    <row r="2836" spans="5:5">
      <c r="E2836"/>
    </row>
    <row r="2837" spans="5:5">
      <c r="E2837"/>
    </row>
    <row r="2838" spans="5:5">
      <c r="E2838"/>
    </row>
    <row r="2839" spans="5:5">
      <c r="E2839"/>
    </row>
    <row r="2840" spans="5:5">
      <c r="E2840"/>
    </row>
    <row r="2841" spans="5:5">
      <c r="E2841"/>
    </row>
    <row r="2842" spans="5:5">
      <c r="E2842"/>
    </row>
    <row r="2843" spans="5:5">
      <c r="E2843"/>
    </row>
    <row r="2844" spans="5:5">
      <c r="E2844"/>
    </row>
    <row r="2845" spans="5:5">
      <c r="E2845"/>
    </row>
    <row r="2846" spans="5:5">
      <c r="E2846"/>
    </row>
    <row r="2847" spans="5:5">
      <c r="E2847"/>
    </row>
    <row r="2848" spans="5:5">
      <c r="E2848"/>
    </row>
    <row r="2849" spans="5:5">
      <c r="E2849"/>
    </row>
    <row r="2850" spans="5:5">
      <c r="E2850"/>
    </row>
    <row r="2851" spans="5:5">
      <c r="E2851"/>
    </row>
    <row r="2852" spans="5:5">
      <c r="E2852"/>
    </row>
    <row r="2853" spans="5:5">
      <c r="E2853"/>
    </row>
    <row r="2854" spans="5:5">
      <c r="E2854"/>
    </row>
    <row r="2855" spans="5:5">
      <c r="E2855"/>
    </row>
    <row r="2856" spans="5:5">
      <c r="E2856"/>
    </row>
    <row r="2857" spans="5:5">
      <c r="E2857"/>
    </row>
    <row r="2858" spans="5:5">
      <c r="E2858"/>
    </row>
    <row r="2859" spans="5:5">
      <c r="E2859"/>
    </row>
    <row r="2860" spans="5:5">
      <c r="E2860"/>
    </row>
    <row r="2861" spans="5:5">
      <c r="E2861"/>
    </row>
    <row r="2862" spans="5:5">
      <c r="E2862"/>
    </row>
    <row r="2863" spans="5:5">
      <c r="E2863"/>
    </row>
    <row r="2864" spans="5:5">
      <c r="E2864"/>
    </row>
    <row r="2865" spans="5:5">
      <c r="E2865"/>
    </row>
    <row r="2866" spans="5:5">
      <c r="E2866"/>
    </row>
    <row r="2867" spans="5:5">
      <c r="E2867"/>
    </row>
    <row r="2868" spans="5:5">
      <c r="E2868"/>
    </row>
    <row r="2869" spans="5:5">
      <c r="E2869"/>
    </row>
    <row r="2870" spans="5:5">
      <c r="E2870"/>
    </row>
    <row r="2871" spans="5:5">
      <c r="E2871"/>
    </row>
    <row r="2872" spans="5:5">
      <c r="E2872"/>
    </row>
    <row r="2873" spans="5:5">
      <c r="E2873"/>
    </row>
    <row r="2874" spans="5:5">
      <c r="E2874"/>
    </row>
    <row r="2875" spans="5:5">
      <c r="E2875"/>
    </row>
    <row r="2876" spans="5:5">
      <c r="E2876"/>
    </row>
    <row r="2877" spans="5:5">
      <c r="E2877"/>
    </row>
    <row r="2878" spans="5:5">
      <c r="E2878"/>
    </row>
    <row r="2879" spans="5:5">
      <c r="E2879"/>
    </row>
    <row r="2880" spans="5:5">
      <c r="E2880"/>
    </row>
    <row r="2881" spans="5:5">
      <c r="E2881"/>
    </row>
    <row r="2882" spans="5:5">
      <c r="E2882"/>
    </row>
    <row r="2883" spans="5:5">
      <c r="E2883"/>
    </row>
    <row r="2884" spans="5:5">
      <c r="E2884"/>
    </row>
    <row r="2885" spans="5:5">
      <c r="E2885"/>
    </row>
    <row r="2886" spans="5:5">
      <c r="E2886"/>
    </row>
    <row r="2887" spans="5:5">
      <c r="E2887"/>
    </row>
    <row r="2888" spans="5:5">
      <c r="E2888"/>
    </row>
    <row r="2889" spans="5:5">
      <c r="E2889"/>
    </row>
    <row r="2890" spans="5:5">
      <c r="E2890"/>
    </row>
    <row r="2891" spans="5:5">
      <c r="E2891"/>
    </row>
    <row r="2892" spans="5:5">
      <c r="E2892"/>
    </row>
    <row r="2893" spans="5:5">
      <c r="E2893"/>
    </row>
    <row r="2894" spans="5:5">
      <c r="E2894"/>
    </row>
    <row r="2895" spans="5:5">
      <c r="E2895"/>
    </row>
    <row r="2896" spans="5:5">
      <c r="E2896"/>
    </row>
    <row r="2897" spans="5:5">
      <c r="E2897"/>
    </row>
    <row r="2898" spans="5:5">
      <c r="E2898"/>
    </row>
    <row r="2899" spans="5:5">
      <c r="E2899"/>
    </row>
    <row r="2900" spans="5:5">
      <c r="E2900"/>
    </row>
    <row r="2901" spans="5:5">
      <c r="E2901"/>
    </row>
    <row r="2902" spans="5:5">
      <c r="E2902"/>
    </row>
    <row r="2903" spans="5:5">
      <c r="E2903"/>
    </row>
    <row r="2904" spans="5:5">
      <c r="E2904"/>
    </row>
    <row r="2905" spans="5:5">
      <c r="E2905"/>
    </row>
    <row r="2906" spans="5:5">
      <c r="E2906"/>
    </row>
    <row r="2907" spans="5:5">
      <c r="E2907"/>
    </row>
    <row r="2908" spans="5:5">
      <c r="E2908"/>
    </row>
    <row r="2909" spans="5:5">
      <c r="E2909"/>
    </row>
    <row r="2910" spans="5:5">
      <c r="E2910"/>
    </row>
    <row r="2911" spans="5:5">
      <c r="E2911"/>
    </row>
    <row r="2912" spans="5:5">
      <c r="E2912"/>
    </row>
    <row r="2913" spans="5:5">
      <c r="E2913"/>
    </row>
    <row r="2914" spans="5:5">
      <c r="E2914"/>
    </row>
    <row r="2915" spans="5:5">
      <c r="E2915"/>
    </row>
    <row r="2916" spans="5:5">
      <c r="E2916"/>
    </row>
    <row r="2917" spans="5:5">
      <c r="E2917"/>
    </row>
    <row r="2918" spans="5:5">
      <c r="E2918"/>
    </row>
    <row r="2919" spans="5:5">
      <c r="E2919"/>
    </row>
    <row r="2920" spans="5:5">
      <c r="E2920"/>
    </row>
    <row r="2921" spans="5:5">
      <c r="E2921"/>
    </row>
    <row r="2922" spans="5:5">
      <c r="E2922"/>
    </row>
    <row r="2923" spans="5:5">
      <c r="E2923"/>
    </row>
    <row r="2924" spans="5:5">
      <c r="E2924"/>
    </row>
    <row r="2925" spans="5:5">
      <c r="E2925"/>
    </row>
    <row r="2926" spans="5:5">
      <c r="E2926"/>
    </row>
    <row r="2927" spans="5:5">
      <c r="E2927"/>
    </row>
    <row r="2928" spans="5:5">
      <c r="E2928"/>
    </row>
    <row r="2929" spans="5:5">
      <c r="E2929"/>
    </row>
    <row r="2930" spans="5:5">
      <c r="E2930"/>
    </row>
    <row r="2931" spans="5:5">
      <c r="E2931"/>
    </row>
    <row r="2932" spans="5:5">
      <c r="E2932"/>
    </row>
    <row r="2933" spans="5:5">
      <c r="E2933"/>
    </row>
    <row r="2934" spans="5:5">
      <c r="E2934"/>
    </row>
    <row r="2935" spans="5:5">
      <c r="E2935"/>
    </row>
    <row r="2936" spans="5:5">
      <c r="E2936"/>
    </row>
    <row r="2937" spans="5:5">
      <c r="E2937"/>
    </row>
    <row r="2938" spans="5:5">
      <c r="E2938"/>
    </row>
    <row r="2939" spans="5:5">
      <c r="E2939"/>
    </row>
    <row r="2940" spans="5:5">
      <c r="E2940"/>
    </row>
    <row r="2941" spans="5:5">
      <c r="E2941"/>
    </row>
    <row r="2942" spans="5:5">
      <c r="E2942"/>
    </row>
    <row r="2943" spans="5:5">
      <c r="E2943"/>
    </row>
    <row r="2944" spans="5:5">
      <c r="E2944"/>
    </row>
    <row r="2945" spans="5:5">
      <c r="E2945"/>
    </row>
    <row r="2946" spans="5:5">
      <c r="E2946"/>
    </row>
    <row r="2947" spans="5:5">
      <c r="E2947"/>
    </row>
    <row r="2948" spans="5:5">
      <c r="E2948"/>
    </row>
    <row r="2949" spans="5:5">
      <c r="E2949"/>
    </row>
    <row r="2950" spans="5:5">
      <c r="E2950"/>
    </row>
    <row r="2951" spans="5:5">
      <c r="E2951"/>
    </row>
    <row r="2952" spans="5:5">
      <c r="E2952"/>
    </row>
    <row r="2953" spans="5:5">
      <c r="E2953"/>
    </row>
    <row r="2954" spans="5:5">
      <c r="E2954"/>
    </row>
    <row r="2955" spans="5:5">
      <c r="E2955"/>
    </row>
    <row r="2956" spans="5:5">
      <c r="E2956"/>
    </row>
    <row r="2957" spans="5:5">
      <c r="E2957"/>
    </row>
    <row r="2958" spans="5:5">
      <c r="E2958"/>
    </row>
    <row r="2959" spans="5:5">
      <c r="E2959"/>
    </row>
    <row r="2960" spans="5:5">
      <c r="E2960"/>
    </row>
    <row r="2961" spans="5:5">
      <c r="E2961"/>
    </row>
    <row r="2962" spans="5:5">
      <c r="E2962"/>
    </row>
    <row r="2963" spans="5:5">
      <c r="E2963"/>
    </row>
    <row r="2964" spans="5:5">
      <c r="E2964"/>
    </row>
    <row r="2965" spans="5:5">
      <c r="E2965"/>
    </row>
    <row r="2966" spans="5:5">
      <c r="E2966"/>
    </row>
    <row r="2967" spans="5:5">
      <c r="E2967"/>
    </row>
    <row r="2968" spans="5:5">
      <c r="E2968"/>
    </row>
    <row r="2969" spans="5:5">
      <c r="E2969"/>
    </row>
    <row r="2970" spans="5:5">
      <c r="E2970"/>
    </row>
    <row r="2971" spans="5:5">
      <c r="E2971"/>
    </row>
    <row r="2972" spans="5:5">
      <c r="E2972"/>
    </row>
    <row r="2973" spans="5:5">
      <c r="E2973"/>
    </row>
    <row r="2974" spans="5:5">
      <c r="E2974"/>
    </row>
    <row r="2975" spans="5:5">
      <c r="E2975"/>
    </row>
    <row r="2976" spans="5:5">
      <c r="E2976"/>
    </row>
    <row r="2977" spans="5:5">
      <c r="E2977"/>
    </row>
    <row r="2978" spans="5:5">
      <c r="E2978"/>
    </row>
    <row r="2979" spans="5:5">
      <c r="E2979"/>
    </row>
    <row r="2980" spans="5:5">
      <c r="E2980"/>
    </row>
    <row r="2981" spans="5:5">
      <c r="E2981"/>
    </row>
    <row r="2982" spans="5:5">
      <c r="E2982"/>
    </row>
    <row r="2983" spans="5:5">
      <c r="E2983"/>
    </row>
    <row r="2984" spans="5:5">
      <c r="E2984"/>
    </row>
    <row r="2985" spans="5:5">
      <c r="E2985"/>
    </row>
    <row r="2986" spans="5:5">
      <c r="E2986"/>
    </row>
    <row r="2987" spans="5:5">
      <c r="E2987"/>
    </row>
    <row r="2988" spans="5:5">
      <c r="E2988"/>
    </row>
    <row r="2989" spans="5:5">
      <c r="E2989"/>
    </row>
    <row r="2990" spans="5:5">
      <c r="E2990"/>
    </row>
    <row r="2991" spans="5:5">
      <c r="E2991"/>
    </row>
    <row r="2992" spans="5:5">
      <c r="E2992"/>
    </row>
    <row r="2993" spans="5:5">
      <c r="E2993"/>
    </row>
    <row r="2994" spans="5:5">
      <c r="E2994"/>
    </row>
    <row r="2995" spans="5:5">
      <c r="E2995"/>
    </row>
    <row r="2996" spans="5:5">
      <c r="E2996"/>
    </row>
    <row r="2997" spans="5:5">
      <c r="E2997"/>
    </row>
    <row r="2998" spans="5:5">
      <c r="E2998"/>
    </row>
    <row r="2999" spans="5:5">
      <c r="E2999"/>
    </row>
    <row r="3000" spans="5:5">
      <c r="E3000"/>
    </row>
    <row r="3001" spans="5:5">
      <c r="E3001"/>
    </row>
    <row r="3002" spans="5:5">
      <c r="E3002"/>
    </row>
    <row r="3003" spans="5:5">
      <c r="E3003"/>
    </row>
    <row r="3004" spans="5:5">
      <c r="E3004"/>
    </row>
    <row r="3005" spans="5:5">
      <c r="E3005"/>
    </row>
    <row r="3006" spans="5:5">
      <c r="E3006"/>
    </row>
    <row r="3007" spans="5:5">
      <c r="E3007"/>
    </row>
    <row r="3008" spans="5:5">
      <c r="E3008"/>
    </row>
    <row r="3009" spans="5:5">
      <c r="E3009"/>
    </row>
    <row r="3010" spans="5:5">
      <c r="E3010"/>
    </row>
    <row r="3011" spans="5:5">
      <c r="E3011"/>
    </row>
    <row r="3012" spans="5:5">
      <c r="E3012"/>
    </row>
    <row r="3013" spans="5:5">
      <c r="E3013"/>
    </row>
    <row r="3014" spans="5:5">
      <c r="E3014"/>
    </row>
    <row r="3015" spans="5:5">
      <c r="E3015"/>
    </row>
    <row r="3016" spans="5:5">
      <c r="E3016"/>
    </row>
    <row r="3017" spans="5:5">
      <c r="E3017"/>
    </row>
    <row r="3018" spans="5:5">
      <c r="E3018"/>
    </row>
    <row r="3019" spans="5:5">
      <c r="E3019"/>
    </row>
    <row r="3020" spans="5:5">
      <c r="E3020"/>
    </row>
    <row r="3021" spans="5:5">
      <c r="E3021"/>
    </row>
    <row r="3022" spans="5:5">
      <c r="E3022"/>
    </row>
    <row r="3023" spans="5:5">
      <c r="E3023"/>
    </row>
    <row r="3024" spans="5:5">
      <c r="E3024"/>
    </row>
    <row r="3025" spans="5:5">
      <c r="E3025"/>
    </row>
    <row r="3026" spans="5:5">
      <c r="E3026"/>
    </row>
    <row r="3027" spans="5:5">
      <c r="E3027"/>
    </row>
    <row r="3028" spans="5:5">
      <c r="E3028"/>
    </row>
    <row r="3029" spans="5:5">
      <c r="E3029"/>
    </row>
    <row r="3030" spans="5:5">
      <c r="E3030"/>
    </row>
    <row r="3031" spans="5:5">
      <c r="E3031"/>
    </row>
    <row r="3032" spans="5:5">
      <c r="E3032"/>
    </row>
    <row r="3033" spans="5:5">
      <c r="E3033"/>
    </row>
    <row r="3034" spans="5:5">
      <c r="E3034"/>
    </row>
    <row r="3035" spans="5:5">
      <c r="E3035"/>
    </row>
    <row r="3036" spans="5:5">
      <c r="E3036"/>
    </row>
    <row r="3037" spans="5:5">
      <c r="E3037"/>
    </row>
    <row r="3038" spans="5:5">
      <c r="E3038"/>
    </row>
    <row r="3039" spans="5:5">
      <c r="E3039"/>
    </row>
    <row r="3040" spans="5:5">
      <c r="E3040"/>
    </row>
    <row r="3041" spans="5:5">
      <c r="E3041"/>
    </row>
    <row r="3042" spans="5:5">
      <c r="E3042"/>
    </row>
    <row r="3043" spans="5:5">
      <c r="E3043"/>
    </row>
    <row r="3044" spans="5:5">
      <c r="E3044"/>
    </row>
    <row r="3045" spans="5:5">
      <c r="E3045"/>
    </row>
    <row r="3046" spans="5:5">
      <c r="E3046"/>
    </row>
    <row r="3047" spans="5:5">
      <c r="E3047"/>
    </row>
    <row r="3048" spans="5:5">
      <c r="E3048"/>
    </row>
    <row r="3049" spans="5:5">
      <c r="E3049"/>
    </row>
    <row r="3050" spans="5:5">
      <c r="E3050"/>
    </row>
    <row r="3051" spans="5:5">
      <c r="E3051"/>
    </row>
    <row r="3052" spans="5:5">
      <c r="E3052"/>
    </row>
    <row r="3053" spans="5:5">
      <c r="E3053"/>
    </row>
    <row r="3054" spans="5:5">
      <c r="E3054"/>
    </row>
    <row r="3055" spans="5:5">
      <c r="E3055"/>
    </row>
    <row r="3056" spans="5:5">
      <c r="E3056"/>
    </row>
    <row r="3057" spans="5:5">
      <c r="E3057"/>
    </row>
    <row r="3058" spans="5:5">
      <c r="E3058"/>
    </row>
    <row r="3059" spans="5:5">
      <c r="E3059"/>
    </row>
    <row r="3060" spans="5:5">
      <c r="E3060"/>
    </row>
    <row r="3061" spans="5:5">
      <c r="E3061"/>
    </row>
    <row r="3062" spans="5:5">
      <c r="E3062"/>
    </row>
    <row r="3063" spans="5:5">
      <c r="E3063"/>
    </row>
    <row r="3064" spans="5:5">
      <c r="E3064"/>
    </row>
    <row r="3065" spans="5:5">
      <c r="E3065"/>
    </row>
    <row r="3066" spans="5:5">
      <c r="E3066"/>
    </row>
    <row r="3067" spans="5:5">
      <c r="E3067"/>
    </row>
    <row r="3068" spans="5:5">
      <c r="E3068"/>
    </row>
    <row r="3069" spans="5:5">
      <c r="E3069"/>
    </row>
    <row r="3070" spans="5:5">
      <c r="E3070"/>
    </row>
    <row r="3071" spans="5:5">
      <c r="E3071"/>
    </row>
    <row r="3072" spans="5:5">
      <c r="E3072"/>
    </row>
    <row r="3073" spans="5:5">
      <c r="E3073"/>
    </row>
    <row r="3074" spans="5:5">
      <c r="E3074"/>
    </row>
    <row r="3075" spans="5:5">
      <c r="E3075"/>
    </row>
    <row r="3076" spans="5:5">
      <c r="E3076"/>
    </row>
    <row r="3077" spans="5:5">
      <c r="E3077"/>
    </row>
    <row r="3078" spans="5:5">
      <c r="E3078"/>
    </row>
    <row r="3079" spans="5:5">
      <c r="E3079"/>
    </row>
    <row r="3080" spans="5:5">
      <c r="E3080"/>
    </row>
    <row r="3081" spans="5:5">
      <c r="E3081"/>
    </row>
    <row r="3082" spans="5:5">
      <c r="E3082"/>
    </row>
    <row r="3083" spans="5:5">
      <c r="E3083"/>
    </row>
    <row r="3084" spans="5:5">
      <c r="E3084"/>
    </row>
    <row r="3085" spans="5:5">
      <c r="E3085"/>
    </row>
    <row r="3086" spans="5:5">
      <c r="E3086"/>
    </row>
    <row r="3087" spans="5:5">
      <c r="E3087"/>
    </row>
    <row r="3088" spans="5:5">
      <c r="E3088"/>
    </row>
    <row r="3089" spans="5:5">
      <c r="E3089"/>
    </row>
    <row r="3090" spans="5:5">
      <c r="E3090"/>
    </row>
    <row r="3091" spans="5:5">
      <c r="E3091"/>
    </row>
    <row r="3092" spans="5:5">
      <c r="E3092"/>
    </row>
    <row r="3093" spans="5:5">
      <c r="E3093"/>
    </row>
    <row r="3094" spans="5:5">
      <c r="E3094"/>
    </row>
    <row r="3095" spans="5:5">
      <c r="E3095"/>
    </row>
    <row r="3096" spans="5:5">
      <c r="E3096"/>
    </row>
    <row r="3097" spans="5:5">
      <c r="E3097"/>
    </row>
    <row r="3098" spans="5:5">
      <c r="E3098"/>
    </row>
    <row r="3099" spans="5:5">
      <c r="E3099"/>
    </row>
    <row r="3100" spans="5:5">
      <c r="E3100"/>
    </row>
    <row r="3101" spans="5:5">
      <c r="E3101"/>
    </row>
    <row r="3102" spans="5:5">
      <c r="E3102"/>
    </row>
    <row r="3103" spans="5:5">
      <c r="E3103"/>
    </row>
    <row r="3104" spans="5:5">
      <c r="E3104"/>
    </row>
    <row r="3105" spans="5:5">
      <c r="E3105"/>
    </row>
    <row r="3106" spans="5:5">
      <c r="E3106"/>
    </row>
    <row r="3107" spans="5:5">
      <c r="E3107"/>
    </row>
    <row r="3108" spans="5:5">
      <c r="E3108"/>
    </row>
    <row r="3109" spans="5:5">
      <c r="E3109"/>
    </row>
    <row r="3110" spans="5:5">
      <c r="E3110"/>
    </row>
    <row r="3111" spans="5:5">
      <c r="E3111"/>
    </row>
    <row r="3112" spans="5:5">
      <c r="E3112"/>
    </row>
    <row r="3113" spans="5:5">
      <c r="E3113"/>
    </row>
    <row r="3114" spans="5:5">
      <c r="E3114"/>
    </row>
    <row r="3115" spans="5:5">
      <c r="E3115"/>
    </row>
    <row r="3116" spans="5:5">
      <c r="E3116"/>
    </row>
    <row r="3117" spans="5:5">
      <c r="E3117"/>
    </row>
    <row r="3118" spans="5:5">
      <c r="E3118"/>
    </row>
    <row r="3119" spans="5:5">
      <c r="E3119"/>
    </row>
    <row r="3120" spans="5:5">
      <c r="E3120"/>
    </row>
    <row r="3121" spans="5:5">
      <c r="E3121"/>
    </row>
    <row r="3122" spans="5:5">
      <c r="E3122"/>
    </row>
    <row r="3123" spans="5:5">
      <c r="E3123"/>
    </row>
    <row r="3124" spans="5:5">
      <c r="E3124"/>
    </row>
    <row r="3125" spans="5:5">
      <c r="E3125"/>
    </row>
    <row r="3126" spans="5:5">
      <c r="E3126"/>
    </row>
    <row r="3127" spans="5:5">
      <c r="E3127"/>
    </row>
    <row r="3128" spans="5:5">
      <c r="E3128"/>
    </row>
    <row r="3129" spans="5:5">
      <c r="E3129"/>
    </row>
    <row r="3130" spans="5:5">
      <c r="E3130"/>
    </row>
    <row r="3131" spans="5:5">
      <c r="E3131"/>
    </row>
    <row r="3132" spans="5:5">
      <c r="E3132"/>
    </row>
    <row r="3133" spans="5:5">
      <c r="E3133"/>
    </row>
    <row r="3134" spans="5:5">
      <c r="E3134"/>
    </row>
    <row r="3135" spans="5:5">
      <c r="E3135"/>
    </row>
    <row r="3136" spans="5:5">
      <c r="E3136"/>
    </row>
    <row r="3137" spans="5:5">
      <c r="E3137"/>
    </row>
    <row r="3138" spans="5:5">
      <c r="E3138"/>
    </row>
    <row r="3139" spans="5:5">
      <c r="E3139"/>
    </row>
    <row r="3140" spans="5:5">
      <c r="E3140"/>
    </row>
    <row r="3141" spans="5:5">
      <c r="E3141"/>
    </row>
    <row r="3142" spans="5:5">
      <c r="E3142"/>
    </row>
    <row r="3143" spans="5:5">
      <c r="E3143"/>
    </row>
    <row r="3144" spans="5:5">
      <c r="E3144"/>
    </row>
    <row r="3145" spans="5:5">
      <c r="E3145"/>
    </row>
    <row r="3146" spans="5:5">
      <c r="E3146"/>
    </row>
    <row r="3147" spans="5:5">
      <c r="E3147"/>
    </row>
    <row r="3148" spans="5:5">
      <c r="E3148"/>
    </row>
    <row r="3149" spans="5:5">
      <c r="E3149"/>
    </row>
    <row r="3150" spans="5:5">
      <c r="E3150"/>
    </row>
    <row r="3151" spans="5:5">
      <c r="E3151"/>
    </row>
    <row r="3152" spans="5:5">
      <c r="E3152"/>
    </row>
    <row r="3153" spans="5:5">
      <c r="E3153"/>
    </row>
    <row r="3154" spans="5:5">
      <c r="E3154"/>
    </row>
    <row r="3155" spans="5:5">
      <c r="E3155"/>
    </row>
    <row r="3156" spans="5:5">
      <c r="E3156"/>
    </row>
    <row r="3157" spans="5:5">
      <c r="E3157"/>
    </row>
    <row r="3158" spans="5:5">
      <c r="E3158"/>
    </row>
    <row r="3159" spans="5:5">
      <c r="E3159"/>
    </row>
    <row r="3160" spans="5:5">
      <c r="E3160"/>
    </row>
    <row r="3161" spans="5:5">
      <c r="E3161"/>
    </row>
    <row r="3162" spans="5:5">
      <c r="E3162"/>
    </row>
    <row r="3163" spans="5:5">
      <c r="E3163"/>
    </row>
    <row r="3164" spans="5:5">
      <c r="E3164"/>
    </row>
    <row r="3165" spans="5:5">
      <c r="E3165"/>
    </row>
    <row r="3166" spans="5:5">
      <c r="E3166"/>
    </row>
    <row r="3167" spans="5:5">
      <c r="E3167"/>
    </row>
    <row r="3168" spans="5:5">
      <c r="E3168"/>
    </row>
    <row r="3169" spans="5:5">
      <c r="E3169"/>
    </row>
    <row r="3170" spans="5:5">
      <c r="E3170"/>
    </row>
    <row r="3171" spans="5:5">
      <c r="E3171"/>
    </row>
    <row r="3172" spans="5:5">
      <c r="E3172"/>
    </row>
    <row r="3173" spans="5:5">
      <c r="E3173"/>
    </row>
    <row r="3174" spans="5:5">
      <c r="E3174"/>
    </row>
    <row r="3175" spans="5:5">
      <c r="E3175"/>
    </row>
    <row r="3176" spans="5:5">
      <c r="E3176"/>
    </row>
    <row r="3177" spans="5:5">
      <c r="E3177"/>
    </row>
    <row r="3178" spans="5:5">
      <c r="E3178"/>
    </row>
    <row r="3179" spans="5:5">
      <c r="E3179"/>
    </row>
    <row r="3180" spans="5:5">
      <c r="E3180"/>
    </row>
    <row r="3181" spans="5:5">
      <c r="E3181"/>
    </row>
    <row r="3182" spans="5:5">
      <c r="E3182"/>
    </row>
    <row r="3183" spans="5:5">
      <c r="E3183"/>
    </row>
    <row r="3184" spans="5:5">
      <c r="E3184"/>
    </row>
    <row r="3185" spans="5:5">
      <c r="E3185"/>
    </row>
    <row r="3186" spans="5:5">
      <c r="E3186"/>
    </row>
    <row r="3187" spans="5:5">
      <c r="E3187"/>
    </row>
    <row r="3188" spans="5:5">
      <c r="E3188"/>
    </row>
    <row r="3189" spans="5:5">
      <c r="E3189"/>
    </row>
    <row r="3190" spans="5:5">
      <c r="E3190"/>
    </row>
    <row r="3191" spans="5:5">
      <c r="E3191"/>
    </row>
    <row r="3192" spans="5:5">
      <c r="E3192"/>
    </row>
    <row r="3193" spans="5:5">
      <c r="E3193"/>
    </row>
    <row r="3194" spans="5:5">
      <c r="E3194"/>
    </row>
    <row r="3195" spans="5:5">
      <c r="E3195"/>
    </row>
    <row r="3196" spans="5:5">
      <c r="E3196"/>
    </row>
    <row r="3197" spans="5:5">
      <c r="E3197"/>
    </row>
    <row r="3198" spans="5:5">
      <c r="E3198"/>
    </row>
    <row r="3199" spans="5:5">
      <c r="E3199"/>
    </row>
    <row r="3200" spans="5:5">
      <c r="E3200"/>
    </row>
    <row r="3201" spans="5:5">
      <c r="E3201"/>
    </row>
    <row r="3202" spans="5:5">
      <c r="E3202"/>
    </row>
    <row r="3203" spans="5:5">
      <c r="E3203"/>
    </row>
    <row r="3204" spans="5:5">
      <c r="E3204"/>
    </row>
    <row r="3205" spans="5:5">
      <c r="E3205"/>
    </row>
    <row r="3206" spans="5:5">
      <c r="E3206"/>
    </row>
    <row r="3207" spans="5:5">
      <c r="E3207"/>
    </row>
    <row r="3208" spans="5:5">
      <c r="E3208"/>
    </row>
    <row r="3209" spans="5:5">
      <c r="E3209"/>
    </row>
    <row r="3210" spans="5:5">
      <c r="E3210"/>
    </row>
    <row r="3211" spans="5:5">
      <c r="E3211"/>
    </row>
    <row r="3212" spans="5:5">
      <c r="E3212"/>
    </row>
    <row r="3213" spans="5:5">
      <c r="E3213"/>
    </row>
    <row r="3214" spans="5:5">
      <c r="E3214"/>
    </row>
    <row r="3215" spans="5:5">
      <c r="E3215"/>
    </row>
    <row r="3216" spans="5:5">
      <c r="E3216"/>
    </row>
    <row r="3217" spans="5:5">
      <c r="E3217"/>
    </row>
    <row r="3218" spans="5:5">
      <c r="E3218"/>
    </row>
    <row r="3219" spans="5:5">
      <c r="E3219"/>
    </row>
    <row r="3220" spans="5:5">
      <c r="E3220"/>
    </row>
    <row r="3221" spans="5:5">
      <c r="E3221"/>
    </row>
    <row r="3222" spans="5:5">
      <c r="E3222"/>
    </row>
    <row r="3223" spans="5:5">
      <c r="E3223"/>
    </row>
    <row r="3224" spans="5:5">
      <c r="E3224"/>
    </row>
    <row r="3225" spans="5:5">
      <c r="E3225"/>
    </row>
    <row r="3226" spans="5:5">
      <c r="E3226"/>
    </row>
    <row r="3227" spans="5:5">
      <c r="E3227"/>
    </row>
    <row r="3228" spans="5:5">
      <c r="E3228"/>
    </row>
    <row r="3229" spans="5:5">
      <c r="E3229"/>
    </row>
    <row r="3230" spans="5:5">
      <c r="E3230"/>
    </row>
    <row r="3231" spans="5:5">
      <c r="E3231"/>
    </row>
    <row r="3232" spans="5:5">
      <c r="E3232"/>
    </row>
    <row r="3233" spans="5:5">
      <c r="E3233"/>
    </row>
    <row r="3234" spans="5:5">
      <c r="E3234"/>
    </row>
    <row r="3235" spans="5:5">
      <c r="E3235"/>
    </row>
    <row r="3236" spans="5:5">
      <c r="E3236"/>
    </row>
    <row r="3237" spans="5:5">
      <c r="E3237"/>
    </row>
    <row r="3238" spans="5:5">
      <c r="E3238"/>
    </row>
    <row r="3239" spans="5:5">
      <c r="E3239"/>
    </row>
    <row r="3240" spans="5:5">
      <c r="E3240"/>
    </row>
    <row r="3241" spans="5:5">
      <c r="E3241"/>
    </row>
    <row r="3242" spans="5:5">
      <c r="E3242"/>
    </row>
    <row r="3243" spans="5:5">
      <c r="E3243"/>
    </row>
    <row r="3244" spans="5:5">
      <c r="E3244"/>
    </row>
    <row r="3245" spans="5:5">
      <c r="E3245"/>
    </row>
    <row r="3246" spans="5:5">
      <c r="E3246"/>
    </row>
    <row r="3247" spans="5:5">
      <c r="E3247"/>
    </row>
    <row r="3248" spans="5:5">
      <c r="E3248"/>
    </row>
    <row r="3249" spans="5:5">
      <c r="E3249"/>
    </row>
    <row r="3250" spans="5:5">
      <c r="E3250"/>
    </row>
    <row r="3251" spans="5:5">
      <c r="E3251"/>
    </row>
    <row r="3252" spans="5:5">
      <c r="E3252"/>
    </row>
    <row r="3253" spans="5:5">
      <c r="E3253"/>
    </row>
    <row r="3254" spans="5:5">
      <c r="E3254"/>
    </row>
    <row r="3255" spans="5:5">
      <c r="E3255"/>
    </row>
    <row r="3256" spans="5:5">
      <c r="E3256"/>
    </row>
    <row r="3257" spans="5:5">
      <c r="E3257"/>
    </row>
    <row r="3258" spans="5:5">
      <c r="E3258"/>
    </row>
    <row r="3259" spans="5:5">
      <c r="E3259"/>
    </row>
    <row r="3260" spans="5:5">
      <c r="E3260"/>
    </row>
    <row r="3261" spans="5:5">
      <c r="E3261"/>
    </row>
    <row r="3262" spans="5:5">
      <c r="E3262"/>
    </row>
    <row r="3263" spans="5:5">
      <c r="E3263"/>
    </row>
    <row r="3264" spans="5:5">
      <c r="E3264"/>
    </row>
    <row r="3265" spans="5:5">
      <c r="E3265"/>
    </row>
    <row r="3266" spans="5:5">
      <c r="E3266"/>
    </row>
    <row r="3267" spans="5:5">
      <c r="E3267"/>
    </row>
    <row r="3268" spans="5:5">
      <c r="E3268"/>
    </row>
    <row r="3269" spans="5:5">
      <c r="E3269"/>
    </row>
    <row r="3270" spans="5:5">
      <c r="E3270"/>
    </row>
    <row r="3271" spans="5:5">
      <c r="E3271"/>
    </row>
    <row r="3272" spans="5:5">
      <c r="E3272"/>
    </row>
    <row r="3273" spans="5:5">
      <c r="E3273"/>
    </row>
    <row r="3274" spans="5:5">
      <c r="E3274"/>
    </row>
    <row r="3275" spans="5:5">
      <c r="E3275"/>
    </row>
    <row r="3276" spans="5:5">
      <c r="E3276"/>
    </row>
    <row r="3277" spans="5:5">
      <c r="E3277"/>
    </row>
    <row r="3278" spans="5:5">
      <c r="E3278"/>
    </row>
    <row r="3279" spans="5:5">
      <c r="E3279"/>
    </row>
    <row r="3280" spans="5:5">
      <c r="E3280"/>
    </row>
    <row r="3281" spans="5:5">
      <c r="E3281"/>
    </row>
    <row r="3282" spans="5:5">
      <c r="E3282"/>
    </row>
    <row r="3283" spans="5:5">
      <c r="E3283"/>
    </row>
    <row r="3284" spans="5:5">
      <c r="E3284"/>
    </row>
    <row r="3285" spans="5:5">
      <c r="E3285"/>
    </row>
    <row r="3286" spans="5:5">
      <c r="E3286"/>
    </row>
    <row r="3287" spans="5:5">
      <c r="E3287"/>
    </row>
    <row r="3288" spans="5:5">
      <c r="E3288"/>
    </row>
    <row r="3289" spans="5:5">
      <c r="E3289"/>
    </row>
    <row r="3290" spans="5:5">
      <c r="E3290"/>
    </row>
    <row r="3291" spans="5:5">
      <c r="E3291"/>
    </row>
    <row r="3292" spans="5:5">
      <c r="E3292"/>
    </row>
    <row r="3293" spans="5:5">
      <c r="E3293"/>
    </row>
    <row r="3294" spans="5:5">
      <c r="E3294"/>
    </row>
    <row r="3295" spans="5:5">
      <c r="E3295"/>
    </row>
    <row r="3296" spans="5:5">
      <c r="E3296"/>
    </row>
    <row r="3297" spans="5:5">
      <c r="E3297"/>
    </row>
    <row r="3298" spans="5:5">
      <c r="E3298"/>
    </row>
    <row r="3299" spans="5:5">
      <c r="E3299"/>
    </row>
    <row r="3300" spans="5:5">
      <c r="E3300"/>
    </row>
    <row r="3301" spans="5:5">
      <c r="E3301"/>
    </row>
    <row r="3302" spans="5:5">
      <c r="E3302"/>
    </row>
    <row r="3303" spans="5:5">
      <c r="E3303"/>
    </row>
    <row r="3304" spans="5:5">
      <c r="E3304"/>
    </row>
    <row r="3305" spans="5:5">
      <c r="E3305"/>
    </row>
    <row r="3306" spans="5:5">
      <c r="E3306"/>
    </row>
    <row r="3307" spans="5:5">
      <c r="E3307"/>
    </row>
    <row r="3308" spans="5:5">
      <c r="E3308"/>
    </row>
    <row r="3309" spans="5:5">
      <c r="E3309"/>
    </row>
    <row r="3310" spans="5:5">
      <c r="E3310"/>
    </row>
    <row r="3311" spans="5:5">
      <c r="E3311"/>
    </row>
    <row r="3312" spans="5:5">
      <c r="E3312"/>
    </row>
    <row r="3313" spans="5:5">
      <c r="E3313"/>
    </row>
    <row r="3314" spans="5:5">
      <c r="E3314"/>
    </row>
    <row r="3315" spans="5:5">
      <c r="E3315"/>
    </row>
    <row r="3316" spans="5:5">
      <c r="E3316"/>
    </row>
    <row r="3317" spans="5:5">
      <c r="E3317"/>
    </row>
    <row r="3318" spans="5:5">
      <c r="E3318"/>
    </row>
    <row r="3319" spans="5:5">
      <c r="E3319"/>
    </row>
    <row r="3320" spans="5:5">
      <c r="E3320"/>
    </row>
    <row r="3321" spans="5:5">
      <c r="E3321"/>
    </row>
    <row r="3322" spans="5:5">
      <c r="E3322"/>
    </row>
    <row r="3323" spans="5:5">
      <c r="E3323"/>
    </row>
    <row r="3324" spans="5:5">
      <c r="E3324"/>
    </row>
    <row r="3325" spans="5:5">
      <c r="E3325"/>
    </row>
    <row r="3326" spans="5:5">
      <c r="E3326"/>
    </row>
    <row r="3327" spans="5:5">
      <c r="E3327"/>
    </row>
    <row r="3328" spans="5:5">
      <c r="E3328"/>
    </row>
    <row r="3329" spans="5:5">
      <c r="E3329"/>
    </row>
    <row r="3330" spans="5:5">
      <c r="E3330"/>
    </row>
    <row r="3331" spans="5:5">
      <c r="E3331"/>
    </row>
    <row r="3332" spans="5:5">
      <c r="E3332"/>
    </row>
    <row r="3333" spans="5:5">
      <c r="E3333"/>
    </row>
    <row r="3334" spans="5:5">
      <c r="E3334"/>
    </row>
    <row r="3335" spans="5:5">
      <c r="E3335"/>
    </row>
    <row r="3336" spans="5:5">
      <c r="E3336"/>
    </row>
    <row r="3337" spans="5:5">
      <c r="E3337"/>
    </row>
    <row r="3338" spans="5:5">
      <c r="E3338"/>
    </row>
    <row r="3339" spans="5:5">
      <c r="E3339"/>
    </row>
    <row r="3340" spans="5:5">
      <c r="E3340"/>
    </row>
    <row r="3341" spans="5:5">
      <c r="E3341"/>
    </row>
    <row r="3342" spans="5:5">
      <c r="E3342"/>
    </row>
    <row r="3343" spans="5:5">
      <c r="E3343"/>
    </row>
    <row r="3344" spans="5:5">
      <c r="E3344"/>
    </row>
    <row r="3345" spans="5:5">
      <c r="E3345"/>
    </row>
    <row r="3346" spans="5:5">
      <c r="E3346"/>
    </row>
    <row r="3347" spans="5:5">
      <c r="E3347"/>
    </row>
    <row r="3348" spans="5:5">
      <c r="E3348"/>
    </row>
    <row r="3349" spans="5:5">
      <c r="E3349"/>
    </row>
    <row r="3350" spans="5:5">
      <c r="E3350"/>
    </row>
    <row r="3351" spans="5:5">
      <c r="E3351"/>
    </row>
    <row r="3352" spans="5:5">
      <c r="E3352"/>
    </row>
    <row r="3353" spans="5:5">
      <c r="E3353"/>
    </row>
    <row r="3354" spans="5:5">
      <c r="E3354"/>
    </row>
    <row r="3355" spans="5:5">
      <c r="E3355"/>
    </row>
    <row r="3356" spans="5:5">
      <c r="E3356"/>
    </row>
    <row r="3357" spans="5:5">
      <c r="E3357"/>
    </row>
    <row r="3358" spans="5:5">
      <c r="E3358"/>
    </row>
    <row r="3359" spans="5:5">
      <c r="E3359"/>
    </row>
    <row r="3360" spans="5:5">
      <c r="E3360"/>
    </row>
    <row r="3361" spans="5:5">
      <c r="E3361"/>
    </row>
    <row r="3362" spans="5:5">
      <c r="E3362"/>
    </row>
    <row r="3363" spans="5:5">
      <c r="E3363"/>
    </row>
    <row r="3364" spans="5:5">
      <c r="E3364"/>
    </row>
    <row r="3365" spans="5:5">
      <c r="E3365"/>
    </row>
    <row r="3366" spans="5:5">
      <c r="E3366"/>
    </row>
    <row r="3367" spans="5:5">
      <c r="E3367"/>
    </row>
    <row r="3368" spans="5:5">
      <c r="E3368"/>
    </row>
    <row r="3369" spans="5:5">
      <c r="E3369"/>
    </row>
    <row r="3370" spans="5:5">
      <c r="E3370"/>
    </row>
    <row r="3371" spans="5:5">
      <c r="E3371"/>
    </row>
    <row r="3372" spans="5:5">
      <c r="E3372"/>
    </row>
    <row r="3373" spans="5:5">
      <c r="E3373"/>
    </row>
    <row r="3374" spans="5:5">
      <c r="E3374"/>
    </row>
    <row r="3375" spans="5:5">
      <c r="E3375"/>
    </row>
    <row r="3376" spans="5:5">
      <c r="E3376"/>
    </row>
    <row r="3377" spans="5:5">
      <c r="E3377"/>
    </row>
    <row r="3378" spans="5:5">
      <c r="E3378"/>
    </row>
    <row r="3379" spans="5:5">
      <c r="E3379"/>
    </row>
    <row r="3380" spans="5:5">
      <c r="E3380"/>
    </row>
    <row r="3381" spans="5:5">
      <c r="E3381"/>
    </row>
    <row r="3382" spans="5:5">
      <c r="E3382"/>
    </row>
    <row r="3383" spans="5:5">
      <c r="E3383"/>
    </row>
    <row r="3384" spans="5:5">
      <c r="E3384"/>
    </row>
    <row r="3385" spans="5:5">
      <c r="E3385"/>
    </row>
    <row r="3386" spans="5:5">
      <c r="E3386"/>
    </row>
    <row r="3387" spans="5:5">
      <c r="E3387"/>
    </row>
    <row r="3388" spans="5:5">
      <c r="E3388"/>
    </row>
    <row r="3389" spans="5:5">
      <c r="E3389"/>
    </row>
    <row r="3390" spans="5:5">
      <c r="E3390"/>
    </row>
    <row r="3391" spans="5:5">
      <c r="E3391"/>
    </row>
    <row r="3392" spans="5:5">
      <c r="E3392"/>
    </row>
    <row r="3393" spans="5:5">
      <c r="E3393"/>
    </row>
    <row r="3394" spans="5:5">
      <c r="E3394"/>
    </row>
    <row r="3395" spans="5:5">
      <c r="E3395"/>
    </row>
    <row r="3396" spans="5:5">
      <c r="E3396"/>
    </row>
    <row r="3397" spans="5:5">
      <c r="E3397"/>
    </row>
    <row r="3398" spans="5:5">
      <c r="E3398"/>
    </row>
    <row r="3399" spans="5:5">
      <c r="E3399"/>
    </row>
    <row r="3400" spans="5:5">
      <c r="E3400"/>
    </row>
    <row r="3401" spans="5:5">
      <c r="E3401"/>
    </row>
    <row r="3402" spans="5:5">
      <c r="E3402"/>
    </row>
    <row r="3403" spans="5:5">
      <c r="E3403"/>
    </row>
    <row r="3404" spans="5:5">
      <c r="E3404"/>
    </row>
    <row r="3405" spans="5:5">
      <c r="E3405"/>
    </row>
    <row r="3406" spans="5:5">
      <c r="E3406"/>
    </row>
    <row r="3407" spans="5:5">
      <c r="E3407"/>
    </row>
    <row r="3408" spans="5:5">
      <c r="E3408"/>
    </row>
    <row r="3409" spans="5:5">
      <c r="E3409"/>
    </row>
    <row r="3410" spans="5:5">
      <c r="E3410"/>
    </row>
    <row r="3411" spans="5:5">
      <c r="E3411"/>
    </row>
    <row r="3412" spans="5:5">
      <c r="E3412"/>
    </row>
    <row r="3413" spans="5:5">
      <c r="E3413"/>
    </row>
    <row r="3414" spans="5:5">
      <c r="E3414"/>
    </row>
    <row r="3415" spans="5:5">
      <c r="E3415"/>
    </row>
    <row r="3416" spans="5:5">
      <c r="E3416"/>
    </row>
    <row r="3417" spans="5:5">
      <c r="E3417"/>
    </row>
    <row r="3418" spans="5:5">
      <c r="E3418"/>
    </row>
    <row r="3419" spans="5:5">
      <c r="E3419"/>
    </row>
    <row r="3420" spans="5:5">
      <c r="E3420"/>
    </row>
    <row r="3421" spans="5:5">
      <c r="E3421"/>
    </row>
    <row r="3422" spans="5:5">
      <c r="E3422"/>
    </row>
    <row r="3423" spans="5:5">
      <c r="E3423"/>
    </row>
    <row r="3424" spans="5:5">
      <c r="E3424"/>
    </row>
    <row r="3425" spans="5:5">
      <c r="E3425"/>
    </row>
    <row r="3426" spans="5:5">
      <c r="E3426"/>
    </row>
    <row r="3427" spans="5:5">
      <c r="E3427"/>
    </row>
    <row r="3428" spans="5:5">
      <c r="E3428"/>
    </row>
    <row r="3429" spans="5:5">
      <c r="E3429"/>
    </row>
    <row r="3430" spans="5:5">
      <c r="E3430"/>
    </row>
    <row r="3431" spans="5:5">
      <c r="E3431"/>
    </row>
    <row r="3432" spans="5:5">
      <c r="E3432"/>
    </row>
    <row r="3433" spans="5:5">
      <c r="E3433"/>
    </row>
    <row r="3434" spans="5:5">
      <c r="E3434"/>
    </row>
    <row r="3435" spans="5:5">
      <c r="E3435"/>
    </row>
    <row r="3436" spans="5:5">
      <c r="E3436"/>
    </row>
    <row r="3437" spans="5:5">
      <c r="E3437"/>
    </row>
    <row r="3438" spans="5:5">
      <c r="E3438"/>
    </row>
    <row r="3439" spans="5:5">
      <c r="E3439"/>
    </row>
    <row r="3440" spans="5:5">
      <c r="E3440"/>
    </row>
    <row r="3441" spans="5:5">
      <c r="E3441"/>
    </row>
    <row r="3442" spans="5:5">
      <c r="E3442"/>
    </row>
    <row r="3443" spans="5:5">
      <c r="E3443"/>
    </row>
    <row r="3444" spans="5:5">
      <c r="E3444"/>
    </row>
    <row r="3445" spans="5:5">
      <c r="E3445"/>
    </row>
    <row r="3446" spans="5:5">
      <c r="E3446"/>
    </row>
    <row r="3447" spans="5:5">
      <c r="E3447"/>
    </row>
    <row r="3448" spans="5:5">
      <c r="E3448"/>
    </row>
    <row r="3449" spans="5:5">
      <c r="E3449"/>
    </row>
    <row r="3450" spans="5:5">
      <c r="E3450"/>
    </row>
    <row r="3451" spans="5:5">
      <c r="E3451"/>
    </row>
    <row r="3452" spans="5:5">
      <c r="E3452"/>
    </row>
    <row r="3453" spans="5:5">
      <c r="E3453"/>
    </row>
    <row r="3454" spans="5:5">
      <c r="E3454"/>
    </row>
    <row r="3455" spans="5:5">
      <c r="E3455"/>
    </row>
    <row r="3456" spans="5:5">
      <c r="E3456"/>
    </row>
    <row r="3457" spans="5:5">
      <c r="E3457"/>
    </row>
    <row r="3458" spans="5:5">
      <c r="E3458"/>
    </row>
    <row r="3459" spans="5:5">
      <c r="E3459"/>
    </row>
    <row r="3460" spans="5:5">
      <c r="E3460"/>
    </row>
    <row r="3461" spans="5:5">
      <c r="E3461"/>
    </row>
    <row r="3462" spans="5:5">
      <c r="E3462"/>
    </row>
    <row r="3463" spans="5:5">
      <c r="E3463"/>
    </row>
    <row r="3464" spans="5:5">
      <c r="E3464"/>
    </row>
    <row r="3465" spans="5:5">
      <c r="E3465"/>
    </row>
    <row r="3466" spans="5:5">
      <c r="E3466"/>
    </row>
    <row r="3467" spans="5:5">
      <c r="E3467"/>
    </row>
    <row r="3468" spans="5:5">
      <c r="E3468"/>
    </row>
    <row r="3469" spans="5:5">
      <c r="E3469"/>
    </row>
    <row r="3470" spans="5:5">
      <c r="E3470"/>
    </row>
    <row r="3471" spans="5:5">
      <c r="E3471"/>
    </row>
    <row r="3472" spans="5:5">
      <c r="E3472"/>
    </row>
    <row r="3473" spans="5:5">
      <c r="E3473"/>
    </row>
    <row r="3474" spans="5:5">
      <c r="E3474"/>
    </row>
    <row r="3475" spans="5:5">
      <c r="E3475"/>
    </row>
    <row r="3476" spans="5:5">
      <c r="E3476"/>
    </row>
    <row r="3477" spans="5:5">
      <c r="E3477"/>
    </row>
    <row r="3478" spans="5:5">
      <c r="E3478"/>
    </row>
    <row r="3479" spans="5:5">
      <c r="E3479"/>
    </row>
    <row r="3480" spans="5:5">
      <c r="E3480"/>
    </row>
    <row r="3481" spans="5:5">
      <c r="E3481"/>
    </row>
    <row r="3482" spans="5:5">
      <c r="E3482"/>
    </row>
    <row r="3483" spans="5:5">
      <c r="E3483"/>
    </row>
    <row r="3484" spans="5:5">
      <c r="E3484"/>
    </row>
    <row r="3485" spans="5:5">
      <c r="E3485"/>
    </row>
    <row r="3486" spans="5:5">
      <c r="E3486"/>
    </row>
    <row r="3487" spans="5:5">
      <c r="E3487"/>
    </row>
    <row r="3488" spans="5:5">
      <c r="E3488"/>
    </row>
    <row r="3489" spans="5:5">
      <c r="E3489"/>
    </row>
    <row r="3490" spans="5:5">
      <c r="E3490"/>
    </row>
    <row r="3491" spans="5:5">
      <c r="E3491"/>
    </row>
    <row r="3492" spans="5:5">
      <c r="E3492"/>
    </row>
    <row r="3493" spans="5:5">
      <c r="E3493"/>
    </row>
    <row r="3494" spans="5:5">
      <c r="E3494"/>
    </row>
    <row r="3495" spans="5:5">
      <c r="E3495"/>
    </row>
    <row r="3496" spans="5:5">
      <c r="E3496"/>
    </row>
    <row r="3497" spans="5:5">
      <c r="E3497"/>
    </row>
    <row r="3498" spans="5:5">
      <c r="E3498"/>
    </row>
    <row r="3499" spans="5:5">
      <c r="E3499"/>
    </row>
    <row r="3500" spans="5:5">
      <c r="E3500"/>
    </row>
    <row r="3501" spans="5:5">
      <c r="E3501"/>
    </row>
    <row r="3502" spans="5:5">
      <c r="E3502"/>
    </row>
    <row r="3503" spans="5:5">
      <c r="E3503"/>
    </row>
    <row r="3504" spans="5:5">
      <c r="E3504"/>
    </row>
    <row r="3505" spans="5:5">
      <c r="E3505"/>
    </row>
    <row r="3506" spans="5:5">
      <c r="E3506"/>
    </row>
    <row r="3507" spans="5:5">
      <c r="E3507"/>
    </row>
    <row r="3508" spans="5:5">
      <c r="E3508"/>
    </row>
    <row r="3509" spans="5:5">
      <c r="E3509"/>
    </row>
    <row r="3510" spans="5:5">
      <c r="E3510"/>
    </row>
    <row r="3511" spans="5:5">
      <c r="E3511"/>
    </row>
    <row r="3512" spans="5:5">
      <c r="E3512"/>
    </row>
    <row r="3513" spans="5:5">
      <c r="E3513"/>
    </row>
    <row r="3514" spans="5:5">
      <c r="E3514"/>
    </row>
    <row r="3515" spans="5:5">
      <c r="E3515"/>
    </row>
    <row r="3516" spans="5:5">
      <c r="E3516"/>
    </row>
    <row r="3517" spans="5:5">
      <c r="E3517"/>
    </row>
    <row r="3518" spans="5:5">
      <c r="E3518"/>
    </row>
    <row r="3519" spans="5:5">
      <c r="E3519"/>
    </row>
    <row r="3520" spans="5:5">
      <c r="E3520"/>
    </row>
    <row r="3521" spans="5:5">
      <c r="E3521"/>
    </row>
    <row r="3522" spans="5:5">
      <c r="E3522"/>
    </row>
    <row r="3523" spans="5:5">
      <c r="E3523"/>
    </row>
    <row r="3524" spans="5:5">
      <c r="E3524"/>
    </row>
    <row r="3525" spans="5:5">
      <c r="E3525"/>
    </row>
    <row r="3526" spans="5:5">
      <c r="E3526"/>
    </row>
    <row r="3527" spans="5:5">
      <c r="E3527"/>
    </row>
    <row r="3528" spans="5:5">
      <c r="E3528"/>
    </row>
    <row r="3529" spans="5:5">
      <c r="E3529"/>
    </row>
    <row r="3530" spans="5:5">
      <c r="E3530"/>
    </row>
    <row r="3531" spans="5:5">
      <c r="E3531"/>
    </row>
    <row r="3532" spans="5:5">
      <c r="E3532"/>
    </row>
    <row r="3533" spans="5:5">
      <c r="E3533"/>
    </row>
    <row r="3534" spans="5:5">
      <c r="E3534"/>
    </row>
    <row r="3535" spans="5:5">
      <c r="E3535"/>
    </row>
    <row r="3536" spans="5:5">
      <c r="E3536"/>
    </row>
    <row r="3537" spans="5:5">
      <c r="E3537"/>
    </row>
    <row r="3538" spans="5:5">
      <c r="E3538"/>
    </row>
    <row r="3539" spans="5:5">
      <c r="E3539"/>
    </row>
    <row r="3540" spans="5:5">
      <c r="E3540"/>
    </row>
    <row r="3541" spans="5:5">
      <c r="E3541"/>
    </row>
    <row r="3542" spans="5:5">
      <c r="E3542"/>
    </row>
    <row r="3543" spans="5:5">
      <c r="E3543"/>
    </row>
    <row r="3544" spans="5:5">
      <c r="E3544"/>
    </row>
    <row r="3545" spans="5:5">
      <c r="E3545"/>
    </row>
    <row r="3546" spans="5:5">
      <c r="E3546"/>
    </row>
    <row r="3547" spans="5:5">
      <c r="E3547"/>
    </row>
    <row r="3548" spans="5:5">
      <c r="E3548"/>
    </row>
    <row r="3549" spans="5:5">
      <c r="E3549"/>
    </row>
    <row r="3550" spans="5:5">
      <c r="E3550"/>
    </row>
    <row r="3551" spans="5:5">
      <c r="E3551"/>
    </row>
    <row r="3552" spans="5:5">
      <c r="E3552"/>
    </row>
    <row r="3553" spans="5:5">
      <c r="E3553"/>
    </row>
    <row r="3554" spans="5:5">
      <c r="E3554"/>
    </row>
    <row r="3555" spans="5:5">
      <c r="E3555"/>
    </row>
    <row r="3556" spans="5:5">
      <c r="E3556"/>
    </row>
    <row r="3557" spans="5:5">
      <c r="E3557"/>
    </row>
    <row r="3558" spans="5:5">
      <c r="E3558"/>
    </row>
    <row r="3559" spans="5:5">
      <c r="E3559"/>
    </row>
    <row r="3560" spans="5:5">
      <c r="E3560"/>
    </row>
    <row r="3561" spans="5:5">
      <c r="E3561"/>
    </row>
    <row r="3562" spans="5:5">
      <c r="E3562"/>
    </row>
    <row r="3563" spans="5:5">
      <c r="E3563"/>
    </row>
    <row r="3564" spans="5:5">
      <c r="E3564"/>
    </row>
    <row r="3565" spans="5:5">
      <c r="E3565"/>
    </row>
    <row r="3566" spans="5:5">
      <c r="E3566"/>
    </row>
    <row r="3567" spans="5:5">
      <c r="E3567"/>
    </row>
    <row r="3568" spans="5:5">
      <c r="E3568"/>
    </row>
    <row r="3569" spans="5:5">
      <c r="E3569"/>
    </row>
    <row r="3570" spans="5:5">
      <c r="E3570"/>
    </row>
    <row r="3571" spans="5:5">
      <c r="E3571"/>
    </row>
    <row r="3572" spans="5:5">
      <c r="E3572"/>
    </row>
    <row r="3573" spans="5:5">
      <c r="E3573"/>
    </row>
    <row r="3574" spans="5:5">
      <c r="E3574"/>
    </row>
    <row r="3575" spans="5:5">
      <c r="E3575"/>
    </row>
    <row r="3576" spans="5:5">
      <c r="E3576"/>
    </row>
    <row r="3577" spans="5:5">
      <c r="E3577"/>
    </row>
    <row r="3578" spans="5:5">
      <c r="E3578"/>
    </row>
    <row r="3579" spans="5:5">
      <c r="E3579"/>
    </row>
    <row r="3580" spans="5:5">
      <c r="E3580"/>
    </row>
    <row r="3581" spans="5:5">
      <c r="E3581"/>
    </row>
    <row r="3582" spans="5:5">
      <c r="E3582"/>
    </row>
    <row r="3583" spans="5:5">
      <c r="E3583"/>
    </row>
    <row r="3584" spans="5:5">
      <c r="E3584"/>
    </row>
    <row r="3585" spans="5:5">
      <c r="E3585"/>
    </row>
    <row r="3586" spans="5:5">
      <c r="E3586"/>
    </row>
    <row r="3587" spans="5:5">
      <c r="E3587"/>
    </row>
    <row r="3588" spans="5:5">
      <c r="E3588"/>
    </row>
    <row r="3589" spans="5:5">
      <c r="E3589"/>
    </row>
    <row r="3590" spans="5:5">
      <c r="E3590"/>
    </row>
    <row r="3591" spans="5:5">
      <c r="E3591"/>
    </row>
    <row r="3592" spans="5:5">
      <c r="E3592"/>
    </row>
    <row r="3593" spans="5:5">
      <c r="E3593"/>
    </row>
    <row r="3594" spans="5:5">
      <c r="E3594"/>
    </row>
    <row r="3595" spans="5:5">
      <c r="E3595"/>
    </row>
    <row r="3596" spans="5:5">
      <c r="E3596"/>
    </row>
    <row r="3597" spans="5:5">
      <c r="E3597"/>
    </row>
    <row r="3598" spans="5:5">
      <c r="E3598"/>
    </row>
    <row r="3599" spans="5:5">
      <c r="E3599"/>
    </row>
    <row r="3600" spans="5:5">
      <c r="E3600"/>
    </row>
    <row r="3601" spans="5:5">
      <c r="E3601"/>
    </row>
    <row r="3602" spans="5:5">
      <c r="E3602"/>
    </row>
    <row r="3603" spans="5:5">
      <c r="E3603"/>
    </row>
    <row r="3604" spans="5:5">
      <c r="E3604"/>
    </row>
    <row r="3605" spans="5:5">
      <c r="E3605"/>
    </row>
    <row r="3606" spans="5:5">
      <c r="E3606"/>
    </row>
    <row r="3607" spans="5:5">
      <c r="E3607"/>
    </row>
    <row r="3608" spans="5:5">
      <c r="E3608"/>
    </row>
    <row r="3609" spans="5:5">
      <c r="E3609"/>
    </row>
    <row r="3610" spans="5:5">
      <c r="E3610"/>
    </row>
    <row r="3611" spans="5:5">
      <c r="E3611"/>
    </row>
    <row r="3612" spans="5:5">
      <c r="E3612"/>
    </row>
    <row r="3613" spans="5:5">
      <c r="E3613"/>
    </row>
    <row r="3614" spans="5:5">
      <c r="E3614"/>
    </row>
    <row r="3615" spans="5:5">
      <c r="E3615"/>
    </row>
    <row r="3616" spans="5:5">
      <c r="E3616"/>
    </row>
    <row r="3617" spans="5:5">
      <c r="E3617"/>
    </row>
    <row r="3618" spans="5:5">
      <c r="E3618"/>
    </row>
    <row r="3619" spans="5:5">
      <c r="E3619"/>
    </row>
    <row r="3620" spans="5:5">
      <c r="E3620"/>
    </row>
    <row r="3621" spans="5:5">
      <c r="E3621"/>
    </row>
    <row r="3622" spans="5:5">
      <c r="E3622"/>
    </row>
    <row r="3623" spans="5:5">
      <c r="E3623"/>
    </row>
    <row r="3624" spans="5:5">
      <c r="E3624"/>
    </row>
    <row r="3625" spans="5:5">
      <c r="E3625"/>
    </row>
    <row r="3626" spans="5:5">
      <c r="E3626"/>
    </row>
    <row r="3627" spans="5:5">
      <c r="E3627"/>
    </row>
    <row r="3628" spans="5:5">
      <c r="E3628"/>
    </row>
    <row r="3629" spans="5:5">
      <c r="E3629"/>
    </row>
    <row r="3630" spans="5:5">
      <c r="E3630"/>
    </row>
    <row r="3631" spans="5:5">
      <c r="E3631"/>
    </row>
    <row r="3632" spans="5:5">
      <c r="E3632"/>
    </row>
    <row r="3633" spans="5:5">
      <c r="E3633"/>
    </row>
    <row r="3634" spans="5:5">
      <c r="E3634"/>
    </row>
    <row r="3635" spans="5:5">
      <c r="E3635"/>
    </row>
    <row r="3636" spans="5:5">
      <c r="E3636"/>
    </row>
    <row r="3637" spans="5:5">
      <c r="E3637"/>
    </row>
    <row r="3638" spans="5:5">
      <c r="E3638"/>
    </row>
    <row r="3639" spans="5:5">
      <c r="E3639"/>
    </row>
    <row r="3640" spans="5:5">
      <c r="E3640"/>
    </row>
    <row r="3641" spans="5:5">
      <c r="E3641"/>
    </row>
    <row r="3642" spans="5:5">
      <c r="E3642"/>
    </row>
    <row r="3643" spans="5:5">
      <c r="E3643"/>
    </row>
    <row r="3644" spans="5:5">
      <c r="E3644"/>
    </row>
    <row r="3645" spans="5:5">
      <c r="E3645"/>
    </row>
    <row r="3646" spans="5:5">
      <c r="E3646"/>
    </row>
    <row r="3647" spans="5:5">
      <c r="E3647"/>
    </row>
    <row r="3648" spans="5:5">
      <c r="E3648"/>
    </row>
    <row r="3649" spans="5:5">
      <c r="E3649"/>
    </row>
    <row r="3650" spans="5:5">
      <c r="E3650"/>
    </row>
    <row r="3651" spans="5:5">
      <c r="E3651"/>
    </row>
    <row r="3652" spans="5:5">
      <c r="E3652"/>
    </row>
    <row r="3653" spans="5:5">
      <c r="E3653"/>
    </row>
    <row r="3654" spans="5:5">
      <c r="E3654"/>
    </row>
    <row r="3655" spans="5:5">
      <c r="E3655"/>
    </row>
    <row r="3656" spans="5:5">
      <c r="E3656"/>
    </row>
    <row r="3657" spans="5:5">
      <c r="E3657"/>
    </row>
    <row r="3658" spans="5:5">
      <c r="E3658"/>
    </row>
    <row r="3659" spans="5:5">
      <c r="E3659"/>
    </row>
    <row r="3660" spans="5:5">
      <c r="E3660"/>
    </row>
    <row r="3661" spans="5:5">
      <c r="E3661"/>
    </row>
    <row r="3662" spans="5:5">
      <c r="E3662"/>
    </row>
    <row r="3663" spans="5:5">
      <c r="E3663"/>
    </row>
    <row r="3664" spans="5:5">
      <c r="E3664"/>
    </row>
    <row r="3665" spans="5:5">
      <c r="E3665"/>
    </row>
    <row r="3666" spans="5:5">
      <c r="E3666"/>
    </row>
    <row r="3667" spans="5:5">
      <c r="E3667"/>
    </row>
    <row r="3668" spans="5:5">
      <c r="E3668"/>
    </row>
    <row r="3669" spans="5:5">
      <c r="E3669"/>
    </row>
    <row r="3670" spans="5:5">
      <c r="E3670"/>
    </row>
    <row r="3671" spans="5:5">
      <c r="E3671"/>
    </row>
    <row r="3672" spans="5:5">
      <c r="E3672"/>
    </row>
    <row r="3673" spans="5:5">
      <c r="E3673"/>
    </row>
    <row r="3674" spans="5:5">
      <c r="E3674"/>
    </row>
    <row r="3675" spans="5:5">
      <c r="E3675"/>
    </row>
    <row r="3676" spans="5:5">
      <c r="E3676"/>
    </row>
    <row r="3677" spans="5:5">
      <c r="E3677"/>
    </row>
    <row r="3678" spans="5:5">
      <c r="E3678"/>
    </row>
    <row r="3679" spans="5:5">
      <c r="E3679"/>
    </row>
    <row r="3680" spans="5:5">
      <c r="E3680"/>
    </row>
    <row r="3681" spans="5:5">
      <c r="E3681"/>
    </row>
    <row r="3682" spans="5:5">
      <c r="E3682"/>
    </row>
    <row r="3683" spans="5:5">
      <c r="E3683"/>
    </row>
    <row r="3684" spans="5:5">
      <c r="E3684"/>
    </row>
    <row r="3685" spans="5:5">
      <c r="E3685"/>
    </row>
    <row r="3686" spans="5:5">
      <c r="E3686"/>
    </row>
    <row r="3687" spans="5:5">
      <c r="E3687"/>
    </row>
    <row r="3688" spans="5:5">
      <c r="E3688"/>
    </row>
    <row r="3689" spans="5:5">
      <c r="E3689"/>
    </row>
    <row r="3690" spans="5:5">
      <c r="E3690"/>
    </row>
    <row r="3691" spans="5:5">
      <c r="E3691"/>
    </row>
    <row r="3692" spans="5:5">
      <c r="E3692"/>
    </row>
    <row r="3693" spans="5:5">
      <c r="E3693"/>
    </row>
    <row r="3694" spans="5:5">
      <c r="E3694"/>
    </row>
    <row r="3695" spans="5:5">
      <c r="E3695"/>
    </row>
    <row r="3696" spans="5:5">
      <c r="E3696"/>
    </row>
    <row r="3697" spans="5:5">
      <c r="E3697"/>
    </row>
    <row r="3698" spans="5:5">
      <c r="E3698"/>
    </row>
    <row r="3699" spans="5:5">
      <c r="E3699"/>
    </row>
    <row r="3700" spans="5:5">
      <c r="E3700"/>
    </row>
    <row r="3701" spans="5:5">
      <c r="E3701"/>
    </row>
    <row r="3702" spans="5:5">
      <c r="E3702"/>
    </row>
    <row r="3703" spans="5:5">
      <c r="E3703"/>
    </row>
    <row r="3704" spans="5:5">
      <c r="E3704"/>
    </row>
    <row r="3705" spans="5:5">
      <c r="E3705"/>
    </row>
    <row r="3706" spans="5:5">
      <c r="E3706"/>
    </row>
    <row r="3707" spans="5:5">
      <c r="E3707"/>
    </row>
    <row r="3708" spans="5:5">
      <c r="E3708"/>
    </row>
    <row r="3709" spans="5:5">
      <c r="E3709"/>
    </row>
    <row r="3710" spans="5:5">
      <c r="E3710"/>
    </row>
    <row r="3711" spans="5:5">
      <c r="E3711"/>
    </row>
    <row r="3712" spans="5:5">
      <c r="E3712"/>
    </row>
    <row r="3713" spans="5:5">
      <c r="E3713"/>
    </row>
    <row r="3714" spans="5:5">
      <c r="E3714"/>
    </row>
    <row r="3715" spans="5:5">
      <c r="E3715"/>
    </row>
    <row r="3716" spans="5:5">
      <c r="E3716"/>
    </row>
    <row r="3717" spans="5:5">
      <c r="E3717"/>
    </row>
    <row r="3718" spans="5:5">
      <c r="E3718"/>
    </row>
    <row r="3719" spans="5:5">
      <c r="E3719"/>
    </row>
    <row r="3720" spans="5:5">
      <c r="E3720"/>
    </row>
    <row r="3721" spans="5:5">
      <c r="E3721"/>
    </row>
    <row r="3722" spans="5:5">
      <c r="E3722"/>
    </row>
    <row r="3723" spans="5:5">
      <c r="E3723"/>
    </row>
    <row r="3724" spans="5:5">
      <c r="E3724"/>
    </row>
    <row r="3725" spans="5:5">
      <c r="E3725"/>
    </row>
    <row r="3726" spans="5:5">
      <c r="E3726"/>
    </row>
    <row r="3727" spans="5:5">
      <c r="E3727"/>
    </row>
    <row r="3728" spans="5:5">
      <c r="E3728"/>
    </row>
    <row r="3729" spans="5:5">
      <c r="E3729"/>
    </row>
    <row r="3730" spans="5:5">
      <c r="E3730"/>
    </row>
    <row r="3731" spans="5:5">
      <c r="E3731"/>
    </row>
    <row r="3732" spans="5:5">
      <c r="E3732"/>
    </row>
    <row r="3733" spans="5:5">
      <c r="E3733"/>
    </row>
    <row r="3734" spans="5:5">
      <c r="E3734"/>
    </row>
    <row r="3735" spans="5:5">
      <c r="E3735"/>
    </row>
    <row r="3736" spans="5:5">
      <c r="E3736"/>
    </row>
    <row r="3737" spans="5:5">
      <c r="E3737"/>
    </row>
    <row r="3738" spans="5:5">
      <c r="E3738"/>
    </row>
    <row r="3739" spans="5:5">
      <c r="E3739"/>
    </row>
    <row r="3740" spans="5:5">
      <c r="E3740"/>
    </row>
    <row r="3741" spans="5:5">
      <c r="E3741"/>
    </row>
    <row r="3742" spans="5:5">
      <c r="E3742"/>
    </row>
    <row r="3743" spans="5:5">
      <c r="E3743"/>
    </row>
    <row r="3744" spans="5:5">
      <c r="E3744"/>
    </row>
    <row r="3745" spans="5:5">
      <c r="E3745"/>
    </row>
    <row r="3746" spans="5:5">
      <c r="E3746"/>
    </row>
    <row r="3747" spans="5:5">
      <c r="E3747"/>
    </row>
    <row r="3748" spans="5:5">
      <c r="E3748"/>
    </row>
    <row r="3749" spans="5:5">
      <c r="E3749"/>
    </row>
    <row r="3750" spans="5:5">
      <c r="E3750"/>
    </row>
    <row r="3751" spans="5:5">
      <c r="E3751"/>
    </row>
    <row r="3752" spans="5:5">
      <c r="E3752"/>
    </row>
    <row r="3753" spans="5:5">
      <c r="E3753"/>
    </row>
    <row r="3754" spans="5:5">
      <c r="E3754"/>
    </row>
    <row r="3755" spans="5:5">
      <c r="E3755"/>
    </row>
    <row r="3756" spans="5:5">
      <c r="E3756"/>
    </row>
    <row r="3757" spans="5:5">
      <c r="E3757"/>
    </row>
    <row r="3758" spans="5:5">
      <c r="E3758"/>
    </row>
    <row r="3759" spans="5:5">
      <c r="E3759"/>
    </row>
    <row r="3760" spans="5:5">
      <c r="E3760"/>
    </row>
    <row r="3761" spans="5:5">
      <c r="E3761"/>
    </row>
    <row r="3762" spans="5:5">
      <c r="E3762"/>
    </row>
    <row r="3763" spans="5:5">
      <c r="E3763"/>
    </row>
    <row r="3764" spans="5:5">
      <c r="E3764"/>
    </row>
    <row r="3765" spans="5:5">
      <c r="E3765"/>
    </row>
    <row r="3766" spans="5:5">
      <c r="E3766"/>
    </row>
    <row r="3767" spans="5:5">
      <c r="E3767"/>
    </row>
    <row r="3768" spans="5:5">
      <c r="E3768"/>
    </row>
    <row r="3769" spans="5:5">
      <c r="E3769"/>
    </row>
    <row r="3770" spans="5:5">
      <c r="E3770"/>
    </row>
    <row r="3771" spans="5:5">
      <c r="E3771"/>
    </row>
    <row r="3772" spans="5:5">
      <c r="E3772"/>
    </row>
    <row r="3773" spans="5:5">
      <c r="E3773"/>
    </row>
    <row r="3774" spans="5:5">
      <c r="E3774"/>
    </row>
    <row r="3775" spans="5:5">
      <c r="E3775"/>
    </row>
    <row r="3776" spans="5:5">
      <c r="E3776"/>
    </row>
    <row r="3777" spans="5:5">
      <c r="E3777"/>
    </row>
    <row r="3778" spans="5:5">
      <c r="E3778"/>
    </row>
    <row r="3779" spans="5:5">
      <c r="E3779"/>
    </row>
    <row r="3780" spans="5:5">
      <c r="E3780"/>
    </row>
    <row r="3781" spans="5:5">
      <c r="E3781"/>
    </row>
    <row r="3782" spans="5:5">
      <c r="E3782"/>
    </row>
    <row r="3783" spans="5:5">
      <c r="E3783"/>
    </row>
    <row r="3784" spans="5:5">
      <c r="E3784"/>
    </row>
    <row r="3785" spans="5:5">
      <c r="E3785"/>
    </row>
    <row r="3786" spans="5:5">
      <c r="E3786"/>
    </row>
    <row r="3787" spans="5:5">
      <c r="E3787"/>
    </row>
    <row r="3788" spans="5:5">
      <c r="E3788"/>
    </row>
    <row r="3789" spans="5:5">
      <c r="E3789"/>
    </row>
    <row r="3790" spans="5:5">
      <c r="E3790"/>
    </row>
    <row r="3791" spans="5:5">
      <c r="E3791"/>
    </row>
    <row r="3792" spans="5:5">
      <c r="E3792"/>
    </row>
    <row r="3793" spans="5:5">
      <c r="E3793"/>
    </row>
    <row r="3794" spans="5:5">
      <c r="E3794"/>
    </row>
    <row r="3795" spans="5:5">
      <c r="E3795"/>
    </row>
    <row r="3796" spans="5:5">
      <c r="E3796"/>
    </row>
    <row r="3797" spans="5:5">
      <c r="E3797"/>
    </row>
    <row r="3798" spans="5:5">
      <c r="E3798"/>
    </row>
    <row r="3799" spans="5:5">
      <c r="E3799"/>
    </row>
    <row r="3800" spans="5:5">
      <c r="E3800"/>
    </row>
    <row r="3801" spans="5:5">
      <c r="E3801"/>
    </row>
    <row r="3802" spans="5:5">
      <c r="E3802"/>
    </row>
    <row r="3803" spans="5:5">
      <c r="E3803"/>
    </row>
    <row r="3804" spans="5:5">
      <c r="E3804"/>
    </row>
    <row r="3805" spans="5:5">
      <c r="E3805"/>
    </row>
    <row r="3806" spans="5:5">
      <c r="E3806"/>
    </row>
    <row r="3807" spans="5:5">
      <c r="E3807"/>
    </row>
    <row r="3808" spans="5:5">
      <c r="E3808"/>
    </row>
    <row r="3809" spans="5:5">
      <c r="E3809"/>
    </row>
    <row r="3810" spans="5:5">
      <c r="E3810"/>
    </row>
    <row r="3811" spans="5:5">
      <c r="E3811"/>
    </row>
    <row r="3812" spans="5:5">
      <c r="E3812"/>
    </row>
    <row r="3813" spans="5:5">
      <c r="E3813"/>
    </row>
    <row r="3814" spans="5:5">
      <c r="E3814"/>
    </row>
    <row r="3815" spans="5:5">
      <c r="E3815"/>
    </row>
    <row r="3816" spans="5:5">
      <c r="E3816"/>
    </row>
    <row r="3817" spans="5:5">
      <c r="E3817"/>
    </row>
    <row r="3818" spans="5:5">
      <c r="E3818"/>
    </row>
    <row r="3819" spans="5:5">
      <c r="E3819"/>
    </row>
    <row r="3820" spans="5:5">
      <c r="E3820"/>
    </row>
    <row r="3821" spans="5:5">
      <c r="E3821"/>
    </row>
    <row r="3822" spans="5:5">
      <c r="E3822"/>
    </row>
    <row r="3823" spans="5:5">
      <c r="E3823"/>
    </row>
    <row r="3824" spans="5:5">
      <c r="E3824"/>
    </row>
    <row r="3825" spans="5:5">
      <c r="E3825"/>
    </row>
    <row r="3826" spans="5:5">
      <c r="E3826"/>
    </row>
    <row r="3827" spans="5:5">
      <c r="E3827"/>
    </row>
    <row r="3828" spans="5:5">
      <c r="E3828"/>
    </row>
    <row r="3829" spans="5:5">
      <c r="E3829"/>
    </row>
    <row r="3830" spans="5:5">
      <c r="E3830"/>
    </row>
    <row r="3831" spans="5:5">
      <c r="E3831"/>
    </row>
    <row r="3832" spans="5:5">
      <c r="E3832"/>
    </row>
    <row r="3833" spans="5:5">
      <c r="E3833"/>
    </row>
    <row r="3834" spans="5:5">
      <c r="E3834"/>
    </row>
    <row r="3835" spans="5:5">
      <c r="E3835"/>
    </row>
    <row r="3836" spans="5:5">
      <c r="E3836"/>
    </row>
    <row r="3837" spans="5:5">
      <c r="E3837"/>
    </row>
    <row r="3838" spans="5:5">
      <c r="E3838"/>
    </row>
    <row r="3839" spans="5:5">
      <c r="E3839"/>
    </row>
    <row r="3840" spans="5:5">
      <c r="E3840"/>
    </row>
    <row r="3841" spans="5:5">
      <c r="E3841"/>
    </row>
    <row r="3842" spans="5:5">
      <c r="E3842"/>
    </row>
    <row r="3843" spans="5:5">
      <c r="E3843"/>
    </row>
    <row r="3844" spans="5:5">
      <c r="E3844"/>
    </row>
    <row r="3845" spans="5:5">
      <c r="E3845"/>
    </row>
    <row r="3846" spans="5:5">
      <c r="E3846"/>
    </row>
    <row r="3847" spans="5:5">
      <c r="E3847"/>
    </row>
    <row r="3848" spans="5:5">
      <c r="E3848"/>
    </row>
    <row r="3849" spans="5:5">
      <c r="E3849"/>
    </row>
    <row r="3850" spans="5:5">
      <c r="E3850"/>
    </row>
    <row r="3851" spans="5:5">
      <c r="E3851"/>
    </row>
    <row r="3852" spans="5:5">
      <c r="E3852"/>
    </row>
    <row r="3853" spans="5:5">
      <c r="E3853"/>
    </row>
    <row r="3854" spans="5:5">
      <c r="E3854"/>
    </row>
    <row r="3855" spans="5:5">
      <c r="E3855"/>
    </row>
    <row r="3856" spans="5:5">
      <c r="E3856"/>
    </row>
    <row r="3857" spans="5:5">
      <c r="E3857"/>
    </row>
    <row r="3858" spans="5:5">
      <c r="E3858"/>
    </row>
    <row r="3859" spans="5:5">
      <c r="E3859"/>
    </row>
    <row r="3860" spans="5:5">
      <c r="E3860"/>
    </row>
    <row r="3861" spans="5:5">
      <c r="E3861"/>
    </row>
    <row r="3862" spans="5:5">
      <c r="E3862"/>
    </row>
    <row r="3863" spans="5:5">
      <c r="E3863"/>
    </row>
    <row r="3864" spans="5:5">
      <c r="E3864"/>
    </row>
    <row r="3865" spans="5:5">
      <c r="E3865"/>
    </row>
    <row r="3866" spans="5:5">
      <c r="E3866"/>
    </row>
    <row r="3867" spans="5:5">
      <c r="E3867"/>
    </row>
    <row r="3868" spans="5:5">
      <c r="E3868"/>
    </row>
    <row r="3869" spans="5:5">
      <c r="E3869"/>
    </row>
    <row r="3870" spans="5:5">
      <c r="E3870"/>
    </row>
    <row r="3871" spans="5:5">
      <c r="E3871"/>
    </row>
    <row r="3872" spans="5:5">
      <c r="E3872"/>
    </row>
    <row r="3873" spans="5:5">
      <c r="E3873"/>
    </row>
    <row r="3874" spans="5:5">
      <c r="E3874"/>
    </row>
    <row r="3875" spans="5:5">
      <c r="E3875"/>
    </row>
    <row r="3876" spans="5:5">
      <c r="E3876"/>
    </row>
    <row r="3877" spans="5:5">
      <c r="E3877"/>
    </row>
    <row r="3878" spans="5:5">
      <c r="E3878"/>
    </row>
    <row r="3879" spans="5:5">
      <c r="E3879"/>
    </row>
    <row r="3880" spans="5:5">
      <c r="E3880"/>
    </row>
    <row r="3881" spans="5:5">
      <c r="E3881"/>
    </row>
    <row r="3882" spans="5:5">
      <c r="E3882"/>
    </row>
    <row r="3883" spans="5:5">
      <c r="E3883"/>
    </row>
    <row r="3884" spans="5:5">
      <c r="E3884"/>
    </row>
    <row r="3885" spans="5:5">
      <c r="E3885"/>
    </row>
    <row r="3886" spans="5:5">
      <c r="E3886"/>
    </row>
    <row r="3887" spans="5:5">
      <c r="E3887"/>
    </row>
    <row r="3888" spans="5:5">
      <c r="E3888"/>
    </row>
    <row r="3889" spans="5:5">
      <c r="E3889"/>
    </row>
    <row r="3890" spans="5:5">
      <c r="E3890"/>
    </row>
    <row r="3891" spans="5:5">
      <c r="E3891"/>
    </row>
    <row r="3892" spans="5:5">
      <c r="E3892"/>
    </row>
    <row r="3893" spans="5:5">
      <c r="E3893"/>
    </row>
    <row r="3894" spans="5:5">
      <c r="E3894"/>
    </row>
    <row r="3895" spans="5:5">
      <c r="E3895"/>
    </row>
    <row r="3896" spans="5:5">
      <c r="E3896"/>
    </row>
    <row r="3897" spans="5:5">
      <c r="E3897"/>
    </row>
    <row r="3898" spans="5:5">
      <c r="E3898"/>
    </row>
    <row r="3899" spans="5:5">
      <c r="E3899"/>
    </row>
    <row r="3900" spans="5:5">
      <c r="E3900"/>
    </row>
    <row r="3901" spans="5:5">
      <c r="E3901"/>
    </row>
    <row r="3902" spans="5:5">
      <c r="E3902"/>
    </row>
    <row r="3903" spans="5:5">
      <c r="E3903"/>
    </row>
    <row r="3904" spans="5:5">
      <c r="E3904"/>
    </row>
    <row r="3905" spans="5:5">
      <c r="E3905"/>
    </row>
    <row r="3906" spans="5:5">
      <c r="E3906"/>
    </row>
    <row r="3907" spans="5:5">
      <c r="E3907"/>
    </row>
    <row r="3908" spans="5:5">
      <c r="E3908"/>
    </row>
    <row r="3909" spans="5:5">
      <c r="E3909"/>
    </row>
    <row r="3910" spans="5:5">
      <c r="E3910"/>
    </row>
    <row r="3911" spans="5:5">
      <c r="E3911"/>
    </row>
    <row r="3912" spans="5:5">
      <c r="E3912"/>
    </row>
    <row r="3913" spans="5:5">
      <c r="E3913"/>
    </row>
    <row r="3914" spans="5:5">
      <c r="E3914"/>
    </row>
    <row r="3915" spans="5:5">
      <c r="E3915"/>
    </row>
    <row r="3916" spans="5:5">
      <c r="E3916"/>
    </row>
    <row r="3917" spans="5:5">
      <c r="E3917"/>
    </row>
    <row r="3918" spans="5:5">
      <c r="E3918"/>
    </row>
    <row r="3919" spans="5:5">
      <c r="E3919"/>
    </row>
    <row r="3920" spans="5:5">
      <c r="E3920"/>
    </row>
    <row r="3921" spans="5:5">
      <c r="E3921"/>
    </row>
    <row r="3922" spans="5:5">
      <c r="E3922"/>
    </row>
    <row r="3923" spans="5:5">
      <c r="E3923"/>
    </row>
    <row r="3924" spans="5:5">
      <c r="E3924"/>
    </row>
    <row r="3925" spans="5:5">
      <c r="E3925"/>
    </row>
    <row r="3926" spans="5:5">
      <c r="E3926"/>
    </row>
    <row r="3927" spans="5:5">
      <c r="E3927"/>
    </row>
    <row r="3928" spans="5:5">
      <c r="E3928"/>
    </row>
    <row r="3929" spans="5:5">
      <c r="E3929"/>
    </row>
    <row r="3930" spans="5:5">
      <c r="E3930"/>
    </row>
    <row r="3931" spans="5:5">
      <c r="E3931"/>
    </row>
    <row r="3932" spans="5:5">
      <c r="E3932"/>
    </row>
    <row r="3933" spans="5:5">
      <c r="E3933"/>
    </row>
    <row r="3934" spans="5:5">
      <c r="E3934"/>
    </row>
    <row r="3935" spans="5:5">
      <c r="E3935"/>
    </row>
    <row r="3936" spans="5:5">
      <c r="E3936"/>
    </row>
    <row r="3937" spans="5:5">
      <c r="E3937"/>
    </row>
    <row r="3938" spans="5:5">
      <c r="E3938"/>
    </row>
    <row r="3939" spans="5:5">
      <c r="E3939"/>
    </row>
    <row r="3940" spans="5:5">
      <c r="E3940"/>
    </row>
    <row r="3941" spans="5:5">
      <c r="E3941"/>
    </row>
    <row r="3942" spans="5:5">
      <c r="E3942"/>
    </row>
    <row r="3943" spans="5:5">
      <c r="E3943"/>
    </row>
    <row r="3944" spans="5:5">
      <c r="E3944"/>
    </row>
    <row r="3945" spans="5:5">
      <c r="E3945"/>
    </row>
    <row r="3946" spans="5:5">
      <c r="E3946"/>
    </row>
    <row r="3947" spans="5:5">
      <c r="E3947"/>
    </row>
    <row r="3948" spans="5:5">
      <c r="E3948"/>
    </row>
    <row r="3949" spans="5:5">
      <c r="E3949"/>
    </row>
    <row r="3950" spans="5:5">
      <c r="E3950"/>
    </row>
    <row r="3951" spans="5:5">
      <c r="E3951"/>
    </row>
    <row r="3952" spans="5:5">
      <c r="E3952"/>
    </row>
    <row r="3953" spans="5:5">
      <c r="E3953"/>
    </row>
    <row r="3954" spans="5:5">
      <c r="E3954"/>
    </row>
    <row r="3955" spans="5:5">
      <c r="E3955"/>
    </row>
    <row r="3956" spans="5:5">
      <c r="E3956"/>
    </row>
    <row r="3957" spans="5:5">
      <c r="E3957"/>
    </row>
    <row r="3958" spans="5:5">
      <c r="E3958"/>
    </row>
    <row r="3959" spans="5:5">
      <c r="E3959"/>
    </row>
    <row r="3960" spans="5:5">
      <c r="E3960"/>
    </row>
    <row r="3961" spans="5:5">
      <c r="E3961"/>
    </row>
    <row r="3962" spans="5:5">
      <c r="E3962"/>
    </row>
    <row r="3963" spans="5:5">
      <c r="E3963"/>
    </row>
    <row r="3964" spans="5:5">
      <c r="E3964"/>
    </row>
    <row r="3965" spans="5:5">
      <c r="E3965"/>
    </row>
    <row r="3966" spans="5:5">
      <c r="E3966"/>
    </row>
    <row r="3967" spans="5:5">
      <c r="E3967"/>
    </row>
    <row r="3968" spans="5:5">
      <c r="E3968"/>
    </row>
    <row r="3969" spans="5:5">
      <c r="E3969"/>
    </row>
    <row r="3970" spans="5:5">
      <c r="E3970"/>
    </row>
    <row r="3971" spans="5:5">
      <c r="E3971"/>
    </row>
    <row r="3972" spans="5:5">
      <c r="E3972"/>
    </row>
    <row r="3973" spans="5:5">
      <c r="E3973"/>
    </row>
    <row r="3974" spans="5:5">
      <c r="E3974"/>
    </row>
    <row r="3975" spans="5:5">
      <c r="E3975"/>
    </row>
    <row r="3976" spans="5:5">
      <c r="E3976"/>
    </row>
    <row r="3977" spans="5:5">
      <c r="E3977"/>
    </row>
    <row r="3978" spans="5:5">
      <c r="E3978"/>
    </row>
    <row r="3979" spans="5:5">
      <c r="E3979"/>
    </row>
    <row r="3980" spans="5:5">
      <c r="E3980"/>
    </row>
    <row r="3981" spans="5:5">
      <c r="E3981"/>
    </row>
    <row r="3982" spans="5:5">
      <c r="E3982"/>
    </row>
    <row r="3983" spans="5:5">
      <c r="E3983"/>
    </row>
    <row r="3984" spans="5:5">
      <c r="E3984"/>
    </row>
    <row r="3985" spans="5:5">
      <c r="E3985"/>
    </row>
    <row r="3986" spans="5:5">
      <c r="E3986"/>
    </row>
    <row r="3987" spans="5:5">
      <c r="E3987"/>
    </row>
    <row r="3988" spans="5:5">
      <c r="E3988"/>
    </row>
    <row r="3989" spans="5:5">
      <c r="E3989"/>
    </row>
    <row r="3990" spans="5:5">
      <c r="E3990"/>
    </row>
    <row r="3991" spans="5:5">
      <c r="E3991"/>
    </row>
    <row r="3992" spans="5:5">
      <c r="E3992"/>
    </row>
    <row r="3993" spans="5:5">
      <c r="E3993"/>
    </row>
    <row r="3994" spans="5:5">
      <c r="E3994"/>
    </row>
    <row r="3995" spans="5:5">
      <c r="E3995"/>
    </row>
    <row r="3996" spans="5:5">
      <c r="E3996"/>
    </row>
    <row r="3997" spans="5:5">
      <c r="E3997"/>
    </row>
    <row r="3998" spans="5:5">
      <c r="E3998"/>
    </row>
    <row r="3999" spans="5:5">
      <c r="E3999"/>
    </row>
    <row r="4000" spans="5:5">
      <c r="E4000"/>
    </row>
    <row r="4001" spans="5:5">
      <c r="E4001"/>
    </row>
    <row r="4002" spans="5:5">
      <c r="E4002"/>
    </row>
    <row r="4003" spans="5:5">
      <c r="E4003"/>
    </row>
    <row r="4004" spans="5:5">
      <c r="E4004"/>
    </row>
    <row r="4005" spans="5:5">
      <c r="E4005"/>
    </row>
    <row r="4006" spans="5:5">
      <c r="E4006"/>
    </row>
    <row r="4007" spans="5:5">
      <c r="E4007"/>
    </row>
    <row r="4008" spans="5:5">
      <c r="E4008"/>
    </row>
    <row r="4009" spans="5:5">
      <c r="E4009"/>
    </row>
    <row r="4010" spans="5:5">
      <c r="E4010"/>
    </row>
    <row r="4011" spans="5:5">
      <c r="E4011"/>
    </row>
    <row r="4012" spans="5:5">
      <c r="E4012"/>
    </row>
    <row r="4013" spans="5:5">
      <c r="E4013"/>
    </row>
    <row r="4014" spans="5:5">
      <c r="E4014"/>
    </row>
    <row r="4015" spans="5:5">
      <c r="E4015"/>
    </row>
    <row r="4016" spans="5:5">
      <c r="E4016"/>
    </row>
    <row r="4017" spans="5:5">
      <c r="E4017"/>
    </row>
    <row r="4018" spans="5:5">
      <c r="E4018"/>
    </row>
    <row r="4019" spans="5:5">
      <c r="E4019"/>
    </row>
    <row r="4020" spans="5:5">
      <c r="E4020"/>
    </row>
    <row r="4021" spans="5:5">
      <c r="E4021"/>
    </row>
    <row r="4022" spans="5:5">
      <c r="E4022"/>
    </row>
    <row r="4023" spans="5:5">
      <c r="E4023"/>
    </row>
    <row r="4024" spans="5:5">
      <c r="E4024"/>
    </row>
    <row r="4025" spans="5:5">
      <c r="E4025"/>
    </row>
    <row r="4026" spans="5:5">
      <c r="E4026"/>
    </row>
    <row r="4027" spans="5:5">
      <c r="E4027"/>
    </row>
    <row r="4028" spans="5:5">
      <c r="E4028"/>
    </row>
    <row r="4029" spans="5:5">
      <c r="E4029"/>
    </row>
    <row r="4030" spans="5:5">
      <c r="E4030"/>
    </row>
    <row r="4031" spans="5:5">
      <c r="E4031"/>
    </row>
    <row r="4032" spans="5:5">
      <c r="E4032"/>
    </row>
    <row r="4033" spans="5:5">
      <c r="E4033"/>
    </row>
    <row r="4034" spans="5:5">
      <c r="E4034"/>
    </row>
    <row r="4035" spans="5:5">
      <c r="E4035"/>
    </row>
    <row r="4036" spans="5:5">
      <c r="E4036"/>
    </row>
    <row r="4037" spans="5:5">
      <c r="E4037"/>
    </row>
    <row r="4038" spans="5:5">
      <c r="E4038"/>
    </row>
    <row r="4039" spans="5:5">
      <c r="E4039"/>
    </row>
    <row r="4040" spans="5:5">
      <c r="E4040"/>
    </row>
    <row r="4041" spans="5:5">
      <c r="E4041"/>
    </row>
    <row r="4042" spans="5:5">
      <c r="E4042"/>
    </row>
    <row r="4043" spans="5:5">
      <c r="E4043"/>
    </row>
    <row r="4044" spans="5:5">
      <c r="E4044"/>
    </row>
    <row r="4045" spans="5:5">
      <c r="E4045"/>
    </row>
    <row r="4046" spans="5:5">
      <c r="E4046"/>
    </row>
    <row r="4047" spans="5:5">
      <c r="E4047"/>
    </row>
    <row r="4048" spans="5:5">
      <c r="E4048"/>
    </row>
    <row r="4049" spans="5:5">
      <c r="E4049"/>
    </row>
    <row r="4050" spans="5:5">
      <c r="E4050"/>
    </row>
    <row r="4051" spans="5:5">
      <c r="E4051"/>
    </row>
    <row r="4052" spans="5:5">
      <c r="E4052"/>
    </row>
    <row r="4053" spans="5:5">
      <c r="E4053"/>
    </row>
    <row r="4054" spans="5:5">
      <c r="E4054"/>
    </row>
    <row r="4055" spans="5:5">
      <c r="E4055"/>
    </row>
    <row r="4056" spans="5:5">
      <c r="E4056"/>
    </row>
    <row r="4057" spans="5:5">
      <c r="E4057"/>
    </row>
    <row r="4058" spans="5:5">
      <c r="E4058"/>
    </row>
    <row r="4059" spans="5:5">
      <c r="E4059"/>
    </row>
    <row r="4060" spans="5:5">
      <c r="E4060"/>
    </row>
    <row r="4061" spans="5:5">
      <c r="E4061"/>
    </row>
    <row r="4062" spans="5:5">
      <c r="E4062"/>
    </row>
    <row r="4063" spans="5:5">
      <c r="E4063"/>
    </row>
    <row r="4064" spans="5:5">
      <c r="E4064"/>
    </row>
    <row r="4065" spans="5:5">
      <c r="E4065"/>
    </row>
    <row r="4066" spans="5:5">
      <c r="E4066"/>
    </row>
    <row r="4067" spans="5:5">
      <c r="E4067"/>
    </row>
    <row r="4068" spans="5:5">
      <c r="E4068"/>
    </row>
    <row r="4069" spans="5:5">
      <c r="E4069"/>
    </row>
    <row r="4070" spans="5:5">
      <c r="E4070"/>
    </row>
    <row r="4071" spans="5:5">
      <c r="E4071"/>
    </row>
    <row r="4072" spans="5:5">
      <c r="E4072"/>
    </row>
    <row r="4073" spans="5:5">
      <c r="E4073"/>
    </row>
    <row r="4074" spans="5:5">
      <c r="E4074"/>
    </row>
    <row r="4075" spans="5:5">
      <c r="E4075"/>
    </row>
    <row r="4076" spans="5:5">
      <c r="E4076"/>
    </row>
    <row r="4077" spans="5:5">
      <c r="E4077"/>
    </row>
    <row r="4078" spans="5:5">
      <c r="E4078"/>
    </row>
    <row r="4079" spans="5:5">
      <c r="E4079"/>
    </row>
    <row r="4080" spans="5:5">
      <c r="E4080"/>
    </row>
    <row r="4081" spans="5:5">
      <c r="E4081"/>
    </row>
    <row r="4082" spans="5:5">
      <c r="E4082"/>
    </row>
    <row r="4083" spans="5:5">
      <c r="E4083"/>
    </row>
    <row r="4084" spans="5:5">
      <c r="E4084"/>
    </row>
    <row r="4085" spans="5:5">
      <c r="E4085"/>
    </row>
    <row r="4086" spans="5:5">
      <c r="E4086"/>
    </row>
    <row r="4087" spans="5:5">
      <c r="E4087"/>
    </row>
    <row r="4088" spans="5:5">
      <c r="E4088"/>
    </row>
    <row r="4089" spans="5:5">
      <c r="E4089"/>
    </row>
    <row r="4090" spans="5:5">
      <c r="E4090"/>
    </row>
    <row r="4091" spans="5:5">
      <c r="E4091"/>
    </row>
    <row r="4092" spans="5:5">
      <c r="E4092"/>
    </row>
    <row r="4093" spans="5:5">
      <c r="E4093"/>
    </row>
    <row r="4094" spans="5:5">
      <c r="E4094"/>
    </row>
    <row r="4095" spans="5:5">
      <c r="E4095"/>
    </row>
    <row r="4096" spans="5:5">
      <c r="E4096"/>
    </row>
    <row r="4097" spans="5:5">
      <c r="E4097"/>
    </row>
    <row r="4098" spans="5:5">
      <c r="E4098"/>
    </row>
    <row r="4099" spans="5:5">
      <c r="E4099"/>
    </row>
    <row r="4100" spans="5:5">
      <c r="E4100"/>
    </row>
    <row r="4101" spans="5:5">
      <c r="E4101"/>
    </row>
    <row r="4102" spans="5:5">
      <c r="E4102"/>
    </row>
    <row r="4103" spans="5:5">
      <c r="E4103"/>
    </row>
    <row r="4104" spans="5:5">
      <c r="E4104"/>
    </row>
    <row r="4105" spans="5:5">
      <c r="E4105"/>
    </row>
    <row r="4106" spans="5:5">
      <c r="E4106"/>
    </row>
    <row r="4107" spans="5:5">
      <c r="E4107"/>
    </row>
    <row r="4108" spans="5:5">
      <c r="E4108"/>
    </row>
    <row r="4109" spans="5:5">
      <c r="E4109"/>
    </row>
    <row r="4110" spans="5:5">
      <c r="E4110"/>
    </row>
    <row r="4111" spans="5:5">
      <c r="E4111"/>
    </row>
    <row r="4112" spans="5:5">
      <c r="E4112"/>
    </row>
    <row r="4113" spans="5:5">
      <c r="E4113"/>
    </row>
    <row r="4114" spans="5:5">
      <c r="E4114"/>
    </row>
    <row r="4115" spans="5:5">
      <c r="E4115"/>
    </row>
    <row r="4116" spans="5:5">
      <c r="E4116"/>
    </row>
    <row r="4117" spans="5:5">
      <c r="E4117"/>
    </row>
    <row r="4118" spans="5:5">
      <c r="E4118"/>
    </row>
    <row r="4119" spans="5:5">
      <c r="E4119"/>
    </row>
    <row r="4120" spans="5:5">
      <c r="E4120"/>
    </row>
    <row r="4121" spans="5:5">
      <c r="E4121"/>
    </row>
    <row r="4122" spans="5:5">
      <c r="E4122"/>
    </row>
    <row r="4123" spans="5:5">
      <c r="E4123"/>
    </row>
    <row r="4124" spans="5:5">
      <c r="E4124"/>
    </row>
    <row r="4125" spans="5:5">
      <c r="E4125"/>
    </row>
    <row r="4126" spans="5:5">
      <c r="E4126"/>
    </row>
    <row r="4127" spans="5:5">
      <c r="E4127"/>
    </row>
    <row r="4128" spans="5:5">
      <c r="E4128"/>
    </row>
    <row r="4129" spans="5:5">
      <c r="E4129"/>
    </row>
    <row r="4130" spans="5:5">
      <c r="E4130"/>
    </row>
    <row r="4131" spans="5:5">
      <c r="E4131"/>
    </row>
    <row r="4132" spans="5:5">
      <c r="E4132"/>
    </row>
    <row r="4133" spans="5:5">
      <c r="E4133"/>
    </row>
    <row r="4134" spans="5:5">
      <c r="E4134"/>
    </row>
    <row r="4135" spans="5:5">
      <c r="E4135"/>
    </row>
    <row r="4136" spans="5:5">
      <c r="E4136"/>
    </row>
    <row r="4137" spans="5:5">
      <c r="E4137"/>
    </row>
    <row r="4138" spans="5:5">
      <c r="E4138"/>
    </row>
    <row r="4139" spans="5:5">
      <c r="E4139"/>
    </row>
    <row r="4140" spans="5:5">
      <c r="E4140"/>
    </row>
    <row r="4141" spans="5:5">
      <c r="E4141"/>
    </row>
    <row r="4142" spans="5:5">
      <c r="E4142"/>
    </row>
    <row r="4143" spans="5:5">
      <c r="E4143"/>
    </row>
    <row r="4144" spans="5:5">
      <c r="E4144"/>
    </row>
    <row r="4145" spans="5:5">
      <c r="E4145"/>
    </row>
    <row r="4146" spans="5:5">
      <c r="E4146"/>
    </row>
    <row r="4147" spans="5:5">
      <c r="E4147"/>
    </row>
    <row r="4148" spans="5:5">
      <c r="E4148"/>
    </row>
    <row r="4149" spans="5:5">
      <c r="E4149"/>
    </row>
    <row r="4150" spans="5:5">
      <c r="E4150"/>
    </row>
    <row r="4151" spans="5:5">
      <c r="E4151"/>
    </row>
    <row r="4152" spans="5:5">
      <c r="E4152"/>
    </row>
    <row r="4153" spans="5:5">
      <c r="E4153"/>
    </row>
    <row r="4154" spans="5:5">
      <c r="E4154"/>
    </row>
    <row r="4155" spans="5:5">
      <c r="E4155"/>
    </row>
    <row r="4156" spans="5:5">
      <c r="E4156"/>
    </row>
    <row r="4157" spans="5:5">
      <c r="E4157"/>
    </row>
    <row r="4158" spans="5:5">
      <c r="E4158"/>
    </row>
    <row r="4159" spans="5:5">
      <c r="E4159"/>
    </row>
    <row r="4160" spans="5:5">
      <c r="E4160"/>
    </row>
    <row r="4161" spans="5:5">
      <c r="E4161"/>
    </row>
    <row r="4162" spans="5:5">
      <c r="E4162"/>
    </row>
    <row r="4163" spans="5:5">
      <c r="E4163"/>
    </row>
    <row r="4164" spans="5:5">
      <c r="E4164"/>
    </row>
    <row r="4165" spans="5:5">
      <c r="E4165"/>
    </row>
    <row r="4166" spans="5:5">
      <c r="E4166"/>
    </row>
    <row r="4167" spans="5:5">
      <c r="E4167"/>
    </row>
    <row r="4168" spans="5:5">
      <c r="E4168"/>
    </row>
    <row r="4169" spans="5:5">
      <c r="E4169"/>
    </row>
    <row r="4170" spans="5:5">
      <c r="E4170"/>
    </row>
    <row r="4171" spans="5:5">
      <c r="E4171"/>
    </row>
    <row r="4172" spans="5:5">
      <c r="E4172"/>
    </row>
    <row r="4173" spans="5:5">
      <c r="E4173"/>
    </row>
    <row r="4174" spans="5:5">
      <c r="E4174"/>
    </row>
    <row r="4175" spans="5:5">
      <c r="E4175"/>
    </row>
    <row r="4176" spans="5:5">
      <c r="E4176"/>
    </row>
    <row r="4177" spans="5:5">
      <c r="E4177"/>
    </row>
    <row r="4178" spans="5:5">
      <c r="E4178"/>
    </row>
    <row r="4179" spans="5:5">
      <c r="E4179"/>
    </row>
    <row r="4180" spans="5:5">
      <c r="E4180"/>
    </row>
    <row r="4181" spans="5:5">
      <c r="E4181"/>
    </row>
    <row r="4182" spans="5:5">
      <c r="E4182"/>
    </row>
    <row r="4183" spans="5:5">
      <c r="E4183"/>
    </row>
    <row r="4184" spans="5:5">
      <c r="E4184"/>
    </row>
    <row r="4185" spans="5:5">
      <c r="E4185"/>
    </row>
    <row r="4186" spans="5:5">
      <c r="E4186"/>
    </row>
    <row r="4187" spans="5:5">
      <c r="E4187"/>
    </row>
    <row r="4188" spans="5:5">
      <c r="E4188"/>
    </row>
    <row r="4189" spans="5:5">
      <c r="E4189"/>
    </row>
    <row r="4190" spans="5:5">
      <c r="E4190"/>
    </row>
    <row r="4191" spans="5:5">
      <c r="E4191"/>
    </row>
    <row r="4192" spans="5:5">
      <c r="E4192"/>
    </row>
    <row r="4193" spans="5:5">
      <c r="E4193"/>
    </row>
    <row r="4194" spans="5:5">
      <c r="E4194"/>
    </row>
    <row r="4195" spans="5:5">
      <c r="E4195"/>
    </row>
    <row r="4196" spans="5:5">
      <c r="E4196"/>
    </row>
    <row r="4197" spans="5:5">
      <c r="E4197"/>
    </row>
    <row r="4198" spans="5:5">
      <c r="E4198"/>
    </row>
    <row r="4199" spans="5:5">
      <c r="E4199"/>
    </row>
    <row r="4200" spans="5:5">
      <c r="E4200"/>
    </row>
    <row r="4201" spans="5:5">
      <c r="E4201"/>
    </row>
    <row r="4202" spans="5:5">
      <c r="E4202"/>
    </row>
    <row r="4203" spans="5:5">
      <c r="E4203"/>
    </row>
    <row r="4204" spans="5:5">
      <c r="E4204"/>
    </row>
    <row r="4205" spans="5:5">
      <c r="E4205"/>
    </row>
    <row r="4206" spans="5:5">
      <c r="E4206"/>
    </row>
    <row r="4207" spans="5:5">
      <c r="E4207"/>
    </row>
    <row r="4208" spans="5:5">
      <c r="E4208"/>
    </row>
    <row r="4209" spans="5:5">
      <c r="E4209"/>
    </row>
    <row r="4210" spans="5:5">
      <c r="E4210"/>
    </row>
    <row r="4211" spans="5:5">
      <c r="E4211"/>
    </row>
    <row r="4212" spans="5:5">
      <c r="E4212"/>
    </row>
    <row r="4213" spans="5:5">
      <c r="E4213"/>
    </row>
    <row r="4214" spans="5:5">
      <c r="E4214"/>
    </row>
    <row r="4215" spans="5:5">
      <c r="E4215"/>
    </row>
    <row r="4216" spans="5:5">
      <c r="E4216"/>
    </row>
    <row r="4217" spans="5:5">
      <c r="E4217"/>
    </row>
    <row r="4218" spans="5:5">
      <c r="E4218"/>
    </row>
    <row r="4219" spans="5:5">
      <c r="E4219"/>
    </row>
    <row r="4220" spans="5:5">
      <c r="E4220"/>
    </row>
    <row r="4221" spans="5:5">
      <c r="E4221"/>
    </row>
    <row r="4222" spans="5:5">
      <c r="E4222"/>
    </row>
    <row r="4223" spans="5:5">
      <c r="E4223"/>
    </row>
    <row r="4224" spans="5:5">
      <c r="E4224"/>
    </row>
    <row r="4225" spans="5:5">
      <c r="E4225"/>
    </row>
    <row r="4226" spans="5:5">
      <c r="E4226"/>
    </row>
    <row r="4227" spans="5:5">
      <c r="E4227"/>
    </row>
    <row r="4228" spans="5:5">
      <c r="E4228"/>
    </row>
    <row r="4229" spans="5:5">
      <c r="E4229"/>
    </row>
    <row r="4230" spans="5:5">
      <c r="E4230"/>
    </row>
    <row r="4231" spans="5:5">
      <c r="E4231"/>
    </row>
    <row r="4232" spans="5:5">
      <c r="E4232"/>
    </row>
    <row r="4233" spans="5:5">
      <c r="E4233"/>
    </row>
    <row r="4234" spans="5:5">
      <c r="E4234"/>
    </row>
    <row r="4235" spans="5:5">
      <c r="E4235"/>
    </row>
    <row r="4236" spans="5:5">
      <c r="E4236"/>
    </row>
    <row r="4237" spans="5:5">
      <c r="E4237"/>
    </row>
    <row r="4238" spans="5:5">
      <c r="E4238"/>
    </row>
    <row r="4239" spans="5:5">
      <c r="E4239"/>
    </row>
    <row r="4240" spans="5:5">
      <c r="E4240"/>
    </row>
    <row r="4241" spans="5:5">
      <c r="E4241"/>
    </row>
    <row r="4242" spans="5:5">
      <c r="E4242"/>
    </row>
    <row r="4243" spans="5:5">
      <c r="E4243"/>
    </row>
    <row r="4244" spans="5:5">
      <c r="E4244"/>
    </row>
    <row r="4245" spans="5:5">
      <c r="E4245"/>
    </row>
    <row r="4246" spans="5:5">
      <c r="E4246"/>
    </row>
    <row r="4247" spans="5:5">
      <c r="E4247"/>
    </row>
    <row r="4248" spans="5:5">
      <c r="E4248"/>
    </row>
    <row r="4249" spans="5:5">
      <c r="E4249"/>
    </row>
    <row r="4250" spans="5:5">
      <c r="E4250"/>
    </row>
    <row r="4251" spans="5:5">
      <c r="E4251"/>
    </row>
    <row r="4252" spans="5:5">
      <c r="E4252"/>
    </row>
    <row r="4253" spans="5:5">
      <c r="E4253"/>
    </row>
    <row r="4254" spans="5:5">
      <c r="E4254"/>
    </row>
    <row r="4255" spans="5:5">
      <c r="E4255"/>
    </row>
    <row r="4256" spans="5:5">
      <c r="E4256"/>
    </row>
    <row r="4257" spans="5:5">
      <c r="E4257"/>
    </row>
    <row r="4258" spans="5:5">
      <c r="E4258"/>
    </row>
    <row r="4259" spans="5:5">
      <c r="E4259"/>
    </row>
    <row r="4260" spans="5:5">
      <c r="E4260"/>
    </row>
    <row r="4261" spans="5:5">
      <c r="E4261"/>
    </row>
    <row r="4262" spans="5:5">
      <c r="E4262"/>
    </row>
    <row r="4263" spans="5:5">
      <c r="E4263"/>
    </row>
    <row r="4264" spans="5:5">
      <c r="E4264"/>
    </row>
    <row r="4265" spans="5:5">
      <c r="E4265"/>
    </row>
    <row r="4266" spans="5:5">
      <c r="E4266"/>
    </row>
    <row r="4267" spans="5:5">
      <c r="E4267"/>
    </row>
    <row r="4268" spans="5:5">
      <c r="E4268"/>
    </row>
    <row r="4269" spans="5:5">
      <c r="E4269"/>
    </row>
    <row r="4270" spans="5:5">
      <c r="E4270"/>
    </row>
    <row r="4271" spans="5:5">
      <c r="E4271"/>
    </row>
    <row r="4272" spans="5:5">
      <c r="E4272"/>
    </row>
    <row r="4273" spans="5:5">
      <c r="E4273"/>
    </row>
    <row r="4274" spans="5:5">
      <c r="E4274"/>
    </row>
    <row r="4275" spans="5:5">
      <c r="E4275"/>
    </row>
    <row r="4276" spans="5:5">
      <c r="E4276"/>
    </row>
    <row r="4277" spans="5:5">
      <c r="E4277"/>
    </row>
    <row r="4278" spans="5:5">
      <c r="E4278"/>
    </row>
    <row r="4279" spans="5:5">
      <c r="E4279"/>
    </row>
    <row r="4280" spans="5:5">
      <c r="E4280"/>
    </row>
    <row r="4281" spans="5:5">
      <c r="E4281"/>
    </row>
    <row r="4282" spans="5:5">
      <c r="E4282"/>
    </row>
    <row r="4283" spans="5:5">
      <c r="E4283"/>
    </row>
    <row r="4284" spans="5:5">
      <c r="E4284"/>
    </row>
    <row r="4285" spans="5:5">
      <c r="E4285"/>
    </row>
    <row r="4286" spans="5:5">
      <c r="E4286"/>
    </row>
    <row r="4287" spans="5:5">
      <c r="E4287"/>
    </row>
    <row r="4288" spans="5:5">
      <c r="E4288"/>
    </row>
    <row r="4289" spans="5:5">
      <c r="E4289"/>
    </row>
    <row r="4290" spans="5:5">
      <c r="E4290"/>
    </row>
    <row r="4291" spans="5:5">
      <c r="E4291"/>
    </row>
    <row r="4292" spans="5:5">
      <c r="E4292"/>
    </row>
    <row r="4293" spans="5:5">
      <c r="E4293"/>
    </row>
    <row r="4294" spans="5:5">
      <c r="E4294"/>
    </row>
    <row r="4295" spans="5:5">
      <c r="E4295"/>
    </row>
    <row r="4296" spans="5:5">
      <c r="E4296"/>
    </row>
    <row r="4297" spans="5:5">
      <c r="E4297"/>
    </row>
    <row r="4298" spans="5:5">
      <c r="E4298"/>
    </row>
    <row r="4299" spans="5:5">
      <c r="E4299"/>
    </row>
    <row r="4300" spans="5:5">
      <c r="E4300"/>
    </row>
    <row r="4301" spans="5:5">
      <c r="E4301"/>
    </row>
    <row r="4302" spans="5:5">
      <c r="E4302"/>
    </row>
    <row r="4303" spans="5:5">
      <c r="E4303"/>
    </row>
    <row r="4304" spans="5:5">
      <c r="E4304"/>
    </row>
    <row r="4305" spans="5:5">
      <c r="E4305"/>
    </row>
    <row r="4306" spans="5:5">
      <c r="E4306"/>
    </row>
    <row r="4307" spans="5:5">
      <c r="E4307"/>
    </row>
    <row r="4308" spans="5:5">
      <c r="E4308"/>
    </row>
    <row r="4309" spans="5:5">
      <c r="E4309"/>
    </row>
    <row r="4310" spans="5:5">
      <c r="E4310"/>
    </row>
    <row r="4311" spans="5:5">
      <c r="E4311"/>
    </row>
    <row r="4312" spans="5:5">
      <c r="E4312"/>
    </row>
    <row r="4313" spans="5:5">
      <c r="E4313"/>
    </row>
    <row r="4314" spans="5:5">
      <c r="E4314"/>
    </row>
    <row r="4315" spans="5:5">
      <c r="E4315"/>
    </row>
    <row r="4316" spans="5:5">
      <c r="E4316"/>
    </row>
    <row r="4317" spans="5:5">
      <c r="E4317"/>
    </row>
    <row r="4318" spans="5:5">
      <c r="E4318"/>
    </row>
    <row r="4319" spans="5:5">
      <c r="E4319"/>
    </row>
    <row r="4320" spans="5:5">
      <c r="E4320"/>
    </row>
    <row r="4321" spans="5:5">
      <c r="E4321"/>
    </row>
    <row r="4322" spans="5:5">
      <c r="E4322"/>
    </row>
    <row r="4323" spans="5:5">
      <c r="E4323"/>
    </row>
    <row r="4324" spans="5:5">
      <c r="E4324"/>
    </row>
    <row r="4325" spans="5:5">
      <c r="E4325"/>
    </row>
    <row r="4326" spans="5:5">
      <c r="E4326"/>
    </row>
    <row r="4327" spans="5:5">
      <c r="E4327"/>
    </row>
    <row r="4328" spans="5:5">
      <c r="E4328"/>
    </row>
    <row r="4329" spans="5:5">
      <c r="E4329"/>
    </row>
    <row r="4330" spans="5:5">
      <c r="E4330"/>
    </row>
    <row r="4331" spans="5:5">
      <c r="E4331"/>
    </row>
    <row r="4332" spans="5:5">
      <c r="E4332"/>
    </row>
    <row r="4333" spans="5:5">
      <c r="E4333"/>
    </row>
    <row r="4334" spans="5:5">
      <c r="E4334"/>
    </row>
    <row r="4335" spans="5:5">
      <c r="E4335"/>
    </row>
    <row r="4336" spans="5:5">
      <c r="E4336"/>
    </row>
    <row r="4337" spans="5:5">
      <c r="E4337"/>
    </row>
    <row r="4338" spans="5:5">
      <c r="E4338"/>
    </row>
    <row r="4339" spans="5:5">
      <c r="E4339"/>
    </row>
    <row r="4340" spans="5:5">
      <c r="E4340"/>
    </row>
    <row r="4341" spans="5:5">
      <c r="E4341"/>
    </row>
    <row r="4342" spans="5:5">
      <c r="E4342"/>
    </row>
    <row r="4343" spans="5:5">
      <c r="E4343"/>
    </row>
    <row r="4344" spans="5:5">
      <c r="E4344"/>
    </row>
    <row r="4345" spans="5:5">
      <c r="E4345"/>
    </row>
    <row r="4346" spans="5:5">
      <c r="E4346"/>
    </row>
    <row r="4347" spans="5:5">
      <c r="E4347"/>
    </row>
    <row r="4348" spans="5:5">
      <c r="E4348"/>
    </row>
    <row r="4349" spans="5:5">
      <c r="E4349"/>
    </row>
    <row r="4350" spans="5:5">
      <c r="E4350"/>
    </row>
    <row r="4351" spans="5:5">
      <c r="E4351"/>
    </row>
    <row r="4352" spans="5:5">
      <c r="E4352"/>
    </row>
    <row r="4353" spans="5:5">
      <c r="E4353"/>
    </row>
    <row r="4354" spans="5:5">
      <c r="E4354"/>
    </row>
    <row r="4355" spans="5:5">
      <c r="E4355"/>
    </row>
    <row r="4356" spans="5:5">
      <c r="E4356"/>
    </row>
    <row r="4357" spans="5:5">
      <c r="E4357"/>
    </row>
    <row r="4358" spans="5:5">
      <c r="E4358"/>
    </row>
    <row r="4359" spans="5:5">
      <c r="E4359"/>
    </row>
    <row r="4360" spans="5:5">
      <c r="E4360"/>
    </row>
    <row r="4361" spans="5:5">
      <c r="E4361"/>
    </row>
    <row r="4362" spans="5:5">
      <c r="E4362"/>
    </row>
    <row r="4363" spans="5:5">
      <c r="E4363"/>
    </row>
    <row r="4364" spans="5:5">
      <c r="E4364"/>
    </row>
    <row r="4365" spans="5:5">
      <c r="E4365"/>
    </row>
    <row r="4366" spans="5:5">
      <c r="E4366"/>
    </row>
    <row r="4367" spans="5:5">
      <c r="E4367"/>
    </row>
    <row r="4368" spans="5:5">
      <c r="E4368"/>
    </row>
    <row r="4369" spans="5:5">
      <c r="E4369"/>
    </row>
    <row r="4370" spans="5:5">
      <c r="E4370"/>
    </row>
    <row r="4371" spans="5:5">
      <c r="E4371"/>
    </row>
    <row r="4372" spans="5:5">
      <c r="E4372"/>
    </row>
    <row r="4373" spans="5:5">
      <c r="E4373"/>
    </row>
    <row r="4374" spans="5:5">
      <c r="E4374"/>
    </row>
    <row r="4375" spans="5:5">
      <c r="E4375"/>
    </row>
    <row r="4376" spans="5:5">
      <c r="E4376"/>
    </row>
    <row r="4377" spans="5:5">
      <c r="E4377"/>
    </row>
    <row r="4378" spans="5:5">
      <c r="E4378"/>
    </row>
    <row r="4379" spans="5:5">
      <c r="E4379"/>
    </row>
    <row r="4380" spans="5:5">
      <c r="E4380"/>
    </row>
    <row r="4381" spans="5:5">
      <c r="E4381"/>
    </row>
    <row r="4382" spans="5:5">
      <c r="E4382"/>
    </row>
    <row r="4383" spans="5:5">
      <c r="E4383"/>
    </row>
    <row r="4384" spans="5:5">
      <c r="E4384"/>
    </row>
    <row r="4385" spans="5:5">
      <c r="E4385"/>
    </row>
    <row r="4386" spans="5:5">
      <c r="E4386"/>
    </row>
    <row r="4387" spans="5:5">
      <c r="E4387"/>
    </row>
    <row r="4388" spans="5:5">
      <c r="E4388"/>
    </row>
    <row r="4389" spans="5:5">
      <c r="E4389"/>
    </row>
    <row r="4390" spans="5:5">
      <c r="E4390"/>
    </row>
    <row r="4391" spans="5:5">
      <c r="E4391"/>
    </row>
    <row r="4392" spans="5:5">
      <c r="E4392"/>
    </row>
    <row r="4393" spans="5:5">
      <c r="E4393"/>
    </row>
    <row r="4394" spans="5:5">
      <c r="E4394"/>
    </row>
    <row r="4395" spans="5:5">
      <c r="E4395"/>
    </row>
    <row r="4396" spans="5:5">
      <c r="E4396"/>
    </row>
    <row r="4397" spans="5:5">
      <c r="E4397"/>
    </row>
    <row r="4398" spans="5:5">
      <c r="E4398"/>
    </row>
    <row r="4399" spans="5:5">
      <c r="E4399"/>
    </row>
    <row r="4400" spans="5:5">
      <c r="E4400"/>
    </row>
    <row r="4401" spans="5:5">
      <c r="E4401"/>
    </row>
    <row r="4402" spans="5:5">
      <c r="E4402"/>
    </row>
    <row r="4403" spans="5:5">
      <c r="E4403"/>
    </row>
    <row r="4404" spans="5:5">
      <c r="E4404"/>
    </row>
    <row r="4405" spans="5:5">
      <c r="E4405"/>
    </row>
    <row r="4406" spans="5:5">
      <c r="E4406"/>
    </row>
    <row r="4407" spans="5:5">
      <c r="E4407"/>
    </row>
    <row r="4408" spans="5:5">
      <c r="E4408"/>
    </row>
    <row r="4409" spans="5:5">
      <c r="E4409"/>
    </row>
    <row r="4410" spans="5:5">
      <c r="E4410"/>
    </row>
    <row r="4411" spans="5:5">
      <c r="E4411"/>
    </row>
    <row r="4412" spans="5:5">
      <c r="E4412"/>
    </row>
    <row r="4413" spans="5:5">
      <c r="E4413"/>
    </row>
    <row r="4414" spans="5:5">
      <c r="E4414"/>
    </row>
    <row r="4415" spans="5:5">
      <c r="E4415"/>
    </row>
    <row r="4416" spans="5:5">
      <c r="E4416"/>
    </row>
    <row r="4417" spans="5:5">
      <c r="E4417"/>
    </row>
    <row r="4418" spans="5:5">
      <c r="E4418"/>
    </row>
    <row r="4419" spans="5:5">
      <c r="E4419"/>
    </row>
    <row r="4420" spans="5:5">
      <c r="E4420"/>
    </row>
    <row r="4421" spans="5:5">
      <c r="E4421"/>
    </row>
    <row r="4422" spans="5:5">
      <c r="E4422"/>
    </row>
    <row r="4423" spans="5:5">
      <c r="E4423"/>
    </row>
    <row r="4424" spans="5:5">
      <c r="E4424"/>
    </row>
    <row r="4425" spans="5:5">
      <c r="E4425"/>
    </row>
    <row r="4426" spans="5:5">
      <c r="E4426"/>
    </row>
    <row r="4427" spans="5:5">
      <c r="E4427"/>
    </row>
    <row r="4428" spans="5:5">
      <c r="E4428"/>
    </row>
    <row r="4429" spans="5:5">
      <c r="E4429"/>
    </row>
    <row r="4430" spans="5:5">
      <c r="E4430"/>
    </row>
    <row r="4431" spans="5:5">
      <c r="E4431"/>
    </row>
    <row r="4432" spans="5:5">
      <c r="E4432"/>
    </row>
    <row r="4433" spans="5:5">
      <c r="E4433"/>
    </row>
    <row r="4434" spans="5:5">
      <c r="E4434"/>
    </row>
    <row r="4435" spans="5:5">
      <c r="E4435"/>
    </row>
    <row r="4436" spans="5:5">
      <c r="E4436"/>
    </row>
    <row r="4437" spans="5:5">
      <c r="E4437"/>
    </row>
    <row r="4438" spans="5:5">
      <c r="E4438"/>
    </row>
    <row r="4439" spans="5:5">
      <c r="E4439"/>
    </row>
    <row r="4440" spans="5:5">
      <c r="E4440"/>
    </row>
    <row r="4441" spans="5:5">
      <c r="E4441"/>
    </row>
    <row r="4442" spans="5:5">
      <c r="E4442"/>
    </row>
    <row r="4443" spans="5:5">
      <c r="E4443"/>
    </row>
    <row r="4444" spans="5:5">
      <c r="E4444"/>
    </row>
    <row r="4445" spans="5:5">
      <c r="E4445"/>
    </row>
    <row r="4446" spans="5:5">
      <c r="E4446"/>
    </row>
    <row r="4447" spans="5:5">
      <c r="E4447"/>
    </row>
    <row r="4448" spans="5:5">
      <c r="E4448"/>
    </row>
    <row r="4449" spans="5:5">
      <c r="E4449"/>
    </row>
    <row r="4450" spans="5:5">
      <c r="E4450"/>
    </row>
    <row r="4451" spans="5:5">
      <c r="E4451"/>
    </row>
    <row r="4452" spans="5:5">
      <c r="E4452"/>
    </row>
    <row r="4453" spans="5:5">
      <c r="E4453"/>
    </row>
    <row r="4454" spans="5:5">
      <c r="E4454"/>
    </row>
    <row r="4455" spans="5:5">
      <c r="E4455"/>
    </row>
    <row r="4456" spans="5:5">
      <c r="E4456"/>
    </row>
    <row r="4457" spans="5:5">
      <c r="E4457"/>
    </row>
    <row r="4458" spans="5:5">
      <c r="E4458"/>
    </row>
    <row r="4459" spans="5:5">
      <c r="E4459"/>
    </row>
    <row r="4460" spans="5:5">
      <c r="E4460"/>
    </row>
    <row r="4461" spans="5:5">
      <c r="E4461"/>
    </row>
    <row r="4462" spans="5:5">
      <c r="E4462"/>
    </row>
    <row r="4463" spans="5:5">
      <c r="E4463"/>
    </row>
    <row r="4464" spans="5:5">
      <c r="E4464"/>
    </row>
    <row r="4465" spans="5:5">
      <c r="E4465"/>
    </row>
    <row r="4466" spans="5:5">
      <c r="E4466"/>
    </row>
    <row r="4467" spans="5:5">
      <c r="E4467"/>
    </row>
    <row r="4468" spans="5:5">
      <c r="E4468"/>
    </row>
    <row r="4469" spans="5:5">
      <c r="E4469"/>
    </row>
    <row r="4470" spans="5:5">
      <c r="E4470"/>
    </row>
    <row r="4471" spans="5:5">
      <c r="E4471"/>
    </row>
    <row r="4472" spans="5:5">
      <c r="E4472"/>
    </row>
    <row r="4473" spans="5:5">
      <c r="E4473"/>
    </row>
    <row r="4474" spans="5:5">
      <c r="E4474"/>
    </row>
    <row r="4475" spans="5:5">
      <c r="E4475"/>
    </row>
    <row r="4476" spans="5:5">
      <c r="E4476"/>
    </row>
    <row r="4477" spans="5:5">
      <c r="E4477"/>
    </row>
    <row r="4478" spans="5:5">
      <c r="E4478"/>
    </row>
    <row r="4479" spans="5:5">
      <c r="E4479"/>
    </row>
    <row r="4480" spans="5:5">
      <c r="E4480"/>
    </row>
    <row r="4481" spans="5:5">
      <c r="E4481"/>
    </row>
    <row r="4482" spans="5:5">
      <c r="E4482"/>
    </row>
    <row r="4483" spans="5:5">
      <c r="E4483"/>
    </row>
    <row r="4484" spans="5:5">
      <c r="E4484"/>
    </row>
    <row r="4485" spans="5:5">
      <c r="E4485"/>
    </row>
    <row r="4486" spans="5:5">
      <c r="E4486"/>
    </row>
    <row r="4487" spans="5:5">
      <c r="E4487"/>
    </row>
    <row r="4488" spans="5:5">
      <c r="E4488"/>
    </row>
    <row r="4489" spans="5:5">
      <c r="E4489"/>
    </row>
    <row r="4490" spans="5:5">
      <c r="E4490"/>
    </row>
    <row r="4491" spans="5:5">
      <c r="E4491"/>
    </row>
    <row r="4492" spans="5:5">
      <c r="E4492"/>
    </row>
    <row r="4493" spans="5:5">
      <c r="E4493"/>
    </row>
    <row r="4494" spans="5:5">
      <c r="E4494"/>
    </row>
    <row r="4495" spans="5:5">
      <c r="E4495"/>
    </row>
    <row r="4496" spans="5:5">
      <c r="E4496"/>
    </row>
    <row r="4497" spans="5:5">
      <c r="E4497"/>
    </row>
    <row r="4498" spans="5:5">
      <c r="E4498"/>
    </row>
    <row r="4499" spans="5:5">
      <c r="E4499"/>
    </row>
    <row r="4500" spans="5:5">
      <c r="E4500"/>
    </row>
    <row r="4501" spans="5:5">
      <c r="E4501"/>
    </row>
    <row r="4502" spans="5:5">
      <c r="E4502"/>
    </row>
    <row r="4503" spans="5:5">
      <c r="E4503"/>
    </row>
    <row r="4504" spans="5:5">
      <c r="E4504"/>
    </row>
    <row r="4505" spans="5:5">
      <c r="E4505"/>
    </row>
    <row r="4506" spans="5:5">
      <c r="E4506"/>
    </row>
    <row r="4507" spans="5:5">
      <c r="E4507"/>
    </row>
    <row r="4508" spans="5:5">
      <c r="E4508"/>
    </row>
    <row r="4509" spans="5:5">
      <c r="E4509"/>
    </row>
    <row r="4510" spans="5:5">
      <c r="E4510"/>
    </row>
    <row r="4511" spans="5:5">
      <c r="E4511"/>
    </row>
    <row r="4512" spans="5:5">
      <c r="E4512"/>
    </row>
    <row r="4513" spans="5:5">
      <c r="E4513"/>
    </row>
    <row r="4514" spans="5:5">
      <c r="E4514"/>
    </row>
    <row r="4515" spans="5:5">
      <c r="E4515"/>
    </row>
    <row r="4516" spans="5:5">
      <c r="E4516"/>
    </row>
    <row r="4517" spans="5:5">
      <c r="E4517"/>
    </row>
    <row r="4518" spans="5:5">
      <c r="E4518"/>
    </row>
    <row r="4519" spans="5:5">
      <c r="E4519"/>
    </row>
    <row r="4520" spans="5:5">
      <c r="E4520"/>
    </row>
    <row r="4521" spans="5:5">
      <c r="E4521"/>
    </row>
    <row r="4522" spans="5:5">
      <c r="E4522"/>
    </row>
    <row r="4523" spans="5:5">
      <c r="E4523"/>
    </row>
    <row r="4524" spans="5:5">
      <c r="E4524"/>
    </row>
    <row r="4525" spans="5:5">
      <c r="E4525"/>
    </row>
    <row r="4526" spans="5:5">
      <c r="E4526"/>
    </row>
    <row r="4527" spans="5:5">
      <c r="E4527"/>
    </row>
    <row r="4528" spans="5:5">
      <c r="E4528"/>
    </row>
    <row r="4529" spans="5:5">
      <c r="E4529"/>
    </row>
    <row r="4530" spans="5:5">
      <c r="E4530"/>
    </row>
    <row r="4531" spans="5:5">
      <c r="E4531"/>
    </row>
    <row r="4532" spans="5:5">
      <c r="E4532"/>
    </row>
    <row r="4533" spans="5:5">
      <c r="E4533"/>
    </row>
    <row r="4534" spans="5:5">
      <c r="E4534"/>
    </row>
    <row r="4535" spans="5:5">
      <c r="E4535"/>
    </row>
    <row r="4536" spans="5:5">
      <c r="E4536"/>
    </row>
    <row r="4537" spans="5:5">
      <c r="E4537"/>
    </row>
    <row r="4538" spans="5:5">
      <c r="E4538"/>
    </row>
    <row r="4539" spans="5:5">
      <c r="E4539"/>
    </row>
    <row r="4540" spans="5:5">
      <c r="E4540"/>
    </row>
    <row r="4541" spans="5:5">
      <c r="E4541"/>
    </row>
    <row r="4542" spans="5:5">
      <c r="E4542"/>
    </row>
    <row r="4543" spans="5:5">
      <c r="E4543"/>
    </row>
    <row r="4544" spans="5:5">
      <c r="E4544"/>
    </row>
    <row r="4545" spans="5:5">
      <c r="E4545"/>
    </row>
    <row r="4546" spans="5:5">
      <c r="E4546"/>
    </row>
    <row r="4547" spans="5:5">
      <c r="E4547"/>
    </row>
    <row r="4548" spans="5:5">
      <c r="E4548"/>
    </row>
    <row r="4549" spans="5:5">
      <c r="E4549"/>
    </row>
    <row r="4550" spans="5:5">
      <c r="E4550"/>
    </row>
    <row r="4551" spans="5:5">
      <c r="E4551"/>
    </row>
    <row r="4552" spans="5:5">
      <c r="E4552"/>
    </row>
    <row r="4553" spans="5:5">
      <c r="E4553"/>
    </row>
    <row r="4554" spans="5:5">
      <c r="E4554"/>
    </row>
    <row r="4555" spans="5:5">
      <c r="E4555"/>
    </row>
    <row r="4556" spans="5:5">
      <c r="E4556"/>
    </row>
    <row r="4557" spans="5:5">
      <c r="E4557"/>
    </row>
    <row r="4558" spans="5:5">
      <c r="E4558"/>
    </row>
    <row r="4559" spans="5:5">
      <c r="E4559"/>
    </row>
    <row r="4560" spans="5:5">
      <c r="E4560"/>
    </row>
    <row r="4561" spans="5:5">
      <c r="E4561"/>
    </row>
    <row r="4562" spans="5:5">
      <c r="E4562"/>
    </row>
    <row r="4563" spans="5:5">
      <c r="E4563"/>
    </row>
    <row r="4564" spans="5:5">
      <c r="E4564"/>
    </row>
    <row r="4565" spans="5:5">
      <c r="E4565"/>
    </row>
    <row r="4566" spans="5:5">
      <c r="E4566"/>
    </row>
    <row r="4567" spans="5:5">
      <c r="E4567"/>
    </row>
    <row r="4568" spans="5:5">
      <c r="E4568"/>
    </row>
    <row r="4569" spans="5:5">
      <c r="E4569"/>
    </row>
    <row r="4570" spans="5:5">
      <c r="E4570"/>
    </row>
    <row r="4571" spans="5:5">
      <c r="E4571"/>
    </row>
    <row r="4572" spans="5:5">
      <c r="E4572"/>
    </row>
    <row r="4573" spans="5:5">
      <c r="E4573"/>
    </row>
    <row r="4574" spans="5:5">
      <c r="E4574"/>
    </row>
    <row r="4575" spans="5:5">
      <c r="E4575"/>
    </row>
    <row r="4576" spans="5:5">
      <c r="E4576"/>
    </row>
    <row r="4577" spans="5:5">
      <c r="E4577"/>
    </row>
    <row r="4578" spans="5:5">
      <c r="E4578"/>
    </row>
    <row r="4579" spans="5:5">
      <c r="E4579"/>
    </row>
    <row r="4580" spans="5:5">
      <c r="E4580"/>
    </row>
    <row r="4581" spans="5:5">
      <c r="E4581"/>
    </row>
    <row r="4582" spans="5:5">
      <c r="E4582"/>
    </row>
    <row r="4583" spans="5:5">
      <c r="E4583"/>
    </row>
    <row r="4584" spans="5:5">
      <c r="E4584"/>
    </row>
    <row r="4585" spans="5:5">
      <c r="E4585"/>
    </row>
    <row r="4586" spans="5:5">
      <c r="E4586"/>
    </row>
    <row r="4587" spans="5:5">
      <c r="E4587"/>
    </row>
    <row r="4588" spans="5:5">
      <c r="E4588"/>
    </row>
    <row r="4589" spans="5:5">
      <c r="E4589"/>
    </row>
    <row r="4590" spans="5:5">
      <c r="E4590"/>
    </row>
    <row r="4591" spans="5:5">
      <c r="E4591"/>
    </row>
    <row r="4592" spans="5:5">
      <c r="E4592"/>
    </row>
    <row r="4593" spans="5:5">
      <c r="E4593"/>
    </row>
    <row r="4594" spans="5:5">
      <c r="E4594"/>
    </row>
    <row r="4595" spans="5:5">
      <c r="E4595"/>
    </row>
    <row r="4596" spans="5:5">
      <c r="E4596"/>
    </row>
    <row r="4597" spans="5:5">
      <c r="E4597"/>
    </row>
    <row r="4598" spans="5:5">
      <c r="E4598"/>
    </row>
    <row r="4599" spans="5:5">
      <c r="E4599"/>
    </row>
    <row r="4600" spans="5:5">
      <c r="E4600"/>
    </row>
    <row r="4601" spans="5:5">
      <c r="E4601"/>
    </row>
    <row r="4602" spans="5:5">
      <c r="E4602"/>
    </row>
    <row r="4603" spans="5:5">
      <c r="E4603"/>
    </row>
    <row r="4604" spans="5:5">
      <c r="E4604"/>
    </row>
    <row r="4605" spans="5:5">
      <c r="E4605"/>
    </row>
    <row r="4606" spans="5:5">
      <c r="E4606"/>
    </row>
    <row r="4607" spans="5:5">
      <c r="E4607"/>
    </row>
    <row r="4608" spans="5:5">
      <c r="E4608"/>
    </row>
    <row r="4609" spans="5:5">
      <c r="E4609"/>
    </row>
    <row r="4610" spans="5:5">
      <c r="E4610"/>
    </row>
    <row r="4611" spans="5:5">
      <c r="E4611"/>
    </row>
    <row r="4612" spans="5:5">
      <c r="E4612"/>
    </row>
    <row r="4613" spans="5:5">
      <c r="E4613"/>
    </row>
    <row r="4614" spans="5:5">
      <c r="E4614"/>
    </row>
    <row r="4615" spans="5:5">
      <c r="E4615"/>
    </row>
    <row r="4616" spans="5:5">
      <c r="E4616"/>
    </row>
    <row r="4617" spans="5:5">
      <c r="E4617"/>
    </row>
    <row r="4618" spans="5:5">
      <c r="E4618"/>
    </row>
    <row r="4619" spans="5:5">
      <c r="E4619"/>
    </row>
    <row r="4620" spans="5:5">
      <c r="E4620"/>
    </row>
    <row r="4621" spans="5:5">
      <c r="E4621"/>
    </row>
    <row r="4622" spans="5:5">
      <c r="E4622"/>
    </row>
    <row r="4623" spans="5:5">
      <c r="E4623"/>
    </row>
    <row r="4624" spans="5:5">
      <c r="E4624"/>
    </row>
    <row r="4625" spans="5:5">
      <c r="E4625"/>
    </row>
    <row r="4626" spans="5:5">
      <c r="E4626"/>
    </row>
    <row r="4627" spans="5:5">
      <c r="E4627"/>
    </row>
    <row r="4628" spans="5:5">
      <c r="E4628"/>
    </row>
    <row r="4629" spans="5:5">
      <c r="E4629"/>
    </row>
    <row r="4630" spans="5:5">
      <c r="E4630"/>
    </row>
    <row r="4631" spans="5:5">
      <c r="E4631"/>
    </row>
    <row r="4632" spans="5:5">
      <c r="E4632"/>
    </row>
    <row r="4633" spans="5:5">
      <c r="E4633"/>
    </row>
    <row r="4634" spans="5:5">
      <c r="E4634"/>
    </row>
    <row r="4635" spans="5:5">
      <c r="E4635"/>
    </row>
    <row r="4636" spans="5:5">
      <c r="E4636"/>
    </row>
    <row r="4637" spans="5:5">
      <c r="E4637"/>
    </row>
    <row r="4638" spans="5:5">
      <c r="E4638"/>
    </row>
    <row r="4639" spans="5:5">
      <c r="E4639"/>
    </row>
    <row r="4640" spans="5:5">
      <c r="E4640"/>
    </row>
    <row r="4641" spans="5:5">
      <c r="E4641"/>
    </row>
    <row r="4642" spans="5:5">
      <c r="E4642"/>
    </row>
    <row r="4643" spans="5:5">
      <c r="E4643"/>
    </row>
    <row r="4644" spans="5:5">
      <c r="E4644"/>
    </row>
    <row r="4645" spans="5:5">
      <c r="E4645"/>
    </row>
    <row r="4646" spans="5:5">
      <c r="E4646"/>
    </row>
    <row r="4647" spans="5:5">
      <c r="E4647"/>
    </row>
    <row r="4648" spans="5:5">
      <c r="E4648"/>
    </row>
    <row r="4649" spans="5:5">
      <c r="E4649"/>
    </row>
    <row r="4650" spans="5:5">
      <c r="E4650"/>
    </row>
    <row r="4651" spans="5:5">
      <c r="E4651"/>
    </row>
    <row r="4652" spans="5:5">
      <c r="E4652"/>
    </row>
    <row r="4653" spans="5:5">
      <c r="E4653"/>
    </row>
    <row r="4654" spans="5:5">
      <c r="E4654"/>
    </row>
    <row r="4655" spans="5:5">
      <c r="E4655"/>
    </row>
    <row r="4656" spans="5:5">
      <c r="E4656"/>
    </row>
    <row r="4657" spans="5:5">
      <c r="E4657"/>
    </row>
    <row r="4658" spans="5:5">
      <c r="E4658"/>
    </row>
    <row r="4659" spans="5:5">
      <c r="E4659"/>
    </row>
    <row r="4660" spans="5:5">
      <c r="E4660"/>
    </row>
    <row r="4661" spans="5:5">
      <c r="E4661"/>
    </row>
    <row r="4662" spans="5:5">
      <c r="E4662"/>
    </row>
    <row r="4663" spans="5:5">
      <c r="E4663"/>
    </row>
    <row r="4664" spans="5:5">
      <c r="E4664"/>
    </row>
    <row r="4665" spans="5:5">
      <c r="E4665"/>
    </row>
    <row r="4666" spans="5:5">
      <c r="E4666"/>
    </row>
    <row r="4667" spans="5:5">
      <c r="E4667"/>
    </row>
    <row r="4668" spans="5:5">
      <c r="E4668"/>
    </row>
    <row r="4669" spans="5:5">
      <c r="E4669"/>
    </row>
    <row r="4670" spans="5:5">
      <c r="E4670"/>
    </row>
    <row r="4671" spans="5:5">
      <c r="E4671"/>
    </row>
    <row r="4672" spans="5:5">
      <c r="E4672"/>
    </row>
    <row r="4673" spans="5:5">
      <c r="E4673"/>
    </row>
    <row r="4674" spans="5:5">
      <c r="E4674"/>
    </row>
    <row r="4675" spans="5:5">
      <c r="E4675"/>
    </row>
    <row r="4676" spans="5:5">
      <c r="E4676"/>
    </row>
    <row r="4677" spans="5:5">
      <c r="E4677"/>
    </row>
    <row r="4678" spans="5:5">
      <c r="E4678"/>
    </row>
    <row r="4679" spans="5:5">
      <c r="E4679"/>
    </row>
    <row r="4680" spans="5:5">
      <c r="E4680"/>
    </row>
    <row r="4681" spans="5:5">
      <c r="E4681"/>
    </row>
    <row r="4682" spans="5:5">
      <c r="E4682"/>
    </row>
    <row r="4683" spans="5:5">
      <c r="E4683"/>
    </row>
    <row r="4684" spans="5:5">
      <c r="E4684"/>
    </row>
    <row r="4685" spans="5:5">
      <c r="E4685"/>
    </row>
    <row r="4686" spans="5:5">
      <c r="E4686"/>
    </row>
    <row r="4687" spans="5:5">
      <c r="E4687"/>
    </row>
    <row r="4688" spans="5:5">
      <c r="E4688"/>
    </row>
    <row r="4689" spans="5:5">
      <c r="E4689"/>
    </row>
    <row r="4690" spans="5:5">
      <c r="E4690"/>
    </row>
    <row r="4691" spans="5:5">
      <c r="E4691"/>
    </row>
    <row r="4692" spans="5:5">
      <c r="E4692"/>
    </row>
    <row r="4693" spans="5:5">
      <c r="E4693"/>
    </row>
    <row r="4694" spans="5:5">
      <c r="E4694"/>
    </row>
    <row r="4695" spans="5:5">
      <c r="E4695"/>
    </row>
    <row r="4696" spans="5:5">
      <c r="E4696"/>
    </row>
    <row r="4697" spans="5:5">
      <c r="E4697"/>
    </row>
    <row r="4698" spans="5:5">
      <c r="E4698"/>
    </row>
    <row r="4699" spans="5:5">
      <c r="E4699"/>
    </row>
    <row r="4700" spans="5:5">
      <c r="E4700"/>
    </row>
    <row r="4701" spans="5:5">
      <c r="E4701"/>
    </row>
    <row r="4702" spans="5:5">
      <c r="E4702"/>
    </row>
    <row r="4703" spans="5:5">
      <c r="E4703"/>
    </row>
    <row r="4704" spans="5:5">
      <c r="E4704"/>
    </row>
    <row r="4705" spans="5:5">
      <c r="E4705"/>
    </row>
    <row r="4706" spans="5:5">
      <c r="E4706"/>
    </row>
    <row r="4707" spans="5:5">
      <c r="E4707"/>
    </row>
    <row r="4708" spans="5:5">
      <c r="E4708"/>
    </row>
    <row r="4709" spans="5:5">
      <c r="E4709"/>
    </row>
    <row r="4710" spans="5:5">
      <c r="E4710"/>
    </row>
    <row r="4711" spans="5:5">
      <c r="E4711"/>
    </row>
    <row r="4712" spans="5:5">
      <c r="E4712"/>
    </row>
    <row r="4713" spans="5:5">
      <c r="E4713"/>
    </row>
    <row r="4714" spans="5:5">
      <c r="E4714"/>
    </row>
    <row r="4715" spans="5:5">
      <c r="E4715"/>
    </row>
    <row r="4716" spans="5:5">
      <c r="E4716"/>
    </row>
    <row r="4717" spans="5:5">
      <c r="E4717"/>
    </row>
    <row r="4718" spans="5:5">
      <c r="E4718"/>
    </row>
    <row r="4719" spans="5:5">
      <c r="E4719"/>
    </row>
    <row r="4720" spans="5:5">
      <c r="E4720"/>
    </row>
    <row r="4721" spans="5:5">
      <c r="E4721"/>
    </row>
    <row r="4722" spans="5:5">
      <c r="E4722"/>
    </row>
    <row r="4723" spans="5:5">
      <c r="E4723"/>
    </row>
    <row r="4724" spans="5:5">
      <c r="E4724"/>
    </row>
    <row r="4725" spans="5:5">
      <c r="E4725"/>
    </row>
    <row r="4726" spans="5:5">
      <c r="E4726"/>
    </row>
    <row r="4727" spans="5:5">
      <c r="E4727"/>
    </row>
    <row r="4728" spans="5:5">
      <c r="E4728"/>
    </row>
    <row r="4729" spans="5:5">
      <c r="E4729"/>
    </row>
    <row r="4730" spans="5:5">
      <c r="E4730"/>
    </row>
    <row r="4731" spans="5:5">
      <c r="E4731"/>
    </row>
    <row r="4732" spans="5:5">
      <c r="E4732"/>
    </row>
    <row r="4733" spans="5:5">
      <c r="E4733"/>
    </row>
    <row r="4734" spans="5:5">
      <c r="E4734"/>
    </row>
    <row r="4735" spans="5:5">
      <c r="E4735"/>
    </row>
    <row r="4736" spans="5:5">
      <c r="E4736"/>
    </row>
    <row r="4737" spans="5:5">
      <c r="E4737"/>
    </row>
    <row r="4738" spans="5:5">
      <c r="E4738"/>
    </row>
    <row r="4739" spans="5:5">
      <c r="E4739"/>
    </row>
    <row r="4740" spans="5:5">
      <c r="E4740"/>
    </row>
    <row r="4741" spans="5:5">
      <c r="E4741"/>
    </row>
    <row r="4742" spans="5:5">
      <c r="E4742"/>
    </row>
    <row r="4743" spans="5:5">
      <c r="E4743"/>
    </row>
    <row r="4744" spans="5:5">
      <c r="E4744"/>
    </row>
    <row r="4745" spans="5:5">
      <c r="E4745"/>
    </row>
    <row r="4746" spans="5:5">
      <c r="E4746"/>
    </row>
    <row r="4747" spans="5:5">
      <c r="E4747"/>
    </row>
    <row r="4748" spans="5:5">
      <c r="E4748"/>
    </row>
    <row r="4749" spans="5:5">
      <c r="E4749"/>
    </row>
    <row r="4750" spans="5:5">
      <c r="E4750"/>
    </row>
    <row r="4751" spans="5:5">
      <c r="E4751"/>
    </row>
    <row r="4752" spans="5:5">
      <c r="E4752"/>
    </row>
    <row r="4753" spans="5:5">
      <c r="E4753"/>
    </row>
    <row r="4754" spans="5:5">
      <c r="E4754"/>
    </row>
    <row r="4755" spans="5:5">
      <c r="E4755"/>
    </row>
    <row r="4756" spans="5:5">
      <c r="E4756"/>
    </row>
    <row r="4757" spans="5:5">
      <c r="E4757"/>
    </row>
    <row r="4758" spans="5:5">
      <c r="E4758"/>
    </row>
    <row r="4759" spans="5:5">
      <c r="E4759"/>
    </row>
    <row r="4760" spans="5:5">
      <c r="E4760"/>
    </row>
    <row r="4761" spans="5:5">
      <c r="E4761"/>
    </row>
    <row r="4762" spans="5:5">
      <c r="E4762"/>
    </row>
    <row r="4763" spans="5:5">
      <c r="E4763"/>
    </row>
    <row r="4764" spans="5:5">
      <c r="E4764"/>
    </row>
    <row r="4765" spans="5:5">
      <c r="E4765"/>
    </row>
    <row r="4766" spans="5:5">
      <c r="E4766"/>
    </row>
    <row r="4767" spans="5:5">
      <c r="E4767"/>
    </row>
    <row r="4768" spans="5:5">
      <c r="E4768"/>
    </row>
    <row r="4769" spans="5:5">
      <c r="E4769"/>
    </row>
    <row r="4770" spans="5:5">
      <c r="E4770"/>
    </row>
    <row r="4771" spans="5:5">
      <c r="E4771"/>
    </row>
    <row r="4772" spans="5:5">
      <c r="E4772"/>
    </row>
    <row r="4773" spans="5:5">
      <c r="E4773"/>
    </row>
    <row r="4774" spans="5:5">
      <c r="E4774"/>
    </row>
    <row r="4775" spans="5:5">
      <c r="E4775"/>
    </row>
    <row r="4776" spans="5:5">
      <c r="E4776"/>
    </row>
    <row r="4777" spans="5:5">
      <c r="E4777"/>
    </row>
    <row r="4778" spans="5:5">
      <c r="E4778"/>
    </row>
    <row r="4779" spans="5:5">
      <c r="E4779"/>
    </row>
    <row r="4780" spans="5:5">
      <c r="E4780"/>
    </row>
    <row r="4781" spans="5:5">
      <c r="E4781"/>
    </row>
    <row r="4782" spans="5:5">
      <c r="E4782"/>
    </row>
    <row r="4783" spans="5:5">
      <c r="E4783"/>
    </row>
    <row r="4784" spans="5:5">
      <c r="E4784"/>
    </row>
    <row r="4785" spans="5:5">
      <c r="E4785"/>
    </row>
    <row r="4786" spans="5:5">
      <c r="E4786"/>
    </row>
    <row r="4787" spans="5:5">
      <c r="E4787"/>
    </row>
    <row r="4788" spans="5:5">
      <c r="E4788"/>
    </row>
    <row r="4789" spans="5:5">
      <c r="E4789"/>
    </row>
    <row r="4790" spans="5:5">
      <c r="E4790"/>
    </row>
    <row r="4791" spans="5:5">
      <c r="E4791"/>
    </row>
    <row r="4792" spans="5:5">
      <c r="E4792"/>
    </row>
    <row r="4793" spans="5:5">
      <c r="E4793"/>
    </row>
    <row r="4794" spans="5:5">
      <c r="E4794"/>
    </row>
    <row r="4795" spans="5:5">
      <c r="E4795"/>
    </row>
    <row r="4796" spans="5:5">
      <c r="E4796"/>
    </row>
    <row r="4797" spans="5:5">
      <c r="E4797"/>
    </row>
    <row r="4798" spans="5:5">
      <c r="E4798"/>
    </row>
    <row r="4799" spans="5:5">
      <c r="E4799"/>
    </row>
    <row r="4800" spans="5:5">
      <c r="E4800"/>
    </row>
    <row r="4801" spans="5:5">
      <c r="E4801"/>
    </row>
    <row r="4802" spans="5:5">
      <c r="E4802"/>
    </row>
    <row r="4803" spans="5:5">
      <c r="E4803"/>
    </row>
    <row r="4804" spans="5:5">
      <c r="E4804"/>
    </row>
    <row r="4805" spans="5:5">
      <c r="E4805"/>
    </row>
    <row r="4806" spans="5:5">
      <c r="E4806"/>
    </row>
    <row r="4807" spans="5:5">
      <c r="E4807"/>
    </row>
    <row r="4808" spans="5:5">
      <c r="E4808"/>
    </row>
    <row r="4809" spans="5:5">
      <c r="E4809"/>
    </row>
    <row r="4810" spans="5:5">
      <c r="E4810"/>
    </row>
    <row r="4811" spans="5:5">
      <c r="E4811"/>
    </row>
    <row r="4812" spans="5:5">
      <c r="E4812"/>
    </row>
    <row r="4813" spans="5:5">
      <c r="E4813"/>
    </row>
    <row r="4814" spans="5:5">
      <c r="E4814"/>
    </row>
    <row r="4815" spans="5:5">
      <c r="E4815"/>
    </row>
    <row r="4816" spans="5:5">
      <c r="E4816"/>
    </row>
    <row r="4817" spans="5:5">
      <c r="E4817"/>
    </row>
    <row r="4818" spans="5:5">
      <c r="E4818"/>
    </row>
    <row r="4819" spans="5:5">
      <c r="E4819"/>
    </row>
    <row r="4820" spans="5:5">
      <c r="E4820"/>
    </row>
    <row r="4821" spans="5:5">
      <c r="E4821"/>
    </row>
    <row r="4822" spans="5:5">
      <c r="E4822"/>
    </row>
    <row r="4823" spans="5:5">
      <c r="E4823"/>
    </row>
    <row r="4824" spans="5:5">
      <c r="E4824"/>
    </row>
    <row r="4825" spans="5:5">
      <c r="E4825"/>
    </row>
    <row r="4826" spans="5:5">
      <c r="E4826"/>
    </row>
    <row r="4827" spans="5:5">
      <c r="E4827"/>
    </row>
    <row r="4828" spans="5:5">
      <c r="E4828"/>
    </row>
    <row r="4829" spans="5:5">
      <c r="E4829"/>
    </row>
    <row r="4830" spans="5:5">
      <c r="E4830"/>
    </row>
    <row r="4831" spans="5:5">
      <c r="E4831"/>
    </row>
    <row r="4832" spans="5:5">
      <c r="E4832"/>
    </row>
    <row r="4833" spans="5:5">
      <c r="E4833"/>
    </row>
    <row r="4834" spans="5:5">
      <c r="E4834"/>
    </row>
    <row r="4835" spans="5:5">
      <c r="E4835"/>
    </row>
    <row r="4836" spans="5:5">
      <c r="E4836"/>
    </row>
    <row r="4837" spans="5:5">
      <c r="E4837"/>
    </row>
    <row r="4838" spans="5:5">
      <c r="E4838"/>
    </row>
    <row r="4839" spans="5:5">
      <c r="E4839"/>
    </row>
    <row r="4840" spans="5:5">
      <c r="E4840"/>
    </row>
    <row r="4841" spans="5:5">
      <c r="E4841"/>
    </row>
    <row r="4842" spans="5:5">
      <c r="E4842"/>
    </row>
    <row r="4843" spans="5:5">
      <c r="E4843"/>
    </row>
    <row r="4844" spans="5:5">
      <c r="E4844"/>
    </row>
    <row r="4845" spans="5:5">
      <c r="E4845"/>
    </row>
    <row r="4846" spans="5:5">
      <c r="E4846"/>
    </row>
    <row r="4847" spans="5:5">
      <c r="E4847"/>
    </row>
    <row r="4848" spans="5:5">
      <c r="E4848"/>
    </row>
    <row r="4849" spans="5:5">
      <c r="E4849"/>
    </row>
    <row r="4850" spans="5:5">
      <c r="E4850"/>
    </row>
    <row r="4851" spans="5:5">
      <c r="E4851"/>
    </row>
    <row r="4852" spans="5:5">
      <c r="E4852"/>
    </row>
    <row r="4853" spans="5:5">
      <c r="E4853"/>
    </row>
    <row r="4854" spans="5:5">
      <c r="E4854"/>
    </row>
    <row r="4855" spans="5:5">
      <c r="E4855"/>
    </row>
    <row r="4856" spans="5:5">
      <c r="E4856"/>
    </row>
    <row r="4857" spans="5:5">
      <c r="E4857"/>
    </row>
    <row r="4858" spans="5:5">
      <c r="E4858"/>
    </row>
    <row r="4859" spans="5:5">
      <c r="E4859"/>
    </row>
    <row r="4860" spans="5:5">
      <c r="E4860"/>
    </row>
    <row r="4861" spans="5:5">
      <c r="E4861"/>
    </row>
    <row r="4862" spans="5:5">
      <c r="E4862"/>
    </row>
    <row r="4863" spans="5:5">
      <c r="E4863"/>
    </row>
    <row r="4864" spans="5:5">
      <c r="E4864"/>
    </row>
    <row r="4865" spans="5:5">
      <c r="E4865"/>
    </row>
    <row r="4866" spans="5:5">
      <c r="E4866"/>
    </row>
    <row r="4867" spans="5:5">
      <c r="E4867"/>
    </row>
    <row r="4868" spans="5:5">
      <c r="E4868"/>
    </row>
    <row r="4869" spans="5:5">
      <c r="E4869"/>
    </row>
    <row r="4870" spans="5:5">
      <c r="E4870"/>
    </row>
    <row r="4871" spans="5:5">
      <c r="E4871"/>
    </row>
    <row r="4872" spans="5:5">
      <c r="E4872"/>
    </row>
    <row r="4873" spans="5:5">
      <c r="E4873"/>
    </row>
    <row r="4874" spans="5:5">
      <c r="E4874"/>
    </row>
    <row r="4875" spans="5:5">
      <c r="E4875"/>
    </row>
    <row r="4876" spans="5:5">
      <c r="E4876"/>
    </row>
    <row r="4877" spans="5:5">
      <c r="E4877"/>
    </row>
    <row r="4878" spans="5:5">
      <c r="E4878"/>
    </row>
    <row r="4879" spans="5:5">
      <c r="E4879"/>
    </row>
    <row r="4880" spans="5:5">
      <c r="E4880"/>
    </row>
    <row r="4881" spans="5:5">
      <c r="E4881"/>
    </row>
    <row r="4882" spans="5:5">
      <c r="E4882"/>
    </row>
    <row r="4883" spans="5:5">
      <c r="E4883"/>
    </row>
    <row r="4884" spans="5:5">
      <c r="E4884"/>
    </row>
    <row r="4885" spans="5:5">
      <c r="E4885"/>
    </row>
    <row r="4886" spans="5:5">
      <c r="E4886"/>
    </row>
    <row r="4887" spans="5:5">
      <c r="E4887"/>
    </row>
    <row r="4888" spans="5:5">
      <c r="E4888"/>
    </row>
    <row r="4889" spans="5:5">
      <c r="E4889"/>
    </row>
    <row r="4890" spans="5:5">
      <c r="E4890"/>
    </row>
    <row r="4891" spans="5:5">
      <c r="E4891"/>
    </row>
    <row r="4892" spans="5:5">
      <c r="E4892"/>
    </row>
    <row r="4893" spans="5:5">
      <c r="E4893"/>
    </row>
    <row r="4894" spans="5:5">
      <c r="E4894"/>
    </row>
    <row r="4895" spans="5:5">
      <c r="E4895"/>
    </row>
    <row r="4896" spans="5:5">
      <c r="E4896"/>
    </row>
    <row r="4897" spans="5:5">
      <c r="E4897"/>
    </row>
    <row r="4898" spans="5:5">
      <c r="E4898"/>
    </row>
    <row r="4899" spans="5:5">
      <c r="E4899"/>
    </row>
    <row r="4900" spans="5:5">
      <c r="E4900"/>
    </row>
    <row r="4901" spans="5:5">
      <c r="E4901"/>
    </row>
    <row r="4902" spans="5:5">
      <c r="E4902"/>
    </row>
    <row r="4903" spans="5:5">
      <c r="E4903"/>
    </row>
    <row r="4904" spans="5:5">
      <c r="E4904"/>
    </row>
    <row r="4905" spans="5:5">
      <c r="E4905"/>
    </row>
    <row r="4906" spans="5:5">
      <c r="E4906"/>
    </row>
    <row r="4907" spans="5:5">
      <c r="E4907"/>
    </row>
    <row r="4908" spans="5:5">
      <c r="E4908"/>
    </row>
    <row r="4909" spans="5:5">
      <c r="E4909"/>
    </row>
    <row r="4910" spans="5:5">
      <c r="E4910"/>
    </row>
    <row r="4911" spans="5:5">
      <c r="E4911"/>
    </row>
    <row r="4912" spans="5:5">
      <c r="E4912"/>
    </row>
    <row r="4913" spans="5:5">
      <c r="E4913"/>
    </row>
    <row r="4914" spans="5:5">
      <c r="E4914"/>
    </row>
    <row r="4915" spans="5:5">
      <c r="E4915"/>
    </row>
    <row r="4916" spans="5:5">
      <c r="E4916"/>
    </row>
    <row r="4917" spans="5:5">
      <c r="E4917"/>
    </row>
    <row r="4918" spans="5:5">
      <c r="E4918"/>
    </row>
    <row r="4919" spans="5:5">
      <c r="E4919"/>
    </row>
    <row r="4920" spans="5:5">
      <c r="E4920"/>
    </row>
    <row r="4921" spans="5:5">
      <c r="E4921"/>
    </row>
    <row r="4922" spans="5:5">
      <c r="E4922"/>
    </row>
    <row r="4923" spans="5:5">
      <c r="E4923"/>
    </row>
    <row r="4924" spans="5:5">
      <c r="E4924"/>
    </row>
    <row r="4925" spans="5:5">
      <c r="E4925"/>
    </row>
    <row r="4926" spans="5:5">
      <c r="E4926"/>
    </row>
    <row r="4927" spans="5:5">
      <c r="E4927"/>
    </row>
    <row r="4928" spans="5:5">
      <c r="E4928"/>
    </row>
    <row r="4929" spans="5:5">
      <c r="E4929"/>
    </row>
    <row r="4930" spans="5:5">
      <c r="E4930"/>
    </row>
    <row r="4931" spans="5:5">
      <c r="E4931"/>
    </row>
    <row r="4932" spans="5:5">
      <c r="E4932"/>
    </row>
    <row r="4933" spans="5:5">
      <c r="E4933"/>
    </row>
    <row r="4934" spans="5:5">
      <c r="E4934"/>
    </row>
    <row r="4935" spans="5:5">
      <c r="E4935"/>
    </row>
    <row r="4936" spans="5:5">
      <c r="E4936"/>
    </row>
    <row r="4937" spans="5:5">
      <c r="E4937"/>
    </row>
    <row r="4938" spans="5:5">
      <c r="E4938"/>
    </row>
    <row r="4939" spans="5:5">
      <c r="E4939"/>
    </row>
    <row r="4940" spans="5:5">
      <c r="E4940"/>
    </row>
    <row r="4941" spans="5:5">
      <c r="E4941"/>
    </row>
    <row r="4942" spans="5:5">
      <c r="E4942"/>
    </row>
    <row r="4943" spans="5:5">
      <c r="E4943"/>
    </row>
    <row r="4944" spans="5:5">
      <c r="E4944"/>
    </row>
    <row r="4945" spans="5:5">
      <c r="E4945"/>
    </row>
    <row r="4946" spans="5:5">
      <c r="E4946"/>
    </row>
    <row r="4947" spans="5:5">
      <c r="E4947"/>
    </row>
    <row r="4948" spans="5:5">
      <c r="E4948"/>
    </row>
    <row r="4949" spans="5:5">
      <c r="E4949"/>
    </row>
    <row r="4950" spans="5:5">
      <c r="E4950"/>
    </row>
    <row r="4951" spans="5:5">
      <c r="E4951"/>
    </row>
    <row r="4952" spans="5:5">
      <c r="E4952"/>
    </row>
    <row r="4953" spans="5:5">
      <c r="E4953"/>
    </row>
    <row r="4954" spans="5:5">
      <c r="E4954"/>
    </row>
    <row r="4955" spans="5:5">
      <c r="E4955"/>
    </row>
    <row r="4956" spans="5:5">
      <c r="E4956"/>
    </row>
    <row r="4957" spans="5:5">
      <c r="E4957"/>
    </row>
    <row r="4958" spans="5:5">
      <c r="E4958"/>
    </row>
    <row r="4959" spans="5:5">
      <c r="E4959"/>
    </row>
    <row r="4960" spans="5:5">
      <c r="E4960"/>
    </row>
    <row r="4961" spans="5:5">
      <c r="E4961"/>
    </row>
    <row r="4962" spans="5:5">
      <c r="E4962"/>
    </row>
    <row r="4963" spans="5:5">
      <c r="E4963"/>
    </row>
    <row r="4964" spans="5:5">
      <c r="E4964"/>
    </row>
    <row r="4965" spans="5:5">
      <c r="E4965"/>
    </row>
    <row r="4966" spans="5:5">
      <c r="E4966"/>
    </row>
    <row r="4967" spans="5:5">
      <c r="E4967"/>
    </row>
    <row r="4968" spans="5:5">
      <c r="E4968"/>
    </row>
    <row r="4969" spans="5:5">
      <c r="E4969"/>
    </row>
    <row r="4970" spans="5:5">
      <c r="E4970"/>
    </row>
    <row r="4971" spans="5:5">
      <c r="E4971"/>
    </row>
    <row r="4972" spans="5:5">
      <c r="E4972"/>
    </row>
    <row r="4973" spans="5:5">
      <c r="E4973"/>
    </row>
    <row r="4974" spans="5:5">
      <c r="E4974"/>
    </row>
    <row r="4975" spans="5:5">
      <c r="E4975"/>
    </row>
    <row r="4976" spans="5:5">
      <c r="E4976"/>
    </row>
    <row r="4977" spans="5:5">
      <c r="E4977"/>
    </row>
    <row r="4978" spans="5:5">
      <c r="E4978"/>
    </row>
    <row r="4979" spans="5:5">
      <c r="E4979"/>
    </row>
    <row r="4980" spans="5:5">
      <c r="E4980"/>
    </row>
    <row r="4981" spans="5:5">
      <c r="E4981"/>
    </row>
    <row r="4982" spans="5:5">
      <c r="E4982"/>
    </row>
    <row r="4983" spans="5:5">
      <c r="E4983"/>
    </row>
    <row r="4984" spans="5:5">
      <c r="E4984"/>
    </row>
    <row r="4985" spans="5:5">
      <c r="E4985"/>
    </row>
    <row r="4986" spans="5:5">
      <c r="E4986"/>
    </row>
    <row r="4987" spans="5:5">
      <c r="E4987"/>
    </row>
    <row r="4988" spans="5:5">
      <c r="E4988"/>
    </row>
    <row r="4989" spans="5:5">
      <c r="E4989"/>
    </row>
    <row r="4990" spans="5:5">
      <c r="E4990"/>
    </row>
    <row r="4991" spans="5:5">
      <c r="E4991"/>
    </row>
    <row r="4992" spans="5:5">
      <c r="E4992"/>
    </row>
    <row r="4993" spans="5:5">
      <c r="E4993"/>
    </row>
    <row r="4994" spans="5:5">
      <c r="E4994"/>
    </row>
    <row r="4995" spans="5:5">
      <c r="E4995"/>
    </row>
    <row r="4996" spans="5:5">
      <c r="E4996"/>
    </row>
    <row r="4997" spans="5:5">
      <c r="E4997"/>
    </row>
    <row r="4998" spans="5:5">
      <c r="E4998"/>
    </row>
    <row r="4999" spans="5:5">
      <c r="E4999"/>
    </row>
    <row r="5000" spans="5:5">
      <c r="E5000"/>
    </row>
    <row r="5001" spans="5:5">
      <c r="E5001"/>
    </row>
    <row r="5002" spans="5:5">
      <c r="E5002"/>
    </row>
    <row r="5003" spans="5:5">
      <c r="E5003"/>
    </row>
    <row r="5004" spans="5:5">
      <c r="E5004"/>
    </row>
    <row r="5005" spans="5:5">
      <c r="E5005"/>
    </row>
    <row r="5006" spans="5:5">
      <c r="E5006"/>
    </row>
    <row r="5007" spans="5:5">
      <c r="E5007"/>
    </row>
    <row r="5008" spans="5:5">
      <c r="E5008"/>
    </row>
    <row r="5009" spans="5:5">
      <c r="E5009"/>
    </row>
    <row r="5010" spans="5:5">
      <c r="E5010"/>
    </row>
    <row r="5011" spans="5:5">
      <c r="E5011"/>
    </row>
    <row r="5012" spans="5:5">
      <c r="E5012"/>
    </row>
    <row r="5013" spans="5:5">
      <c r="E5013"/>
    </row>
    <row r="5014" spans="5:5">
      <c r="E5014"/>
    </row>
    <row r="5015" spans="5:5">
      <c r="E5015"/>
    </row>
    <row r="5016" spans="5:5">
      <c r="E5016"/>
    </row>
    <row r="5017" spans="5:5">
      <c r="E5017"/>
    </row>
    <row r="5018" spans="5:5">
      <c r="E5018"/>
    </row>
    <row r="5019" spans="5:5">
      <c r="E5019"/>
    </row>
    <row r="5020" spans="5:5">
      <c r="E5020"/>
    </row>
    <row r="5021" spans="5:5">
      <c r="E5021"/>
    </row>
    <row r="5022" spans="5:5">
      <c r="E5022"/>
    </row>
    <row r="5023" spans="5:5">
      <c r="E5023"/>
    </row>
    <row r="5024" spans="5:5">
      <c r="E5024"/>
    </row>
    <row r="5025" spans="5:5">
      <c r="E5025"/>
    </row>
    <row r="5026" spans="5:5">
      <c r="E5026"/>
    </row>
    <row r="5027" spans="5:5">
      <c r="E5027"/>
    </row>
    <row r="5028" spans="5:5">
      <c r="E5028"/>
    </row>
    <row r="5029" spans="5:5">
      <c r="E5029"/>
    </row>
    <row r="5030" spans="5:5">
      <c r="E5030"/>
    </row>
    <row r="5031" spans="5:5">
      <c r="E5031"/>
    </row>
    <row r="5032" spans="5:5">
      <c r="E5032"/>
    </row>
    <row r="5033" spans="5:5">
      <c r="E5033"/>
    </row>
    <row r="5034" spans="5:5">
      <c r="E5034"/>
    </row>
    <row r="5035" spans="5:5">
      <c r="E5035"/>
    </row>
    <row r="5036" spans="5:5">
      <c r="E5036"/>
    </row>
    <row r="5037" spans="5:5">
      <c r="E5037"/>
    </row>
    <row r="5038" spans="5:5">
      <c r="E5038"/>
    </row>
    <row r="5039" spans="5:5">
      <c r="E5039"/>
    </row>
    <row r="5040" spans="5:5">
      <c r="E5040"/>
    </row>
    <row r="5041" spans="5:5">
      <c r="E5041"/>
    </row>
    <row r="5042" spans="5:5">
      <c r="E5042"/>
    </row>
    <row r="5043" spans="5:5">
      <c r="E5043"/>
    </row>
    <row r="5044" spans="5:5">
      <c r="E5044"/>
    </row>
    <row r="5045" spans="5:5">
      <c r="E5045"/>
    </row>
    <row r="5046" spans="5:5">
      <c r="E5046"/>
    </row>
    <row r="5047" spans="5:5">
      <c r="E5047"/>
    </row>
    <row r="5048" spans="5:5">
      <c r="E5048"/>
    </row>
    <row r="5049" spans="5:5">
      <c r="E5049"/>
    </row>
    <row r="5050" spans="5:5">
      <c r="E5050"/>
    </row>
    <row r="5051" spans="5:5">
      <c r="E5051"/>
    </row>
    <row r="5052" spans="5:5">
      <c r="E5052"/>
    </row>
    <row r="5053" spans="5:5">
      <c r="E5053"/>
    </row>
    <row r="5054" spans="5:5">
      <c r="E5054"/>
    </row>
    <row r="5055" spans="5:5">
      <c r="E5055"/>
    </row>
    <row r="5056" spans="5:5">
      <c r="E5056"/>
    </row>
    <row r="5057" spans="5:5">
      <c r="E5057"/>
    </row>
    <row r="5058" spans="5:5">
      <c r="E5058"/>
    </row>
    <row r="5059" spans="5:5">
      <c r="E5059"/>
    </row>
    <row r="5060" spans="5:5">
      <c r="E5060"/>
    </row>
    <row r="5061" spans="5:5">
      <c r="E5061"/>
    </row>
    <row r="5062" spans="5:5">
      <c r="E5062"/>
    </row>
    <row r="5063" spans="5:5">
      <c r="E5063"/>
    </row>
    <row r="5064" spans="5:5">
      <c r="E5064"/>
    </row>
    <row r="5065" spans="5:5">
      <c r="E5065"/>
    </row>
    <row r="5066" spans="5:5">
      <c r="E5066"/>
    </row>
    <row r="5067" spans="5:5">
      <c r="E5067"/>
    </row>
    <row r="5068" spans="5:5">
      <c r="E5068"/>
    </row>
    <row r="5069" spans="5:5">
      <c r="E5069"/>
    </row>
    <row r="5070" spans="5:5">
      <c r="E5070"/>
    </row>
    <row r="5071" spans="5:5">
      <c r="E5071"/>
    </row>
    <row r="5072" spans="5:5">
      <c r="E5072"/>
    </row>
    <row r="5073" spans="5:5">
      <c r="E5073"/>
    </row>
    <row r="5074" spans="5:5">
      <c r="E5074"/>
    </row>
    <row r="5075" spans="5:5">
      <c r="E5075"/>
    </row>
    <row r="5076" spans="5:5">
      <c r="E5076"/>
    </row>
    <row r="5077" spans="5:5">
      <c r="E5077"/>
    </row>
    <row r="5078" spans="5:5">
      <c r="E5078"/>
    </row>
    <row r="5079" spans="5:5">
      <c r="E5079"/>
    </row>
    <row r="5080" spans="5:5">
      <c r="E5080"/>
    </row>
    <row r="5081" spans="5:5">
      <c r="E5081"/>
    </row>
    <row r="5082" spans="5:5">
      <c r="E5082"/>
    </row>
    <row r="5083" spans="5:5">
      <c r="E5083"/>
    </row>
    <row r="5084" spans="5:5">
      <c r="E5084"/>
    </row>
    <row r="5085" spans="5:5">
      <c r="E5085"/>
    </row>
    <row r="5086" spans="5:5">
      <c r="E5086"/>
    </row>
    <row r="5087" spans="5:5">
      <c r="E5087"/>
    </row>
    <row r="5088" spans="5:5">
      <c r="E5088"/>
    </row>
    <row r="5089" spans="5:5">
      <c r="E5089"/>
    </row>
    <row r="5090" spans="5:5">
      <c r="E5090"/>
    </row>
    <row r="5091" spans="5:5">
      <c r="E5091"/>
    </row>
    <row r="5092" spans="5:5">
      <c r="E5092"/>
    </row>
    <row r="5093" spans="5:5">
      <c r="E5093"/>
    </row>
    <row r="5094" spans="5:5">
      <c r="E5094"/>
    </row>
    <row r="5095" spans="5:5">
      <c r="E5095"/>
    </row>
    <row r="5096" spans="5:5">
      <c r="E5096"/>
    </row>
    <row r="5097" spans="5:5">
      <c r="E5097"/>
    </row>
    <row r="5098" spans="5:5">
      <c r="E5098"/>
    </row>
    <row r="5099" spans="5:5">
      <c r="E5099"/>
    </row>
    <row r="5100" spans="5:5">
      <c r="E5100"/>
    </row>
    <row r="5101" spans="5:5">
      <c r="E5101"/>
    </row>
    <row r="5102" spans="5:5">
      <c r="E5102"/>
    </row>
    <row r="5103" spans="5:5">
      <c r="E5103"/>
    </row>
    <row r="5104" spans="5:5">
      <c r="E5104"/>
    </row>
    <row r="5105" spans="5:5">
      <c r="E5105"/>
    </row>
    <row r="5106" spans="5:5">
      <c r="E5106"/>
    </row>
    <row r="5107" spans="5:5">
      <c r="E5107"/>
    </row>
    <row r="5108" spans="5:5">
      <c r="E5108"/>
    </row>
    <row r="5109" spans="5:5">
      <c r="E5109"/>
    </row>
    <row r="5110" spans="5:5">
      <c r="E5110"/>
    </row>
    <row r="5111" spans="5:5">
      <c r="E5111"/>
    </row>
    <row r="5112" spans="5:5">
      <c r="E5112"/>
    </row>
    <row r="5113" spans="5:5">
      <c r="E5113"/>
    </row>
    <row r="5114" spans="5:5">
      <c r="E5114"/>
    </row>
    <row r="5115" spans="5:5">
      <c r="E5115"/>
    </row>
    <row r="5116" spans="5:5">
      <c r="E5116"/>
    </row>
    <row r="5117" spans="5:5">
      <c r="E5117"/>
    </row>
    <row r="5118" spans="5:5">
      <c r="E5118"/>
    </row>
    <row r="5119" spans="5:5">
      <c r="E5119"/>
    </row>
    <row r="5120" spans="5:5">
      <c r="E5120"/>
    </row>
    <row r="5121" spans="5:5">
      <c r="E5121"/>
    </row>
    <row r="5122" spans="5:5">
      <c r="E5122"/>
    </row>
    <row r="5123" spans="5:5">
      <c r="E5123"/>
    </row>
    <row r="5124" spans="5:5">
      <c r="E5124"/>
    </row>
    <row r="5125" spans="5:5">
      <c r="E5125"/>
    </row>
    <row r="5126" spans="5:5">
      <c r="E5126"/>
    </row>
    <row r="5127" spans="5:5">
      <c r="E5127"/>
    </row>
    <row r="5128" spans="5:5">
      <c r="E5128"/>
    </row>
    <row r="5129" spans="5:5">
      <c r="E5129"/>
    </row>
    <row r="5130" spans="5:5">
      <c r="E5130"/>
    </row>
    <row r="5131" spans="5:5">
      <c r="E5131"/>
    </row>
    <row r="5132" spans="5:5">
      <c r="E5132"/>
    </row>
    <row r="5133" spans="5:5">
      <c r="E5133"/>
    </row>
    <row r="5134" spans="5:5">
      <c r="E5134"/>
    </row>
    <row r="5135" spans="5:5">
      <c r="E5135"/>
    </row>
    <row r="5136" spans="5:5">
      <c r="E5136"/>
    </row>
    <row r="5137" spans="5:5">
      <c r="E5137"/>
    </row>
    <row r="5138" spans="5:5">
      <c r="E5138"/>
    </row>
    <row r="5139" spans="5:5">
      <c r="E5139"/>
    </row>
    <row r="5140" spans="5:5">
      <c r="E5140"/>
    </row>
    <row r="5141" spans="5:5">
      <c r="E5141"/>
    </row>
    <row r="5142" spans="5:5">
      <c r="E5142"/>
    </row>
    <row r="5143" spans="5:5">
      <c r="E5143"/>
    </row>
    <row r="5144" spans="5:5">
      <c r="E5144"/>
    </row>
    <row r="5145" spans="5:5">
      <c r="E5145"/>
    </row>
    <row r="5146" spans="5:5">
      <c r="E5146"/>
    </row>
    <row r="5147" spans="5:5">
      <c r="E5147"/>
    </row>
    <row r="5148" spans="5:5">
      <c r="E5148"/>
    </row>
    <row r="5149" spans="5:5">
      <c r="E5149"/>
    </row>
    <row r="5150" spans="5:5">
      <c r="E5150"/>
    </row>
    <row r="5151" spans="5:5">
      <c r="E5151"/>
    </row>
    <row r="5152" spans="5:5">
      <c r="E5152"/>
    </row>
    <row r="5153" spans="5:5">
      <c r="E5153"/>
    </row>
    <row r="5154" spans="5:5">
      <c r="E5154"/>
    </row>
    <row r="5155" spans="5:5">
      <c r="E5155"/>
    </row>
    <row r="5156" spans="5:5">
      <c r="E5156"/>
    </row>
    <row r="5157" spans="5:5">
      <c r="E5157"/>
    </row>
    <row r="5158" spans="5:5">
      <c r="E5158"/>
    </row>
    <row r="5159" spans="5:5">
      <c r="E5159"/>
    </row>
    <row r="5160" spans="5:5">
      <c r="E5160"/>
    </row>
    <row r="5161" spans="5:5">
      <c r="E5161"/>
    </row>
    <row r="5162" spans="5:5">
      <c r="E5162"/>
    </row>
    <row r="5163" spans="5:5">
      <c r="E5163"/>
    </row>
    <row r="5164" spans="5:5">
      <c r="E5164"/>
    </row>
    <row r="5165" spans="5:5">
      <c r="E5165"/>
    </row>
    <row r="5166" spans="5:5">
      <c r="E5166"/>
    </row>
    <row r="5167" spans="5:5">
      <c r="E5167"/>
    </row>
    <row r="5168" spans="5:5">
      <c r="E5168"/>
    </row>
    <row r="5169" spans="5:5">
      <c r="E5169"/>
    </row>
    <row r="5170" spans="5:5">
      <c r="E5170"/>
    </row>
    <row r="5171" spans="5:5">
      <c r="E5171"/>
    </row>
    <row r="5172" spans="5:5">
      <c r="E5172"/>
    </row>
    <row r="5173" spans="5:5">
      <c r="E5173"/>
    </row>
    <row r="5174" spans="5:5">
      <c r="E5174"/>
    </row>
    <row r="5175" spans="5:5">
      <c r="E5175"/>
    </row>
    <row r="5176" spans="5:5">
      <c r="E5176"/>
    </row>
    <row r="5177" spans="5:5">
      <c r="E5177"/>
    </row>
    <row r="5178" spans="5:5">
      <c r="E5178"/>
    </row>
    <row r="5179" spans="5:5">
      <c r="E5179"/>
    </row>
    <row r="5180" spans="5:5">
      <c r="E5180"/>
    </row>
    <row r="5181" spans="5:5">
      <c r="E5181"/>
    </row>
    <row r="5182" spans="5:5">
      <c r="E5182"/>
    </row>
    <row r="5183" spans="5:5">
      <c r="E5183"/>
    </row>
    <row r="5184" spans="5:5">
      <c r="E5184"/>
    </row>
    <row r="5185" spans="5:5">
      <c r="E5185"/>
    </row>
    <row r="5186" spans="5:5">
      <c r="E5186"/>
    </row>
    <row r="5187" spans="5:5">
      <c r="E5187"/>
    </row>
    <row r="5188" spans="5:5">
      <c r="E5188"/>
    </row>
    <row r="5189" spans="5:5">
      <c r="E5189"/>
    </row>
    <row r="5190" spans="5:5">
      <c r="E5190"/>
    </row>
    <row r="5191" spans="5:5">
      <c r="E5191"/>
    </row>
    <row r="5192" spans="5:5">
      <c r="E5192"/>
    </row>
    <row r="5193" spans="5:5">
      <c r="E5193"/>
    </row>
    <row r="5194" spans="5:5">
      <c r="E5194"/>
    </row>
    <row r="5195" spans="5:5">
      <c r="E5195"/>
    </row>
    <row r="5196" spans="5:5">
      <c r="E5196"/>
    </row>
    <row r="5197" spans="5:5">
      <c r="E5197"/>
    </row>
    <row r="5198" spans="5:5">
      <c r="E5198"/>
    </row>
    <row r="5199" spans="5:5">
      <c r="E5199"/>
    </row>
    <row r="5200" spans="5:5">
      <c r="E5200"/>
    </row>
    <row r="5201" spans="5:5">
      <c r="E5201"/>
    </row>
    <row r="5202" spans="5:5">
      <c r="E5202"/>
    </row>
    <row r="5203" spans="5:5">
      <c r="E5203"/>
    </row>
    <row r="5204" spans="5:5">
      <c r="E5204"/>
    </row>
    <row r="5205" spans="5:5">
      <c r="E5205"/>
    </row>
    <row r="5206" spans="5:5">
      <c r="E5206"/>
    </row>
    <row r="5207" spans="5:5">
      <c r="E5207"/>
    </row>
    <row r="5208" spans="5:5">
      <c r="E5208"/>
    </row>
    <row r="5209" spans="5:5">
      <c r="E5209"/>
    </row>
    <row r="5210" spans="5:5">
      <c r="E5210"/>
    </row>
    <row r="5211" spans="5:5">
      <c r="E5211"/>
    </row>
    <row r="5212" spans="5:5">
      <c r="E5212"/>
    </row>
    <row r="5213" spans="5:5">
      <c r="E5213"/>
    </row>
    <row r="5214" spans="5:5">
      <c r="E5214"/>
    </row>
    <row r="5215" spans="5:5">
      <c r="E5215"/>
    </row>
    <row r="5216" spans="5:5">
      <c r="E5216"/>
    </row>
    <row r="5217" spans="5:5">
      <c r="E5217"/>
    </row>
    <row r="5218" spans="5:5">
      <c r="E5218"/>
    </row>
    <row r="5219" spans="5:5">
      <c r="E5219"/>
    </row>
    <row r="5220" spans="5:5">
      <c r="E5220"/>
    </row>
    <row r="5221" spans="5:5">
      <c r="E5221"/>
    </row>
    <row r="5222" spans="5:5">
      <c r="E5222"/>
    </row>
    <row r="5223" spans="5:5">
      <c r="E5223"/>
    </row>
    <row r="5224" spans="5:5">
      <c r="E5224"/>
    </row>
    <row r="5225" spans="5:5">
      <c r="E5225"/>
    </row>
    <row r="5226" spans="5:5">
      <c r="E5226"/>
    </row>
    <row r="5227" spans="5:5">
      <c r="E5227"/>
    </row>
    <row r="5228" spans="5:5">
      <c r="E5228"/>
    </row>
    <row r="5229" spans="5:5">
      <c r="E5229"/>
    </row>
    <row r="5230" spans="5:5">
      <c r="E5230"/>
    </row>
    <row r="5231" spans="5:5">
      <c r="E5231"/>
    </row>
    <row r="5232" spans="5:5">
      <c r="E5232"/>
    </row>
    <row r="5233" spans="5:5">
      <c r="E5233"/>
    </row>
    <row r="5234" spans="5:5">
      <c r="E5234"/>
    </row>
    <row r="5235" spans="5:5">
      <c r="E5235"/>
    </row>
    <row r="5236" spans="5:5">
      <c r="E5236"/>
    </row>
    <row r="5237" spans="5:5">
      <c r="E5237"/>
    </row>
    <row r="5238" spans="5:5">
      <c r="E5238"/>
    </row>
    <row r="5239" spans="5:5">
      <c r="E5239"/>
    </row>
    <row r="5240" spans="5:5">
      <c r="E5240"/>
    </row>
    <row r="5241" spans="5:5">
      <c r="E5241"/>
    </row>
    <row r="5242" spans="5:5">
      <c r="E5242"/>
    </row>
    <row r="5243" spans="5:5">
      <c r="E5243"/>
    </row>
    <row r="5244" spans="5:5">
      <c r="E5244"/>
    </row>
    <row r="5245" spans="5:5">
      <c r="E5245"/>
    </row>
    <row r="5246" spans="5:5">
      <c r="E5246"/>
    </row>
    <row r="5247" spans="5:5">
      <c r="E5247"/>
    </row>
    <row r="5248" spans="5:5">
      <c r="E5248"/>
    </row>
    <row r="5249" spans="5:5">
      <c r="E5249"/>
    </row>
    <row r="5250" spans="5:5">
      <c r="E5250"/>
    </row>
    <row r="5251" spans="5:5">
      <c r="E5251"/>
    </row>
    <row r="5252" spans="5:5">
      <c r="E5252"/>
    </row>
    <row r="5253" spans="5:5">
      <c r="E5253"/>
    </row>
    <row r="5254" spans="5:5">
      <c r="E5254"/>
    </row>
    <row r="5255" spans="5:5">
      <c r="E5255"/>
    </row>
    <row r="5256" spans="5:5">
      <c r="E5256"/>
    </row>
    <row r="5257" spans="5:5">
      <c r="E5257"/>
    </row>
    <row r="5258" spans="5:5">
      <c r="E5258"/>
    </row>
    <row r="5259" spans="5:5">
      <c r="E5259"/>
    </row>
    <row r="5260" spans="5:5">
      <c r="E5260"/>
    </row>
    <row r="5261" spans="5:5">
      <c r="E5261"/>
    </row>
    <row r="5262" spans="5:5">
      <c r="E5262"/>
    </row>
    <row r="5263" spans="5:5">
      <c r="E5263"/>
    </row>
    <row r="5264" spans="5:5">
      <c r="E5264"/>
    </row>
    <row r="5265" spans="5:5">
      <c r="E5265"/>
    </row>
    <row r="5266" spans="5:5">
      <c r="E5266"/>
    </row>
    <row r="5267" spans="5:5">
      <c r="E5267"/>
    </row>
    <row r="5268" spans="5:5">
      <c r="E5268"/>
    </row>
    <row r="5269" spans="5:5">
      <c r="E5269"/>
    </row>
    <row r="5270" spans="5:5">
      <c r="E5270"/>
    </row>
    <row r="5271" spans="5:5">
      <c r="E5271"/>
    </row>
    <row r="5272" spans="5:5">
      <c r="E5272"/>
    </row>
    <row r="5273" spans="5:5">
      <c r="E5273"/>
    </row>
    <row r="5274" spans="5:5">
      <c r="E5274"/>
    </row>
    <row r="5275" spans="5:5">
      <c r="E5275"/>
    </row>
    <row r="5276" spans="5:5">
      <c r="E5276"/>
    </row>
    <row r="5277" spans="5:5">
      <c r="E5277"/>
    </row>
    <row r="5278" spans="5:5">
      <c r="E5278"/>
    </row>
    <row r="5279" spans="5:5">
      <c r="E5279"/>
    </row>
    <row r="5280" spans="5:5">
      <c r="E5280"/>
    </row>
    <row r="5281" spans="5:5">
      <c r="E5281"/>
    </row>
    <row r="5282" spans="5:5">
      <c r="E5282"/>
    </row>
    <row r="5283" spans="5:5">
      <c r="E5283"/>
    </row>
    <row r="5284" spans="5:5">
      <c r="E5284"/>
    </row>
    <row r="5285" spans="5:5">
      <c r="E5285"/>
    </row>
    <row r="5286" spans="5:5">
      <c r="E5286"/>
    </row>
    <row r="5287" spans="5:5">
      <c r="E5287"/>
    </row>
    <row r="5288" spans="5:5">
      <c r="E5288"/>
    </row>
    <row r="5289" spans="5:5">
      <c r="E5289"/>
    </row>
    <row r="5290" spans="5:5">
      <c r="E5290"/>
    </row>
    <row r="5291" spans="5:5">
      <c r="E5291"/>
    </row>
    <row r="5292" spans="5:5">
      <c r="E5292"/>
    </row>
    <row r="5293" spans="5:5">
      <c r="E5293"/>
    </row>
    <row r="5294" spans="5:5">
      <c r="E5294"/>
    </row>
    <row r="5295" spans="5:5">
      <c r="E5295"/>
    </row>
    <row r="5296" spans="5:5">
      <c r="E5296"/>
    </row>
    <row r="5297" spans="5:5">
      <c r="E5297"/>
    </row>
    <row r="5298" spans="5:5">
      <c r="E5298"/>
    </row>
    <row r="5299" spans="5:5">
      <c r="E5299"/>
    </row>
    <row r="5300" spans="5:5">
      <c r="E5300"/>
    </row>
    <row r="5301" spans="5:5">
      <c r="E5301"/>
    </row>
    <row r="5302" spans="5:5">
      <c r="E5302"/>
    </row>
    <row r="5303" spans="5:5">
      <c r="E5303"/>
    </row>
    <row r="5304" spans="5:5">
      <c r="E5304"/>
    </row>
    <row r="5305" spans="5:5">
      <c r="E5305"/>
    </row>
    <row r="5306" spans="5:5">
      <c r="E5306"/>
    </row>
    <row r="5307" spans="5:5">
      <c r="E5307"/>
    </row>
    <row r="5308" spans="5:5">
      <c r="E5308"/>
    </row>
    <row r="5309" spans="5:5">
      <c r="E5309"/>
    </row>
    <row r="5310" spans="5:5">
      <c r="E5310"/>
    </row>
    <row r="5311" spans="5:5">
      <c r="E5311"/>
    </row>
    <row r="5312" spans="5:5">
      <c r="E5312"/>
    </row>
    <row r="5313" spans="5:5">
      <c r="E5313"/>
    </row>
    <row r="5314" spans="5:5">
      <c r="E5314"/>
    </row>
    <row r="5315" spans="5:5">
      <c r="E5315"/>
    </row>
    <row r="5316" spans="5:5">
      <c r="E5316"/>
    </row>
    <row r="5317" spans="5:5">
      <c r="E5317"/>
    </row>
    <row r="5318" spans="5:5">
      <c r="E5318"/>
    </row>
    <row r="5319" spans="5:5">
      <c r="E5319"/>
    </row>
    <row r="5320" spans="5:5">
      <c r="E5320"/>
    </row>
    <row r="5321" spans="5:5">
      <c r="E5321"/>
    </row>
    <row r="5322" spans="5:5">
      <c r="E5322"/>
    </row>
    <row r="5323" spans="5:5">
      <c r="E5323"/>
    </row>
    <row r="5324" spans="5:5">
      <c r="E5324"/>
    </row>
    <row r="5325" spans="5:5">
      <c r="E5325"/>
    </row>
    <row r="5326" spans="5:5">
      <c r="E5326"/>
    </row>
    <row r="5327" spans="5:5">
      <c r="E5327"/>
    </row>
    <row r="5328" spans="5:5">
      <c r="E5328"/>
    </row>
    <row r="5329" spans="5:5">
      <c r="E5329"/>
    </row>
    <row r="5330" spans="5:5">
      <c r="E5330"/>
    </row>
    <row r="5331" spans="5:5">
      <c r="E5331"/>
    </row>
    <row r="5332" spans="5:5">
      <c r="E5332"/>
    </row>
    <row r="5333" spans="5:5">
      <c r="E5333"/>
    </row>
    <row r="5334" spans="5:5">
      <c r="E5334"/>
    </row>
    <row r="5335" spans="5:5">
      <c r="E5335"/>
    </row>
    <row r="5336" spans="5:5">
      <c r="E5336"/>
    </row>
    <row r="5337" spans="5:5">
      <c r="E5337"/>
    </row>
    <row r="5338" spans="5:5">
      <c r="E5338"/>
    </row>
    <row r="5339" spans="5:5">
      <c r="E5339"/>
    </row>
    <row r="5340" spans="5:5">
      <c r="E5340"/>
    </row>
    <row r="5341" spans="5:5">
      <c r="E5341"/>
    </row>
    <row r="5342" spans="5:5">
      <c r="E5342"/>
    </row>
    <row r="5343" spans="5:5">
      <c r="E5343"/>
    </row>
    <row r="5344" spans="5:5">
      <c r="E5344"/>
    </row>
    <row r="5345" spans="5:5">
      <c r="E5345"/>
    </row>
    <row r="5346" spans="5:5">
      <c r="E5346"/>
    </row>
    <row r="5347" spans="5:5">
      <c r="E5347"/>
    </row>
    <row r="5348" spans="5:5">
      <c r="E5348"/>
    </row>
    <row r="5349" spans="5:5">
      <c r="E5349"/>
    </row>
    <row r="5350" spans="5:5">
      <c r="E5350"/>
    </row>
    <row r="5351" spans="5:5">
      <c r="E5351"/>
    </row>
    <row r="5352" spans="5:5">
      <c r="E5352"/>
    </row>
    <row r="5353" spans="5:5">
      <c r="E5353"/>
    </row>
    <row r="5354" spans="5:5">
      <c r="E5354"/>
    </row>
    <row r="5355" spans="5:5">
      <c r="E5355"/>
    </row>
    <row r="5356" spans="5:5">
      <c r="E5356"/>
    </row>
    <row r="5357" spans="5:5">
      <c r="E5357"/>
    </row>
    <row r="5358" spans="5:5">
      <c r="E5358"/>
    </row>
    <row r="5359" spans="5:5">
      <c r="E5359"/>
    </row>
    <row r="5360" spans="5:5">
      <c r="E5360"/>
    </row>
    <row r="5361" spans="5:5">
      <c r="E5361"/>
    </row>
    <row r="5362" spans="5:5">
      <c r="E5362"/>
    </row>
    <row r="5363" spans="5:5">
      <c r="E5363"/>
    </row>
    <row r="5364" spans="5:5">
      <c r="E5364"/>
    </row>
    <row r="5365" spans="5:5">
      <c r="E5365"/>
    </row>
    <row r="5366" spans="5:5">
      <c r="E5366"/>
    </row>
    <row r="5367" spans="5:5">
      <c r="E5367"/>
    </row>
    <row r="5368" spans="5:5">
      <c r="E5368"/>
    </row>
    <row r="5369" spans="5:5">
      <c r="E5369"/>
    </row>
    <row r="5370" spans="5:5">
      <c r="E5370"/>
    </row>
    <row r="5371" spans="5:5">
      <c r="E5371"/>
    </row>
    <row r="5372" spans="5:5">
      <c r="E5372"/>
    </row>
    <row r="5373" spans="5:5">
      <c r="E5373"/>
    </row>
    <row r="5374" spans="5:5">
      <c r="E5374"/>
    </row>
    <row r="5375" spans="5:5">
      <c r="E5375"/>
    </row>
    <row r="5376" spans="5:5">
      <c r="E5376"/>
    </row>
    <row r="5377" spans="5:5">
      <c r="E5377"/>
    </row>
    <row r="5378" spans="5:5">
      <c r="E5378"/>
    </row>
    <row r="5379" spans="5:5">
      <c r="E5379"/>
    </row>
    <row r="5380" spans="5:5">
      <c r="E5380"/>
    </row>
    <row r="5381" spans="5:5">
      <c r="E5381"/>
    </row>
    <row r="5382" spans="5:5">
      <c r="E5382"/>
    </row>
    <row r="5383" spans="5:5">
      <c r="E5383"/>
    </row>
    <row r="5384" spans="5:5">
      <c r="E5384"/>
    </row>
    <row r="5385" spans="5:5">
      <c r="E5385"/>
    </row>
    <row r="5386" spans="5:5">
      <c r="E5386"/>
    </row>
    <row r="5387" spans="5:5">
      <c r="E5387"/>
    </row>
    <row r="5388" spans="5:5">
      <c r="E5388"/>
    </row>
    <row r="5389" spans="5:5">
      <c r="E5389"/>
    </row>
    <row r="5390" spans="5:5">
      <c r="E5390"/>
    </row>
    <row r="5391" spans="5:5">
      <c r="E5391"/>
    </row>
    <row r="5392" spans="5:5">
      <c r="E5392"/>
    </row>
    <row r="5393" spans="5:5">
      <c r="E5393"/>
    </row>
    <row r="5394" spans="5:5">
      <c r="E5394"/>
    </row>
    <row r="5395" spans="5:5">
      <c r="E5395"/>
    </row>
    <row r="5396" spans="5:5">
      <c r="E5396"/>
    </row>
    <row r="5397" spans="5:5">
      <c r="E5397"/>
    </row>
    <row r="5398" spans="5:5">
      <c r="E5398"/>
    </row>
    <row r="5399" spans="5:5">
      <c r="E5399"/>
    </row>
    <row r="5400" spans="5:5">
      <c r="E5400"/>
    </row>
    <row r="5401" spans="5:5">
      <c r="E5401"/>
    </row>
    <row r="5402" spans="5:5">
      <c r="E5402"/>
    </row>
    <row r="5403" spans="5:5">
      <c r="E5403"/>
    </row>
    <row r="5404" spans="5:5">
      <c r="E5404"/>
    </row>
    <row r="5405" spans="5:5">
      <c r="E5405"/>
    </row>
    <row r="5406" spans="5:5">
      <c r="E5406"/>
    </row>
    <row r="5407" spans="5:5">
      <c r="E5407"/>
    </row>
    <row r="5408" spans="5:5">
      <c r="E5408"/>
    </row>
    <row r="5409" spans="5:5">
      <c r="E5409"/>
    </row>
    <row r="5410" spans="5:5">
      <c r="E5410"/>
    </row>
    <row r="5411" spans="5:5">
      <c r="E5411"/>
    </row>
    <row r="5412" spans="5:5">
      <c r="E5412"/>
    </row>
    <row r="5413" spans="5:5">
      <c r="E5413"/>
    </row>
    <row r="5414" spans="5:5">
      <c r="E5414"/>
    </row>
    <row r="5415" spans="5:5">
      <c r="E5415"/>
    </row>
    <row r="5416" spans="5:5">
      <c r="E5416"/>
    </row>
    <row r="5417" spans="5:5">
      <c r="E5417"/>
    </row>
    <row r="5418" spans="5:5">
      <c r="E5418"/>
    </row>
    <row r="5419" spans="5:5">
      <c r="E5419"/>
    </row>
    <row r="5420" spans="5:5">
      <c r="E5420"/>
    </row>
    <row r="5421" spans="5:5">
      <c r="E5421"/>
    </row>
    <row r="5422" spans="5:5">
      <c r="E5422"/>
    </row>
    <row r="5423" spans="5:5">
      <c r="E5423"/>
    </row>
    <row r="5424" spans="5:5">
      <c r="E5424"/>
    </row>
    <row r="5425" spans="5:5">
      <c r="E5425"/>
    </row>
    <row r="5426" spans="5:5">
      <c r="E5426"/>
    </row>
    <row r="5427" spans="5:5">
      <c r="E5427"/>
    </row>
    <row r="5428" spans="5:5">
      <c r="E5428"/>
    </row>
    <row r="5429" spans="5:5">
      <c r="E5429"/>
    </row>
    <row r="5430" spans="5:5">
      <c r="E5430"/>
    </row>
    <row r="5431" spans="5:5">
      <c r="E5431"/>
    </row>
    <row r="5432" spans="5:5">
      <c r="E5432"/>
    </row>
    <row r="5433" spans="5:5">
      <c r="E5433"/>
    </row>
    <row r="5434" spans="5:5">
      <c r="E5434"/>
    </row>
    <row r="5435" spans="5:5">
      <c r="E5435"/>
    </row>
    <row r="5436" spans="5:5">
      <c r="E5436"/>
    </row>
    <row r="5437" spans="5:5">
      <c r="E5437"/>
    </row>
    <row r="5438" spans="5:5">
      <c r="E5438"/>
    </row>
    <row r="5439" spans="5:5">
      <c r="E5439"/>
    </row>
    <row r="5440" spans="5:5">
      <c r="E5440"/>
    </row>
    <row r="5441" spans="5:5">
      <c r="E5441"/>
    </row>
    <row r="5442" spans="5:5">
      <c r="E5442"/>
    </row>
    <row r="5443" spans="5:5">
      <c r="E5443"/>
    </row>
    <row r="5444" spans="5:5">
      <c r="E5444"/>
    </row>
    <row r="5445" spans="5:5">
      <c r="E5445"/>
    </row>
    <row r="5446" spans="5:5">
      <c r="E5446"/>
    </row>
    <row r="5447" spans="5:5">
      <c r="E5447"/>
    </row>
    <row r="5448" spans="5:5">
      <c r="E5448"/>
    </row>
    <row r="5449" spans="5:5">
      <c r="E5449"/>
    </row>
    <row r="5450" spans="5:5">
      <c r="E5450"/>
    </row>
    <row r="5451" spans="5:5">
      <c r="E5451"/>
    </row>
    <row r="5452" spans="5:5">
      <c r="E5452"/>
    </row>
    <row r="5453" spans="5:5">
      <c r="E5453"/>
    </row>
    <row r="5454" spans="5:5">
      <c r="E5454"/>
    </row>
    <row r="5455" spans="5:5">
      <c r="E5455"/>
    </row>
    <row r="5456" spans="5:5">
      <c r="E5456"/>
    </row>
    <row r="5457" spans="5:5">
      <c r="E5457"/>
    </row>
    <row r="5458" spans="5:5">
      <c r="E5458"/>
    </row>
    <row r="5459" spans="5:5">
      <c r="E5459"/>
    </row>
    <row r="5460" spans="5:5">
      <c r="E5460"/>
    </row>
    <row r="5461" spans="5:5">
      <c r="E5461"/>
    </row>
    <row r="5462" spans="5:5">
      <c r="E5462"/>
    </row>
    <row r="5463" spans="5:5">
      <c r="E5463"/>
    </row>
    <row r="5464" spans="5:5">
      <c r="E5464"/>
    </row>
    <row r="5465" spans="5:5">
      <c r="E5465"/>
    </row>
    <row r="5466" spans="5:5">
      <c r="E5466"/>
    </row>
    <row r="5467" spans="5:5">
      <c r="E5467"/>
    </row>
    <row r="5468" spans="5:5">
      <c r="E5468"/>
    </row>
    <row r="5469" spans="5:5">
      <c r="E5469"/>
    </row>
    <row r="5470" spans="5:5">
      <c r="E5470"/>
    </row>
    <row r="5471" spans="5:5">
      <c r="E5471"/>
    </row>
    <row r="5472" spans="5:5">
      <c r="E5472"/>
    </row>
    <row r="5473" spans="5:5">
      <c r="E5473"/>
    </row>
    <row r="5474" spans="5:5">
      <c r="E5474"/>
    </row>
    <row r="5475" spans="5:5">
      <c r="E5475"/>
    </row>
    <row r="5476" spans="5:5">
      <c r="E5476"/>
    </row>
    <row r="5477" spans="5:5">
      <c r="E5477"/>
    </row>
    <row r="5478" spans="5:5">
      <c r="E5478"/>
    </row>
    <row r="5479" spans="5:5">
      <c r="E5479"/>
    </row>
    <row r="5480" spans="5:5">
      <c r="E5480"/>
    </row>
    <row r="5481" spans="5:5">
      <c r="E5481"/>
    </row>
    <row r="5482" spans="5:5">
      <c r="E5482"/>
    </row>
    <row r="5483" spans="5:5">
      <c r="E5483"/>
    </row>
    <row r="5484" spans="5:5">
      <c r="E5484"/>
    </row>
    <row r="5485" spans="5:5">
      <c r="E5485"/>
    </row>
    <row r="5486" spans="5:5">
      <c r="E5486"/>
    </row>
    <row r="5487" spans="5:5">
      <c r="E5487"/>
    </row>
    <row r="5488" spans="5:5">
      <c r="E5488"/>
    </row>
    <row r="5489" spans="5:5">
      <c r="E5489"/>
    </row>
    <row r="5490" spans="5:5">
      <c r="E5490"/>
    </row>
    <row r="5491" spans="5:5">
      <c r="E5491"/>
    </row>
    <row r="5492" spans="5:5">
      <c r="E5492"/>
    </row>
    <row r="5493" spans="5:5">
      <c r="E5493"/>
    </row>
    <row r="5494" spans="5:5">
      <c r="E5494"/>
    </row>
    <row r="5495" spans="5:5">
      <c r="E5495"/>
    </row>
    <row r="5496" spans="5:5">
      <c r="E5496"/>
    </row>
    <row r="5497" spans="5:5">
      <c r="E5497"/>
    </row>
    <row r="5498" spans="5:5">
      <c r="E5498"/>
    </row>
    <row r="5499" spans="5:5">
      <c r="E5499"/>
    </row>
    <row r="5500" spans="5:5">
      <c r="E5500"/>
    </row>
    <row r="5501" spans="5:5">
      <c r="E5501"/>
    </row>
    <row r="5502" spans="5:5">
      <c r="E5502"/>
    </row>
    <row r="5503" spans="5:5">
      <c r="E5503"/>
    </row>
    <row r="5504" spans="5:5">
      <c r="E5504"/>
    </row>
    <row r="5505" spans="5:5">
      <c r="E5505"/>
    </row>
    <row r="5506" spans="5:5">
      <c r="E5506"/>
    </row>
    <row r="5507" spans="5:5">
      <c r="E5507"/>
    </row>
    <row r="5508" spans="5:5">
      <c r="E5508"/>
    </row>
    <row r="5509" spans="5:5">
      <c r="E5509"/>
    </row>
    <row r="5510" spans="5:5">
      <c r="E5510"/>
    </row>
    <row r="5511" spans="5:5">
      <c r="E5511"/>
    </row>
    <row r="5512" spans="5:5">
      <c r="E5512"/>
    </row>
    <row r="5513" spans="5:5">
      <c r="E5513"/>
    </row>
    <row r="5514" spans="5:5">
      <c r="E5514"/>
    </row>
    <row r="5515" spans="5:5">
      <c r="E5515"/>
    </row>
    <row r="5516" spans="5:5">
      <c r="E5516"/>
    </row>
    <row r="5517" spans="5:5">
      <c r="E5517"/>
    </row>
    <row r="5518" spans="5:5">
      <c r="E5518"/>
    </row>
    <row r="5519" spans="5:5">
      <c r="E5519"/>
    </row>
    <row r="5520" spans="5:5">
      <c r="E5520"/>
    </row>
    <row r="5521" spans="5:5">
      <c r="E5521"/>
    </row>
    <row r="5522" spans="5:5">
      <c r="E5522"/>
    </row>
    <row r="5523" spans="5:5">
      <c r="E5523"/>
    </row>
    <row r="5524" spans="5:5">
      <c r="E5524"/>
    </row>
    <row r="5525" spans="5:5">
      <c r="E5525"/>
    </row>
    <row r="5526" spans="5:5">
      <c r="E5526"/>
    </row>
    <row r="5527" spans="5:5">
      <c r="E5527"/>
    </row>
    <row r="5528" spans="5:5">
      <c r="E5528"/>
    </row>
    <row r="5529" spans="5:5">
      <c r="E5529"/>
    </row>
    <row r="5530" spans="5:5">
      <c r="E5530"/>
    </row>
    <row r="5531" spans="5:5">
      <c r="E5531"/>
    </row>
    <row r="5532" spans="5:5">
      <c r="E5532"/>
    </row>
    <row r="5533" spans="5:5">
      <c r="E5533"/>
    </row>
    <row r="5534" spans="5:5">
      <c r="E5534"/>
    </row>
    <row r="5535" spans="5:5">
      <c r="E5535"/>
    </row>
    <row r="5536" spans="5:5">
      <c r="E5536"/>
    </row>
    <row r="5537" spans="5:5">
      <c r="E5537"/>
    </row>
    <row r="5538" spans="5:5">
      <c r="E5538"/>
    </row>
    <row r="5539" spans="5:5">
      <c r="E5539"/>
    </row>
    <row r="5540" spans="5:5">
      <c r="E5540"/>
    </row>
    <row r="5541" spans="5:5">
      <c r="E5541"/>
    </row>
    <row r="5542" spans="5:5">
      <c r="E5542"/>
    </row>
    <row r="5543" spans="5:5">
      <c r="E5543"/>
    </row>
    <row r="5544" spans="5:5">
      <c r="E5544"/>
    </row>
    <row r="5545" spans="5:5">
      <c r="E5545"/>
    </row>
    <row r="5546" spans="5:5">
      <c r="E5546"/>
    </row>
    <row r="5547" spans="5:5">
      <c r="E5547"/>
    </row>
    <row r="5548" spans="5:5">
      <c r="E5548"/>
    </row>
    <row r="5549" spans="5:5">
      <c r="E5549"/>
    </row>
    <row r="5550" spans="5:5">
      <c r="E5550"/>
    </row>
    <row r="5551" spans="5:5">
      <c r="E5551"/>
    </row>
    <row r="5552" spans="5:5">
      <c r="E5552"/>
    </row>
    <row r="5553" spans="5:5">
      <c r="E5553"/>
    </row>
    <row r="5554" spans="5:5">
      <c r="E5554"/>
    </row>
    <row r="5555" spans="5:5">
      <c r="E5555"/>
    </row>
    <row r="5556" spans="5:5">
      <c r="E5556"/>
    </row>
    <row r="5557" spans="5:5">
      <c r="E5557"/>
    </row>
    <row r="5558" spans="5:5">
      <c r="E5558"/>
    </row>
    <row r="5559" spans="5:5">
      <c r="E5559"/>
    </row>
    <row r="5560" spans="5:5">
      <c r="E5560"/>
    </row>
    <row r="5561" spans="5:5">
      <c r="E5561"/>
    </row>
    <row r="5562" spans="5:5">
      <c r="E5562"/>
    </row>
    <row r="5563" spans="5:5">
      <c r="E5563"/>
    </row>
    <row r="5564" spans="5:5">
      <c r="E5564"/>
    </row>
    <row r="5565" spans="5:5">
      <c r="E5565"/>
    </row>
    <row r="5566" spans="5:5">
      <c r="E5566"/>
    </row>
    <row r="5567" spans="5:5">
      <c r="E5567"/>
    </row>
    <row r="5568" spans="5:5">
      <c r="E5568"/>
    </row>
    <row r="5569" spans="5:5">
      <c r="E5569"/>
    </row>
    <row r="5570" spans="5:5">
      <c r="E5570"/>
    </row>
    <row r="5571" spans="5:5">
      <c r="E5571"/>
    </row>
    <row r="5572" spans="5:5">
      <c r="E5572"/>
    </row>
    <row r="5573" spans="5:5">
      <c r="E5573"/>
    </row>
    <row r="5574" spans="5:5">
      <c r="E5574"/>
    </row>
    <row r="5575" spans="5:5">
      <c r="E5575"/>
    </row>
    <row r="5576" spans="5:5">
      <c r="E5576"/>
    </row>
    <row r="5577" spans="5:5">
      <c r="E5577"/>
    </row>
    <row r="5578" spans="5:5">
      <c r="E5578"/>
    </row>
    <row r="5579" spans="5:5">
      <c r="E5579"/>
    </row>
    <row r="5580" spans="5:5">
      <c r="E5580"/>
    </row>
    <row r="5581" spans="5:5">
      <c r="E5581"/>
    </row>
    <row r="5582" spans="5:5">
      <c r="E5582"/>
    </row>
    <row r="5583" spans="5:5">
      <c r="E5583"/>
    </row>
    <row r="5584" spans="5:5">
      <c r="E5584"/>
    </row>
    <row r="5585" spans="5:5">
      <c r="E5585"/>
    </row>
    <row r="5586" spans="5:5">
      <c r="E5586"/>
    </row>
    <row r="5587" spans="5:5">
      <c r="E5587"/>
    </row>
    <row r="5588" spans="5:5">
      <c r="E5588"/>
    </row>
    <row r="5589" spans="5:5">
      <c r="E5589"/>
    </row>
    <row r="5590" spans="5:5">
      <c r="E5590"/>
    </row>
    <row r="5591" spans="5:5">
      <c r="E5591"/>
    </row>
    <row r="5592" spans="5:5">
      <c r="E5592"/>
    </row>
    <row r="5593" spans="5:5">
      <c r="E5593"/>
    </row>
    <row r="5594" spans="5:5">
      <c r="E5594"/>
    </row>
    <row r="5595" spans="5:5">
      <c r="E5595"/>
    </row>
    <row r="5596" spans="5:5">
      <c r="E5596"/>
    </row>
    <row r="5597" spans="5:5">
      <c r="E5597"/>
    </row>
    <row r="5598" spans="5:5">
      <c r="E5598"/>
    </row>
    <row r="5599" spans="5:5">
      <c r="E5599"/>
    </row>
    <row r="5600" spans="5:5">
      <c r="E5600"/>
    </row>
    <row r="5601" spans="5:5">
      <c r="E5601"/>
    </row>
    <row r="5602" spans="5:5">
      <c r="E5602"/>
    </row>
    <row r="5603" spans="5:5">
      <c r="E5603"/>
    </row>
    <row r="5604" spans="5:5">
      <c r="E5604"/>
    </row>
    <row r="5605" spans="5:5">
      <c r="E5605"/>
    </row>
    <row r="5606" spans="5:5">
      <c r="E5606"/>
    </row>
    <row r="5607" spans="5:5">
      <c r="E5607"/>
    </row>
    <row r="5608" spans="5:5">
      <c r="E5608"/>
    </row>
    <row r="5609" spans="5:5">
      <c r="E5609"/>
    </row>
    <row r="5610" spans="5:5">
      <c r="E5610"/>
    </row>
    <row r="5611" spans="5:5">
      <c r="E5611"/>
    </row>
    <row r="5612" spans="5:5">
      <c r="E5612"/>
    </row>
    <row r="5613" spans="5:5">
      <c r="E5613"/>
    </row>
    <row r="5614" spans="5:5">
      <c r="E5614"/>
    </row>
    <row r="5615" spans="5:5">
      <c r="E5615"/>
    </row>
    <row r="5616" spans="5:5">
      <c r="E5616"/>
    </row>
    <row r="5617" spans="5:5">
      <c r="E5617"/>
    </row>
    <row r="5618" spans="5:5">
      <c r="E5618"/>
    </row>
    <row r="5619" spans="5:5">
      <c r="E5619"/>
    </row>
    <row r="5620" spans="5:5">
      <c r="E5620"/>
    </row>
    <row r="5621" spans="5:5">
      <c r="E5621"/>
    </row>
    <row r="5622" spans="5:5">
      <c r="E5622"/>
    </row>
    <row r="5623" spans="5:5">
      <c r="E5623"/>
    </row>
    <row r="5624" spans="5:5">
      <c r="E5624"/>
    </row>
    <row r="5625" spans="5:5">
      <c r="E5625"/>
    </row>
    <row r="5626" spans="5:5">
      <c r="E5626"/>
    </row>
    <row r="5627" spans="5:5">
      <c r="E5627"/>
    </row>
    <row r="5628" spans="5:5">
      <c r="E5628"/>
    </row>
    <row r="5629" spans="5:5">
      <c r="E5629"/>
    </row>
    <row r="5630" spans="5:5">
      <c r="E5630"/>
    </row>
    <row r="5631" spans="5:5">
      <c r="E5631"/>
    </row>
    <row r="5632" spans="5:5">
      <c r="E5632"/>
    </row>
    <row r="5633" spans="5:5">
      <c r="E5633"/>
    </row>
    <row r="5634" spans="5:5">
      <c r="E5634"/>
    </row>
    <row r="5635" spans="5:5">
      <c r="E5635"/>
    </row>
    <row r="5636" spans="5:5">
      <c r="E5636"/>
    </row>
    <row r="5637" spans="5:5">
      <c r="E5637"/>
    </row>
    <row r="5638" spans="5:5">
      <c r="E5638"/>
    </row>
    <row r="5639" spans="5:5">
      <c r="E5639"/>
    </row>
    <row r="5640" spans="5:5">
      <c r="E5640"/>
    </row>
    <row r="5641" spans="5:5">
      <c r="E5641"/>
    </row>
    <row r="5642" spans="5:5">
      <c r="E5642"/>
    </row>
    <row r="5643" spans="5:5">
      <c r="E5643"/>
    </row>
    <row r="5644" spans="5:5">
      <c r="E5644"/>
    </row>
    <row r="5645" spans="5:5">
      <c r="E5645"/>
    </row>
    <row r="5646" spans="5:5">
      <c r="E5646"/>
    </row>
    <row r="5647" spans="5:5">
      <c r="E5647"/>
    </row>
    <row r="5648" spans="5:5">
      <c r="E5648"/>
    </row>
    <row r="5649" spans="5:5">
      <c r="E5649"/>
    </row>
    <row r="5650" spans="5:5">
      <c r="E5650"/>
    </row>
    <row r="5651" spans="5:5">
      <c r="E5651"/>
    </row>
    <row r="5652" spans="5:5">
      <c r="E5652"/>
    </row>
    <row r="5653" spans="5:5">
      <c r="E5653"/>
    </row>
    <row r="5654" spans="5:5">
      <c r="E5654"/>
    </row>
    <row r="5655" spans="5:5">
      <c r="E5655"/>
    </row>
    <row r="5656" spans="5:5">
      <c r="E5656"/>
    </row>
    <row r="5657" spans="5:5">
      <c r="E5657"/>
    </row>
    <row r="5658" spans="5:5">
      <c r="E5658"/>
    </row>
    <row r="5659" spans="5:5">
      <c r="E5659"/>
    </row>
    <row r="5660" spans="5:5">
      <c r="E5660"/>
    </row>
    <row r="5661" spans="5:5">
      <c r="E5661"/>
    </row>
    <row r="5662" spans="5:5">
      <c r="E5662"/>
    </row>
    <row r="5663" spans="5:5">
      <c r="E5663"/>
    </row>
    <row r="5664" spans="5:5">
      <c r="E5664"/>
    </row>
    <row r="5665" spans="5:5">
      <c r="E5665"/>
    </row>
    <row r="5666" spans="5:5">
      <c r="E5666"/>
    </row>
    <row r="5667" spans="5:5">
      <c r="E5667"/>
    </row>
    <row r="5668" spans="5:5">
      <c r="E5668"/>
    </row>
    <row r="5669" spans="5:5">
      <c r="E5669"/>
    </row>
    <row r="5670" spans="5:5">
      <c r="E5670"/>
    </row>
    <row r="5671" spans="5:5">
      <c r="E5671"/>
    </row>
    <row r="5672" spans="5:5">
      <c r="E5672"/>
    </row>
    <row r="5673" spans="5:5">
      <c r="E5673"/>
    </row>
    <row r="5674" spans="5:5">
      <c r="E5674"/>
    </row>
    <row r="5675" spans="5:5">
      <c r="E5675"/>
    </row>
    <row r="5676" spans="5:5">
      <c r="E5676"/>
    </row>
    <row r="5677" spans="5:5">
      <c r="E5677"/>
    </row>
    <row r="5678" spans="5:5">
      <c r="E5678"/>
    </row>
    <row r="5679" spans="5:5">
      <c r="E5679"/>
    </row>
    <row r="5680" spans="5:5">
      <c r="E5680"/>
    </row>
    <row r="5681" spans="5:5">
      <c r="E5681"/>
    </row>
    <row r="5682" spans="5:5">
      <c r="E5682"/>
    </row>
    <row r="5683" spans="5:5">
      <c r="E5683"/>
    </row>
    <row r="5684" spans="5:5">
      <c r="E5684"/>
    </row>
    <row r="5685" spans="5:5">
      <c r="E5685"/>
    </row>
    <row r="5686" spans="5:5">
      <c r="E5686"/>
    </row>
    <row r="5687" spans="5:5">
      <c r="E5687"/>
    </row>
    <row r="5688" spans="5:5">
      <c r="E5688"/>
    </row>
    <row r="5689" spans="5:5">
      <c r="E5689"/>
    </row>
    <row r="5690" spans="5:5">
      <c r="E5690"/>
    </row>
    <row r="5691" spans="5:5">
      <c r="E5691"/>
    </row>
    <row r="5692" spans="5:5">
      <c r="E5692"/>
    </row>
    <row r="5693" spans="5:5">
      <c r="E5693"/>
    </row>
    <row r="5694" spans="5:5">
      <c r="E5694"/>
    </row>
    <row r="5695" spans="5:5">
      <c r="E5695"/>
    </row>
    <row r="5696" spans="5:5">
      <c r="E5696"/>
    </row>
    <row r="5697" spans="5:5">
      <c r="E5697"/>
    </row>
    <row r="5698" spans="5:5">
      <c r="E5698"/>
    </row>
    <row r="5699" spans="5:5">
      <c r="E5699"/>
    </row>
    <row r="5700" spans="5:5">
      <c r="E5700"/>
    </row>
    <row r="5701" spans="5:5">
      <c r="E5701"/>
    </row>
    <row r="5702" spans="5:5">
      <c r="E5702"/>
    </row>
    <row r="5703" spans="5:5">
      <c r="E5703"/>
    </row>
    <row r="5704" spans="5:5">
      <c r="E5704"/>
    </row>
    <row r="5705" spans="5:5">
      <c r="E5705"/>
    </row>
    <row r="5706" spans="5:5">
      <c r="E5706"/>
    </row>
    <row r="5707" spans="5:5">
      <c r="E5707"/>
    </row>
    <row r="5708" spans="5:5">
      <c r="E5708"/>
    </row>
    <row r="5709" spans="5:5">
      <c r="E5709"/>
    </row>
    <row r="5710" spans="5:5">
      <c r="E5710"/>
    </row>
    <row r="5711" spans="5:5">
      <c r="E5711"/>
    </row>
    <row r="5712" spans="5:5">
      <c r="E5712"/>
    </row>
    <row r="5713" spans="5:5">
      <c r="E5713"/>
    </row>
    <row r="5714" spans="5:5">
      <c r="E5714"/>
    </row>
    <row r="5715" spans="5:5">
      <c r="E5715"/>
    </row>
    <row r="5716" spans="5:5">
      <c r="E5716"/>
    </row>
    <row r="5717" spans="5:5">
      <c r="E5717"/>
    </row>
    <row r="5718" spans="5:5">
      <c r="E5718"/>
    </row>
    <row r="5719" spans="5:5">
      <c r="E5719"/>
    </row>
    <row r="5720" spans="5:5">
      <c r="E5720"/>
    </row>
    <row r="5721" spans="5:5">
      <c r="E5721"/>
    </row>
    <row r="5722" spans="5:5">
      <c r="E5722"/>
    </row>
    <row r="5723" spans="5:5">
      <c r="E5723"/>
    </row>
    <row r="5724" spans="5:5">
      <c r="E5724"/>
    </row>
    <row r="5725" spans="5:5">
      <c r="E5725"/>
    </row>
    <row r="5726" spans="5:5">
      <c r="E5726"/>
    </row>
    <row r="5727" spans="5:5">
      <c r="E5727"/>
    </row>
    <row r="5728" spans="5:5">
      <c r="E5728"/>
    </row>
    <row r="5729" spans="5:5">
      <c r="E5729"/>
    </row>
    <row r="5730" spans="5:5">
      <c r="E5730"/>
    </row>
    <row r="5731" spans="5:5">
      <c r="E5731"/>
    </row>
    <row r="5732" spans="5:5">
      <c r="E5732"/>
    </row>
    <row r="5733" spans="5:5">
      <c r="E5733"/>
    </row>
    <row r="5734" spans="5:5">
      <c r="E5734"/>
    </row>
    <row r="5735" spans="5:5">
      <c r="E5735"/>
    </row>
    <row r="5736" spans="5:5">
      <c r="E5736"/>
    </row>
    <row r="5737" spans="5:5">
      <c r="E5737"/>
    </row>
    <row r="5738" spans="5:5">
      <c r="E5738"/>
    </row>
    <row r="5739" spans="5:5">
      <c r="E5739"/>
    </row>
    <row r="5740" spans="5:5">
      <c r="E5740"/>
    </row>
    <row r="5741" spans="5:5">
      <c r="E5741"/>
    </row>
    <row r="5742" spans="5:5">
      <c r="E5742"/>
    </row>
    <row r="5743" spans="5:5">
      <c r="E5743"/>
    </row>
    <row r="5744" spans="5:5">
      <c r="E5744"/>
    </row>
    <row r="5745" spans="5:5">
      <c r="E5745"/>
    </row>
    <row r="5746" spans="5:5">
      <c r="E5746"/>
    </row>
    <row r="5747" spans="5:5">
      <c r="E5747"/>
    </row>
    <row r="5748" spans="5:5">
      <c r="E5748"/>
    </row>
    <row r="5749" spans="5:5">
      <c r="E5749"/>
    </row>
    <row r="5750" spans="5:5">
      <c r="E5750"/>
    </row>
    <row r="5751" spans="5:5">
      <c r="E5751"/>
    </row>
    <row r="5752" spans="5:5">
      <c r="E5752"/>
    </row>
    <row r="5753" spans="5:5">
      <c r="E5753"/>
    </row>
    <row r="5754" spans="5:5">
      <c r="E5754"/>
    </row>
    <row r="5755" spans="5:5">
      <c r="E5755"/>
    </row>
    <row r="5756" spans="5:5">
      <c r="E5756"/>
    </row>
    <row r="5757" spans="5:5">
      <c r="E5757"/>
    </row>
    <row r="5758" spans="5:5">
      <c r="E5758"/>
    </row>
    <row r="5759" spans="5:5">
      <c r="E5759"/>
    </row>
    <row r="5760" spans="5:5">
      <c r="E5760"/>
    </row>
    <row r="5761" spans="5:5">
      <c r="E5761"/>
    </row>
    <row r="5762" spans="5:5">
      <c r="E5762"/>
    </row>
    <row r="5763" spans="5:5">
      <c r="E5763"/>
    </row>
    <row r="5764" spans="5:5">
      <c r="E5764"/>
    </row>
    <row r="5765" spans="5:5">
      <c r="E5765"/>
    </row>
    <row r="5766" spans="5:5">
      <c r="E5766"/>
    </row>
    <row r="5767" spans="5:5">
      <c r="E5767"/>
    </row>
    <row r="5768" spans="5:5">
      <c r="E5768"/>
    </row>
    <row r="5769" spans="5:5">
      <c r="E5769"/>
    </row>
    <row r="5770" spans="5:5">
      <c r="E5770"/>
    </row>
    <row r="5771" spans="5:5">
      <c r="E5771"/>
    </row>
    <row r="5772" spans="5:5">
      <c r="E5772"/>
    </row>
    <row r="5773" spans="5:5">
      <c r="E5773"/>
    </row>
    <row r="5774" spans="5:5">
      <c r="E5774"/>
    </row>
    <row r="5775" spans="5:5">
      <c r="E5775"/>
    </row>
    <row r="5776" spans="5:5">
      <c r="E5776"/>
    </row>
    <row r="5777" spans="5:5">
      <c r="E5777"/>
    </row>
    <row r="5778" spans="5:5">
      <c r="E5778"/>
    </row>
    <row r="5779" spans="5:5">
      <c r="E5779"/>
    </row>
    <row r="5780" spans="5:5">
      <c r="E5780"/>
    </row>
    <row r="5781" spans="5:5">
      <c r="E5781"/>
    </row>
    <row r="5782" spans="5:5">
      <c r="E5782"/>
    </row>
    <row r="5783" spans="5:5">
      <c r="E5783"/>
    </row>
    <row r="5784" spans="5:5">
      <c r="E5784"/>
    </row>
    <row r="5785" spans="5:5">
      <c r="E5785"/>
    </row>
    <row r="5786" spans="5:5">
      <c r="E5786"/>
    </row>
    <row r="5787" spans="5:5">
      <c r="E5787"/>
    </row>
    <row r="5788" spans="5:5">
      <c r="E5788"/>
    </row>
    <row r="5789" spans="5:5">
      <c r="E5789"/>
    </row>
    <row r="5790" spans="5:5">
      <c r="E5790"/>
    </row>
    <row r="5791" spans="5:5">
      <c r="E5791"/>
    </row>
    <row r="5792" spans="5:5">
      <c r="E5792"/>
    </row>
    <row r="5793" spans="5:5">
      <c r="E5793"/>
    </row>
    <row r="5794" spans="5:5">
      <c r="E5794"/>
    </row>
    <row r="5795" spans="5:5">
      <c r="E5795"/>
    </row>
    <row r="5796" spans="5:5">
      <c r="E5796"/>
    </row>
    <row r="5797" spans="5:5">
      <c r="E5797"/>
    </row>
    <row r="5798" spans="5:5">
      <c r="E5798"/>
    </row>
    <row r="5799" spans="5:5">
      <c r="E5799"/>
    </row>
    <row r="5800" spans="5:5">
      <c r="E5800"/>
    </row>
    <row r="5801" spans="5:5">
      <c r="E5801"/>
    </row>
    <row r="5802" spans="5:5">
      <c r="E5802"/>
    </row>
    <row r="5803" spans="5:5">
      <c r="E5803"/>
    </row>
    <row r="5804" spans="5:5">
      <c r="E5804"/>
    </row>
    <row r="5805" spans="5:5">
      <c r="E5805"/>
    </row>
    <row r="5806" spans="5:5">
      <c r="E5806"/>
    </row>
    <row r="5807" spans="5:5">
      <c r="E5807"/>
    </row>
    <row r="5808" spans="5:5">
      <c r="E5808"/>
    </row>
    <row r="5809" spans="5:5">
      <c r="E5809"/>
    </row>
    <row r="5810" spans="5:5">
      <c r="E5810"/>
    </row>
    <row r="5811" spans="5:5">
      <c r="E5811"/>
    </row>
    <row r="5812" spans="5:5">
      <c r="E5812"/>
    </row>
    <row r="5813" spans="5:5">
      <c r="E5813"/>
    </row>
    <row r="5814" spans="5:5">
      <c r="E5814"/>
    </row>
    <row r="5815" spans="5:5">
      <c r="E5815"/>
    </row>
    <row r="5816" spans="5:5">
      <c r="E5816"/>
    </row>
    <row r="5817" spans="5:5">
      <c r="E5817"/>
    </row>
    <row r="5818" spans="5:5">
      <c r="E5818"/>
    </row>
    <row r="5819" spans="5:5">
      <c r="E5819"/>
    </row>
    <row r="5820" spans="5:5">
      <c r="E5820"/>
    </row>
    <row r="5821" spans="5:5">
      <c r="E5821"/>
    </row>
    <row r="5822" spans="5:5">
      <c r="E5822"/>
    </row>
    <row r="5823" spans="5:5">
      <c r="E5823"/>
    </row>
    <row r="5824" spans="5:5">
      <c r="E5824"/>
    </row>
    <row r="5825" spans="5:5">
      <c r="E5825"/>
    </row>
    <row r="5826" spans="5:5">
      <c r="E5826"/>
    </row>
    <row r="5827" spans="5:5">
      <c r="E5827"/>
    </row>
    <row r="5828" spans="5:5">
      <c r="E5828"/>
    </row>
    <row r="5829" spans="5:5">
      <c r="E5829"/>
    </row>
    <row r="5830" spans="5:5">
      <c r="E5830"/>
    </row>
    <row r="5831" spans="5:5">
      <c r="E5831"/>
    </row>
    <row r="5832" spans="5:5">
      <c r="E5832"/>
    </row>
    <row r="5833" spans="5:5">
      <c r="E5833"/>
    </row>
    <row r="5834" spans="5:5">
      <c r="E5834"/>
    </row>
    <row r="5835" spans="5:5">
      <c r="E5835"/>
    </row>
    <row r="5836" spans="5:5">
      <c r="E5836"/>
    </row>
    <row r="5837" spans="5:5">
      <c r="E5837"/>
    </row>
    <row r="5838" spans="5:5">
      <c r="E5838"/>
    </row>
    <row r="5839" spans="5:5">
      <c r="E5839"/>
    </row>
    <row r="5840" spans="5:5">
      <c r="E5840"/>
    </row>
    <row r="5841" spans="5:5">
      <c r="E5841"/>
    </row>
    <row r="5842" spans="5:5">
      <c r="E5842"/>
    </row>
    <row r="5843" spans="5:5">
      <c r="E5843"/>
    </row>
    <row r="5844" spans="5:5">
      <c r="E5844"/>
    </row>
    <row r="5845" spans="5:5">
      <c r="E5845"/>
    </row>
    <row r="5846" spans="5:5">
      <c r="E5846"/>
    </row>
    <row r="5847" spans="5:5">
      <c r="E5847"/>
    </row>
    <row r="5848" spans="5:5">
      <c r="E5848"/>
    </row>
    <row r="5849" spans="5:5">
      <c r="E5849"/>
    </row>
    <row r="5850" spans="5:5">
      <c r="E5850"/>
    </row>
    <row r="5851" spans="5:5">
      <c r="E5851"/>
    </row>
    <row r="5852" spans="5:5">
      <c r="E5852"/>
    </row>
    <row r="5853" spans="5:5">
      <c r="E5853"/>
    </row>
    <row r="5854" spans="5:5">
      <c r="E5854"/>
    </row>
    <row r="5855" spans="5:5">
      <c r="E5855"/>
    </row>
    <row r="5856" spans="5:5">
      <c r="E5856"/>
    </row>
    <row r="5857" spans="5:5">
      <c r="E5857"/>
    </row>
    <row r="5858" spans="5:5">
      <c r="E5858"/>
    </row>
    <row r="5859" spans="5:5">
      <c r="E5859"/>
    </row>
    <row r="5860" spans="5:5">
      <c r="E5860"/>
    </row>
    <row r="5861" spans="5:5">
      <c r="E5861"/>
    </row>
    <row r="5862" spans="5:5">
      <c r="E5862"/>
    </row>
    <row r="5863" spans="5:5">
      <c r="E5863"/>
    </row>
    <row r="5864" spans="5:5">
      <c r="E5864"/>
    </row>
    <row r="5865" spans="5:5">
      <c r="E5865"/>
    </row>
    <row r="5866" spans="5:5">
      <c r="E5866"/>
    </row>
    <row r="5867" spans="5:5">
      <c r="E5867"/>
    </row>
    <row r="5868" spans="5:5">
      <c r="E5868"/>
    </row>
    <row r="5869" spans="5:5">
      <c r="E5869"/>
    </row>
    <row r="5870" spans="5:5">
      <c r="E5870"/>
    </row>
    <row r="5871" spans="5:5">
      <c r="E5871"/>
    </row>
    <row r="5872" spans="5:5">
      <c r="E5872"/>
    </row>
    <row r="5873" spans="5:5">
      <c r="E5873"/>
    </row>
    <row r="5874" spans="5:5">
      <c r="E5874"/>
    </row>
    <row r="5875" spans="5:5">
      <c r="E5875"/>
    </row>
    <row r="5876" spans="5:5">
      <c r="E5876"/>
    </row>
    <row r="5877" spans="5:5">
      <c r="E5877"/>
    </row>
    <row r="5878" spans="5:5">
      <c r="E5878"/>
    </row>
    <row r="5879" spans="5:5">
      <c r="E5879"/>
    </row>
    <row r="5880" spans="5:5">
      <c r="E5880"/>
    </row>
    <row r="5881" spans="5:5">
      <c r="E5881"/>
    </row>
    <row r="5882" spans="5:5">
      <c r="E5882"/>
    </row>
    <row r="5883" spans="5:5">
      <c r="E5883"/>
    </row>
    <row r="5884" spans="5:5">
      <c r="E5884"/>
    </row>
    <row r="5885" spans="5:5">
      <c r="E5885"/>
    </row>
    <row r="5886" spans="5:5">
      <c r="E5886"/>
    </row>
    <row r="5887" spans="5:5">
      <c r="E5887"/>
    </row>
    <row r="5888" spans="5:5">
      <c r="E5888"/>
    </row>
    <row r="5889" spans="5:5">
      <c r="E5889"/>
    </row>
    <row r="5890" spans="5:5">
      <c r="E5890"/>
    </row>
    <row r="5891" spans="5:5">
      <c r="E5891"/>
    </row>
    <row r="5892" spans="5:5">
      <c r="E5892"/>
    </row>
    <row r="5893" spans="5:5">
      <c r="E5893"/>
    </row>
    <row r="5894" spans="5:5">
      <c r="E5894"/>
    </row>
    <row r="5895" spans="5:5">
      <c r="E5895"/>
    </row>
    <row r="5896" spans="5:5">
      <c r="E5896"/>
    </row>
    <row r="5897" spans="5:5">
      <c r="E5897"/>
    </row>
    <row r="5898" spans="5:5">
      <c r="E5898"/>
    </row>
    <row r="5899" spans="5:5">
      <c r="E5899"/>
    </row>
    <row r="5900" spans="5:5">
      <c r="E5900"/>
    </row>
    <row r="5901" spans="5:5">
      <c r="E5901"/>
    </row>
    <row r="5902" spans="5:5">
      <c r="E5902"/>
    </row>
    <row r="5903" spans="5:5">
      <c r="E5903"/>
    </row>
    <row r="5904" spans="5:5">
      <c r="E5904"/>
    </row>
    <row r="5905" spans="5:5">
      <c r="E5905"/>
    </row>
    <row r="5906" spans="5:5">
      <c r="E5906"/>
    </row>
    <row r="5907" spans="5:5">
      <c r="E5907"/>
    </row>
    <row r="5908" spans="5:5">
      <c r="E5908"/>
    </row>
    <row r="5909" spans="5:5">
      <c r="E5909"/>
    </row>
    <row r="5910" spans="5:5">
      <c r="E5910"/>
    </row>
    <row r="5911" spans="5:5">
      <c r="E5911"/>
    </row>
    <row r="5912" spans="5:5">
      <c r="E5912"/>
    </row>
    <row r="5913" spans="5:5">
      <c r="E5913"/>
    </row>
    <row r="5914" spans="5:5">
      <c r="E5914"/>
    </row>
    <row r="5915" spans="5:5">
      <c r="E5915"/>
    </row>
    <row r="5916" spans="5:5">
      <c r="E5916"/>
    </row>
    <row r="5917" spans="5:5">
      <c r="E5917"/>
    </row>
    <row r="5918" spans="5:5">
      <c r="E5918"/>
    </row>
    <row r="5919" spans="5:5">
      <c r="E5919"/>
    </row>
    <row r="5920" spans="5:5">
      <c r="E5920"/>
    </row>
    <row r="5921" spans="5:5">
      <c r="E5921"/>
    </row>
    <row r="5922" spans="5:5">
      <c r="E5922"/>
    </row>
    <row r="5923" spans="5:5">
      <c r="E5923"/>
    </row>
    <row r="5924" spans="5:5">
      <c r="E5924"/>
    </row>
    <row r="5925" spans="5:5">
      <c r="E5925"/>
    </row>
    <row r="5926" spans="5:5">
      <c r="E5926"/>
    </row>
    <row r="5927" spans="5:5">
      <c r="E5927"/>
    </row>
    <row r="5928" spans="5:5">
      <c r="E5928"/>
    </row>
    <row r="5929" spans="5:5">
      <c r="E5929"/>
    </row>
    <row r="5930" spans="5:5">
      <c r="E5930"/>
    </row>
    <row r="5931" spans="5:5">
      <c r="E5931"/>
    </row>
    <row r="5932" spans="5:5">
      <c r="E5932"/>
    </row>
    <row r="5933" spans="5:5">
      <c r="E5933"/>
    </row>
    <row r="5934" spans="5:5">
      <c r="E5934"/>
    </row>
    <row r="5935" spans="5:5">
      <c r="E5935"/>
    </row>
    <row r="5936" spans="5:5">
      <c r="E5936"/>
    </row>
    <row r="5937" spans="5:5">
      <c r="E5937"/>
    </row>
    <row r="5938" spans="5:5">
      <c r="E5938"/>
    </row>
    <row r="5939" spans="5:5">
      <c r="E5939"/>
    </row>
    <row r="5940" spans="5:5">
      <c r="E5940"/>
    </row>
    <row r="5941" spans="5:5">
      <c r="E5941"/>
    </row>
    <row r="5942" spans="5:5">
      <c r="E5942"/>
    </row>
    <row r="5943" spans="5:5">
      <c r="E5943"/>
    </row>
    <row r="5944" spans="5:5">
      <c r="E5944"/>
    </row>
    <row r="5945" spans="5:5">
      <c r="E5945"/>
    </row>
    <row r="5946" spans="5:5">
      <c r="E5946"/>
    </row>
    <row r="5947" spans="5:5">
      <c r="E5947"/>
    </row>
    <row r="5948" spans="5:5">
      <c r="E5948"/>
    </row>
    <row r="5949" spans="5:5">
      <c r="E5949"/>
    </row>
    <row r="5950" spans="5:5">
      <c r="E5950"/>
    </row>
    <row r="5951" spans="5:5">
      <c r="E5951"/>
    </row>
    <row r="5952" spans="5:5">
      <c r="E5952"/>
    </row>
    <row r="5953" spans="5:5">
      <c r="E5953"/>
    </row>
    <row r="5954" spans="5:5">
      <c r="E5954"/>
    </row>
    <row r="5955" spans="5:5">
      <c r="E5955"/>
    </row>
    <row r="5956" spans="5:5">
      <c r="E5956"/>
    </row>
    <row r="5957" spans="5:5">
      <c r="E5957"/>
    </row>
    <row r="5958" spans="5:5">
      <c r="E5958"/>
    </row>
    <row r="5959" spans="5:5">
      <c r="E5959"/>
    </row>
    <row r="5960" spans="5:5">
      <c r="E5960"/>
    </row>
    <row r="5961" spans="5:5">
      <c r="E5961"/>
    </row>
    <row r="5962" spans="5:5">
      <c r="E5962"/>
    </row>
    <row r="5963" spans="5:5">
      <c r="E5963"/>
    </row>
    <row r="5964" spans="5:5">
      <c r="E5964"/>
    </row>
    <row r="5965" spans="5:5">
      <c r="E5965"/>
    </row>
    <row r="5966" spans="5:5">
      <c r="E5966"/>
    </row>
    <row r="5967" spans="5:5">
      <c r="E5967"/>
    </row>
    <row r="5968" spans="5:5">
      <c r="E5968"/>
    </row>
    <row r="5969" spans="5:5">
      <c r="E5969"/>
    </row>
    <row r="5970" spans="5:5">
      <c r="E5970"/>
    </row>
    <row r="5971" spans="5:5">
      <c r="E5971"/>
    </row>
    <row r="5972" spans="5:5">
      <c r="E5972"/>
    </row>
    <row r="5973" spans="5:5">
      <c r="E5973"/>
    </row>
    <row r="5974" spans="5:5">
      <c r="E5974"/>
    </row>
    <row r="5975" spans="5:5">
      <c r="E5975"/>
    </row>
    <row r="5976" spans="5:5">
      <c r="E5976"/>
    </row>
    <row r="5977" spans="5:5">
      <c r="E5977"/>
    </row>
    <row r="5978" spans="5:5">
      <c r="E5978"/>
    </row>
    <row r="5979" spans="5:5">
      <c r="E5979"/>
    </row>
    <row r="5980" spans="5:5">
      <c r="E5980"/>
    </row>
    <row r="5981" spans="5:5">
      <c r="E5981"/>
    </row>
    <row r="5982" spans="5:5">
      <c r="E5982"/>
    </row>
    <row r="5983" spans="5:5">
      <c r="E5983"/>
    </row>
    <row r="5984" spans="5:5">
      <c r="E5984"/>
    </row>
    <row r="5985" spans="5:5">
      <c r="E5985"/>
    </row>
    <row r="5986" spans="5:5">
      <c r="E5986"/>
    </row>
    <row r="5987" spans="5:5">
      <c r="E5987"/>
    </row>
    <row r="5988" spans="5:5">
      <c r="E5988"/>
    </row>
    <row r="5989" spans="5:5">
      <c r="E5989"/>
    </row>
    <row r="5990" spans="5:5">
      <c r="E5990"/>
    </row>
    <row r="5991" spans="5:5">
      <c r="E5991"/>
    </row>
    <row r="5992" spans="5:5">
      <c r="E5992"/>
    </row>
    <row r="5993" spans="5:5">
      <c r="E5993"/>
    </row>
    <row r="5994" spans="5:5">
      <c r="E5994"/>
    </row>
    <row r="5995" spans="5:5">
      <c r="E5995"/>
    </row>
    <row r="5996" spans="5:5">
      <c r="E5996"/>
    </row>
    <row r="5997" spans="5:5">
      <c r="E5997"/>
    </row>
    <row r="5998" spans="5:5">
      <c r="E5998"/>
    </row>
    <row r="5999" spans="5:5">
      <c r="E5999"/>
    </row>
    <row r="6000" spans="5:5">
      <c r="E6000"/>
    </row>
    <row r="6001" spans="5:5">
      <c r="E6001"/>
    </row>
    <row r="6002" spans="5:5">
      <c r="E6002"/>
    </row>
    <row r="6003" spans="5:5">
      <c r="E6003"/>
    </row>
    <row r="6004" spans="5:5">
      <c r="E6004"/>
    </row>
    <row r="6005" spans="5:5">
      <c r="E6005"/>
    </row>
    <row r="6006" spans="5:5">
      <c r="E6006"/>
    </row>
    <row r="6007" spans="5:5">
      <c r="E6007"/>
    </row>
    <row r="6008" spans="5:5">
      <c r="E6008"/>
    </row>
    <row r="6009" spans="5:5">
      <c r="E6009"/>
    </row>
    <row r="6010" spans="5:5">
      <c r="E6010"/>
    </row>
    <row r="6011" spans="5:5">
      <c r="E6011"/>
    </row>
    <row r="6012" spans="5:5">
      <c r="E6012"/>
    </row>
    <row r="6013" spans="5:5">
      <c r="E6013"/>
    </row>
    <row r="6014" spans="5:5">
      <c r="E6014"/>
    </row>
    <row r="6015" spans="5:5">
      <c r="E6015"/>
    </row>
    <row r="6016" spans="5:5">
      <c r="E6016"/>
    </row>
    <row r="6017" spans="5:5">
      <c r="E6017"/>
    </row>
    <row r="6018" spans="5:5">
      <c r="E6018"/>
    </row>
    <row r="6019" spans="5:5">
      <c r="E6019"/>
    </row>
    <row r="6020" spans="5:5">
      <c r="E6020"/>
    </row>
    <row r="6021" spans="5:5">
      <c r="E6021"/>
    </row>
    <row r="6022" spans="5:5">
      <c r="E6022"/>
    </row>
    <row r="6023" spans="5:5">
      <c r="E6023"/>
    </row>
    <row r="6024" spans="5:5">
      <c r="E6024"/>
    </row>
    <row r="6025" spans="5:5">
      <c r="E6025"/>
    </row>
    <row r="6026" spans="5:5">
      <c r="E6026"/>
    </row>
    <row r="6027" spans="5:5">
      <c r="E6027"/>
    </row>
    <row r="6028" spans="5:5">
      <c r="E6028"/>
    </row>
    <row r="6029" spans="5:5">
      <c r="E6029"/>
    </row>
    <row r="6030" spans="5:5">
      <c r="E6030"/>
    </row>
    <row r="6031" spans="5:5">
      <c r="E6031"/>
    </row>
    <row r="6032" spans="5:5">
      <c r="E6032"/>
    </row>
    <row r="6033" spans="5:5">
      <c r="E6033"/>
    </row>
    <row r="6034" spans="5:5">
      <c r="E6034"/>
    </row>
    <row r="6035" spans="5:5">
      <c r="E6035"/>
    </row>
    <row r="6036" spans="5:5">
      <c r="E6036"/>
    </row>
    <row r="6037" spans="5:5">
      <c r="E6037"/>
    </row>
    <row r="6038" spans="5:5">
      <c r="E6038"/>
    </row>
    <row r="6039" spans="5:5">
      <c r="E6039"/>
    </row>
    <row r="6040" spans="5:5">
      <c r="E6040"/>
    </row>
    <row r="6041" spans="5:5">
      <c r="E6041"/>
    </row>
    <row r="6042" spans="5:5">
      <c r="E6042"/>
    </row>
    <row r="6043" spans="5:5">
      <c r="E6043"/>
    </row>
    <row r="6044" spans="5:5">
      <c r="E6044"/>
    </row>
    <row r="6045" spans="5:5">
      <c r="E6045"/>
    </row>
    <row r="6046" spans="5:5">
      <c r="E6046"/>
    </row>
    <row r="6047" spans="5:5">
      <c r="E6047"/>
    </row>
    <row r="6048" spans="5:5">
      <c r="E6048"/>
    </row>
    <row r="6049" spans="5:5">
      <c r="E6049"/>
    </row>
    <row r="6050" spans="5:5">
      <c r="E6050"/>
    </row>
    <row r="6051" spans="5:5">
      <c r="E6051"/>
    </row>
    <row r="6052" spans="5:5">
      <c r="E6052"/>
    </row>
    <row r="6053" spans="5:5">
      <c r="E6053"/>
    </row>
    <row r="6054" spans="5:5">
      <c r="E6054"/>
    </row>
    <row r="6055" spans="5:5">
      <c r="E6055"/>
    </row>
    <row r="6056" spans="5:5">
      <c r="E6056"/>
    </row>
    <row r="6057" spans="5:5">
      <c r="E6057"/>
    </row>
    <row r="6058" spans="5:5">
      <c r="E6058"/>
    </row>
    <row r="6059" spans="5:5">
      <c r="E6059"/>
    </row>
    <row r="6060" spans="5:5">
      <c r="E6060"/>
    </row>
    <row r="6061" spans="5:5">
      <c r="E6061"/>
    </row>
    <row r="6062" spans="5:5">
      <c r="E6062"/>
    </row>
    <row r="6063" spans="5:5">
      <c r="E6063"/>
    </row>
    <row r="6064" spans="5:5">
      <c r="E6064"/>
    </row>
    <row r="6065" spans="5:5">
      <c r="E6065"/>
    </row>
    <row r="6066" spans="5:5">
      <c r="E6066"/>
    </row>
    <row r="6067" spans="5:5">
      <c r="E6067"/>
    </row>
    <row r="6068" spans="5:5">
      <c r="E6068"/>
    </row>
    <row r="6069" spans="5:5">
      <c r="E6069"/>
    </row>
    <row r="6070" spans="5:5">
      <c r="E6070"/>
    </row>
    <row r="6071" spans="5:5">
      <c r="E6071"/>
    </row>
    <row r="6072" spans="5:5">
      <c r="E6072"/>
    </row>
    <row r="6073" spans="5:5">
      <c r="E6073"/>
    </row>
    <row r="6074" spans="5:5">
      <c r="E6074"/>
    </row>
    <row r="6075" spans="5:5">
      <c r="E6075"/>
    </row>
    <row r="6076" spans="5:5">
      <c r="E6076"/>
    </row>
    <row r="6077" spans="5:5">
      <c r="E6077"/>
    </row>
    <row r="6078" spans="5:5">
      <c r="E6078"/>
    </row>
    <row r="6079" spans="5:5">
      <c r="E6079"/>
    </row>
    <row r="6080" spans="5:5">
      <c r="E6080"/>
    </row>
    <row r="6081" spans="5:5">
      <c r="E6081"/>
    </row>
    <row r="6082" spans="5:5">
      <c r="E6082"/>
    </row>
    <row r="6083" spans="5:5">
      <c r="E6083"/>
    </row>
    <row r="6084" spans="5:5">
      <c r="E6084"/>
    </row>
    <row r="6085" spans="5:5">
      <c r="E6085"/>
    </row>
    <row r="6086" spans="5:5">
      <c r="E6086"/>
    </row>
    <row r="6087" spans="5:5">
      <c r="E6087"/>
    </row>
    <row r="6088" spans="5:5">
      <c r="E6088"/>
    </row>
    <row r="6089" spans="5:5">
      <c r="E6089"/>
    </row>
    <row r="6090" spans="5:5">
      <c r="E6090"/>
    </row>
    <row r="6091" spans="5:5">
      <c r="E6091"/>
    </row>
    <row r="6092" spans="5:5">
      <c r="E6092"/>
    </row>
    <row r="6093" spans="5:5">
      <c r="E6093"/>
    </row>
    <row r="6094" spans="5:5">
      <c r="E6094"/>
    </row>
    <row r="6095" spans="5:5">
      <c r="E6095"/>
    </row>
    <row r="6096" spans="5:5">
      <c r="E6096"/>
    </row>
    <row r="6097" spans="5:5">
      <c r="E6097"/>
    </row>
    <row r="6098" spans="5:5">
      <c r="E6098"/>
    </row>
    <row r="6099" spans="5:5">
      <c r="E6099"/>
    </row>
    <row r="6100" spans="5:5">
      <c r="E6100"/>
    </row>
    <row r="6101" spans="5:5">
      <c r="E6101"/>
    </row>
    <row r="6102" spans="5:5">
      <c r="E6102"/>
    </row>
    <row r="6103" spans="5:5">
      <c r="E6103"/>
    </row>
    <row r="6104" spans="5:5">
      <c r="E6104"/>
    </row>
    <row r="6105" spans="5:5">
      <c r="E6105"/>
    </row>
    <row r="6106" spans="5:5">
      <c r="E6106"/>
    </row>
    <row r="6107" spans="5:5">
      <c r="E6107"/>
    </row>
    <row r="6108" spans="5:5">
      <c r="E6108"/>
    </row>
    <row r="6109" spans="5:5">
      <c r="E6109"/>
    </row>
    <row r="6110" spans="5:5">
      <c r="E6110"/>
    </row>
    <row r="6111" spans="5:5">
      <c r="E6111"/>
    </row>
    <row r="6112" spans="5:5">
      <c r="E6112"/>
    </row>
    <row r="6113" spans="5:5">
      <c r="E6113"/>
    </row>
    <row r="6114" spans="5:5">
      <c r="E6114"/>
    </row>
    <row r="6115" spans="5:5">
      <c r="E6115"/>
    </row>
    <row r="6116" spans="5:5">
      <c r="E6116"/>
    </row>
    <row r="6117" spans="5:5">
      <c r="E6117"/>
    </row>
    <row r="6118" spans="5:5">
      <c r="E6118"/>
    </row>
    <row r="6119" spans="5:5">
      <c r="E6119"/>
    </row>
    <row r="6120" spans="5:5">
      <c r="E6120"/>
    </row>
    <row r="6121" spans="5:5">
      <c r="E6121"/>
    </row>
    <row r="6122" spans="5:5">
      <c r="E6122"/>
    </row>
    <row r="6123" spans="5:5">
      <c r="E6123"/>
    </row>
    <row r="6124" spans="5:5">
      <c r="E6124"/>
    </row>
    <row r="6125" spans="5:5">
      <c r="E6125"/>
    </row>
    <row r="6126" spans="5:5">
      <c r="E6126"/>
    </row>
    <row r="6127" spans="5:5">
      <c r="E6127"/>
    </row>
    <row r="6128" spans="5:5">
      <c r="E6128"/>
    </row>
    <row r="6129" spans="5:5">
      <c r="E6129"/>
    </row>
    <row r="6130" spans="5:5">
      <c r="E6130"/>
    </row>
    <row r="6131" spans="5:5">
      <c r="E6131"/>
    </row>
    <row r="6132" spans="5:5">
      <c r="E6132"/>
    </row>
    <row r="6133" spans="5:5">
      <c r="E6133"/>
    </row>
    <row r="6134" spans="5:5">
      <c r="E6134"/>
    </row>
    <row r="6135" spans="5:5">
      <c r="E6135"/>
    </row>
    <row r="6136" spans="5:5">
      <c r="E6136"/>
    </row>
    <row r="6137" spans="5:5">
      <c r="E6137"/>
    </row>
    <row r="6138" spans="5:5">
      <c r="E6138"/>
    </row>
    <row r="6139" spans="5:5">
      <c r="E6139"/>
    </row>
    <row r="6140" spans="5:5">
      <c r="E6140"/>
    </row>
    <row r="6141" spans="5:5">
      <c r="E6141"/>
    </row>
    <row r="6142" spans="5:5">
      <c r="E6142"/>
    </row>
    <row r="6143" spans="5:5">
      <c r="E6143"/>
    </row>
    <row r="6144" spans="5:5">
      <c r="E6144"/>
    </row>
    <row r="6145" spans="5:5">
      <c r="E6145"/>
    </row>
    <row r="6146" spans="5:5">
      <c r="E6146"/>
    </row>
    <row r="6147" spans="5:5">
      <c r="E6147"/>
    </row>
    <row r="6148" spans="5:5">
      <c r="E6148"/>
    </row>
    <row r="6149" spans="5:5">
      <c r="E6149"/>
    </row>
    <row r="6150" spans="5:5">
      <c r="E6150"/>
    </row>
    <row r="6151" spans="5:5">
      <c r="E6151"/>
    </row>
    <row r="6152" spans="5:5">
      <c r="E6152"/>
    </row>
    <row r="6153" spans="5:5">
      <c r="E6153"/>
    </row>
    <row r="6154" spans="5:5">
      <c r="E6154"/>
    </row>
    <row r="6155" spans="5:5">
      <c r="E6155"/>
    </row>
    <row r="6156" spans="5:5">
      <c r="E6156"/>
    </row>
    <row r="6157" spans="5:5">
      <c r="E6157"/>
    </row>
    <row r="6158" spans="5:5">
      <c r="E6158"/>
    </row>
    <row r="6159" spans="5:5">
      <c r="E6159"/>
    </row>
    <row r="6160" spans="5:5">
      <c r="E6160"/>
    </row>
    <row r="6161" spans="5:5">
      <c r="E6161"/>
    </row>
    <row r="6162" spans="5:5">
      <c r="E6162"/>
    </row>
    <row r="6163" spans="5:5">
      <c r="E6163"/>
    </row>
    <row r="6164" spans="5:5">
      <c r="E6164"/>
    </row>
    <row r="6165" spans="5:5">
      <c r="E6165"/>
    </row>
    <row r="6166" spans="5:5">
      <c r="E6166"/>
    </row>
    <row r="6167" spans="5:5">
      <c r="E6167"/>
    </row>
    <row r="6168" spans="5:5">
      <c r="E6168"/>
    </row>
    <row r="6169" spans="5:5">
      <c r="E6169"/>
    </row>
    <row r="6170" spans="5:5">
      <c r="E6170"/>
    </row>
    <row r="6171" spans="5:5">
      <c r="E6171"/>
    </row>
    <row r="6172" spans="5:5">
      <c r="E6172"/>
    </row>
    <row r="6173" spans="5:5">
      <c r="E6173"/>
    </row>
    <row r="6174" spans="5:5">
      <c r="E6174"/>
    </row>
    <row r="6175" spans="5:5">
      <c r="E6175"/>
    </row>
    <row r="6176" spans="5:5">
      <c r="E6176"/>
    </row>
    <row r="6177" spans="5:5">
      <c r="E6177"/>
    </row>
    <row r="6178" spans="5:5">
      <c r="E6178"/>
    </row>
    <row r="6179" spans="5:5">
      <c r="E6179"/>
    </row>
    <row r="6180" spans="5:5">
      <c r="E6180"/>
    </row>
    <row r="6181" spans="5:5">
      <c r="E6181"/>
    </row>
    <row r="6182" spans="5:5">
      <c r="E6182"/>
    </row>
    <row r="6183" spans="5:5">
      <c r="E6183"/>
    </row>
    <row r="6184" spans="5:5">
      <c r="E6184"/>
    </row>
    <row r="6185" spans="5:5">
      <c r="E6185"/>
    </row>
    <row r="6186" spans="5:5">
      <c r="E6186"/>
    </row>
    <row r="6187" spans="5:5">
      <c r="E6187"/>
    </row>
    <row r="6188" spans="5:5">
      <c r="E6188"/>
    </row>
    <row r="6189" spans="5:5">
      <c r="E6189"/>
    </row>
    <row r="6190" spans="5:5">
      <c r="E6190"/>
    </row>
    <row r="6191" spans="5:5">
      <c r="E6191"/>
    </row>
    <row r="6192" spans="5:5">
      <c r="E6192"/>
    </row>
    <row r="6193" spans="5:5">
      <c r="E6193"/>
    </row>
    <row r="6194" spans="5:5">
      <c r="E6194"/>
    </row>
    <row r="6195" spans="5:5">
      <c r="E6195"/>
    </row>
    <row r="6196" spans="5:5">
      <c r="E6196"/>
    </row>
    <row r="6197" spans="5:5">
      <c r="E6197"/>
    </row>
    <row r="6198" spans="5:5">
      <c r="E6198"/>
    </row>
    <row r="6199" spans="5:5">
      <c r="E6199"/>
    </row>
    <row r="6200" spans="5:5">
      <c r="E6200"/>
    </row>
    <row r="6201" spans="5:5">
      <c r="E6201"/>
    </row>
    <row r="6202" spans="5:5">
      <c r="E6202"/>
    </row>
    <row r="6203" spans="5:5">
      <c r="E6203"/>
    </row>
    <row r="6204" spans="5:5">
      <c r="E6204"/>
    </row>
    <row r="6205" spans="5:5">
      <c r="E6205"/>
    </row>
    <row r="6206" spans="5:5">
      <c r="E6206"/>
    </row>
    <row r="6207" spans="5:5">
      <c r="E6207"/>
    </row>
    <row r="6208" spans="5:5">
      <c r="E6208"/>
    </row>
    <row r="6209" spans="5:5">
      <c r="E6209"/>
    </row>
    <row r="6210" spans="5:5">
      <c r="E6210"/>
    </row>
    <row r="6211" spans="5:5">
      <c r="E6211"/>
    </row>
    <row r="6212" spans="5:5">
      <c r="E6212"/>
    </row>
    <row r="6213" spans="5:5">
      <c r="E6213"/>
    </row>
    <row r="6214" spans="5:5">
      <c r="E6214"/>
    </row>
    <row r="6215" spans="5:5">
      <c r="E6215"/>
    </row>
    <row r="6216" spans="5:5">
      <c r="E6216"/>
    </row>
    <row r="6217" spans="5:5">
      <c r="E6217"/>
    </row>
    <row r="6218" spans="5:5">
      <c r="E6218"/>
    </row>
    <row r="6219" spans="5:5">
      <c r="E6219"/>
    </row>
    <row r="6220" spans="5:5">
      <c r="E6220"/>
    </row>
    <row r="6221" spans="5:5">
      <c r="E6221"/>
    </row>
    <row r="6222" spans="5:5">
      <c r="E6222"/>
    </row>
    <row r="6223" spans="5:5">
      <c r="E6223"/>
    </row>
    <row r="6224" spans="5:5">
      <c r="E6224"/>
    </row>
    <row r="6225" spans="5:5">
      <c r="E6225"/>
    </row>
    <row r="6226" spans="5:5">
      <c r="E6226"/>
    </row>
    <row r="6227" spans="5:5">
      <c r="E6227"/>
    </row>
    <row r="6228" spans="5:5">
      <c r="E6228"/>
    </row>
    <row r="6229" spans="5:5">
      <c r="E6229"/>
    </row>
    <row r="6230" spans="5:5">
      <c r="E6230"/>
    </row>
    <row r="6231" spans="5:5">
      <c r="E6231"/>
    </row>
    <row r="6232" spans="5:5">
      <c r="E6232"/>
    </row>
    <row r="6233" spans="5:5">
      <c r="E6233"/>
    </row>
    <row r="6234" spans="5:5">
      <c r="E6234"/>
    </row>
    <row r="6235" spans="5:5">
      <c r="E6235"/>
    </row>
    <row r="6236" spans="5:5">
      <c r="E6236"/>
    </row>
    <row r="6237" spans="5:5">
      <c r="E6237"/>
    </row>
    <row r="6238" spans="5:5">
      <c r="E6238"/>
    </row>
    <row r="6239" spans="5:5">
      <c r="E6239"/>
    </row>
    <row r="6240" spans="5:5">
      <c r="E6240"/>
    </row>
    <row r="6241" spans="5:5">
      <c r="E6241"/>
    </row>
    <row r="6242" spans="5:5">
      <c r="E6242"/>
    </row>
    <row r="6243" spans="5:5">
      <c r="E6243"/>
    </row>
    <row r="6244" spans="5:5">
      <c r="E6244"/>
    </row>
    <row r="6245" spans="5:5">
      <c r="E6245"/>
    </row>
    <row r="6246" spans="5:5">
      <c r="E6246"/>
    </row>
    <row r="6247" spans="5:5">
      <c r="E6247"/>
    </row>
    <row r="6248" spans="5:5">
      <c r="E6248"/>
    </row>
    <row r="6249" spans="5:5">
      <c r="E6249"/>
    </row>
    <row r="6250" spans="5:5">
      <c r="E6250"/>
    </row>
    <row r="6251" spans="5:5">
      <c r="E6251"/>
    </row>
    <row r="6252" spans="5:5">
      <c r="E6252"/>
    </row>
    <row r="6253" spans="5:5">
      <c r="E6253"/>
    </row>
    <row r="6254" spans="5:5">
      <c r="E6254"/>
    </row>
    <row r="6255" spans="5:5">
      <c r="E6255"/>
    </row>
    <row r="6256" spans="5:5">
      <c r="E6256"/>
    </row>
    <row r="6257" spans="5:5">
      <c r="E6257"/>
    </row>
    <row r="6258" spans="5:5">
      <c r="E6258"/>
    </row>
    <row r="6259" spans="5:5">
      <c r="E6259"/>
    </row>
    <row r="6260" spans="5:5">
      <c r="E6260"/>
    </row>
    <row r="6261" spans="5:5">
      <c r="E6261"/>
    </row>
    <row r="6262" spans="5:5">
      <c r="E6262"/>
    </row>
    <row r="6263" spans="5:5">
      <c r="E6263"/>
    </row>
    <row r="6264" spans="5:5">
      <c r="E6264"/>
    </row>
    <row r="6265" spans="5:5">
      <c r="E6265"/>
    </row>
    <row r="6266" spans="5:5">
      <c r="E6266"/>
    </row>
    <row r="6267" spans="5:5">
      <c r="E6267"/>
    </row>
    <row r="6268" spans="5:5">
      <c r="E6268"/>
    </row>
    <row r="6269" spans="5:5">
      <c r="E6269"/>
    </row>
    <row r="6270" spans="5:5">
      <c r="E6270"/>
    </row>
    <row r="6271" spans="5:5">
      <c r="E6271"/>
    </row>
    <row r="6272" spans="5:5">
      <c r="E6272"/>
    </row>
    <row r="6273" spans="5:5">
      <c r="E6273"/>
    </row>
    <row r="6274" spans="5:5">
      <c r="E6274"/>
    </row>
    <row r="6275" spans="5:5">
      <c r="E6275"/>
    </row>
    <row r="6276" spans="5:5">
      <c r="E6276"/>
    </row>
    <row r="6277" spans="5:5">
      <c r="E6277"/>
    </row>
    <row r="6278" spans="5:5">
      <c r="E6278"/>
    </row>
    <row r="6279" spans="5:5">
      <c r="E6279"/>
    </row>
    <row r="6280" spans="5:5">
      <c r="E6280"/>
    </row>
    <row r="6281" spans="5:5">
      <c r="E6281"/>
    </row>
    <row r="6282" spans="5:5">
      <c r="E6282"/>
    </row>
    <row r="6283" spans="5:5">
      <c r="E6283"/>
    </row>
    <row r="6284" spans="5:5">
      <c r="E6284"/>
    </row>
    <row r="6285" spans="5:5">
      <c r="E6285"/>
    </row>
    <row r="6286" spans="5:5">
      <c r="E6286"/>
    </row>
    <row r="6287" spans="5:5">
      <c r="E6287"/>
    </row>
    <row r="6288" spans="5:5">
      <c r="E6288"/>
    </row>
    <row r="6289" spans="5:5">
      <c r="E6289"/>
    </row>
    <row r="6290" spans="5:5">
      <c r="E6290"/>
    </row>
    <row r="6291" spans="5:5">
      <c r="E6291"/>
    </row>
    <row r="6292" spans="5:5">
      <c r="E6292"/>
    </row>
    <row r="6293" spans="5:5">
      <c r="E6293"/>
    </row>
    <row r="6294" spans="5:5">
      <c r="E6294"/>
    </row>
    <row r="6295" spans="5:5">
      <c r="E6295"/>
    </row>
    <row r="6296" spans="5:5">
      <c r="E6296"/>
    </row>
    <row r="6297" spans="5:5">
      <c r="E6297"/>
    </row>
    <row r="6298" spans="5:5">
      <c r="E6298"/>
    </row>
    <row r="6299" spans="5:5">
      <c r="E6299"/>
    </row>
    <row r="6300" spans="5:5">
      <c r="E6300"/>
    </row>
    <row r="6301" spans="5:5">
      <c r="E6301"/>
    </row>
    <row r="6302" spans="5:5">
      <c r="E6302"/>
    </row>
    <row r="6303" spans="5:5">
      <c r="E6303"/>
    </row>
    <row r="6304" spans="5:5">
      <c r="E6304"/>
    </row>
    <row r="6305" spans="5:5">
      <c r="E6305"/>
    </row>
    <row r="6306" spans="5:5">
      <c r="E6306"/>
    </row>
    <row r="6307" spans="5:5">
      <c r="E6307"/>
    </row>
    <row r="6308" spans="5:5">
      <c r="E6308"/>
    </row>
    <row r="6309" spans="5:5">
      <c r="E6309"/>
    </row>
    <row r="6310" spans="5:5">
      <c r="E6310"/>
    </row>
    <row r="6311" spans="5:5">
      <c r="E6311"/>
    </row>
    <row r="6312" spans="5:5">
      <c r="E6312"/>
    </row>
    <row r="6313" spans="5:5">
      <c r="E6313"/>
    </row>
    <row r="6314" spans="5:5">
      <c r="E6314"/>
    </row>
    <row r="6315" spans="5:5">
      <c r="E6315"/>
    </row>
    <row r="6316" spans="5:5">
      <c r="E6316"/>
    </row>
    <row r="6317" spans="5:5">
      <c r="E6317"/>
    </row>
    <row r="6318" spans="5:5">
      <c r="E6318"/>
    </row>
    <row r="6319" spans="5:5">
      <c r="E6319"/>
    </row>
    <row r="6320" spans="5:5">
      <c r="E6320"/>
    </row>
    <row r="6321" spans="5:5">
      <c r="E6321"/>
    </row>
    <row r="6322" spans="5:5">
      <c r="E6322"/>
    </row>
    <row r="6323" spans="5:5">
      <c r="E6323"/>
    </row>
    <row r="6324" spans="5:5">
      <c r="E6324"/>
    </row>
    <row r="6325" spans="5:5">
      <c r="E6325"/>
    </row>
    <row r="6326" spans="5:5">
      <c r="E6326"/>
    </row>
    <row r="6327" spans="5:5">
      <c r="E6327"/>
    </row>
    <row r="6328" spans="5:5">
      <c r="E6328"/>
    </row>
    <row r="6329" spans="5:5">
      <c r="E6329"/>
    </row>
    <row r="6330" spans="5:5">
      <c r="E6330"/>
    </row>
    <row r="6331" spans="5:5">
      <c r="E6331"/>
    </row>
    <row r="6332" spans="5:5">
      <c r="E6332"/>
    </row>
    <row r="6333" spans="5:5">
      <c r="E6333"/>
    </row>
    <row r="6334" spans="5:5">
      <c r="E6334"/>
    </row>
    <row r="6335" spans="5:5">
      <c r="E6335"/>
    </row>
    <row r="6336" spans="5:5">
      <c r="E6336"/>
    </row>
    <row r="6337" spans="5:5">
      <c r="E6337"/>
    </row>
    <row r="6338" spans="5:5">
      <c r="E6338"/>
    </row>
    <row r="6339" spans="5:5">
      <c r="E6339"/>
    </row>
    <row r="6340" spans="5:5">
      <c r="E6340"/>
    </row>
    <row r="6341" spans="5:5">
      <c r="E6341"/>
    </row>
    <row r="6342" spans="5:5">
      <c r="E6342"/>
    </row>
    <row r="6343" spans="5:5">
      <c r="E6343"/>
    </row>
    <row r="6344" spans="5:5">
      <c r="E6344"/>
    </row>
    <row r="6345" spans="5:5">
      <c r="E6345"/>
    </row>
    <row r="6346" spans="5:5">
      <c r="E6346"/>
    </row>
    <row r="6347" spans="5:5">
      <c r="E6347"/>
    </row>
    <row r="6348" spans="5:5">
      <c r="E6348"/>
    </row>
    <row r="6349" spans="5:5">
      <c r="E6349"/>
    </row>
    <row r="6350" spans="5:5">
      <c r="E6350"/>
    </row>
    <row r="6351" spans="5:5">
      <c r="E6351"/>
    </row>
    <row r="6352" spans="5:5">
      <c r="E6352"/>
    </row>
    <row r="6353" spans="5:5">
      <c r="E6353"/>
    </row>
    <row r="6354" spans="5:5">
      <c r="E6354"/>
    </row>
    <row r="6355" spans="5:5">
      <c r="E6355"/>
    </row>
    <row r="6356" spans="5:5">
      <c r="E6356"/>
    </row>
    <row r="6357" spans="5:5">
      <c r="E6357"/>
    </row>
    <row r="6358" spans="5:5">
      <c r="E6358"/>
    </row>
    <row r="6359" spans="5:5">
      <c r="E6359"/>
    </row>
    <row r="6360" spans="5:5">
      <c r="E6360"/>
    </row>
    <row r="6361" spans="5:5">
      <c r="E6361"/>
    </row>
    <row r="6362" spans="5:5">
      <c r="E6362"/>
    </row>
    <row r="6363" spans="5:5">
      <c r="E6363"/>
    </row>
    <row r="6364" spans="5:5">
      <c r="E6364"/>
    </row>
    <row r="6365" spans="5:5">
      <c r="E6365"/>
    </row>
    <row r="6366" spans="5:5">
      <c r="E6366"/>
    </row>
    <row r="6367" spans="5:5">
      <c r="E6367"/>
    </row>
    <row r="6368" spans="5:5">
      <c r="E6368"/>
    </row>
    <row r="6369" spans="5:5">
      <c r="E6369"/>
    </row>
    <row r="6370" spans="5:5">
      <c r="E6370"/>
    </row>
    <row r="6371" spans="5:5">
      <c r="E6371"/>
    </row>
    <row r="6372" spans="5:5">
      <c r="E6372"/>
    </row>
    <row r="6373" spans="5:5">
      <c r="E6373"/>
    </row>
    <row r="6374" spans="5:5">
      <c r="E6374"/>
    </row>
    <row r="6375" spans="5:5">
      <c r="E6375"/>
    </row>
    <row r="6376" spans="5:5">
      <c r="E6376"/>
    </row>
    <row r="6377" spans="5:5">
      <c r="E6377"/>
    </row>
    <row r="6378" spans="5:5">
      <c r="E6378"/>
    </row>
    <row r="6379" spans="5:5">
      <c r="E6379"/>
    </row>
    <row r="6380" spans="5:5">
      <c r="E6380"/>
    </row>
    <row r="6381" spans="5:5">
      <c r="E6381"/>
    </row>
    <row r="6382" spans="5:5">
      <c r="E6382"/>
    </row>
    <row r="6383" spans="5:5">
      <c r="E6383"/>
    </row>
    <row r="6384" spans="5:5">
      <c r="E6384"/>
    </row>
    <row r="6385" spans="5:5">
      <c r="E6385"/>
    </row>
    <row r="6386" spans="5:5">
      <c r="E6386"/>
    </row>
    <row r="6387" spans="5:5">
      <c r="E6387"/>
    </row>
    <row r="6388" spans="5:5">
      <c r="E6388"/>
    </row>
    <row r="6389" spans="5:5">
      <c r="E6389"/>
    </row>
    <row r="6390" spans="5:5">
      <c r="E6390"/>
    </row>
    <row r="6391" spans="5:5">
      <c r="E6391"/>
    </row>
    <row r="6392" spans="5:5">
      <c r="E6392"/>
    </row>
    <row r="6393" spans="5:5">
      <c r="E6393"/>
    </row>
    <row r="6394" spans="5:5">
      <c r="E6394"/>
    </row>
    <row r="6395" spans="5:5">
      <c r="E6395"/>
    </row>
    <row r="6396" spans="5:5">
      <c r="E6396"/>
    </row>
    <row r="6397" spans="5:5">
      <c r="E6397"/>
    </row>
    <row r="6398" spans="5:5">
      <c r="E6398"/>
    </row>
    <row r="6399" spans="5:5">
      <c r="E6399"/>
    </row>
    <row r="6400" spans="5:5">
      <c r="E6400"/>
    </row>
    <row r="6401" spans="5:5">
      <c r="E6401"/>
    </row>
    <row r="6402" spans="5:5">
      <c r="E6402"/>
    </row>
    <row r="6403" spans="5:5">
      <c r="E6403"/>
    </row>
    <row r="6404" spans="5:5">
      <c r="E6404"/>
    </row>
    <row r="6405" spans="5:5">
      <c r="E6405"/>
    </row>
    <row r="6406" spans="5:5">
      <c r="E6406"/>
    </row>
    <row r="6407" spans="5:5">
      <c r="E6407"/>
    </row>
    <row r="6408" spans="5:5">
      <c r="E6408"/>
    </row>
    <row r="6409" spans="5:5">
      <c r="E6409"/>
    </row>
    <row r="6410" spans="5:5">
      <c r="E6410"/>
    </row>
    <row r="6411" spans="5:5">
      <c r="E6411"/>
    </row>
    <row r="6412" spans="5:5">
      <c r="E6412"/>
    </row>
    <row r="6413" spans="5:5">
      <c r="E6413"/>
    </row>
    <row r="6414" spans="5:5">
      <c r="E6414"/>
    </row>
    <row r="6415" spans="5:5">
      <c r="E6415"/>
    </row>
    <row r="6416" spans="5:5">
      <c r="E6416"/>
    </row>
    <row r="6417" spans="5:5">
      <c r="E6417"/>
    </row>
    <row r="6418" spans="5:5">
      <c r="E6418"/>
    </row>
    <row r="6419" spans="5:5">
      <c r="E6419"/>
    </row>
    <row r="6420" spans="5:5">
      <c r="E6420"/>
    </row>
    <row r="6421" spans="5:5">
      <c r="E6421"/>
    </row>
    <row r="6422" spans="5:5">
      <c r="E6422"/>
    </row>
    <row r="6423" spans="5:5">
      <c r="E6423"/>
    </row>
    <row r="6424" spans="5:5">
      <c r="E6424"/>
    </row>
    <row r="6425" spans="5:5">
      <c r="E6425"/>
    </row>
    <row r="6426" spans="5:5">
      <c r="E6426"/>
    </row>
    <row r="6427" spans="5:5">
      <c r="E6427"/>
    </row>
    <row r="6428" spans="5:5">
      <c r="E6428"/>
    </row>
    <row r="6429" spans="5:5">
      <c r="E6429"/>
    </row>
    <row r="6430" spans="5:5">
      <c r="E6430"/>
    </row>
    <row r="6431" spans="5:5">
      <c r="E6431"/>
    </row>
    <row r="6432" spans="5:5">
      <c r="E6432"/>
    </row>
    <row r="6433" spans="5:5">
      <c r="E6433"/>
    </row>
    <row r="6434" spans="5:5">
      <c r="E6434"/>
    </row>
    <row r="6435" spans="5:5">
      <c r="E6435"/>
    </row>
    <row r="6436" spans="5:5">
      <c r="E6436"/>
    </row>
    <row r="6437" spans="5:5">
      <c r="E6437"/>
    </row>
    <row r="6438" spans="5:5">
      <c r="E6438"/>
    </row>
    <row r="6439" spans="5:5">
      <c r="E6439"/>
    </row>
    <row r="6440" spans="5:5">
      <c r="E6440"/>
    </row>
    <row r="6441" spans="5:5">
      <c r="E6441"/>
    </row>
    <row r="6442" spans="5:5">
      <c r="E6442"/>
    </row>
    <row r="6443" spans="5:5">
      <c r="E6443"/>
    </row>
    <row r="6444" spans="5:5">
      <c r="E6444"/>
    </row>
    <row r="6445" spans="5:5">
      <c r="E6445"/>
    </row>
    <row r="6446" spans="5:5">
      <c r="E6446"/>
    </row>
    <row r="6447" spans="5:5">
      <c r="E6447"/>
    </row>
    <row r="6448" spans="5:5">
      <c r="E6448"/>
    </row>
    <row r="6449" spans="5:5">
      <c r="E6449"/>
    </row>
    <row r="6450" spans="5:5">
      <c r="E6450"/>
    </row>
    <row r="6451" spans="5:5">
      <c r="E6451"/>
    </row>
    <row r="6452" spans="5:5">
      <c r="E6452"/>
    </row>
    <row r="6453" spans="5:5">
      <c r="E6453"/>
    </row>
    <row r="6454" spans="5:5">
      <c r="E6454"/>
    </row>
    <row r="6455" spans="5:5">
      <c r="E6455"/>
    </row>
    <row r="6456" spans="5:5">
      <c r="E6456"/>
    </row>
    <row r="6457" spans="5:5">
      <c r="E6457"/>
    </row>
    <row r="6458" spans="5:5">
      <c r="E6458"/>
    </row>
    <row r="6459" spans="5:5">
      <c r="E6459"/>
    </row>
    <row r="6460" spans="5:5">
      <c r="E6460"/>
    </row>
    <row r="6461" spans="5:5">
      <c r="E6461"/>
    </row>
    <row r="6462" spans="5:5">
      <c r="E6462"/>
    </row>
    <row r="6463" spans="5:5">
      <c r="E6463"/>
    </row>
    <row r="6464" spans="5:5">
      <c r="E6464"/>
    </row>
    <row r="6465" spans="5:5">
      <c r="E6465"/>
    </row>
    <row r="6466" spans="5:5">
      <c r="E6466"/>
    </row>
    <row r="6467" spans="5:5">
      <c r="E6467"/>
    </row>
    <row r="6468" spans="5:5">
      <c r="E6468"/>
    </row>
    <row r="6469" spans="5:5">
      <c r="E6469"/>
    </row>
    <row r="6470" spans="5:5">
      <c r="E6470"/>
    </row>
    <row r="6471" spans="5:5">
      <c r="E6471"/>
    </row>
    <row r="6472" spans="5:5">
      <c r="E6472"/>
    </row>
    <row r="6473" spans="5:5">
      <c r="E6473"/>
    </row>
    <row r="6474" spans="5:5">
      <c r="E6474"/>
    </row>
    <row r="6475" spans="5:5">
      <c r="E6475"/>
    </row>
    <row r="6476" spans="5:5">
      <c r="E6476"/>
    </row>
    <row r="6477" spans="5:5">
      <c r="E6477"/>
    </row>
    <row r="6478" spans="5:5">
      <c r="E6478"/>
    </row>
    <row r="6479" spans="5:5">
      <c r="E6479"/>
    </row>
    <row r="6480" spans="5:5">
      <c r="E6480"/>
    </row>
    <row r="6481" spans="5:5">
      <c r="E6481"/>
    </row>
    <row r="6482" spans="5:5">
      <c r="E6482"/>
    </row>
    <row r="6483" spans="5:5">
      <c r="E6483"/>
    </row>
    <row r="6484" spans="5:5">
      <c r="E6484"/>
    </row>
    <row r="6485" spans="5:5">
      <c r="E6485"/>
    </row>
    <row r="6486" spans="5:5">
      <c r="E6486"/>
    </row>
    <row r="6487" spans="5:5">
      <c r="E6487"/>
    </row>
    <row r="6488" spans="5:5">
      <c r="E6488"/>
    </row>
    <row r="6489" spans="5:5">
      <c r="E6489"/>
    </row>
    <row r="6490" spans="5:5">
      <c r="E6490"/>
    </row>
    <row r="6491" spans="5:5">
      <c r="E6491"/>
    </row>
    <row r="6492" spans="5:5">
      <c r="E6492"/>
    </row>
    <row r="6493" spans="5:5">
      <c r="E6493"/>
    </row>
    <row r="6494" spans="5:5">
      <c r="E6494"/>
    </row>
    <row r="6495" spans="5:5">
      <c r="E6495"/>
    </row>
    <row r="6496" spans="5:5">
      <c r="E6496"/>
    </row>
    <row r="6497" spans="5:5">
      <c r="E6497"/>
    </row>
    <row r="6498" spans="5:5">
      <c r="E6498"/>
    </row>
    <row r="6499" spans="5:5">
      <c r="E6499"/>
    </row>
    <row r="6500" spans="5:5">
      <c r="E6500"/>
    </row>
    <row r="6501" spans="5:5">
      <c r="E6501"/>
    </row>
    <row r="6502" spans="5:5">
      <c r="E6502"/>
    </row>
    <row r="6503" spans="5:5">
      <c r="E6503"/>
    </row>
    <row r="6504" spans="5:5">
      <c r="E6504"/>
    </row>
    <row r="6505" spans="5:5">
      <c r="E6505"/>
    </row>
    <row r="6506" spans="5:5">
      <c r="E6506"/>
    </row>
    <row r="6507" spans="5:5">
      <c r="E6507"/>
    </row>
    <row r="6508" spans="5:5">
      <c r="E6508"/>
    </row>
    <row r="6509" spans="5:5">
      <c r="E6509"/>
    </row>
    <row r="6510" spans="5:5">
      <c r="E6510"/>
    </row>
    <row r="6511" spans="5:5">
      <c r="E6511"/>
    </row>
    <row r="6512" spans="5:5">
      <c r="E6512"/>
    </row>
    <row r="6513" spans="5:5">
      <c r="E6513"/>
    </row>
    <row r="6514" spans="5:5">
      <c r="E6514"/>
    </row>
    <row r="6515" spans="5:5">
      <c r="E6515"/>
    </row>
    <row r="6516" spans="5:5">
      <c r="E6516"/>
    </row>
    <row r="6517" spans="5:5">
      <c r="E6517"/>
    </row>
    <row r="6518" spans="5:5">
      <c r="E6518"/>
    </row>
    <row r="6519" spans="5:5">
      <c r="E6519"/>
    </row>
    <row r="6520" spans="5:5">
      <c r="E6520"/>
    </row>
    <row r="6521" spans="5:5">
      <c r="E6521"/>
    </row>
    <row r="6522" spans="5:5">
      <c r="E6522"/>
    </row>
    <row r="6523" spans="5:5">
      <c r="E6523"/>
    </row>
    <row r="6524" spans="5:5">
      <c r="E6524"/>
    </row>
    <row r="6525" spans="5:5">
      <c r="E6525"/>
    </row>
    <row r="6526" spans="5:5">
      <c r="E6526"/>
    </row>
    <row r="6527" spans="5:5">
      <c r="E6527"/>
    </row>
    <row r="6528" spans="5:5">
      <c r="E6528"/>
    </row>
    <row r="6529" spans="5:5">
      <c r="E6529"/>
    </row>
    <row r="6530" spans="5:5">
      <c r="E6530"/>
    </row>
    <row r="6531" spans="5:5">
      <c r="E6531"/>
    </row>
    <row r="6532" spans="5:5">
      <c r="E6532"/>
    </row>
    <row r="6533" spans="5:5">
      <c r="E6533"/>
    </row>
    <row r="6534" spans="5:5">
      <c r="E6534"/>
    </row>
    <row r="6535" spans="5:5">
      <c r="E6535"/>
    </row>
    <row r="6536" spans="5:5">
      <c r="E6536"/>
    </row>
    <row r="6537" spans="5:5">
      <c r="E6537"/>
    </row>
    <row r="6538" spans="5:5">
      <c r="E6538"/>
    </row>
    <row r="6539" spans="5:5">
      <c r="E6539"/>
    </row>
    <row r="6540" spans="5:5">
      <c r="E6540"/>
    </row>
    <row r="6541" spans="5:5">
      <c r="E6541"/>
    </row>
    <row r="6542" spans="5:5">
      <c r="E6542"/>
    </row>
    <row r="6543" spans="5:5">
      <c r="E6543"/>
    </row>
    <row r="6544" spans="5:5">
      <c r="E6544"/>
    </row>
    <row r="6545" spans="5:5">
      <c r="E6545"/>
    </row>
    <row r="6546" spans="5:5">
      <c r="E6546"/>
    </row>
    <row r="6547" spans="5:5">
      <c r="E6547"/>
    </row>
    <row r="6548" spans="5:5">
      <c r="E6548"/>
    </row>
    <row r="6549" spans="5:5">
      <c r="E6549"/>
    </row>
    <row r="6550" spans="5:5">
      <c r="E6550"/>
    </row>
    <row r="6551" spans="5:5">
      <c r="E6551"/>
    </row>
    <row r="6552" spans="5:5">
      <c r="E6552"/>
    </row>
    <row r="6553" spans="5:5">
      <c r="E6553"/>
    </row>
    <row r="6554" spans="5:5">
      <c r="E6554"/>
    </row>
    <row r="6555" spans="5:5">
      <c r="E6555"/>
    </row>
    <row r="6556" spans="5:5">
      <c r="E6556"/>
    </row>
    <row r="6557" spans="5:5">
      <c r="E6557"/>
    </row>
    <row r="6558" spans="5:5">
      <c r="E6558"/>
    </row>
    <row r="6559" spans="5:5">
      <c r="E6559"/>
    </row>
    <row r="6560" spans="5:5">
      <c r="E6560"/>
    </row>
    <row r="6561" spans="5:5">
      <c r="E6561"/>
    </row>
    <row r="6562" spans="5:5">
      <c r="E6562"/>
    </row>
    <row r="6563" spans="5:5">
      <c r="E6563"/>
    </row>
    <row r="6564" spans="5:5">
      <c r="E6564"/>
    </row>
    <row r="6565" spans="5:5">
      <c r="E6565"/>
    </row>
    <row r="6566" spans="5:5">
      <c r="E6566"/>
    </row>
    <row r="6567" spans="5:5">
      <c r="E6567"/>
    </row>
    <row r="6568" spans="5:5">
      <c r="E6568"/>
    </row>
    <row r="6569" spans="5:5">
      <c r="E6569"/>
    </row>
    <row r="6570" spans="5:5">
      <c r="E6570"/>
    </row>
    <row r="6571" spans="5:5">
      <c r="E6571"/>
    </row>
    <row r="6572" spans="5:5">
      <c r="E6572"/>
    </row>
    <row r="6573" spans="5:5">
      <c r="E6573"/>
    </row>
    <row r="6574" spans="5:5">
      <c r="E6574"/>
    </row>
    <row r="6575" spans="5:5">
      <c r="E6575"/>
    </row>
    <row r="6576" spans="5:5">
      <c r="E6576"/>
    </row>
    <row r="6577" spans="5:5">
      <c r="E6577"/>
    </row>
    <row r="6578" spans="5:5">
      <c r="E6578"/>
    </row>
    <row r="6579" spans="5:5">
      <c r="E6579"/>
    </row>
    <row r="6580" spans="5:5">
      <c r="E6580"/>
    </row>
    <row r="6581" spans="5:5">
      <c r="E6581"/>
    </row>
    <row r="6582" spans="5:5">
      <c r="E6582"/>
    </row>
    <row r="6583" spans="5:5">
      <c r="E6583"/>
    </row>
    <row r="6584" spans="5:5">
      <c r="E6584"/>
    </row>
    <row r="6585" spans="5:5">
      <c r="E6585"/>
    </row>
    <row r="6586" spans="5:5">
      <c r="E6586"/>
    </row>
    <row r="6587" spans="5:5">
      <c r="E6587"/>
    </row>
    <row r="6588" spans="5:5">
      <c r="E6588"/>
    </row>
    <row r="6589" spans="5:5">
      <c r="E6589"/>
    </row>
    <row r="6590" spans="5:5">
      <c r="E6590"/>
    </row>
    <row r="6591" spans="5:5">
      <c r="E6591"/>
    </row>
    <row r="6592" spans="5:5">
      <c r="E6592"/>
    </row>
    <row r="6593" spans="5:5">
      <c r="E6593"/>
    </row>
    <row r="6594" spans="5:5">
      <c r="E6594"/>
    </row>
    <row r="6595" spans="5:5">
      <c r="E6595"/>
    </row>
    <row r="6596" spans="5:5">
      <c r="E6596"/>
    </row>
    <row r="6597" spans="5:5">
      <c r="E6597"/>
    </row>
    <row r="6598" spans="5:5">
      <c r="E6598"/>
    </row>
    <row r="6599" spans="5:5">
      <c r="E6599"/>
    </row>
    <row r="6600" spans="5:5">
      <c r="E6600"/>
    </row>
    <row r="6601" spans="5:5">
      <c r="E6601"/>
    </row>
    <row r="6602" spans="5:5">
      <c r="E6602"/>
    </row>
    <row r="6603" spans="5:5">
      <c r="E6603"/>
    </row>
    <row r="6604" spans="5:5">
      <c r="E6604"/>
    </row>
    <row r="6605" spans="5:5">
      <c r="E6605"/>
    </row>
    <row r="6606" spans="5:5">
      <c r="E6606"/>
    </row>
    <row r="6607" spans="5:5">
      <c r="E6607"/>
    </row>
    <row r="6608" spans="5:5">
      <c r="E6608"/>
    </row>
    <row r="6609" spans="5:5">
      <c r="E6609"/>
    </row>
    <row r="6610" spans="5:5">
      <c r="E6610"/>
    </row>
    <row r="6611" spans="5:5">
      <c r="E6611"/>
    </row>
    <row r="6612" spans="5:5">
      <c r="E6612"/>
    </row>
    <row r="6613" spans="5:5">
      <c r="E6613"/>
    </row>
    <row r="6614" spans="5:5">
      <c r="E6614"/>
    </row>
    <row r="6615" spans="5:5">
      <c r="E6615"/>
    </row>
    <row r="6616" spans="5:5">
      <c r="E6616"/>
    </row>
    <row r="6617" spans="5:5">
      <c r="E6617"/>
    </row>
    <row r="6618" spans="5:5">
      <c r="E6618"/>
    </row>
    <row r="6619" spans="5:5">
      <c r="E6619"/>
    </row>
    <row r="6620" spans="5:5">
      <c r="E6620"/>
    </row>
    <row r="6621" spans="5:5">
      <c r="E6621"/>
    </row>
    <row r="6622" spans="5:5">
      <c r="E6622"/>
    </row>
    <row r="6623" spans="5:5">
      <c r="E6623"/>
    </row>
    <row r="6624" spans="5:5">
      <c r="E6624"/>
    </row>
    <row r="6625" spans="5:5">
      <c r="E6625"/>
    </row>
    <row r="6626" spans="5:5">
      <c r="E6626"/>
    </row>
    <row r="6627" spans="5:5">
      <c r="E6627"/>
    </row>
    <row r="6628" spans="5:5">
      <c r="E6628"/>
    </row>
    <row r="6629" spans="5:5">
      <c r="E6629"/>
    </row>
    <row r="6630" spans="5:5">
      <c r="E6630"/>
    </row>
    <row r="6631" spans="5:5">
      <c r="E6631"/>
    </row>
    <row r="6632" spans="5:5">
      <c r="E6632"/>
    </row>
    <row r="6633" spans="5:5">
      <c r="E6633"/>
    </row>
    <row r="6634" spans="5:5">
      <c r="E6634"/>
    </row>
    <row r="6635" spans="5:5">
      <c r="E6635"/>
    </row>
    <row r="6636" spans="5:5">
      <c r="E6636"/>
    </row>
    <row r="6637" spans="5:5">
      <c r="E6637"/>
    </row>
    <row r="6638" spans="5:5">
      <c r="E6638"/>
    </row>
    <row r="6639" spans="5:5">
      <c r="E6639"/>
    </row>
    <row r="6640" spans="5:5">
      <c r="E6640"/>
    </row>
    <row r="6641" spans="5:5">
      <c r="E6641"/>
    </row>
    <row r="6642" spans="5:5">
      <c r="E6642"/>
    </row>
    <row r="6643" spans="5:5">
      <c r="E6643"/>
    </row>
    <row r="6644" spans="5:5">
      <c r="E6644"/>
    </row>
    <row r="6645" spans="5:5">
      <c r="E6645"/>
    </row>
    <row r="6646" spans="5:5">
      <c r="E6646"/>
    </row>
    <row r="6647" spans="5:5">
      <c r="E6647"/>
    </row>
    <row r="6648" spans="5:5">
      <c r="E6648"/>
    </row>
    <row r="6649" spans="5:5">
      <c r="E6649"/>
    </row>
    <row r="6650" spans="5:5">
      <c r="E6650"/>
    </row>
    <row r="6651" spans="5:5">
      <c r="E6651"/>
    </row>
    <row r="6652" spans="5:5">
      <c r="E6652"/>
    </row>
    <row r="6653" spans="5:5">
      <c r="E6653"/>
    </row>
    <row r="6654" spans="5:5">
      <c r="E6654"/>
    </row>
    <row r="6655" spans="5:5">
      <c r="E6655"/>
    </row>
    <row r="6656" spans="5:5">
      <c r="E6656"/>
    </row>
    <row r="6657" spans="5:5">
      <c r="E6657"/>
    </row>
    <row r="6658" spans="5:5">
      <c r="E6658"/>
    </row>
    <row r="6659" spans="5:5">
      <c r="E6659"/>
    </row>
    <row r="6660" spans="5:5">
      <c r="E6660"/>
    </row>
    <row r="6661" spans="5:5">
      <c r="E6661"/>
    </row>
    <row r="6662" spans="5:5">
      <c r="E6662"/>
    </row>
    <row r="6663" spans="5:5">
      <c r="E6663"/>
    </row>
    <row r="6664" spans="5:5">
      <c r="E6664"/>
    </row>
    <row r="6665" spans="5:5">
      <c r="E6665"/>
    </row>
    <row r="6666" spans="5:5">
      <c r="E6666"/>
    </row>
    <row r="6667" spans="5:5">
      <c r="E6667"/>
    </row>
    <row r="6668" spans="5:5">
      <c r="E6668"/>
    </row>
    <row r="6669" spans="5:5">
      <c r="E6669"/>
    </row>
    <row r="6670" spans="5:5">
      <c r="E6670"/>
    </row>
    <row r="6671" spans="5:5">
      <c r="E6671"/>
    </row>
    <row r="6672" spans="5:5">
      <c r="E6672"/>
    </row>
    <row r="6673" spans="5:5">
      <c r="E6673"/>
    </row>
    <row r="6674" spans="5:5">
      <c r="E6674"/>
    </row>
    <row r="6675" spans="5:5">
      <c r="E6675"/>
    </row>
    <row r="6676" spans="5:5">
      <c r="E6676"/>
    </row>
    <row r="6677" spans="5:5">
      <c r="E6677"/>
    </row>
    <row r="6678" spans="5:5">
      <c r="E6678"/>
    </row>
    <row r="6679" spans="5:5">
      <c r="E6679"/>
    </row>
    <row r="6680" spans="5:5">
      <c r="E6680"/>
    </row>
    <row r="6681" spans="5:5">
      <c r="E6681"/>
    </row>
    <row r="6682" spans="5:5">
      <c r="E6682"/>
    </row>
    <row r="6683" spans="5:5">
      <c r="E6683"/>
    </row>
    <row r="6684" spans="5:5">
      <c r="E6684"/>
    </row>
    <row r="6685" spans="5:5">
      <c r="E6685"/>
    </row>
    <row r="6686" spans="5:5">
      <c r="E6686"/>
    </row>
    <row r="6687" spans="5:5">
      <c r="E6687"/>
    </row>
    <row r="6688" spans="5:5">
      <c r="E6688"/>
    </row>
    <row r="6689" spans="5:5">
      <c r="E6689"/>
    </row>
    <row r="6690" spans="5:5">
      <c r="E6690"/>
    </row>
    <row r="6691" spans="5:5">
      <c r="E6691"/>
    </row>
    <row r="6692" spans="5:5">
      <c r="E6692"/>
    </row>
    <row r="6693" spans="5:5">
      <c r="E6693"/>
    </row>
    <row r="6694" spans="5:5">
      <c r="E6694"/>
    </row>
    <row r="6695" spans="5:5">
      <c r="E6695"/>
    </row>
    <row r="6696" spans="5:5">
      <c r="E6696"/>
    </row>
    <row r="6697" spans="5:5">
      <c r="E6697"/>
    </row>
    <row r="6698" spans="5:5">
      <c r="E6698"/>
    </row>
    <row r="6699" spans="5:5">
      <c r="E6699"/>
    </row>
    <row r="6700" spans="5:5">
      <c r="E6700"/>
    </row>
    <row r="6701" spans="5:5">
      <c r="E6701"/>
    </row>
    <row r="6702" spans="5:5">
      <c r="E6702"/>
    </row>
    <row r="6703" spans="5:5">
      <c r="E6703"/>
    </row>
    <row r="6704" spans="5:5">
      <c r="E6704"/>
    </row>
    <row r="6705" spans="5:5">
      <c r="E6705"/>
    </row>
    <row r="6706" spans="5:5">
      <c r="E6706"/>
    </row>
    <row r="6707" spans="5:5">
      <c r="E6707"/>
    </row>
    <row r="6708" spans="5:5">
      <c r="E6708"/>
    </row>
    <row r="6709" spans="5:5">
      <c r="E6709"/>
    </row>
    <row r="6710" spans="5:5">
      <c r="E6710"/>
    </row>
    <row r="6711" spans="5:5">
      <c r="E6711"/>
    </row>
    <row r="6712" spans="5:5">
      <c r="E6712"/>
    </row>
    <row r="6713" spans="5:5">
      <c r="E6713"/>
    </row>
    <row r="6714" spans="5:5">
      <c r="E6714"/>
    </row>
    <row r="6715" spans="5:5">
      <c r="E6715"/>
    </row>
    <row r="6716" spans="5:5">
      <c r="E6716"/>
    </row>
    <row r="6717" spans="5:5">
      <c r="E6717"/>
    </row>
    <row r="6718" spans="5:5">
      <c r="E6718"/>
    </row>
    <row r="6719" spans="5:5">
      <c r="E6719"/>
    </row>
    <row r="6720" spans="5:5">
      <c r="E6720"/>
    </row>
    <row r="6721" spans="5:5">
      <c r="E6721"/>
    </row>
    <row r="6722" spans="5:5">
      <c r="E6722"/>
    </row>
    <row r="6723" spans="5:5">
      <c r="E6723"/>
    </row>
    <row r="6724" spans="5:5">
      <c r="E6724"/>
    </row>
    <row r="6725" spans="5:5">
      <c r="E6725"/>
    </row>
    <row r="6726" spans="5:5">
      <c r="E6726"/>
    </row>
    <row r="6727" spans="5:5">
      <c r="E6727"/>
    </row>
    <row r="6728" spans="5:5">
      <c r="E6728"/>
    </row>
    <row r="6729" spans="5:5">
      <c r="E6729"/>
    </row>
    <row r="6730" spans="5:5">
      <c r="E6730"/>
    </row>
    <row r="6731" spans="5:5">
      <c r="E6731"/>
    </row>
    <row r="6732" spans="5:5">
      <c r="E6732"/>
    </row>
    <row r="6733" spans="5:5">
      <c r="E6733"/>
    </row>
    <row r="6734" spans="5:5">
      <c r="E6734"/>
    </row>
    <row r="6735" spans="5:5">
      <c r="E6735"/>
    </row>
    <row r="6736" spans="5:5">
      <c r="E6736"/>
    </row>
    <row r="6737" spans="5:5">
      <c r="E6737"/>
    </row>
    <row r="6738" spans="5:5">
      <c r="E6738"/>
    </row>
    <row r="6739" spans="5:5">
      <c r="E6739"/>
    </row>
    <row r="6740" spans="5:5">
      <c r="E6740"/>
    </row>
    <row r="6741" spans="5:5">
      <c r="E6741"/>
    </row>
    <row r="6742" spans="5:5">
      <c r="E6742"/>
    </row>
    <row r="6743" spans="5:5">
      <c r="E6743"/>
    </row>
    <row r="6744" spans="5:5">
      <c r="E6744"/>
    </row>
    <row r="6745" spans="5:5">
      <c r="E6745"/>
    </row>
    <row r="6746" spans="5:5">
      <c r="E6746"/>
    </row>
    <row r="6747" spans="5:5">
      <c r="E6747"/>
    </row>
    <row r="6748" spans="5:5">
      <c r="E6748"/>
    </row>
    <row r="6749" spans="5:5">
      <c r="E6749"/>
    </row>
    <row r="6750" spans="5:5">
      <c r="E6750"/>
    </row>
    <row r="6751" spans="5:5">
      <c r="E6751"/>
    </row>
    <row r="6752" spans="5:5">
      <c r="E6752"/>
    </row>
    <row r="6753" spans="5:5">
      <c r="E6753"/>
    </row>
    <row r="6754" spans="5:5">
      <c r="E6754"/>
    </row>
    <row r="6755" spans="5:5">
      <c r="E6755"/>
    </row>
    <row r="6756" spans="5:5">
      <c r="E6756"/>
    </row>
    <row r="6757" spans="5:5">
      <c r="E6757"/>
    </row>
    <row r="6758" spans="5:5">
      <c r="E6758"/>
    </row>
    <row r="6759" spans="5:5">
      <c r="E6759"/>
    </row>
    <row r="6760" spans="5:5">
      <c r="E6760"/>
    </row>
    <row r="6761" spans="5:5">
      <c r="E6761"/>
    </row>
    <row r="6762" spans="5:5">
      <c r="E6762"/>
    </row>
    <row r="6763" spans="5:5">
      <c r="E6763"/>
    </row>
    <row r="6764" spans="5:5">
      <c r="E6764"/>
    </row>
    <row r="6765" spans="5:5">
      <c r="E6765"/>
    </row>
    <row r="6766" spans="5:5">
      <c r="E6766"/>
    </row>
    <row r="6767" spans="5:5">
      <c r="E6767"/>
    </row>
    <row r="6768" spans="5:5">
      <c r="E6768"/>
    </row>
    <row r="6769" spans="5:5">
      <c r="E6769"/>
    </row>
    <row r="6770" spans="5:5">
      <c r="E6770"/>
    </row>
    <row r="6771" spans="5:5">
      <c r="E6771"/>
    </row>
    <row r="6772" spans="5:5">
      <c r="E6772"/>
    </row>
    <row r="6773" spans="5:5">
      <c r="E6773"/>
    </row>
    <row r="6774" spans="5:5">
      <c r="E6774"/>
    </row>
    <row r="6775" spans="5:5">
      <c r="E6775"/>
    </row>
    <row r="6776" spans="5:5">
      <c r="E6776"/>
    </row>
    <row r="6777" spans="5:5">
      <c r="E6777"/>
    </row>
    <row r="6778" spans="5:5">
      <c r="E6778"/>
    </row>
    <row r="6779" spans="5:5">
      <c r="E6779"/>
    </row>
    <row r="6780" spans="5:5">
      <c r="E6780"/>
    </row>
    <row r="6781" spans="5:5">
      <c r="E6781"/>
    </row>
    <row r="6782" spans="5:5">
      <c r="E6782"/>
    </row>
    <row r="6783" spans="5:5">
      <c r="E6783"/>
    </row>
    <row r="6784" spans="5:5">
      <c r="E6784"/>
    </row>
    <row r="6785" spans="5:5">
      <c r="E6785"/>
    </row>
    <row r="6786" spans="5:5">
      <c r="E6786"/>
    </row>
    <row r="6787" spans="5:5">
      <c r="E6787"/>
    </row>
    <row r="6788" spans="5:5">
      <c r="E6788"/>
    </row>
    <row r="6789" spans="5:5">
      <c r="E6789"/>
    </row>
    <row r="6790" spans="5:5">
      <c r="E6790"/>
    </row>
    <row r="6791" spans="5:5">
      <c r="E6791"/>
    </row>
    <row r="6792" spans="5:5">
      <c r="E6792"/>
    </row>
    <row r="6793" spans="5:5">
      <c r="E6793"/>
    </row>
    <row r="6794" spans="5:5">
      <c r="E6794"/>
    </row>
    <row r="6795" spans="5:5">
      <c r="E6795"/>
    </row>
    <row r="6796" spans="5:5">
      <c r="E6796"/>
    </row>
    <row r="6797" spans="5:5">
      <c r="E6797"/>
    </row>
    <row r="6798" spans="5:5">
      <c r="E6798"/>
    </row>
    <row r="6799" spans="5:5">
      <c r="E6799"/>
    </row>
    <row r="6800" spans="5:5">
      <c r="E6800"/>
    </row>
    <row r="6801" spans="5:5">
      <c r="E6801"/>
    </row>
    <row r="6802" spans="5:5">
      <c r="E6802"/>
    </row>
    <row r="6803" spans="5:5">
      <c r="E6803"/>
    </row>
    <row r="6804" spans="5:5">
      <c r="E6804"/>
    </row>
    <row r="6805" spans="5:5">
      <c r="E6805"/>
    </row>
    <row r="6806" spans="5:5">
      <c r="E6806"/>
    </row>
    <row r="6807" spans="5:5">
      <c r="E6807"/>
    </row>
    <row r="6808" spans="5:5">
      <c r="E6808"/>
    </row>
    <row r="6809" spans="5:5">
      <c r="E6809"/>
    </row>
    <row r="6810" spans="5:5">
      <c r="E6810"/>
    </row>
    <row r="6811" spans="5:5">
      <c r="E6811"/>
    </row>
    <row r="6812" spans="5:5">
      <c r="E6812"/>
    </row>
    <row r="6813" spans="5:5">
      <c r="E6813"/>
    </row>
    <row r="6814" spans="5:5">
      <c r="E6814"/>
    </row>
    <row r="6815" spans="5:5">
      <c r="E6815"/>
    </row>
    <row r="6816" spans="5:5">
      <c r="E6816"/>
    </row>
    <row r="6817" spans="5:5">
      <c r="E6817"/>
    </row>
    <row r="6818" spans="5:5">
      <c r="E6818"/>
    </row>
    <row r="6819" spans="5:5">
      <c r="E6819"/>
    </row>
    <row r="6820" spans="5:5">
      <c r="E6820"/>
    </row>
    <row r="6821" spans="5:5">
      <c r="E6821"/>
    </row>
    <row r="6822" spans="5:5">
      <c r="E6822"/>
    </row>
    <row r="6823" spans="5:5">
      <c r="E6823"/>
    </row>
    <row r="6824" spans="5:5">
      <c r="E6824"/>
    </row>
    <row r="6825" spans="5:5">
      <c r="E6825"/>
    </row>
    <row r="6826" spans="5:5">
      <c r="E6826"/>
    </row>
    <row r="6827" spans="5:5">
      <c r="E6827"/>
    </row>
    <row r="6828" spans="5:5">
      <c r="E6828"/>
    </row>
    <row r="6829" spans="5:5">
      <c r="E6829"/>
    </row>
    <row r="6830" spans="5:5">
      <c r="E6830"/>
    </row>
    <row r="6831" spans="5:5">
      <c r="E6831"/>
    </row>
    <row r="6832" spans="5:5">
      <c r="E6832"/>
    </row>
    <row r="6833" spans="5:5">
      <c r="E6833"/>
    </row>
    <row r="6834" spans="5:5">
      <c r="E6834"/>
    </row>
    <row r="6835" spans="5:5">
      <c r="E6835"/>
    </row>
    <row r="6836" spans="5:5">
      <c r="E6836"/>
    </row>
    <row r="6837" spans="5:5">
      <c r="E6837"/>
    </row>
    <row r="6838" spans="5:5">
      <c r="E6838"/>
    </row>
    <row r="6839" spans="5:5">
      <c r="E6839"/>
    </row>
    <row r="6840" spans="5:5">
      <c r="E6840"/>
    </row>
    <row r="6841" spans="5:5">
      <c r="E6841"/>
    </row>
    <row r="6842" spans="5:5">
      <c r="E6842"/>
    </row>
    <row r="6843" spans="5:5">
      <c r="E6843"/>
    </row>
    <row r="6844" spans="5:5">
      <c r="E6844"/>
    </row>
    <row r="6845" spans="5:5">
      <c r="E6845"/>
    </row>
    <row r="6846" spans="5:5">
      <c r="E6846"/>
    </row>
    <row r="6847" spans="5:5">
      <c r="E6847"/>
    </row>
    <row r="6848" spans="5:5">
      <c r="E6848"/>
    </row>
    <row r="6849" spans="5:5">
      <c r="E6849"/>
    </row>
    <row r="6850" spans="5:5">
      <c r="E6850"/>
    </row>
    <row r="6851" spans="5:5">
      <c r="E6851"/>
    </row>
    <row r="6852" spans="5:5">
      <c r="E6852"/>
    </row>
    <row r="6853" spans="5:5">
      <c r="E6853"/>
    </row>
    <row r="6854" spans="5:5">
      <c r="E6854"/>
    </row>
    <row r="6855" spans="5:5">
      <c r="E6855"/>
    </row>
    <row r="6856" spans="5:5">
      <c r="E6856"/>
    </row>
    <row r="6857" spans="5:5">
      <c r="E6857"/>
    </row>
    <row r="6858" spans="5:5">
      <c r="E6858"/>
    </row>
    <row r="6859" spans="5:5">
      <c r="E6859"/>
    </row>
    <row r="6860" spans="5:5">
      <c r="E6860"/>
    </row>
    <row r="6861" spans="5:5">
      <c r="E6861"/>
    </row>
    <row r="6862" spans="5:5">
      <c r="E6862"/>
    </row>
    <row r="6863" spans="5:5">
      <c r="E6863"/>
    </row>
    <row r="6864" spans="5:5">
      <c r="E6864"/>
    </row>
    <row r="6865" spans="5:5">
      <c r="E6865"/>
    </row>
    <row r="6866" spans="5:5">
      <c r="E6866"/>
    </row>
    <row r="6867" spans="5:5">
      <c r="E6867"/>
    </row>
    <row r="6868" spans="5:5">
      <c r="E6868"/>
    </row>
    <row r="6869" spans="5:5">
      <c r="E6869"/>
    </row>
    <row r="6870" spans="5:5">
      <c r="E6870"/>
    </row>
    <row r="6871" spans="5:5">
      <c r="E6871"/>
    </row>
    <row r="6872" spans="5:5">
      <c r="E6872"/>
    </row>
    <row r="6873" spans="5:5">
      <c r="E6873"/>
    </row>
    <row r="6874" spans="5:5">
      <c r="E6874"/>
    </row>
    <row r="6875" spans="5:5">
      <c r="E6875"/>
    </row>
    <row r="6876" spans="5:5">
      <c r="E6876"/>
    </row>
    <row r="6877" spans="5:5">
      <c r="E6877"/>
    </row>
    <row r="6878" spans="5:5">
      <c r="E6878"/>
    </row>
    <row r="6879" spans="5:5">
      <c r="E6879"/>
    </row>
    <row r="6880" spans="5:5">
      <c r="E6880"/>
    </row>
    <row r="6881" spans="5:5">
      <c r="E6881"/>
    </row>
    <row r="6882" spans="5:5">
      <c r="E6882"/>
    </row>
    <row r="6883" spans="5:5">
      <c r="E6883"/>
    </row>
    <row r="6884" spans="5:5">
      <c r="E6884"/>
    </row>
    <row r="6885" spans="5:5">
      <c r="E6885"/>
    </row>
    <row r="6886" spans="5:5">
      <c r="E6886"/>
    </row>
    <row r="6887" spans="5:5">
      <c r="E6887"/>
    </row>
    <row r="6888" spans="5:5">
      <c r="E6888"/>
    </row>
    <row r="6889" spans="5:5">
      <c r="E6889"/>
    </row>
    <row r="6890" spans="5:5">
      <c r="E6890"/>
    </row>
    <row r="6891" spans="5:5">
      <c r="E6891"/>
    </row>
    <row r="6892" spans="5:5">
      <c r="E6892"/>
    </row>
    <row r="6893" spans="5:5">
      <c r="E6893"/>
    </row>
    <row r="6894" spans="5:5">
      <c r="E6894"/>
    </row>
    <row r="6895" spans="5:5">
      <c r="E6895"/>
    </row>
    <row r="6896" spans="5:5">
      <c r="E6896"/>
    </row>
    <row r="6897" spans="5:5">
      <c r="E6897"/>
    </row>
    <row r="6898" spans="5:5">
      <c r="E6898"/>
    </row>
    <row r="6899" spans="5:5">
      <c r="E6899"/>
    </row>
    <row r="6900" spans="5:5">
      <c r="E6900"/>
    </row>
    <row r="6901" spans="5:5">
      <c r="E6901"/>
    </row>
    <row r="6902" spans="5:5">
      <c r="E6902"/>
    </row>
    <row r="6903" spans="5:5">
      <c r="E6903"/>
    </row>
    <row r="6904" spans="5:5">
      <c r="E6904"/>
    </row>
    <row r="6905" spans="5:5">
      <c r="E6905"/>
    </row>
    <row r="6906" spans="5:5">
      <c r="E6906"/>
    </row>
    <row r="6907" spans="5:5">
      <c r="E6907"/>
    </row>
    <row r="6908" spans="5:5">
      <c r="E6908"/>
    </row>
    <row r="6909" spans="5:5">
      <c r="E6909"/>
    </row>
    <row r="6910" spans="5:5">
      <c r="E6910"/>
    </row>
    <row r="6911" spans="5:5">
      <c r="E6911"/>
    </row>
    <row r="6912" spans="5:5">
      <c r="E6912"/>
    </row>
    <row r="6913" spans="5:5">
      <c r="E6913"/>
    </row>
    <row r="6914" spans="5:5">
      <c r="E6914"/>
    </row>
    <row r="6915" spans="5:5">
      <c r="E6915"/>
    </row>
    <row r="6916" spans="5:5">
      <c r="E6916"/>
    </row>
    <row r="6917" spans="5:5">
      <c r="E6917"/>
    </row>
    <row r="6918" spans="5:5">
      <c r="E6918"/>
    </row>
    <row r="6919" spans="5:5">
      <c r="E6919"/>
    </row>
    <row r="6920" spans="5:5">
      <c r="E6920"/>
    </row>
    <row r="6921" spans="5:5">
      <c r="E6921"/>
    </row>
    <row r="6922" spans="5:5">
      <c r="E6922"/>
    </row>
    <row r="6923" spans="5:5">
      <c r="E6923"/>
    </row>
    <row r="6924" spans="5:5">
      <c r="E6924"/>
    </row>
    <row r="6925" spans="5:5">
      <c r="E6925"/>
    </row>
    <row r="6926" spans="5:5">
      <c r="E6926"/>
    </row>
    <row r="6927" spans="5:5">
      <c r="E6927"/>
    </row>
    <row r="6928" spans="5:5">
      <c r="E6928"/>
    </row>
    <row r="6929" spans="5:5">
      <c r="E6929"/>
    </row>
    <row r="6930" spans="5:5">
      <c r="E6930"/>
    </row>
    <row r="6931" spans="5:5">
      <c r="E6931"/>
    </row>
    <row r="6932" spans="5:5">
      <c r="E6932"/>
    </row>
    <row r="6933" spans="5:5">
      <c r="E6933"/>
    </row>
    <row r="6934" spans="5:5">
      <c r="E6934"/>
    </row>
    <row r="6935" spans="5:5">
      <c r="E6935"/>
    </row>
    <row r="6936" spans="5:5">
      <c r="E6936"/>
    </row>
    <row r="6937" spans="5:5">
      <c r="E6937"/>
    </row>
    <row r="6938" spans="5:5">
      <c r="E6938"/>
    </row>
    <row r="6939" spans="5:5">
      <c r="E6939"/>
    </row>
    <row r="6940" spans="5:5">
      <c r="E6940"/>
    </row>
    <row r="6941" spans="5:5">
      <c r="E6941"/>
    </row>
    <row r="6942" spans="5:5">
      <c r="E6942"/>
    </row>
    <row r="6943" spans="5:5">
      <c r="E6943"/>
    </row>
    <row r="6944" spans="5:5">
      <c r="E6944"/>
    </row>
    <row r="6945" spans="5:5">
      <c r="E6945"/>
    </row>
    <row r="6946" spans="5:5">
      <c r="E6946"/>
    </row>
    <row r="6947" spans="5:5">
      <c r="E6947"/>
    </row>
    <row r="6948" spans="5:5">
      <c r="E6948"/>
    </row>
    <row r="6949" spans="5:5">
      <c r="E6949"/>
    </row>
    <row r="6950" spans="5:5">
      <c r="E6950"/>
    </row>
    <row r="6951" spans="5:5">
      <c r="E6951"/>
    </row>
    <row r="6952" spans="5:5">
      <c r="E6952"/>
    </row>
    <row r="6953" spans="5:5">
      <c r="E6953"/>
    </row>
    <row r="6954" spans="5:5">
      <c r="E6954"/>
    </row>
    <row r="6955" spans="5:5">
      <c r="E6955"/>
    </row>
    <row r="6956" spans="5:5">
      <c r="E6956"/>
    </row>
    <row r="6957" spans="5:5">
      <c r="E6957"/>
    </row>
    <row r="6958" spans="5:5">
      <c r="E6958"/>
    </row>
    <row r="6959" spans="5:5">
      <c r="E6959"/>
    </row>
    <row r="6960" spans="5:5">
      <c r="E6960"/>
    </row>
    <row r="6961" spans="5:5">
      <c r="E6961"/>
    </row>
    <row r="6962" spans="5:5">
      <c r="E6962"/>
    </row>
    <row r="6963" spans="5:5">
      <c r="E6963"/>
    </row>
    <row r="6964" spans="5:5">
      <c r="E6964"/>
    </row>
    <row r="6965" spans="5:5">
      <c r="E6965"/>
    </row>
    <row r="6966" spans="5:5">
      <c r="E6966"/>
    </row>
    <row r="6967" spans="5:5">
      <c r="E6967"/>
    </row>
    <row r="6968" spans="5:5">
      <c r="E6968"/>
    </row>
    <row r="6969" spans="5:5">
      <c r="E6969"/>
    </row>
    <row r="6970" spans="5:5">
      <c r="E6970"/>
    </row>
    <row r="6971" spans="5:5">
      <c r="E6971"/>
    </row>
    <row r="6972" spans="5:5">
      <c r="E6972"/>
    </row>
    <row r="6973" spans="5:5">
      <c r="E6973"/>
    </row>
    <row r="6974" spans="5:5">
      <c r="E6974"/>
    </row>
    <row r="6975" spans="5:5">
      <c r="E6975"/>
    </row>
    <row r="6976" spans="5:5">
      <c r="E6976"/>
    </row>
    <row r="6977" spans="5:5">
      <c r="E6977"/>
    </row>
    <row r="6978" spans="5:5">
      <c r="E6978"/>
    </row>
    <row r="6979" spans="5:5">
      <c r="E6979"/>
    </row>
    <row r="6980" spans="5:5">
      <c r="E6980"/>
    </row>
    <row r="6981" spans="5:5">
      <c r="E6981"/>
    </row>
    <row r="6982" spans="5:5">
      <c r="E6982"/>
    </row>
    <row r="6983" spans="5:5">
      <c r="E6983"/>
    </row>
    <row r="6984" spans="5:5">
      <c r="E6984"/>
    </row>
    <row r="6985" spans="5:5">
      <c r="E6985"/>
    </row>
    <row r="6986" spans="5:5">
      <c r="E6986"/>
    </row>
    <row r="6987" spans="5:5">
      <c r="E6987"/>
    </row>
    <row r="6988" spans="5:5">
      <c r="E6988"/>
    </row>
    <row r="6989" spans="5:5">
      <c r="E6989"/>
    </row>
    <row r="6990" spans="5:5">
      <c r="E6990"/>
    </row>
    <row r="6991" spans="5:5">
      <c r="E6991"/>
    </row>
    <row r="6992" spans="5:5">
      <c r="E6992"/>
    </row>
    <row r="6993" spans="5:5">
      <c r="E6993"/>
    </row>
    <row r="6994" spans="5:5">
      <c r="E6994"/>
    </row>
    <row r="6995" spans="5:5">
      <c r="E6995"/>
    </row>
    <row r="6996" spans="5:5">
      <c r="E6996"/>
    </row>
    <row r="6997" spans="5:5">
      <c r="E6997"/>
    </row>
    <row r="6998" spans="5:5">
      <c r="E6998"/>
    </row>
    <row r="6999" spans="5:5">
      <c r="E6999"/>
    </row>
    <row r="7000" spans="5:5">
      <c r="E7000"/>
    </row>
    <row r="7001" spans="5:5">
      <c r="E7001"/>
    </row>
    <row r="7002" spans="5:5">
      <c r="E7002"/>
    </row>
    <row r="7003" spans="5:5">
      <c r="E7003"/>
    </row>
    <row r="7004" spans="5:5">
      <c r="E7004"/>
    </row>
    <row r="7005" spans="5:5">
      <c r="E7005"/>
    </row>
    <row r="7006" spans="5:5">
      <c r="E7006"/>
    </row>
    <row r="7007" spans="5:5">
      <c r="E7007"/>
    </row>
    <row r="7008" spans="5:5">
      <c r="E7008"/>
    </row>
    <row r="7009" spans="5:5">
      <c r="E7009"/>
    </row>
    <row r="7010" spans="5:5">
      <c r="E7010"/>
    </row>
    <row r="7011" spans="5:5">
      <c r="E7011"/>
    </row>
    <row r="7012" spans="5:5">
      <c r="E7012"/>
    </row>
    <row r="7013" spans="5:5">
      <c r="E7013"/>
    </row>
    <row r="7014" spans="5:5">
      <c r="E7014"/>
    </row>
    <row r="7015" spans="5:5">
      <c r="E7015"/>
    </row>
    <row r="7016" spans="5:5">
      <c r="E7016"/>
    </row>
    <row r="7017" spans="5:5">
      <c r="E7017"/>
    </row>
    <row r="7018" spans="5:5">
      <c r="E7018"/>
    </row>
    <row r="7019" spans="5:5">
      <c r="E7019"/>
    </row>
    <row r="7020" spans="5:5">
      <c r="E7020"/>
    </row>
    <row r="7021" spans="5:5">
      <c r="E7021"/>
    </row>
    <row r="7022" spans="5:5">
      <c r="E7022"/>
    </row>
    <row r="7023" spans="5:5">
      <c r="E7023"/>
    </row>
    <row r="7024" spans="5:5">
      <c r="E7024"/>
    </row>
    <row r="7025" spans="5:5">
      <c r="E7025"/>
    </row>
    <row r="7026" spans="5:5">
      <c r="E7026"/>
    </row>
    <row r="7027" spans="5:5">
      <c r="E7027"/>
    </row>
    <row r="7028" spans="5:5">
      <c r="E7028"/>
    </row>
    <row r="7029" spans="5:5">
      <c r="E7029"/>
    </row>
    <row r="7030" spans="5:5">
      <c r="E7030"/>
    </row>
    <row r="7031" spans="5:5">
      <c r="E7031"/>
    </row>
    <row r="7032" spans="5:5">
      <c r="E7032"/>
    </row>
    <row r="7033" spans="5:5">
      <c r="E7033"/>
    </row>
    <row r="7034" spans="5:5">
      <c r="E7034"/>
    </row>
    <row r="7035" spans="5:5">
      <c r="E7035"/>
    </row>
    <row r="7036" spans="5:5">
      <c r="E7036"/>
    </row>
    <row r="7037" spans="5:5">
      <c r="E7037"/>
    </row>
    <row r="7038" spans="5:5">
      <c r="E7038"/>
    </row>
    <row r="7039" spans="5:5">
      <c r="E7039"/>
    </row>
    <row r="7040" spans="5:5">
      <c r="E7040"/>
    </row>
    <row r="7041" spans="5:5">
      <c r="E7041"/>
    </row>
    <row r="7042" spans="5:5">
      <c r="E7042"/>
    </row>
    <row r="7043" spans="5:5">
      <c r="E7043"/>
    </row>
    <row r="7044" spans="5:5">
      <c r="E7044"/>
    </row>
    <row r="7045" spans="5:5">
      <c r="E7045"/>
    </row>
    <row r="7046" spans="5:5">
      <c r="E7046"/>
    </row>
    <row r="7047" spans="5:5">
      <c r="E7047"/>
    </row>
    <row r="7048" spans="5:5">
      <c r="E7048"/>
    </row>
    <row r="7049" spans="5:5">
      <c r="E7049"/>
    </row>
    <row r="7050" spans="5:5">
      <c r="E7050"/>
    </row>
    <row r="7051" spans="5:5">
      <c r="E7051"/>
    </row>
    <row r="7052" spans="5:5">
      <c r="E7052"/>
    </row>
    <row r="7053" spans="5:5">
      <c r="E7053"/>
    </row>
    <row r="7054" spans="5:5">
      <c r="E7054"/>
    </row>
    <row r="7055" spans="5:5">
      <c r="E7055"/>
    </row>
    <row r="7056" spans="5:5">
      <c r="E7056"/>
    </row>
    <row r="7057" spans="5:5">
      <c r="E7057"/>
    </row>
    <row r="7058" spans="5:5">
      <c r="E7058"/>
    </row>
    <row r="7059" spans="5:5">
      <c r="E7059"/>
    </row>
    <row r="7060" spans="5:5">
      <c r="E7060"/>
    </row>
    <row r="7061" spans="5:5">
      <c r="E7061"/>
    </row>
    <row r="7062" spans="5:5">
      <c r="E7062"/>
    </row>
    <row r="7063" spans="5:5">
      <c r="E7063"/>
    </row>
    <row r="7064" spans="5:5">
      <c r="E7064"/>
    </row>
    <row r="7065" spans="5:5">
      <c r="E7065"/>
    </row>
    <row r="7066" spans="5:5">
      <c r="E7066"/>
    </row>
    <row r="7067" spans="5:5">
      <c r="E7067"/>
    </row>
    <row r="7068" spans="5:5">
      <c r="E7068"/>
    </row>
    <row r="7069" spans="5:5">
      <c r="E7069"/>
    </row>
    <row r="7070" spans="5:5">
      <c r="E7070"/>
    </row>
    <row r="7071" spans="5:5">
      <c r="E7071"/>
    </row>
    <row r="7072" spans="5:5">
      <c r="E7072"/>
    </row>
    <row r="7073" spans="5:5">
      <c r="E7073"/>
    </row>
    <row r="7074" spans="5:5">
      <c r="E7074"/>
    </row>
    <row r="7075" spans="5:5">
      <c r="E7075"/>
    </row>
    <row r="7076" spans="5:5">
      <c r="E7076"/>
    </row>
    <row r="7077" spans="5:5">
      <c r="E7077"/>
    </row>
    <row r="7078" spans="5:5">
      <c r="E7078"/>
    </row>
    <row r="7079" spans="5:5">
      <c r="E7079"/>
    </row>
    <row r="7080" spans="5:5">
      <c r="E7080"/>
    </row>
    <row r="7081" spans="5:5">
      <c r="E7081"/>
    </row>
    <row r="7082" spans="5:5">
      <c r="E7082"/>
    </row>
    <row r="7083" spans="5:5">
      <c r="E7083"/>
    </row>
    <row r="7084" spans="5:5">
      <c r="E7084"/>
    </row>
    <row r="7085" spans="5:5">
      <c r="E7085"/>
    </row>
    <row r="7086" spans="5:5">
      <c r="E7086"/>
    </row>
    <row r="7087" spans="5:5">
      <c r="E7087"/>
    </row>
    <row r="7088" spans="5:5">
      <c r="E7088"/>
    </row>
    <row r="7089" spans="5:5">
      <c r="E7089"/>
    </row>
    <row r="7090" spans="5:5">
      <c r="E7090"/>
    </row>
    <row r="7091" spans="5:5">
      <c r="E7091"/>
    </row>
    <row r="7092" spans="5:5">
      <c r="E7092"/>
    </row>
    <row r="7093" spans="5:5">
      <c r="E7093"/>
    </row>
    <row r="7094" spans="5:5">
      <c r="E7094"/>
    </row>
    <row r="7095" spans="5:5">
      <c r="E7095"/>
    </row>
    <row r="7096" spans="5:5">
      <c r="E7096"/>
    </row>
    <row r="7097" spans="5:5">
      <c r="E7097"/>
    </row>
    <row r="7098" spans="5:5">
      <c r="E7098"/>
    </row>
    <row r="7099" spans="5:5">
      <c r="E7099"/>
    </row>
    <row r="7100" spans="5:5">
      <c r="E7100"/>
    </row>
    <row r="7101" spans="5:5">
      <c r="E7101"/>
    </row>
    <row r="7102" spans="5:5">
      <c r="E7102"/>
    </row>
    <row r="7103" spans="5:5">
      <c r="E7103"/>
    </row>
    <row r="7104" spans="5:5">
      <c r="E7104"/>
    </row>
    <row r="7105" spans="5:5">
      <c r="E7105"/>
    </row>
    <row r="7106" spans="5:5">
      <c r="E7106"/>
    </row>
    <row r="7107" spans="5:5">
      <c r="E7107"/>
    </row>
    <row r="7108" spans="5:5">
      <c r="E7108"/>
    </row>
    <row r="7109" spans="5:5">
      <c r="E7109"/>
    </row>
    <row r="7110" spans="5:5">
      <c r="E7110"/>
    </row>
    <row r="7111" spans="5:5">
      <c r="E7111"/>
    </row>
    <row r="7112" spans="5:5">
      <c r="E7112"/>
    </row>
    <row r="7113" spans="5:5">
      <c r="E7113"/>
    </row>
    <row r="7114" spans="5:5">
      <c r="E7114"/>
    </row>
    <row r="7115" spans="5:5">
      <c r="E7115"/>
    </row>
    <row r="7116" spans="5:5">
      <c r="E7116"/>
    </row>
    <row r="7117" spans="5:5">
      <c r="E7117"/>
    </row>
    <row r="7118" spans="5:5">
      <c r="E7118"/>
    </row>
    <row r="7119" spans="5:5">
      <c r="E7119"/>
    </row>
    <row r="7120" spans="5:5">
      <c r="E7120"/>
    </row>
    <row r="7121" spans="5:5">
      <c r="E7121"/>
    </row>
    <row r="7122" spans="5:5">
      <c r="E7122"/>
    </row>
    <row r="7123" spans="5:5">
      <c r="E7123"/>
    </row>
    <row r="7124" spans="5:5">
      <c r="E7124"/>
    </row>
    <row r="7125" spans="5:5">
      <c r="E7125"/>
    </row>
    <row r="7126" spans="5:5">
      <c r="E7126"/>
    </row>
    <row r="7127" spans="5:5">
      <c r="E7127"/>
    </row>
    <row r="7128" spans="5:5">
      <c r="E7128"/>
    </row>
    <row r="7129" spans="5:5">
      <c r="E7129"/>
    </row>
    <row r="7130" spans="5:5">
      <c r="E7130"/>
    </row>
    <row r="7131" spans="5:5">
      <c r="E7131"/>
    </row>
    <row r="7132" spans="5:5">
      <c r="E7132"/>
    </row>
    <row r="7133" spans="5:5">
      <c r="E7133"/>
    </row>
    <row r="7134" spans="5:5">
      <c r="E7134"/>
    </row>
    <row r="7135" spans="5:5">
      <c r="E7135"/>
    </row>
    <row r="7136" spans="5:5">
      <c r="E7136"/>
    </row>
    <row r="7137" spans="5:5">
      <c r="E7137"/>
    </row>
    <row r="7138" spans="5:5">
      <c r="E7138"/>
    </row>
    <row r="7139" spans="5:5">
      <c r="E7139"/>
    </row>
    <row r="7140" spans="5:5">
      <c r="E7140"/>
    </row>
    <row r="7141" spans="5:5">
      <c r="E7141"/>
    </row>
    <row r="7142" spans="5:5">
      <c r="E7142"/>
    </row>
    <row r="7143" spans="5:5">
      <c r="E7143"/>
    </row>
    <row r="7144" spans="5:5">
      <c r="E7144"/>
    </row>
    <row r="7145" spans="5:5">
      <c r="E7145"/>
    </row>
    <row r="7146" spans="5:5">
      <c r="E7146"/>
    </row>
    <row r="7147" spans="5:5">
      <c r="E7147"/>
    </row>
    <row r="7148" spans="5:5">
      <c r="E7148"/>
    </row>
    <row r="7149" spans="5:5">
      <c r="E7149"/>
    </row>
    <row r="7150" spans="5:5">
      <c r="E7150"/>
    </row>
    <row r="7151" spans="5:5">
      <c r="E7151"/>
    </row>
    <row r="7152" spans="5:5">
      <c r="E7152"/>
    </row>
    <row r="7153" spans="5:5">
      <c r="E7153"/>
    </row>
    <row r="7154" spans="5:5">
      <c r="E7154"/>
    </row>
    <row r="7155" spans="5:5">
      <c r="E7155"/>
    </row>
    <row r="7156" spans="5:5">
      <c r="E7156"/>
    </row>
    <row r="7157" spans="5:5">
      <c r="E7157"/>
    </row>
    <row r="7158" spans="5:5">
      <c r="E7158"/>
    </row>
    <row r="7159" spans="5:5">
      <c r="E7159"/>
    </row>
    <row r="7160" spans="5:5">
      <c r="E7160"/>
    </row>
    <row r="7161" spans="5:5">
      <c r="E7161"/>
    </row>
    <row r="7162" spans="5:5">
      <c r="E7162"/>
    </row>
    <row r="7163" spans="5:5">
      <c r="E7163"/>
    </row>
    <row r="7164" spans="5:5">
      <c r="E7164"/>
    </row>
    <row r="7165" spans="5:5">
      <c r="E7165"/>
    </row>
    <row r="7166" spans="5:5">
      <c r="E7166"/>
    </row>
    <row r="7167" spans="5:5">
      <c r="E7167"/>
    </row>
    <row r="7168" spans="5:5">
      <c r="E7168"/>
    </row>
    <row r="7169" spans="5:5">
      <c r="E7169"/>
    </row>
    <row r="7170" spans="5:5">
      <c r="E7170"/>
    </row>
    <row r="7171" spans="5:5">
      <c r="E7171"/>
    </row>
    <row r="7172" spans="5:5">
      <c r="E7172"/>
    </row>
    <row r="7173" spans="5:5">
      <c r="E7173"/>
    </row>
    <row r="7174" spans="5:5">
      <c r="E7174"/>
    </row>
    <row r="7175" spans="5:5">
      <c r="E7175"/>
    </row>
    <row r="7176" spans="5:5">
      <c r="E7176"/>
    </row>
    <row r="7177" spans="5:5">
      <c r="E7177"/>
    </row>
    <row r="7178" spans="5:5">
      <c r="E7178"/>
    </row>
    <row r="7179" spans="5:5">
      <c r="E7179"/>
    </row>
    <row r="7180" spans="5:5">
      <c r="E7180"/>
    </row>
    <row r="7181" spans="5:5">
      <c r="E7181"/>
    </row>
    <row r="7182" spans="5:5">
      <c r="E7182"/>
    </row>
    <row r="7183" spans="5:5">
      <c r="E7183"/>
    </row>
    <row r="7184" spans="5:5">
      <c r="E7184"/>
    </row>
    <row r="7185" spans="5:5">
      <c r="E7185"/>
    </row>
    <row r="7186" spans="5:5">
      <c r="E7186"/>
    </row>
    <row r="7187" spans="5:5">
      <c r="E7187"/>
    </row>
    <row r="7188" spans="5:5">
      <c r="E7188"/>
    </row>
    <row r="7189" spans="5:5">
      <c r="E7189"/>
    </row>
    <row r="7190" spans="5:5">
      <c r="E7190"/>
    </row>
    <row r="7191" spans="5:5">
      <c r="E7191"/>
    </row>
    <row r="7192" spans="5:5">
      <c r="E7192"/>
    </row>
    <row r="7193" spans="5:5">
      <c r="E7193"/>
    </row>
    <row r="7194" spans="5:5">
      <c r="E7194"/>
    </row>
    <row r="7195" spans="5:5">
      <c r="E7195"/>
    </row>
    <row r="7196" spans="5:5">
      <c r="E7196"/>
    </row>
    <row r="7197" spans="5:5">
      <c r="E7197"/>
    </row>
    <row r="7198" spans="5:5">
      <c r="E7198"/>
    </row>
    <row r="7199" spans="5:5">
      <c r="E7199"/>
    </row>
    <row r="7200" spans="5:5">
      <c r="E7200"/>
    </row>
    <row r="7201" spans="5:5">
      <c r="E7201"/>
    </row>
    <row r="7202" spans="5:5">
      <c r="E7202"/>
    </row>
    <row r="7203" spans="5:5">
      <c r="E7203"/>
    </row>
    <row r="7204" spans="5:5">
      <c r="E7204"/>
    </row>
    <row r="7205" spans="5:5">
      <c r="E7205"/>
    </row>
    <row r="7206" spans="5:5">
      <c r="E7206"/>
    </row>
    <row r="7207" spans="5:5">
      <c r="E7207"/>
    </row>
    <row r="7208" spans="5:5">
      <c r="E7208"/>
    </row>
    <row r="7209" spans="5:5">
      <c r="E7209"/>
    </row>
    <row r="7210" spans="5:5">
      <c r="E7210"/>
    </row>
    <row r="7211" spans="5:5">
      <c r="E7211"/>
    </row>
    <row r="7212" spans="5:5">
      <c r="E7212"/>
    </row>
    <row r="7213" spans="5:5">
      <c r="E7213"/>
    </row>
    <row r="7214" spans="5:5">
      <c r="E7214"/>
    </row>
    <row r="7215" spans="5:5">
      <c r="E7215"/>
    </row>
    <row r="7216" spans="5:5">
      <c r="E7216"/>
    </row>
    <row r="7217" spans="5:5">
      <c r="E7217"/>
    </row>
    <row r="7218" spans="5:5">
      <c r="E7218"/>
    </row>
    <row r="7219" spans="5:5">
      <c r="E7219"/>
    </row>
    <row r="7220" spans="5:5">
      <c r="E7220"/>
    </row>
    <row r="7221" spans="5:5">
      <c r="E7221"/>
    </row>
    <row r="7222" spans="5:5">
      <c r="E7222"/>
    </row>
    <row r="7223" spans="5:5">
      <c r="E7223"/>
    </row>
    <row r="7224" spans="5:5">
      <c r="E7224"/>
    </row>
    <row r="7225" spans="5:5">
      <c r="E7225"/>
    </row>
    <row r="7226" spans="5:5">
      <c r="E7226"/>
    </row>
    <row r="7227" spans="5:5">
      <c r="E7227"/>
    </row>
    <row r="7228" spans="5:5">
      <c r="E7228"/>
    </row>
    <row r="7229" spans="5:5">
      <c r="E7229"/>
    </row>
    <row r="7230" spans="5:5">
      <c r="E7230"/>
    </row>
    <row r="7231" spans="5:5">
      <c r="E7231"/>
    </row>
    <row r="7232" spans="5:5">
      <c r="E7232"/>
    </row>
    <row r="7233" spans="5:5">
      <c r="E7233"/>
    </row>
    <row r="7234" spans="5:5">
      <c r="E7234"/>
    </row>
    <row r="7235" spans="5:5">
      <c r="E7235"/>
    </row>
    <row r="7236" spans="5:5">
      <c r="E7236"/>
    </row>
    <row r="7237" spans="5:5">
      <c r="E7237"/>
    </row>
    <row r="7238" spans="5:5">
      <c r="E7238"/>
    </row>
    <row r="7239" spans="5:5">
      <c r="E7239"/>
    </row>
    <row r="7240" spans="5:5">
      <c r="E7240"/>
    </row>
    <row r="7241" spans="5:5">
      <c r="E7241"/>
    </row>
    <row r="7242" spans="5:5">
      <c r="E7242"/>
    </row>
    <row r="7243" spans="5:5">
      <c r="E7243"/>
    </row>
    <row r="7244" spans="5:5">
      <c r="E7244"/>
    </row>
    <row r="7245" spans="5:5">
      <c r="E7245"/>
    </row>
    <row r="7246" spans="5:5">
      <c r="E7246"/>
    </row>
    <row r="7247" spans="5:5">
      <c r="E7247"/>
    </row>
    <row r="7248" spans="5:5">
      <c r="E7248"/>
    </row>
    <row r="7249" spans="5:5">
      <c r="E7249"/>
    </row>
    <row r="7250" spans="5:5">
      <c r="E7250"/>
    </row>
    <row r="7251" spans="5:5">
      <c r="E7251"/>
    </row>
    <row r="7252" spans="5:5">
      <c r="E7252"/>
    </row>
    <row r="7253" spans="5:5">
      <c r="E7253"/>
    </row>
    <row r="7254" spans="5:5">
      <c r="E7254"/>
    </row>
    <row r="7255" spans="5:5">
      <c r="E7255"/>
    </row>
    <row r="7256" spans="5:5">
      <c r="E7256"/>
    </row>
    <row r="7257" spans="5:5">
      <c r="E7257"/>
    </row>
    <row r="7258" spans="5:5">
      <c r="E7258"/>
    </row>
    <row r="7259" spans="5:5">
      <c r="E7259"/>
    </row>
    <row r="7260" spans="5:5">
      <c r="E7260"/>
    </row>
    <row r="7261" spans="5:5">
      <c r="E7261"/>
    </row>
    <row r="7262" spans="5:5">
      <c r="E7262"/>
    </row>
    <row r="7263" spans="5:5">
      <c r="E7263"/>
    </row>
    <row r="7264" spans="5:5">
      <c r="E7264"/>
    </row>
    <row r="7265" spans="5:5">
      <c r="E7265"/>
    </row>
    <row r="7266" spans="5:5">
      <c r="E7266"/>
    </row>
    <row r="7267" spans="5:5">
      <c r="E7267"/>
    </row>
    <row r="7268" spans="5:5">
      <c r="E7268"/>
    </row>
    <row r="7269" spans="5:5">
      <c r="E7269"/>
    </row>
    <row r="7270" spans="5:5">
      <c r="E7270"/>
    </row>
    <row r="7271" spans="5:5">
      <c r="E7271"/>
    </row>
    <row r="7272" spans="5:5">
      <c r="E7272"/>
    </row>
    <row r="7273" spans="5:5">
      <c r="E7273"/>
    </row>
    <row r="7274" spans="5:5">
      <c r="E7274"/>
    </row>
    <row r="7275" spans="5:5">
      <c r="E7275"/>
    </row>
    <row r="7276" spans="5:5">
      <c r="E7276"/>
    </row>
    <row r="7277" spans="5:5">
      <c r="E7277"/>
    </row>
    <row r="7278" spans="5:5">
      <c r="E7278"/>
    </row>
    <row r="7279" spans="5:5">
      <c r="E7279"/>
    </row>
    <row r="7280" spans="5:5">
      <c r="E7280"/>
    </row>
    <row r="7281" spans="5:5">
      <c r="E7281"/>
    </row>
    <row r="7282" spans="5:5">
      <c r="E7282"/>
    </row>
    <row r="7283" spans="5:5">
      <c r="E7283"/>
    </row>
    <row r="7284" spans="5:5">
      <c r="E7284"/>
    </row>
    <row r="7285" spans="5:5">
      <c r="E7285"/>
    </row>
    <row r="7286" spans="5:5">
      <c r="E7286"/>
    </row>
    <row r="7287" spans="5:5">
      <c r="E7287"/>
    </row>
    <row r="7288" spans="5:5">
      <c r="E7288"/>
    </row>
    <row r="7289" spans="5:5">
      <c r="E7289"/>
    </row>
    <row r="7290" spans="5:5">
      <c r="E7290"/>
    </row>
    <row r="7291" spans="5:5">
      <c r="E7291"/>
    </row>
    <row r="7292" spans="5:5">
      <c r="E7292"/>
    </row>
    <row r="7293" spans="5:5">
      <c r="E7293"/>
    </row>
    <row r="7294" spans="5:5">
      <c r="E7294"/>
    </row>
    <row r="7295" spans="5:5">
      <c r="E7295"/>
    </row>
    <row r="7296" spans="5:5">
      <c r="E7296"/>
    </row>
    <row r="7297" spans="5:5">
      <c r="E7297"/>
    </row>
    <row r="7298" spans="5:5">
      <c r="E7298"/>
    </row>
    <row r="7299" spans="5:5">
      <c r="E7299"/>
    </row>
    <row r="7300" spans="5:5">
      <c r="E7300"/>
    </row>
    <row r="7301" spans="5:5">
      <c r="E7301"/>
    </row>
    <row r="7302" spans="5:5">
      <c r="E7302"/>
    </row>
    <row r="7303" spans="5:5">
      <c r="E7303"/>
    </row>
    <row r="7304" spans="5:5">
      <c r="E7304"/>
    </row>
    <row r="7305" spans="5:5">
      <c r="E7305"/>
    </row>
    <row r="7306" spans="5:5">
      <c r="E7306"/>
    </row>
    <row r="7307" spans="5:5">
      <c r="E7307"/>
    </row>
    <row r="7308" spans="5:5">
      <c r="E7308"/>
    </row>
    <row r="7309" spans="5:5">
      <c r="E7309"/>
    </row>
    <row r="7310" spans="5:5">
      <c r="E7310"/>
    </row>
    <row r="7311" spans="5:5">
      <c r="E7311"/>
    </row>
    <row r="7312" spans="5:5">
      <c r="E7312"/>
    </row>
    <row r="7313" spans="5:5">
      <c r="E7313"/>
    </row>
    <row r="7314" spans="5:5">
      <c r="E7314"/>
    </row>
    <row r="7315" spans="5:5">
      <c r="E7315"/>
    </row>
    <row r="7316" spans="5:5">
      <c r="E7316"/>
    </row>
    <row r="7317" spans="5:5">
      <c r="E7317"/>
    </row>
    <row r="7318" spans="5:5">
      <c r="E7318"/>
    </row>
    <row r="7319" spans="5:5">
      <c r="E7319"/>
    </row>
    <row r="7320" spans="5:5">
      <c r="E7320"/>
    </row>
    <row r="7321" spans="5:5">
      <c r="E7321"/>
    </row>
    <row r="7322" spans="5:5">
      <c r="E7322"/>
    </row>
    <row r="7323" spans="5:5">
      <c r="E7323"/>
    </row>
    <row r="7324" spans="5:5">
      <c r="E7324"/>
    </row>
    <row r="7325" spans="5:5">
      <c r="E7325"/>
    </row>
    <row r="7326" spans="5:5">
      <c r="E7326"/>
    </row>
    <row r="7327" spans="5:5">
      <c r="E7327"/>
    </row>
    <row r="7328" spans="5:5">
      <c r="E7328"/>
    </row>
    <row r="7329" spans="5:5">
      <c r="E7329"/>
    </row>
    <row r="7330" spans="5:5">
      <c r="E7330"/>
    </row>
    <row r="7331" spans="5:5">
      <c r="E7331"/>
    </row>
    <row r="7332" spans="5:5">
      <c r="E7332"/>
    </row>
    <row r="7333" spans="5:5">
      <c r="E7333"/>
    </row>
    <row r="7334" spans="5:5">
      <c r="E7334"/>
    </row>
    <row r="7335" spans="5:5">
      <c r="E7335"/>
    </row>
    <row r="7336" spans="5:5">
      <c r="E7336"/>
    </row>
    <row r="7337" spans="5:5">
      <c r="E7337"/>
    </row>
    <row r="7338" spans="5:5">
      <c r="E7338"/>
    </row>
    <row r="7339" spans="5:5">
      <c r="E7339"/>
    </row>
    <row r="7340" spans="5:5">
      <c r="E7340"/>
    </row>
    <row r="7341" spans="5:5">
      <c r="E7341"/>
    </row>
    <row r="7342" spans="5:5">
      <c r="E7342"/>
    </row>
    <row r="7343" spans="5:5">
      <c r="E7343"/>
    </row>
    <row r="7344" spans="5:5">
      <c r="E7344"/>
    </row>
    <row r="7345" spans="5:5">
      <c r="E7345"/>
    </row>
    <row r="7346" spans="5:5">
      <c r="E7346"/>
    </row>
    <row r="7347" spans="5:5">
      <c r="E7347"/>
    </row>
    <row r="7348" spans="5:5">
      <c r="E7348"/>
    </row>
    <row r="7349" spans="5:5">
      <c r="E7349"/>
    </row>
    <row r="7350" spans="5:5">
      <c r="E7350"/>
    </row>
    <row r="7351" spans="5:5">
      <c r="E7351"/>
    </row>
    <row r="7352" spans="5:5">
      <c r="E7352"/>
    </row>
    <row r="7353" spans="5:5">
      <c r="E7353"/>
    </row>
    <row r="7354" spans="5:5">
      <c r="E7354"/>
    </row>
    <row r="7355" spans="5:5">
      <c r="E7355"/>
    </row>
    <row r="7356" spans="5:5">
      <c r="E7356"/>
    </row>
    <row r="7357" spans="5:5">
      <c r="E7357"/>
    </row>
    <row r="7358" spans="5:5">
      <c r="E7358"/>
    </row>
    <row r="7359" spans="5:5">
      <c r="E7359"/>
    </row>
    <row r="7360" spans="5:5">
      <c r="E7360"/>
    </row>
    <row r="7361" spans="5:5">
      <c r="E7361"/>
    </row>
    <row r="7362" spans="5:5">
      <c r="E7362"/>
    </row>
    <row r="7363" spans="5:5">
      <c r="E7363"/>
    </row>
    <row r="7364" spans="5:5">
      <c r="E7364"/>
    </row>
    <row r="7365" spans="5:5">
      <c r="E7365"/>
    </row>
    <row r="7366" spans="5:5">
      <c r="E7366"/>
    </row>
    <row r="7367" spans="5:5">
      <c r="E7367"/>
    </row>
    <row r="7368" spans="5:5">
      <c r="E7368"/>
    </row>
    <row r="7369" spans="5:5">
      <c r="E7369"/>
    </row>
    <row r="7370" spans="5:5">
      <c r="E7370"/>
    </row>
    <row r="7371" spans="5:5">
      <c r="E7371"/>
    </row>
    <row r="7372" spans="5:5">
      <c r="E7372"/>
    </row>
    <row r="7373" spans="5:5">
      <c r="E7373"/>
    </row>
    <row r="7374" spans="5:5">
      <c r="E7374"/>
    </row>
    <row r="7375" spans="5:5">
      <c r="E7375"/>
    </row>
    <row r="7376" spans="5:5">
      <c r="E7376"/>
    </row>
    <row r="7377" spans="5:5">
      <c r="E7377"/>
    </row>
    <row r="7378" spans="5:5">
      <c r="E7378"/>
    </row>
    <row r="7379" spans="5:5">
      <c r="E7379"/>
    </row>
    <row r="7380" spans="5:5">
      <c r="E7380"/>
    </row>
    <row r="7381" spans="5:5">
      <c r="E7381"/>
    </row>
    <row r="7382" spans="5:5">
      <c r="E7382"/>
    </row>
    <row r="7383" spans="5:5">
      <c r="E7383"/>
    </row>
    <row r="7384" spans="5:5">
      <c r="E7384"/>
    </row>
    <row r="7385" spans="5:5">
      <c r="E7385"/>
    </row>
    <row r="7386" spans="5:5">
      <c r="E7386"/>
    </row>
    <row r="7387" spans="5:5">
      <c r="E7387"/>
    </row>
    <row r="7388" spans="5:5">
      <c r="E7388"/>
    </row>
    <row r="7389" spans="5:5">
      <c r="E7389"/>
    </row>
    <row r="7390" spans="5:5">
      <c r="E7390"/>
    </row>
    <row r="7391" spans="5:5">
      <c r="E7391"/>
    </row>
    <row r="7392" spans="5:5">
      <c r="E7392"/>
    </row>
    <row r="7393" spans="5:5">
      <c r="E7393"/>
    </row>
    <row r="7394" spans="5:5">
      <c r="E7394"/>
    </row>
    <row r="7395" spans="5:5">
      <c r="E7395"/>
    </row>
    <row r="7396" spans="5:5">
      <c r="E7396"/>
    </row>
    <row r="7397" spans="5:5">
      <c r="E7397"/>
    </row>
    <row r="7398" spans="5:5">
      <c r="E7398"/>
    </row>
    <row r="7399" spans="5:5">
      <c r="E7399"/>
    </row>
    <row r="7400" spans="5:5">
      <c r="E7400"/>
    </row>
    <row r="7401" spans="5:5">
      <c r="E7401"/>
    </row>
    <row r="7402" spans="5:5">
      <c r="E7402"/>
    </row>
    <row r="7403" spans="5:5">
      <c r="E7403"/>
    </row>
    <row r="7404" spans="5:5">
      <c r="E7404"/>
    </row>
    <row r="7405" spans="5:5">
      <c r="E7405"/>
    </row>
    <row r="7406" spans="5:5">
      <c r="E7406"/>
    </row>
    <row r="7407" spans="5:5">
      <c r="E7407"/>
    </row>
    <row r="7408" spans="5:5">
      <c r="E7408"/>
    </row>
    <row r="7409" spans="5:5">
      <c r="E7409"/>
    </row>
    <row r="7410" spans="5:5">
      <c r="E7410"/>
    </row>
    <row r="7411" spans="5:5">
      <c r="E7411"/>
    </row>
    <row r="7412" spans="5:5">
      <c r="E7412"/>
    </row>
    <row r="7413" spans="5:5">
      <c r="E7413"/>
    </row>
    <row r="7414" spans="5:5">
      <c r="E7414"/>
    </row>
    <row r="7415" spans="5:5">
      <c r="E7415"/>
    </row>
    <row r="7416" spans="5:5">
      <c r="E7416"/>
    </row>
    <row r="7417" spans="5:5">
      <c r="E7417"/>
    </row>
    <row r="7418" spans="5:5">
      <c r="E7418"/>
    </row>
    <row r="7419" spans="5:5">
      <c r="E7419"/>
    </row>
    <row r="7420" spans="5:5">
      <c r="E7420"/>
    </row>
    <row r="7421" spans="5:5">
      <c r="E7421"/>
    </row>
    <row r="7422" spans="5:5">
      <c r="E7422"/>
    </row>
    <row r="7423" spans="5:5">
      <c r="E7423"/>
    </row>
    <row r="7424" spans="5:5">
      <c r="E7424"/>
    </row>
    <row r="7425" spans="5:5">
      <c r="E7425"/>
    </row>
    <row r="7426" spans="5:5">
      <c r="E7426"/>
    </row>
    <row r="7427" spans="5:5">
      <c r="E7427"/>
    </row>
    <row r="7428" spans="5:5">
      <c r="E7428"/>
    </row>
    <row r="7429" spans="5:5">
      <c r="E7429"/>
    </row>
    <row r="7430" spans="5:5">
      <c r="E7430"/>
    </row>
    <row r="7431" spans="5:5">
      <c r="E7431"/>
    </row>
    <row r="7432" spans="5:5">
      <c r="E7432"/>
    </row>
    <row r="7433" spans="5:5">
      <c r="E7433"/>
    </row>
    <row r="7434" spans="5:5">
      <c r="E7434"/>
    </row>
    <row r="7435" spans="5:5">
      <c r="E7435"/>
    </row>
    <row r="7436" spans="5:5">
      <c r="E7436"/>
    </row>
    <row r="7437" spans="5:5">
      <c r="E7437"/>
    </row>
    <row r="7438" spans="5:5">
      <c r="E7438"/>
    </row>
    <row r="7439" spans="5:5">
      <c r="E7439"/>
    </row>
    <row r="7440" spans="5:5">
      <c r="E7440"/>
    </row>
    <row r="7441" spans="5:5">
      <c r="E7441"/>
    </row>
    <row r="7442" spans="5:5">
      <c r="E7442"/>
    </row>
    <row r="7443" spans="5:5">
      <c r="E7443"/>
    </row>
    <row r="7444" spans="5:5">
      <c r="E7444"/>
    </row>
    <row r="7445" spans="5:5">
      <c r="E7445"/>
    </row>
    <row r="7446" spans="5:5">
      <c r="E7446"/>
    </row>
    <row r="7447" spans="5:5">
      <c r="E7447"/>
    </row>
    <row r="7448" spans="5:5">
      <c r="E7448"/>
    </row>
    <row r="7449" spans="5:5">
      <c r="E7449"/>
    </row>
    <row r="7450" spans="5:5">
      <c r="E7450"/>
    </row>
    <row r="7451" spans="5:5">
      <c r="E7451"/>
    </row>
    <row r="7452" spans="5:5">
      <c r="E7452"/>
    </row>
    <row r="7453" spans="5:5">
      <c r="E7453"/>
    </row>
    <row r="7454" spans="5:5">
      <c r="E7454"/>
    </row>
    <row r="7455" spans="5:5">
      <c r="E7455"/>
    </row>
    <row r="7456" spans="5:5">
      <c r="E7456"/>
    </row>
    <row r="7457" spans="5:5">
      <c r="E7457"/>
    </row>
    <row r="7458" spans="5:5">
      <c r="E7458"/>
    </row>
    <row r="7459" spans="5:5">
      <c r="E7459"/>
    </row>
    <row r="7460" spans="5:5">
      <c r="E7460"/>
    </row>
    <row r="7461" spans="5:5">
      <c r="E7461"/>
    </row>
    <row r="7462" spans="5:5">
      <c r="E7462"/>
    </row>
    <row r="7463" spans="5:5">
      <c r="E7463"/>
    </row>
    <row r="7464" spans="5:5">
      <c r="E7464"/>
    </row>
    <row r="7465" spans="5:5">
      <c r="E7465"/>
    </row>
    <row r="7466" spans="5:5">
      <c r="E7466"/>
    </row>
    <row r="7467" spans="5:5">
      <c r="E7467"/>
    </row>
    <row r="7468" spans="5:5">
      <c r="E7468"/>
    </row>
    <row r="7469" spans="5:5">
      <c r="E7469"/>
    </row>
    <row r="7470" spans="5:5">
      <c r="E7470"/>
    </row>
    <row r="7471" spans="5:5">
      <c r="E7471"/>
    </row>
    <row r="7472" spans="5:5">
      <c r="E7472"/>
    </row>
    <row r="7473" spans="5:5">
      <c r="E7473"/>
    </row>
    <row r="7474" spans="5:5">
      <c r="E7474"/>
    </row>
    <row r="7475" spans="5:5">
      <c r="E7475"/>
    </row>
    <row r="7476" spans="5:5">
      <c r="E7476"/>
    </row>
    <row r="7477" spans="5:5">
      <c r="E7477"/>
    </row>
    <row r="7478" spans="5:5">
      <c r="E7478"/>
    </row>
    <row r="7479" spans="5:5">
      <c r="E7479"/>
    </row>
    <row r="7480" spans="5:5">
      <c r="E7480"/>
    </row>
    <row r="7481" spans="5:5">
      <c r="E7481"/>
    </row>
    <row r="7482" spans="5:5">
      <c r="E7482"/>
    </row>
    <row r="7483" spans="5:5">
      <c r="E7483"/>
    </row>
    <row r="7484" spans="5:5">
      <c r="E7484"/>
    </row>
    <row r="7485" spans="5:5">
      <c r="E7485"/>
    </row>
    <row r="7486" spans="5:5">
      <c r="E7486"/>
    </row>
    <row r="7487" spans="5:5">
      <c r="E7487"/>
    </row>
    <row r="7488" spans="5:5">
      <c r="E7488"/>
    </row>
    <row r="7489" spans="5:5">
      <c r="E7489"/>
    </row>
    <row r="7490" spans="5:5">
      <c r="E7490"/>
    </row>
    <row r="7491" spans="5:5">
      <c r="E7491"/>
    </row>
    <row r="7492" spans="5:5">
      <c r="E7492"/>
    </row>
    <row r="7493" spans="5:5">
      <c r="E7493"/>
    </row>
    <row r="7494" spans="5:5">
      <c r="E7494"/>
    </row>
    <row r="7495" spans="5:5">
      <c r="E7495"/>
    </row>
    <row r="7496" spans="5:5">
      <c r="E7496"/>
    </row>
    <row r="7497" spans="5:5">
      <c r="E7497"/>
    </row>
    <row r="7498" spans="5:5">
      <c r="E7498"/>
    </row>
    <row r="7499" spans="5:5">
      <c r="E7499"/>
    </row>
    <row r="7500" spans="5:5">
      <c r="E7500"/>
    </row>
    <row r="7501" spans="5:5">
      <c r="E7501"/>
    </row>
    <row r="7502" spans="5:5">
      <c r="E7502"/>
    </row>
    <row r="7503" spans="5:5">
      <c r="E7503"/>
    </row>
    <row r="7504" spans="5:5">
      <c r="E7504"/>
    </row>
    <row r="7505" spans="5:5">
      <c r="E7505"/>
    </row>
    <row r="7506" spans="5:5">
      <c r="E7506"/>
    </row>
    <row r="7507" spans="5:5">
      <c r="E7507"/>
    </row>
    <row r="7508" spans="5:5">
      <c r="E7508"/>
    </row>
    <row r="7509" spans="5:5">
      <c r="E7509"/>
    </row>
    <row r="7510" spans="5:5">
      <c r="E7510"/>
    </row>
    <row r="7511" spans="5:5">
      <c r="E7511"/>
    </row>
    <row r="7512" spans="5:5">
      <c r="E7512"/>
    </row>
    <row r="7513" spans="5:5">
      <c r="E7513"/>
    </row>
    <row r="7514" spans="5:5">
      <c r="E7514"/>
    </row>
    <row r="7515" spans="5:5">
      <c r="E7515"/>
    </row>
    <row r="7516" spans="5:5">
      <c r="E7516"/>
    </row>
    <row r="7517" spans="5:5">
      <c r="E7517"/>
    </row>
    <row r="7518" spans="5:5">
      <c r="E7518"/>
    </row>
    <row r="7519" spans="5:5">
      <c r="E7519"/>
    </row>
    <row r="7520" spans="5:5">
      <c r="E7520"/>
    </row>
    <row r="7521" spans="5:5">
      <c r="E7521"/>
    </row>
    <row r="7522" spans="5:5">
      <c r="E7522"/>
    </row>
    <row r="7523" spans="5:5">
      <c r="E7523"/>
    </row>
    <row r="7524" spans="5:5">
      <c r="E7524"/>
    </row>
    <row r="7525" spans="5:5">
      <c r="E7525"/>
    </row>
    <row r="7526" spans="5:5">
      <c r="E7526"/>
    </row>
    <row r="7527" spans="5:5">
      <c r="E7527"/>
    </row>
    <row r="7528" spans="5:5">
      <c r="E7528"/>
    </row>
    <row r="7529" spans="5:5">
      <c r="E7529"/>
    </row>
    <row r="7530" spans="5:5">
      <c r="E7530"/>
    </row>
    <row r="7531" spans="5:5">
      <c r="E7531"/>
    </row>
    <row r="7532" spans="5:5">
      <c r="E7532"/>
    </row>
    <row r="7533" spans="5:5">
      <c r="E7533"/>
    </row>
    <row r="7534" spans="5:5">
      <c r="E7534"/>
    </row>
    <row r="7535" spans="5:5">
      <c r="E7535"/>
    </row>
    <row r="7536" spans="5:5">
      <c r="E7536"/>
    </row>
    <row r="7537" spans="5:5">
      <c r="E7537"/>
    </row>
    <row r="7538" spans="5:5">
      <c r="E7538"/>
    </row>
    <row r="7539" spans="5:5">
      <c r="E7539"/>
    </row>
    <row r="7540" spans="5:5">
      <c r="E7540"/>
    </row>
    <row r="7541" spans="5:5">
      <c r="E7541"/>
    </row>
    <row r="7542" spans="5:5">
      <c r="E7542"/>
    </row>
    <row r="7543" spans="5:5">
      <c r="E7543"/>
    </row>
    <row r="7544" spans="5:5">
      <c r="E7544"/>
    </row>
    <row r="7545" spans="5:5">
      <c r="E7545"/>
    </row>
    <row r="7546" spans="5:5">
      <c r="E7546"/>
    </row>
    <row r="7547" spans="5:5">
      <c r="E7547"/>
    </row>
    <row r="7548" spans="5:5">
      <c r="E7548"/>
    </row>
    <row r="7549" spans="5:5">
      <c r="E7549"/>
    </row>
    <row r="7550" spans="5:5">
      <c r="E7550"/>
    </row>
    <row r="7551" spans="5:5">
      <c r="E7551"/>
    </row>
    <row r="7552" spans="5:5">
      <c r="E7552"/>
    </row>
    <row r="7553" spans="5:5">
      <c r="E7553"/>
    </row>
    <row r="7554" spans="5:5">
      <c r="E7554"/>
    </row>
    <row r="7555" spans="5:5">
      <c r="E7555"/>
    </row>
    <row r="7556" spans="5:5">
      <c r="E7556"/>
    </row>
    <row r="7557" spans="5:5">
      <c r="E7557"/>
    </row>
    <row r="7558" spans="5:5">
      <c r="E7558"/>
    </row>
    <row r="7559" spans="5:5">
      <c r="E7559"/>
    </row>
    <row r="7560" spans="5:5">
      <c r="E7560"/>
    </row>
    <row r="7561" spans="5:5">
      <c r="E7561"/>
    </row>
    <row r="7562" spans="5:5">
      <c r="E7562"/>
    </row>
    <row r="7563" spans="5:5">
      <c r="E7563"/>
    </row>
    <row r="7564" spans="5:5">
      <c r="E7564"/>
    </row>
    <row r="7565" spans="5:5">
      <c r="E7565"/>
    </row>
    <row r="7566" spans="5:5">
      <c r="E7566"/>
    </row>
    <row r="7567" spans="5:5">
      <c r="E7567"/>
    </row>
    <row r="7568" spans="5:5">
      <c r="E7568"/>
    </row>
    <row r="7569" spans="5:5">
      <c r="E7569"/>
    </row>
    <row r="7570" spans="5:5">
      <c r="E7570"/>
    </row>
    <row r="7571" spans="5:5">
      <c r="E7571"/>
    </row>
    <row r="7572" spans="5:5">
      <c r="E7572"/>
    </row>
    <row r="7573" spans="5:5">
      <c r="E7573"/>
    </row>
    <row r="7574" spans="5:5">
      <c r="E7574"/>
    </row>
    <row r="7575" spans="5:5">
      <c r="E7575"/>
    </row>
    <row r="7576" spans="5:5">
      <c r="E7576"/>
    </row>
    <row r="7577" spans="5:5">
      <c r="E7577"/>
    </row>
    <row r="7578" spans="5:5">
      <c r="E7578"/>
    </row>
    <row r="7579" spans="5:5">
      <c r="E7579"/>
    </row>
    <row r="7580" spans="5:5">
      <c r="E7580"/>
    </row>
    <row r="7581" spans="5:5">
      <c r="E7581"/>
    </row>
    <row r="7582" spans="5:5">
      <c r="E7582"/>
    </row>
    <row r="7583" spans="5:5">
      <c r="E7583"/>
    </row>
    <row r="7584" spans="5:5">
      <c r="E7584"/>
    </row>
    <row r="7585" spans="5:5">
      <c r="E7585"/>
    </row>
    <row r="7586" spans="5:5">
      <c r="E7586"/>
    </row>
    <row r="7587" spans="5:5">
      <c r="E7587"/>
    </row>
    <row r="7588" spans="5:5">
      <c r="E7588"/>
    </row>
    <row r="7589" spans="5:5">
      <c r="E7589"/>
    </row>
    <row r="7590" spans="5:5">
      <c r="E7590"/>
    </row>
    <row r="7591" spans="5:5">
      <c r="E7591"/>
    </row>
    <row r="7592" spans="5:5">
      <c r="E7592"/>
    </row>
    <row r="7593" spans="5:5">
      <c r="E7593"/>
    </row>
    <row r="7594" spans="5:5">
      <c r="E7594"/>
    </row>
    <row r="7595" spans="5:5">
      <c r="E7595"/>
    </row>
    <row r="7596" spans="5:5">
      <c r="E7596"/>
    </row>
    <row r="7597" spans="5:5">
      <c r="E7597"/>
    </row>
    <row r="7598" spans="5:5">
      <c r="E7598"/>
    </row>
    <row r="7599" spans="5:5">
      <c r="E7599"/>
    </row>
    <row r="7600" spans="5:5">
      <c r="E7600"/>
    </row>
    <row r="7601" spans="5:5">
      <c r="E7601"/>
    </row>
    <row r="7602" spans="5:5">
      <c r="E7602"/>
    </row>
    <row r="7603" spans="5:5">
      <c r="E7603"/>
    </row>
    <row r="7604" spans="5:5">
      <c r="E7604"/>
    </row>
    <row r="7605" spans="5:5">
      <c r="E7605"/>
    </row>
    <row r="7606" spans="5:5">
      <c r="E7606"/>
    </row>
    <row r="7607" spans="5:5">
      <c r="E7607"/>
    </row>
    <row r="7608" spans="5:5">
      <c r="E7608"/>
    </row>
    <row r="7609" spans="5:5">
      <c r="E7609"/>
    </row>
    <row r="7610" spans="5:5">
      <c r="E7610"/>
    </row>
    <row r="7611" spans="5:5">
      <c r="E7611"/>
    </row>
    <row r="7612" spans="5:5">
      <c r="E7612"/>
    </row>
    <row r="7613" spans="5:5">
      <c r="E7613"/>
    </row>
    <row r="7614" spans="5:5">
      <c r="E7614"/>
    </row>
    <row r="7615" spans="5:5">
      <c r="E7615"/>
    </row>
    <row r="7616" spans="5:5">
      <c r="E7616"/>
    </row>
    <row r="7617" spans="5:5">
      <c r="E7617"/>
    </row>
    <row r="7618" spans="5:5">
      <c r="E7618"/>
    </row>
    <row r="7619" spans="5:5">
      <c r="E7619"/>
    </row>
    <row r="7620" spans="5:5">
      <c r="E7620"/>
    </row>
    <row r="7621" spans="5:5">
      <c r="E7621"/>
    </row>
    <row r="7622" spans="5:5">
      <c r="E7622"/>
    </row>
    <row r="7623" spans="5:5">
      <c r="E7623"/>
    </row>
    <row r="7624" spans="5:5">
      <c r="E7624"/>
    </row>
    <row r="7625" spans="5:5">
      <c r="E7625"/>
    </row>
    <row r="7626" spans="5:5">
      <c r="E7626"/>
    </row>
    <row r="7627" spans="5:5">
      <c r="E7627"/>
    </row>
    <row r="7628" spans="5:5">
      <c r="E7628"/>
    </row>
    <row r="7629" spans="5:5">
      <c r="E7629"/>
    </row>
    <row r="7630" spans="5:5">
      <c r="E7630"/>
    </row>
    <row r="7631" spans="5:5">
      <c r="E7631"/>
    </row>
    <row r="7632" spans="5:5">
      <c r="E7632"/>
    </row>
    <row r="7633" spans="5:5">
      <c r="E7633"/>
    </row>
    <row r="7634" spans="5:5">
      <c r="E7634"/>
    </row>
    <row r="7635" spans="5:5">
      <c r="E7635"/>
    </row>
    <row r="7636" spans="5:5">
      <c r="E7636"/>
    </row>
    <row r="7637" spans="5:5">
      <c r="E7637"/>
    </row>
    <row r="7638" spans="5:5">
      <c r="E7638"/>
    </row>
    <row r="7639" spans="5:5">
      <c r="E7639"/>
    </row>
    <row r="7640" spans="5:5">
      <c r="E7640"/>
    </row>
    <row r="7641" spans="5:5">
      <c r="E7641"/>
    </row>
    <row r="7642" spans="5:5">
      <c r="E7642"/>
    </row>
    <row r="7643" spans="5:5">
      <c r="E7643"/>
    </row>
    <row r="7644" spans="5:5">
      <c r="E7644"/>
    </row>
    <row r="7645" spans="5:5">
      <c r="E7645"/>
    </row>
    <row r="7646" spans="5:5">
      <c r="E7646"/>
    </row>
    <row r="7647" spans="5:5">
      <c r="E7647"/>
    </row>
    <row r="7648" spans="5:5">
      <c r="E7648"/>
    </row>
    <row r="7649" spans="5:5">
      <c r="E7649"/>
    </row>
    <row r="7650" spans="5:5">
      <c r="E7650"/>
    </row>
    <row r="7651" spans="5:5">
      <c r="E7651"/>
    </row>
    <row r="7652" spans="5:5">
      <c r="E7652"/>
    </row>
    <row r="7653" spans="5:5">
      <c r="E7653"/>
    </row>
    <row r="7654" spans="5:5">
      <c r="E7654"/>
    </row>
    <row r="7655" spans="5:5">
      <c r="E7655"/>
    </row>
    <row r="7656" spans="5:5">
      <c r="E7656"/>
    </row>
    <row r="7657" spans="5:5">
      <c r="E7657"/>
    </row>
    <row r="7658" spans="5:5">
      <c r="E7658"/>
    </row>
    <row r="7659" spans="5:5">
      <c r="E7659"/>
    </row>
    <row r="7660" spans="5:5">
      <c r="E7660"/>
    </row>
    <row r="7661" spans="5:5">
      <c r="E7661"/>
    </row>
    <row r="7662" spans="5:5">
      <c r="E7662"/>
    </row>
    <row r="7663" spans="5:5">
      <c r="E7663"/>
    </row>
    <row r="7664" spans="5:5">
      <c r="E7664"/>
    </row>
    <row r="7665" spans="5:5">
      <c r="E7665"/>
    </row>
    <row r="7666" spans="5:5">
      <c r="E7666"/>
    </row>
    <row r="7667" spans="5:5">
      <c r="E7667"/>
    </row>
    <row r="7668" spans="5:5">
      <c r="E7668"/>
    </row>
    <row r="7669" spans="5:5">
      <c r="E7669"/>
    </row>
    <row r="7670" spans="5:5">
      <c r="E7670"/>
    </row>
    <row r="7671" spans="5:5">
      <c r="E7671"/>
    </row>
    <row r="7672" spans="5:5">
      <c r="E7672"/>
    </row>
    <row r="7673" spans="5:5">
      <c r="E7673"/>
    </row>
    <row r="7674" spans="5:5">
      <c r="E7674"/>
    </row>
    <row r="7675" spans="5:5">
      <c r="E7675"/>
    </row>
    <row r="7676" spans="5:5">
      <c r="E7676"/>
    </row>
    <row r="7677" spans="5:5">
      <c r="E7677"/>
    </row>
    <row r="7678" spans="5:5">
      <c r="E7678"/>
    </row>
    <row r="7679" spans="5:5">
      <c r="E7679"/>
    </row>
    <row r="7680" spans="5:5">
      <c r="E7680"/>
    </row>
    <row r="7681" spans="5:5">
      <c r="E7681"/>
    </row>
    <row r="7682" spans="5:5">
      <c r="E7682"/>
    </row>
    <row r="7683" spans="5:5">
      <c r="E7683"/>
    </row>
    <row r="7684" spans="5:5">
      <c r="E7684"/>
    </row>
    <row r="7685" spans="5:5">
      <c r="E7685"/>
    </row>
    <row r="7686" spans="5:5">
      <c r="E7686"/>
    </row>
    <row r="7687" spans="5:5">
      <c r="E7687"/>
    </row>
    <row r="7688" spans="5:5">
      <c r="E7688"/>
    </row>
    <row r="7689" spans="5:5">
      <c r="E7689"/>
    </row>
    <row r="7690" spans="5:5">
      <c r="E7690"/>
    </row>
    <row r="7691" spans="5:5">
      <c r="E7691"/>
    </row>
    <row r="7692" spans="5:5">
      <c r="E7692"/>
    </row>
    <row r="7693" spans="5:5">
      <c r="E7693"/>
    </row>
    <row r="7694" spans="5:5">
      <c r="E7694"/>
    </row>
    <row r="7695" spans="5:5">
      <c r="E7695"/>
    </row>
    <row r="7696" spans="5:5">
      <c r="E7696"/>
    </row>
    <row r="7697" spans="5:5">
      <c r="E7697"/>
    </row>
    <row r="7698" spans="5:5">
      <c r="E7698"/>
    </row>
    <row r="7699" spans="5:5">
      <c r="E7699"/>
    </row>
    <row r="7700" spans="5:5">
      <c r="E7700"/>
    </row>
    <row r="7701" spans="5:5">
      <c r="E7701"/>
    </row>
    <row r="7702" spans="5:5">
      <c r="E7702"/>
    </row>
    <row r="7703" spans="5:5">
      <c r="E7703"/>
    </row>
    <row r="7704" spans="5:5">
      <c r="E7704"/>
    </row>
    <row r="7705" spans="5:5">
      <c r="E7705"/>
    </row>
    <row r="7706" spans="5:5">
      <c r="E7706"/>
    </row>
    <row r="7707" spans="5:5">
      <c r="E7707"/>
    </row>
    <row r="7708" spans="5:5">
      <c r="E7708"/>
    </row>
    <row r="7709" spans="5:5">
      <c r="E7709"/>
    </row>
    <row r="7710" spans="5:5">
      <c r="E7710"/>
    </row>
    <row r="7711" spans="5:5">
      <c r="E7711"/>
    </row>
    <row r="7712" spans="5:5">
      <c r="E7712"/>
    </row>
    <row r="7713" spans="5:5">
      <c r="E7713"/>
    </row>
    <row r="7714" spans="5:5">
      <c r="E7714"/>
    </row>
    <row r="7715" spans="5:5">
      <c r="E7715"/>
    </row>
    <row r="7716" spans="5:5">
      <c r="E7716"/>
    </row>
    <row r="7717" spans="5:5">
      <c r="E7717"/>
    </row>
    <row r="7718" spans="5:5">
      <c r="E7718"/>
    </row>
    <row r="7719" spans="5:5">
      <c r="E7719"/>
    </row>
    <row r="7720" spans="5:5">
      <c r="E7720"/>
    </row>
    <row r="7721" spans="5:5">
      <c r="E7721"/>
    </row>
    <row r="7722" spans="5:5">
      <c r="E7722"/>
    </row>
    <row r="7723" spans="5:5">
      <c r="E7723"/>
    </row>
    <row r="7724" spans="5:5">
      <c r="E7724"/>
    </row>
    <row r="7725" spans="5:5">
      <c r="E7725"/>
    </row>
    <row r="7726" spans="5:5">
      <c r="E7726"/>
    </row>
    <row r="7727" spans="5:5">
      <c r="E7727"/>
    </row>
    <row r="7728" spans="5:5">
      <c r="E7728"/>
    </row>
    <row r="7729" spans="5:5">
      <c r="E7729"/>
    </row>
    <row r="7730" spans="5:5">
      <c r="E7730"/>
    </row>
    <row r="7731" spans="5:5">
      <c r="E7731"/>
    </row>
    <row r="7732" spans="5:5">
      <c r="E7732"/>
    </row>
    <row r="7733" spans="5:5">
      <c r="E7733"/>
    </row>
    <row r="7734" spans="5:5">
      <c r="E7734"/>
    </row>
    <row r="7735" spans="5:5">
      <c r="E7735"/>
    </row>
    <row r="7736" spans="5:5">
      <c r="E7736"/>
    </row>
    <row r="7737" spans="5:5">
      <c r="E7737"/>
    </row>
    <row r="7738" spans="5:5">
      <c r="E7738"/>
    </row>
    <row r="7739" spans="5:5">
      <c r="E7739"/>
    </row>
    <row r="7740" spans="5:5">
      <c r="E7740"/>
    </row>
    <row r="7741" spans="5:5">
      <c r="E7741"/>
    </row>
    <row r="7742" spans="5:5">
      <c r="E7742"/>
    </row>
    <row r="7743" spans="5:5">
      <c r="E7743"/>
    </row>
    <row r="7744" spans="5:5">
      <c r="E7744"/>
    </row>
    <row r="7745" spans="5:5">
      <c r="E7745"/>
    </row>
    <row r="7746" spans="5:5">
      <c r="E7746"/>
    </row>
    <row r="7747" spans="5:5">
      <c r="E7747"/>
    </row>
    <row r="7748" spans="5:5">
      <c r="E7748"/>
    </row>
    <row r="7749" spans="5:5">
      <c r="E7749"/>
    </row>
    <row r="7750" spans="5:5">
      <c r="E7750"/>
    </row>
    <row r="7751" spans="5:5">
      <c r="E7751"/>
    </row>
    <row r="7752" spans="5:5">
      <c r="E7752"/>
    </row>
    <row r="7753" spans="5:5">
      <c r="E7753"/>
    </row>
    <row r="7754" spans="5:5">
      <c r="E7754"/>
    </row>
    <row r="7755" spans="5:5">
      <c r="E7755"/>
    </row>
    <row r="7756" spans="5:5">
      <c r="E7756"/>
    </row>
    <row r="7757" spans="5:5">
      <c r="E7757"/>
    </row>
    <row r="7758" spans="5:5">
      <c r="E7758"/>
    </row>
    <row r="7759" spans="5:5">
      <c r="E7759"/>
    </row>
    <row r="7760" spans="5:5">
      <c r="E7760"/>
    </row>
    <row r="7761" spans="5:5">
      <c r="E7761"/>
    </row>
    <row r="7762" spans="5:5">
      <c r="E7762"/>
    </row>
    <row r="7763" spans="5:5">
      <c r="E7763"/>
    </row>
    <row r="7764" spans="5:5">
      <c r="E7764"/>
    </row>
    <row r="7765" spans="5:5">
      <c r="E7765"/>
    </row>
    <row r="7766" spans="5:5">
      <c r="E7766"/>
    </row>
    <row r="7767" spans="5:5">
      <c r="E7767"/>
    </row>
    <row r="7768" spans="5:5">
      <c r="E7768"/>
    </row>
    <row r="7769" spans="5:5">
      <c r="E7769"/>
    </row>
    <row r="7770" spans="5:5">
      <c r="E7770"/>
    </row>
    <row r="7771" spans="5:5">
      <c r="E7771"/>
    </row>
    <row r="7772" spans="5:5">
      <c r="E7772"/>
    </row>
    <row r="7773" spans="5:5">
      <c r="E7773"/>
    </row>
    <row r="7774" spans="5:5">
      <c r="E7774"/>
    </row>
    <row r="7775" spans="5:5">
      <c r="E7775"/>
    </row>
    <row r="7776" spans="5:5">
      <c r="E7776"/>
    </row>
    <row r="7777" spans="5:5">
      <c r="E7777"/>
    </row>
    <row r="7778" spans="5:5">
      <c r="E7778"/>
    </row>
    <row r="7779" spans="5:5">
      <c r="E7779"/>
    </row>
    <row r="7780" spans="5:5">
      <c r="E7780"/>
    </row>
    <row r="7781" spans="5:5">
      <c r="E7781"/>
    </row>
    <row r="7782" spans="5:5">
      <c r="E7782"/>
    </row>
    <row r="7783" spans="5:5">
      <c r="E7783"/>
    </row>
    <row r="7784" spans="5:5">
      <c r="E7784"/>
    </row>
    <row r="7785" spans="5:5">
      <c r="E7785"/>
    </row>
    <row r="7786" spans="5:5">
      <c r="E7786"/>
    </row>
    <row r="7787" spans="5:5">
      <c r="E7787"/>
    </row>
    <row r="7788" spans="5:5">
      <c r="E7788"/>
    </row>
    <row r="7789" spans="5:5">
      <c r="E7789"/>
    </row>
    <row r="7790" spans="5:5">
      <c r="E7790"/>
    </row>
    <row r="7791" spans="5:5">
      <c r="E7791"/>
    </row>
    <row r="7792" spans="5:5">
      <c r="E7792"/>
    </row>
    <row r="7793" spans="5:5">
      <c r="E7793"/>
    </row>
    <row r="7794" spans="5:5">
      <c r="E7794"/>
    </row>
    <row r="7795" spans="5:5">
      <c r="E7795"/>
    </row>
    <row r="7796" spans="5:5">
      <c r="E7796"/>
    </row>
    <row r="7797" spans="5:5">
      <c r="E7797"/>
    </row>
    <row r="7798" spans="5:5">
      <c r="E7798"/>
    </row>
    <row r="7799" spans="5:5">
      <c r="E7799"/>
    </row>
    <row r="7800" spans="5:5">
      <c r="E7800"/>
    </row>
    <row r="7801" spans="5:5">
      <c r="E7801"/>
    </row>
    <row r="7802" spans="5:5">
      <c r="E7802"/>
    </row>
    <row r="7803" spans="5:5">
      <c r="E7803"/>
    </row>
    <row r="7804" spans="5:5">
      <c r="E7804"/>
    </row>
    <row r="7805" spans="5:5">
      <c r="E7805"/>
    </row>
    <row r="7806" spans="5:5">
      <c r="E7806"/>
    </row>
    <row r="7807" spans="5:5">
      <c r="E7807"/>
    </row>
    <row r="7808" spans="5:5">
      <c r="E7808"/>
    </row>
    <row r="7809" spans="5:5">
      <c r="E7809"/>
    </row>
    <row r="7810" spans="5:5">
      <c r="E7810"/>
    </row>
    <row r="7811" spans="5:5">
      <c r="E7811"/>
    </row>
    <row r="7812" spans="5:5">
      <c r="E7812"/>
    </row>
    <row r="7813" spans="5:5">
      <c r="E7813"/>
    </row>
    <row r="7814" spans="5:5">
      <c r="E7814"/>
    </row>
    <row r="7815" spans="5:5">
      <c r="E7815"/>
    </row>
    <row r="7816" spans="5:5">
      <c r="E7816"/>
    </row>
    <row r="7817" spans="5:5">
      <c r="E7817"/>
    </row>
    <row r="7818" spans="5:5">
      <c r="E7818"/>
    </row>
    <row r="7819" spans="5:5">
      <c r="E7819"/>
    </row>
    <row r="7820" spans="5:5">
      <c r="E7820"/>
    </row>
    <row r="7821" spans="5:5">
      <c r="E7821"/>
    </row>
    <row r="7822" spans="5:5">
      <c r="E7822"/>
    </row>
    <row r="7823" spans="5:5">
      <c r="E7823"/>
    </row>
    <row r="7824" spans="5:5">
      <c r="E7824"/>
    </row>
    <row r="7825" spans="5:5">
      <c r="E7825"/>
    </row>
    <row r="7826" spans="5:5">
      <c r="E7826"/>
    </row>
    <row r="7827" spans="5:5">
      <c r="E7827"/>
    </row>
    <row r="7828" spans="5:5">
      <c r="E7828"/>
    </row>
    <row r="7829" spans="5:5">
      <c r="E7829"/>
    </row>
    <row r="7830" spans="5:5">
      <c r="E7830"/>
    </row>
    <row r="7831" spans="5:5">
      <c r="E7831"/>
    </row>
    <row r="7832" spans="5:5">
      <c r="E7832"/>
    </row>
    <row r="7833" spans="5:5">
      <c r="E7833"/>
    </row>
    <row r="7834" spans="5:5">
      <c r="E7834"/>
    </row>
    <row r="7835" spans="5:5">
      <c r="E7835"/>
    </row>
    <row r="7836" spans="5:5">
      <c r="E7836"/>
    </row>
    <row r="7837" spans="5:5">
      <c r="E7837"/>
    </row>
    <row r="7838" spans="5:5">
      <c r="E7838"/>
    </row>
    <row r="7839" spans="5:5">
      <c r="E7839"/>
    </row>
    <row r="7840" spans="5:5">
      <c r="E7840"/>
    </row>
    <row r="7841" spans="5:5">
      <c r="E7841"/>
    </row>
    <row r="7842" spans="5:5">
      <c r="E7842"/>
    </row>
    <row r="7843" spans="5:5">
      <c r="E7843"/>
    </row>
    <row r="7844" spans="5:5">
      <c r="E7844"/>
    </row>
    <row r="7845" spans="5:5">
      <c r="E7845"/>
    </row>
    <row r="7846" spans="5:5">
      <c r="E7846"/>
    </row>
    <row r="7847" spans="5:5">
      <c r="E7847"/>
    </row>
    <row r="7848" spans="5:5">
      <c r="E7848"/>
    </row>
    <row r="7849" spans="5:5">
      <c r="E7849"/>
    </row>
    <row r="7850" spans="5:5">
      <c r="E7850"/>
    </row>
    <row r="7851" spans="5:5">
      <c r="E7851"/>
    </row>
    <row r="7852" spans="5:5">
      <c r="E7852"/>
    </row>
    <row r="7853" spans="5:5">
      <c r="E7853"/>
    </row>
    <row r="7854" spans="5:5">
      <c r="E7854"/>
    </row>
    <row r="7855" spans="5:5">
      <c r="E7855"/>
    </row>
    <row r="7856" spans="5:5">
      <c r="E7856"/>
    </row>
    <row r="7857" spans="5:5">
      <c r="E7857"/>
    </row>
    <row r="7858" spans="5:5">
      <c r="E7858"/>
    </row>
    <row r="7859" spans="5:5">
      <c r="E7859"/>
    </row>
    <row r="7860" spans="5:5">
      <c r="E7860"/>
    </row>
    <row r="7861" spans="5:5">
      <c r="E7861"/>
    </row>
    <row r="7862" spans="5:5">
      <c r="E7862"/>
    </row>
    <row r="7863" spans="5:5">
      <c r="E7863"/>
    </row>
    <row r="7864" spans="5:5">
      <c r="E7864"/>
    </row>
    <row r="7865" spans="5:5">
      <c r="E7865"/>
    </row>
    <row r="7866" spans="5:5">
      <c r="E7866"/>
    </row>
    <row r="7867" spans="5:5">
      <c r="E7867"/>
    </row>
    <row r="7868" spans="5:5">
      <c r="E7868"/>
    </row>
    <row r="7869" spans="5:5">
      <c r="E7869"/>
    </row>
    <row r="7870" spans="5:5">
      <c r="E7870"/>
    </row>
    <row r="7871" spans="5:5">
      <c r="E7871"/>
    </row>
    <row r="7872" spans="5:5">
      <c r="E7872"/>
    </row>
    <row r="7873" spans="5:5">
      <c r="E7873"/>
    </row>
    <row r="7874" spans="5:5">
      <c r="E7874"/>
    </row>
    <row r="7875" spans="5:5">
      <c r="E7875"/>
    </row>
    <row r="7876" spans="5:5">
      <c r="E7876"/>
    </row>
    <row r="7877" spans="5:5">
      <c r="E7877"/>
    </row>
    <row r="7878" spans="5:5">
      <c r="E7878"/>
    </row>
    <row r="7879" spans="5:5">
      <c r="E7879"/>
    </row>
    <row r="7880" spans="5:5">
      <c r="E7880"/>
    </row>
    <row r="7881" spans="5:5">
      <c r="E7881"/>
    </row>
    <row r="7882" spans="5:5">
      <c r="E7882"/>
    </row>
    <row r="7883" spans="5:5">
      <c r="E7883"/>
    </row>
    <row r="7884" spans="5:5">
      <c r="E7884"/>
    </row>
    <row r="7885" spans="5:5">
      <c r="E7885"/>
    </row>
    <row r="7886" spans="5:5">
      <c r="E7886"/>
    </row>
    <row r="7887" spans="5:5">
      <c r="E7887"/>
    </row>
    <row r="7888" spans="5:5">
      <c r="E7888"/>
    </row>
    <row r="7889" spans="5:5">
      <c r="E7889"/>
    </row>
    <row r="7890" spans="5:5">
      <c r="E7890"/>
    </row>
    <row r="7891" spans="5:5">
      <c r="E7891"/>
    </row>
    <row r="7892" spans="5:5">
      <c r="E7892"/>
    </row>
    <row r="7893" spans="5:5">
      <c r="E7893"/>
    </row>
    <row r="7894" spans="5:5">
      <c r="E7894"/>
    </row>
    <row r="7895" spans="5:5">
      <c r="E7895"/>
    </row>
    <row r="7896" spans="5:5">
      <c r="E7896"/>
    </row>
    <row r="7897" spans="5:5">
      <c r="E7897"/>
    </row>
    <row r="7898" spans="5:5">
      <c r="E7898"/>
    </row>
    <row r="7899" spans="5:5">
      <c r="E7899"/>
    </row>
    <row r="7900" spans="5:5">
      <c r="E7900"/>
    </row>
    <row r="7901" spans="5:5">
      <c r="E7901"/>
    </row>
    <row r="7902" spans="5:5">
      <c r="E7902"/>
    </row>
    <row r="7903" spans="5:5">
      <c r="E7903"/>
    </row>
    <row r="7904" spans="5:5">
      <c r="E7904"/>
    </row>
    <row r="7905" spans="5:5">
      <c r="E7905"/>
    </row>
    <row r="7906" spans="5:5">
      <c r="E7906"/>
    </row>
    <row r="7907" spans="5:5">
      <c r="E7907"/>
    </row>
    <row r="7908" spans="5:5">
      <c r="E7908"/>
    </row>
    <row r="7909" spans="5:5">
      <c r="E7909"/>
    </row>
    <row r="7910" spans="5:5">
      <c r="E7910"/>
    </row>
    <row r="7911" spans="5:5">
      <c r="E7911"/>
    </row>
    <row r="7912" spans="5:5">
      <c r="E7912"/>
    </row>
    <row r="7913" spans="5:5">
      <c r="E7913"/>
    </row>
    <row r="7914" spans="5:5">
      <c r="E7914"/>
    </row>
    <row r="7915" spans="5:5">
      <c r="E7915"/>
    </row>
    <row r="7916" spans="5:5">
      <c r="E7916"/>
    </row>
    <row r="7917" spans="5:5">
      <c r="E7917"/>
    </row>
    <row r="7918" spans="5:5">
      <c r="E7918"/>
    </row>
    <row r="7919" spans="5:5">
      <c r="E7919"/>
    </row>
    <row r="7920" spans="5:5">
      <c r="E7920"/>
    </row>
    <row r="7921" spans="5:5">
      <c r="E7921"/>
    </row>
    <row r="7922" spans="5:5">
      <c r="E7922"/>
    </row>
    <row r="7923" spans="5:5">
      <c r="E7923"/>
    </row>
    <row r="7924" spans="5:5">
      <c r="E7924"/>
    </row>
    <row r="7925" spans="5:5">
      <c r="E7925"/>
    </row>
    <row r="7926" spans="5:5">
      <c r="E7926"/>
    </row>
    <row r="7927" spans="5:5">
      <c r="E7927"/>
    </row>
    <row r="7928" spans="5:5">
      <c r="E7928"/>
    </row>
    <row r="7929" spans="5:5">
      <c r="E7929"/>
    </row>
    <row r="7930" spans="5:5">
      <c r="E7930"/>
    </row>
    <row r="7931" spans="5:5">
      <c r="E7931"/>
    </row>
    <row r="7932" spans="5:5">
      <c r="E7932"/>
    </row>
    <row r="7933" spans="5:5">
      <c r="E7933"/>
    </row>
    <row r="7934" spans="5:5">
      <c r="E7934"/>
    </row>
    <row r="7935" spans="5:5">
      <c r="E7935"/>
    </row>
    <row r="7936" spans="5:5">
      <c r="E7936"/>
    </row>
    <row r="7937" spans="5:5">
      <c r="E7937"/>
    </row>
    <row r="7938" spans="5:5">
      <c r="E7938"/>
    </row>
    <row r="7939" spans="5:5">
      <c r="E7939"/>
    </row>
    <row r="7940" spans="5:5">
      <c r="E7940"/>
    </row>
    <row r="7941" spans="5:5">
      <c r="E7941"/>
    </row>
    <row r="7942" spans="5:5">
      <c r="E7942"/>
    </row>
    <row r="7943" spans="5:5">
      <c r="E7943"/>
    </row>
    <row r="7944" spans="5:5">
      <c r="E7944"/>
    </row>
    <row r="7945" spans="5:5">
      <c r="E7945"/>
    </row>
    <row r="7946" spans="5:5">
      <c r="E7946"/>
    </row>
    <row r="7947" spans="5:5">
      <c r="E7947"/>
    </row>
    <row r="7948" spans="5:5">
      <c r="E7948"/>
    </row>
    <row r="7949" spans="5:5">
      <c r="E7949"/>
    </row>
    <row r="7950" spans="5:5">
      <c r="E7950"/>
    </row>
    <row r="7951" spans="5:5">
      <c r="E7951"/>
    </row>
    <row r="7952" spans="5:5">
      <c r="E7952"/>
    </row>
    <row r="7953" spans="5:5">
      <c r="E7953"/>
    </row>
    <row r="7954" spans="5:5">
      <c r="E7954"/>
    </row>
    <row r="7955" spans="5:5">
      <c r="E7955"/>
    </row>
    <row r="7956" spans="5:5">
      <c r="E7956"/>
    </row>
    <row r="7957" spans="5:5">
      <c r="E7957"/>
    </row>
    <row r="7958" spans="5:5">
      <c r="E7958"/>
    </row>
    <row r="7959" spans="5:5">
      <c r="E7959"/>
    </row>
    <row r="7960" spans="5:5">
      <c r="E7960"/>
    </row>
    <row r="7961" spans="5:5">
      <c r="E7961"/>
    </row>
    <row r="7962" spans="5:5">
      <c r="E7962"/>
    </row>
    <row r="7963" spans="5:5">
      <c r="E7963"/>
    </row>
    <row r="7964" spans="5:5">
      <c r="E7964"/>
    </row>
    <row r="7965" spans="5:5">
      <c r="E7965"/>
    </row>
    <row r="7966" spans="5:5">
      <c r="E7966"/>
    </row>
    <row r="7967" spans="5:5">
      <c r="E7967"/>
    </row>
    <row r="7968" spans="5:5">
      <c r="E7968"/>
    </row>
    <row r="7969" spans="5:5">
      <c r="E7969"/>
    </row>
    <row r="7970" spans="5:5">
      <c r="E7970"/>
    </row>
    <row r="7971" spans="5:5">
      <c r="E7971"/>
    </row>
    <row r="7972" spans="5:5">
      <c r="E7972"/>
    </row>
    <row r="7973" spans="5:5">
      <c r="E7973"/>
    </row>
    <row r="7974" spans="5:5">
      <c r="E7974"/>
    </row>
    <row r="7975" spans="5:5">
      <c r="E7975"/>
    </row>
    <row r="7976" spans="5:5">
      <c r="E7976"/>
    </row>
    <row r="7977" spans="5:5">
      <c r="E7977"/>
    </row>
    <row r="7978" spans="5:5">
      <c r="E7978"/>
    </row>
    <row r="7979" spans="5:5">
      <c r="E7979"/>
    </row>
    <row r="7980" spans="5:5">
      <c r="E7980"/>
    </row>
    <row r="7981" spans="5:5">
      <c r="E7981"/>
    </row>
    <row r="7982" spans="5:5">
      <c r="E7982"/>
    </row>
    <row r="7983" spans="5:5">
      <c r="E7983"/>
    </row>
    <row r="7984" spans="5:5">
      <c r="E7984"/>
    </row>
    <row r="7985" spans="5:5">
      <c r="E7985"/>
    </row>
    <row r="7986" spans="5:5">
      <c r="E7986"/>
    </row>
    <row r="7987" spans="5:5">
      <c r="E7987"/>
    </row>
    <row r="7988" spans="5:5">
      <c r="E7988"/>
    </row>
    <row r="7989" spans="5:5">
      <c r="E7989"/>
    </row>
    <row r="7990" spans="5:5">
      <c r="E7990"/>
    </row>
    <row r="7991" spans="5:5">
      <c r="E7991"/>
    </row>
    <row r="7992" spans="5:5">
      <c r="E7992"/>
    </row>
    <row r="7993" spans="5:5">
      <c r="E7993"/>
    </row>
    <row r="7994" spans="5:5">
      <c r="E7994"/>
    </row>
    <row r="7995" spans="5:5">
      <c r="E7995"/>
    </row>
    <row r="7996" spans="5:5">
      <c r="E7996"/>
    </row>
    <row r="7997" spans="5:5">
      <c r="E7997"/>
    </row>
    <row r="7998" spans="5:5">
      <c r="E7998"/>
    </row>
    <row r="7999" spans="5:5">
      <c r="E7999"/>
    </row>
    <row r="8000" spans="5:5">
      <c r="E8000"/>
    </row>
    <row r="8001" spans="5:5">
      <c r="E8001"/>
    </row>
    <row r="8002" spans="5:5">
      <c r="E8002"/>
    </row>
    <row r="8003" spans="5:5">
      <c r="E8003"/>
    </row>
    <row r="8004" spans="5:5">
      <c r="E8004"/>
    </row>
    <row r="8005" spans="5:5">
      <c r="E8005"/>
    </row>
    <row r="8006" spans="5:5">
      <c r="E8006"/>
    </row>
    <row r="8007" spans="5:5">
      <c r="E8007"/>
    </row>
    <row r="8008" spans="5:5">
      <c r="E8008"/>
    </row>
    <row r="8009" spans="5:5">
      <c r="E8009"/>
    </row>
    <row r="8010" spans="5:5">
      <c r="E8010"/>
    </row>
    <row r="8011" spans="5:5">
      <c r="E8011"/>
    </row>
    <row r="8012" spans="5:5">
      <c r="E8012"/>
    </row>
    <row r="8013" spans="5:5">
      <c r="E8013"/>
    </row>
    <row r="8014" spans="5:5">
      <c r="E8014"/>
    </row>
    <row r="8015" spans="5:5">
      <c r="E8015"/>
    </row>
    <row r="8016" spans="5:5">
      <c r="E8016"/>
    </row>
    <row r="8017" spans="5:5">
      <c r="E8017"/>
    </row>
    <row r="8018" spans="5:5">
      <c r="E8018"/>
    </row>
    <row r="8019" spans="5:5">
      <c r="E8019"/>
    </row>
    <row r="8020" spans="5:5">
      <c r="E8020"/>
    </row>
    <row r="8021" spans="5:5">
      <c r="E8021"/>
    </row>
    <row r="8022" spans="5:5">
      <c r="E8022"/>
    </row>
    <row r="8023" spans="5:5">
      <c r="E8023"/>
    </row>
    <row r="8024" spans="5:5">
      <c r="E8024"/>
    </row>
    <row r="8025" spans="5:5">
      <c r="E8025"/>
    </row>
    <row r="8026" spans="5:5">
      <c r="E8026"/>
    </row>
    <row r="8027" spans="5:5">
      <c r="E8027"/>
    </row>
    <row r="8028" spans="5:5">
      <c r="E8028"/>
    </row>
    <row r="8029" spans="5:5">
      <c r="E8029"/>
    </row>
    <row r="8030" spans="5:5">
      <c r="E8030"/>
    </row>
    <row r="8031" spans="5:5">
      <c r="E8031"/>
    </row>
    <row r="8032" spans="5:5">
      <c r="E8032"/>
    </row>
    <row r="8033" spans="5:5">
      <c r="E8033"/>
    </row>
    <row r="8034" spans="5:5">
      <c r="E8034"/>
    </row>
    <row r="8035" spans="5:5">
      <c r="E8035"/>
    </row>
    <row r="8036" spans="5:5">
      <c r="E8036"/>
    </row>
    <row r="8037" spans="5:5">
      <c r="E8037"/>
    </row>
    <row r="8038" spans="5:5">
      <c r="E8038"/>
    </row>
    <row r="8039" spans="5:5">
      <c r="E8039"/>
    </row>
    <row r="8040" spans="5:5">
      <c r="E8040"/>
    </row>
    <row r="8041" spans="5:5">
      <c r="E8041"/>
    </row>
    <row r="8042" spans="5:5">
      <c r="E8042"/>
    </row>
    <row r="8043" spans="5:5">
      <c r="E8043"/>
    </row>
    <row r="8044" spans="5:5">
      <c r="E8044"/>
    </row>
    <row r="8045" spans="5:5">
      <c r="E8045"/>
    </row>
    <row r="8046" spans="5:5">
      <c r="E8046"/>
    </row>
    <row r="8047" spans="5:5">
      <c r="E8047"/>
    </row>
    <row r="8048" spans="5:5">
      <c r="E8048"/>
    </row>
    <row r="8049" spans="5:5">
      <c r="E8049"/>
    </row>
    <row r="8050" spans="5:5">
      <c r="E8050"/>
    </row>
    <row r="8051" spans="5:5">
      <c r="E8051"/>
    </row>
    <row r="8052" spans="5:5">
      <c r="E8052"/>
    </row>
    <row r="8053" spans="5:5">
      <c r="E8053"/>
    </row>
    <row r="8054" spans="5:5">
      <c r="E8054"/>
    </row>
    <row r="8055" spans="5:5">
      <c r="E8055"/>
    </row>
    <row r="8056" spans="5:5">
      <c r="E8056"/>
    </row>
    <row r="8057" spans="5:5">
      <c r="E8057"/>
    </row>
    <row r="8058" spans="5:5">
      <c r="E8058"/>
    </row>
    <row r="8059" spans="5:5">
      <c r="E8059"/>
    </row>
    <row r="8060" spans="5:5">
      <c r="E8060"/>
    </row>
    <row r="8061" spans="5:5">
      <c r="E8061"/>
    </row>
    <row r="8062" spans="5:5">
      <c r="E8062"/>
    </row>
    <row r="8063" spans="5:5">
      <c r="E8063"/>
    </row>
    <row r="8064" spans="5:5">
      <c r="E8064"/>
    </row>
    <row r="8065" spans="5:5">
      <c r="E8065"/>
    </row>
    <row r="8066" spans="5:5">
      <c r="E8066"/>
    </row>
    <row r="8067" spans="5:5">
      <c r="E8067"/>
    </row>
    <row r="8068" spans="5:5">
      <c r="E8068"/>
    </row>
    <row r="8069" spans="5:5">
      <c r="E8069"/>
    </row>
    <row r="8070" spans="5:5">
      <c r="E8070"/>
    </row>
    <row r="8071" spans="5:5">
      <c r="E8071"/>
    </row>
    <row r="8072" spans="5:5">
      <c r="E8072"/>
    </row>
    <row r="8073" spans="5:5">
      <c r="E8073"/>
    </row>
    <row r="8074" spans="5:5">
      <c r="E8074"/>
    </row>
    <row r="8075" spans="5:5">
      <c r="E8075"/>
    </row>
    <row r="8076" spans="5:5">
      <c r="E8076"/>
    </row>
    <row r="8077" spans="5:5">
      <c r="E8077"/>
    </row>
    <row r="8078" spans="5:5">
      <c r="E8078"/>
    </row>
    <row r="8079" spans="5:5">
      <c r="E8079"/>
    </row>
    <row r="8080" spans="5:5">
      <c r="E8080"/>
    </row>
    <row r="8081" spans="5:5">
      <c r="E8081"/>
    </row>
    <row r="8082" spans="5:5">
      <c r="E8082"/>
    </row>
    <row r="8083" spans="5:5">
      <c r="E8083"/>
    </row>
    <row r="8084" spans="5:5">
      <c r="E8084"/>
    </row>
    <row r="8085" spans="5:5">
      <c r="E8085"/>
    </row>
    <row r="8086" spans="5:5">
      <c r="E8086"/>
    </row>
    <row r="8087" spans="5:5">
      <c r="E8087"/>
    </row>
    <row r="8088" spans="5:5">
      <c r="E8088"/>
    </row>
    <row r="8089" spans="5:5">
      <c r="E8089"/>
    </row>
    <row r="8090" spans="5:5">
      <c r="E8090"/>
    </row>
    <row r="8091" spans="5:5">
      <c r="E8091"/>
    </row>
    <row r="8092" spans="5:5">
      <c r="E8092"/>
    </row>
    <row r="8093" spans="5:5">
      <c r="E8093"/>
    </row>
    <row r="8094" spans="5:5">
      <c r="E8094"/>
    </row>
    <row r="8095" spans="5:5">
      <c r="E8095"/>
    </row>
    <row r="8096" spans="5:5">
      <c r="E8096"/>
    </row>
    <row r="8097" spans="5:5">
      <c r="E8097"/>
    </row>
    <row r="8098" spans="5:5">
      <c r="E8098"/>
    </row>
    <row r="8099" spans="5:5">
      <c r="E8099"/>
    </row>
    <row r="8100" spans="5:5">
      <c r="E8100"/>
    </row>
    <row r="8101" spans="5:5">
      <c r="E8101"/>
    </row>
    <row r="8102" spans="5:5">
      <c r="E8102"/>
    </row>
    <row r="8103" spans="5:5">
      <c r="E8103"/>
    </row>
    <row r="8104" spans="5:5">
      <c r="E8104"/>
    </row>
    <row r="8105" spans="5:5">
      <c r="E8105"/>
    </row>
    <row r="8106" spans="5:5">
      <c r="E8106"/>
    </row>
    <row r="8107" spans="5:5">
      <c r="E8107"/>
    </row>
    <row r="8108" spans="5:5">
      <c r="E8108"/>
    </row>
    <row r="8109" spans="5:5">
      <c r="E8109"/>
    </row>
    <row r="8110" spans="5:5">
      <c r="E8110"/>
    </row>
    <row r="8111" spans="5:5">
      <c r="E8111"/>
    </row>
    <row r="8112" spans="5:5">
      <c r="E8112"/>
    </row>
    <row r="8113" spans="5:5">
      <c r="E8113"/>
    </row>
    <row r="8114" spans="5:5">
      <c r="E8114"/>
    </row>
    <row r="8115" spans="5:5">
      <c r="E8115"/>
    </row>
    <row r="8116" spans="5:5">
      <c r="E8116"/>
    </row>
    <row r="8117" spans="5:5">
      <c r="E8117"/>
    </row>
    <row r="8118" spans="5:5">
      <c r="E8118"/>
    </row>
    <row r="8119" spans="5:5">
      <c r="E8119"/>
    </row>
    <row r="8120" spans="5:5">
      <c r="E8120"/>
    </row>
    <row r="8121" spans="5:5">
      <c r="E8121"/>
    </row>
    <row r="8122" spans="5:5">
      <c r="E8122"/>
    </row>
    <row r="8123" spans="5:5">
      <c r="E8123"/>
    </row>
    <row r="8124" spans="5:5">
      <c r="E8124"/>
    </row>
    <row r="8125" spans="5:5">
      <c r="E8125"/>
    </row>
    <row r="8126" spans="5:5">
      <c r="E8126"/>
    </row>
    <row r="8127" spans="5:5">
      <c r="E8127"/>
    </row>
    <row r="8128" spans="5:5">
      <c r="E8128"/>
    </row>
    <row r="8129" spans="5:5">
      <c r="E8129"/>
    </row>
    <row r="8130" spans="5:5">
      <c r="E8130"/>
    </row>
    <row r="8131" spans="5:5">
      <c r="E8131"/>
    </row>
    <row r="8132" spans="5:5">
      <c r="E8132"/>
    </row>
    <row r="8133" spans="5:5">
      <c r="E8133"/>
    </row>
    <row r="8134" spans="5:5">
      <c r="E8134"/>
    </row>
    <row r="8135" spans="5:5">
      <c r="E8135"/>
    </row>
    <row r="8136" spans="5:5">
      <c r="E8136"/>
    </row>
    <row r="8137" spans="5:5">
      <c r="E8137"/>
    </row>
    <row r="8138" spans="5:5">
      <c r="E8138"/>
    </row>
    <row r="8139" spans="5:5">
      <c r="E8139"/>
    </row>
    <row r="8140" spans="5:5">
      <c r="E8140"/>
    </row>
    <row r="8141" spans="5:5">
      <c r="E8141"/>
    </row>
    <row r="8142" spans="5:5">
      <c r="E8142"/>
    </row>
    <row r="8143" spans="5:5">
      <c r="E8143"/>
    </row>
    <row r="8144" spans="5:5">
      <c r="E8144"/>
    </row>
    <row r="8145" spans="5:5">
      <c r="E8145"/>
    </row>
    <row r="8146" spans="5:5">
      <c r="E8146"/>
    </row>
    <row r="8147" spans="5:5">
      <c r="E8147"/>
    </row>
    <row r="8148" spans="5:5">
      <c r="E8148"/>
    </row>
    <row r="8149" spans="5:5">
      <c r="E8149"/>
    </row>
    <row r="8150" spans="5:5">
      <c r="E8150"/>
    </row>
    <row r="8151" spans="5:5">
      <c r="E8151"/>
    </row>
    <row r="8152" spans="5:5">
      <c r="E8152"/>
    </row>
    <row r="8153" spans="5:5">
      <c r="E8153"/>
    </row>
    <row r="8154" spans="5:5">
      <c r="E8154"/>
    </row>
    <row r="8155" spans="5:5">
      <c r="E8155"/>
    </row>
    <row r="8156" spans="5:5">
      <c r="E8156"/>
    </row>
    <row r="8157" spans="5:5">
      <c r="E8157"/>
    </row>
    <row r="8158" spans="5:5">
      <c r="E8158"/>
    </row>
    <row r="8159" spans="5:5">
      <c r="E8159"/>
    </row>
    <row r="8160" spans="5:5">
      <c r="E8160"/>
    </row>
    <row r="8161" spans="5:5">
      <c r="E8161"/>
    </row>
    <row r="8162" spans="5:5">
      <c r="E8162"/>
    </row>
    <row r="8163" spans="5:5">
      <c r="E8163"/>
    </row>
    <row r="8164" spans="5:5">
      <c r="E8164"/>
    </row>
    <row r="8165" spans="5:5">
      <c r="E8165"/>
    </row>
    <row r="8166" spans="5:5">
      <c r="E8166"/>
    </row>
    <row r="8167" spans="5:5">
      <c r="E8167"/>
    </row>
    <row r="8168" spans="5:5">
      <c r="E8168"/>
    </row>
    <row r="8169" spans="5:5">
      <c r="E8169"/>
    </row>
    <row r="8170" spans="5:5">
      <c r="E8170"/>
    </row>
    <row r="8171" spans="5:5">
      <c r="E8171"/>
    </row>
    <row r="8172" spans="5:5">
      <c r="E8172"/>
    </row>
    <row r="8173" spans="5:5">
      <c r="E8173"/>
    </row>
    <row r="8174" spans="5:5">
      <c r="E8174"/>
    </row>
    <row r="8175" spans="5:5">
      <c r="E8175"/>
    </row>
    <row r="8176" spans="5:5">
      <c r="E8176"/>
    </row>
    <row r="8177" spans="5:5">
      <c r="E8177"/>
    </row>
    <row r="8178" spans="5:5">
      <c r="E8178"/>
    </row>
    <row r="8179" spans="5:5">
      <c r="E8179"/>
    </row>
    <row r="8180" spans="5:5">
      <c r="E8180"/>
    </row>
    <row r="8181" spans="5:5">
      <c r="E8181"/>
    </row>
    <row r="8182" spans="5:5">
      <c r="E8182"/>
    </row>
    <row r="8183" spans="5:5">
      <c r="E8183"/>
    </row>
    <row r="8184" spans="5:5">
      <c r="E8184"/>
    </row>
    <row r="8185" spans="5:5">
      <c r="E8185"/>
    </row>
    <row r="8186" spans="5:5">
      <c r="E8186"/>
    </row>
    <row r="8187" spans="5:5">
      <c r="E8187"/>
    </row>
    <row r="8188" spans="5:5">
      <c r="E8188"/>
    </row>
    <row r="8189" spans="5:5">
      <c r="E8189"/>
    </row>
    <row r="8190" spans="5:5">
      <c r="E8190"/>
    </row>
    <row r="8191" spans="5:5">
      <c r="E8191"/>
    </row>
    <row r="8192" spans="5:5">
      <c r="E8192"/>
    </row>
    <row r="8193" spans="5:5">
      <c r="E8193"/>
    </row>
    <row r="8194" spans="5:5">
      <c r="E8194"/>
    </row>
    <row r="8195" spans="5:5">
      <c r="E8195"/>
    </row>
    <row r="8196" spans="5:5">
      <c r="E8196"/>
    </row>
    <row r="8197" spans="5:5">
      <c r="E8197"/>
    </row>
    <row r="8198" spans="5:5">
      <c r="E8198"/>
    </row>
    <row r="8199" spans="5:5">
      <c r="E8199"/>
    </row>
    <row r="8200" spans="5:5">
      <c r="E8200"/>
    </row>
    <row r="8201" spans="5:5">
      <c r="E8201"/>
    </row>
    <row r="8202" spans="5:5">
      <c r="E8202"/>
    </row>
    <row r="8203" spans="5:5">
      <c r="E8203"/>
    </row>
    <row r="8204" spans="5:5">
      <c r="E8204"/>
    </row>
    <row r="8205" spans="5:5">
      <c r="E8205"/>
    </row>
    <row r="8206" spans="5:5">
      <c r="E8206"/>
    </row>
    <row r="8207" spans="5:5">
      <c r="E8207"/>
    </row>
    <row r="8208" spans="5:5">
      <c r="E8208"/>
    </row>
    <row r="8209" spans="5:5">
      <c r="E8209"/>
    </row>
    <row r="8210" spans="5:5">
      <c r="E8210"/>
    </row>
    <row r="8211" spans="5:5">
      <c r="E8211"/>
    </row>
    <row r="8212" spans="5:5">
      <c r="E8212"/>
    </row>
    <row r="8213" spans="5:5">
      <c r="E8213"/>
    </row>
    <row r="8214" spans="5:5">
      <c r="E8214"/>
    </row>
    <row r="8215" spans="5:5">
      <c r="E8215"/>
    </row>
    <row r="8216" spans="5:5">
      <c r="E8216"/>
    </row>
    <row r="8217" spans="5:5">
      <c r="E8217"/>
    </row>
    <row r="8218" spans="5:5">
      <c r="E8218"/>
    </row>
    <row r="8219" spans="5:5">
      <c r="E8219"/>
    </row>
    <row r="8220" spans="5:5">
      <c r="E8220"/>
    </row>
    <row r="8221" spans="5:5">
      <c r="E8221"/>
    </row>
    <row r="8222" spans="5:5">
      <c r="E8222"/>
    </row>
    <row r="8223" spans="5:5">
      <c r="E8223"/>
    </row>
    <row r="8224" spans="5:5">
      <c r="E8224"/>
    </row>
    <row r="8225" spans="5:5">
      <c r="E8225"/>
    </row>
    <row r="8226" spans="5:5">
      <c r="E8226"/>
    </row>
    <row r="8227" spans="5:5">
      <c r="E8227"/>
    </row>
    <row r="8228" spans="5:5">
      <c r="E8228"/>
    </row>
    <row r="8229" spans="5:5">
      <c r="E8229"/>
    </row>
    <row r="8230" spans="5:5">
      <c r="E8230"/>
    </row>
    <row r="8231" spans="5:5">
      <c r="E8231"/>
    </row>
    <row r="8232" spans="5:5">
      <c r="E8232"/>
    </row>
    <row r="8233" spans="5:5">
      <c r="E8233"/>
    </row>
    <row r="8234" spans="5:5">
      <c r="E8234"/>
    </row>
    <row r="8235" spans="5:5">
      <c r="E8235"/>
    </row>
    <row r="8236" spans="5:5">
      <c r="E8236"/>
    </row>
    <row r="8237" spans="5:5">
      <c r="E8237"/>
    </row>
    <row r="8238" spans="5:5">
      <c r="E8238"/>
    </row>
    <row r="8239" spans="5:5">
      <c r="E8239"/>
    </row>
    <row r="8240" spans="5:5">
      <c r="E8240"/>
    </row>
    <row r="8241" spans="5:5">
      <c r="E8241"/>
    </row>
    <row r="8242" spans="5:5">
      <c r="E8242"/>
    </row>
    <row r="8243" spans="5:5">
      <c r="E8243"/>
    </row>
    <row r="8244" spans="5:5">
      <c r="E8244"/>
    </row>
    <row r="8245" spans="5:5">
      <c r="E8245"/>
    </row>
    <row r="8246" spans="5:5">
      <c r="E8246"/>
    </row>
    <row r="8247" spans="5:5">
      <c r="E8247"/>
    </row>
    <row r="8248" spans="5:5">
      <c r="E8248"/>
    </row>
    <row r="8249" spans="5:5">
      <c r="E8249"/>
    </row>
    <row r="8250" spans="5:5">
      <c r="E8250"/>
    </row>
    <row r="8251" spans="5:5">
      <c r="E8251"/>
    </row>
    <row r="8252" spans="5:5">
      <c r="E8252"/>
    </row>
    <row r="8253" spans="5:5">
      <c r="E8253"/>
    </row>
    <row r="8254" spans="5:5">
      <c r="E8254"/>
    </row>
    <row r="8255" spans="5:5">
      <c r="E8255"/>
    </row>
    <row r="8256" spans="5:5">
      <c r="E8256"/>
    </row>
    <row r="8257" spans="5:5">
      <c r="E8257"/>
    </row>
    <row r="8258" spans="5:5">
      <c r="E8258"/>
    </row>
    <row r="8259" spans="5:5">
      <c r="E8259"/>
    </row>
    <row r="8260" spans="5:5">
      <c r="E8260"/>
    </row>
    <row r="8261" spans="5:5">
      <c r="E8261"/>
    </row>
    <row r="8262" spans="5:5">
      <c r="E8262"/>
    </row>
    <row r="8263" spans="5:5">
      <c r="E8263"/>
    </row>
    <row r="8264" spans="5:5">
      <c r="E8264"/>
    </row>
    <row r="8265" spans="5:5">
      <c r="E8265"/>
    </row>
    <row r="8266" spans="5:5">
      <c r="E8266"/>
    </row>
    <row r="8267" spans="5:5">
      <c r="E8267"/>
    </row>
    <row r="8268" spans="5:5">
      <c r="E8268"/>
    </row>
    <row r="8269" spans="5:5">
      <c r="E8269"/>
    </row>
    <row r="8270" spans="5:5">
      <c r="E8270"/>
    </row>
    <row r="8271" spans="5:5">
      <c r="E8271"/>
    </row>
    <row r="8272" spans="5:5">
      <c r="E8272"/>
    </row>
    <row r="8273" spans="5:5">
      <c r="E8273"/>
    </row>
    <row r="8274" spans="5:5">
      <c r="E8274"/>
    </row>
    <row r="8275" spans="5:5">
      <c r="E8275"/>
    </row>
    <row r="8276" spans="5:5">
      <c r="E8276"/>
    </row>
    <row r="8277" spans="5:5">
      <c r="E8277"/>
    </row>
    <row r="8278" spans="5:5">
      <c r="E8278"/>
    </row>
    <row r="8279" spans="5:5">
      <c r="E8279"/>
    </row>
    <row r="8280" spans="5:5">
      <c r="E8280"/>
    </row>
    <row r="8281" spans="5:5">
      <c r="E8281"/>
    </row>
    <row r="8282" spans="5:5">
      <c r="E8282"/>
    </row>
    <row r="8283" spans="5:5">
      <c r="E8283"/>
    </row>
    <row r="8284" spans="5:5">
      <c r="E8284"/>
    </row>
    <row r="8285" spans="5:5">
      <c r="E8285"/>
    </row>
    <row r="8286" spans="5:5">
      <c r="E8286"/>
    </row>
    <row r="8287" spans="5:5">
      <c r="E8287"/>
    </row>
    <row r="8288" spans="5:5">
      <c r="E8288"/>
    </row>
    <row r="8289" spans="5:5">
      <c r="E8289"/>
    </row>
    <row r="8290" spans="5:5">
      <c r="E8290"/>
    </row>
    <row r="8291" spans="5:5">
      <c r="E8291"/>
    </row>
    <row r="8292" spans="5:5">
      <c r="E8292"/>
    </row>
    <row r="8293" spans="5:5">
      <c r="E8293"/>
    </row>
    <row r="8294" spans="5:5">
      <c r="E8294"/>
    </row>
    <row r="8295" spans="5:5">
      <c r="E8295"/>
    </row>
    <row r="8296" spans="5:5">
      <c r="E8296"/>
    </row>
    <row r="8297" spans="5:5">
      <c r="E8297"/>
    </row>
    <row r="8298" spans="5:5">
      <c r="E8298"/>
    </row>
    <row r="8299" spans="5:5">
      <c r="E8299"/>
    </row>
    <row r="8300" spans="5:5">
      <c r="E8300"/>
    </row>
    <row r="8301" spans="5:5">
      <c r="E8301"/>
    </row>
    <row r="8302" spans="5:5">
      <c r="E8302"/>
    </row>
    <row r="8303" spans="5:5">
      <c r="E8303"/>
    </row>
    <row r="8304" spans="5:5">
      <c r="E8304"/>
    </row>
    <row r="8305" spans="5:5">
      <c r="E8305"/>
    </row>
    <row r="8306" spans="5:5">
      <c r="E8306"/>
    </row>
    <row r="8307" spans="5:5">
      <c r="E8307"/>
    </row>
    <row r="8308" spans="5:5">
      <c r="E8308"/>
    </row>
    <row r="8309" spans="5:5">
      <c r="E8309"/>
    </row>
    <row r="8310" spans="5:5">
      <c r="E8310"/>
    </row>
    <row r="8311" spans="5:5">
      <c r="E8311"/>
    </row>
    <row r="8312" spans="5:5">
      <c r="E8312"/>
    </row>
    <row r="8313" spans="5:5">
      <c r="E8313"/>
    </row>
    <row r="8314" spans="5:5">
      <c r="E8314"/>
    </row>
    <row r="8315" spans="5:5">
      <c r="E8315"/>
    </row>
    <row r="8316" spans="5:5">
      <c r="E8316"/>
    </row>
    <row r="8317" spans="5:5">
      <c r="E8317"/>
    </row>
    <row r="8318" spans="5:5">
      <c r="E8318"/>
    </row>
    <row r="8319" spans="5:5">
      <c r="E8319"/>
    </row>
    <row r="8320" spans="5:5">
      <c r="E8320"/>
    </row>
    <row r="8321" spans="5:5">
      <c r="E8321"/>
    </row>
    <row r="8322" spans="5:5">
      <c r="E8322"/>
    </row>
    <row r="8323" spans="5:5">
      <c r="E8323"/>
    </row>
    <row r="8324" spans="5:5">
      <c r="E8324"/>
    </row>
    <row r="8325" spans="5:5">
      <c r="E8325"/>
    </row>
    <row r="8326" spans="5:5">
      <c r="E8326"/>
    </row>
    <row r="8327" spans="5:5">
      <c r="E8327"/>
    </row>
    <row r="8328" spans="5:5">
      <c r="E8328"/>
    </row>
    <row r="8329" spans="5:5">
      <c r="E8329"/>
    </row>
    <row r="8330" spans="5:5">
      <c r="E8330"/>
    </row>
    <row r="8331" spans="5:5">
      <c r="E8331"/>
    </row>
    <row r="8332" spans="5:5">
      <c r="E8332"/>
    </row>
    <row r="8333" spans="5:5">
      <c r="E8333"/>
    </row>
    <row r="8334" spans="5:5">
      <c r="E8334"/>
    </row>
    <row r="8335" spans="5:5">
      <c r="E8335"/>
    </row>
    <row r="8336" spans="5:5">
      <c r="E8336"/>
    </row>
    <row r="8337" spans="5:5">
      <c r="E8337"/>
    </row>
    <row r="8338" spans="5:5">
      <c r="E8338"/>
    </row>
    <row r="8339" spans="5:5">
      <c r="E8339"/>
    </row>
    <row r="8340" spans="5:5">
      <c r="E8340"/>
    </row>
    <row r="8341" spans="5:5">
      <c r="E8341"/>
    </row>
    <row r="8342" spans="5:5">
      <c r="E8342"/>
    </row>
    <row r="8343" spans="5:5">
      <c r="E8343"/>
    </row>
    <row r="8344" spans="5:5">
      <c r="E8344"/>
    </row>
    <row r="8345" spans="5:5">
      <c r="E8345"/>
    </row>
    <row r="8346" spans="5:5">
      <c r="E8346"/>
    </row>
    <row r="8347" spans="5:5">
      <c r="E8347"/>
    </row>
    <row r="8348" spans="5:5">
      <c r="E8348"/>
    </row>
    <row r="8349" spans="5:5">
      <c r="E8349"/>
    </row>
    <row r="8350" spans="5:5">
      <c r="E8350"/>
    </row>
    <row r="8351" spans="5:5">
      <c r="E8351"/>
    </row>
    <row r="8352" spans="5:5">
      <c r="E8352"/>
    </row>
    <row r="8353" spans="5:5">
      <c r="E8353"/>
    </row>
    <row r="8354" spans="5:5">
      <c r="E8354"/>
    </row>
    <row r="8355" spans="5:5">
      <c r="E8355"/>
    </row>
    <row r="8356" spans="5:5">
      <c r="E8356"/>
    </row>
    <row r="8357" spans="5:5">
      <c r="E8357"/>
    </row>
    <row r="8358" spans="5:5">
      <c r="E8358"/>
    </row>
    <row r="8359" spans="5:5">
      <c r="E8359"/>
    </row>
    <row r="8360" spans="5:5">
      <c r="E8360"/>
    </row>
    <row r="8361" spans="5:5">
      <c r="E8361"/>
    </row>
    <row r="8362" spans="5:5">
      <c r="E8362"/>
    </row>
    <row r="8363" spans="5:5">
      <c r="E8363"/>
    </row>
    <row r="8364" spans="5:5">
      <c r="E8364"/>
    </row>
    <row r="8365" spans="5:5">
      <c r="E8365"/>
    </row>
    <row r="8366" spans="5:5">
      <c r="E8366"/>
    </row>
    <row r="8367" spans="5:5">
      <c r="E8367"/>
    </row>
    <row r="8368" spans="5:5">
      <c r="E8368"/>
    </row>
    <row r="8369" spans="5:5">
      <c r="E8369"/>
    </row>
    <row r="8370" spans="5:5">
      <c r="E8370"/>
    </row>
    <row r="8371" spans="5:5">
      <c r="E8371"/>
    </row>
    <row r="8372" spans="5:5">
      <c r="E8372"/>
    </row>
    <row r="8373" spans="5:5">
      <c r="E8373"/>
    </row>
    <row r="8374" spans="5:5">
      <c r="E8374"/>
    </row>
    <row r="8375" spans="5:5">
      <c r="E8375"/>
    </row>
    <row r="8376" spans="5:5">
      <c r="E8376"/>
    </row>
    <row r="8377" spans="5:5">
      <c r="E8377"/>
    </row>
    <row r="8378" spans="5:5">
      <c r="E8378"/>
    </row>
    <row r="8379" spans="5:5">
      <c r="E8379"/>
    </row>
    <row r="8380" spans="5:5">
      <c r="E8380"/>
    </row>
    <row r="8381" spans="5:5">
      <c r="E8381"/>
    </row>
    <row r="8382" spans="5:5">
      <c r="E8382"/>
    </row>
    <row r="8383" spans="5:5">
      <c r="E8383"/>
    </row>
    <row r="8384" spans="5:5">
      <c r="E8384"/>
    </row>
    <row r="8385" spans="5:5">
      <c r="E8385"/>
    </row>
    <row r="8386" spans="5:5">
      <c r="E8386"/>
    </row>
    <row r="8387" spans="5:5">
      <c r="E8387"/>
    </row>
    <row r="8388" spans="5:5">
      <c r="E8388"/>
    </row>
    <row r="8389" spans="5:5">
      <c r="E8389"/>
    </row>
    <row r="8390" spans="5:5">
      <c r="E8390"/>
    </row>
    <row r="8391" spans="5:5">
      <c r="E8391"/>
    </row>
    <row r="8392" spans="5:5">
      <c r="E8392"/>
    </row>
    <row r="8393" spans="5:5">
      <c r="E8393"/>
    </row>
    <row r="8394" spans="5:5">
      <c r="E8394"/>
    </row>
    <row r="8395" spans="5:5">
      <c r="E8395"/>
    </row>
    <row r="8396" spans="5:5">
      <c r="E8396"/>
    </row>
    <row r="8397" spans="5:5">
      <c r="E8397"/>
    </row>
    <row r="8398" spans="5:5">
      <c r="E8398"/>
    </row>
    <row r="8399" spans="5:5">
      <c r="E8399"/>
    </row>
    <row r="8400" spans="5:5">
      <c r="E8400"/>
    </row>
    <row r="8401" spans="5:5">
      <c r="E8401"/>
    </row>
    <row r="8402" spans="5:5">
      <c r="E8402"/>
    </row>
    <row r="8403" spans="5:5">
      <c r="E8403"/>
    </row>
    <row r="8404" spans="5:5">
      <c r="E8404"/>
    </row>
    <row r="8405" spans="5:5">
      <c r="E8405"/>
    </row>
    <row r="8406" spans="5:5">
      <c r="E8406"/>
    </row>
    <row r="8407" spans="5:5">
      <c r="E8407"/>
    </row>
    <row r="8408" spans="5:5">
      <c r="E8408"/>
    </row>
    <row r="8409" spans="5:5">
      <c r="E8409"/>
    </row>
    <row r="8410" spans="5:5">
      <c r="E8410"/>
    </row>
    <row r="8411" spans="5:5">
      <c r="E8411"/>
    </row>
    <row r="8412" spans="5:5">
      <c r="E8412"/>
    </row>
    <row r="8413" spans="5:5">
      <c r="E8413"/>
    </row>
    <row r="8414" spans="5:5">
      <c r="E8414"/>
    </row>
    <row r="8415" spans="5:5">
      <c r="E8415"/>
    </row>
    <row r="8416" spans="5:5">
      <c r="E8416"/>
    </row>
    <row r="8417" spans="5:5">
      <c r="E8417"/>
    </row>
    <row r="8418" spans="5:5">
      <c r="E8418"/>
    </row>
    <row r="8419" spans="5:5">
      <c r="E8419"/>
    </row>
    <row r="8420" spans="5:5">
      <c r="E8420"/>
    </row>
    <row r="8421" spans="5:5">
      <c r="E8421"/>
    </row>
    <row r="8422" spans="5:5">
      <c r="E8422"/>
    </row>
    <row r="8423" spans="5:5">
      <c r="E8423"/>
    </row>
    <row r="8424" spans="5:5">
      <c r="E8424"/>
    </row>
    <row r="8425" spans="5:5">
      <c r="E8425"/>
    </row>
    <row r="8426" spans="5:5">
      <c r="E8426"/>
    </row>
    <row r="8427" spans="5:5">
      <c r="E8427"/>
    </row>
    <row r="8428" spans="5:5">
      <c r="E8428"/>
    </row>
    <row r="8429" spans="5:5">
      <c r="E8429"/>
    </row>
    <row r="8430" spans="5:5">
      <c r="E8430"/>
    </row>
    <row r="8431" spans="5:5">
      <c r="E8431"/>
    </row>
    <row r="8432" spans="5:5">
      <c r="E8432"/>
    </row>
    <row r="8433" spans="5:5">
      <c r="E8433"/>
    </row>
    <row r="8434" spans="5:5">
      <c r="E8434"/>
    </row>
    <row r="8435" spans="5:5">
      <c r="E8435"/>
    </row>
    <row r="8436" spans="5:5">
      <c r="E8436"/>
    </row>
    <row r="8437" spans="5:5">
      <c r="E8437"/>
    </row>
    <row r="8438" spans="5:5">
      <c r="E8438"/>
    </row>
    <row r="8439" spans="5:5">
      <c r="E8439"/>
    </row>
    <row r="8440" spans="5:5">
      <c r="E8440"/>
    </row>
    <row r="8441" spans="5:5">
      <c r="E8441"/>
    </row>
    <row r="8442" spans="5:5">
      <c r="E8442"/>
    </row>
    <row r="8443" spans="5:5">
      <c r="E8443"/>
    </row>
    <row r="8444" spans="5:5">
      <c r="E8444"/>
    </row>
    <row r="8445" spans="5:5">
      <c r="E8445"/>
    </row>
    <row r="8446" spans="5:5">
      <c r="E8446"/>
    </row>
    <row r="8447" spans="5:5">
      <c r="E8447"/>
    </row>
    <row r="8448" spans="5:5">
      <c r="E8448"/>
    </row>
    <row r="8449" spans="5:5">
      <c r="E8449"/>
    </row>
    <row r="8450" spans="5:5">
      <c r="E8450"/>
    </row>
    <row r="8451" spans="5:5">
      <c r="E8451"/>
    </row>
    <row r="8452" spans="5:5">
      <c r="E8452"/>
    </row>
    <row r="8453" spans="5:5">
      <c r="E8453"/>
    </row>
    <row r="8454" spans="5:5">
      <c r="E8454"/>
    </row>
    <row r="8455" spans="5:5">
      <c r="E8455"/>
    </row>
    <row r="8456" spans="5:5">
      <c r="E8456"/>
    </row>
    <row r="8457" spans="5:5">
      <c r="E8457"/>
    </row>
    <row r="8458" spans="5:5">
      <c r="E8458"/>
    </row>
    <row r="8459" spans="5:5">
      <c r="E8459"/>
    </row>
    <row r="8460" spans="5:5">
      <c r="E8460"/>
    </row>
    <row r="8461" spans="5:5">
      <c r="E8461"/>
    </row>
    <row r="8462" spans="5:5">
      <c r="E8462"/>
    </row>
    <row r="8463" spans="5:5">
      <c r="E8463"/>
    </row>
    <row r="8464" spans="5:5">
      <c r="E8464"/>
    </row>
    <row r="8465" spans="5:5">
      <c r="E8465"/>
    </row>
    <row r="8466" spans="5:5">
      <c r="E8466"/>
    </row>
    <row r="8467" spans="5:5">
      <c r="E8467"/>
    </row>
    <row r="8468" spans="5:5">
      <c r="E8468"/>
    </row>
    <row r="8469" spans="5:5">
      <c r="E8469"/>
    </row>
    <row r="8470" spans="5:5">
      <c r="E8470"/>
    </row>
    <row r="8471" spans="5:5">
      <c r="E8471"/>
    </row>
    <row r="8472" spans="5:5">
      <c r="E8472"/>
    </row>
    <row r="8473" spans="5:5">
      <c r="E8473"/>
    </row>
    <row r="8474" spans="5:5">
      <c r="E8474"/>
    </row>
    <row r="8475" spans="5:5">
      <c r="E8475"/>
    </row>
    <row r="8476" spans="5:5">
      <c r="E8476"/>
    </row>
    <row r="8477" spans="5:5">
      <c r="E8477"/>
    </row>
    <row r="8478" spans="5:5">
      <c r="E8478"/>
    </row>
    <row r="8479" spans="5:5">
      <c r="E8479"/>
    </row>
    <row r="8480" spans="5:5">
      <c r="E8480"/>
    </row>
    <row r="8481" spans="5:5">
      <c r="E8481"/>
    </row>
    <row r="8482" spans="5:5">
      <c r="E8482"/>
    </row>
    <row r="8483" spans="5:5">
      <c r="E8483"/>
    </row>
    <row r="8484" spans="5:5">
      <c r="E8484"/>
    </row>
    <row r="8485" spans="5:5">
      <c r="E8485"/>
    </row>
    <row r="8486" spans="5:5">
      <c r="E8486"/>
    </row>
    <row r="8487" spans="5:5">
      <c r="E8487"/>
    </row>
    <row r="8488" spans="5:5">
      <c r="E8488"/>
    </row>
    <row r="8489" spans="5:5">
      <c r="E8489"/>
    </row>
    <row r="8490" spans="5:5">
      <c r="E8490"/>
    </row>
    <row r="8491" spans="5:5">
      <c r="E8491"/>
    </row>
    <row r="8492" spans="5:5">
      <c r="E8492"/>
    </row>
    <row r="8493" spans="5:5">
      <c r="E8493"/>
    </row>
    <row r="8494" spans="5:5">
      <c r="E8494"/>
    </row>
    <row r="8495" spans="5:5">
      <c r="E8495"/>
    </row>
    <row r="8496" spans="5:5">
      <c r="E8496"/>
    </row>
    <row r="8497" spans="5:5">
      <c r="E8497"/>
    </row>
    <row r="8498" spans="5:5">
      <c r="E8498"/>
    </row>
    <row r="8499" spans="5:5">
      <c r="E8499"/>
    </row>
    <row r="8500" spans="5:5">
      <c r="E8500"/>
    </row>
    <row r="8501" spans="5:5">
      <c r="E8501"/>
    </row>
    <row r="8502" spans="5:5">
      <c r="E8502"/>
    </row>
    <row r="8503" spans="5:5">
      <c r="E8503"/>
    </row>
    <row r="8504" spans="5:5">
      <c r="E8504"/>
    </row>
    <row r="8505" spans="5:5">
      <c r="E8505"/>
    </row>
    <row r="8506" spans="5:5">
      <c r="E8506"/>
    </row>
    <row r="8507" spans="5:5">
      <c r="E8507"/>
    </row>
    <row r="8508" spans="5:5">
      <c r="E8508"/>
    </row>
    <row r="8509" spans="5:5">
      <c r="E8509"/>
    </row>
    <row r="8510" spans="5:5">
      <c r="E8510"/>
    </row>
    <row r="8511" spans="5:5">
      <c r="E8511"/>
    </row>
    <row r="8512" spans="5:5">
      <c r="E8512"/>
    </row>
    <row r="8513" spans="5:5">
      <c r="E8513"/>
    </row>
    <row r="8514" spans="5:5">
      <c r="E8514"/>
    </row>
    <row r="8515" spans="5:5">
      <c r="E8515"/>
    </row>
    <row r="8516" spans="5:5">
      <c r="E8516"/>
    </row>
    <row r="8517" spans="5:5">
      <c r="E8517"/>
    </row>
    <row r="8518" spans="5:5">
      <c r="E8518"/>
    </row>
    <row r="8519" spans="5:5">
      <c r="E8519"/>
    </row>
    <row r="8520" spans="5:5">
      <c r="E8520"/>
    </row>
    <row r="8521" spans="5:5">
      <c r="E8521"/>
    </row>
    <row r="8522" spans="5:5">
      <c r="E8522"/>
    </row>
    <row r="8523" spans="5:5">
      <c r="E8523"/>
    </row>
    <row r="8524" spans="5:5">
      <c r="E8524"/>
    </row>
    <row r="8525" spans="5:5">
      <c r="E8525"/>
    </row>
    <row r="8526" spans="5:5">
      <c r="E8526"/>
    </row>
    <row r="8527" spans="5:5">
      <c r="E8527"/>
    </row>
    <row r="8528" spans="5:5">
      <c r="E8528"/>
    </row>
    <row r="8529" spans="5:5">
      <c r="E8529"/>
    </row>
    <row r="8530" spans="5:5">
      <c r="E8530"/>
    </row>
    <row r="8531" spans="5:5">
      <c r="E8531"/>
    </row>
    <row r="8532" spans="5:5">
      <c r="E8532"/>
    </row>
    <row r="8533" spans="5:5">
      <c r="E8533"/>
    </row>
    <row r="8534" spans="5:5">
      <c r="E8534"/>
    </row>
    <row r="8535" spans="5:5">
      <c r="E8535"/>
    </row>
    <row r="8536" spans="5:5">
      <c r="E8536"/>
    </row>
    <row r="8537" spans="5:5">
      <c r="E8537"/>
    </row>
    <row r="8538" spans="5:5">
      <c r="E8538"/>
    </row>
    <row r="8539" spans="5:5">
      <c r="E8539"/>
    </row>
    <row r="8540" spans="5:5">
      <c r="E8540"/>
    </row>
    <row r="8541" spans="5:5">
      <c r="E8541"/>
    </row>
    <row r="8542" spans="5:5">
      <c r="E8542"/>
    </row>
    <row r="8543" spans="5:5">
      <c r="E8543"/>
    </row>
    <row r="8544" spans="5:5">
      <c r="E8544"/>
    </row>
    <row r="8545" spans="5:5">
      <c r="E8545"/>
    </row>
    <row r="8546" spans="5:5">
      <c r="E8546"/>
    </row>
    <row r="8547" spans="5:5">
      <c r="E8547"/>
    </row>
    <row r="8548" spans="5:5">
      <c r="E8548"/>
    </row>
    <row r="8549" spans="5:5">
      <c r="E8549"/>
    </row>
    <row r="8550" spans="5:5">
      <c r="E8550"/>
    </row>
    <row r="8551" spans="5:5">
      <c r="E8551"/>
    </row>
    <row r="8552" spans="5:5">
      <c r="E8552"/>
    </row>
    <row r="8553" spans="5:5">
      <c r="E8553"/>
    </row>
    <row r="8554" spans="5:5">
      <c r="E8554"/>
    </row>
    <row r="8555" spans="5:5">
      <c r="E8555"/>
    </row>
    <row r="8556" spans="5:5">
      <c r="E8556"/>
    </row>
    <row r="8557" spans="5:5">
      <c r="E8557"/>
    </row>
    <row r="8558" spans="5:5">
      <c r="E8558"/>
    </row>
    <row r="8559" spans="5:5">
      <c r="E8559"/>
    </row>
    <row r="8560" spans="5:5">
      <c r="E8560"/>
    </row>
    <row r="8561" spans="5:5">
      <c r="E8561"/>
    </row>
    <row r="8562" spans="5:5">
      <c r="E8562"/>
    </row>
    <row r="8563" spans="5:5">
      <c r="E8563"/>
    </row>
    <row r="8564" spans="5:5">
      <c r="E8564"/>
    </row>
    <row r="8565" spans="5:5">
      <c r="E8565"/>
    </row>
    <row r="8566" spans="5:5">
      <c r="E8566"/>
    </row>
    <row r="8567" spans="5:5">
      <c r="E8567"/>
    </row>
    <row r="8568" spans="5:5">
      <c r="E8568"/>
    </row>
    <row r="8569" spans="5:5">
      <c r="E8569"/>
    </row>
    <row r="8570" spans="5:5">
      <c r="E8570"/>
    </row>
    <row r="8571" spans="5:5">
      <c r="E8571"/>
    </row>
    <row r="8572" spans="5:5">
      <c r="E8572"/>
    </row>
    <row r="8573" spans="5:5">
      <c r="E8573"/>
    </row>
    <row r="8574" spans="5:5">
      <c r="E8574"/>
    </row>
    <row r="8575" spans="5:5">
      <c r="E8575"/>
    </row>
    <row r="8576" spans="5:5">
      <c r="E8576"/>
    </row>
    <row r="8577" spans="5:5">
      <c r="E8577"/>
    </row>
    <row r="8578" spans="5:5">
      <c r="E8578"/>
    </row>
    <row r="8579" spans="5:5">
      <c r="E8579"/>
    </row>
    <row r="8580" spans="5:5">
      <c r="E8580"/>
    </row>
    <row r="8581" spans="5:5">
      <c r="E8581"/>
    </row>
    <row r="8582" spans="5:5">
      <c r="E8582"/>
    </row>
    <row r="8583" spans="5:5">
      <c r="E8583"/>
    </row>
    <row r="8584" spans="5:5">
      <c r="E8584"/>
    </row>
    <row r="8585" spans="5:5">
      <c r="E8585"/>
    </row>
    <row r="8586" spans="5:5">
      <c r="E8586"/>
    </row>
    <row r="8587" spans="5:5">
      <c r="E8587"/>
    </row>
    <row r="8588" spans="5:5">
      <c r="E8588"/>
    </row>
    <row r="8589" spans="5:5">
      <c r="E8589"/>
    </row>
    <row r="8590" spans="5:5">
      <c r="E8590"/>
    </row>
    <row r="8591" spans="5:5">
      <c r="E8591"/>
    </row>
    <row r="8592" spans="5:5">
      <c r="E8592"/>
    </row>
    <row r="8593" spans="5:5">
      <c r="E8593"/>
    </row>
    <row r="8594" spans="5:5">
      <c r="E8594"/>
    </row>
    <row r="8595" spans="5:5">
      <c r="E8595"/>
    </row>
    <row r="8596" spans="5:5">
      <c r="E8596"/>
    </row>
    <row r="8597" spans="5:5">
      <c r="E8597"/>
    </row>
    <row r="8598" spans="5:5">
      <c r="E8598"/>
    </row>
    <row r="8599" spans="5:5">
      <c r="E8599"/>
    </row>
    <row r="8600" spans="5:5">
      <c r="E8600"/>
    </row>
    <row r="8601" spans="5:5">
      <c r="E8601"/>
    </row>
    <row r="8602" spans="5:5">
      <c r="E8602"/>
    </row>
    <row r="8603" spans="5:5">
      <c r="E8603"/>
    </row>
    <row r="8604" spans="5:5">
      <c r="E8604"/>
    </row>
    <row r="8605" spans="5:5">
      <c r="E8605"/>
    </row>
    <row r="8606" spans="5:5">
      <c r="E8606"/>
    </row>
    <row r="8607" spans="5:5">
      <c r="E8607"/>
    </row>
    <row r="8608" spans="5:5">
      <c r="E8608"/>
    </row>
    <row r="8609" spans="5:5">
      <c r="E8609"/>
    </row>
    <row r="8610" spans="5:5">
      <c r="E8610"/>
    </row>
    <row r="8611" spans="5:5">
      <c r="E8611"/>
    </row>
    <row r="8612" spans="5:5">
      <c r="E8612"/>
    </row>
    <row r="8613" spans="5:5">
      <c r="E8613"/>
    </row>
    <row r="8614" spans="5:5">
      <c r="E8614"/>
    </row>
    <row r="8615" spans="5:5">
      <c r="E8615"/>
    </row>
    <row r="8616" spans="5:5">
      <c r="E8616"/>
    </row>
    <row r="8617" spans="5:5">
      <c r="E8617"/>
    </row>
    <row r="8618" spans="5:5">
      <c r="E8618"/>
    </row>
    <row r="8619" spans="5:5">
      <c r="E8619"/>
    </row>
    <row r="8620" spans="5:5">
      <c r="E8620"/>
    </row>
    <row r="8621" spans="5:5">
      <c r="E8621"/>
    </row>
    <row r="8622" spans="5:5">
      <c r="E8622"/>
    </row>
    <row r="8623" spans="5:5">
      <c r="E8623"/>
    </row>
    <row r="8624" spans="5:5">
      <c r="E8624"/>
    </row>
    <row r="8625" spans="5:5">
      <c r="E8625"/>
    </row>
    <row r="8626" spans="5:5">
      <c r="E8626"/>
    </row>
    <row r="8627" spans="5:5">
      <c r="E8627"/>
    </row>
    <row r="8628" spans="5:5">
      <c r="E8628"/>
    </row>
    <row r="8629" spans="5:5">
      <c r="E8629"/>
    </row>
    <row r="8630" spans="5:5">
      <c r="E8630"/>
    </row>
    <row r="8631" spans="5:5">
      <c r="E8631"/>
    </row>
    <row r="8632" spans="5:5">
      <c r="E8632"/>
    </row>
    <row r="8633" spans="5:5">
      <c r="E8633"/>
    </row>
    <row r="8634" spans="5:5">
      <c r="E8634"/>
    </row>
    <row r="8635" spans="5:5">
      <c r="E8635"/>
    </row>
    <row r="8636" spans="5:5">
      <c r="E8636"/>
    </row>
    <row r="8637" spans="5:5">
      <c r="E8637"/>
    </row>
    <row r="8638" spans="5:5">
      <c r="E8638"/>
    </row>
    <row r="8639" spans="5:5">
      <c r="E8639"/>
    </row>
    <row r="8640" spans="5:5">
      <c r="E8640"/>
    </row>
    <row r="8641" spans="5:5">
      <c r="E8641"/>
    </row>
    <row r="8642" spans="5:5">
      <c r="E8642"/>
    </row>
    <row r="8643" spans="5:5">
      <c r="E8643"/>
    </row>
    <row r="8644" spans="5:5">
      <c r="E8644"/>
    </row>
    <row r="8645" spans="5:5">
      <c r="E8645"/>
    </row>
    <row r="8646" spans="5:5">
      <c r="E8646"/>
    </row>
    <row r="8647" spans="5:5">
      <c r="E8647"/>
    </row>
    <row r="8648" spans="5:5">
      <c r="E8648"/>
    </row>
    <row r="8649" spans="5:5">
      <c r="E8649"/>
    </row>
    <row r="8650" spans="5:5">
      <c r="E8650"/>
    </row>
    <row r="8651" spans="5:5">
      <c r="E8651"/>
    </row>
    <row r="8652" spans="5:5">
      <c r="E8652"/>
    </row>
    <row r="8653" spans="5:5">
      <c r="E8653"/>
    </row>
    <row r="8654" spans="5:5">
      <c r="E8654"/>
    </row>
    <row r="8655" spans="5:5">
      <c r="E8655"/>
    </row>
    <row r="8656" spans="5:5">
      <c r="E8656"/>
    </row>
    <row r="8657" spans="5:5">
      <c r="E8657"/>
    </row>
    <row r="8658" spans="5:5">
      <c r="E8658"/>
    </row>
    <row r="8659" spans="5:5">
      <c r="E8659"/>
    </row>
    <row r="8660" spans="5:5">
      <c r="E8660"/>
    </row>
    <row r="8661" spans="5:5">
      <c r="E8661"/>
    </row>
    <row r="8662" spans="5:5">
      <c r="E8662"/>
    </row>
    <row r="8663" spans="5:5">
      <c r="E8663"/>
    </row>
    <row r="8664" spans="5:5">
      <c r="E8664"/>
    </row>
    <row r="8665" spans="5:5">
      <c r="E8665"/>
    </row>
    <row r="8666" spans="5:5">
      <c r="E8666"/>
    </row>
    <row r="8667" spans="5:5">
      <c r="E8667"/>
    </row>
    <row r="8668" spans="5:5">
      <c r="E8668"/>
    </row>
    <row r="8669" spans="5:5">
      <c r="E8669"/>
    </row>
    <row r="8670" spans="5:5">
      <c r="E8670"/>
    </row>
    <row r="8671" spans="5:5">
      <c r="E8671"/>
    </row>
    <row r="8672" spans="5:5">
      <c r="E8672"/>
    </row>
    <row r="8673" spans="5:5">
      <c r="E8673"/>
    </row>
    <row r="8674" spans="5:5">
      <c r="E8674"/>
    </row>
    <row r="8675" spans="5:5">
      <c r="E8675"/>
    </row>
    <row r="8676" spans="5:5">
      <c r="E8676"/>
    </row>
    <row r="8677" spans="5:5">
      <c r="E8677"/>
    </row>
    <row r="8678" spans="5:5">
      <c r="E8678"/>
    </row>
    <row r="8679" spans="5:5">
      <c r="E8679"/>
    </row>
    <row r="8680" spans="5:5">
      <c r="E8680"/>
    </row>
    <row r="8681" spans="5:5">
      <c r="E8681"/>
    </row>
    <row r="8682" spans="5:5">
      <c r="E8682"/>
    </row>
    <row r="8683" spans="5:5">
      <c r="E8683"/>
    </row>
    <row r="8684" spans="5:5">
      <c r="E8684"/>
    </row>
    <row r="8685" spans="5:5">
      <c r="E8685"/>
    </row>
    <row r="8686" spans="5:5">
      <c r="E8686"/>
    </row>
    <row r="8687" spans="5:5">
      <c r="E8687"/>
    </row>
    <row r="8688" spans="5:5">
      <c r="E8688"/>
    </row>
    <row r="8689" spans="5:5">
      <c r="E8689"/>
    </row>
    <row r="8690" spans="5:5">
      <c r="E8690"/>
    </row>
    <row r="8691" spans="5:5">
      <c r="E8691"/>
    </row>
    <row r="8692" spans="5:5">
      <c r="E8692"/>
    </row>
    <row r="8693" spans="5:5">
      <c r="E8693"/>
    </row>
    <row r="8694" spans="5:5">
      <c r="E8694"/>
    </row>
    <row r="8695" spans="5:5">
      <c r="E8695"/>
    </row>
    <row r="8696" spans="5:5">
      <c r="E8696"/>
    </row>
    <row r="8697" spans="5:5">
      <c r="E8697"/>
    </row>
    <row r="8698" spans="5:5">
      <c r="E8698"/>
    </row>
    <row r="8699" spans="5:5">
      <c r="E8699"/>
    </row>
    <row r="8700" spans="5:5">
      <c r="E8700"/>
    </row>
    <row r="8701" spans="5:5">
      <c r="E8701"/>
    </row>
    <row r="8702" spans="5:5">
      <c r="E8702"/>
    </row>
    <row r="8703" spans="5:5">
      <c r="E8703"/>
    </row>
    <row r="8704" spans="5:5">
      <c r="E8704"/>
    </row>
    <row r="8705" spans="5:5">
      <c r="E8705"/>
    </row>
    <row r="8706" spans="5:5">
      <c r="E8706"/>
    </row>
    <row r="8707" spans="5:5">
      <c r="E8707"/>
    </row>
    <row r="8708" spans="5:5">
      <c r="E8708"/>
    </row>
    <row r="8709" spans="5:5">
      <c r="E8709"/>
    </row>
    <row r="8710" spans="5:5">
      <c r="E8710"/>
    </row>
    <row r="8711" spans="5:5">
      <c r="E8711"/>
    </row>
    <row r="8712" spans="5:5">
      <c r="E8712"/>
    </row>
    <row r="8713" spans="5:5">
      <c r="E8713"/>
    </row>
    <row r="8714" spans="5:5">
      <c r="E8714"/>
    </row>
    <row r="8715" spans="5:5">
      <c r="E8715"/>
    </row>
    <row r="8716" spans="5:5">
      <c r="E8716"/>
    </row>
    <row r="8717" spans="5:5">
      <c r="E8717"/>
    </row>
    <row r="8718" spans="5:5">
      <c r="E8718"/>
    </row>
    <row r="8719" spans="5:5">
      <c r="E8719"/>
    </row>
    <row r="8720" spans="5:5">
      <c r="E8720"/>
    </row>
    <row r="8721" spans="5:5">
      <c r="E8721"/>
    </row>
    <row r="8722" spans="5:5">
      <c r="E8722"/>
    </row>
    <row r="8723" spans="5:5">
      <c r="E8723"/>
    </row>
    <row r="8724" spans="5:5">
      <c r="E8724"/>
    </row>
    <row r="8725" spans="5:5">
      <c r="E8725"/>
    </row>
    <row r="8726" spans="5:5">
      <c r="E8726"/>
    </row>
    <row r="8727" spans="5:5">
      <c r="E8727"/>
    </row>
    <row r="8728" spans="5:5">
      <c r="E8728"/>
    </row>
    <row r="8729" spans="5:5">
      <c r="E8729"/>
    </row>
    <row r="8730" spans="5:5">
      <c r="E8730"/>
    </row>
    <row r="8731" spans="5:5">
      <c r="E8731"/>
    </row>
    <row r="8732" spans="5:5">
      <c r="E8732"/>
    </row>
    <row r="8733" spans="5:5">
      <c r="E8733"/>
    </row>
    <row r="8734" spans="5:5">
      <c r="E8734"/>
    </row>
    <row r="8735" spans="5:5">
      <c r="E8735"/>
    </row>
    <row r="8736" spans="5:5">
      <c r="E8736"/>
    </row>
    <row r="8737" spans="5:5">
      <c r="E8737"/>
    </row>
    <row r="8738" spans="5:5">
      <c r="E8738"/>
    </row>
    <row r="8739" spans="5:5">
      <c r="E8739"/>
    </row>
    <row r="8740" spans="5:5">
      <c r="E8740"/>
    </row>
    <row r="8741" spans="5:5">
      <c r="E8741"/>
    </row>
    <row r="8742" spans="5:5">
      <c r="E8742"/>
    </row>
    <row r="8743" spans="5:5">
      <c r="E8743"/>
    </row>
    <row r="8744" spans="5:5">
      <c r="E8744"/>
    </row>
    <row r="8745" spans="5:5">
      <c r="E8745"/>
    </row>
    <row r="8746" spans="5:5">
      <c r="E8746"/>
    </row>
    <row r="8747" spans="5:5">
      <c r="E8747"/>
    </row>
    <row r="8748" spans="5:5">
      <c r="E8748"/>
    </row>
    <row r="8749" spans="5:5">
      <c r="E8749"/>
    </row>
    <row r="8750" spans="5:5">
      <c r="E8750"/>
    </row>
    <row r="8751" spans="5:5">
      <c r="E8751"/>
    </row>
    <row r="8752" spans="5:5">
      <c r="E8752"/>
    </row>
    <row r="8753" spans="5:5">
      <c r="E8753"/>
    </row>
    <row r="8754" spans="5:5">
      <c r="E8754"/>
    </row>
    <row r="8755" spans="5:5">
      <c r="E8755"/>
    </row>
    <row r="8756" spans="5:5">
      <c r="E8756"/>
    </row>
    <row r="8757" spans="5:5">
      <c r="E8757"/>
    </row>
    <row r="8758" spans="5:5">
      <c r="E8758"/>
    </row>
    <row r="8759" spans="5:5">
      <c r="E8759"/>
    </row>
    <row r="8760" spans="5:5">
      <c r="E8760"/>
    </row>
    <row r="8761" spans="5:5">
      <c r="E8761"/>
    </row>
    <row r="8762" spans="5:5">
      <c r="E8762"/>
    </row>
    <row r="8763" spans="5:5">
      <c r="E8763"/>
    </row>
    <row r="8764" spans="5:5">
      <c r="E8764"/>
    </row>
    <row r="8765" spans="5:5">
      <c r="E8765"/>
    </row>
    <row r="8766" spans="5:5">
      <c r="E8766"/>
    </row>
    <row r="8767" spans="5:5">
      <c r="E8767"/>
    </row>
    <row r="8768" spans="5:5">
      <c r="E8768"/>
    </row>
    <row r="8769" spans="5:5">
      <c r="E8769"/>
    </row>
    <row r="8770" spans="5:5">
      <c r="E8770"/>
    </row>
    <row r="8771" spans="5:5">
      <c r="E8771"/>
    </row>
    <row r="8772" spans="5:5">
      <c r="E8772"/>
    </row>
    <row r="8773" spans="5:5">
      <c r="E8773"/>
    </row>
    <row r="8774" spans="5:5">
      <c r="E8774"/>
    </row>
    <row r="8775" spans="5:5">
      <c r="E8775"/>
    </row>
    <row r="8776" spans="5:5">
      <c r="E8776"/>
    </row>
    <row r="8777" spans="5:5">
      <c r="E8777"/>
    </row>
    <row r="8778" spans="5:5">
      <c r="E8778"/>
    </row>
    <row r="8779" spans="5:5">
      <c r="E8779"/>
    </row>
    <row r="8780" spans="5:5">
      <c r="E8780"/>
    </row>
    <row r="8781" spans="5:5">
      <c r="E8781"/>
    </row>
    <row r="8782" spans="5:5">
      <c r="E8782"/>
    </row>
    <row r="8783" spans="5:5">
      <c r="E8783"/>
    </row>
    <row r="8784" spans="5:5">
      <c r="E8784"/>
    </row>
    <row r="8785" spans="5:5">
      <c r="E8785"/>
    </row>
    <row r="8786" spans="5:5">
      <c r="E8786"/>
    </row>
    <row r="8787" spans="5:5">
      <c r="E8787"/>
    </row>
    <row r="8788" spans="5:5">
      <c r="E8788"/>
    </row>
    <row r="8789" spans="5:5">
      <c r="E8789"/>
    </row>
    <row r="8790" spans="5:5">
      <c r="E8790"/>
    </row>
    <row r="8791" spans="5:5">
      <c r="E8791"/>
    </row>
    <row r="8792" spans="5:5">
      <c r="E8792"/>
    </row>
    <row r="8793" spans="5:5">
      <c r="E8793"/>
    </row>
    <row r="8794" spans="5:5">
      <c r="E8794"/>
    </row>
    <row r="8795" spans="5:5">
      <c r="E8795"/>
    </row>
    <row r="8796" spans="5:5">
      <c r="E8796"/>
    </row>
    <row r="8797" spans="5:5">
      <c r="E8797"/>
    </row>
    <row r="8798" spans="5:5">
      <c r="E8798"/>
    </row>
    <row r="8799" spans="5:5">
      <c r="E8799"/>
    </row>
    <row r="8800" spans="5:5">
      <c r="E8800"/>
    </row>
    <row r="8801" spans="5:5">
      <c r="E8801"/>
    </row>
    <row r="8802" spans="5:5">
      <c r="E8802"/>
    </row>
    <row r="8803" spans="5:5">
      <c r="E8803"/>
    </row>
    <row r="8804" spans="5:5">
      <c r="E8804"/>
    </row>
    <row r="8805" spans="5:5">
      <c r="E8805"/>
    </row>
    <row r="8806" spans="5:5">
      <c r="E8806"/>
    </row>
    <row r="8807" spans="5:5">
      <c r="E8807"/>
    </row>
    <row r="8808" spans="5:5">
      <c r="E8808"/>
    </row>
    <row r="8809" spans="5:5">
      <c r="E8809"/>
    </row>
    <row r="8810" spans="5:5">
      <c r="E8810"/>
    </row>
    <row r="8811" spans="5:5">
      <c r="E8811"/>
    </row>
    <row r="8812" spans="5:5">
      <c r="E8812"/>
    </row>
    <row r="8813" spans="5:5">
      <c r="E8813"/>
    </row>
    <row r="8814" spans="5:5">
      <c r="E8814"/>
    </row>
    <row r="8815" spans="5:5">
      <c r="E8815"/>
    </row>
    <row r="8816" spans="5:5">
      <c r="E8816"/>
    </row>
    <row r="8817" spans="5:5">
      <c r="E8817"/>
    </row>
    <row r="8818" spans="5:5">
      <c r="E8818"/>
    </row>
    <row r="8819" spans="5:5">
      <c r="E8819"/>
    </row>
    <row r="8820" spans="5:5">
      <c r="E8820"/>
    </row>
    <row r="8821" spans="5:5">
      <c r="E8821"/>
    </row>
    <row r="8822" spans="5:5">
      <c r="E8822"/>
    </row>
    <row r="8823" spans="5:5">
      <c r="E8823"/>
    </row>
    <row r="8824" spans="5:5">
      <c r="E8824"/>
    </row>
    <row r="8825" spans="5:5">
      <c r="E8825"/>
    </row>
    <row r="8826" spans="5:5">
      <c r="E8826"/>
    </row>
    <row r="8827" spans="5:5">
      <c r="E8827"/>
    </row>
    <row r="8828" spans="5:5">
      <c r="E8828"/>
    </row>
    <row r="8829" spans="5:5">
      <c r="E8829"/>
    </row>
    <row r="8830" spans="5:5">
      <c r="E8830"/>
    </row>
    <row r="8831" spans="5:5">
      <c r="E8831"/>
    </row>
    <row r="8832" spans="5:5">
      <c r="E8832"/>
    </row>
    <row r="8833" spans="5:5">
      <c r="E8833"/>
    </row>
    <row r="8834" spans="5:5">
      <c r="E8834"/>
    </row>
    <row r="8835" spans="5:5">
      <c r="E8835"/>
    </row>
    <row r="8836" spans="5:5">
      <c r="E8836"/>
    </row>
    <row r="8837" spans="5:5">
      <c r="E8837"/>
    </row>
    <row r="8838" spans="5:5">
      <c r="E8838"/>
    </row>
    <row r="8839" spans="5:5">
      <c r="E8839"/>
    </row>
    <row r="8840" spans="5:5">
      <c r="E8840"/>
    </row>
    <row r="8841" spans="5:5">
      <c r="E8841"/>
    </row>
    <row r="8842" spans="5:5">
      <c r="E8842"/>
    </row>
    <row r="8843" spans="5:5">
      <c r="E8843"/>
    </row>
    <row r="8844" spans="5:5">
      <c r="E8844"/>
    </row>
    <row r="8845" spans="5:5">
      <c r="E8845"/>
    </row>
    <row r="8846" spans="5:5">
      <c r="E8846"/>
    </row>
    <row r="8847" spans="5:5">
      <c r="E8847"/>
    </row>
    <row r="8848" spans="5:5">
      <c r="E8848"/>
    </row>
    <row r="8849" spans="5:5">
      <c r="E8849"/>
    </row>
    <row r="8850" spans="5:5">
      <c r="E8850"/>
    </row>
    <row r="8851" spans="5:5">
      <c r="E8851"/>
    </row>
    <row r="8852" spans="5:5">
      <c r="E8852"/>
    </row>
    <row r="8853" spans="5:5">
      <c r="E8853"/>
    </row>
    <row r="8854" spans="5:5">
      <c r="E8854"/>
    </row>
    <row r="8855" spans="5:5">
      <c r="E8855"/>
    </row>
    <row r="8856" spans="5:5">
      <c r="E8856"/>
    </row>
    <row r="8857" spans="5:5">
      <c r="E8857"/>
    </row>
    <row r="8858" spans="5:5">
      <c r="E8858"/>
    </row>
    <row r="8859" spans="5:5">
      <c r="E8859"/>
    </row>
    <row r="8860" spans="5:5">
      <c r="E8860"/>
    </row>
    <row r="8861" spans="5:5">
      <c r="E8861"/>
    </row>
    <row r="8862" spans="5:5">
      <c r="E8862"/>
    </row>
    <row r="8863" spans="5:5">
      <c r="E8863"/>
    </row>
    <row r="8864" spans="5:5">
      <c r="E8864"/>
    </row>
    <row r="8865" spans="5:5">
      <c r="E8865"/>
    </row>
    <row r="8866" spans="5:5">
      <c r="E8866"/>
    </row>
    <row r="8867" spans="5:5">
      <c r="E8867"/>
    </row>
    <row r="8868" spans="5:5">
      <c r="E8868"/>
    </row>
    <row r="8869" spans="5:5">
      <c r="E8869"/>
    </row>
    <row r="8870" spans="5:5">
      <c r="E8870"/>
    </row>
    <row r="8871" spans="5:5">
      <c r="E8871"/>
    </row>
    <row r="8872" spans="5:5">
      <c r="E8872"/>
    </row>
    <row r="8873" spans="5:5">
      <c r="E8873"/>
    </row>
    <row r="8874" spans="5:5">
      <c r="E8874"/>
    </row>
    <row r="8875" spans="5:5">
      <c r="E8875"/>
    </row>
    <row r="8876" spans="5:5">
      <c r="E8876"/>
    </row>
    <row r="8877" spans="5:5">
      <c r="E8877"/>
    </row>
    <row r="8878" spans="5:5">
      <c r="E8878"/>
    </row>
    <row r="8879" spans="5:5">
      <c r="E8879"/>
    </row>
    <row r="8880" spans="5:5">
      <c r="E8880"/>
    </row>
    <row r="8881" spans="5:5">
      <c r="E8881"/>
    </row>
    <row r="8882" spans="5:5">
      <c r="E8882"/>
    </row>
    <row r="8883" spans="5:5">
      <c r="E8883"/>
    </row>
    <row r="8884" spans="5:5">
      <c r="E8884"/>
    </row>
    <row r="8885" spans="5:5">
      <c r="E8885"/>
    </row>
    <row r="8886" spans="5:5">
      <c r="E8886"/>
    </row>
    <row r="8887" spans="5:5">
      <c r="E8887"/>
    </row>
    <row r="8888" spans="5:5">
      <c r="E8888"/>
    </row>
    <row r="8889" spans="5:5">
      <c r="E8889"/>
    </row>
    <row r="8890" spans="5:5">
      <c r="E8890"/>
    </row>
    <row r="8891" spans="5:5">
      <c r="E8891"/>
    </row>
    <row r="8892" spans="5:5">
      <c r="E8892"/>
    </row>
    <row r="8893" spans="5:5">
      <c r="E8893"/>
    </row>
    <row r="8894" spans="5:5">
      <c r="E8894"/>
    </row>
    <row r="8895" spans="5:5">
      <c r="E8895"/>
    </row>
    <row r="8896" spans="5:5">
      <c r="E8896"/>
    </row>
    <row r="8897" spans="5:5">
      <c r="E8897"/>
    </row>
    <row r="8898" spans="5:5">
      <c r="E8898"/>
    </row>
    <row r="8899" spans="5:5">
      <c r="E8899"/>
    </row>
    <row r="8900" spans="5:5">
      <c r="E8900"/>
    </row>
    <row r="8901" spans="5:5">
      <c r="E8901"/>
    </row>
    <row r="8902" spans="5:5">
      <c r="E8902"/>
    </row>
    <row r="8903" spans="5:5">
      <c r="E8903"/>
    </row>
    <row r="8904" spans="5:5">
      <c r="E8904"/>
    </row>
    <row r="8905" spans="5:5">
      <c r="E8905"/>
    </row>
    <row r="8906" spans="5:5">
      <c r="E8906"/>
    </row>
    <row r="8907" spans="5:5">
      <c r="E8907"/>
    </row>
    <row r="8908" spans="5:5">
      <c r="E8908"/>
    </row>
    <row r="8909" spans="5:5">
      <c r="E8909"/>
    </row>
    <row r="8910" spans="5:5">
      <c r="E8910"/>
    </row>
    <row r="8911" spans="5:5">
      <c r="E8911"/>
    </row>
    <row r="8912" spans="5:5">
      <c r="E8912"/>
    </row>
    <row r="8913" spans="5:5">
      <c r="E8913"/>
    </row>
    <row r="8914" spans="5:5">
      <c r="E8914"/>
    </row>
    <row r="8915" spans="5:5">
      <c r="E8915"/>
    </row>
    <row r="8916" spans="5:5">
      <c r="E8916"/>
    </row>
    <row r="8917" spans="5:5">
      <c r="E8917"/>
    </row>
    <row r="8918" spans="5:5">
      <c r="E8918"/>
    </row>
    <row r="8919" spans="5:5">
      <c r="E8919"/>
    </row>
    <row r="8920" spans="5:5">
      <c r="E8920"/>
    </row>
    <row r="8921" spans="5:5">
      <c r="E8921"/>
    </row>
    <row r="8922" spans="5:5">
      <c r="E8922"/>
    </row>
    <row r="8923" spans="5:5">
      <c r="E8923"/>
    </row>
    <row r="8924" spans="5:5">
      <c r="E8924"/>
    </row>
    <row r="8925" spans="5:5">
      <c r="E8925"/>
    </row>
    <row r="8926" spans="5:5">
      <c r="E8926"/>
    </row>
    <row r="8927" spans="5:5">
      <c r="E8927"/>
    </row>
    <row r="8928" spans="5:5">
      <c r="E8928"/>
    </row>
    <row r="8929" spans="5:5">
      <c r="E8929"/>
    </row>
    <row r="8930" spans="5:5">
      <c r="E8930"/>
    </row>
    <row r="8931" spans="5:5">
      <c r="E8931"/>
    </row>
    <row r="8932" spans="5:5">
      <c r="E8932"/>
    </row>
    <row r="8933" spans="5:5">
      <c r="E8933"/>
    </row>
    <row r="8934" spans="5:5">
      <c r="E8934"/>
    </row>
    <row r="8935" spans="5:5">
      <c r="E8935"/>
    </row>
    <row r="8936" spans="5:5">
      <c r="E8936"/>
    </row>
    <row r="8937" spans="5:5">
      <c r="E8937"/>
    </row>
    <row r="8938" spans="5:5">
      <c r="E8938"/>
    </row>
    <row r="8939" spans="5:5">
      <c r="E8939"/>
    </row>
    <row r="8940" spans="5:5">
      <c r="E8940"/>
    </row>
    <row r="8941" spans="5:5">
      <c r="E8941"/>
    </row>
    <row r="8942" spans="5:5">
      <c r="E8942"/>
    </row>
    <row r="8943" spans="5:5">
      <c r="E8943"/>
    </row>
    <row r="8944" spans="5:5">
      <c r="E8944"/>
    </row>
    <row r="8945" spans="5:5">
      <c r="E8945"/>
    </row>
    <row r="8946" spans="5:5">
      <c r="E8946"/>
    </row>
    <row r="8947" spans="5:5">
      <c r="E8947"/>
    </row>
    <row r="8948" spans="5:5">
      <c r="E8948"/>
    </row>
    <row r="8949" spans="5:5">
      <c r="E8949"/>
    </row>
    <row r="8950" spans="5:5">
      <c r="E8950"/>
    </row>
    <row r="8951" spans="5:5">
      <c r="E8951"/>
    </row>
    <row r="8952" spans="5:5">
      <c r="E8952"/>
    </row>
    <row r="8953" spans="5:5">
      <c r="E8953"/>
    </row>
    <row r="8954" spans="5:5">
      <c r="E8954"/>
    </row>
    <row r="8955" spans="5:5">
      <c r="E8955"/>
    </row>
    <row r="8956" spans="5:5">
      <c r="E8956"/>
    </row>
    <row r="8957" spans="5:5">
      <c r="E8957"/>
    </row>
    <row r="8958" spans="5:5">
      <c r="E8958"/>
    </row>
    <row r="8959" spans="5:5">
      <c r="E8959"/>
    </row>
    <row r="8960" spans="5:5">
      <c r="E8960"/>
    </row>
    <row r="8961" spans="5:5">
      <c r="E8961"/>
    </row>
    <row r="8962" spans="5:5">
      <c r="E8962"/>
    </row>
    <row r="8963" spans="5:5">
      <c r="E8963"/>
    </row>
    <row r="8964" spans="5:5">
      <c r="E8964"/>
    </row>
    <row r="8965" spans="5:5">
      <c r="E8965"/>
    </row>
    <row r="8966" spans="5:5">
      <c r="E8966"/>
    </row>
    <row r="8967" spans="5:5">
      <c r="E8967"/>
    </row>
    <row r="8968" spans="5:5">
      <c r="E8968"/>
    </row>
    <row r="8969" spans="5:5">
      <c r="E8969"/>
    </row>
    <row r="8970" spans="5:5">
      <c r="E8970"/>
    </row>
    <row r="8971" spans="5:5">
      <c r="E8971"/>
    </row>
    <row r="8972" spans="5:5">
      <c r="E8972"/>
    </row>
    <row r="8973" spans="5:5">
      <c r="E8973"/>
    </row>
    <row r="8974" spans="5:5">
      <c r="E8974"/>
    </row>
    <row r="8975" spans="5:5">
      <c r="E8975"/>
    </row>
    <row r="8976" spans="5:5">
      <c r="E8976"/>
    </row>
    <row r="8977" spans="5:5">
      <c r="E8977"/>
    </row>
    <row r="8978" spans="5:5">
      <c r="E8978"/>
    </row>
    <row r="8979" spans="5:5">
      <c r="E8979"/>
    </row>
    <row r="8980" spans="5:5">
      <c r="E8980"/>
    </row>
    <row r="8981" spans="5:5">
      <c r="E8981"/>
    </row>
    <row r="8982" spans="5:5">
      <c r="E8982"/>
    </row>
    <row r="8983" spans="5:5">
      <c r="E8983"/>
    </row>
    <row r="8984" spans="5:5">
      <c r="E8984"/>
    </row>
    <row r="8985" spans="5:5">
      <c r="E8985"/>
    </row>
    <row r="8986" spans="5:5">
      <c r="E8986"/>
    </row>
    <row r="8987" spans="5:5">
      <c r="E8987"/>
    </row>
    <row r="8988" spans="5:5">
      <c r="E8988"/>
    </row>
    <row r="8989" spans="5:5">
      <c r="E8989"/>
    </row>
    <row r="8990" spans="5:5">
      <c r="E8990"/>
    </row>
    <row r="8991" spans="5:5">
      <c r="E8991"/>
    </row>
    <row r="8992" spans="5:5">
      <c r="E8992"/>
    </row>
    <row r="8993" spans="5:5">
      <c r="E8993"/>
    </row>
    <row r="8994" spans="5:5">
      <c r="E8994"/>
    </row>
    <row r="8995" spans="5:5">
      <c r="E8995"/>
    </row>
    <row r="8996" spans="5:5">
      <c r="E8996"/>
    </row>
    <row r="8997" spans="5:5">
      <c r="E8997"/>
    </row>
    <row r="8998" spans="5:5">
      <c r="E8998"/>
    </row>
    <row r="8999" spans="5:5">
      <c r="E8999"/>
    </row>
    <row r="9000" spans="5:5">
      <c r="E9000"/>
    </row>
    <row r="9001" spans="5:5">
      <c r="E9001"/>
    </row>
    <row r="9002" spans="5:5">
      <c r="E9002"/>
    </row>
    <row r="9003" spans="5:5">
      <c r="E9003"/>
    </row>
    <row r="9004" spans="5:5">
      <c r="E9004"/>
    </row>
    <row r="9005" spans="5:5">
      <c r="E9005"/>
    </row>
    <row r="9006" spans="5:5">
      <c r="E9006"/>
    </row>
    <row r="9007" spans="5:5">
      <c r="E9007"/>
    </row>
    <row r="9008" spans="5:5">
      <c r="E9008"/>
    </row>
    <row r="9009" spans="5:5">
      <c r="E9009"/>
    </row>
    <row r="9010" spans="5:5">
      <c r="E9010"/>
    </row>
    <row r="9011" spans="5:5">
      <c r="E9011"/>
    </row>
    <row r="9012" spans="5:5">
      <c r="E9012"/>
    </row>
    <row r="9013" spans="5:5">
      <c r="E9013"/>
    </row>
    <row r="9014" spans="5:5">
      <c r="E9014"/>
    </row>
    <row r="9015" spans="5:5">
      <c r="E9015"/>
    </row>
    <row r="9016" spans="5:5">
      <c r="E9016"/>
    </row>
    <row r="9017" spans="5:5">
      <c r="E9017"/>
    </row>
    <row r="9018" spans="5:5">
      <c r="E9018"/>
    </row>
    <row r="9019" spans="5:5">
      <c r="E9019"/>
    </row>
    <row r="9020" spans="5:5">
      <c r="E9020"/>
    </row>
    <row r="9021" spans="5:5">
      <c r="E9021"/>
    </row>
    <row r="9022" spans="5:5">
      <c r="E9022"/>
    </row>
    <row r="9023" spans="5:5">
      <c r="E9023"/>
    </row>
    <row r="9024" spans="5:5">
      <c r="E9024"/>
    </row>
    <row r="9025" spans="5:5">
      <c r="E9025"/>
    </row>
    <row r="9026" spans="5:5">
      <c r="E9026"/>
    </row>
    <row r="9027" spans="5:5">
      <c r="E9027"/>
    </row>
    <row r="9028" spans="5:5">
      <c r="E9028"/>
    </row>
    <row r="9029" spans="5:5">
      <c r="E9029"/>
    </row>
    <row r="9030" spans="5:5">
      <c r="E9030"/>
    </row>
    <row r="9031" spans="5:5">
      <c r="E9031"/>
    </row>
    <row r="9032" spans="5:5">
      <c r="E9032"/>
    </row>
    <row r="9033" spans="5:5">
      <c r="E9033"/>
    </row>
    <row r="9034" spans="5:5">
      <c r="E9034"/>
    </row>
    <row r="9035" spans="5:5">
      <c r="E9035"/>
    </row>
    <row r="9036" spans="5:5">
      <c r="E9036"/>
    </row>
    <row r="9037" spans="5:5">
      <c r="E9037"/>
    </row>
    <row r="9038" spans="5:5">
      <c r="E9038"/>
    </row>
    <row r="9039" spans="5:5">
      <c r="E9039"/>
    </row>
    <row r="9040" spans="5:5">
      <c r="E9040"/>
    </row>
    <row r="9041" spans="5:5">
      <c r="E9041"/>
    </row>
    <row r="9042" spans="5:5">
      <c r="E9042"/>
    </row>
    <row r="9043" spans="5:5">
      <c r="E9043"/>
    </row>
    <row r="9044" spans="5:5">
      <c r="E9044"/>
    </row>
    <row r="9045" spans="5:5">
      <c r="E9045"/>
    </row>
    <row r="9046" spans="5:5">
      <c r="E9046"/>
    </row>
    <row r="9047" spans="5:5">
      <c r="E9047"/>
    </row>
    <row r="9048" spans="5:5">
      <c r="E9048"/>
    </row>
    <row r="9049" spans="5:5">
      <c r="E9049"/>
    </row>
    <row r="9050" spans="5:5">
      <c r="E9050"/>
    </row>
    <row r="9051" spans="5:5">
      <c r="E9051"/>
    </row>
    <row r="9052" spans="5:5">
      <c r="E9052"/>
    </row>
    <row r="9053" spans="5:5">
      <c r="E9053"/>
    </row>
    <row r="9054" spans="5:5">
      <c r="E9054"/>
    </row>
    <row r="9055" spans="5:5">
      <c r="E9055"/>
    </row>
    <row r="9056" spans="5:5">
      <c r="E9056"/>
    </row>
    <row r="9057" spans="5:5">
      <c r="E9057"/>
    </row>
    <row r="9058" spans="5:5">
      <c r="E9058"/>
    </row>
    <row r="9059" spans="5:5">
      <c r="E9059"/>
    </row>
    <row r="9060" spans="5:5">
      <c r="E9060"/>
    </row>
    <row r="9061" spans="5:5">
      <c r="E9061"/>
    </row>
    <row r="9062" spans="5:5">
      <c r="E9062"/>
    </row>
    <row r="9063" spans="5:5">
      <c r="E9063"/>
    </row>
    <row r="9064" spans="5:5">
      <c r="E9064"/>
    </row>
    <row r="9065" spans="5:5">
      <c r="E9065"/>
    </row>
    <row r="9066" spans="5:5">
      <c r="E9066"/>
    </row>
    <row r="9067" spans="5:5">
      <c r="E9067"/>
    </row>
    <row r="9068" spans="5:5">
      <c r="E9068"/>
    </row>
    <row r="9069" spans="5:5">
      <c r="E9069"/>
    </row>
    <row r="9070" spans="5:5">
      <c r="E9070"/>
    </row>
    <row r="9071" spans="5:5">
      <c r="E9071"/>
    </row>
    <row r="9072" spans="5:5">
      <c r="E9072"/>
    </row>
    <row r="9073" spans="5:5">
      <c r="E9073"/>
    </row>
    <row r="9074" spans="5:5">
      <c r="E9074"/>
    </row>
    <row r="9075" spans="5:5">
      <c r="E9075"/>
    </row>
    <row r="9076" spans="5:5">
      <c r="E9076"/>
    </row>
    <row r="9077" spans="5:5">
      <c r="E9077"/>
    </row>
    <row r="9078" spans="5:5">
      <c r="E9078"/>
    </row>
    <row r="9079" spans="5:5">
      <c r="E9079"/>
    </row>
    <row r="9080" spans="5:5">
      <c r="E9080"/>
    </row>
    <row r="9081" spans="5:5">
      <c r="E9081"/>
    </row>
    <row r="9082" spans="5:5">
      <c r="E9082"/>
    </row>
    <row r="9083" spans="5:5">
      <c r="E9083"/>
    </row>
    <row r="9084" spans="5:5">
      <c r="E9084"/>
    </row>
    <row r="9085" spans="5:5">
      <c r="E9085"/>
    </row>
    <row r="9086" spans="5:5">
      <c r="E9086"/>
    </row>
    <row r="9087" spans="5:5">
      <c r="E9087"/>
    </row>
    <row r="9088" spans="5:5">
      <c r="E9088"/>
    </row>
    <row r="9089" spans="5:5">
      <c r="E9089"/>
    </row>
    <row r="9090" spans="5:5">
      <c r="E9090"/>
    </row>
    <row r="9091" spans="5:5">
      <c r="E9091"/>
    </row>
    <row r="9092" spans="5:5">
      <c r="E9092"/>
    </row>
    <row r="9093" spans="5:5">
      <c r="E9093"/>
    </row>
    <row r="9094" spans="5:5">
      <c r="E9094"/>
    </row>
    <row r="9095" spans="5:5">
      <c r="E9095"/>
    </row>
    <row r="9096" spans="5:5">
      <c r="E9096"/>
    </row>
    <row r="9097" spans="5:5">
      <c r="E9097"/>
    </row>
    <row r="9098" spans="5:5">
      <c r="E9098"/>
    </row>
    <row r="9099" spans="5:5">
      <c r="E9099"/>
    </row>
    <row r="9100" spans="5:5">
      <c r="E9100"/>
    </row>
    <row r="9101" spans="5:5">
      <c r="E9101"/>
    </row>
    <row r="9102" spans="5:5">
      <c r="E9102"/>
    </row>
    <row r="9103" spans="5:5">
      <c r="E9103"/>
    </row>
    <row r="9104" spans="5:5">
      <c r="E9104"/>
    </row>
    <row r="9105" spans="5:5">
      <c r="E9105"/>
    </row>
    <row r="9106" spans="5:5">
      <c r="E9106"/>
    </row>
    <row r="9107" spans="5:5">
      <c r="E9107"/>
    </row>
    <row r="9108" spans="5:5">
      <c r="E9108"/>
    </row>
    <row r="9109" spans="5:5">
      <c r="E9109"/>
    </row>
    <row r="9110" spans="5:5">
      <c r="E9110"/>
    </row>
    <row r="9111" spans="5:5">
      <c r="E9111"/>
    </row>
    <row r="9112" spans="5:5">
      <c r="E9112"/>
    </row>
    <row r="9113" spans="5:5">
      <c r="E9113"/>
    </row>
    <row r="9114" spans="5:5">
      <c r="E9114"/>
    </row>
    <row r="9115" spans="5:5">
      <c r="E9115"/>
    </row>
    <row r="9116" spans="5:5">
      <c r="E9116"/>
    </row>
    <row r="9117" spans="5:5">
      <c r="E9117"/>
    </row>
    <row r="9118" spans="5:5">
      <c r="E9118"/>
    </row>
    <row r="9119" spans="5:5">
      <c r="E9119"/>
    </row>
    <row r="9120" spans="5:5">
      <c r="E9120"/>
    </row>
    <row r="9121" spans="5:5">
      <c r="E9121"/>
    </row>
    <row r="9122" spans="5:5">
      <c r="E9122"/>
    </row>
    <row r="9123" spans="5:5">
      <c r="E9123"/>
    </row>
    <row r="9124" spans="5:5">
      <c r="E9124"/>
    </row>
    <row r="9125" spans="5:5">
      <c r="E9125"/>
    </row>
    <row r="9126" spans="5:5">
      <c r="E9126"/>
    </row>
    <row r="9127" spans="5:5">
      <c r="E9127"/>
    </row>
    <row r="9128" spans="5:5">
      <c r="E9128"/>
    </row>
    <row r="9129" spans="5:5">
      <c r="E9129"/>
    </row>
    <row r="9130" spans="5:5">
      <c r="E9130"/>
    </row>
    <row r="9131" spans="5:5">
      <c r="E9131"/>
    </row>
    <row r="9132" spans="5:5">
      <c r="E9132"/>
    </row>
    <row r="9133" spans="5:5">
      <c r="E9133"/>
    </row>
    <row r="9134" spans="5:5">
      <c r="E9134"/>
    </row>
    <row r="9135" spans="5:5">
      <c r="E9135"/>
    </row>
    <row r="9136" spans="5:5">
      <c r="E9136"/>
    </row>
    <row r="9137" spans="5:5">
      <c r="E9137"/>
    </row>
    <row r="9138" spans="5:5">
      <c r="E9138"/>
    </row>
    <row r="9139" spans="5:5">
      <c r="E9139"/>
    </row>
    <row r="9140" spans="5:5">
      <c r="E9140"/>
    </row>
    <row r="9141" spans="5:5">
      <c r="E9141"/>
    </row>
    <row r="9142" spans="5:5">
      <c r="E9142"/>
    </row>
    <row r="9143" spans="5:5">
      <c r="E9143"/>
    </row>
    <row r="9144" spans="5:5">
      <c r="E9144"/>
    </row>
    <row r="9145" spans="5:5">
      <c r="E9145"/>
    </row>
    <row r="9146" spans="5:5">
      <c r="E9146"/>
    </row>
    <row r="9147" spans="5:5">
      <c r="E9147"/>
    </row>
    <row r="9148" spans="5:5">
      <c r="E9148"/>
    </row>
    <row r="9149" spans="5:5">
      <c r="E9149"/>
    </row>
    <row r="9150" spans="5:5">
      <c r="E9150"/>
    </row>
    <row r="9151" spans="5:5">
      <c r="E9151"/>
    </row>
    <row r="9152" spans="5:5">
      <c r="E9152"/>
    </row>
    <row r="9153" spans="5:5">
      <c r="E9153"/>
    </row>
    <row r="9154" spans="5:5">
      <c r="E9154"/>
    </row>
    <row r="9155" spans="5:5">
      <c r="E9155"/>
    </row>
    <row r="9156" spans="5:5">
      <c r="E9156"/>
    </row>
    <row r="9157" spans="5:5">
      <c r="E9157"/>
    </row>
    <row r="9158" spans="5:5">
      <c r="E9158"/>
    </row>
    <row r="9159" spans="5:5">
      <c r="E9159"/>
    </row>
    <row r="9160" spans="5:5">
      <c r="E9160"/>
    </row>
    <row r="9161" spans="5:5">
      <c r="E9161"/>
    </row>
    <row r="9162" spans="5:5">
      <c r="E9162"/>
    </row>
    <row r="9163" spans="5:5">
      <c r="E9163"/>
    </row>
    <row r="9164" spans="5:5">
      <c r="E9164"/>
    </row>
    <row r="9165" spans="5:5">
      <c r="E9165"/>
    </row>
    <row r="9166" spans="5:5">
      <c r="E9166"/>
    </row>
    <row r="9167" spans="5:5">
      <c r="E9167"/>
    </row>
    <row r="9168" spans="5:5">
      <c r="E9168"/>
    </row>
    <row r="9169" spans="5:5">
      <c r="E9169"/>
    </row>
    <row r="9170" spans="5:5">
      <c r="E9170"/>
    </row>
    <row r="9171" spans="5:5">
      <c r="E9171"/>
    </row>
    <row r="9172" spans="5:5">
      <c r="E9172"/>
    </row>
    <row r="9173" spans="5:5">
      <c r="E9173"/>
    </row>
    <row r="9174" spans="5:5">
      <c r="E9174"/>
    </row>
    <row r="9175" spans="5:5">
      <c r="E9175"/>
    </row>
    <row r="9176" spans="5:5">
      <c r="E9176"/>
    </row>
    <row r="9177" spans="5:5">
      <c r="E9177"/>
    </row>
    <row r="9178" spans="5:5">
      <c r="E9178"/>
    </row>
    <row r="9179" spans="5:5">
      <c r="E9179"/>
    </row>
    <row r="9180" spans="5:5">
      <c r="E9180"/>
    </row>
    <row r="9181" spans="5:5">
      <c r="E9181"/>
    </row>
    <row r="9182" spans="5:5">
      <c r="E9182"/>
    </row>
    <row r="9183" spans="5:5">
      <c r="E9183"/>
    </row>
    <row r="9184" spans="5:5">
      <c r="E9184"/>
    </row>
    <row r="9185" spans="5:5">
      <c r="E9185"/>
    </row>
    <row r="9186" spans="5:5">
      <c r="E9186"/>
    </row>
    <row r="9187" spans="5:5">
      <c r="E9187"/>
    </row>
    <row r="9188" spans="5:5">
      <c r="E9188"/>
    </row>
    <row r="9189" spans="5:5">
      <c r="E9189"/>
    </row>
    <row r="9190" spans="5:5">
      <c r="E9190"/>
    </row>
    <row r="9191" spans="5:5">
      <c r="E9191"/>
    </row>
    <row r="9192" spans="5:5">
      <c r="E9192"/>
    </row>
    <row r="9193" spans="5:5">
      <c r="E9193"/>
    </row>
    <row r="9194" spans="5:5">
      <c r="E9194"/>
    </row>
    <row r="9195" spans="5:5">
      <c r="E9195"/>
    </row>
    <row r="9196" spans="5:5">
      <c r="E9196"/>
    </row>
    <row r="9197" spans="5:5">
      <c r="E9197"/>
    </row>
    <row r="9198" spans="5:5">
      <c r="E9198"/>
    </row>
    <row r="9199" spans="5:5">
      <c r="E9199"/>
    </row>
    <row r="9200" spans="5:5">
      <c r="E9200"/>
    </row>
    <row r="9201" spans="5:5">
      <c r="E9201"/>
    </row>
    <row r="9202" spans="5:5">
      <c r="E9202"/>
    </row>
    <row r="9203" spans="5:5">
      <c r="E9203"/>
    </row>
    <row r="9204" spans="5:5">
      <c r="E9204"/>
    </row>
    <row r="9205" spans="5:5">
      <c r="E9205"/>
    </row>
    <row r="9206" spans="5:5">
      <c r="E9206"/>
    </row>
    <row r="9207" spans="5:5">
      <c r="E9207"/>
    </row>
    <row r="9208" spans="5:5">
      <c r="E9208"/>
    </row>
    <row r="9209" spans="5:5">
      <c r="E9209"/>
    </row>
    <row r="9210" spans="5:5">
      <c r="E9210"/>
    </row>
    <row r="9211" spans="5:5">
      <c r="E9211"/>
    </row>
    <row r="9212" spans="5:5">
      <c r="E9212"/>
    </row>
    <row r="9213" spans="5:5">
      <c r="E9213"/>
    </row>
    <row r="9214" spans="5:5">
      <c r="E9214"/>
    </row>
    <row r="9215" spans="5:5">
      <c r="E9215"/>
    </row>
    <row r="9216" spans="5:5">
      <c r="E9216"/>
    </row>
    <row r="9217" spans="5:5">
      <c r="E9217"/>
    </row>
    <row r="9218" spans="5:5">
      <c r="E9218"/>
    </row>
    <row r="9219" spans="5:5">
      <c r="E9219"/>
    </row>
    <row r="9220" spans="5:5">
      <c r="E9220"/>
    </row>
    <row r="9221" spans="5:5">
      <c r="E9221"/>
    </row>
    <row r="9222" spans="5:5">
      <c r="E9222"/>
    </row>
    <row r="9223" spans="5:5">
      <c r="E9223"/>
    </row>
    <row r="9224" spans="5:5">
      <c r="E9224"/>
    </row>
    <row r="9225" spans="5:5">
      <c r="E9225"/>
    </row>
    <row r="9226" spans="5:5">
      <c r="E9226"/>
    </row>
    <row r="9227" spans="5:5">
      <c r="E9227"/>
    </row>
    <row r="9228" spans="5:5">
      <c r="E9228"/>
    </row>
    <row r="9229" spans="5:5">
      <c r="E9229"/>
    </row>
    <row r="9230" spans="5:5">
      <c r="E9230"/>
    </row>
    <row r="9231" spans="5:5">
      <c r="E9231"/>
    </row>
    <row r="9232" spans="5:5">
      <c r="E9232"/>
    </row>
    <row r="9233" spans="5:5">
      <c r="E9233"/>
    </row>
    <row r="9234" spans="5:5">
      <c r="E9234"/>
    </row>
    <row r="9235" spans="5:5">
      <c r="E9235"/>
    </row>
    <row r="9236" spans="5:5">
      <c r="E9236"/>
    </row>
    <row r="9237" spans="5:5">
      <c r="E9237"/>
    </row>
    <row r="9238" spans="5:5">
      <c r="E9238"/>
    </row>
    <row r="9239" spans="5:5">
      <c r="E9239"/>
    </row>
    <row r="9240" spans="5:5">
      <c r="E9240"/>
    </row>
    <row r="9241" spans="5:5">
      <c r="E9241"/>
    </row>
    <row r="9242" spans="5:5">
      <c r="E9242"/>
    </row>
    <row r="9243" spans="5:5">
      <c r="E9243"/>
    </row>
    <row r="9244" spans="5:5">
      <c r="E9244"/>
    </row>
    <row r="9245" spans="5:5">
      <c r="E9245"/>
    </row>
    <row r="9246" spans="5:5">
      <c r="E9246"/>
    </row>
    <row r="9247" spans="5:5">
      <c r="E9247"/>
    </row>
    <row r="9248" spans="5:5">
      <c r="E9248"/>
    </row>
    <row r="9249" spans="5:5">
      <c r="E9249"/>
    </row>
    <row r="9250" spans="5:5">
      <c r="E9250"/>
    </row>
    <row r="9251" spans="5:5">
      <c r="E9251"/>
    </row>
    <row r="9252" spans="5:5">
      <c r="E9252"/>
    </row>
    <row r="9253" spans="5:5">
      <c r="E9253"/>
    </row>
    <row r="9254" spans="5:5">
      <c r="E9254"/>
    </row>
    <row r="9255" spans="5:5">
      <c r="E9255"/>
    </row>
    <row r="9256" spans="5:5">
      <c r="E9256"/>
    </row>
    <row r="9257" spans="5:5">
      <c r="E9257"/>
    </row>
    <row r="9258" spans="5:5">
      <c r="E9258"/>
    </row>
    <row r="9259" spans="5:5">
      <c r="E9259"/>
    </row>
    <row r="9260" spans="5:5">
      <c r="E9260"/>
    </row>
    <row r="9261" spans="5:5">
      <c r="E9261"/>
    </row>
    <row r="9262" spans="5:5">
      <c r="E9262"/>
    </row>
    <row r="9263" spans="5:5">
      <c r="E9263"/>
    </row>
    <row r="9264" spans="5:5">
      <c r="E9264"/>
    </row>
    <row r="9265" spans="5:5">
      <c r="E9265"/>
    </row>
    <row r="9266" spans="5:5">
      <c r="E9266"/>
    </row>
    <row r="9267" spans="5:5">
      <c r="E9267"/>
    </row>
    <row r="9268" spans="5:5">
      <c r="E9268"/>
    </row>
    <row r="9269" spans="5:5">
      <c r="E9269"/>
    </row>
    <row r="9270" spans="5:5">
      <c r="E9270"/>
    </row>
    <row r="9271" spans="5:5">
      <c r="E9271"/>
    </row>
    <row r="9272" spans="5:5">
      <c r="E9272"/>
    </row>
    <row r="9273" spans="5:5">
      <c r="E9273"/>
    </row>
    <row r="9274" spans="5:5">
      <c r="E9274"/>
    </row>
    <row r="9275" spans="5:5">
      <c r="E9275"/>
    </row>
    <row r="9276" spans="5:5">
      <c r="E9276"/>
    </row>
    <row r="9277" spans="5:5">
      <c r="E9277"/>
    </row>
    <row r="9278" spans="5:5">
      <c r="E9278"/>
    </row>
    <row r="9279" spans="5:5">
      <c r="E9279"/>
    </row>
    <row r="9280" spans="5:5">
      <c r="E9280"/>
    </row>
    <row r="9281" spans="5:5">
      <c r="E9281"/>
    </row>
    <row r="9282" spans="5:5">
      <c r="E9282"/>
    </row>
    <row r="9283" spans="5:5">
      <c r="E9283"/>
    </row>
    <row r="9284" spans="5:5">
      <c r="E9284"/>
    </row>
    <row r="9285" spans="5:5">
      <c r="E9285"/>
    </row>
    <row r="9286" spans="5:5">
      <c r="E9286"/>
    </row>
    <row r="9287" spans="5:5">
      <c r="E9287"/>
    </row>
    <row r="9288" spans="5:5">
      <c r="E9288"/>
    </row>
    <row r="9289" spans="5:5">
      <c r="E9289"/>
    </row>
    <row r="9290" spans="5:5">
      <c r="E9290"/>
    </row>
    <row r="9291" spans="5:5">
      <c r="E9291"/>
    </row>
    <row r="9292" spans="5:5">
      <c r="E9292"/>
    </row>
    <row r="9293" spans="5:5">
      <c r="E9293"/>
    </row>
    <row r="9294" spans="5:5">
      <c r="E9294"/>
    </row>
    <row r="9295" spans="5:5">
      <c r="E9295"/>
    </row>
    <row r="9296" spans="5:5">
      <c r="E9296"/>
    </row>
    <row r="9297" spans="5:5">
      <c r="E9297"/>
    </row>
    <row r="9298" spans="5:5">
      <c r="E9298"/>
    </row>
    <row r="9299" spans="5:5">
      <c r="E9299"/>
    </row>
    <row r="9300" spans="5:5">
      <c r="E9300"/>
    </row>
    <row r="9301" spans="5:5">
      <c r="E9301"/>
    </row>
    <row r="9302" spans="5:5">
      <c r="E9302"/>
    </row>
    <row r="9303" spans="5:5">
      <c r="E9303"/>
    </row>
    <row r="9304" spans="5:5">
      <c r="E9304"/>
    </row>
    <row r="9305" spans="5:5">
      <c r="E9305"/>
    </row>
    <row r="9306" spans="5:5">
      <c r="E9306"/>
    </row>
    <row r="9307" spans="5:5">
      <c r="E9307"/>
    </row>
    <row r="9308" spans="5:5">
      <c r="E9308"/>
    </row>
    <row r="9309" spans="5:5">
      <c r="E9309"/>
    </row>
    <row r="9310" spans="5:5">
      <c r="E9310"/>
    </row>
    <row r="9311" spans="5:5">
      <c r="E9311"/>
    </row>
    <row r="9312" spans="5:5">
      <c r="E9312"/>
    </row>
    <row r="9313" spans="5:5">
      <c r="E9313"/>
    </row>
    <row r="9314" spans="5:5">
      <c r="E9314"/>
    </row>
    <row r="9315" spans="5:5">
      <c r="E9315"/>
    </row>
    <row r="9316" spans="5:5">
      <c r="E9316"/>
    </row>
    <row r="9317" spans="5:5">
      <c r="E9317"/>
    </row>
    <row r="9318" spans="5:5">
      <c r="E9318"/>
    </row>
    <row r="9319" spans="5:5">
      <c r="E9319"/>
    </row>
    <row r="9320" spans="5:5">
      <c r="E9320"/>
    </row>
    <row r="9321" spans="5:5">
      <c r="E9321"/>
    </row>
    <row r="9322" spans="5:5">
      <c r="E9322"/>
    </row>
    <row r="9323" spans="5:5">
      <c r="E9323"/>
    </row>
    <row r="9324" spans="5:5">
      <c r="E9324"/>
    </row>
    <row r="9325" spans="5:5">
      <c r="E9325"/>
    </row>
    <row r="9326" spans="5:5">
      <c r="E9326"/>
    </row>
    <row r="9327" spans="5:5">
      <c r="E9327"/>
    </row>
    <row r="9328" spans="5:5">
      <c r="E9328"/>
    </row>
    <row r="9329" spans="5:5">
      <c r="E9329"/>
    </row>
    <row r="9330" spans="5:5">
      <c r="E9330"/>
    </row>
    <row r="9331" spans="5:5">
      <c r="E9331"/>
    </row>
    <row r="9332" spans="5:5">
      <c r="E9332"/>
    </row>
    <row r="9333" spans="5:5">
      <c r="E9333"/>
    </row>
    <row r="9334" spans="5:5">
      <c r="E9334"/>
    </row>
    <row r="9335" spans="5:5">
      <c r="E9335"/>
    </row>
    <row r="9336" spans="5:5">
      <c r="E9336"/>
    </row>
    <row r="9337" spans="5:5">
      <c r="E9337"/>
    </row>
    <row r="9338" spans="5:5">
      <c r="E9338"/>
    </row>
    <row r="9339" spans="5:5">
      <c r="E9339"/>
    </row>
    <row r="9340" spans="5:5">
      <c r="E9340"/>
    </row>
    <row r="9341" spans="5:5">
      <c r="E9341"/>
    </row>
    <row r="9342" spans="5:5">
      <c r="E9342"/>
    </row>
    <row r="9343" spans="5:5">
      <c r="E9343"/>
    </row>
    <row r="9344" spans="5:5">
      <c r="E9344"/>
    </row>
    <row r="9345" spans="5:5">
      <c r="E9345"/>
    </row>
    <row r="9346" spans="5:5">
      <c r="E9346"/>
    </row>
    <row r="9347" spans="5:5">
      <c r="E9347"/>
    </row>
    <row r="9348" spans="5:5">
      <c r="E9348"/>
    </row>
    <row r="9349" spans="5:5">
      <c r="E9349"/>
    </row>
    <row r="9350" spans="5:5">
      <c r="E9350"/>
    </row>
    <row r="9351" spans="5:5">
      <c r="E9351"/>
    </row>
    <row r="9352" spans="5:5">
      <c r="E9352"/>
    </row>
    <row r="9353" spans="5:5">
      <c r="E9353"/>
    </row>
    <row r="9354" spans="5:5">
      <c r="E9354"/>
    </row>
    <row r="9355" spans="5:5">
      <c r="E9355"/>
    </row>
    <row r="9356" spans="5:5">
      <c r="E9356"/>
    </row>
    <row r="9357" spans="5:5">
      <c r="E9357"/>
    </row>
    <row r="9358" spans="5:5">
      <c r="E9358"/>
    </row>
    <row r="9359" spans="5:5">
      <c r="E9359"/>
    </row>
    <row r="9360" spans="5:5">
      <c r="E9360"/>
    </row>
    <row r="9361" spans="5:5">
      <c r="E9361"/>
    </row>
    <row r="9362" spans="5:5">
      <c r="E9362"/>
    </row>
    <row r="9363" spans="5:5">
      <c r="E9363"/>
    </row>
    <row r="9364" spans="5:5">
      <c r="E9364"/>
    </row>
    <row r="9365" spans="5:5">
      <c r="E9365"/>
    </row>
    <row r="9366" spans="5:5">
      <c r="E9366"/>
    </row>
    <row r="9367" spans="5:5">
      <c r="E9367"/>
    </row>
    <row r="9368" spans="5:5">
      <c r="E9368"/>
    </row>
    <row r="9369" spans="5:5">
      <c r="E9369"/>
    </row>
    <row r="9370" spans="5:5">
      <c r="E9370"/>
    </row>
    <row r="9371" spans="5:5">
      <c r="E9371"/>
    </row>
    <row r="9372" spans="5:5">
      <c r="E9372"/>
    </row>
    <row r="9373" spans="5:5">
      <c r="E9373"/>
    </row>
    <row r="9374" spans="5:5">
      <c r="E9374"/>
    </row>
    <row r="9375" spans="5:5">
      <c r="E9375"/>
    </row>
    <row r="9376" spans="5:5">
      <c r="E9376"/>
    </row>
    <row r="9377" spans="5:5">
      <c r="E9377"/>
    </row>
    <row r="9378" spans="5:5">
      <c r="E9378"/>
    </row>
    <row r="9379" spans="5:5">
      <c r="E9379"/>
    </row>
    <row r="9380" spans="5:5">
      <c r="E9380"/>
    </row>
    <row r="9381" spans="5:5">
      <c r="E9381"/>
    </row>
    <row r="9382" spans="5:5">
      <c r="E9382"/>
    </row>
    <row r="9383" spans="5:5">
      <c r="E9383"/>
    </row>
    <row r="9384" spans="5:5">
      <c r="E9384"/>
    </row>
    <row r="9385" spans="5:5">
      <c r="E9385"/>
    </row>
    <row r="9386" spans="5:5">
      <c r="E9386"/>
    </row>
    <row r="9387" spans="5:5">
      <c r="E9387"/>
    </row>
    <row r="9388" spans="5:5">
      <c r="E9388"/>
    </row>
    <row r="9389" spans="5:5">
      <c r="E9389"/>
    </row>
    <row r="9390" spans="5:5">
      <c r="E9390"/>
    </row>
    <row r="9391" spans="5:5">
      <c r="E9391"/>
    </row>
    <row r="9392" spans="5:5">
      <c r="E9392"/>
    </row>
    <row r="9393" spans="5:5">
      <c r="E9393"/>
    </row>
    <row r="9394" spans="5:5">
      <c r="E9394"/>
    </row>
    <row r="9395" spans="5:5">
      <c r="E9395"/>
    </row>
    <row r="9396" spans="5:5">
      <c r="E9396"/>
    </row>
    <row r="9397" spans="5:5">
      <c r="E9397"/>
    </row>
    <row r="9398" spans="5:5">
      <c r="E9398"/>
    </row>
    <row r="9399" spans="5:5">
      <c r="E9399"/>
    </row>
    <row r="9400" spans="5:5">
      <c r="E9400"/>
    </row>
    <row r="9401" spans="5:5">
      <c r="E9401"/>
    </row>
    <row r="9402" spans="5:5">
      <c r="E9402"/>
    </row>
    <row r="9403" spans="5:5">
      <c r="E9403"/>
    </row>
    <row r="9404" spans="5:5">
      <c r="E9404"/>
    </row>
    <row r="9405" spans="5:5">
      <c r="E9405"/>
    </row>
    <row r="9406" spans="5:5">
      <c r="E9406"/>
    </row>
    <row r="9407" spans="5:5">
      <c r="E9407"/>
    </row>
    <row r="9408" spans="5:5">
      <c r="E9408"/>
    </row>
    <row r="9409" spans="5:5">
      <c r="E9409"/>
    </row>
    <row r="9410" spans="5:5">
      <c r="E9410"/>
    </row>
    <row r="9411" spans="5:5">
      <c r="E9411"/>
    </row>
    <row r="9412" spans="5:5">
      <c r="E9412"/>
    </row>
    <row r="9413" spans="5:5">
      <c r="E9413"/>
    </row>
    <row r="9414" spans="5:5">
      <c r="E9414"/>
    </row>
    <row r="9415" spans="5:5">
      <c r="E9415"/>
    </row>
    <row r="9416" spans="5:5">
      <c r="E9416"/>
    </row>
    <row r="9417" spans="5:5">
      <c r="E9417"/>
    </row>
    <row r="9418" spans="5:5">
      <c r="E9418"/>
    </row>
    <row r="9419" spans="5:5">
      <c r="E9419"/>
    </row>
    <row r="9420" spans="5:5">
      <c r="E9420"/>
    </row>
    <row r="9421" spans="5:5">
      <c r="E9421"/>
    </row>
    <row r="9422" spans="5:5">
      <c r="E9422"/>
    </row>
    <row r="9423" spans="5:5">
      <c r="E9423"/>
    </row>
    <row r="9424" spans="5:5">
      <c r="E9424"/>
    </row>
    <row r="9425" spans="5:5">
      <c r="E9425"/>
    </row>
    <row r="9426" spans="5:5">
      <c r="E9426"/>
    </row>
    <row r="9427" spans="5:5">
      <c r="E9427"/>
    </row>
    <row r="9428" spans="5:5">
      <c r="E9428"/>
    </row>
    <row r="9429" spans="5:5">
      <c r="E9429"/>
    </row>
    <row r="9430" spans="5:5">
      <c r="E9430"/>
    </row>
    <row r="9431" spans="5:5">
      <c r="E9431"/>
    </row>
    <row r="9432" spans="5:5">
      <c r="E9432"/>
    </row>
    <row r="9433" spans="5:5">
      <c r="E9433"/>
    </row>
    <row r="9434" spans="5:5">
      <c r="E9434"/>
    </row>
    <row r="9435" spans="5:5">
      <c r="E9435"/>
    </row>
    <row r="9436" spans="5:5">
      <c r="E9436"/>
    </row>
    <row r="9437" spans="5:5">
      <c r="E9437"/>
    </row>
    <row r="9438" spans="5:5">
      <c r="E9438"/>
    </row>
    <row r="9439" spans="5:5">
      <c r="E9439"/>
    </row>
    <row r="9440" spans="5:5">
      <c r="E9440"/>
    </row>
    <row r="9441" spans="5:5">
      <c r="E9441"/>
    </row>
    <row r="9442" spans="5:5">
      <c r="E9442"/>
    </row>
    <row r="9443" spans="5:5">
      <c r="E9443"/>
    </row>
    <row r="9444" spans="5:5">
      <c r="E9444"/>
    </row>
    <row r="9445" spans="5:5">
      <c r="E9445"/>
    </row>
    <row r="9446" spans="5:5">
      <c r="E9446"/>
    </row>
    <row r="9447" spans="5:5">
      <c r="E9447"/>
    </row>
    <row r="9448" spans="5:5">
      <c r="E9448"/>
    </row>
    <row r="9449" spans="5:5">
      <c r="E9449"/>
    </row>
    <row r="9450" spans="5:5">
      <c r="E9450"/>
    </row>
    <row r="9451" spans="5:5">
      <c r="E9451"/>
    </row>
    <row r="9452" spans="5:5">
      <c r="E9452"/>
    </row>
    <row r="9453" spans="5:5">
      <c r="E9453"/>
    </row>
    <row r="9454" spans="5:5">
      <c r="E9454"/>
    </row>
    <row r="9455" spans="5:5">
      <c r="E9455"/>
    </row>
    <row r="9456" spans="5:5">
      <c r="E9456"/>
    </row>
    <row r="9457" spans="5:5">
      <c r="E9457"/>
    </row>
    <row r="9458" spans="5:5">
      <c r="E9458"/>
    </row>
    <row r="9459" spans="5:5">
      <c r="E9459"/>
    </row>
    <row r="9460" spans="5:5">
      <c r="E9460"/>
    </row>
    <row r="9461" spans="5:5">
      <c r="E9461"/>
    </row>
    <row r="9462" spans="5:5">
      <c r="E9462"/>
    </row>
    <row r="9463" spans="5:5">
      <c r="E9463"/>
    </row>
    <row r="9464" spans="5:5">
      <c r="E9464"/>
    </row>
    <row r="9465" spans="5:5">
      <c r="E9465"/>
    </row>
    <row r="9466" spans="5:5">
      <c r="E9466"/>
    </row>
    <row r="9467" spans="5:5">
      <c r="E9467"/>
    </row>
    <row r="9468" spans="5:5">
      <c r="E9468"/>
    </row>
    <row r="9469" spans="5:5">
      <c r="E9469"/>
    </row>
    <row r="9470" spans="5:5">
      <c r="E9470"/>
    </row>
    <row r="9471" spans="5:5">
      <c r="E9471"/>
    </row>
    <row r="9472" spans="5:5">
      <c r="E9472"/>
    </row>
    <row r="9473" spans="5:5">
      <c r="E9473"/>
    </row>
    <row r="9474" spans="5:5">
      <c r="E9474"/>
    </row>
    <row r="9475" spans="5:5">
      <c r="E9475"/>
    </row>
    <row r="9476" spans="5:5">
      <c r="E9476"/>
    </row>
    <row r="9477" spans="5:5">
      <c r="E9477"/>
    </row>
    <row r="9478" spans="5:5">
      <c r="E9478"/>
    </row>
    <row r="9479" spans="5:5">
      <c r="E9479"/>
    </row>
    <row r="9480" spans="5:5">
      <c r="E9480"/>
    </row>
    <row r="9481" spans="5:5">
      <c r="E9481"/>
    </row>
    <row r="9482" spans="5:5">
      <c r="E9482"/>
    </row>
    <row r="9483" spans="5:5">
      <c r="E9483"/>
    </row>
    <row r="9484" spans="5:5">
      <c r="E9484"/>
    </row>
    <row r="9485" spans="5:5">
      <c r="E9485"/>
    </row>
    <row r="9486" spans="5:5">
      <c r="E9486"/>
    </row>
    <row r="9487" spans="5:5">
      <c r="E9487"/>
    </row>
    <row r="9488" spans="5:5">
      <c r="E9488"/>
    </row>
    <row r="9489" spans="5:5">
      <c r="E9489"/>
    </row>
    <row r="9490" spans="5:5">
      <c r="E9490"/>
    </row>
    <row r="9491" spans="5:5">
      <c r="E9491"/>
    </row>
    <row r="9492" spans="5:5">
      <c r="E9492"/>
    </row>
    <row r="9493" spans="5:5">
      <c r="E9493"/>
    </row>
    <row r="9494" spans="5:5">
      <c r="E9494"/>
    </row>
    <row r="9495" spans="5:5">
      <c r="E9495"/>
    </row>
    <row r="9496" spans="5:5">
      <c r="E9496"/>
    </row>
    <row r="9497" spans="5:5">
      <c r="E9497"/>
    </row>
    <row r="9498" spans="5:5">
      <c r="E9498"/>
    </row>
    <row r="9499" spans="5:5">
      <c r="E9499"/>
    </row>
    <row r="9500" spans="5:5">
      <c r="E9500"/>
    </row>
    <row r="9501" spans="5:5">
      <c r="E9501"/>
    </row>
    <row r="9502" spans="5:5">
      <c r="E9502"/>
    </row>
    <row r="9503" spans="5:5">
      <c r="E9503"/>
    </row>
    <row r="9504" spans="5:5">
      <c r="E9504"/>
    </row>
    <row r="9505" spans="5:5">
      <c r="E9505"/>
    </row>
    <row r="9506" spans="5:5">
      <c r="E9506"/>
    </row>
    <row r="9507" spans="5:5">
      <c r="E9507"/>
    </row>
    <row r="9508" spans="5:5">
      <c r="E9508"/>
    </row>
    <row r="9509" spans="5:5">
      <c r="E9509"/>
    </row>
    <row r="9510" spans="5:5">
      <c r="E9510"/>
    </row>
    <row r="9511" spans="5:5">
      <c r="E9511"/>
    </row>
    <row r="9512" spans="5:5">
      <c r="E9512"/>
    </row>
    <row r="9513" spans="5:5">
      <c r="E9513"/>
    </row>
    <row r="9514" spans="5:5">
      <c r="E9514"/>
    </row>
    <row r="9515" spans="5:5">
      <c r="E9515"/>
    </row>
    <row r="9516" spans="5:5">
      <c r="E9516"/>
    </row>
    <row r="9517" spans="5:5">
      <c r="E9517"/>
    </row>
    <row r="9518" spans="5:5">
      <c r="E9518"/>
    </row>
    <row r="9519" spans="5:5">
      <c r="E9519"/>
    </row>
    <row r="9520" spans="5:5">
      <c r="E9520"/>
    </row>
    <row r="9521" spans="5:5">
      <c r="E9521"/>
    </row>
    <row r="9522" spans="5:5">
      <c r="E9522"/>
    </row>
    <row r="9523" spans="5:5">
      <c r="E9523"/>
    </row>
    <row r="9524" spans="5:5">
      <c r="E9524"/>
    </row>
    <row r="9525" spans="5:5">
      <c r="E9525"/>
    </row>
    <row r="9526" spans="5:5">
      <c r="E9526"/>
    </row>
    <row r="9527" spans="5:5">
      <c r="E9527"/>
    </row>
    <row r="9528" spans="5:5">
      <c r="E9528"/>
    </row>
    <row r="9529" spans="5:5">
      <c r="E9529"/>
    </row>
    <row r="9530" spans="5:5">
      <c r="E9530"/>
    </row>
    <row r="9531" spans="5:5">
      <c r="E9531"/>
    </row>
    <row r="9532" spans="5:5">
      <c r="E9532"/>
    </row>
    <row r="9533" spans="5:5">
      <c r="E9533"/>
    </row>
    <row r="9534" spans="5:5">
      <c r="E9534"/>
    </row>
    <row r="9535" spans="5:5">
      <c r="E9535"/>
    </row>
    <row r="9536" spans="5:5">
      <c r="E9536"/>
    </row>
    <row r="9537" spans="5:5">
      <c r="E9537"/>
    </row>
    <row r="9538" spans="5:5">
      <c r="E9538"/>
    </row>
    <row r="9539" spans="5:5">
      <c r="E9539"/>
    </row>
    <row r="9540" spans="5:5">
      <c r="E9540"/>
    </row>
    <row r="9541" spans="5:5">
      <c r="E9541"/>
    </row>
    <row r="9542" spans="5:5">
      <c r="E9542"/>
    </row>
    <row r="9543" spans="5:5">
      <c r="E9543"/>
    </row>
    <row r="9544" spans="5:5">
      <c r="E9544"/>
    </row>
    <row r="9545" spans="5:5">
      <c r="E9545"/>
    </row>
    <row r="9546" spans="5:5">
      <c r="E9546"/>
    </row>
    <row r="9547" spans="5:5">
      <c r="E9547"/>
    </row>
    <row r="9548" spans="5:5">
      <c r="E9548"/>
    </row>
    <row r="9549" spans="5:5">
      <c r="E9549"/>
    </row>
    <row r="9550" spans="5:5">
      <c r="E9550"/>
    </row>
    <row r="9551" spans="5:5">
      <c r="E9551"/>
    </row>
    <row r="9552" spans="5:5">
      <c r="E9552"/>
    </row>
    <row r="9553" spans="5:5">
      <c r="E9553"/>
    </row>
    <row r="9554" spans="5:5">
      <c r="E9554"/>
    </row>
    <row r="9555" spans="5:5">
      <c r="E9555"/>
    </row>
    <row r="9556" spans="5:5">
      <c r="E9556"/>
    </row>
    <row r="9557" spans="5:5">
      <c r="E9557"/>
    </row>
    <row r="9558" spans="5:5">
      <c r="E9558"/>
    </row>
    <row r="9559" spans="5:5">
      <c r="E9559"/>
    </row>
    <row r="9560" spans="5:5">
      <c r="E9560"/>
    </row>
    <row r="9561" spans="5:5">
      <c r="E9561"/>
    </row>
    <row r="9562" spans="5:5">
      <c r="E9562"/>
    </row>
    <row r="9563" spans="5:5">
      <c r="E9563"/>
    </row>
    <row r="9564" spans="5:5">
      <c r="E9564"/>
    </row>
    <row r="9565" spans="5:5">
      <c r="E9565"/>
    </row>
    <row r="9566" spans="5:5">
      <c r="E9566"/>
    </row>
    <row r="9567" spans="5:5">
      <c r="E9567"/>
    </row>
    <row r="9568" spans="5:5">
      <c r="E9568"/>
    </row>
    <row r="9569" spans="5:5">
      <c r="E9569"/>
    </row>
    <row r="9570" spans="5:5">
      <c r="E9570"/>
    </row>
    <row r="9571" spans="5:5">
      <c r="E9571"/>
    </row>
    <row r="9572" spans="5:5">
      <c r="E9572"/>
    </row>
    <row r="9573" spans="5:5">
      <c r="E9573"/>
    </row>
    <row r="9574" spans="5:5">
      <c r="E9574"/>
    </row>
    <row r="9575" spans="5:5">
      <c r="E9575"/>
    </row>
    <row r="9576" spans="5:5">
      <c r="E9576"/>
    </row>
    <row r="9577" spans="5:5">
      <c r="E9577"/>
    </row>
    <row r="9578" spans="5:5">
      <c r="E9578"/>
    </row>
    <row r="9579" spans="5:5">
      <c r="E9579"/>
    </row>
    <row r="9580" spans="5:5">
      <c r="E9580"/>
    </row>
    <row r="9581" spans="5:5">
      <c r="E9581"/>
    </row>
    <row r="9582" spans="5:5">
      <c r="E9582"/>
    </row>
    <row r="9583" spans="5:5">
      <c r="E9583"/>
    </row>
    <row r="9584" spans="5:5">
      <c r="E9584"/>
    </row>
    <row r="9585" spans="5:5">
      <c r="E9585"/>
    </row>
    <row r="9586" spans="5:5">
      <c r="E9586"/>
    </row>
    <row r="9587" spans="5:5">
      <c r="E9587"/>
    </row>
    <row r="9588" spans="5:5">
      <c r="E9588"/>
    </row>
    <row r="9589" spans="5:5">
      <c r="E9589"/>
    </row>
    <row r="9590" spans="5:5">
      <c r="E9590"/>
    </row>
    <row r="9591" spans="5:5">
      <c r="E9591"/>
    </row>
    <row r="9592" spans="5:5">
      <c r="E9592"/>
    </row>
    <row r="9593" spans="5:5">
      <c r="E9593"/>
    </row>
    <row r="9594" spans="5:5">
      <c r="E9594"/>
    </row>
    <row r="9595" spans="5:5">
      <c r="E9595"/>
    </row>
    <row r="9596" spans="5:5">
      <c r="E9596"/>
    </row>
    <row r="9597" spans="5:5">
      <c r="E9597"/>
    </row>
    <row r="9598" spans="5:5">
      <c r="E9598"/>
    </row>
    <row r="9599" spans="5:5">
      <c r="E9599"/>
    </row>
    <row r="9600" spans="5:5">
      <c r="E9600"/>
    </row>
    <row r="9601" spans="5:5">
      <c r="E9601"/>
    </row>
    <row r="9602" spans="5:5">
      <c r="E9602"/>
    </row>
    <row r="9603" spans="5:5">
      <c r="E9603"/>
    </row>
    <row r="9604" spans="5:5">
      <c r="E9604"/>
    </row>
    <row r="9605" spans="5:5">
      <c r="E9605"/>
    </row>
    <row r="9606" spans="5:5">
      <c r="E9606"/>
    </row>
    <row r="9607" spans="5:5">
      <c r="E9607"/>
    </row>
    <row r="9608" spans="5:5">
      <c r="E9608"/>
    </row>
    <row r="9609" spans="5:5">
      <c r="E9609"/>
    </row>
    <row r="9610" spans="5:5">
      <c r="E9610"/>
    </row>
    <row r="9611" spans="5:5">
      <c r="E9611"/>
    </row>
    <row r="9612" spans="5:5">
      <c r="E9612"/>
    </row>
    <row r="9613" spans="5:5">
      <c r="E9613"/>
    </row>
    <row r="9614" spans="5:5">
      <c r="E9614"/>
    </row>
    <row r="9615" spans="5:5">
      <c r="E9615"/>
    </row>
    <row r="9616" spans="5:5">
      <c r="E9616"/>
    </row>
    <row r="9617" spans="5:5">
      <c r="E9617"/>
    </row>
    <row r="9618" spans="5:5">
      <c r="E9618"/>
    </row>
    <row r="9619" spans="5:5">
      <c r="E9619"/>
    </row>
    <row r="9620" spans="5:5">
      <c r="E9620"/>
    </row>
    <row r="9621" spans="5:5">
      <c r="E9621"/>
    </row>
    <row r="9622" spans="5:5">
      <c r="E9622"/>
    </row>
    <row r="9623" spans="5:5">
      <c r="E9623"/>
    </row>
    <row r="9624" spans="5:5">
      <c r="E9624"/>
    </row>
    <row r="9625" spans="5:5">
      <c r="E9625"/>
    </row>
    <row r="9626" spans="5:5">
      <c r="E9626"/>
    </row>
    <row r="9627" spans="5:5">
      <c r="E9627"/>
    </row>
    <row r="9628" spans="5:5">
      <c r="E9628"/>
    </row>
    <row r="9629" spans="5:5">
      <c r="E9629"/>
    </row>
    <row r="9630" spans="5:5">
      <c r="E9630"/>
    </row>
    <row r="9631" spans="5:5">
      <c r="E9631"/>
    </row>
    <row r="9632" spans="5:5">
      <c r="E9632"/>
    </row>
    <row r="9633" spans="5:5">
      <c r="E9633"/>
    </row>
    <row r="9634" spans="5:5">
      <c r="E9634"/>
    </row>
    <row r="9635" spans="5:5">
      <c r="E9635"/>
    </row>
    <row r="9636" spans="5:5">
      <c r="E9636"/>
    </row>
    <row r="9637" spans="5:5">
      <c r="E9637"/>
    </row>
    <row r="9638" spans="5:5">
      <c r="E9638"/>
    </row>
    <row r="9639" spans="5:5">
      <c r="E9639"/>
    </row>
    <row r="9640" spans="5:5">
      <c r="E9640"/>
    </row>
    <row r="9641" spans="5:5">
      <c r="E9641"/>
    </row>
    <row r="9642" spans="5:5">
      <c r="E9642"/>
    </row>
    <row r="9643" spans="5:5">
      <c r="E9643"/>
    </row>
    <row r="9644" spans="5:5">
      <c r="E9644"/>
    </row>
    <row r="9645" spans="5:5">
      <c r="E9645"/>
    </row>
    <row r="9646" spans="5:5">
      <c r="E9646"/>
    </row>
    <row r="9647" spans="5:5">
      <c r="E9647"/>
    </row>
    <row r="9648" spans="5:5">
      <c r="E9648"/>
    </row>
    <row r="9649" spans="5:5">
      <c r="E9649"/>
    </row>
    <row r="9650" spans="5:5">
      <c r="E9650"/>
    </row>
    <row r="9651" spans="5:5">
      <c r="E9651"/>
    </row>
    <row r="9652" spans="5:5">
      <c r="E9652"/>
    </row>
    <row r="9653" spans="5:5">
      <c r="E9653"/>
    </row>
    <row r="9654" spans="5:5">
      <c r="E9654"/>
    </row>
    <row r="9655" spans="5:5">
      <c r="E9655"/>
    </row>
    <row r="9656" spans="5:5">
      <c r="E9656"/>
    </row>
    <row r="9657" spans="5:5">
      <c r="E9657"/>
    </row>
    <row r="9658" spans="5:5">
      <c r="E9658"/>
    </row>
    <row r="9659" spans="5:5">
      <c r="E9659"/>
    </row>
    <row r="9660" spans="5:5">
      <c r="E9660"/>
    </row>
    <row r="9661" spans="5:5">
      <c r="E9661"/>
    </row>
    <row r="9662" spans="5:5">
      <c r="E9662"/>
    </row>
    <row r="9663" spans="5:5">
      <c r="E9663"/>
    </row>
    <row r="9664" spans="5:5">
      <c r="E9664"/>
    </row>
    <row r="9665" spans="5:5">
      <c r="E9665"/>
    </row>
    <row r="9666" spans="5:5">
      <c r="E9666"/>
    </row>
    <row r="9667" spans="5:5">
      <c r="E9667"/>
    </row>
    <row r="9668" spans="5:5">
      <c r="E9668"/>
    </row>
    <row r="9669" spans="5:5">
      <c r="E9669"/>
    </row>
    <row r="9670" spans="5:5">
      <c r="E9670"/>
    </row>
    <row r="9671" spans="5:5">
      <c r="E9671"/>
    </row>
    <row r="9672" spans="5:5">
      <c r="E9672"/>
    </row>
    <row r="9673" spans="5:5">
      <c r="E9673"/>
    </row>
    <row r="9674" spans="5:5">
      <c r="E9674"/>
    </row>
    <row r="9675" spans="5:5">
      <c r="E9675"/>
    </row>
    <row r="9676" spans="5:5">
      <c r="E9676"/>
    </row>
    <row r="9677" spans="5:5">
      <c r="E9677"/>
    </row>
    <row r="9678" spans="5:5">
      <c r="E9678"/>
    </row>
    <row r="9679" spans="5:5">
      <c r="E9679"/>
    </row>
    <row r="9680" spans="5:5">
      <c r="E9680"/>
    </row>
    <row r="9681" spans="5:5">
      <c r="E9681"/>
    </row>
    <row r="9682" spans="5:5">
      <c r="E9682"/>
    </row>
    <row r="9683" spans="5:5">
      <c r="E9683"/>
    </row>
    <row r="9684" spans="5:5">
      <c r="E9684"/>
    </row>
    <row r="9685" spans="5:5">
      <c r="E9685"/>
    </row>
    <row r="9686" spans="5:5">
      <c r="E9686"/>
    </row>
    <row r="9687" spans="5:5">
      <c r="E9687"/>
    </row>
    <row r="9688" spans="5:5">
      <c r="E9688"/>
    </row>
    <row r="9689" spans="5:5">
      <c r="E9689"/>
    </row>
    <row r="9690" spans="5:5">
      <c r="E9690"/>
    </row>
    <row r="9691" spans="5:5">
      <c r="E9691"/>
    </row>
    <row r="9692" spans="5:5">
      <c r="E9692"/>
    </row>
    <row r="9693" spans="5:5">
      <c r="E9693"/>
    </row>
    <row r="9694" spans="5:5">
      <c r="E9694"/>
    </row>
    <row r="9695" spans="5:5">
      <c r="E9695"/>
    </row>
    <row r="9696" spans="5:5">
      <c r="E9696"/>
    </row>
    <row r="9697" spans="5:5">
      <c r="E9697"/>
    </row>
    <row r="9698" spans="5:5">
      <c r="E9698"/>
    </row>
    <row r="9699" spans="5:5">
      <c r="E9699"/>
    </row>
    <row r="9700" spans="5:5">
      <c r="E9700"/>
    </row>
    <row r="9701" spans="5:5">
      <c r="E9701"/>
    </row>
    <row r="9702" spans="5:5">
      <c r="E9702"/>
    </row>
    <row r="9703" spans="5:5">
      <c r="E9703"/>
    </row>
    <row r="9704" spans="5:5">
      <c r="E9704"/>
    </row>
    <row r="9705" spans="5:5">
      <c r="E9705"/>
    </row>
    <row r="9706" spans="5:5">
      <c r="E9706"/>
    </row>
    <row r="9707" spans="5:5">
      <c r="E9707"/>
    </row>
    <row r="9708" spans="5:5">
      <c r="E9708"/>
    </row>
    <row r="9709" spans="5:5">
      <c r="E9709"/>
    </row>
    <row r="9710" spans="5:5">
      <c r="E9710"/>
    </row>
    <row r="9711" spans="5:5">
      <c r="E9711"/>
    </row>
    <row r="9712" spans="5:5">
      <c r="E9712"/>
    </row>
    <row r="9713" spans="5:5">
      <c r="E9713"/>
    </row>
    <row r="9714" spans="5:5">
      <c r="E9714"/>
    </row>
    <row r="9715" spans="5:5">
      <c r="E9715"/>
    </row>
    <row r="9716" spans="5:5">
      <c r="E9716"/>
    </row>
    <row r="9717" spans="5:5">
      <c r="E9717"/>
    </row>
    <row r="9718" spans="5:5">
      <c r="E9718"/>
    </row>
    <row r="9719" spans="5:5">
      <c r="E9719"/>
    </row>
    <row r="9720" spans="5:5">
      <c r="E9720"/>
    </row>
    <row r="9721" spans="5:5">
      <c r="E9721"/>
    </row>
    <row r="9722" spans="5:5">
      <c r="E9722"/>
    </row>
    <row r="9723" spans="5:5">
      <c r="E9723"/>
    </row>
    <row r="9724" spans="5:5">
      <c r="E9724"/>
    </row>
    <row r="9725" spans="5:5">
      <c r="E9725"/>
    </row>
    <row r="9726" spans="5:5">
      <c r="E9726"/>
    </row>
    <row r="9727" spans="5:5">
      <c r="E9727"/>
    </row>
    <row r="9728" spans="5:5">
      <c r="E9728"/>
    </row>
    <row r="9729" spans="5:5">
      <c r="E9729"/>
    </row>
    <row r="9730" spans="5:5">
      <c r="E9730"/>
    </row>
    <row r="9731" spans="5:5">
      <c r="E9731"/>
    </row>
    <row r="9732" spans="5:5">
      <c r="E9732"/>
    </row>
    <row r="9733" spans="5:5">
      <c r="E9733"/>
    </row>
    <row r="9734" spans="5:5">
      <c r="E9734"/>
    </row>
    <row r="9735" spans="5:5">
      <c r="E9735"/>
    </row>
    <row r="9736" spans="5:5">
      <c r="E9736"/>
    </row>
    <row r="9737" spans="5:5">
      <c r="E9737"/>
    </row>
    <row r="9738" spans="5:5">
      <c r="E9738"/>
    </row>
    <row r="9739" spans="5:5">
      <c r="E9739"/>
    </row>
    <row r="9740" spans="5:5">
      <c r="E9740"/>
    </row>
    <row r="9741" spans="5:5">
      <c r="E9741"/>
    </row>
    <row r="9742" spans="5:5">
      <c r="E9742"/>
    </row>
    <row r="9743" spans="5:5">
      <c r="E9743"/>
    </row>
    <row r="9744" spans="5:5">
      <c r="E9744"/>
    </row>
    <row r="9745" spans="5:5">
      <c r="E9745"/>
    </row>
    <row r="9746" spans="5:5">
      <c r="E9746"/>
    </row>
    <row r="9747" spans="5:5">
      <c r="E9747"/>
    </row>
    <row r="9748" spans="5:5">
      <c r="E9748"/>
    </row>
    <row r="9749" spans="5:5">
      <c r="E9749"/>
    </row>
    <row r="9750" spans="5:5">
      <c r="E9750"/>
    </row>
    <row r="9751" spans="5:5">
      <c r="E9751"/>
    </row>
    <row r="9752" spans="5:5">
      <c r="E9752"/>
    </row>
    <row r="9753" spans="5:5">
      <c r="E9753"/>
    </row>
    <row r="9754" spans="5:5">
      <c r="E9754"/>
    </row>
    <row r="9755" spans="5:5">
      <c r="E9755"/>
    </row>
    <row r="9756" spans="5:5">
      <c r="E9756"/>
    </row>
    <row r="9757" spans="5:5">
      <c r="E9757"/>
    </row>
    <row r="9758" spans="5:5">
      <c r="E9758"/>
    </row>
    <row r="9759" spans="5:5">
      <c r="E9759"/>
    </row>
    <row r="9760" spans="5:5">
      <c r="E9760"/>
    </row>
    <row r="9761" spans="5:5">
      <c r="E9761"/>
    </row>
    <row r="9762" spans="5:5">
      <c r="E9762"/>
    </row>
    <row r="9763" spans="5:5">
      <c r="E9763"/>
    </row>
    <row r="9764" spans="5:5">
      <c r="E9764"/>
    </row>
    <row r="9765" spans="5:5">
      <c r="E9765"/>
    </row>
    <row r="9766" spans="5:5">
      <c r="E9766"/>
    </row>
    <row r="9767" spans="5:5">
      <c r="E9767"/>
    </row>
    <row r="9768" spans="5:5">
      <c r="E9768"/>
    </row>
    <row r="9769" spans="5:5">
      <c r="E9769"/>
    </row>
    <row r="9770" spans="5:5">
      <c r="E9770"/>
    </row>
    <row r="9771" spans="5:5">
      <c r="E9771"/>
    </row>
    <row r="9772" spans="5:5">
      <c r="E9772"/>
    </row>
    <row r="9773" spans="5:5">
      <c r="E9773"/>
    </row>
    <row r="9774" spans="5:5">
      <c r="E9774"/>
    </row>
    <row r="9775" spans="5:5">
      <c r="E9775"/>
    </row>
    <row r="9776" spans="5:5">
      <c r="E9776"/>
    </row>
    <row r="9777" spans="5:5">
      <c r="E9777"/>
    </row>
    <row r="9778" spans="5:5">
      <c r="E9778"/>
    </row>
    <row r="9779" spans="5:5">
      <c r="E9779"/>
    </row>
    <row r="9780" spans="5:5">
      <c r="E9780"/>
    </row>
    <row r="9781" spans="5:5">
      <c r="E9781"/>
    </row>
    <row r="9782" spans="5:5">
      <c r="E9782"/>
    </row>
    <row r="9783" spans="5:5">
      <c r="E9783"/>
    </row>
    <row r="9784" spans="5:5">
      <c r="E9784"/>
    </row>
    <row r="9785" spans="5:5">
      <c r="E9785"/>
    </row>
    <row r="9786" spans="5:5">
      <c r="E9786"/>
    </row>
    <row r="9787" spans="5:5">
      <c r="E9787"/>
    </row>
    <row r="9788" spans="5:5">
      <c r="E9788"/>
    </row>
    <row r="9789" spans="5:5">
      <c r="E9789"/>
    </row>
    <row r="9790" spans="5:5">
      <c r="E9790"/>
    </row>
    <row r="9791" spans="5:5">
      <c r="E9791"/>
    </row>
    <row r="9792" spans="5:5">
      <c r="E9792"/>
    </row>
    <row r="9793" spans="5:5">
      <c r="E9793"/>
    </row>
    <row r="9794" spans="5:5">
      <c r="E9794"/>
    </row>
    <row r="9795" spans="5:5">
      <c r="E9795"/>
    </row>
    <row r="9796" spans="5:5">
      <c r="E9796"/>
    </row>
    <row r="9797" spans="5:5">
      <c r="E9797"/>
    </row>
    <row r="9798" spans="5:5">
      <c r="E9798"/>
    </row>
    <row r="9799" spans="5:5">
      <c r="E9799"/>
    </row>
    <row r="9800" spans="5:5">
      <c r="E9800"/>
    </row>
    <row r="9801" spans="5:5">
      <c r="E9801"/>
    </row>
    <row r="9802" spans="5:5">
      <c r="E9802"/>
    </row>
    <row r="9803" spans="5:5">
      <c r="E9803"/>
    </row>
    <row r="9804" spans="5:5">
      <c r="E9804"/>
    </row>
    <row r="9805" spans="5:5">
      <c r="E9805"/>
    </row>
    <row r="9806" spans="5:5">
      <c r="E9806"/>
    </row>
    <row r="9807" spans="5:5">
      <c r="E9807"/>
    </row>
    <row r="9808" spans="5:5">
      <c r="E9808"/>
    </row>
    <row r="9809" spans="5:5">
      <c r="E9809"/>
    </row>
    <row r="9810" spans="5:5">
      <c r="E9810"/>
    </row>
    <row r="9811" spans="5:5">
      <c r="E9811"/>
    </row>
    <row r="9812" spans="5:5">
      <c r="E9812"/>
    </row>
    <row r="9813" spans="5:5">
      <c r="E9813"/>
    </row>
    <row r="9814" spans="5:5">
      <c r="E9814"/>
    </row>
    <row r="9815" spans="5:5">
      <c r="E9815"/>
    </row>
    <row r="9816" spans="5:5">
      <c r="E9816"/>
    </row>
    <row r="9817" spans="5:5">
      <c r="E9817"/>
    </row>
    <row r="9818" spans="5:5">
      <c r="E9818"/>
    </row>
    <row r="9819" spans="5:5">
      <c r="E9819"/>
    </row>
    <row r="9820" spans="5:5">
      <c r="E9820"/>
    </row>
    <row r="9821" spans="5:5">
      <c r="E9821"/>
    </row>
    <row r="9822" spans="5:5">
      <c r="E9822"/>
    </row>
    <row r="9823" spans="5:5">
      <c r="E9823"/>
    </row>
    <row r="9824" spans="5:5">
      <c r="E9824"/>
    </row>
    <row r="9825" spans="5:5">
      <c r="E9825"/>
    </row>
    <row r="9826" spans="5:5">
      <c r="E9826"/>
    </row>
    <row r="9827" spans="5:5">
      <c r="E9827"/>
    </row>
    <row r="9828" spans="5:5">
      <c r="E9828"/>
    </row>
    <row r="9829" spans="5:5">
      <c r="E9829"/>
    </row>
    <row r="9830" spans="5:5">
      <c r="E9830"/>
    </row>
    <row r="9831" spans="5:5">
      <c r="E9831"/>
    </row>
    <row r="9832" spans="5:5">
      <c r="E9832"/>
    </row>
    <row r="9833" spans="5:5">
      <c r="E9833"/>
    </row>
    <row r="9834" spans="5:5">
      <c r="E9834"/>
    </row>
    <row r="9835" spans="5:5">
      <c r="E9835"/>
    </row>
    <row r="9836" spans="5:5">
      <c r="E9836"/>
    </row>
    <row r="9837" spans="5:5">
      <c r="E9837"/>
    </row>
    <row r="9838" spans="5:5">
      <c r="E9838"/>
    </row>
    <row r="9839" spans="5:5">
      <c r="E9839"/>
    </row>
    <row r="9840" spans="5:5">
      <c r="E9840"/>
    </row>
    <row r="9841" spans="5:5">
      <c r="E9841"/>
    </row>
    <row r="9842" spans="5:5">
      <c r="E9842"/>
    </row>
    <row r="9843" spans="5:5">
      <c r="E9843"/>
    </row>
    <row r="9844" spans="5:5">
      <c r="E9844"/>
    </row>
    <row r="9845" spans="5:5">
      <c r="E9845"/>
    </row>
    <row r="9846" spans="5:5">
      <c r="E9846"/>
    </row>
    <row r="9847" spans="5:5">
      <c r="E9847"/>
    </row>
    <row r="9848" spans="5:5">
      <c r="E9848"/>
    </row>
    <row r="9849" spans="5:5">
      <c r="E9849"/>
    </row>
    <row r="9850" spans="5:5">
      <c r="E9850"/>
    </row>
    <row r="9851" spans="5:5">
      <c r="E9851"/>
    </row>
    <row r="9852" spans="5:5">
      <c r="E9852"/>
    </row>
    <row r="9853" spans="5:5">
      <c r="E9853"/>
    </row>
    <row r="9854" spans="5:5">
      <c r="E9854"/>
    </row>
    <row r="9855" spans="5:5">
      <c r="E9855"/>
    </row>
    <row r="9856" spans="5:5">
      <c r="E9856"/>
    </row>
    <row r="9857" spans="5:5">
      <c r="E9857"/>
    </row>
    <row r="9858" spans="5:5">
      <c r="E9858"/>
    </row>
    <row r="9859" spans="5:5">
      <c r="E9859"/>
    </row>
    <row r="9860" spans="5:5">
      <c r="E9860"/>
    </row>
    <row r="9861" spans="5:5">
      <c r="E9861"/>
    </row>
    <row r="9862" spans="5:5">
      <c r="E9862"/>
    </row>
    <row r="9863" spans="5:5">
      <c r="E9863"/>
    </row>
    <row r="9864" spans="5:5">
      <c r="E9864"/>
    </row>
    <row r="9865" spans="5:5">
      <c r="E9865"/>
    </row>
    <row r="9866" spans="5:5">
      <c r="E9866"/>
    </row>
    <row r="9867" spans="5:5">
      <c r="E9867"/>
    </row>
    <row r="9868" spans="5:5">
      <c r="E9868"/>
    </row>
    <row r="9869" spans="5:5">
      <c r="E9869"/>
    </row>
    <row r="9870" spans="5:5">
      <c r="E9870"/>
    </row>
    <row r="9871" spans="5:5">
      <c r="E9871"/>
    </row>
    <row r="9872" spans="5:5">
      <c r="E9872"/>
    </row>
    <row r="9873" spans="5:5">
      <c r="E9873"/>
    </row>
    <row r="9874" spans="5:5">
      <c r="E9874"/>
    </row>
    <row r="9875" spans="5:5">
      <c r="E9875"/>
    </row>
    <row r="9876" spans="5:5">
      <c r="E9876"/>
    </row>
    <row r="9877" spans="5:5">
      <c r="E9877"/>
    </row>
    <row r="9878" spans="5:5">
      <c r="E9878"/>
    </row>
    <row r="9879" spans="5:5">
      <c r="E9879"/>
    </row>
    <row r="9880" spans="5:5">
      <c r="E9880"/>
    </row>
    <row r="9881" spans="5:5">
      <c r="E9881"/>
    </row>
    <row r="9882" spans="5:5">
      <c r="E9882"/>
    </row>
    <row r="9883" spans="5:5">
      <c r="E9883"/>
    </row>
    <row r="9884" spans="5:5">
      <c r="E9884"/>
    </row>
    <row r="9885" spans="5:5">
      <c r="E9885"/>
    </row>
    <row r="9886" spans="5:5">
      <c r="E9886"/>
    </row>
    <row r="9887" spans="5:5">
      <c r="E9887"/>
    </row>
    <row r="9888" spans="5:5">
      <c r="E9888"/>
    </row>
    <row r="9889" spans="5:5">
      <c r="E9889"/>
    </row>
    <row r="9890" spans="5:5">
      <c r="E9890"/>
    </row>
    <row r="9891" spans="5:5">
      <c r="E9891"/>
    </row>
    <row r="9892" spans="5:5">
      <c r="E9892"/>
    </row>
    <row r="9893" spans="5:5">
      <c r="E9893"/>
    </row>
    <row r="9894" spans="5:5">
      <c r="E9894"/>
    </row>
    <row r="9895" spans="5:5">
      <c r="E9895"/>
    </row>
    <row r="9896" spans="5:5">
      <c r="E9896"/>
    </row>
    <row r="9897" spans="5:5">
      <c r="E9897"/>
    </row>
    <row r="9898" spans="5:5">
      <c r="E9898"/>
    </row>
    <row r="9899" spans="5:5">
      <c r="E9899"/>
    </row>
    <row r="9900" spans="5:5">
      <c r="E9900"/>
    </row>
    <row r="9901" spans="5:5">
      <c r="E9901"/>
    </row>
    <row r="9902" spans="5:5">
      <c r="E9902"/>
    </row>
    <row r="9903" spans="5:5">
      <c r="E9903"/>
    </row>
    <row r="9904" spans="5:5">
      <c r="E9904"/>
    </row>
    <row r="9905" spans="5:5">
      <c r="E9905"/>
    </row>
    <row r="9906" spans="5:5">
      <c r="E9906"/>
    </row>
    <row r="9907" spans="5:5">
      <c r="E9907"/>
    </row>
    <row r="9908" spans="5:5">
      <c r="E9908"/>
    </row>
    <row r="9909" spans="5:5">
      <c r="E9909"/>
    </row>
    <row r="9910" spans="5:5">
      <c r="E9910"/>
    </row>
    <row r="9911" spans="5:5">
      <c r="E9911"/>
    </row>
    <row r="9912" spans="5:5">
      <c r="E9912"/>
    </row>
    <row r="9913" spans="5:5">
      <c r="E9913"/>
    </row>
    <row r="9914" spans="5:5">
      <c r="E9914"/>
    </row>
    <row r="9915" spans="5:5">
      <c r="E9915"/>
    </row>
    <row r="9916" spans="5:5">
      <c r="E9916"/>
    </row>
    <row r="9917" spans="5:5">
      <c r="E9917"/>
    </row>
    <row r="9918" spans="5:5">
      <c r="E9918"/>
    </row>
    <row r="9919" spans="5:5">
      <c r="E9919"/>
    </row>
    <row r="9920" spans="5:5">
      <c r="E9920"/>
    </row>
    <row r="9921" spans="5:5">
      <c r="E9921"/>
    </row>
    <row r="9922" spans="5:5">
      <c r="E9922"/>
    </row>
    <row r="9923" spans="5:5">
      <c r="E9923"/>
    </row>
    <row r="9924" spans="5:5">
      <c r="E9924"/>
    </row>
    <row r="9925" spans="5:5">
      <c r="E9925"/>
    </row>
    <row r="9926" spans="5:5">
      <c r="E9926"/>
    </row>
    <row r="9927" spans="5:5">
      <c r="E9927"/>
    </row>
    <row r="9928" spans="5:5">
      <c r="E9928"/>
    </row>
    <row r="9929" spans="5:5">
      <c r="E9929"/>
    </row>
    <row r="9930" spans="5:5">
      <c r="E9930"/>
    </row>
    <row r="9931" spans="5:5">
      <c r="E9931"/>
    </row>
    <row r="9932" spans="5:5">
      <c r="E9932"/>
    </row>
    <row r="9933" spans="5:5">
      <c r="E9933"/>
    </row>
    <row r="9934" spans="5:5">
      <c r="E9934"/>
    </row>
    <row r="9935" spans="5:5">
      <c r="E9935"/>
    </row>
    <row r="9936" spans="5:5">
      <c r="E9936"/>
    </row>
    <row r="9937" spans="5:5">
      <c r="E9937"/>
    </row>
    <row r="9938" spans="5:5">
      <c r="E9938"/>
    </row>
    <row r="9939" spans="5:5">
      <c r="E9939"/>
    </row>
    <row r="9940" spans="5:5">
      <c r="E9940"/>
    </row>
    <row r="9941" spans="5:5">
      <c r="E9941"/>
    </row>
    <row r="9942" spans="5:5">
      <c r="E9942"/>
    </row>
    <row r="9943" spans="5:5">
      <c r="E9943"/>
    </row>
    <row r="9944" spans="5:5">
      <c r="E9944"/>
    </row>
    <row r="9945" spans="5:5">
      <c r="E9945"/>
    </row>
    <row r="9946" spans="5:5">
      <c r="E9946"/>
    </row>
    <row r="9947" spans="5:5">
      <c r="E9947"/>
    </row>
    <row r="9948" spans="5:5">
      <c r="E9948"/>
    </row>
    <row r="9949" spans="5:5">
      <c r="E9949"/>
    </row>
    <row r="9950" spans="5:5">
      <c r="E9950"/>
    </row>
    <row r="9951" spans="5:5">
      <c r="E9951"/>
    </row>
    <row r="9952" spans="5:5">
      <c r="E9952"/>
    </row>
    <row r="9953" spans="5:5">
      <c r="E9953"/>
    </row>
    <row r="9954" spans="5:5">
      <c r="E9954"/>
    </row>
    <row r="9955" spans="5:5">
      <c r="E9955"/>
    </row>
    <row r="9956" spans="5:5">
      <c r="E9956"/>
    </row>
    <row r="9957" spans="5:5">
      <c r="E9957"/>
    </row>
    <row r="9958" spans="5:5">
      <c r="E9958"/>
    </row>
    <row r="9959" spans="5:5">
      <c r="E9959"/>
    </row>
    <row r="9960" spans="5:5">
      <c r="E9960"/>
    </row>
    <row r="9961" spans="5:5">
      <c r="E9961"/>
    </row>
    <row r="9962" spans="5:5">
      <c r="E9962"/>
    </row>
    <row r="9963" spans="5:5">
      <c r="E9963"/>
    </row>
    <row r="9964" spans="5:5">
      <c r="E9964"/>
    </row>
    <row r="9965" spans="5:5">
      <c r="E9965"/>
    </row>
    <row r="9966" spans="5:5">
      <c r="E9966"/>
    </row>
    <row r="9967" spans="5:5">
      <c r="E9967"/>
    </row>
    <row r="9968" spans="5:5">
      <c r="E9968"/>
    </row>
    <row r="9969" spans="5:5">
      <c r="E9969"/>
    </row>
    <row r="9970" spans="5:5">
      <c r="E9970"/>
    </row>
    <row r="9971" spans="5:5">
      <c r="E9971"/>
    </row>
    <row r="9972" spans="5:5">
      <c r="E9972"/>
    </row>
    <row r="9973" spans="5:5">
      <c r="E9973"/>
    </row>
    <row r="9974" spans="5:5">
      <c r="E9974"/>
    </row>
    <row r="9975" spans="5:5">
      <c r="E9975"/>
    </row>
    <row r="9976" spans="5:5">
      <c r="E9976"/>
    </row>
    <row r="9977" spans="5:5">
      <c r="E9977"/>
    </row>
    <row r="9978" spans="5:5">
      <c r="E9978"/>
    </row>
    <row r="9979" spans="5:5">
      <c r="E9979"/>
    </row>
    <row r="9980" spans="5:5">
      <c r="E9980"/>
    </row>
    <row r="9981" spans="5:5">
      <c r="E9981"/>
    </row>
    <row r="9982" spans="5:5">
      <c r="E9982"/>
    </row>
    <row r="9983" spans="5:5">
      <c r="E9983"/>
    </row>
    <row r="9984" spans="5:5">
      <c r="E9984"/>
    </row>
    <row r="9985" spans="5:5">
      <c r="E9985"/>
    </row>
    <row r="9986" spans="5:5">
      <c r="E9986"/>
    </row>
    <row r="9987" spans="5:5">
      <c r="E9987"/>
    </row>
    <row r="9988" spans="5:5">
      <c r="E9988"/>
    </row>
    <row r="9989" spans="5:5">
      <c r="E9989"/>
    </row>
    <row r="9990" spans="5:5">
      <c r="E9990"/>
    </row>
    <row r="9991" spans="5:5">
      <c r="E9991"/>
    </row>
    <row r="9992" spans="5:5">
      <c r="E9992"/>
    </row>
    <row r="9993" spans="5:5">
      <c r="E9993"/>
    </row>
    <row r="9994" spans="5:5">
      <c r="E9994"/>
    </row>
    <row r="9995" spans="5:5">
      <c r="E9995"/>
    </row>
    <row r="9996" spans="5:5">
      <c r="E9996"/>
    </row>
    <row r="9997" spans="5:5">
      <c r="E9997"/>
    </row>
    <row r="9998" spans="5:5">
      <c r="E9998"/>
    </row>
    <row r="9999" spans="5:5">
      <c r="E9999"/>
    </row>
    <row r="10000" spans="5:5">
      <c r="E10000"/>
    </row>
    <row r="10001" spans="5:5">
      <c r="E10001"/>
    </row>
    <row r="10002" spans="5:5">
      <c r="E10002"/>
    </row>
    <row r="10003" spans="5:5">
      <c r="E10003"/>
    </row>
    <row r="10004" spans="5:5">
      <c r="E10004"/>
    </row>
    <row r="10005" spans="5:5">
      <c r="E10005"/>
    </row>
    <row r="10006" spans="5:5">
      <c r="E10006"/>
    </row>
    <row r="10007" spans="5:5">
      <c r="E10007"/>
    </row>
    <row r="10008" spans="5:5">
      <c r="E10008"/>
    </row>
    <row r="10009" spans="5:5">
      <c r="E10009"/>
    </row>
    <row r="10010" spans="5:5">
      <c r="E10010"/>
    </row>
    <row r="10011" spans="5:5">
      <c r="E10011"/>
    </row>
    <row r="10012" spans="5:5">
      <c r="E10012"/>
    </row>
    <row r="10013" spans="5:5">
      <c r="E10013"/>
    </row>
    <row r="10014" spans="5:5">
      <c r="E10014"/>
    </row>
    <row r="10015" spans="5:5">
      <c r="E10015"/>
    </row>
    <row r="10016" spans="5:5">
      <c r="E10016"/>
    </row>
    <row r="10017" spans="5:5">
      <c r="E10017"/>
    </row>
    <row r="10018" spans="5:5">
      <c r="E10018"/>
    </row>
    <row r="10019" spans="5:5">
      <c r="E10019"/>
    </row>
    <row r="10020" spans="5:5">
      <c r="E10020"/>
    </row>
    <row r="10021" spans="5:5">
      <c r="E10021"/>
    </row>
    <row r="10022" spans="5:5">
      <c r="E10022"/>
    </row>
    <row r="10023" spans="5:5">
      <c r="E10023"/>
    </row>
    <row r="10024" spans="5:5">
      <c r="E10024"/>
    </row>
    <row r="10025" spans="5:5">
      <c r="E10025"/>
    </row>
    <row r="10026" spans="5:5">
      <c r="E10026"/>
    </row>
    <row r="10027" spans="5:5">
      <c r="E10027"/>
    </row>
    <row r="10028" spans="5:5">
      <c r="E10028"/>
    </row>
    <row r="10029" spans="5:5">
      <c r="E10029"/>
    </row>
    <row r="10030" spans="5:5">
      <c r="E10030"/>
    </row>
    <row r="10031" spans="5:5">
      <c r="E10031"/>
    </row>
    <row r="10032" spans="5:5">
      <c r="E10032"/>
    </row>
    <row r="10033" spans="5:5">
      <c r="E10033"/>
    </row>
    <row r="10034" spans="5:5">
      <c r="E10034"/>
    </row>
    <row r="10035" spans="5:5">
      <c r="E10035"/>
    </row>
    <row r="10036" spans="5:5">
      <c r="E10036"/>
    </row>
    <row r="10037" spans="5:5">
      <c r="E10037"/>
    </row>
    <row r="10038" spans="5:5">
      <c r="E10038"/>
    </row>
    <row r="10039" spans="5:5">
      <c r="E10039"/>
    </row>
    <row r="10040" spans="5:5">
      <c r="E10040"/>
    </row>
    <row r="10041" spans="5:5">
      <c r="E10041"/>
    </row>
    <row r="10042" spans="5:5">
      <c r="E10042"/>
    </row>
    <row r="10043" spans="5:5">
      <c r="E10043"/>
    </row>
    <row r="10044" spans="5:5">
      <c r="E10044"/>
    </row>
    <row r="10045" spans="5:5">
      <c r="E10045"/>
    </row>
    <row r="10046" spans="5:5">
      <c r="E10046"/>
    </row>
    <row r="10047" spans="5:5">
      <c r="E10047"/>
    </row>
    <row r="10048" spans="5:5">
      <c r="E10048"/>
    </row>
    <row r="10049" spans="5:5">
      <c r="E10049"/>
    </row>
    <row r="10050" spans="5:5">
      <c r="E10050"/>
    </row>
    <row r="10051" spans="5:5">
      <c r="E10051"/>
    </row>
    <row r="10052" spans="5:5">
      <c r="E10052"/>
    </row>
    <row r="10053" spans="5:5">
      <c r="E10053"/>
    </row>
    <row r="10054" spans="5:5">
      <c r="E10054"/>
    </row>
    <row r="10055" spans="5:5">
      <c r="E10055"/>
    </row>
    <row r="10056" spans="5:5">
      <c r="E10056"/>
    </row>
    <row r="10057" spans="5:5">
      <c r="E10057"/>
    </row>
    <row r="10058" spans="5:5">
      <c r="E10058"/>
    </row>
    <row r="10059" spans="5:5">
      <c r="E10059"/>
    </row>
    <row r="10060" spans="5:5">
      <c r="E10060"/>
    </row>
    <row r="10061" spans="5:5">
      <c r="E10061"/>
    </row>
    <row r="10062" spans="5:5">
      <c r="E10062"/>
    </row>
    <row r="10063" spans="5:5">
      <c r="E10063"/>
    </row>
    <row r="10064" spans="5:5">
      <c r="E10064"/>
    </row>
    <row r="10065" spans="5:5">
      <c r="E10065"/>
    </row>
    <row r="10066" spans="5:5">
      <c r="E10066"/>
    </row>
    <row r="10067" spans="5:5">
      <c r="E10067"/>
    </row>
    <row r="10068" spans="5:5">
      <c r="E10068"/>
    </row>
    <row r="10069" spans="5:5">
      <c r="E10069"/>
    </row>
    <row r="10070" spans="5:5">
      <c r="E10070"/>
    </row>
    <row r="10071" spans="5:5">
      <c r="E10071"/>
    </row>
    <row r="10072" spans="5:5">
      <c r="E10072"/>
    </row>
    <row r="10073" spans="5:5">
      <c r="E10073"/>
    </row>
    <row r="10074" spans="5:5">
      <c r="E10074"/>
    </row>
    <row r="10075" spans="5:5">
      <c r="E10075"/>
    </row>
    <row r="10076" spans="5:5">
      <c r="E10076"/>
    </row>
    <row r="10077" spans="5:5">
      <c r="E10077"/>
    </row>
    <row r="10078" spans="5:5">
      <c r="E10078"/>
    </row>
    <row r="10079" spans="5:5">
      <c r="E10079"/>
    </row>
    <row r="10080" spans="5:5">
      <c r="E10080"/>
    </row>
    <row r="10081" spans="5:5">
      <c r="E10081"/>
    </row>
    <row r="10082" spans="5:5">
      <c r="E10082"/>
    </row>
    <row r="10083" spans="5:5">
      <c r="E10083"/>
    </row>
    <row r="10084" spans="5:5">
      <c r="E10084"/>
    </row>
    <row r="10085" spans="5:5">
      <c r="E10085"/>
    </row>
    <row r="10086" spans="5:5">
      <c r="E10086"/>
    </row>
    <row r="10087" spans="5:5">
      <c r="E10087"/>
    </row>
    <row r="10088" spans="5:5">
      <c r="E10088"/>
    </row>
    <row r="10089" spans="5:5">
      <c r="E10089"/>
    </row>
    <row r="10090" spans="5:5">
      <c r="E10090"/>
    </row>
    <row r="10091" spans="5:5">
      <c r="E10091"/>
    </row>
    <row r="10092" spans="5:5">
      <c r="E10092"/>
    </row>
    <row r="10093" spans="5:5">
      <c r="E10093"/>
    </row>
    <row r="10094" spans="5:5">
      <c r="E10094"/>
    </row>
    <row r="10095" spans="5:5">
      <c r="E10095"/>
    </row>
    <row r="10096" spans="5:5">
      <c r="E10096"/>
    </row>
    <row r="10097" spans="5:5">
      <c r="E10097"/>
    </row>
    <row r="10098" spans="5:5">
      <c r="E10098"/>
    </row>
    <row r="10099" spans="5:5">
      <c r="E10099"/>
    </row>
    <row r="10100" spans="5:5">
      <c r="E10100"/>
    </row>
    <row r="10101" spans="5:5">
      <c r="E10101"/>
    </row>
    <row r="10102" spans="5:5">
      <c r="E10102"/>
    </row>
    <row r="10103" spans="5:5">
      <c r="E10103"/>
    </row>
    <row r="10104" spans="5:5">
      <c r="E10104"/>
    </row>
    <row r="10105" spans="5:5">
      <c r="E10105"/>
    </row>
    <row r="10106" spans="5:5">
      <c r="E10106"/>
    </row>
    <row r="10107" spans="5:5">
      <c r="E10107"/>
    </row>
    <row r="10108" spans="5:5">
      <c r="E10108"/>
    </row>
    <row r="10109" spans="5:5">
      <c r="E10109"/>
    </row>
    <row r="10110" spans="5:5">
      <c r="E10110"/>
    </row>
    <row r="10111" spans="5:5">
      <c r="E10111"/>
    </row>
    <row r="10112" spans="5:5">
      <c r="E10112"/>
    </row>
    <row r="10113" spans="5:5">
      <c r="E10113"/>
    </row>
    <row r="10114" spans="5:5">
      <c r="E10114"/>
    </row>
    <row r="10115" spans="5:5">
      <c r="E10115"/>
    </row>
    <row r="10116" spans="5:5">
      <c r="E10116"/>
    </row>
    <row r="10117" spans="5:5">
      <c r="E10117"/>
    </row>
    <row r="10118" spans="5:5">
      <c r="E10118"/>
    </row>
    <row r="10119" spans="5:5">
      <c r="E10119"/>
    </row>
    <row r="10120" spans="5:5">
      <c r="E10120"/>
    </row>
    <row r="10121" spans="5:5">
      <c r="E10121"/>
    </row>
    <row r="10122" spans="5:5">
      <c r="E10122"/>
    </row>
    <row r="10123" spans="5:5">
      <c r="E10123"/>
    </row>
    <row r="10124" spans="5:5">
      <c r="E10124"/>
    </row>
    <row r="10125" spans="5:5">
      <c r="E10125"/>
    </row>
    <row r="10126" spans="5:5">
      <c r="E10126"/>
    </row>
    <row r="10127" spans="5:5">
      <c r="E10127"/>
    </row>
    <row r="10128" spans="5:5">
      <c r="E10128"/>
    </row>
    <row r="10129" spans="5:5">
      <c r="E10129"/>
    </row>
    <row r="10130" spans="5:5">
      <c r="E10130"/>
    </row>
    <row r="10131" spans="5:5">
      <c r="E10131"/>
    </row>
    <row r="10132" spans="5:5">
      <c r="E10132"/>
    </row>
    <row r="10133" spans="5:5">
      <c r="E10133"/>
    </row>
    <row r="10134" spans="5:5">
      <c r="E10134"/>
    </row>
    <row r="10135" spans="5:5">
      <c r="E10135"/>
    </row>
    <row r="10136" spans="5:5">
      <c r="E10136"/>
    </row>
    <row r="10137" spans="5:5">
      <c r="E10137"/>
    </row>
    <row r="10138" spans="5:5">
      <c r="E10138"/>
    </row>
    <row r="10139" spans="5:5">
      <c r="E10139"/>
    </row>
    <row r="10140" spans="5:5">
      <c r="E10140"/>
    </row>
    <row r="10141" spans="5:5">
      <c r="E10141"/>
    </row>
    <row r="10142" spans="5:5">
      <c r="E10142"/>
    </row>
    <row r="10143" spans="5:5">
      <c r="E10143"/>
    </row>
    <row r="10144" spans="5:5">
      <c r="E10144"/>
    </row>
    <row r="10145" spans="5:5">
      <c r="E10145"/>
    </row>
    <row r="10146" spans="5:5">
      <c r="E10146"/>
    </row>
    <row r="10147" spans="5:5">
      <c r="E10147"/>
    </row>
    <row r="10148" spans="5:5">
      <c r="E10148"/>
    </row>
    <row r="10149" spans="5:5">
      <c r="E10149"/>
    </row>
    <row r="10150" spans="5:5">
      <c r="E10150"/>
    </row>
    <row r="10151" spans="5:5">
      <c r="E10151"/>
    </row>
    <row r="10152" spans="5:5">
      <c r="E10152"/>
    </row>
    <row r="10153" spans="5:5">
      <c r="E10153"/>
    </row>
    <row r="10154" spans="5:5">
      <c r="E10154"/>
    </row>
    <row r="10155" spans="5:5">
      <c r="E10155"/>
    </row>
    <row r="10156" spans="5:5">
      <c r="E10156"/>
    </row>
    <row r="10157" spans="5:5">
      <c r="E10157"/>
    </row>
    <row r="10158" spans="5:5">
      <c r="E10158"/>
    </row>
    <row r="10159" spans="5:5">
      <c r="E10159"/>
    </row>
    <row r="10160" spans="5:5">
      <c r="E10160"/>
    </row>
    <row r="10161" spans="5:5">
      <c r="E10161"/>
    </row>
    <row r="10162" spans="5:5">
      <c r="E10162"/>
    </row>
    <row r="10163" spans="5:5">
      <c r="E10163"/>
    </row>
    <row r="10164" spans="5:5">
      <c r="E10164"/>
    </row>
    <row r="10165" spans="5:5">
      <c r="E10165"/>
    </row>
    <row r="10166" spans="5:5">
      <c r="E10166"/>
    </row>
    <row r="10167" spans="5:5">
      <c r="E10167"/>
    </row>
    <row r="10168" spans="5:5">
      <c r="E10168"/>
    </row>
    <row r="10169" spans="5:5">
      <c r="E10169"/>
    </row>
    <row r="10170" spans="5:5">
      <c r="E10170"/>
    </row>
    <row r="10171" spans="5:5">
      <c r="E10171"/>
    </row>
    <row r="10172" spans="5:5">
      <c r="E10172"/>
    </row>
    <row r="10173" spans="5:5">
      <c r="E10173"/>
    </row>
    <row r="10174" spans="5:5">
      <c r="E10174"/>
    </row>
    <row r="10175" spans="5:5">
      <c r="E10175"/>
    </row>
    <row r="10176" spans="5:5">
      <c r="E10176"/>
    </row>
    <row r="10177" spans="5:5">
      <c r="E10177"/>
    </row>
    <row r="10178" spans="5:5">
      <c r="E10178"/>
    </row>
    <row r="10179" spans="5:5">
      <c r="E10179"/>
    </row>
    <row r="10180" spans="5:5">
      <c r="E10180"/>
    </row>
    <row r="10181" spans="5:5">
      <c r="E10181"/>
    </row>
    <row r="10182" spans="5:5">
      <c r="E10182"/>
    </row>
    <row r="10183" spans="5:5">
      <c r="E10183"/>
    </row>
    <row r="10184" spans="5:5">
      <c r="E10184"/>
    </row>
    <row r="10185" spans="5:5">
      <c r="E10185"/>
    </row>
    <row r="10186" spans="5:5">
      <c r="E10186"/>
    </row>
    <row r="10187" spans="5:5">
      <c r="E10187"/>
    </row>
    <row r="10188" spans="5:5">
      <c r="E10188"/>
    </row>
    <row r="10189" spans="5:5">
      <c r="E10189"/>
    </row>
    <row r="10190" spans="5:5">
      <c r="E10190"/>
    </row>
    <row r="10191" spans="5:5">
      <c r="E10191"/>
    </row>
    <row r="10192" spans="5:5">
      <c r="E10192"/>
    </row>
    <row r="10193" spans="5:5">
      <c r="E10193"/>
    </row>
    <row r="10194" spans="5:5">
      <c r="E10194"/>
    </row>
    <row r="10195" spans="5:5">
      <c r="E10195"/>
    </row>
    <row r="10196" spans="5:5">
      <c r="E10196"/>
    </row>
    <row r="10197" spans="5:5">
      <c r="E10197"/>
    </row>
    <row r="10198" spans="5:5">
      <c r="E10198"/>
    </row>
    <row r="10199" spans="5:5">
      <c r="E10199"/>
    </row>
    <row r="10200" spans="5:5">
      <c r="E10200"/>
    </row>
    <row r="10201" spans="5:5">
      <c r="E10201"/>
    </row>
    <row r="10202" spans="5:5">
      <c r="E10202"/>
    </row>
    <row r="10203" spans="5:5">
      <c r="E10203"/>
    </row>
    <row r="10204" spans="5:5">
      <c r="E10204"/>
    </row>
    <row r="10205" spans="5:5">
      <c r="E10205"/>
    </row>
    <row r="10206" spans="5:5">
      <c r="E10206"/>
    </row>
    <row r="10207" spans="5:5">
      <c r="E10207"/>
    </row>
    <row r="10208" spans="5:5">
      <c r="E10208"/>
    </row>
    <row r="10209" spans="5:5">
      <c r="E10209"/>
    </row>
    <row r="10210" spans="5:5">
      <c r="E10210"/>
    </row>
    <row r="10211" spans="5:5">
      <c r="E10211"/>
    </row>
    <row r="10212" spans="5:5">
      <c r="E10212"/>
    </row>
    <row r="10213" spans="5:5">
      <c r="E10213"/>
    </row>
    <row r="10214" spans="5:5">
      <c r="E10214"/>
    </row>
    <row r="10215" spans="5:5">
      <c r="E10215"/>
    </row>
    <row r="10216" spans="5:5">
      <c r="E10216"/>
    </row>
    <row r="10217" spans="5:5">
      <c r="E10217"/>
    </row>
    <row r="10218" spans="5:5">
      <c r="E10218"/>
    </row>
    <row r="10219" spans="5:5">
      <c r="E10219"/>
    </row>
    <row r="10220" spans="5:5">
      <c r="E10220"/>
    </row>
    <row r="10221" spans="5:5">
      <c r="E10221"/>
    </row>
    <row r="10222" spans="5:5">
      <c r="E10222"/>
    </row>
    <row r="10223" spans="5:5">
      <c r="E10223"/>
    </row>
    <row r="10224" spans="5:5">
      <c r="E10224"/>
    </row>
    <row r="10225" spans="5:5">
      <c r="E10225"/>
    </row>
    <row r="10226" spans="5:5">
      <c r="E10226"/>
    </row>
    <row r="10227" spans="5:5">
      <c r="E10227"/>
    </row>
    <row r="10228" spans="5:5">
      <c r="E10228"/>
    </row>
    <row r="10229" spans="5:5">
      <c r="E10229"/>
    </row>
    <row r="10230" spans="5:5">
      <c r="E10230"/>
    </row>
    <row r="10231" spans="5:5">
      <c r="E10231"/>
    </row>
    <row r="10232" spans="5:5">
      <c r="E10232"/>
    </row>
    <row r="10233" spans="5:5">
      <c r="E10233"/>
    </row>
    <row r="10234" spans="5:5">
      <c r="E10234"/>
    </row>
    <row r="10235" spans="5:5">
      <c r="E10235"/>
    </row>
    <row r="10236" spans="5:5">
      <c r="E10236"/>
    </row>
    <row r="10237" spans="5:5">
      <c r="E10237"/>
    </row>
    <row r="10238" spans="5:5">
      <c r="E10238"/>
    </row>
    <row r="10239" spans="5:5">
      <c r="E10239"/>
    </row>
    <row r="10240" spans="5:5">
      <c r="E10240"/>
    </row>
    <row r="10241" spans="5:5">
      <c r="E10241"/>
    </row>
    <row r="10242" spans="5:5">
      <c r="E10242"/>
    </row>
    <row r="10243" spans="5:5">
      <c r="E10243"/>
    </row>
    <row r="10244" spans="5:5">
      <c r="E10244"/>
    </row>
    <row r="10245" spans="5:5">
      <c r="E10245"/>
    </row>
    <row r="10246" spans="5:5">
      <c r="E10246"/>
    </row>
    <row r="10247" spans="5:5">
      <c r="E10247"/>
    </row>
    <row r="10248" spans="5:5">
      <c r="E10248"/>
    </row>
    <row r="10249" spans="5:5">
      <c r="E10249"/>
    </row>
    <row r="10250" spans="5:5">
      <c r="E10250"/>
    </row>
    <row r="10251" spans="5:5">
      <c r="E10251"/>
    </row>
    <row r="10252" spans="5:5">
      <c r="E10252"/>
    </row>
    <row r="10253" spans="5:5">
      <c r="E10253"/>
    </row>
    <row r="10254" spans="5:5">
      <c r="E10254"/>
    </row>
    <row r="10255" spans="5:5">
      <c r="E10255"/>
    </row>
    <row r="10256" spans="5:5">
      <c r="E10256"/>
    </row>
    <row r="10257" spans="5:5">
      <c r="E10257"/>
    </row>
    <row r="10258" spans="5:5">
      <c r="E10258"/>
    </row>
    <row r="10259" spans="5:5">
      <c r="E10259"/>
    </row>
    <row r="10260" spans="5:5">
      <c r="E10260"/>
    </row>
    <row r="10261" spans="5:5">
      <c r="E10261"/>
    </row>
    <row r="10262" spans="5:5">
      <c r="E10262"/>
    </row>
    <row r="10263" spans="5:5">
      <c r="E10263"/>
    </row>
    <row r="10264" spans="5:5">
      <c r="E10264"/>
    </row>
    <row r="10265" spans="5:5">
      <c r="E10265"/>
    </row>
    <row r="10266" spans="5:5">
      <c r="E10266"/>
    </row>
    <row r="10267" spans="5:5">
      <c r="E10267"/>
    </row>
    <row r="10268" spans="5:5">
      <c r="E10268"/>
    </row>
    <row r="10269" spans="5:5">
      <c r="E10269"/>
    </row>
    <row r="10270" spans="5:5">
      <c r="E10270"/>
    </row>
    <row r="10271" spans="5:5">
      <c r="E10271"/>
    </row>
    <row r="10272" spans="5:5">
      <c r="E10272"/>
    </row>
    <row r="10273" spans="5:5">
      <c r="E10273"/>
    </row>
    <row r="10274" spans="5:5">
      <c r="E10274"/>
    </row>
    <row r="10275" spans="5:5">
      <c r="E10275"/>
    </row>
    <row r="10276" spans="5:5">
      <c r="E10276"/>
    </row>
    <row r="10277" spans="5:5">
      <c r="E10277"/>
    </row>
    <row r="10278" spans="5:5">
      <c r="E10278"/>
    </row>
    <row r="10279" spans="5:5">
      <c r="E10279"/>
    </row>
    <row r="10280" spans="5:5">
      <c r="E10280"/>
    </row>
    <row r="10281" spans="5:5">
      <c r="E10281"/>
    </row>
    <row r="10282" spans="5:5">
      <c r="E10282"/>
    </row>
    <row r="10283" spans="5:5">
      <c r="E10283"/>
    </row>
    <row r="10284" spans="5:5">
      <c r="E10284"/>
    </row>
    <row r="10285" spans="5:5">
      <c r="E10285"/>
    </row>
    <row r="10286" spans="5:5">
      <c r="E10286"/>
    </row>
    <row r="10287" spans="5:5">
      <c r="E10287"/>
    </row>
    <row r="10288" spans="5:5">
      <c r="E10288"/>
    </row>
    <row r="10289" spans="5:5">
      <c r="E10289"/>
    </row>
    <row r="10290" spans="5:5">
      <c r="E10290"/>
    </row>
    <row r="10291" spans="5:5">
      <c r="E10291"/>
    </row>
    <row r="10292" spans="5:5">
      <c r="E10292"/>
    </row>
    <row r="10293" spans="5:5">
      <c r="E10293"/>
    </row>
    <row r="10294" spans="5:5">
      <c r="E10294"/>
    </row>
    <row r="10295" spans="5:5">
      <c r="E10295"/>
    </row>
    <row r="10296" spans="5:5">
      <c r="E10296"/>
    </row>
    <row r="10297" spans="5:5">
      <c r="E10297"/>
    </row>
    <row r="10298" spans="5:5">
      <c r="E10298"/>
    </row>
    <row r="10299" spans="5:5">
      <c r="E10299"/>
    </row>
    <row r="10300" spans="5:5">
      <c r="E10300"/>
    </row>
    <row r="10301" spans="5:5">
      <c r="E10301"/>
    </row>
    <row r="10302" spans="5:5">
      <c r="E10302"/>
    </row>
    <row r="10303" spans="5:5">
      <c r="E10303"/>
    </row>
    <row r="10304" spans="5:5">
      <c r="E10304"/>
    </row>
    <row r="10305" spans="5:5">
      <c r="E10305"/>
    </row>
    <row r="10306" spans="5:5">
      <c r="E10306"/>
    </row>
    <row r="10307" spans="5:5">
      <c r="E10307"/>
    </row>
    <row r="10308" spans="5:5">
      <c r="E10308"/>
    </row>
    <row r="10309" spans="5:5">
      <c r="E10309"/>
    </row>
    <row r="10310" spans="5:5">
      <c r="E10310"/>
    </row>
    <row r="10311" spans="5:5">
      <c r="E10311"/>
    </row>
    <row r="10312" spans="5:5">
      <c r="E10312"/>
    </row>
    <row r="10313" spans="5:5">
      <c r="E10313"/>
    </row>
    <row r="10314" spans="5:5">
      <c r="E10314"/>
    </row>
    <row r="10315" spans="5:5">
      <c r="E10315"/>
    </row>
    <row r="10316" spans="5:5">
      <c r="E10316"/>
    </row>
    <row r="10317" spans="5:5">
      <c r="E10317"/>
    </row>
    <row r="10318" spans="5:5">
      <c r="E10318"/>
    </row>
    <row r="10319" spans="5:5">
      <c r="E10319"/>
    </row>
    <row r="10320" spans="5:5">
      <c r="E10320"/>
    </row>
    <row r="10321" spans="5:5">
      <c r="E10321"/>
    </row>
    <row r="10322" spans="5:5">
      <c r="E10322"/>
    </row>
    <row r="10323" spans="5:5">
      <c r="E10323"/>
    </row>
    <row r="10324" spans="5:5">
      <c r="E10324"/>
    </row>
    <row r="10325" spans="5:5">
      <c r="E10325"/>
    </row>
    <row r="10326" spans="5:5">
      <c r="E10326"/>
    </row>
    <row r="10327" spans="5:5">
      <c r="E10327"/>
    </row>
    <row r="10328" spans="5:5">
      <c r="E10328"/>
    </row>
    <row r="10329" spans="5:5">
      <c r="E10329"/>
    </row>
    <row r="10330" spans="5:5">
      <c r="E10330"/>
    </row>
    <row r="10331" spans="5:5">
      <c r="E10331"/>
    </row>
    <row r="10332" spans="5:5">
      <c r="E10332"/>
    </row>
    <row r="10333" spans="5:5">
      <c r="E10333"/>
    </row>
    <row r="10334" spans="5:5">
      <c r="E10334"/>
    </row>
    <row r="10335" spans="5:5">
      <c r="E10335"/>
    </row>
    <row r="10336" spans="5:5">
      <c r="E10336"/>
    </row>
    <row r="10337" spans="5:5">
      <c r="E10337"/>
    </row>
    <row r="10338" spans="5:5">
      <c r="E10338"/>
    </row>
    <row r="10339" spans="5:5">
      <c r="E10339"/>
    </row>
    <row r="10340" spans="5:5">
      <c r="E10340"/>
    </row>
    <row r="10341" spans="5:5">
      <c r="E10341"/>
    </row>
    <row r="10342" spans="5:5">
      <c r="E10342"/>
    </row>
    <row r="10343" spans="5:5">
      <c r="E10343"/>
    </row>
    <row r="10344" spans="5:5">
      <c r="E10344"/>
    </row>
    <row r="10345" spans="5:5">
      <c r="E10345"/>
    </row>
    <row r="10346" spans="5:5">
      <c r="E10346"/>
    </row>
    <row r="10347" spans="5:5">
      <c r="E10347"/>
    </row>
    <row r="10348" spans="5:5">
      <c r="E10348"/>
    </row>
    <row r="10349" spans="5:5">
      <c r="E10349"/>
    </row>
    <row r="10350" spans="5:5">
      <c r="E10350"/>
    </row>
    <row r="10351" spans="5:5">
      <c r="E10351"/>
    </row>
    <row r="10352" spans="5:5">
      <c r="E10352"/>
    </row>
    <row r="10353" spans="5:5">
      <c r="E10353"/>
    </row>
    <row r="10354" spans="5:5">
      <c r="E10354"/>
    </row>
    <row r="10355" spans="5:5">
      <c r="E10355"/>
    </row>
    <row r="10356" spans="5:5">
      <c r="E10356"/>
    </row>
    <row r="10357" spans="5:5">
      <c r="E10357"/>
    </row>
    <row r="10358" spans="5:5">
      <c r="E10358"/>
    </row>
    <row r="10359" spans="5:5">
      <c r="E10359"/>
    </row>
    <row r="10360" spans="5:5">
      <c r="E10360"/>
    </row>
    <row r="10361" spans="5:5">
      <c r="E10361"/>
    </row>
    <row r="10362" spans="5:5">
      <c r="E10362"/>
    </row>
    <row r="10363" spans="5:5">
      <c r="E10363"/>
    </row>
    <row r="10364" spans="5:5">
      <c r="E10364"/>
    </row>
    <row r="10365" spans="5:5">
      <c r="E10365"/>
    </row>
    <row r="10366" spans="5:5">
      <c r="E10366"/>
    </row>
    <row r="10367" spans="5:5">
      <c r="E10367"/>
    </row>
    <row r="10368" spans="5:5">
      <c r="E10368"/>
    </row>
    <row r="10369" spans="5:5">
      <c r="E10369"/>
    </row>
    <row r="10370" spans="5:5">
      <c r="E10370"/>
    </row>
    <row r="10371" spans="5:5">
      <c r="E10371"/>
    </row>
    <row r="10372" spans="5:5">
      <c r="E10372"/>
    </row>
    <row r="10373" spans="5:5">
      <c r="E10373"/>
    </row>
    <row r="10374" spans="5:5">
      <c r="E10374"/>
    </row>
    <row r="10375" spans="5:5">
      <c r="E10375"/>
    </row>
    <row r="10376" spans="5:5">
      <c r="E10376"/>
    </row>
    <row r="10377" spans="5:5">
      <c r="E10377"/>
    </row>
    <row r="10378" spans="5:5">
      <c r="E10378"/>
    </row>
    <row r="10379" spans="5:5">
      <c r="E10379"/>
    </row>
    <row r="10380" spans="5:5">
      <c r="E10380"/>
    </row>
    <row r="10381" spans="5:5">
      <c r="E10381"/>
    </row>
    <row r="10382" spans="5:5">
      <c r="E10382"/>
    </row>
    <row r="10383" spans="5:5">
      <c r="E10383"/>
    </row>
    <row r="10384" spans="5:5">
      <c r="E10384"/>
    </row>
    <row r="10385" spans="5:5">
      <c r="E10385"/>
    </row>
    <row r="10386" spans="5:5">
      <c r="E10386"/>
    </row>
    <row r="10387" spans="5:5">
      <c r="E10387"/>
    </row>
    <row r="10388" spans="5:5">
      <c r="E10388"/>
    </row>
    <row r="10389" spans="5:5">
      <c r="E10389"/>
    </row>
    <row r="10390" spans="5:5">
      <c r="E10390"/>
    </row>
    <row r="10391" spans="5:5">
      <c r="E10391"/>
    </row>
    <row r="10392" spans="5:5">
      <c r="E10392"/>
    </row>
    <row r="10393" spans="5:5">
      <c r="E10393"/>
    </row>
    <row r="10394" spans="5:5">
      <c r="E10394"/>
    </row>
    <row r="10395" spans="5:5">
      <c r="E10395"/>
    </row>
    <row r="10396" spans="5:5">
      <c r="E10396"/>
    </row>
    <row r="10397" spans="5:5">
      <c r="E10397"/>
    </row>
    <row r="10398" spans="5:5">
      <c r="E10398"/>
    </row>
    <row r="10399" spans="5:5">
      <c r="E10399"/>
    </row>
    <row r="10400" spans="5:5">
      <c r="E10400"/>
    </row>
    <row r="10401" spans="5:5">
      <c r="E10401"/>
    </row>
    <row r="10402" spans="5:5">
      <c r="E10402"/>
    </row>
    <row r="10403" spans="5:5">
      <c r="E10403"/>
    </row>
    <row r="10404" spans="5:5">
      <c r="E10404"/>
    </row>
    <row r="10405" spans="5:5">
      <c r="E10405"/>
    </row>
    <row r="10406" spans="5:5">
      <c r="E10406"/>
    </row>
    <row r="10407" spans="5:5">
      <c r="E10407"/>
    </row>
    <row r="10408" spans="5:5">
      <c r="E10408"/>
    </row>
    <row r="10409" spans="5:5">
      <c r="E10409"/>
    </row>
    <row r="10410" spans="5:5">
      <c r="E10410"/>
    </row>
    <row r="10411" spans="5:5">
      <c r="E10411"/>
    </row>
    <row r="10412" spans="5:5">
      <c r="E10412"/>
    </row>
    <row r="10413" spans="5:5">
      <c r="E10413"/>
    </row>
    <row r="10414" spans="5:5">
      <c r="E10414"/>
    </row>
    <row r="10415" spans="5:5">
      <c r="E10415"/>
    </row>
    <row r="10416" spans="5:5">
      <c r="E10416"/>
    </row>
    <row r="10417" spans="5:5">
      <c r="E10417"/>
    </row>
    <row r="10418" spans="5:5">
      <c r="E10418"/>
    </row>
    <row r="10419" spans="5:5">
      <c r="E10419"/>
    </row>
    <row r="10420" spans="5:5">
      <c r="E10420"/>
    </row>
    <row r="10421" spans="5:5">
      <c r="E10421"/>
    </row>
    <row r="10422" spans="5:5">
      <c r="E10422"/>
    </row>
    <row r="10423" spans="5:5">
      <c r="E10423"/>
    </row>
    <row r="10424" spans="5:5">
      <c r="E10424"/>
    </row>
    <row r="10425" spans="5:5">
      <c r="E10425"/>
    </row>
    <row r="10426" spans="5:5">
      <c r="E10426"/>
    </row>
    <row r="10427" spans="5:5">
      <c r="E10427"/>
    </row>
    <row r="10428" spans="5:5">
      <c r="E10428"/>
    </row>
    <row r="10429" spans="5:5">
      <c r="E10429"/>
    </row>
    <row r="10430" spans="5:5">
      <c r="E10430"/>
    </row>
    <row r="10431" spans="5:5">
      <c r="E10431"/>
    </row>
    <row r="10432" spans="5:5">
      <c r="E10432"/>
    </row>
    <row r="10433" spans="5:5">
      <c r="E10433"/>
    </row>
    <row r="10434" spans="5:5">
      <c r="E10434"/>
    </row>
    <row r="10435" spans="5:5">
      <c r="E10435"/>
    </row>
    <row r="10436" spans="5:5">
      <c r="E10436"/>
    </row>
    <row r="10437" spans="5:5">
      <c r="E10437"/>
    </row>
    <row r="10438" spans="5:5">
      <c r="E10438"/>
    </row>
    <row r="10439" spans="5:5">
      <c r="E10439"/>
    </row>
    <row r="10440" spans="5:5">
      <c r="E10440"/>
    </row>
    <row r="10441" spans="5:5">
      <c r="E10441"/>
    </row>
    <row r="10442" spans="5:5">
      <c r="E10442"/>
    </row>
    <row r="10443" spans="5:5">
      <c r="E10443"/>
    </row>
    <row r="10444" spans="5:5">
      <c r="E10444"/>
    </row>
    <row r="10445" spans="5:5">
      <c r="E10445"/>
    </row>
    <row r="10446" spans="5:5">
      <c r="E10446"/>
    </row>
    <row r="10447" spans="5:5">
      <c r="E10447"/>
    </row>
    <row r="10448" spans="5:5">
      <c r="E10448"/>
    </row>
    <row r="10449" spans="5:5">
      <c r="E10449"/>
    </row>
    <row r="10450" spans="5:5">
      <c r="E10450"/>
    </row>
    <row r="10451" spans="5:5">
      <c r="E10451"/>
    </row>
    <row r="10452" spans="5:5">
      <c r="E10452"/>
    </row>
    <row r="10453" spans="5:5">
      <c r="E10453"/>
    </row>
    <row r="10454" spans="5:5">
      <c r="E10454"/>
    </row>
    <row r="10455" spans="5:5">
      <c r="E10455"/>
    </row>
    <row r="10456" spans="5:5">
      <c r="E10456"/>
    </row>
    <row r="10457" spans="5:5">
      <c r="E10457"/>
    </row>
    <row r="10458" spans="5:5">
      <c r="E10458"/>
    </row>
    <row r="10459" spans="5:5">
      <c r="E10459"/>
    </row>
    <row r="10460" spans="5:5">
      <c r="E10460"/>
    </row>
    <row r="10461" spans="5:5">
      <c r="E10461"/>
    </row>
    <row r="10462" spans="5:5">
      <c r="E10462"/>
    </row>
    <row r="10463" spans="5:5">
      <c r="E10463"/>
    </row>
    <row r="10464" spans="5:5">
      <c r="E10464"/>
    </row>
    <row r="10465" spans="5:5">
      <c r="E10465"/>
    </row>
    <row r="10466" spans="5:5">
      <c r="E10466"/>
    </row>
    <row r="10467" spans="5:5">
      <c r="E10467"/>
    </row>
    <row r="10468" spans="5:5">
      <c r="E10468"/>
    </row>
    <row r="10469" spans="5:5">
      <c r="E10469"/>
    </row>
    <row r="10470" spans="5:5">
      <c r="E10470"/>
    </row>
    <row r="10471" spans="5:5">
      <c r="E10471"/>
    </row>
    <row r="10472" spans="5:5">
      <c r="E10472"/>
    </row>
    <row r="10473" spans="5:5">
      <c r="E10473"/>
    </row>
    <row r="10474" spans="5:5">
      <c r="E10474"/>
    </row>
    <row r="10475" spans="5:5">
      <c r="E10475"/>
    </row>
    <row r="10476" spans="5:5">
      <c r="E10476"/>
    </row>
    <row r="10477" spans="5:5">
      <c r="E10477"/>
    </row>
    <row r="10478" spans="5:5">
      <c r="E10478"/>
    </row>
    <row r="10479" spans="5:5">
      <c r="E10479"/>
    </row>
    <row r="10480" spans="5:5">
      <c r="E10480"/>
    </row>
    <row r="10481" spans="5:5">
      <c r="E10481"/>
    </row>
    <row r="10482" spans="5:5">
      <c r="E10482"/>
    </row>
    <row r="10483" spans="5:5">
      <c r="E10483"/>
    </row>
    <row r="10484" spans="5:5">
      <c r="E10484"/>
    </row>
    <row r="10485" spans="5:5">
      <c r="E10485"/>
    </row>
    <row r="10486" spans="5:5">
      <c r="E10486"/>
    </row>
    <row r="10487" spans="5:5">
      <c r="E10487"/>
    </row>
    <row r="10488" spans="5:5">
      <c r="E10488"/>
    </row>
    <row r="10489" spans="5:5">
      <c r="E10489"/>
    </row>
    <row r="10490" spans="5:5">
      <c r="E10490"/>
    </row>
    <row r="10491" spans="5:5">
      <c r="E10491"/>
    </row>
    <row r="10492" spans="5:5">
      <c r="E10492"/>
    </row>
    <row r="10493" spans="5:5">
      <c r="E10493"/>
    </row>
    <row r="10494" spans="5:5">
      <c r="E10494"/>
    </row>
    <row r="10495" spans="5:5">
      <c r="E10495"/>
    </row>
    <row r="10496" spans="5:5">
      <c r="E10496"/>
    </row>
    <row r="10497" spans="5:5">
      <c r="E10497"/>
    </row>
    <row r="10498" spans="5:5">
      <c r="E10498"/>
    </row>
    <row r="10499" spans="5:5">
      <c r="E10499"/>
    </row>
    <row r="10500" spans="5:5">
      <c r="E10500"/>
    </row>
    <row r="10501" spans="5:5">
      <c r="E10501"/>
    </row>
    <row r="10502" spans="5:5">
      <c r="E10502"/>
    </row>
    <row r="10503" spans="5:5">
      <c r="E10503"/>
    </row>
    <row r="10504" spans="5:5">
      <c r="E10504"/>
    </row>
    <row r="10505" spans="5:5">
      <c r="E10505"/>
    </row>
    <row r="10506" spans="5:5">
      <c r="E10506"/>
    </row>
    <row r="10507" spans="5:5">
      <c r="E10507"/>
    </row>
    <row r="10508" spans="5:5">
      <c r="E10508"/>
    </row>
    <row r="10509" spans="5:5">
      <c r="E10509"/>
    </row>
    <row r="10510" spans="5:5">
      <c r="E10510"/>
    </row>
    <row r="10511" spans="5:5">
      <c r="E10511"/>
    </row>
    <row r="10512" spans="5:5">
      <c r="E10512"/>
    </row>
    <row r="10513" spans="5:5">
      <c r="E10513"/>
    </row>
    <row r="10514" spans="5:5">
      <c r="E10514"/>
    </row>
    <row r="10515" spans="5:5">
      <c r="E10515"/>
    </row>
    <row r="10516" spans="5:5">
      <c r="E10516"/>
    </row>
    <row r="10517" spans="5:5">
      <c r="E10517"/>
    </row>
    <row r="10518" spans="5:5">
      <c r="E10518"/>
    </row>
    <row r="10519" spans="5:5">
      <c r="E10519"/>
    </row>
    <row r="10520" spans="5:5">
      <c r="E10520"/>
    </row>
    <row r="10521" spans="5:5">
      <c r="E10521"/>
    </row>
    <row r="10522" spans="5:5">
      <c r="E10522"/>
    </row>
    <row r="10523" spans="5:5">
      <c r="E10523"/>
    </row>
    <row r="10524" spans="5:5">
      <c r="E10524"/>
    </row>
    <row r="10525" spans="5:5">
      <c r="E10525"/>
    </row>
    <row r="10526" spans="5:5">
      <c r="E10526"/>
    </row>
    <row r="10527" spans="5:5">
      <c r="E10527"/>
    </row>
    <row r="10528" spans="5:5">
      <c r="E10528"/>
    </row>
    <row r="10529" spans="5:5">
      <c r="E10529"/>
    </row>
    <row r="10530" spans="5:5">
      <c r="E10530"/>
    </row>
    <row r="10531" spans="5:5">
      <c r="E10531"/>
    </row>
    <row r="10532" spans="5:5">
      <c r="E10532"/>
    </row>
    <row r="10533" spans="5:5">
      <c r="E10533"/>
    </row>
    <row r="10534" spans="5:5">
      <c r="E10534"/>
    </row>
    <row r="10535" spans="5:5">
      <c r="E10535"/>
    </row>
    <row r="10536" spans="5:5">
      <c r="E10536"/>
    </row>
    <row r="10537" spans="5:5">
      <c r="E10537"/>
    </row>
    <row r="10538" spans="5:5">
      <c r="E10538"/>
    </row>
    <row r="10539" spans="5:5">
      <c r="E10539"/>
    </row>
    <row r="10540" spans="5:5">
      <c r="E10540"/>
    </row>
    <row r="10541" spans="5:5">
      <c r="E10541"/>
    </row>
    <row r="10542" spans="5:5">
      <c r="E10542"/>
    </row>
    <row r="10543" spans="5:5">
      <c r="E10543"/>
    </row>
    <row r="10544" spans="5:5">
      <c r="E10544"/>
    </row>
    <row r="10545" spans="5:5">
      <c r="E10545"/>
    </row>
    <row r="10546" spans="5:5">
      <c r="E10546"/>
    </row>
    <row r="10547" spans="5:5">
      <c r="E10547"/>
    </row>
    <row r="10548" spans="5:5">
      <c r="E10548"/>
    </row>
    <row r="10549" spans="5:5">
      <c r="E10549"/>
    </row>
    <row r="10550" spans="5:5">
      <c r="E10550"/>
    </row>
    <row r="10551" spans="5:5">
      <c r="E10551"/>
    </row>
    <row r="10552" spans="5:5">
      <c r="E10552"/>
    </row>
    <row r="10553" spans="5:5">
      <c r="E10553"/>
    </row>
    <row r="10554" spans="5:5">
      <c r="E10554"/>
    </row>
    <row r="10555" spans="5:5">
      <c r="E10555"/>
    </row>
    <row r="10556" spans="5:5">
      <c r="E10556"/>
    </row>
    <row r="10557" spans="5:5">
      <c r="E10557"/>
    </row>
    <row r="10558" spans="5:5">
      <c r="E10558"/>
    </row>
    <row r="10559" spans="5:5">
      <c r="E10559"/>
    </row>
    <row r="10560" spans="5:5">
      <c r="E10560"/>
    </row>
    <row r="10561" spans="5:5">
      <c r="E10561"/>
    </row>
    <row r="10562" spans="5:5">
      <c r="E10562"/>
    </row>
    <row r="10563" spans="5:5">
      <c r="E10563"/>
    </row>
    <row r="10564" spans="5:5">
      <c r="E10564"/>
    </row>
    <row r="10565" spans="5:5">
      <c r="E10565"/>
    </row>
    <row r="10566" spans="5:5">
      <c r="E10566"/>
    </row>
    <row r="10567" spans="5:5">
      <c r="E10567"/>
    </row>
    <row r="10568" spans="5:5">
      <c r="E10568"/>
    </row>
    <row r="10569" spans="5:5">
      <c r="E10569"/>
    </row>
    <row r="10570" spans="5:5">
      <c r="E10570"/>
    </row>
    <row r="10571" spans="5:5">
      <c r="E10571"/>
    </row>
    <row r="10572" spans="5:5">
      <c r="E10572"/>
    </row>
    <row r="10573" spans="5:5">
      <c r="E10573"/>
    </row>
    <row r="10574" spans="5:5">
      <c r="E10574"/>
    </row>
    <row r="10575" spans="5:5">
      <c r="E10575"/>
    </row>
    <row r="10576" spans="5:5">
      <c r="E10576"/>
    </row>
    <row r="10577" spans="5:5">
      <c r="E10577"/>
    </row>
    <row r="10578" spans="5:5">
      <c r="E10578"/>
    </row>
    <row r="10579" spans="5:5">
      <c r="E10579"/>
    </row>
    <row r="10580" spans="5:5">
      <c r="E10580"/>
    </row>
    <row r="10581" spans="5:5">
      <c r="E10581"/>
    </row>
    <row r="10582" spans="5:5">
      <c r="E10582"/>
    </row>
    <row r="10583" spans="5:5">
      <c r="E10583"/>
    </row>
    <row r="10584" spans="5:5">
      <c r="E10584"/>
    </row>
    <row r="10585" spans="5:5">
      <c r="E10585"/>
    </row>
    <row r="10586" spans="5:5">
      <c r="E10586"/>
    </row>
    <row r="10587" spans="5:5">
      <c r="E10587"/>
    </row>
    <row r="10588" spans="5:5">
      <c r="E10588"/>
    </row>
    <row r="10589" spans="5:5">
      <c r="E10589"/>
    </row>
    <row r="10590" spans="5:5">
      <c r="E10590"/>
    </row>
    <row r="10591" spans="5:5">
      <c r="E10591"/>
    </row>
    <row r="10592" spans="5:5">
      <c r="E10592"/>
    </row>
    <row r="10593" spans="5:5">
      <c r="E10593"/>
    </row>
    <row r="10594" spans="5:5">
      <c r="E10594"/>
    </row>
    <row r="10595" spans="5:5">
      <c r="E10595"/>
    </row>
    <row r="10596" spans="5:5">
      <c r="E10596"/>
    </row>
    <row r="10597" spans="5:5">
      <c r="E10597"/>
    </row>
    <row r="10598" spans="5:5">
      <c r="E10598"/>
    </row>
    <row r="10599" spans="5:5">
      <c r="E10599"/>
    </row>
    <row r="10600" spans="5:5">
      <c r="E10600"/>
    </row>
    <row r="10601" spans="5:5">
      <c r="E10601"/>
    </row>
    <row r="10602" spans="5:5">
      <c r="E10602"/>
    </row>
    <row r="10603" spans="5:5">
      <c r="E10603"/>
    </row>
    <row r="10604" spans="5:5">
      <c r="E10604"/>
    </row>
    <row r="10605" spans="5:5">
      <c r="E10605"/>
    </row>
    <row r="10606" spans="5:5">
      <c r="E10606"/>
    </row>
    <row r="10607" spans="5:5">
      <c r="E10607"/>
    </row>
    <row r="10608" spans="5:5">
      <c r="E10608"/>
    </row>
    <row r="10609" spans="5:5">
      <c r="E10609"/>
    </row>
    <row r="10610" spans="5:5">
      <c r="E10610"/>
    </row>
    <row r="10611" spans="5:5">
      <c r="E10611"/>
    </row>
    <row r="10612" spans="5:5">
      <c r="E10612"/>
    </row>
    <row r="10613" spans="5:5">
      <c r="E10613"/>
    </row>
    <row r="10614" spans="5:5">
      <c r="E10614"/>
    </row>
    <row r="10615" spans="5:5">
      <c r="E10615"/>
    </row>
    <row r="10616" spans="5:5">
      <c r="E10616"/>
    </row>
    <row r="10617" spans="5:5">
      <c r="E10617"/>
    </row>
    <row r="10618" spans="5:5">
      <c r="E10618"/>
    </row>
    <row r="10619" spans="5:5">
      <c r="E10619"/>
    </row>
    <row r="10620" spans="5:5">
      <c r="E10620"/>
    </row>
    <row r="10621" spans="5:5">
      <c r="E10621"/>
    </row>
    <row r="10622" spans="5:5">
      <c r="E10622"/>
    </row>
    <row r="10623" spans="5:5">
      <c r="E10623"/>
    </row>
    <row r="10624" spans="5:5">
      <c r="E10624"/>
    </row>
    <row r="10625" spans="5:5">
      <c r="E10625"/>
    </row>
    <row r="10626" spans="5:5">
      <c r="E10626"/>
    </row>
    <row r="10627" spans="5:5">
      <c r="E10627"/>
    </row>
    <row r="10628" spans="5:5">
      <c r="E10628"/>
    </row>
    <row r="10629" spans="5:5">
      <c r="E10629"/>
    </row>
    <row r="10630" spans="5:5">
      <c r="E10630"/>
    </row>
    <row r="10631" spans="5:5">
      <c r="E10631"/>
    </row>
    <row r="10632" spans="5:5">
      <c r="E10632"/>
    </row>
    <row r="10633" spans="5:5">
      <c r="E10633"/>
    </row>
    <row r="10634" spans="5:5">
      <c r="E10634"/>
    </row>
    <row r="10635" spans="5:5">
      <c r="E10635"/>
    </row>
    <row r="10636" spans="5:5">
      <c r="E10636"/>
    </row>
    <row r="10637" spans="5:5">
      <c r="E10637"/>
    </row>
    <row r="10638" spans="5:5">
      <c r="E10638"/>
    </row>
    <row r="10639" spans="5:5">
      <c r="E10639"/>
    </row>
    <row r="10640" spans="5:5">
      <c r="E10640"/>
    </row>
    <row r="10641" spans="5:5">
      <c r="E10641"/>
    </row>
    <row r="10642" spans="5:5">
      <c r="E10642"/>
    </row>
    <row r="10643" spans="5:5">
      <c r="E10643"/>
    </row>
    <row r="10644" spans="5:5">
      <c r="E10644"/>
    </row>
    <row r="10645" spans="5:5">
      <c r="E10645"/>
    </row>
    <row r="10646" spans="5:5">
      <c r="E10646"/>
    </row>
    <row r="10647" spans="5:5">
      <c r="E10647"/>
    </row>
    <row r="10648" spans="5:5">
      <c r="E10648"/>
    </row>
    <row r="10649" spans="5:5">
      <c r="E10649"/>
    </row>
    <row r="10650" spans="5:5">
      <c r="E10650"/>
    </row>
    <row r="10651" spans="5:5">
      <c r="E10651"/>
    </row>
    <row r="10652" spans="5:5">
      <c r="E10652"/>
    </row>
    <row r="10653" spans="5:5">
      <c r="E10653"/>
    </row>
    <row r="10654" spans="5:5">
      <c r="E10654"/>
    </row>
    <row r="10655" spans="5:5">
      <c r="E10655"/>
    </row>
    <row r="10656" spans="5:5">
      <c r="E10656"/>
    </row>
    <row r="10657" spans="5:5">
      <c r="E10657"/>
    </row>
    <row r="10658" spans="5:5">
      <c r="E10658"/>
    </row>
    <row r="10659" spans="5:5">
      <c r="E10659"/>
    </row>
    <row r="10660" spans="5:5">
      <c r="E10660"/>
    </row>
    <row r="10661" spans="5:5">
      <c r="E10661"/>
    </row>
    <row r="10662" spans="5:5">
      <c r="E10662"/>
    </row>
    <row r="10663" spans="5:5">
      <c r="E10663"/>
    </row>
    <row r="10664" spans="5:5">
      <c r="E10664"/>
    </row>
    <row r="10665" spans="5:5">
      <c r="E10665"/>
    </row>
    <row r="10666" spans="5:5">
      <c r="E10666"/>
    </row>
    <row r="10667" spans="5:5">
      <c r="E10667"/>
    </row>
    <row r="10668" spans="5:5">
      <c r="E10668"/>
    </row>
    <row r="10669" spans="5:5">
      <c r="E10669"/>
    </row>
    <row r="10670" spans="5:5">
      <c r="E10670"/>
    </row>
    <row r="10671" spans="5:5">
      <c r="E10671"/>
    </row>
    <row r="10672" spans="5:5">
      <c r="E10672"/>
    </row>
    <row r="10673" spans="5:5">
      <c r="E10673"/>
    </row>
    <row r="10674" spans="5:5">
      <c r="E10674"/>
    </row>
    <row r="10675" spans="5:5">
      <c r="E10675"/>
    </row>
    <row r="10676" spans="5:5">
      <c r="E10676"/>
    </row>
    <row r="10677" spans="5:5">
      <c r="E10677"/>
    </row>
    <row r="10678" spans="5:5">
      <c r="E10678"/>
    </row>
    <row r="10679" spans="5:5">
      <c r="E10679"/>
    </row>
    <row r="10680" spans="5:5">
      <c r="E10680"/>
    </row>
    <row r="10681" spans="5:5">
      <c r="E10681"/>
    </row>
    <row r="10682" spans="5:5">
      <c r="E10682"/>
    </row>
    <row r="10683" spans="5:5">
      <c r="E10683"/>
    </row>
    <row r="10684" spans="5:5">
      <c r="E10684"/>
    </row>
    <row r="10685" spans="5:5">
      <c r="E10685"/>
    </row>
    <row r="10686" spans="5:5">
      <c r="E10686"/>
    </row>
    <row r="10687" spans="5:5">
      <c r="E10687"/>
    </row>
    <row r="10688" spans="5:5">
      <c r="E10688"/>
    </row>
    <row r="10689" spans="5:5">
      <c r="E10689"/>
    </row>
    <row r="10690" spans="5:5">
      <c r="E10690"/>
    </row>
    <row r="10691" spans="5:5">
      <c r="E10691"/>
    </row>
    <row r="10692" spans="5:5">
      <c r="E10692"/>
    </row>
    <row r="10693" spans="5:5">
      <c r="E10693"/>
    </row>
    <row r="10694" spans="5:5">
      <c r="E10694"/>
    </row>
    <row r="10695" spans="5:5">
      <c r="E10695"/>
    </row>
    <row r="10696" spans="5:5">
      <c r="E10696"/>
    </row>
    <row r="10697" spans="5:5">
      <c r="E10697"/>
    </row>
    <row r="10698" spans="5:5">
      <c r="E10698"/>
    </row>
    <row r="10699" spans="5:5">
      <c r="E10699"/>
    </row>
    <row r="10700" spans="5:5">
      <c r="E10700"/>
    </row>
    <row r="10701" spans="5:5">
      <c r="E10701"/>
    </row>
    <row r="10702" spans="5:5">
      <c r="E10702"/>
    </row>
    <row r="10703" spans="5:5">
      <c r="E10703"/>
    </row>
    <row r="10704" spans="5:5">
      <c r="E10704"/>
    </row>
    <row r="10705" spans="5:5">
      <c r="E10705"/>
    </row>
    <row r="10706" spans="5:5">
      <c r="E10706"/>
    </row>
    <row r="10707" spans="5:5">
      <c r="E10707"/>
    </row>
    <row r="10708" spans="5:5">
      <c r="E10708"/>
    </row>
    <row r="10709" spans="5:5">
      <c r="E10709"/>
    </row>
    <row r="10710" spans="5:5">
      <c r="E10710"/>
    </row>
    <row r="10711" spans="5:5">
      <c r="E10711"/>
    </row>
    <row r="10712" spans="5:5">
      <c r="E10712"/>
    </row>
    <row r="10713" spans="5:5">
      <c r="E10713"/>
    </row>
    <row r="10714" spans="5:5">
      <c r="E10714"/>
    </row>
    <row r="10715" spans="5:5">
      <c r="E10715"/>
    </row>
    <row r="10716" spans="5:5">
      <c r="E10716"/>
    </row>
    <row r="10717" spans="5:5">
      <c r="E10717"/>
    </row>
    <row r="10718" spans="5:5">
      <c r="E10718"/>
    </row>
    <row r="10719" spans="5:5">
      <c r="E10719"/>
    </row>
    <row r="10720" spans="5:5">
      <c r="E10720"/>
    </row>
    <row r="10721" spans="5:5">
      <c r="E10721"/>
    </row>
    <row r="10722" spans="5:5">
      <c r="E10722"/>
    </row>
    <row r="10723" spans="5:5">
      <c r="E10723"/>
    </row>
    <row r="10724" spans="5:5">
      <c r="E10724"/>
    </row>
    <row r="10725" spans="5:5">
      <c r="E10725"/>
    </row>
    <row r="10726" spans="5:5">
      <c r="E10726"/>
    </row>
    <row r="10727" spans="5:5">
      <c r="E10727"/>
    </row>
    <row r="10728" spans="5:5">
      <c r="E10728"/>
    </row>
    <row r="10729" spans="5:5">
      <c r="E10729"/>
    </row>
    <row r="10730" spans="5:5">
      <c r="E10730"/>
    </row>
    <row r="10731" spans="5:5">
      <c r="E10731"/>
    </row>
    <row r="10732" spans="5:5">
      <c r="E10732"/>
    </row>
    <row r="10733" spans="5:5">
      <c r="E10733"/>
    </row>
    <row r="10734" spans="5:5">
      <c r="E10734"/>
    </row>
    <row r="10735" spans="5:5">
      <c r="E10735"/>
    </row>
    <row r="10736" spans="5:5">
      <c r="E10736"/>
    </row>
    <row r="10737" spans="5:5">
      <c r="E10737"/>
    </row>
    <row r="10738" spans="5:5">
      <c r="E10738"/>
    </row>
    <row r="10739" spans="5:5">
      <c r="E10739"/>
    </row>
    <row r="10740" spans="5:5">
      <c r="E10740"/>
    </row>
    <row r="10741" spans="5:5">
      <c r="E10741"/>
    </row>
    <row r="10742" spans="5:5">
      <c r="E10742"/>
    </row>
    <row r="10743" spans="5:5">
      <c r="E10743"/>
    </row>
    <row r="10744" spans="5:5">
      <c r="E10744"/>
    </row>
    <row r="10745" spans="5:5">
      <c r="E10745"/>
    </row>
    <row r="10746" spans="5:5">
      <c r="E10746"/>
    </row>
    <row r="10747" spans="5:5">
      <c r="E10747"/>
    </row>
    <row r="10748" spans="5:5">
      <c r="E10748"/>
    </row>
    <row r="10749" spans="5:5">
      <c r="E10749"/>
    </row>
    <row r="10750" spans="5:5">
      <c r="E10750"/>
    </row>
    <row r="10751" spans="5:5">
      <c r="E10751"/>
    </row>
    <row r="10752" spans="5:5">
      <c r="E10752"/>
    </row>
    <row r="10753" spans="5:5">
      <c r="E10753"/>
    </row>
    <row r="10754" spans="5:5">
      <c r="E10754"/>
    </row>
    <row r="10755" spans="5:5">
      <c r="E10755"/>
    </row>
    <row r="10756" spans="5:5">
      <c r="E10756"/>
    </row>
    <row r="10757" spans="5:5">
      <c r="E10757"/>
    </row>
    <row r="10758" spans="5:5">
      <c r="E10758"/>
    </row>
    <row r="10759" spans="5:5">
      <c r="E10759"/>
    </row>
    <row r="10760" spans="5:5">
      <c r="E10760"/>
    </row>
    <row r="10761" spans="5:5">
      <c r="E10761"/>
    </row>
    <row r="10762" spans="5:5">
      <c r="E10762"/>
    </row>
    <row r="10763" spans="5:5">
      <c r="E10763"/>
    </row>
    <row r="10764" spans="5:5">
      <c r="E10764"/>
    </row>
    <row r="10765" spans="5:5">
      <c r="E10765"/>
    </row>
    <row r="10766" spans="5:5">
      <c r="E10766"/>
    </row>
    <row r="10767" spans="5:5">
      <c r="E10767"/>
    </row>
    <row r="10768" spans="5:5">
      <c r="E10768"/>
    </row>
    <row r="10769" spans="5:5">
      <c r="E10769"/>
    </row>
    <row r="10770" spans="5:5">
      <c r="E10770"/>
    </row>
    <row r="10771" spans="5:5">
      <c r="E10771"/>
    </row>
    <row r="10772" spans="5:5">
      <c r="E10772"/>
    </row>
    <row r="10773" spans="5:5">
      <c r="E10773"/>
    </row>
    <row r="10774" spans="5:5">
      <c r="E10774"/>
    </row>
    <row r="10775" spans="5:5">
      <c r="E10775"/>
    </row>
    <row r="10776" spans="5:5">
      <c r="E10776"/>
    </row>
    <row r="10777" spans="5:5">
      <c r="E10777"/>
    </row>
    <row r="10778" spans="5:5">
      <c r="E10778"/>
    </row>
    <row r="10779" spans="5:5">
      <c r="E10779"/>
    </row>
    <row r="10780" spans="5:5">
      <c r="E10780"/>
    </row>
    <row r="10781" spans="5:5">
      <c r="E10781"/>
    </row>
    <row r="10782" spans="5:5">
      <c r="E10782"/>
    </row>
    <row r="10783" spans="5:5">
      <c r="E10783"/>
    </row>
    <row r="10784" spans="5:5">
      <c r="E10784"/>
    </row>
    <row r="10785" spans="5:5">
      <c r="E10785"/>
    </row>
    <row r="10786" spans="5:5">
      <c r="E10786"/>
    </row>
    <row r="10787" spans="5:5">
      <c r="E10787"/>
    </row>
    <row r="10788" spans="5:5">
      <c r="E10788"/>
    </row>
    <row r="10789" spans="5:5">
      <c r="E10789"/>
    </row>
    <row r="10790" spans="5:5">
      <c r="E10790"/>
    </row>
    <row r="10791" spans="5:5">
      <c r="E10791"/>
    </row>
    <row r="10792" spans="5:5">
      <c r="E10792"/>
    </row>
    <row r="10793" spans="5:5">
      <c r="E10793"/>
    </row>
    <row r="10794" spans="5:5">
      <c r="E10794"/>
    </row>
    <row r="10795" spans="5:5">
      <c r="E10795"/>
    </row>
    <row r="10796" spans="5:5">
      <c r="E10796"/>
    </row>
    <row r="10797" spans="5:5">
      <c r="E10797"/>
    </row>
    <row r="10798" spans="5:5">
      <c r="E10798"/>
    </row>
    <row r="10799" spans="5:5">
      <c r="E10799"/>
    </row>
    <row r="10800" spans="5:5">
      <c r="E10800"/>
    </row>
    <row r="10801" spans="5:5">
      <c r="E10801"/>
    </row>
    <row r="10802" spans="5:5">
      <c r="E10802"/>
    </row>
    <row r="10803" spans="5:5">
      <c r="E10803"/>
    </row>
    <row r="10804" spans="5:5">
      <c r="E10804"/>
    </row>
    <row r="10805" spans="5:5">
      <c r="E10805"/>
    </row>
    <row r="10806" spans="5:5">
      <c r="E10806"/>
    </row>
    <row r="10807" spans="5:5">
      <c r="E10807"/>
    </row>
    <row r="10808" spans="5:5">
      <c r="E10808"/>
    </row>
    <row r="10809" spans="5:5">
      <c r="E10809"/>
    </row>
    <row r="10810" spans="5:5">
      <c r="E10810"/>
    </row>
    <row r="10811" spans="5:5">
      <c r="E10811"/>
    </row>
    <row r="10812" spans="5:5">
      <c r="E10812"/>
    </row>
    <row r="10813" spans="5:5">
      <c r="E10813"/>
    </row>
    <row r="10814" spans="5:5">
      <c r="E10814"/>
    </row>
    <row r="10815" spans="5:5">
      <c r="E10815"/>
    </row>
    <row r="10816" spans="5:5">
      <c r="E10816"/>
    </row>
    <row r="10817" spans="5:5">
      <c r="E10817"/>
    </row>
    <row r="10818" spans="5:5">
      <c r="E10818"/>
    </row>
    <row r="10819" spans="5:5">
      <c r="E10819"/>
    </row>
    <row r="10820" spans="5:5">
      <c r="E10820"/>
    </row>
    <row r="10821" spans="5:5">
      <c r="E10821"/>
    </row>
    <row r="10822" spans="5:5">
      <c r="E10822"/>
    </row>
    <row r="10823" spans="5:5">
      <c r="E10823"/>
    </row>
    <row r="10824" spans="5:5">
      <c r="E10824"/>
    </row>
    <row r="10825" spans="5:5">
      <c r="E10825"/>
    </row>
    <row r="10826" spans="5:5">
      <c r="E10826"/>
    </row>
    <row r="10827" spans="5:5">
      <c r="E10827"/>
    </row>
    <row r="10828" spans="5:5">
      <c r="E10828"/>
    </row>
    <row r="10829" spans="5:5">
      <c r="E10829"/>
    </row>
    <row r="10830" spans="5:5">
      <c r="E10830"/>
    </row>
    <row r="10831" spans="5:5">
      <c r="E10831"/>
    </row>
    <row r="10832" spans="5:5">
      <c r="E10832"/>
    </row>
    <row r="10833" spans="5:5">
      <c r="E10833"/>
    </row>
    <row r="10834" spans="5:5">
      <c r="E10834"/>
    </row>
    <row r="10835" spans="5:5">
      <c r="E10835"/>
    </row>
    <row r="10836" spans="5:5">
      <c r="E10836"/>
    </row>
    <row r="10837" spans="5:5">
      <c r="E10837"/>
    </row>
    <row r="10838" spans="5:5">
      <c r="E10838"/>
    </row>
    <row r="10839" spans="5:5">
      <c r="E10839"/>
    </row>
    <row r="10840" spans="5:5">
      <c r="E10840"/>
    </row>
    <row r="10841" spans="5:5">
      <c r="E10841"/>
    </row>
    <row r="10842" spans="5:5">
      <c r="E10842"/>
    </row>
    <row r="10843" spans="5:5">
      <c r="E10843"/>
    </row>
    <row r="10844" spans="5:5">
      <c r="E10844"/>
    </row>
    <row r="10845" spans="5:5">
      <c r="E10845"/>
    </row>
    <row r="10846" spans="5:5">
      <c r="E10846"/>
    </row>
    <row r="10847" spans="5:5">
      <c r="E10847"/>
    </row>
    <row r="10848" spans="5:5">
      <c r="E10848"/>
    </row>
    <row r="10849" spans="5:5">
      <c r="E10849"/>
    </row>
    <row r="10850" spans="5:5">
      <c r="E10850"/>
    </row>
    <row r="10851" spans="5:5">
      <c r="E10851"/>
    </row>
    <row r="10852" spans="5:5">
      <c r="E10852"/>
    </row>
    <row r="10853" spans="5:5">
      <c r="E10853"/>
    </row>
    <row r="10854" spans="5:5">
      <c r="E10854"/>
    </row>
    <row r="10855" spans="5:5">
      <c r="E10855"/>
    </row>
    <row r="10856" spans="5:5">
      <c r="E10856"/>
    </row>
    <row r="10857" spans="5:5">
      <c r="E10857"/>
    </row>
    <row r="10858" spans="5:5">
      <c r="E10858"/>
    </row>
    <row r="10859" spans="5:5">
      <c r="E10859"/>
    </row>
    <row r="10860" spans="5:5">
      <c r="E10860"/>
    </row>
    <row r="10861" spans="5:5">
      <c r="E10861"/>
    </row>
    <row r="10862" spans="5:5">
      <c r="E10862"/>
    </row>
    <row r="10863" spans="5:5">
      <c r="E10863"/>
    </row>
    <row r="10864" spans="5:5">
      <c r="E10864"/>
    </row>
    <row r="10865" spans="5:5">
      <c r="E10865"/>
    </row>
    <row r="10866" spans="5:5">
      <c r="E10866"/>
    </row>
    <row r="10867" spans="5:5">
      <c r="E10867"/>
    </row>
    <row r="10868" spans="5:5">
      <c r="E10868"/>
    </row>
    <row r="10869" spans="5:5">
      <c r="E10869"/>
    </row>
    <row r="10870" spans="5:5">
      <c r="E10870"/>
    </row>
    <row r="10871" spans="5:5">
      <c r="E10871"/>
    </row>
    <row r="10872" spans="5:5">
      <c r="E10872"/>
    </row>
    <row r="10873" spans="5:5">
      <c r="E10873"/>
    </row>
    <row r="10874" spans="5:5">
      <c r="E10874"/>
    </row>
    <row r="10875" spans="5:5">
      <c r="E10875"/>
    </row>
    <row r="10876" spans="5:5">
      <c r="E10876"/>
    </row>
    <row r="10877" spans="5:5">
      <c r="E10877"/>
    </row>
    <row r="10878" spans="5:5">
      <c r="E10878"/>
    </row>
    <row r="10879" spans="5:5">
      <c r="E10879"/>
    </row>
    <row r="10880" spans="5:5">
      <c r="E10880"/>
    </row>
    <row r="10881" spans="5:5">
      <c r="E10881"/>
    </row>
    <row r="10882" spans="5:5">
      <c r="E10882"/>
    </row>
    <row r="10883" spans="5:5">
      <c r="E10883"/>
    </row>
    <row r="10884" spans="5:5">
      <c r="E10884"/>
    </row>
    <row r="10885" spans="5:5">
      <c r="E10885"/>
    </row>
    <row r="10886" spans="5:5">
      <c r="E10886"/>
    </row>
    <row r="10887" spans="5:5">
      <c r="E10887"/>
    </row>
    <row r="10888" spans="5:5">
      <c r="E10888"/>
    </row>
    <row r="10889" spans="5:5">
      <c r="E10889"/>
    </row>
    <row r="10890" spans="5:5">
      <c r="E10890"/>
    </row>
    <row r="10891" spans="5:5">
      <c r="E10891"/>
    </row>
    <row r="10892" spans="5:5">
      <c r="E10892"/>
    </row>
    <row r="10893" spans="5:5">
      <c r="E10893"/>
    </row>
    <row r="10894" spans="5:5">
      <c r="E10894"/>
    </row>
    <row r="10895" spans="5:5">
      <c r="E10895"/>
    </row>
    <row r="10896" spans="5:5">
      <c r="E10896"/>
    </row>
    <row r="10897" spans="5:5">
      <c r="E10897"/>
    </row>
    <row r="10898" spans="5:5">
      <c r="E10898"/>
    </row>
    <row r="10899" spans="5:5">
      <c r="E10899"/>
    </row>
    <row r="10900" spans="5:5">
      <c r="E10900"/>
    </row>
    <row r="10901" spans="5:5">
      <c r="E10901"/>
    </row>
    <row r="10902" spans="5:5">
      <c r="E10902"/>
    </row>
    <row r="10903" spans="5:5">
      <c r="E10903"/>
    </row>
    <row r="10904" spans="5:5">
      <c r="E10904"/>
    </row>
    <row r="10905" spans="5:5">
      <c r="E10905"/>
    </row>
    <row r="10906" spans="5:5">
      <c r="E10906"/>
    </row>
    <row r="10907" spans="5:5">
      <c r="E10907"/>
    </row>
    <row r="10908" spans="5:5">
      <c r="E10908"/>
    </row>
    <row r="10909" spans="5:5">
      <c r="E10909"/>
    </row>
    <row r="10910" spans="5:5">
      <c r="E10910"/>
    </row>
    <row r="10911" spans="5:5">
      <c r="E10911"/>
    </row>
    <row r="10912" spans="5:5">
      <c r="E10912"/>
    </row>
    <row r="10913" spans="5:5">
      <c r="E10913"/>
    </row>
    <row r="10914" spans="5:5">
      <c r="E10914"/>
    </row>
    <row r="10915" spans="5:5">
      <c r="E10915"/>
    </row>
    <row r="10916" spans="5:5">
      <c r="E10916"/>
    </row>
    <row r="10917" spans="5:5">
      <c r="E10917"/>
    </row>
    <row r="10918" spans="5:5">
      <c r="E10918"/>
    </row>
    <row r="10919" spans="5:5">
      <c r="E10919"/>
    </row>
    <row r="10920" spans="5:5">
      <c r="E10920"/>
    </row>
    <row r="10921" spans="5:5">
      <c r="E10921"/>
    </row>
    <row r="10922" spans="5:5">
      <c r="E10922"/>
    </row>
    <row r="10923" spans="5:5">
      <c r="E10923"/>
    </row>
    <row r="10924" spans="5:5">
      <c r="E10924"/>
    </row>
    <row r="10925" spans="5:5">
      <c r="E10925"/>
    </row>
    <row r="10926" spans="5:5">
      <c r="E10926"/>
    </row>
    <row r="10927" spans="5:5">
      <c r="E10927"/>
    </row>
    <row r="10928" spans="5:5">
      <c r="E10928"/>
    </row>
    <row r="10929" spans="5:5">
      <c r="E10929"/>
    </row>
    <row r="10930" spans="5:5">
      <c r="E10930"/>
    </row>
    <row r="10931" spans="5:5">
      <c r="E10931"/>
    </row>
    <row r="10932" spans="5:5">
      <c r="E10932"/>
    </row>
    <row r="10933" spans="5:5">
      <c r="E10933"/>
    </row>
    <row r="10934" spans="5:5">
      <c r="E10934"/>
    </row>
    <row r="10935" spans="5:5">
      <c r="E10935"/>
    </row>
    <row r="10936" spans="5:5">
      <c r="E10936"/>
    </row>
    <row r="10937" spans="5:5">
      <c r="E10937"/>
    </row>
    <row r="10938" spans="5:5">
      <c r="E10938"/>
    </row>
    <row r="10939" spans="5:5">
      <c r="E10939"/>
    </row>
    <row r="10940" spans="5:5">
      <c r="E10940"/>
    </row>
    <row r="10941" spans="5:5">
      <c r="E10941"/>
    </row>
    <row r="10942" spans="5:5">
      <c r="E10942"/>
    </row>
    <row r="10943" spans="5:5">
      <c r="E10943"/>
    </row>
    <row r="10944" spans="5:5">
      <c r="E10944"/>
    </row>
    <row r="10945" spans="5:5">
      <c r="E10945"/>
    </row>
    <row r="10946" spans="5:5">
      <c r="E10946"/>
    </row>
    <row r="10947" spans="5:5">
      <c r="E10947"/>
    </row>
    <row r="10948" spans="5:5">
      <c r="E10948"/>
    </row>
    <row r="10949" spans="5:5">
      <c r="E10949"/>
    </row>
    <row r="10950" spans="5:5">
      <c r="E10950"/>
    </row>
    <row r="10951" spans="5:5">
      <c r="E10951"/>
    </row>
    <row r="10952" spans="5:5">
      <c r="E10952"/>
    </row>
    <row r="10953" spans="5:5">
      <c r="E10953"/>
    </row>
    <row r="10954" spans="5:5">
      <c r="E10954"/>
    </row>
    <row r="10955" spans="5:5">
      <c r="E10955"/>
    </row>
    <row r="10956" spans="5:5">
      <c r="E10956"/>
    </row>
    <row r="10957" spans="5:5">
      <c r="E10957"/>
    </row>
    <row r="10958" spans="5:5">
      <c r="E10958"/>
    </row>
    <row r="10959" spans="5:5">
      <c r="E10959"/>
    </row>
    <row r="10960" spans="5:5">
      <c r="E10960"/>
    </row>
    <row r="10961" spans="5:5">
      <c r="E10961"/>
    </row>
    <row r="10962" spans="5:5">
      <c r="E10962"/>
    </row>
    <row r="10963" spans="5:5">
      <c r="E10963"/>
    </row>
    <row r="10964" spans="5:5">
      <c r="E10964"/>
    </row>
    <row r="10965" spans="5:5">
      <c r="E10965"/>
    </row>
    <row r="10966" spans="5:5">
      <c r="E10966"/>
    </row>
    <row r="10967" spans="5:5">
      <c r="E10967"/>
    </row>
    <row r="10968" spans="5:5">
      <c r="E10968"/>
    </row>
    <row r="10969" spans="5:5">
      <c r="E10969"/>
    </row>
    <row r="10970" spans="5:5">
      <c r="E10970"/>
    </row>
    <row r="10971" spans="5:5">
      <c r="E10971"/>
    </row>
    <row r="10972" spans="5:5">
      <c r="E10972"/>
    </row>
    <row r="10973" spans="5:5">
      <c r="E10973"/>
    </row>
    <row r="10974" spans="5:5">
      <c r="E10974"/>
    </row>
    <row r="10975" spans="5:5">
      <c r="E10975"/>
    </row>
    <row r="10976" spans="5:5">
      <c r="E10976"/>
    </row>
    <row r="10977" spans="5:5">
      <c r="E10977"/>
    </row>
    <row r="10978" spans="5:5">
      <c r="E10978"/>
    </row>
    <row r="10979" spans="5:5">
      <c r="E10979"/>
    </row>
    <row r="10980" spans="5:5">
      <c r="E10980"/>
    </row>
    <row r="10981" spans="5:5">
      <c r="E10981"/>
    </row>
    <row r="10982" spans="5:5">
      <c r="E10982"/>
    </row>
    <row r="10983" spans="5:5">
      <c r="E10983"/>
    </row>
    <row r="10984" spans="5:5">
      <c r="E10984"/>
    </row>
    <row r="10985" spans="5:5">
      <c r="E10985"/>
    </row>
    <row r="10986" spans="5:5">
      <c r="E10986"/>
    </row>
    <row r="10987" spans="5:5">
      <c r="E10987"/>
    </row>
    <row r="10988" spans="5:5">
      <c r="E10988"/>
    </row>
    <row r="10989" spans="5:5">
      <c r="E10989"/>
    </row>
    <row r="10990" spans="5:5">
      <c r="E10990"/>
    </row>
    <row r="10991" spans="5:5">
      <c r="E10991"/>
    </row>
    <row r="10992" spans="5:5">
      <c r="E10992"/>
    </row>
    <row r="10993" spans="5:5">
      <c r="E10993"/>
    </row>
    <row r="10994" spans="5:5">
      <c r="E10994"/>
    </row>
    <row r="10995" spans="5:5">
      <c r="E10995"/>
    </row>
    <row r="10996" spans="5:5">
      <c r="E10996"/>
    </row>
    <row r="10997" spans="5:5">
      <c r="E10997"/>
    </row>
    <row r="10998" spans="5:5">
      <c r="E10998"/>
    </row>
    <row r="10999" spans="5:5">
      <c r="E10999"/>
    </row>
    <row r="11000" spans="5:5">
      <c r="E11000"/>
    </row>
    <row r="11001" spans="5:5">
      <c r="E11001"/>
    </row>
    <row r="11002" spans="5:5">
      <c r="E11002"/>
    </row>
    <row r="11003" spans="5:5">
      <c r="E11003"/>
    </row>
    <row r="11004" spans="5:5">
      <c r="E11004"/>
    </row>
    <row r="11005" spans="5:5">
      <c r="E11005"/>
    </row>
    <row r="11006" spans="5:5">
      <c r="E11006"/>
    </row>
    <row r="11007" spans="5:5">
      <c r="E11007"/>
    </row>
    <row r="11008" spans="5:5">
      <c r="E11008"/>
    </row>
    <row r="11009" spans="5:5">
      <c r="E11009"/>
    </row>
    <row r="11010" spans="5:5">
      <c r="E11010"/>
    </row>
    <row r="11011" spans="5:5">
      <c r="E11011"/>
    </row>
    <row r="11012" spans="5:5">
      <c r="E11012"/>
    </row>
    <row r="11013" spans="5:5">
      <c r="E11013"/>
    </row>
    <row r="11014" spans="5:5">
      <c r="E11014"/>
    </row>
    <row r="11015" spans="5:5">
      <c r="E11015"/>
    </row>
    <row r="11016" spans="5:5">
      <c r="E11016"/>
    </row>
    <row r="11017" spans="5:5">
      <c r="E11017"/>
    </row>
    <row r="11018" spans="5:5">
      <c r="E11018"/>
    </row>
    <row r="11019" spans="5:5">
      <c r="E11019"/>
    </row>
    <row r="11020" spans="5:5">
      <c r="E11020"/>
    </row>
    <row r="11021" spans="5:5">
      <c r="E11021"/>
    </row>
    <row r="11022" spans="5:5">
      <c r="E11022"/>
    </row>
    <row r="11023" spans="5:5">
      <c r="E11023"/>
    </row>
    <row r="11024" spans="5:5">
      <c r="E11024"/>
    </row>
    <row r="11025" spans="5:5">
      <c r="E11025"/>
    </row>
    <row r="11026" spans="5:5">
      <c r="E11026"/>
    </row>
    <row r="11027" spans="5:5">
      <c r="E11027"/>
    </row>
    <row r="11028" spans="5:5">
      <c r="E11028"/>
    </row>
    <row r="11029" spans="5:5">
      <c r="E11029"/>
    </row>
    <row r="11030" spans="5:5">
      <c r="E11030"/>
    </row>
    <row r="11031" spans="5:5">
      <c r="E11031"/>
    </row>
    <row r="11032" spans="5:5">
      <c r="E11032"/>
    </row>
    <row r="11033" spans="5:5">
      <c r="E11033"/>
    </row>
    <row r="11034" spans="5:5">
      <c r="E11034"/>
    </row>
    <row r="11035" spans="5:5">
      <c r="E11035"/>
    </row>
    <row r="11036" spans="5:5">
      <c r="E11036"/>
    </row>
    <row r="11037" spans="5:5">
      <c r="E11037"/>
    </row>
    <row r="11038" spans="5:5">
      <c r="E11038"/>
    </row>
    <row r="11039" spans="5:5">
      <c r="E11039"/>
    </row>
    <row r="11040" spans="5:5">
      <c r="E11040"/>
    </row>
    <row r="11041" spans="5:5">
      <c r="E11041"/>
    </row>
    <row r="11042" spans="5:5">
      <c r="E11042"/>
    </row>
    <row r="11043" spans="5:5">
      <c r="E11043"/>
    </row>
    <row r="11044" spans="5:5">
      <c r="E11044"/>
    </row>
    <row r="11045" spans="5:5">
      <c r="E11045"/>
    </row>
    <row r="11046" spans="5:5">
      <c r="E11046"/>
    </row>
    <row r="11047" spans="5:5">
      <c r="E11047"/>
    </row>
    <row r="11048" spans="5:5">
      <c r="E11048"/>
    </row>
    <row r="11049" spans="5:5">
      <c r="E11049"/>
    </row>
    <row r="11050" spans="5:5">
      <c r="E11050"/>
    </row>
    <row r="11051" spans="5:5">
      <c r="E11051"/>
    </row>
    <row r="11052" spans="5:5">
      <c r="E11052"/>
    </row>
    <row r="11053" spans="5:5">
      <c r="E11053"/>
    </row>
    <row r="11054" spans="5:5">
      <c r="E11054"/>
    </row>
    <row r="11055" spans="5:5">
      <c r="E11055"/>
    </row>
    <row r="11056" spans="5:5">
      <c r="E11056"/>
    </row>
    <row r="11057" spans="5:5">
      <c r="E11057"/>
    </row>
    <row r="11058" spans="5:5">
      <c r="E11058"/>
    </row>
    <row r="11059" spans="5:5">
      <c r="E11059"/>
    </row>
    <row r="11060" spans="5:5">
      <c r="E11060"/>
    </row>
    <row r="11061" spans="5:5">
      <c r="E11061"/>
    </row>
    <row r="11062" spans="5:5">
      <c r="E11062"/>
    </row>
    <row r="11063" spans="5:5">
      <c r="E11063"/>
    </row>
    <row r="11064" spans="5:5">
      <c r="E11064"/>
    </row>
    <row r="11065" spans="5:5">
      <c r="E11065"/>
    </row>
    <row r="11066" spans="5:5">
      <c r="E11066"/>
    </row>
    <row r="11067" spans="5:5">
      <c r="E11067"/>
    </row>
    <row r="11068" spans="5:5">
      <c r="E11068"/>
    </row>
    <row r="11069" spans="5:5">
      <c r="E11069"/>
    </row>
    <row r="11070" spans="5:5">
      <c r="E11070"/>
    </row>
    <row r="11071" spans="5:5">
      <c r="E11071"/>
    </row>
    <row r="11072" spans="5:5">
      <c r="E11072"/>
    </row>
    <row r="11073" spans="5:5">
      <c r="E11073"/>
    </row>
    <row r="11074" spans="5:5">
      <c r="E11074"/>
    </row>
    <row r="11075" spans="5:5">
      <c r="E11075"/>
    </row>
    <row r="11076" spans="5:5">
      <c r="E11076"/>
    </row>
    <row r="11077" spans="5:5">
      <c r="E11077"/>
    </row>
    <row r="11078" spans="5:5">
      <c r="E11078"/>
    </row>
    <row r="11079" spans="5:5">
      <c r="E11079"/>
    </row>
    <row r="11080" spans="5:5">
      <c r="E11080"/>
    </row>
    <row r="11081" spans="5:5">
      <c r="E11081"/>
    </row>
    <row r="11082" spans="5:5">
      <c r="E11082"/>
    </row>
    <row r="11083" spans="5:5">
      <c r="E11083"/>
    </row>
    <row r="11084" spans="5:5">
      <c r="E11084"/>
    </row>
    <row r="11085" spans="5:5">
      <c r="E11085"/>
    </row>
    <row r="11086" spans="5:5">
      <c r="E11086"/>
    </row>
    <row r="11087" spans="5:5">
      <c r="E11087"/>
    </row>
    <row r="11088" spans="5:5">
      <c r="E11088"/>
    </row>
    <row r="11089" spans="5:5">
      <c r="E11089"/>
    </row>
    <row r="11090" spans="5:5">
      <c r="E11090"/>
    </row>
    <row r="11091" spans="5:5">
      <c r="E11091"/>
    </row>
    <row r="11092" spans="5:5">
      <c r="E11092"/>
    </row>
    <row r="11093" spans="5:5">
      <c r="E11093"/>
    </row>
    <row r="11094" spans="5:5">
      <c r="E11094"/>
    </row>
    <row r="11095" spans="5:5">
      <c r="E11095"/>
    </row>
    <row r="11096" spans="5:5">
      <c r="E11096"/>
    </row>
    <row r="11097" spans="5:5">
      <c r="E11097"/>
    </row>
    <row r="11098" spans="5:5">
      <c r="E11098"/>
    </row>
    <row r="11099" spans="5:5">
      <c r="E11099"/>
    </row>
    <row r="11100" spans="5:5">
      <c r="E11100"/>
    </row>
    <row r="11101" spans="5:5">
      <c r="E11101"/>
    </row>
    <row r="11102" spans="5:5">
      <c r="E11102"/>
    </row>
    <row r="11103" spans="5:5">
      <c r="E11103"/>
    </row>
    <row r="11104" spans="5:5">
      <c r="E11104"/>
    </row>
    <row r="11105" spans="5:5">
      <c r="E11105"/>
    </row>
    <row r="11106" spans="5:5">
      <c r="E11106"/>
    </row>
    <row r="11107" spans="5:5">
      <c r="E11107"/>
    </row>
    <row r="11108" spans="5:5">
      <c r="E11108"/>
    </row>
    <row r="11109" spans="5:5">
      <c r="E11109"/>
    </row>
    <row r="11110" spans="5:5">
      <c r="E11110"/>
    </row>
    <row r="11111" spans="5:5">
      <c r="E11111"/>
    </row>
    <row r="11112" spans="5:5">
      <c r="E11112"/>
    </row>
    <row r="11113" spans="5:5">
      <c r="E11113"/>
    </row>
    <row r="11114" spans="5:5">
      <c r="E11114"/>
    </row>
    <row r="11115" spans="5:5">
      <c r="E11115"/>
    </row>
    <row r="11116" spans="5:5">
      <c r="E11116"/>
    </row>
    <row r="11117" spans="5:5">
      <c r="E11117"/>
    </row>
    <row r="11118" spans="5:5">
      <c r="E11118"/>
    </row>
    <row r="11119" spans="5:5">
      <c r="E11119"/>
    </row>
    <row r="11120" spans="5:5">
      <c r="E11120"/>
    </row>
    <row r="11121" spans="5:5">
      <c r="E11121"/>
    </row>
    <row r="11122" spans="5:5">
      <c r="E11122"/>
    </row>
    <row r="11123" spans="5:5">
      <c r="E11123"/>
    </row>
    <row r="11124" spans="5:5">
      <c r="E11124"/>
    </row>
    <row r="11125" spans="5:5">
      <c r="E11125"/>
    </row>
    <row r="11126" spans="5:5">
      <c r="E11126"/>
    </row>
    <row r="11127" spans="5:5">
      <c r="E11127"/>
    </row>
    <row r="11128" spans="5:5">
      <c r="E11128"/>
    </row>
    <row r="11129" spans="5:5">
      <c r="E11129"/>
    </row>
    <row r="11130" spans="5:5">
      <c r="E11130"/>
    </row>
    <row r="11131" spans="5:5">
      <c r="E11131"/>
    </row>
    <row r="11132" spans="5:5">
      <c r="E11132"/>
    </row>
    <row r="11133" spans="5:5">
      <c r="E11133"/>
    </row>
    <row r="11134" spans="5:5">
      <c r="E11134"/>
    </row>
    <row r="11135" spans="5:5">
      <c r="E11135"/>
    </row>
    <row r="11136" spans="5:5">
      <c r="E11136"/>
    </row>
    <row r="11137" spans="5:5">
      <c r="E11137"/>
    </row>
    <row r="11138" spans="5:5">
      <c r="E11138"/>
    </row>
    <row r="11139" spans="5:5">
      <c r="E11139"/>
    </row>
    <row r="11140" spans="5:5">
      <c r="E11140"/>
    </row>
    <row r="11141" spans="5:5">
      <c r="E11141"/>
    </row>
    <row r="11142" spans="5:5">
      <c r="E11142"/>
    </row>
    <row r="11143" spans="5:5">
      <c r="E11143"/>
    </row>
    <row r="11144" spans="5:5">
      <c r="E11144"/>
    </row>
    <row r="11145" spans="5:5">
      <c r="E11145"/>
    </row>
    <row r="11146" spans="5:5">
      <c r="E11146"/>
    </row>
    <row r="11147" spans="5:5">
      <c r="E11147"/>
    </row>
    <row r="11148" spans="5:5">
      <c r="E11148"/>
    </row>
    <row r="11149" spans="5:5">
      <c r="E11149"/>
    </row>
    <row r="11150" spans="5:5">
      <c r="E11150"/>
    </row>
    <row r="11151" spans="5:5">
      <c r="E11151"/>
    </row>
    <row r="11152" spans="5:5">
      <c r="E11152"/>
    </row>
    <row r="11153" spans="5:5">
      <c r="E11153"/>
    </row>
    <row r="11154" spans="5:5">
      <c r="E11154"/>
    </row>
    <row r="11155" spans="5:5">
      <c r="E11155"/>
    </row>
    <row r="11156" spans="5:5">
      <c r="E11156"/>
    </row>
    <row r="11157" spans="5:5">
      <c r="E11157"/>
    </row>
    <row r="11158" spans="5:5">
      <c r="E11158"/>
    </row>
    <row r="11159" spans="5:5">
      <c r="E11159"/>
    </row>
    <row r="11160" spans="5:5">
      <c r="E11160"/>
    </row>
    <row r="11161" spans="5:5">
      <c r="E11161"/>
    </row>
    <row r="11162" spans="5:5">
      <c r="E11162"/>
    </row>
    <row r="11163" spans="5:5">
      <c r="E11163"/>
    </row>
    <row r="11164" spans="5:5">
      <c r="E11164"/>
    </row>
    <row r="11165" spans="5:5">
      <c r="E11165"/>
    </row>
    <row r="11166" spans="5:5">
      <c r="E11166"/>
    </row>
    <row r="11167" spans="5:5">
      <c r="E11167"/>
    </row>
    <row r="11168" spans="5:5">
      <c r="E11168"/>
    </row>
    <row r="11169" spans="5:5">
      <c r="E11169"/>
    </row>
    <row r="11170" spans="5:5">
      <c r="E11170"/>
    </row>
    <row r="11171" spans="5:5">
      <c r="E11171"/>
    </row>
    <row r="11172" spans="5:5">
      <c r="E11172"/>
    </row>
    <row r="11173" spans="5:5">
      <c r="E11173"/>
    </row>
    <row r="11174" spans="5:5">
      <c r="E11174"/>
    </row>
    <row r="11175" spans="5:5">
      <c r="E11175"/>
    </row>
    <row r="11176" spans="5:5">
      <c r="E11176"/>
    </row>
    <row r="11177" spans="5:5">
      <c r="E11177"/>
    </row>
    <row r="11178" spans="5:5">
      <c r="E11178"/>
    </row>
    <row r="11179" spans="5:5">
      <c r="E11179"/>
    </row>
    <row r="11180" spans="5:5">
      <c r="E11180"/>
    </row>
    <row r="11181" spans="5:5">
      <c r="E11181"/>
    </row>
    <row r="11182" spans="5:5">
      <c r="E11182"/>
    </row>
    <row r="11183" spans="5:5">
      <c r="E11183"/>
    </row>
    <row r="11184" spans="5:5">
      <c r="E11184"/>
    </row>
    <row r="11185" spans="5:5">
      <c r="E11185"/>
    </row>
    <row r="11186" spans="5:5">
      <c r="E11186"/>
    </row>
    <row r="11187" spans="5:5">
      <c r="E11187"/>
    </row>
    <row r="11188" spans="5:5">
      <c r="E11188"/>
    </row>
    <row r="11189" spans="5:5">
      <c r="E11189"/>
    </row>
    <row r="11190" spans="5:5">
      <c r="E11190"/>
    </row>
    <row r="11191" spans="5:5">
      <c r="E11191"/>
    </row>
    <row r="11192" spans="5:5">
      <c r="E11192"/>
    </row>
    <row r="11193" spans="5:5">
      <c r="E11193"/>
    </row>
    <row r="11194" spans="5:5">
      <c r="E11194"/>
    </row>
    <row r="11195" spans="5:5">
      <c r="E11195"/>
    </row>
    <row r="11196" spans="5:5">
      <c r="E11196"/>
    </row>
    <row r="11197" spans="5:5">
      <c r="E11197"/>
    </row>
    <row r="11198" spans="5:5">
      <c r="E11198"/>
    </row>
    <row r="11199" spans="5:5">
      <c r="E11199"/>
    </row>
    <row r="11200" spans="5:5">
      <c r="E11200"/>
    </row>
    <row r="11201" spans="5:5">
      <c r="E11201"/>
    </row>
    <row r="11202" spans="5:5">
      <c r="E11202"/>
    </row>
    <row r="11203" spans="5:5">
      <c r="E11203"/>
    </row>
    <row r="11204" spans="5:5">
      <c r="E11204"/>
    </row>
    <row r="11205" spans="5:5">
      <c r="E11205"/>
    </row>
    <row r="11206" spans="5:5">
      <c r="E11206"/>
    </row>
    <row r="11207" spans="5:5">
      <c r="E11207"/>
    </row>
    <row r="11208" spans="5:5">
      <c r="E11208"/>
    </row>
    <row r="11209" spans="5:5">
      <c r="E11209"/>
    </row>
    <row r="11210" spans="5:5">
      <c r="E11210"/>
    </row>
    <row r="11211" spans="5:5">
      <c r="E11211"/>
    </row>
    <row r="11212" spans="5:5">
      <c r="E11212"/>
    </row>
    <row r="11213" spans="5:5">
      <c r="E11213"/>
    </row>
    <row r="11214" spans="5:5">
      <c r="E11214"/>
    </row>
    <row r="11215" spans="5:5">
      <c r="E11215"/>
    </row>
    <row r="11216" spans="5:5">
      <c r="E11216"/>
    </row>
    <row r="11217" spans="5:5">
      <c r="E11217"/>
    </row>
    <row r="11218" spans="5:5">
      <c r="E11218"/>
    </row>
    <row r="11219" spans="5:5">
      <c r="E11219"/>
    </row>
    <row r="11220" spans="5:5">
      <c r="E11220"/>
    </row>
    <row r="11221" spans="5:5">
      <c r="E11221"/>
    </row>
    <row r="11222" spans="5:5">
      <c r="E11222"/>
    </row>
    <row r="11223" spans="5:5">
      <c r="E11223"/>
    </row>
    <row r="11224" spans="5:5">
      <c r="E11224"/>
    </row>
    <row r="11225" spans="5:5">
      <c r="E11225"/>
    </row>
    <row r="11226" spans="5:5">
      <c r="E11226"/>
    </row>
    <row r="11227" spans="5:5">
      <c r="E11227"/>
    </row>
    <row r="11228" spans="5:5">
      <c r="E11228"/>
    </row>
    <row r="11229" spans="5:5">
      <c r="E11229"/>
    </row>
    <row r="11230" spans="5:5">
      <c r="E11230"/>
    </row>
    <row r="11231" spans="5:5">
      <c r="E11231"/>
    </row>
    <row r="11232" spans="5:5">
      <c r="E11232"/>
    </row>
    <row r="11233" spans="5:5">
      <c r="E11233"/>
    </row>
    <row r="11234" spans="5:5">
      <c r="E11234"/>
    </row>
    <row r="11235" spans="5:5">
      <c r="E11235"/>
    </row>
    <row r="11236" spans="5:5">
      <c r="E11236"/>
    </row>
    <row r="11237" spans="5:5">
      <c r="E11237"/>
    </row>
    <row r="11238" spans="5:5">
      <c r="E11238"/>
    </row>
    <row r="11239" spans="5:5">
      <c r="E11239"/>
    </row>
    <row r="11240" spans="5:5">
      <c r="E11240"/>
    </row>
    <row r="11241" spans="5:5">
      <c r="E11241"/>
    </row>
    <row r="11242" spans="5:5">
      <c r="E11242"/>
    </row>
    <row r="11243" spans="5:5">
      <c r="E11243"/>
    </row>
    <row r="11244" spans="5:5">
      <c r="E11244"/>
    </row>
    <row r="11245" spans="5:5">
      <c r="E11245"/>
    </row>
    <row r="11246" spans="5:5">
      <c r="E11246"/>
    </row>
    <row r="11247" spans="5:5">
      <c r="E11247"/>
    </row>
    <row r="11248" spans="5:5">
      <c r="E11248"/>
    </row>
    <row r="11249" spans="5:5">
      <c r="E11249"/>
    </row>
    <row r="11250" spans="5:5">
      <c r="E11250"/>
    </row>
    <row r="11251" spans="5:5">
      <c r="E11251"/>
    </row>
    <row r="11252" spans="5:5">
      <c r="E11252"/>
    </row>
    <row r="11253" spans="5:5">
      <c r="E11253"/>
    </row>
    <row r="11254" spans="5:5">
      <c r="E11254"/>
    </row>
    <row r="11255" spans="5:5">
      <c r="E11255"/>
    </row>
    <row r="11256" spans="5:5">
      <c r="E11256"/>
    </row>
    <row r="11257" spans="5:5">
      <c r="E11257"/>
    </row>
    <row r="11258" spans="5:5">
      <c r="E11258"/>
    </row>
    <row r="11259" spans="5:5">
      <c r="E11259"/>
    </row>
    <row r="11260" spans="5:5">
      <c r="E11260"/>
    </row>
    <row r="11261" spans="5:5">
      <c r="E11261"/>
    </row>
    <row r="11262" spans="5:5">
      <c r="E11262"/>
    </row>
    <row r="11263" spans="5:5">
      <c r="E11263"/>
    </row>
    <row r="11264" spans="5:5">
      <c r="E11264"/>
    </row>
    <row r="11265" spans="5:5">
      <c r="E11265"/>
    </row>
    <row r="11266" spans="5:5">
      <c r="E11266"/>
    </row>
    <row r="11267" spans="5:5">
      <c r="E11267"/>
    </row>
    <row r="11268" spans="5:5">
      <c r="E11268"/>
    </row>
    <row r="11269" spans="5:5">
      <c r="E11269"/>
    </row>
    <row r="11270" spans="5:5">
      <c r="E11270"/>
    </row>
    <row r="11271" spans="5:5">
      <c r="E11271"/>
    </row>
    <row r="11272" spans="5:5">
      <c r="E11272"/>
    </row>
    <row r="11273" spans="5:5">
      <c r="E11273"/>
    </row>
    <row r="11274" spans="5:5">
      <c r="E11274"/>
    </row>
    <row r="11275" spans="5:5">
      <c r="E11275"/>
    </row>
    <row r="11276" spans="5:5">
      <c r="E11276"/>
    </row>
    <row r="11277" spans="5:5">
      <c r="E11277"/>
    </row>
    <row r="11278" spans="5:5">
      <c r="E11278"/>
    </row>
    <row r="11279" spans="5:5">
      <c r="E11279"/>
    </row>
    <row r="11280" spans="5:5">
      <c r="E11280"/>
    </row>
    <row r="11281" spans="5:5">
      <c r="E11281"/>
    </row>
    <row r="11282" spans="5:5">
      <c r="E11282"/>
    </row>
    <row r="11283" spans="5:5">
      <c r="E11283"/>
    </row>
    <row r="11284" spans="5:5">
      <c r="E11284"/>
    </row>
    <row r="11285" spans="5:5">
      <c r="E11285"/>
    </row>
    <row r="11286" spans="5:5">
      <c r="E11286"/>
    </row>
    <row r="11287" spans="5:5">
      <c r="E11287"/>
    </row>
    <row r="11288" spans="5:5">
      <c r="E11288"/>
    </row>
    <row r="11289" spans="5:5">
      <c r="E11289"/>
    </row>
    <row r="11290" spans="5:5">
      <c r="E11290"/>
    </row>
    <row r="11291" spans="5:5">
      <c r="E11291"/>
    </row>
    <row r="11292" spans="5:5">
      <c r="E11292"/>
    </row>
    <row r="11293" spans="5:5">
      <c r="E11293"/>
    </row>
    <row r="11294" spans="5:5">
      <c r="E11294"/>
    </row>
    <row r="11295" spans="5:5">
      <c r="E11295"/>
    </row>
    <row r="11296" spans="5:5">
      <c r="E11296"/>
    </row>
    <row r="11297" spans="5:5">
      <c r="E11297"/>
    </row>
    <row r="11298" spans="5:5">
      <c r="E11298"/>
    </row>
    <row r="11299" spans="5:5">
      <c r="E11299"/>
    </row>
    <row r="11300" spans="5:5">
      <c r="E11300"/>
    </row>
    <row r="11301" spans="5:5">
      <c r="E11301"/>
    </row>
    <row r="11302" spans="5:5">
      <c r="E11302"/>
    </row>
    <row r="11303" spans="5:5">
      <c r="E11303"/>
    </row>
    <row r="11304" spans="5:5">
      <c r="E11304"/>
    </row>
    <row r="11305" spans="5:5">
      <c r="E11305"/>
    </row>
    <row r="11306" spans="5:5">
      <c r="E11306"/>
    </row>
    <row r="11307" spans="5:5">
      <c r="E11307"/>
    </row>
    <row r="11308" spans="5:5">
      <c r="E11308"/>
    </row>
    <row r="11309" spans="5:5">
      <c r="E11309"/>
    </row>
    <row r="11310" spans="5:5">
      <c r="E11310"/>
    </row>
    <row r="11311" spans="5:5">
      <c r="E11311"/>
    </row>
    <row r="11312" spans="5:5">
      <c r="E11312"/>
    </row>
    <row r="11313" spans="5:5">
      <c r="E11313"/>
    </row>
    <row r="11314" spans="5:5">
      <c r="E11314"/>
    </row>
    <row r="11315" spans="5:5">
      <c r="E11315"/>
    </row>
    <row r="11316" spans="5:5">
      <c r="E11316"/>
    </row>
    <row r="11317" spans="5:5">
      <c r="E11317"/>
    </row>
    <row r="11318" spans="5:5">
      <c r="E11318"/>
    </row>
    <row r="11319" spans="5:5">
      <c r="E11319"/>
    </row>
    <row r="11320" spans="5:5">
      <c r="E11320"/>
    </row>
    <row r="11321" spans="5:5">
      <c r="E11321"/>
    </row>
    <row r="11322" spans="5:5">
      <c r="E11322"/>
    </row>
    <row r="11323" spans="5:5">
      <c r="E11323"/>
    </row>
    <row r="11324" spans="5:5">
      <c r="E11324"/>
    </row>
    <row r="11325" spans="5:5">
      <c r="E11325"/>
    </row>
    <row r="11326" spans="5:5">
      <c r="E11326"/>
    </row>
    <row r="11327" spans="5:5">
      <c r="E11327"/>
    </row>
    <row r="11328" spans="5:5">
      <c r="E11328"/>
    </row>
    <row r="11329" spans="5:5">
      <c r="E11329"/>
    </row>
    <row r="11330" spans="5:5">
      <c r="E11330"/>
    </row>
    <row r="11331" spans="5:5">
      <c r="E11331"/>
    </row>
    <row r="11332" spans="5:5">
      <c r="E11332"/>
    </row>
    <row r="11333" spans="5:5">
      <c r="E11333"/>
    </row>
    <row r="11334" spans="5:5">
      <c r="E11334"/>
    </row>
    <row r="11335" spans="5:5">
      <c r="E11335"/>
    </row>
    <row r="11336" spans="5:5">
      <c r="E11336"/>
    </row>
    <row r="11337" spans="5:5">
      <c r="E11337"/>
    </row>
    <row r="11338" spans="5:5">
      <c r="E11338"/>
    </row>
    <row r="11339" spans="5:5">
      <c r="E11339"/>
    </row>
    <row r="11340" spans="5:5">
      <c r="E11340"/>
    </row>
    <row r="11341" spans="5:5">
      <c r="E11341"/>
    </row>
    <row r="11342" spans="5:5">
      <c r="E11342"/>
    </row>
    <row r="11343" spans="5:5">
      <c r="E11343"/>
    </row>
    <row r="11344" spans="5:5">
      <c r="E11344"/>
    </row>
    <row r="11345" spans="5:5">
      <c r="E11345"/>
    </row>
    <row r="11346" spans="5:5">
      <c r="E11346"/>
    </row>
    <row r="11347" spans="5:5">
      <c r="E11347"/>
    </row>
    <row r="11348" spans="5:5">
      <c r="E11348"/>
    </row>
    <row r="11349" spans="5:5">
      <c r="E11349"/>
    </row>
    <row r="11350" spans="5:5">
      <c r="E11350"/>
    </row>
    <row r="11351" spans="5:5">
      <c r="E11351"/>
    </row>
    <row r="11352" spans="5:5">
      <c r="E11352"/>
    </row>
    <row r="11353" spans="5:5">
      <c r="E11353"/>
    </row>
    <row r="11354" spans="5:5">
      <c r="E11354"/>
    </row>
    <row r="11355" spans="5:5">
      <c r="E11355"/>
    </row>
    <row r="11356" spans="5:5">
      <c r="E11356"/>
    </row>
    <row r="11357" spans="5:5">
      <c r="E11357"/>
    </row>
    <row r="11358" spans="5:5">
      <c r="E11358"/>
    </row>
    <row r="11359" spans="5:5">
      <c r="E11359"/>
    </row>
    <row r="11360" spans="5:5">
      <c r="E11360"/>
    </row>
    <row r="11361" spans="5:5">
      <c r="E11361"/>
    </row>
    <row r="11362" spans="5:5">
      <c r="E11362"/>
    </row>
    <row r="11363" spans="5:5">
      <c r="E11363"/>
    </row>
    <row r="11364" spans="5:5">
      <c r="E11364"/>
    </row>
    <row r="11365" spans="5:5">
      <c r="E11365"/>
    </row>
    <row r="11366" spans="5:5">
      <c r="E11366"/>
    </row>
    <row r="11367" spans="5:5">
      <c r="E11367"/>
    </row>
    <row r="11368" spans="5:5">
      <c r="E11368"/>
    </row>
    <row r="11369" spans="5:5">
      <c r="E11369"/>
    </row>
    <row r="11370" spans="5:5">
      <c r="E11370"/>
    </row>
    <row r="11371" spans="5:5">
      <c r="E11371"/>
    </row>
    <row r="11372" spans="5:5">
      <c r="E11372"/>
    </row>
    <row r="11373" spans="5:5">
      <c r="E11373"/>
    </row>
    <row r="11374" spans="5:5">
      <c r="E11374"/>
    </row>
    <row r="11375" spans="5:5">
      <c r="E11375"/>
    </row>
    <row r="11376" spans="5:5">
      <c r="E11376"/>
    </row>
    <row r="11377" spans="5:5">
      <c r="E11377"/>
    </row>
    <row r="11378" spans="5:5">
      <c r="E11378"/>
    </row>
    <row r="11379" spans="5:5">
      <c r="E11379"/>
    </row>
    <row r="11380" spans="5:5">
      <c r="E11380"/>
    </row>
    <row r="11381" spans="5:5">
      <c r="E11381"/>
    </row>
    <row r="11382" spans="5:5">
      <c r="E11382"/>
    </row>
    <row r="11383" spans="5:5">
      <c r="E11383"/>
    </row>
    <row r="11384" spans="5:5">
      <c r="E11384"/>
    </row>
    <row r="11385" spans="5:5">
      <c r="E11385"/>
    </row>
    <row r="11386" spans="5:5">
      <c r="E11386"/>
    </row>
    <row r="11387" spans="5:5">
      <c r="E11387"/>
    </row>
    <row r="11388" spans="5:5">
      <c r="E11388"/>
    </row>
    <row r="11389" spans="5:5">
      <c r="E11389"/>
    </row>
    <row r="11390" spans="5:5">
      <c r="E11390"/>
    </row>
    <row r="11391" spans="5:5">
      <c r="E11391"/>
    </row>
    <row r="11392" spans="5:5">
      <c r="E11392"/>
    </row>
    <row r="11393" spans="5:5">
      <c r="E11393"/>
    </row>
    <row r="11394" spans="5:5">
      <c r="E11394"/>
    </row>
    <row r="11395" spans="5:5">
      <c r="E11395"/>
    </row>
    <row r="11396" spans="5:5">
      <c r="E11396"/>
    </row>
    <row r="11397" spans="5:5">
      <c r="E11397"/>
    </row>
    <row r="11398" spans="5:5">
      <c r="E11398"/>
    </row>
    <row r="11399" spans="5:5">
      <c r="E11399"/>
    </row>
    <row r="11400" spans="5:5">
      <c r="E11400"/>
    </row>
    <row r="11401" spans="5:5">
      <c r="E11401"/>
    </row>
    <row r="11402" spans="5:5">
      <c r="E11402"/>
    </row>
    <row r="11403" spans="5:5">
      <c r="E11403"/>
    </row>
    <row r="11404" spans="5:5">
      <c r="E11404"/>
    </row>
    <row r="11405" spans="5:5">
      <c r="E11405"/>
    </row>
    <row r="11406" spans="5:5">
      <c r="E11406"/>
    </row>
    <row r="11407" spans="5:5">
      <c r="E11407"/>
    </row>
    <row r="11408" spans="5:5">
      <c r="E11408"/>
    </row>
    <row r="11409" spans="5:5">
      <c r="E11409"/>
    </row>
    <row r="11410" spans="5:5">
      <c r="E11410"/>
    </row>
    <row r="11411" spans="5:5">
      <c r="E11411"/>
    </row>
    <row r="11412" spans="5:5">
      <c r="E11412"/>
    </row>
    <row r="11413" spans="5:5">
      <c r="E11413"/>
    </row>
    <row r="11414" spans="5:5">
      <c r="E11414"/>
    </row>
    <row r="11415" spans="5:5">
      <c r="E11415"/>
    </row>
    <row r="11416" spans="5:5">
      <c r="E11416"/>
    </row>
    <row r="11417" spans="5:5">
      <c r="E11417"/>
    </row>
    <row r="11418" spans="5:5">
      <c r="E11418"/>
    </row>
    <row r="11419" spans="5:5">
      <c r="E11419"/>
    </row>
    <row r="11420" spans="5:5">
      <c r="E11420"/>
    </row>
    <row r="11421" spans="5:5">
      <c r="E11421"/>
    </row>
    <row r="11422" spans="5:5">
      <c r="E11422"/>
    </row>
    <row r="11423" spans="5:5">
      <c r="E11423"/>
    </row>
    <row r="11424" spans="5:5">
      <c r="E11424"/>
    </row>
    <row r="11425" spans="5:5">
      <c r="E11425"/>
    </row>
    <row r="11426" spans="5:5">
      <c r="E11426"/>
    </row>
    <row r="11427" spans="5:5">
      <c r="E11427"/>
    </row>
    <row r="11428" spans="5:5">
      <c r="E11428"/>
    </row>
    <row r="11429" spans="5:5">
      <c r="E11429"/>
    </row>
    <row r="11430" spans="5:5">
      <c r="E11430"/>
    </row>
    <row r="11431" spans="5:5">
      <c r="E11431"/>
    </row>
    <row r="11432" spans="5:5">
      <c r="E11432"/>
    </row>
    <row r="11433" spans="5:5">
      <c r="E11433"/>
    </row>
    <row r="11434" spans="5:5">
      <c r="E11434"/>
    </row>
    <row r="11435" spans="5:5">
      <c r="E11435"/>
    </row>
    <row r="11436" spans="5:5">
      <c r="E11436"/>
    </row>
    <row r="11437" spans="5:5">
      <c r="E11437"/>
    </row>
    <row r="11438" spans="5:5">
      <c r="E11438"/>
    </row>
    <row r="11439" spans="5:5">
      <c r="E11439"/>
    </row>
    <row r="11440" spans="5:5">
      <c r="E11440"/>
    </row>
    <row r="11441" spans="5:5">
      <c r="E11441"/>
    </row>
    <row r="11442" spans="5:5">
      <c r="E11442"/>
    </row>
    <row r="11443" spans="5:5">
      <c r="E11443"/>
    </row>
    <row r="11444" spans="5:5">
      <c r="E11444"/>
    </row>
    <row r="11445" spans="5:5">
      <c r="E11445"/>
    </row>
    <row r="11446" spans="5:5">
      <c r="E11446"/>
    </row>
    <row r="11447" spans="5:5">
      <c r="E11447"/>
    </row>
    <row r="11448" spans="5:5">
      <c r="E11448"/>
    </row>
    <row r="11449" spans="5:5">
      <c r="E11449"/>
    </row>
    <row r="11450" spans="5:5">
      <c r="E11450"/>
    </row>
    <row r="11451" spans="5:5">
      <c r="E11451"/>
    </row>
    <row r="11452" spans="5:5">
      <c r="E11452"/>
    </row>
    <row r="11453" spans="5:5">
      <c r="E11453"/>
    </row>
    <row r="11454" spans="5:5">
      <c r="E11454"/>
    </row>
    <row r="11455" spans="5:5">
      <c r="E11455"/>
    </row>
    <row r="11456" spans="5:5">
      <c r="E11456"/>
    </row>
    <row r="11457" spans="5:5">
      <c r="E11457"/>
    </row>
    <row r="11458" spans="5:5">
      <c r="E11458"/>
    </row>
    <row r="11459" spans="5:5">
      <c r="E11459"/>
    </row>
    <row r="11460" spans="5:5">
      <c r="E11460"/>
    </row>
    <row r="11461" spans="5:5">
      <c r="E11461"/>
    </row>
    <row r="11462" spans="5:5">
      <c r="E11462"/>
    </row>
    <row r="11463" spans="5:5">
      <c r="E11463"/>
    </row>
    <row r="11464" spans="5:5">
      <c r="E11464"/>
    </row>
    <row r="11465" spans="5:5">
      <c r="E11465"/>
    </row>
    <row r="11466" spans="5:5">
      <c r="E11466"/>
    </row>
    <row r="11467" spans="5:5">
      <c r="E11467"/>
    </row>
    <row r="11468" spans="5:5">
      <c r="E11468"/>
    </row>
    <row r="11469" spans="5:5">
      <c r="E11469"/>
    </row>
    <row r="11470" spans="5:5">
      <c r="E11470"/>
    </row>
    <row r="11471" spans="5:5">
      <c r="E11471"/>
    </row>
    <row r="11472" spans="5:5">
      <c r="E11472"/>
    </row>
    <row r="11473" spans="5:5">
      <c r="E11473"/>
    </row>
    <row r="11474" spans="5:5">
      <c r="E11474"/>
    </row>
    <row r="11475" spans="5:5">
      <c r="E11475"/>
    </row>
    <row r="11476" spans="5:5">
      <c r="E11476"/>
    </row>
    <row r="11477" spans="5:5">
      <c r="E11477"/>
    </row>
    <row r="11478" spans="5:5">
      <c r="E11478"/>
    </row>
    <row r="11479" spans="5:5">
      <c r="E11479"/>
    </row>
    <row r="11480" spans="5:5">
      <c r="E11480"/>
    </row>
    <row r="11481" spans="5:5">
      <c r="E11481"/>
    </row>
    <row r="11482" spans="5:5">
      <c r="E11482"/>
    </row>
    <row r="11483" spans="5:5">
      <c r="E11483"/>
    </row>
    <row r="11484" spans="5:5">
      <c r="E11484"/>
    </row>
    <row r="11485" spans="5:5">
      <c r="E11485"/>
    </row>
    <row r="11486" spans="5:5">
      <c r="E11486"/>
    </row>
    <row r="11487" spans="5:5">
      <c r="E11487"/>
    </row>
    <row r="11488" spans="5:5">
      <c r="E11488"/>
    </row>
    <row r="11489" spans="5:5">
      <c r="E11489"/>
    </row>
    <row r="11490" spans="5:5">
      <c r="E11490"/>
    </row>
    <row r="11491" spans="5:5">
      <c r="E11491"/>
    </row>
    <row r="11492" spans="5:5">
      <c r="E11492"/>
    </row>
    <row r="11493" spans="5:5">
      <c r="E11493"/>
    </row>
    <row r="11494" spans="5:5">
      <c r="E11494"/>
    </row>
    <row r="11495" spans="5:5">
      <c r="E11495"/>
    </row>
    <row r="11496" spans="5:5">
      <c r="E11496"/>
    </row>
    <row r="11497" spans="5:5">
      <c r="E11497"/>
    </row>
    <row r="11498" spans="5:5">
      <c r="E11498"/>
    </row>
    <row r="11499" spans="5:5">
      <c r="E11499"/>
    </row>
    <row r="11500" spans="5:5">
      <c r="E11500"/>
    </row>
    <row r="11501" spans="5:5">
      <c r="E11501"/>
    </row>
    <row r="11502" spans="5:5">
      <c r="E11502"/>
    </row>
    <row r="11503" spans="5:5">
      <c r="E11503"/>
    </row>
    <row r="11504" spans="5:5">
      <c r="E11504"/>
    </row>
    <row r="11505" spans="5:5">
      <c r="E11505"/>
    </row>
    <row r="11506" spans="5:5">
      <c r="E11506"/>
    </row>
    <row r="11507" spans="5:5">
      <c r="E11507"/>
    </row>
    <row r="11508" spans="5:5">
      <c r="E11508"/>
    </row>
    <row r="11509" spans="5:5">
      <c r="E11509"/>
    </row>
    <row r="11510" spans="5:5">
      <c r="E11510"/>
    </row>
    <row r="11511" spans="5:5">
      <c r="E11511"/>
    </row>
    <row r="11512" spans="5:5">
      <c r="E11512"/>
    </row>
    <row r="11513" spans="5:5">
      <c r="E11513"/>
    </row>
    <row r="11514" spans="5:5">
      <c r="E11514"/>
    </row>
    <row r="11515" spans="5:5">
      <c r="E11515"/>
    </row>
    <row r="11516" spans="5:5">
      <c r="E11516"/>
    </row>
    <row r="11517" spans="5:5">
      <c r="E11517"/>
    </row>
    <row r="11518" spans="5:5">
      <c r="E11518"/>
    </row>
    <row r="11519" spans="5:5">
      <c r="E11519"/>
    </row>
    <row r="11520" spans="5:5">
      <c r="E11520"/>
    </row>
    <row r="11521" spans="5:5">
      <c r="E11521"/>
    </row>
    <row r="11522" spans="5:5">
      <c r="E11522"/>
    </row>
    <row r="11523" spans="5:5">
      <c r="E11523"/>
    </row>
    <row r="11524" spans="5:5">
      <c r="E11524"/>
    </row>
    <row r="11525" spans="5:5">
      <c r="E11525"/>
    </row>
    <row r="11526" spans="5:5">
      <c r="E11526"/>
    </row>
    <row r="11527" spans="5:5">
      <c r="E11527"/>
    </row>
    <row r="11528" spans="5:5">
      <c r="E11528"/>
    </row>
    <row r="11529" spans="5:5">
      <c r="E11529"/>
    </row>
    <row r="11530" spans="5:5">
      <c r="E11530"/>
    </row>
    <row r="11531" spans="5:5">
      <c r="E11531"/>
    </row>
    <row r="11532" spans="5:5">
      <c r="E11532"/>
    </row>
    <row r="11533" spans="5:5">
      <c r="E11533"/>
    </row>
    <row r="11534" spans="5:5">
      <c r="E11534"/>
    </row>
    <row r="11535" spans="5:5">
      <c r="E11535"/>
    </row>
    <row r="11536" spans="5:5">
      <c r="E11536"/>
    </row>
    <row r="11537" spans="5:5">
      <c r="E11537"/>
    </row>
    <row r="11538" spans="5:5">
      <c r="E11538"/>
    </row>
    <row r="11539" spans="5:5">
      <c r="E11539"/>
    </row>
    <row r="11540" spans="5:5">
      <c r="E11540"/>
    </row>
    <row r="11541" spans="5:5">
      <c r="E11541"/>
    </row>
    <row r="11542" spans="5:5">
      <c r="E11542"/>
    </row>
    <row r="11543" spans="5:5">
      <c r="E11543"/>
    </row>
    <row r="11544" spans="5:5">
      <c r="E11544"/>
    </row>
    <row r="11545" spans="5:5">
      <c r="E11545"/>
    </row>
    <row r="11546" spans="5:5">
      <c r="E11546"/>
    </row>
    <row r="11547" spans="5:5">
      <c r="E11547"/>
    </row>
    <row r="11548" spans="5:5">
      <c r="E11548"/>
    </row>
    <row r="11549" spans="5:5">
      <c r="E11549"/>
    </row>
    <row r="11550" spans="5:5">
      <c r="E11550"/>
    </row>
    <row r="11551" spans="5:5">
      <c r="E11551"/>
    </row>
    <row r="11552" spans="5:5">
      <c r="E11552"/>
    </row>
    <row r="11553" spans="5:5">
      <c r="E11553"/>
    </row>
    <row r="11554" spans="5:5">
      <c r="E11554"/>
    </row>
    <row r="11555" spans="5:5">
      <c r="E11555"/>
    </row>
    <row r="11556" spans="5:5">
      <c r="E11556"/>
    </row>
    <row r="11557" spans="5:5">
      <c r="E11557"/>
    </row>
    <row r="11558" spans="5:5">
      <c r="E11558"/>
    </row>
    <row r="11559" spans="5:5">
      <c r="E11559"/>
    </row>
    <row r="11560" spans="5:5">
      <c r="E11560"/>
    </row>
    <row r="11561" spans="5:5">
      <c r="E11561"/>
    </row>
    <row r="11562" spans="5:5">
      <c r="E11562"/>
    </row>
    <row r="11563" spans="5:5">
      <c r="E11563"/>
    </row>
    <row r="11564" spans="5:5">
      <c r="E11564"/>
    </row>
    <row r="11565" spans="5:5">
      <c r="E11565"/>
    </row>
    <row r="11566" spans="5:5">
      <c r="E11566"/>
    </row>
    <row r="11567" spans="5:5">
      <c r="E11567"/>
    </row>
    <row r="11568" spans="5:5">
      <c r="E11568"/>
    </row>
    <row r="11569" spans="5:5">
      <c r="E11569"/>
    </row>
    <row r="11570" spans="5:5">
      <c r="E11570"/>
    </row>
    <row r="11571" spans="5:5">
      <c r="E11571"/>
    </row>
    <row r="11572" spans="5:5">
      <c r="E11572"/>
    </row>
    <row r="11573" spans="5:5">
      <c r="E11573"/>
    </row>
    <row r="11574" spans="5:5">
      <c r="E11574"/>
    </row>
    <row r="11575" spans="5:5">
      <c r="E11575"/>
    </row>
    <row r="11576" spans="5:5">
      <c r="E11576"/>
    </row>
    <row r="11577" spans="5:5">
      <c r="E11577"/>
    </row>
    <row r="11578" spans="5:5">
      <c r="E11578"/>
    </row>
    <row r="11579" spans="5:5">
      <c r="E11579"/>
    </row>
    <row r="11580" spans="5:5">
      <c r="E11580"/>
    </row>
    <row r="11581" spans="5:5">
      <c r="E11581"/>
    </row>
    <row r="11582" spans="5:5">
      <c r="E11582"/>
    </row>
    <row r="11583" spans="5:5">
      <c r="E11583"/>
    </row>
    <row r="11584" spans="5:5">
      <c r="E11584"/>
    </row>
    <row r="11585" spans="5:5">
      <c r="E11585"/>
    </row>
    <row r="11586" spans="5:5">
      <c r="E11586"/>
    </row>
    <row r="11587" spans="5:5">
      <c r="E11587"/>
    </row>
    <row r="11588" spans="5:5">
      <c r="E11588"/>
    </row>
    <row r="11589" spans="5:5">
      <c r="E11589"/>
    </row>
    <row r="11590" spans="5:5">
      <c r="E11590"/>
    </row>
    <row r="11591" spans="5:5">
      <c r="E11591"/>
    </row>
    <row r="11592" spans="5:5">
      <c r="E11592"/>
    </row>
    <row r="11593" spans="5:5">
      <c r="E11593"/>
    </row>
    <row r="11594" spans="5:5">
      <c r="E11594"/>
    </row>
    <row r="11595" spans="5:5">
      <c r="E11595"/>
    </row>
    <row r="11596" spans="5:5">
      <c r="E11596"/>
    </row>
    <row r="11597" spans="5:5">
      <c r="E11597"/>
    </row>
    <row r="11598" spans="5:5">
      <c r="E11598"/>
    </row>
    <row r="11599" spans="5:5">
      <c r="E11599"/>
    </row>
    <row r="11600" spans="5:5">
      <c r="E11600"/>
    </row>
    <row r="11601" spans="5:5">
      <c r="E11601"/>
    </row>
    <row r="11602" spans="5:5">
      <c r="E11602"/>
    </row>
    <row r="11603" spans="5:5">
      <c r="E11603"/>
    </row>
    <row r="11604" spans="5:5">
      <c r="E11604"/>
    </row>
    <row r="11605" spans="5:5">
      <c r="E11605"/>
    </row>
    <row r="11606" spans="5:5">
      <c r="E11606"/>
    </row>
    <row r="11607" spans="5:5">
      <c r="E11607"/>
    </row>
    <row r="11608" spans="5:5">
      <c r="E11608"/>
    </row>
    <row r="11609" spans="5:5">
      <c r="E11609"/>
    </row>
    <row r="11610" spans="5:5">
      <c r="E11610"/>
    </row>
    <row r="11611" spans="5:5">
      <c r="E11611"/>
    </row>
    <row r="11612" spans="5:5">
      <c r="E11612"/>
    </row>
    <row r="11613" spans="5:5">
      <c r="E11613"/>
    </row>
    <row r="11614" spans="5:5">
      <c r="E11614"/>
    </row>
    <row r="11615" spans="5:5">
      <c r="E11615"/>
    </row>
    <row r="11616" spans="5:5">
      <c r="E11616"/>
    </row>
    <row r="11617" spans="5:5">
      <c r="E11617"/>
    </row>
    <row r="11618" spans="5:5">
      <c r="E11618"/>
    </row>
    <row r="11619" spans="5:5">
      <c r="E11619"/>
    </row>
    <row r="11620" spans="5:5">
      <c r="E11620"/>
    </row>
    <row r="11621" spans="5:5">
      <c r="E11621"/>
    </row>
    <row r="11622" spans="5:5">
      <c r="E11622"/>
    </row>
    <row r="11623" spans="5:5">
      <c r="E11623"/>
    </row>
    <row r="11624" spans="5:5">
      <c r="E11624"/>
    </row>
    <row r="11625" spans="5:5">
      <c r="E11625"/>
    </row>
    <row r="11626" spans="5:5">
      <c r="E11626"/>
    </row>
    <row r="11627" spans="5:5">
      <c r="E11627"/>
    </row>
    <row r="11628" spans="5:5">
      <c r="E11628"/>
    </row>
    <row r="11629" spans="5:5">
      <c r="E11629"/>
    </row>
    <row r="11630" spans="5:5">
      <c r="E11630"/>
    </row>
    <row r="11631" spans="5:5">
      <c r="E11631"/>
    </row>
    <row r="11632" spans="5:5">
      <c r="E11632"/>
    </row>
    <row r="11633" spans="5:5">
      <c r="E11633"/>
    </row>
    <row r="11634" spans="5:5">
      <c r="E11634"/>
    </row>
    <row r="11635" spans="5:5">
      <c r="E11635"/>
    </row>
    <row r="11636" spans="5:5">
      <c r="E11636"/>
    </row>
    <row r="11637" spans="5:5">
      <c r="E11637"/>
    </row>
    <row r="11638" spans="5:5">
      <c r="E11638"/>
    </row>
    <row r="11639" spans="5:5">
      <c r="E11639"/>
    </row>
    <row r="11640" spans="5:5">
      <c r="E11640"/>
    </row>
    <row r="11641" spans="5:5">
      <c r="E11641"/>
    </row>
    <row r="11642" spans="5:5">
      <c r="E11642"/>
    </row>
    <row r="11643" spans="5:5">
      <c r="E11643"/>
    </row>
    <row r="11644" spans="5:5">
      <c r="E11644"/>
    </row>
    <row r="11645" spans="5:5">
      <c r="E11645"/>
    </row>
    <row r="11646" spans="5:5">
      <c r="E11646"/>
    </row>
    <row r="11647" spans="5:5">
      <c r="E11647"/>
    </row>
    <row r="11648" spans="5:5">
      <c r="E11648"/>
    </row>
    <row r="11649" spans="5:5">
      <c r="E11649"/>
    </row>
    <row r="11650" spans="5:5">
      <c r="E11650"/>
    </row>
    <row r="11651" spans="5:5">
      <c r="E11651"/>
    </row>
    <row r="11652" spans="5:5">
      <c r="E11652"/>
    </row>
    <row r="11653" spans="5:5">
      <c r="E11653"/>
    </row>
    <row r="11654" spans="5:5">
      <c r="E11654"/>
    </row>
    <row r="11655" spans="5:5">
      <c r="E11655"/>
    </row>
    <row r="11656" spans="5:5">
      <c r="E11656"/>
    </row>
    <row r="11657" spans="5:5">
      <c r="E11657"/>
    </row>
    <row r="11658" spans="5:5">
      <c r="E11658"/>
    </row>
    <row r="11659" spans="5:5">
      <c r="E11659"/>
    </row>
    <row r="11660" spans="5:5">
      <c r="E11660"/>
    </row>
    <row r="11661" spans="5:5">
      <c r="E11661"/>
    </row>
    <row r="11662" spans="5:5">
      <c r="E11662"/>
    </row>
    <row r="11663" spans="5:5">
      <c r="E11663"/>
    </row>
    <row r="11664" spans="5:5">
      <c r="E11664"/>
    </row>
    <row r="11665" spans="5:5">
      <c r="E11665"/>
    </row>
    <row r="11666" spans="5:5">
      <c r="E11666"/>
    </row>
    <row r="11667" spans="5:5">
      <c r="E11667"/>
    </row>
    <row r="11668" spans="5:5">
      <c r="E11668"/>
    </row>
    <row r="11669" spans="5:5">
      <c r="E11669"/>
    </row>
    <row r="11670" spans="5:5">
      <c r="E11670"/>
    </row>
    <row r="11671" spans="5:5">
      <c r="E11671"/>
    </row>
    <row r="11672" spans="5:5">
      <c r="E11672"/>
    </row>
    <row r="11673" spans="5:5">
      <c r="E11673"/>
    </row>
    <row r="11674" spans="5:5">
      <c r="E11674"/>
    </row>
    <row r="11675" spans="5:5">
      <c r="E11675"/>
    </row>
    <row r="11676" spans="5:5">
      <c r="E11676"/>
    </row>
    <row r="11677" spans="5:5">
      <c r="E11677"/>
    </row>
    <row r="11678" spans="5:5">
      <c r="E11678"/>
    </row>
    <row r="11679" spans="5:5">
      <c r="E11679"/>
    </row>
    <row r="11680" spans="5:5">
      <c r="E11680"/>
    </row>
    <row r="11681" spans="5:5">
      <c r="E11681"/>
    </row>
    <row r="11682" spans="5:5">
      <c r="E11682"/>
    </row>
    <row r="11683" spans="5:5">
      <c r="E11683"/>
    </row>
    <row r="11684" spans="5:5">
      <c r="E11684"/>
    </row>
    <row r="11685" spans="5:5">
      <c r="E11685"/>
    </row>
    <row r="11686" spans="5:5">
      <c r="E11686"/>
    </row>
    <row r="11687" spans="5:5">
      <c r="E11687"/>
    </row>
    <row r="11688" spans="5:5">
      <c r="E11688"/>
    </row>
    <row r="11689" spans="5:5">
      <c r="E11689"/>
    </row>
    <row r="11690" spans="5:5">
      <c r="E11690"/>
    </row>
    <row r="11691" spans="5:5">
      <c r="E11691"/>
    </row>
    <row r="11692" spans="5:5">
      <c r="E11692"/>
    </row>
    <row r="11693" spans="5:5">
      <c r="E11693"/>
    </row>
    <row r="11694" spans="5:5">
      <c r="E11694"/>
    </row>
    <row r="11695" spans="5:5">
      <c r="E11695"/>
    </row>
    <row r="11696" spans="5:5">
      <c r="E11696"/>
    </row>
    <row r="11697" spans="5:5">
      <c r="E11697"/>
    </row>
    <row r="11698" spans="5:5">
      <c r="E11698"/>
    </row>
    <row r="11699" spans="5:5">
      <c r="E11699"/>
    </row>
    <row r="11700" spans="5:5">
      <c r="E11700"/>
    </row>
    <row r="11701" spans="5:5">
      <c r="E11701"/>
    </row>
    <row r="11702" spans="5:5">
      <c r="E11702"/>
    </row>
    <row r="11703" spans="5:5">
      <c r="E11703"/>
    </row>
    <row r="11704" spans="5:5">
      <c r="E11704"/>
    </row>
    <row r="11705" spans="5:5">
      <c r="E11705"/>
    </row>
    <row r="11706" spans="5:5">
      <c r="E11706"/>
    </row>
    <row r="11707" spans="5:5">
      <c r="E11707"/>
    </row>
    <row r="11708" spans="5:5">
      <c r="E11708"/>
    </row>
    <row r="11709" spans="5:5">
      <c r="E11709"/>
    </row>
    <row r="11710" spans="5:5">
      <c r="E11710"/>
    </row>
    <row r="11711" spans="5:5">
      <c r="E11711"/>
    </row>
    <row r="11712" spans="5:5">
      <c r="E11712"/>
    </row>
    <row r="11713" spans="5:5">
      <c r="E11713"/>
    </row>
    <row r="11714" spans="5:5">
      <c r="E11714"/>
    </row>
    <row r="11715" spans="5:5">
      <c r="E11715"/>
    </row>
    <row r="11716" spans="5:5">
      <c r="E11716"/>
    </row>
    <row r="11717" spans="5:5">
      <c r="E11717"/>
    </row>
    <row r="11718" spans="5:5">
      <c r="E11718"/>
    </row>
    <row r="11719" spans="5:5">
      <c r="E11719"/>
    </row>
    <row r="11720" spans="5:5">
      <c r="E11720"/>
    </row>
    <row r="11721" spans="5:5">
      <c r="E11721"/>
    </row>
    <row r="11722" spans="5:5">
      <c r="E11722"/>
    </row>
    <row r="11723" spans="5:5">
      <c r="E11723"/>
    </row>
    <row r="11724" spans="5:5">
      <c r="E11724"/>
    </row>
    <row r="11725" spans="5:5">
      <c r="E11725"/>
    </row>
    <row r="11726" spans="5:5">
      <c r="E11726"/>
    </row>
    <row r="11727" spans="5:5">
      <c r="E11727"/>
    </row>
    <row r="11728" spans="5:5">
      <c r="E11728"/>
    </row>
    <row r="11729" spans="5:5">
      <c r="E11729"/>
    </row>
    <row r="11730" spans="5:5">
      <c r="E11730"/>
    </row>
    <row r="11731" spans="5:5">
      <c r="E11731"/>
    </row>
    <row r="11732" spans="5:5">
      <c r="E11732"/>
    </row>
    <row r="11733" spans="5:5">
      <c r="E11733"/>
    </row>
    <row r="11734" spans="5:5">
      <c r="E11734"/>
    </row>
    <row r="11735" spans="5:5">
      <c r="E11735"/>
    </row>
    <row r="11736" spans="5:5">
      <c r="E11736"/>
    </row>
    <row r="11737" spans="5:5">
      <c r="E11737"/>
    </row>
    <row r="11738" spans="5:5">
      <c r="E11738"/>
    </row>
    <row r="11739" spans="5:5">
      <c r="E11739"/>
    </row>
    <row r="11740" spans="5:5">
      <c r="E11740"/>
    </row>
    <row r="11741" spans="5:5">
      <c r="E11741"/>
    </row>
    <row r="11742" spans="5:5">
      <c r="E11742"/>
    </row>
    <row r="11743" spans="5:5">
      <c r="E11743"/>
    </row>
    <row r="11744" spans="5:5">
      <c r="E11744"/>
    </row>
    <row r="11745" spans="5:5">
      <c r="E11745"/>
    </row>
    <row r="11746" spans="5:5">
      <c r="E11746"/>
    </row>
    <row r="11747" spans="5:5">
      <c r="E11747"/>
    </row>
    <row r="11748" spans="5:5">
      <c r="E11748"/>
    </row>
    <row r="11749" spans="5:5">
      <c r="E11749"/>
    </row>
    <row r="11750" spans="5:5">
      <c r="E11750"/>
    </row>
    <row r="11751" spans="5:5">
      <c r="E11751"/>
    </row>
    <row r="11752" spans="5:5">
      <c r="E11752"/>
    </row>
    <row r="11753" spans="5:5">
      <c r="E11753"/>
    </row>
    <row r="11754" spans="5:5">
      <c r="E11754"/>
    </row>
    <row r="11755" spans="5:5">
      <c r="E11755"/>
    </row>
    <row r="11756" spans="5:5">
      <c r="E11756"/>
    </row>
    <row r="11757" spans="5:5">
      <c r="E11757"/>
    </row>
    <row r="11758" spans="5:5">
      <c r="E11758"/>
    </row>
    <row r="11759" spans="5:5">
      <c r="E11759"/>
    </row>
    <row r="11760" spans="5:5">
      <c r="E11760"/>
    </row>
    <row r="11761" spans="5:5">
      <c r="E11761"/>
    </row>
    <row r="11762" spans="5:5">
      <c r="E11762"/>
    </row>
    <row r="11763" spans="5:5">
      <c r="E11763"/>
    </row>
    <row r="11764" spans="5:5">
      <c r="E11764"/>
    </row>
    <row r="11765" spans="5:5">
      <c r="E11765"/>
    </row>
    <row r="11766" spans="5:5">
      <c r="E11766"/>
    </row>
    <row r="11767" spans="5:5">
      <c r="E11767"/>
    </row>
    <row r="11768" spans="5:5">
      <c r="E11768"/>
    </row>
    <row r="11769" spans="5:5">
      <c r="E11769"/>
    </row>
    <row r="11770" spans="5:5">
      <c r="E11770"/>
    </row>
    <row r="11771" spans="5:5">
      <c r="E11771"/>
    </row>
    <row r="11772" spans="5:5">
      <c r="E11772"/>
    </row>
    <row r="11773" spans="5:5">
      <c r="E11773"/>
    </row>
    <row r="11774" spans="5:5">
      <c r="E11774"/>
    </row>
    <row r="11775" spans="5:5">
      <c r="E11775"/>
    </row>
    <row r="11776" spans="5:5">
      <c r="E11776"/>
    </row>
    <row r="11777" spans="5:5">
      <c r="E11777"/>
    </row>
    <row r="11778" spans="5:5">
      <c r="E11778"/>
    </row>
    <row r="11779" spans="5:5">
      <c r="E11779"/>
    </row>
    <row r="11780" spans="5:5">
      <c r="E11780"/>
    </row>
    <row r="11781" spans="5:5">
      <c r="E11781"/>
    </row>
    <row r="11782" spans="5:5">
      <c r="E11782"/>
    </row>
    <row r="11783" spans="5:5">
      <c r="E11783"/>
    </row>
    <row r="11784" spans="5:5">
      <c r="E11784"/>
    </row>
    <row r="11785" spans="5:5">
      <c r="E11785"/>
    </row>
    <row r="11786" spans="5:5">
      <c r="E11786"/>
    </row>
    <row r="11787" spans="5:5">
      <c r="E11787"/>
    </row>
    <row r="11788" spans="5:5">
      <c r="E11788"/>
    </row>
    <row r="11789" spans="5:5">
      <c r="E11789"/>
    </row>
    <row r="11790" spans="5:5">
      <c r="E11790"/>
    </row>
    <row r="11791" spans="5:5">
      <c r="E11791"/>
    </row>
    <row r="11792" spans="5:5">
      <c r="E11792"/>
    </row>
    <row r="11793" spans="5:5">
      <c r="E11793"/>
    </row>
    <row r="11794" spans="5:5">
      <c r="E11794"/>
    </row>
    <row r="11795" spans="5:5">
      <c r="E11795"/>
    </row>
    <row r="11796" spans="5:5">
      <c r="E11796"/>
    </row>
    <row r="11797" spans="5:5">
      <c r="E11797"/>
    </row>
    <row r="11798" spans="5:5">
      <c r="E11798"/>
    </row>
    <row r="11799" spans="5:5">
      <c r="E11799"/>
    </row>
    <row r="11800" spans="5:5">
      <c r="E11800"/>
    </row>
    <row r="11801" spans="5:5">
      <c r="E11801"/>
    </row>
    <row r="11802" spans="5:5">
      <c r="E11802"/>
    </row>
    <row r="11803" spans="5:5">
      <c r="E11803"/>
    </row>
    <row r="11804" spans="5:5">
      <c r="E11804"/>
    </row>
    <row r="11805" spans="5:5">
      <c r="E11805"/>
    </row>
    <row r="11806" spans="5:5">
      <c r="E11806"/>
    </row>
    <row r="11807" spans="5:5">
      <c r="E11807"/>
    </row>
    <row r="11808" spans="5:5">
      <c r="E11808"/>
    </row>
    <row r="11809" spans="5:5">
      <c r="E11809"/>
    </row>
    <row r="11810" spans="5:5">
      <c r="E11810"/>
    </row>
    <row r="11811" spans="5:5">
      <c r="E11811"/>
    </row>
    <row r="11812" spans="5:5">
      <c r="E11812"/>
    </row>
    <row r="11813" spans="5:5">
      <c r="E11813"/>
    </row>
    <row r="11814" spans="5:5">
      <c r="E11814"/>
    </row>
    <row r="11815" spans="5:5">
      <c r="E11815"/>
    </row>
    <row r="11816" spans="5:5">
      <c r="E11816"/>
    </row>
    <row r="11817" spans="5:5">
      <c r="E11817"/>
    </row>
    <row r="11818" spans="5:5">
      <c r="E11818"/>
    </row>
    <row r="11819" spans="5:5">
      <c r="E11819"/>
    </row>
    <row r="11820" spans="5:5">
      <c r="E11820"/>
    </row>
    <row r="11821" spans="5:5">
      <c r="E11821"/>
    </row>
    <row r="11822" spans="5:5">
      <c r="E11822"/>
    </row>
    <row r="11823" spans="5:5">
      <c r="E11823"/>
    </row>
    <row r="11824" spans="5:5">
      <c r="E11824"/>
    </row>
    <row r="11825" spans="5:5">
      <c r="E11825"/>
    </row>
    <row r="11826" spans="5:5">
      <c r="E11826"/>
    </row>
    <row r="11827" spans="5:5">
      <c r="E11827"/>
    </row>
    <row r="11828" spans="5:5">
      <c r="E11828"/>
    </row>
    <row r="11829" spans="5:5">
      <c r="E11829"/>
    </row>
    <row r="11830" spans="5:5">
      <c r="E11830"/>
    </row>
    <row r="11831" spans="5:5">
      <c r="E11831"/>
    </row>
    <row r="11832" spans="5:5">
      <c r="E11832"/>
    </row>
    <row r="11833" spans="5:5">
      <c r="E11833"/>
    </row>
    <row r="11834" spans="5:5">
      <c r="E11834"/>
    </row>
    <row r="11835" spans="5:5">
      <c r="E11835"/>
    </row>
    <row r="11836" spans="5:5">
      <c r="E11836"/>
    </row>
    <row r="11837" spans="5:5">
      <c r="E11837"/>
    </row>
    <row r="11838" spans="5:5">
      <c r="E11838"/>
    </row>
    <row r="11839" spans="5:5">
      <c r="E11839"/>
    </row>
    <row r="11840" spans="5:5">
      <c r="E11840"/>
    </row>
    <row r="11841" spans="5:5">
      <c r="E11841"/>
    </row>
    <row r="11842" spans="5:5">
      <c r="E11842"/>
    </row>
    <row r="11843" spans="5:5">
      <c r="E11843"/>
    </row>
    <row r="11844" spans="5:5">
      <c r="E11844"/>
    </row>
    <row r="11845" spans="5:5">
      <c r="E11845"/>
    </row>
    <row r="11846" spans="5:5">
      <c r="E11846"/>
    </row>
    <row r="11847" spans="5:5">
      <c r="E11847"/>
    </row>
    <row r="11848" spans="5:5">
      <c r="E11848"/>
    </row>
    <row r="11849" spans="5:5">
      <c r="E11849"/>
    </row>
    <row r="11850" spans="5:5">
      <c r="E11850"/>
    </row>
    <row r="11851" spans="5:5">
      <c r="E11851"/>
    </row>
    <row r="11852" spans="5:5">
      <c r="E11852"/>
    </row>
    <row r="11853" spans="5:5">
      <c r="E11853"/>
    </row>
    <row r="11854" spans="5:5">
      <c r="E11854"/>
    </row>
    <row r="11855" spans="5:5">
      <c r="E11855"/>
    </row>
    <row r="11856" spans="5:5">
      <c r="E11856"/>
    </row>
    <row r="11857" spans="5:5">
      <c r="E11857"/>
    </row>
    <row r="11858" spans="5:5">
      <c r="E11858"/>
    </row>
    <row r="11859" spans="5:5">
      <c r="E11859"/>
    </row>
    <row r="11860" spans="5:5">
      <c r="E11860"/>
    </row>
    <row r="11861" spans="5:5">
      <c r="E11861"/>
    </row>
    <row r="11862" spans="5:5">
      <c r="E11862"/>
    </row>
    <row r="11863" spans="5:5">
      <c r="E11863"/>
    </row>
    <row r="11864" spans="5:5">
      <c r="E11864"/>
    </row>
    <row r="11865" spans="5:5">
      <c r="E11865"/>
    </row>
    <row r="11866" spans="5:5">
      <c r="E11866"/>
    </row>
    <row r="11867" spans="5:5">
      <c r="E11867"/>
    </row>
    <row r="11868" spans="5:5">
      <c r="E11868"/>
    </row>
    <row r="11869" spans="5:5">
      <c r="E11869"/>
    </row>
    <row r="11870" spans="5:5">
      <c r="E11870"/>
    </row>
    <row r="11871" spans="5:5">
      <c r="E11871"/>
    </row>
    <row r="11872" spans="5:5">
      <c r="E11872"/>
    </row>
    <row r="11873" spans="5:5">
      <c r="E11873"/>
    </row>
    <row r="11874" spans="5:5">
      <c r="E11874"/>
    </row>
    <row r="11875" spans="5:5">
      <c r="E11875"/>
    </row>
    <row r="11876" spans="5:5">
      <c r="E11876"/>
    </row>
    <row r="11877" spans="5:5">
      <c r="E11877"/>
    </row>
    <row r="11878" spans="5:5">
      <c r="E11878"/>
    </row>
    <row r="11879" spans="5:5">
      <c r="E11879"/>
    </row>
    <row r="11880" spans="5:5">
      <c r="E11880"/>
    </row>
    <row r="11881" spans="5:5">
      <c r="E11881"/>
    </row>
    <row r="11882" spans="5:5">
      <c r="E11882"/>
    </row>
    <row r="11883" spans="5:5">
      <c r="E11883"/>
    </row>
    <row r="11884" spans="5:5">
      <c r="E11884"/>
    </row>
    <row r="11885" spans="5:5">
      <c r="E11885"/>
    </row>
    <row r="11886" spans="5:5">
      <c r="E11886"/>
    </row>
    <row r="11887" spans="5:5">
      <c r="E11887"/>
    </row>
    <row r="11888" spans="5:5">
      <c r="E11888"/>
    </row>
    <row r="11889" spans="5:5">
      <c r="E11889"/>
    </row>
    <row r="11890" spans="5:5">
      <c r="E11890"/>
    </row>
    <row r="11891" spans="5:5">
      <c r="E11891"/>
    </row>
    <row r="11892" spans="5:5">
      <c r="E11892"/>
    </row>
    <row r="11893" spans="5:5">
      <c r="E11893"/>
    </row>
    <row r="11894" spans="5:5">
      <c r="E11894"/>
    </row>
    <row r="11895" spans="5:5">
      <c r="E11895"/>
    </row>
    <row r="11896" spans="5:5">
      <c r="E11896"/>
    </row>
    <row r="11897" spans="5:5">
      <c r="E11897"/>
    </row>
    <row r="11898" spans="5:5">
      <c r="E11898"/>
    </row>
    <row r="11899" spans="5:5">
      <c r="E11899"/>
    </row>
    <row r="11900" spans="5:5">
      <c r="E11900"/>
    </row>
    <row r="11901" spans="5:5">
      <c r="E11901"/>
    </row>
    <row r="11902" spans="5:5">
      <c r="E11902"/>
    </row>
    <row r="11903" spans="5:5">
      <c r="E11903"/>
    </row>
    <row r="11904" spans="5:5">
      <c r="E11904"/>
    </row>
    <row r="11905" spans="5:5">
      <c r="E11905"/>
    </row>
    <row r="11906" spans="5:5">
      <c r="E11906"/>
    </row>
    <row r="11907" spans="5:5">
      <c r="E11907"/>
    </row>
    <row r="11908" spans="5:5">
      <c r="E11908"/>
    </row>
    <row r="11909" spans="5:5">
      <c r="E11909"/>
    </row>
    <row r="11910" spans="5:5">
      <c r="E11910"/>
    </row>
    <row r="11911" spans="5:5">
      <c r="E11911"/>
    </row>
    <row r="11912" spans="5:5">
      <c r="E11912"/>
    </row>
    <row r="11913" spans="5:5">
      <c r="E11913"/>
    </row>
    <row r="11914" spans="5:5">
      <c r="E11914"/>
    </row>
    <row r="11915" spans="5:5">
      <c r="E11915"/>
    </row>
    <row r="11916" spans="5:5">
      <c r="E11916"/>
    </row>
    <row r="11917" spans="5:5">
      <c r="E11917"/>
    </row>
    <row r="11918" spans="5:5">
      <c r="E11918"/>
    </row>
    <row r="11919" spans="5:5">
      <c r="E11919"/>
    </row>
    <row r="11920" spans="5:5">
      <c r="E11920"/>
    </row>
    <row r="11921" spans="5:5">
      <c r="E11921"/>
    </row>
    <row r="11922" spans="5:5">
      <c r="E11922"/>
    </row>
    <row r="11923" spans="5:5">
      <c r="E11923"/>
    </row>
    <row r="11924" spans="5:5">
      <c r="E11924"/>
    </row>
    <row r="11925" spans="5:5">
      <c r="E11925"/>
    </row>
    <row r="11926" spans="5:5">
      <c r="E11926"/>
    </row>
    <row r="11927" spans="5:5">
      <c r="E11927"/>
    </row>
    <row r="11928" spans="5:5">
      <c r="E11928"/>
    </row>
    <row r="11929" spans="5:5">
      <c r="E11929"/>
    </row>
    <row r="11930" spans="5:5">
      <c r="E11930"/>
    </row>
    <row r="11931" spans="5:5">
      <c r="E11931"/>
    </row>
    <row r="11932" spans="5:5">
      <c r="E11932"/>
    </row>
    <row r="11933" spans="5:5">
      <c r="E11933"/>
    </row>
    <row r="11934" spans="5:5">
      <c r="E11934"/>
    </row>
    <row r="11935" spans="5:5">
      <c r="E11935"/>
    </row>
    <row r="11936" spans="5:5">
      <c r="E11936"/>
    </row>
    <row r="11937" spans="5:5">
      <c r="E11937"/>
    </row>
    <row r="11938" spans="5:5">
      <c r="E11938"/>
    </row>
    <row r="11939" spans="5:5">
      <c r="E11939"/>
    </row>
    <row r="11940" spans="5:5">
      <c r="E11940"/>
    </row>
    <row r="11941" spans="5:5">
      <c r="E11941"/>
    </row>
    <row r="11942" spans="5:5">
      <c r="E11942"/>
    </row>
    <row r="11943" spans="5:5">
      <c r="E11943"/>
    </row>
    <row r="11944" spans="5:5">
      <c r="E11944"/>
    </row>
    <row r="11945" spans="5:5">
      <c r="E11945"/>
    </row>
    <row r="11946" spans="5:5">
      <c r="E11946"/>
    </row>
    <row r="11947" spans="5:5">
      <c r="E11947"/>
    </row>
    <row r="11948" spans="5:5">
      <c r="E11948"/>
    </row>
    <row r="11949" spans="5:5">
      <c r="E11949"/>
    </row>
    <row r="11950" spans="5:5">
      <c r="E11950"/>
    </row>
    <row r="11951" spans="5:5">
      <c r="E11951"/>
    </row>
    <row r="11952" spans="5:5">
      <c r="E11952"/>
    </row>
    <row r="11953" spans="5:5">
      <c r="E11953"/>
    </row>
    <row r="11954" spans="5:5">
      <c r="E11954"/>
    </row>
    <row r="11955" spans="5:5">
      <c r="E11955"/>
    </row>
    <row r="11956" spans="5:5">
      <c r="E11956"/>
    </row>
    <row r="11957" spans="5:5">
      <c r="E11957"/>
    </row>
    <row r="11958" spans="5:5">
      <c r="E11958"/>
    </row>
    <row r="11959" spans="5:5">
      <c r="E11959"/>
    </row>
    <row r="11960" spans="5:5">
      <c r="E11960"/>
    </row>
    <row r="11961" spans="5:5">
      <c r="E11961"/>
    </row>
    <row r="11962" spans="5:5">
      <c r="E11962"/>
    </row>
    <row r="11963" spans="5:5">
      <c r="E11963"/>
    </row>
    <row r="11964" spans="5:5">
      <c r="E11964"/>
    </row>
    <row r="11965" spans="5:5">
      <c r="E11965"/>
    </row>
    <row r="11966" spans="5:5">
      <c r="E11966"/>
    </row>
    <row r="11967" spans="5:5">
      <c r="E11967"/>
    </row>
    <row r="11968" spans="5:5">
      <c r="E11968"/>
    </row>
    <row r="11969" spans="5:5">
      <c r="E11969"/>
    </row>
    <row r="11970" spans="5:5">
      <c r="E11970"/>
    </row>
    <row r="11971" spans="5:5">
      <c r="E11971"/>
    </row>
    <row r="11972" spans="5:5">
      <c r="E11972"/>
    </row>
    <row r="11973" spans="5:5">
      <c r="E11973"/>
    </row>
    <row r="11974" spans="5:5">
      <c r="E11974"/>
    </row>
    <row r="11975" spans="5:5">
      <c r="E11975"/>
    </row>
    <row r="11976" spans="5:5">
      <c r="E11976"/>
    </row>
    <row r="11977" spans="5:5">
      <c r="E11977"/>
    </row>
    <row r="11978" spans="5:5">
      <c r="E11978"/>
    </row>
    <row r="11979" spans="5:5">
      <c r="E11979"/>
    </row>
    <row r="11980" spans="5:5">
      <c r="E11980"/>
    </row>
    <row r="11981" spans="5:5">
      <c r="E11981"/>
    </row>
    <row r="11982" spans="5:5">
      <c r="E11982"/>
    </row>
    <row r="11983" spans="5:5">
      <c r="E11983"/>
    </row>
    <row r="11984" spans="5:5">
      <c r="E11984"/>
    </row>
    <row r="11985" spans="5:5">
      <c r="E11985"/>
    </row>
    <row r="11986" spans="5:5">
      <c r="E11986"/>
    </row>
    <row r="11987" spans="5:5">
      <c r="E11987"/>
    </row>
    <row r="11988" spans="5:5">
      <c r="E11988"/>
    </row>
    <row r="11989" spans="5:5">
      <c r="E11989"/>
    </row>
    <row r="11990" spans="5:5">
      <c r="E11990"/>
    </row>
    <row r="11991" spans="5:5">
      <c r="E11991"/>
    </row>
    <row r="11992" spans="5:5">
      <c r="E11992"/>
    </row>
    <row r="11993" spans="5:5">
      <c r="E11993"/>
    </row>
    <row r="11994" spans="5:5">
      <c r="E11994"/>
    </row>
    <row r="11995" spans="5:5">
      <c r="E11995"/>
    </row>
    <row r="11996" spans="5:5">
      <c r="E11996"/>
    </row>
    <row r="11997" spans="5:5">
      <c r="E11997"/>
    </row>
    <row r="11998" spans="5:5">
      <c r="E11998"/>
    </row>
    <row r="11999" spans="5:5">
      <c r="E11999"/>
    </row>
    <row r="12000" spans="5:5">
      <c r="E12000"/>
    </row>
    <row r="12001" spans="5:5">
      <c r="E12001"/>
    </row>
    <row r="12002" spans="5:5">
      <c r="E12002"/>
    </row>
    <row r="12003" spans="5:5">
      <c r="E12003"/>
    </row>
    <row r="12004" spans="5:5">
      <c r="E12004"/>
    </row>
    <row r="12005" spans="5:5">
      <c r="E12005"/>
    </row>
    <row r="12006" spans="5:5">
      <c r="E12006"/>
    </row>
    <row r="12007" spans="5:5">
      <c r="E12007"/>
    </row>
    <row r="12008" spans="5:5">
      <c r="E12008"/>
    </row>
    <row r="12009" spans="5:5">
      <c r="E12009"/>
    </row>
    <row r="12010" spans="5:5">
      <c r="E12010"/>
    </row>
    <row r="12011" spans="5:5">
      <c r="E12011"/>
    </row>
    <row r="12012" spans="5:5">
      <c r="E12012"/>
    </row>
    <row r="12013" spans="5:5">
      <c r="E12013"/>
    </row>
    <row r="12014" spans="5:5">
      <c r="E12014"/>
    </row>
    <row r="12015" spans="5:5">
      <c r="E12015"/>
    </row>
    <row r="12016" spans="5:5">
      <c r="E12016"/>
    </row>
    <row r="12017" spans="5:5">
      <c r="E12017"/>
    </row>
    <row r="12018" spans="5:5">
      <c r="E12018"/>
    </row>
    <row r="12019" spans="5:5">
      <c r="E12019"/>
    </row>
    <row r="12020" spans="5:5">
      <c r="E12020"/>
    </row>
    <row r="12021" spans="5:5">
      <c r="E12021"/>
    </row>
    <row r="12022" spans="5:5">
      <c r="E12022"/>
    </row>
    <row r="12023" spans="5:5">
      <c r="E12023"/>
    </row>
    <row r="12024" spans="5:5">
      <c r="E12024"/>
    </row>
    <row r="12025" spans="5:5">
      <c r="E12025"/>
    </row>
    <row r="12026" spans="5:5">
      <c r="E12026"/>
    </row>
    <row r="12027" spans="5:5">
      <c r="E12027"/>
    </row>
    <row r="12028" spans="5:5">
      <c r="E12028"/>
    </row>
    <row r="12029" spans="5:5">
      <c r="E12029"/>
    </row>
    <row r="12030" spans="5:5">
      <c r="E12030"/>
    </row>
    <row r="12031" spans="5:5">
      <c r="E12031"/>
    </row>
    <row r="12032" spans="5:5">
      <c r="E12032"/>
    </row>
    <row r="12033" spans="5:5">
      <c r="E12033"/>
    </row>
    <row r="12034" spans="5:5">
      <c r="E12034"/>
    </row>
    <row r="12035" spans="5:5">
      <c r="E12035"/>
    </row>
    <row r="12036" spans="5:5">
      <c r="E12036"/>
    </row>
    <row r="12037" spans="5:5">
      <c r="E12037"/>
    </row>
    <row r="12038" spans="5:5">
      <c r="E12038"/>
    </row>
    <row r="12039" spans="5:5">
      <c r="E12039"/>
    </row>
    <row r="12040" spans="5:5">
      <c r="E12040"/>
    </row>
    <row r="12041" spans="5:5">
      <c r="E12041"/>
    </row>
    <row r="12042" spans="5:5">
      <c r="E12042"/>
    </row>
    <row r="12043" spans="5:5">
      <c r="E12043"/>
    </row>
    <row r="12044" spans="5:5">
      <c r="E12044"/>
    </row>
    <row r="12045" spans="5:5">
      <c r="E12045"/>
    </row>
    <row r="12046" spans="5:5">
      <c r="E12046"/>
    </row>
    <row r="12047" spans="5:5">
      <c r="E12047"/>
    </row>
    <row r="12048" spans="5:5">
      <c r="E12048"/>
    </row>
    <row r="12049" spans="5:5">
      <c r="E12049"/>
    </row>
    <row r="12050" spans="5:5">
      <c r="E12050"/>
    </row>
    <row r="12051" spans="5:5">
      <c r="E12051"/>
    </row>
    <row r="12052" spans="5:5">
      <c r="E12052"/>
    </row>
    <row r="12053" spans="5:5">
      <c r="E12053"/>
    </row>
    <row r="12054" spans="5:5">
      <c r="E12054"/>
    </row>
    <row r="12055" spans="5:5">
      <c r="E12055"/>
    </row>
    <row r="12056" spans="5:5">
      <c r="E12056"/>
    </row>
    <row r="12057" spans="5:5">
      <c r="E12057"/>
    </row>
    <row r="12058" spans="5:5">
      <c r="E12058"/>
    </row>
    <row r="12059" spans="5:5">
      <c r="E12059"/>
    </row>
    <row r="12060" spans="5:5">
      <c r="E12060"/>
    </row>
    <row r="12061" spans="5:5">
      <c r="E12061"/>
    </row>
    <row r="12062" spans="5:5">
      <c r="E12062"/>
    </row>
    <row r="12063" spans="5:5">
      <c r="E12063"/>
    </row>
    <row r="12064" spans="5:5">
      <c r="E12064"/>
    </row>
    <row r="12065" spans="5:5">
      <c r="E12065"/>
    </row>
    <row r="12066" spans="5:5">
      <c r="E12066"/>
    </row>
    <row r="12067" spans="5:5">
      <c r="E12067"/>
    </row>
    <row r="12068" spans="5:5">
      <c r="E12068"/>
    </row>
    <row r="12069" spans="5:5">
      <c r="E12069"/>
    </row>
    <row r="12070" spans="5:5">
      <c r="E12070"/>
    </row>
    <row r="12071" spans="5:5">
      <c r="E12071"/>
    </row>
    <row r="12072" spans="5:5">
      <c r="E12072"/>
    </row>
    <row r="12073" spans="5:5">
      <c r="E12073"/>
    </row>
    <row r="12074" spans="5:5">
      <c r="E12074"/>
    </row>
    <row r="12075" spans="5:5">
      <c r="E12075"/>
    </row>
    <row r="12076" spans="5:5">
      <c r="E12076"/>
    </row>
    <row r="12077" spans="5:5">
      <c r="E12077"/>
    </row>
    <row r="12078" spans="5:5">
      <c r="E12078"/>
    </row>
    <row r="12079" spans="5:5">
      <c r="E12079"/>
    </row>
    <row r="12080" spans="5:5">
      <c r="E12080"/>
    </row>
    <row r="12081" spans="5:5">
      <c r="E12081"/>
    </row>
    <row r="12082" spans="5:5">
      <c r="E12082"/>
    </row>
    <row r="12083" spans="5:5">
      <c r="E12083"/>
    </row>
    <row r="12084" spans="5:5">
      <c r="E12084"/>
    </row>
    <row r="12085" spans="5:5">
      <c r="E12085"/>
    </row>
    <row r="12086" spans="5:5">
      <c r="E12086"/>
    </row>
    <row r="12087" spans="5:5">
      <c r="E12087"/>
    </row>
    <row r="12088" spans="5:5">
      <c r="E12088"/>
    </row>
    <row r="12089" spans="5:5">
      <c r="E12089"/>
    </row>
    <row r="12090" spans="5:5">
      <c r="E12090"/>
    </row>
    <row r="12091" spans="5:5">
      <c r="E12091"/>
    </row>
    <row r="12092" spans="5:5">
      <c r="E12092"/>
    </row>
    <row r="12093" spans="5:5">
      <c r="E12093"/>
    </row>
    <row r="12094" spans="5:5">
      <c r="E12094"/>
    </row>
    <row r="12095" spans="5:5">
      <c r="E12095"/>
    </row>
    <row r="12096" spans="5:5">
      <c r="E12096"/>
    </row>
    <row r="12097" spans="5:5">
      <c r="E12097"/>
    </row>
    <row r="12098" spans="5:5">
      <c r="E12098"/>
    </row>
    <row r="12099" spans="5:5">
      <c r="E12099"/>
    </row>
    <row r="12100" spans="5:5">
      <c r="E12100"/>
    </row>
    <row r="12101" spans="5:5">
      <c r="E12101"/>
    </row>
    <row r="12102" spans="5:5">
      <c r="E12102"/>
    </row>
    <row r="12103" spans="5:5">
      <c r="E12103"/>
    </row>
    <row r="12104" spans="5:5">
      <c r="E12104"/>
    </row>
    <row r="12105" spans="5:5">
      <c r="E12105"/>
    </row>
    <row r="12106" spans="5:5">
      <c r="E12106"/>
    </row>
    <row r="12107" spans="5:5">
      <c r="E12107"/>
    </row>
    <row r="12108" spans="5:5">
      <c r="E12108"/>
    </row>
    <row r="12109" spans="5:5">
      <c r="E12109"/>
    </row>
    <row r="12110" spans="5:5">
      <c r="E12110"/>
    </row>
    <row r="12111" spans="5:5">
      <c r="E12111"/>
    </row>
    <row r="12112" spans="5:5">
      <c r="E12112"/>
    </row>
    <row r="12113" spans="5:5">
      <c r="E12113"/>
    </row>
    <row r="12114" spans="5:5">
      <c r="E12114"/>
    </row>
    <row r="12115" spans="5:5">
      <c r="E12115"/>
    </row>
    <row r="12116" spans="5:5">
      <c r="E12116"/>
    </row>
    <row r="12117" spans="5:5">
      <c r="E12117"/>
    </row>
    <row r="12118" spans="5:5">
      <c r="E12118"/>
    </row>
    <row r="12119" spans="5:5">
      <c r="E12119"/>
    </row>
    <row r="12120" spans="5:5">
      <c r="E12120"/>
    </row>
    <row r="12121" spans="5:5">
      <c r="E12121"/>
    </row>
    <row r="12122" spans="5:5">
      <c r="E12122"/>
    </row>
    <row r="12123" spans="5:5">
      <c r="E12123"/>
    </row>
    <row r="12124" spans="5:5">
      <c r="E12124"/>
    </row>
    <row r="12125" spans="5:5">
      <c r="E12125"/>
    </row>
    <row r="12126" spans="5:5">
      <c r="E12126"/>
    </row>
    <row r="12127" spans="5:5">
      <c r="E12127"/>
    </row>
    <row r="12128" spans="5:5">
      <c r="E12128"/>
    </row>
    <row r="12129" spans="5:5">
      <c r="E12129"/>
    </row>
    <row r="12130" spans="5:5">
      <c r="E12130"/>
    </row>
    <row r="12131" spans="5:5">
      <c r="E12131"/>
    </row>
    <row r="12132" spans="5:5">
      <c r="E12132"/>
    </row>
    <row r="12133" spans="5:5">
      <c r="E12133"/>
    </row>
    <row r="12134" spans="5:5">
      <c r="E12134"/>
    </row>
    <row r="12135" spans="5:5">
      <c r="E12135"/>
    </row>
    <row r="12136" spans="5:5">
      <c r="E12136"/>
    </row>
    <row r="12137" spans="5:5">
      <c r="E12137"/>
    </row>
    <row r="12138" spans="5:5">
      <c r="E12138"/>
    </row>
    <row r="12139" spans="5:5">
      <c r="E12139"/>
    </row>
    <row r="12140" spans="5:5">
      <c r="E12140"/>
    </row>
    <row r="12141" spans="5:5">
      <c r="E12141"/>
    </row>
    <row r="12142" spans="5:5">
      <c r="E12142"/>
    </row>
    <row r="12143" spans="5:5">
      <c r="E12143"/>
    </row>
    <row r="12144" spans="5:5">
      <c r="E12144"/>
    </row>
    <row r="12145" spans="5:5">
      <c r="E12145"/>
    </row>
    <row r="12146" spans="5:5">
      <c r="E12146"/>
    </row>
    <row r="12147" spans="5:5">
      <c r="E12147"/>
    </row>
    <row r="12148" spans="5:5">
      <c r="E12148"/>
    </row>
    <row r="12149" spans="5:5">
      <c r="E12149"/>
    </row>
    <row r="12150" spans="5:5">
      <c r="E12150"/>
    </row>
    <row r="12151" spans="5:5">
      <c r="E12151"/>
    </row>
    <row r="12152" spans="5:5">
      <c r="E12152"/>
    </row>
    <row r="12153" spans="5:5">
      <c r="E12153"/>
    </row>
    <row r="12154" spans="5:5">
      <c r="E12154"/>
    </row>
    <row r="12155" spans="5:5">
      <c r="E12155"/>
    </row>
    <row r="12156" spans="5:5">
      <c r="E12156"/>
    </row>
    <row r="12157" spans="5:5">
      <c r="E12157"/>
    </row>
    <row r="12158" spans="5:5">
      <c r="E12158"/>
    </row>
    <row r="12159" spans="5:5">
      <c r="E12159"/>
    </row>
    <row r="12160" spans="5:5">
      <c r="E12160"/>
    </row>
    <row r="12161" spans="5:5">
      <c r="E12161"/>
    </row>
    <row r="12162" spans="5:5">
      <c r="E12162"/>
    </row>
    <row r="12163" spans="5:5">
      <c r="E12163"/>
    </row>
    <row r="12164" spans="5:5">
      <c r="E12164"/>
    </row>
    <row r="12165" spans="5:5">
      <c r="E12165"/>
    </row>
    <row r="12166" spans="5:5">
      <c r="E12166"/>
    </row>
    <row r="12167" spans="5:5">
      <c r="E12167"/>
    </row>
    <row r="12168" spans="5:5">
      <c r="E12168"/>
    </row>
    <row r="12169" spans="5:5">
      <c r="E12169"/>
    </row>
    <row r="12170" spans="5:5">
      <c r="E12170"/>
    </row>
    <row r="12171" spans="5:5">
      <c r="E12171"/>
    </row>
    <row r="12172" spans="5:5">
      <c r="E12172"/>
    </row>
    <row r="12173" spans="5:5">
      <c r="E12173"/>
    </row>
    <row r="12174" spans="5:5">
      <c r="E12174"/>
    </row>
    <row r="12175" spans="5:5">
      <c r="E12175"/>
    </row>
    <row r="12176" spans="5:5">
      <c r="E12176"/>
    </row>
    <row r="12177" spans="5:5">
      <c r="E12177"/>
    </row>
    <row r="12178" spans="5:5">
      <c r="E12178"/>
    </row>
    <row r="12179" spans="5:5">
      <c r="E12179"/>
    </row>
    <row r="12180" spans="5:5">
      <c r="E12180"/>
    </row>
    <row r="12181" spans="5:5">
      <c r="E12181"/>
    </row>
    <row r="12182" spans="5:5">
      <c r="E12182"/>
    </row>
    <row r="12183" spans="5:5">
      <c r="E12183"/>
    </row>
    <row r="12184" spans="5:5">
      <c r="E12184"/>
    </row>
    <row r="12185" spans="5:5">
      <c r="E12185"/>
    </row>
    <row r="12186" spans="5:5">
      <c r="E12186"/>
    </row>
    <row r="12187" spans="5:5">
      <c r="E12187"/>
    </row>
    <row r="12188" spans="5:5">
      <c r="E12188"/>
    </row>
    <row r="12189" spans="5:5">
      <c r="E12189"/>
    </row>
    <row r="12190" spans="5:5">
      <c r="E12190"/>
    </row>
    <row r="12191" spans="5:5">
      <c r="E12191"/>
    </row>
    <row r="12192" spans="5:5">
      <c r="E12192"/>
    </row>
    <row r="12193" spans="5:5">
      <c r="E12193"/>
    </row>
    <row r="12194" spans="5:5">
      <c r="E12194"/>
    </row>
    <row r="12195" spans="5:5">
      <c r="E12195"/>
    </row>
    <row r="12196" spans="5:5">
      <c r="E12196"/>
    </row>
    <row r="12197" spans="5:5">
      <c r="E12197"/>
    </row>
    <row r="12198" spans="5:5">
      <c r="E12198"/>
    </row>
    <row r="12199" spans="5:5">
      <c r="E12199"/>
    </row>
    <row r="12200" spans="5:5">
      <c r="E12200"/>
    </row>
    <row r="12201" spans="5:5">
      <c r="E12201"/>
    </row>
    <row r="12202" spans="5:5">
      <c r="E12202"/>
    </row>
    <row r="12203" spans="5:5">
      <c r="E12203"/>
    </row>
    <row r="12204" spans="5:5">
      <c r="E12204"/>
    </row>
    <row r="12205" spans="5:5">
      <c r="E12205"/>
    </row>
    <row r="12206" spans="5:5">
      <c r="E12206"/>
    </row>
    <row r="12207" spans="5:5">
      <c r="E12207"/>
    </row>
    <row r="12208" spans="5:5">
      <c r="E12208"/>
    </row>
    <row r="12209" spans="5:5">
      <c r="E12209"/>
    </row>
    <row r="12210" spans="5:5">
      <c r="E12210"/>
    </row>
    <row r="12211" spans="5:5">
      <c r="E12211"/>
    </row>
    <row r="12212" spans="5:5">
      <c r="E12212"/>
    </row>
    <row r="12213" spans="5:5">
      <c r="E12213"/>
    </row>
    <row r="12214" spans="5:5">
      <c r="E12214"/>
    </row>
    <row r="12215" spans="5:5">
      <c r="E12215"/>
    </row>
    <row r="12216" spans="5:5">
      <c r="E12216"/>
    </row>
    <row r="12217" spans="5:5">
      <c r="E12217"/>
    </row>
    <row r="12218" spans="5:5">
      <c r="E12218"/>
    </row>
    <row r="12219" spans="5:5">
      <c r="E12219"/>
    </row>
    <row r="12220" spans="5:5">
      <c r="E12220"/>
    </row>
    <row r="12221" spans="5:5">
      <c r="E12221"/>
    </row>
    <row r="12222" spans="5:5">
      <c r="E12222"/>
    </row>
    <row r="12223" spans="5:5">
      <c r="E12223"/>
    </row>
    <row r="12224" spans="5:5">
      <c r="E12224"/>
    </row>
    <row r="12225" spans="5:5">
      <c r="E12225"/>
    </row>
    <row r="12226" spans="5:5">
      <c r="E12226"/>
    </row>
    <row r="12227" spans="5:5">
      <c r="E12227"/>
    </row>
    <row r="12228" spans="5:5">
      <c r="E12228"/>
    </row>
    <row r="12229" spans="5:5">
      <c r="E12229"/>
    </row>
    <row r="12230" spans="5:5">
      <c r="E12230"/>
    </row>
    <row r="12231" spans="5:5">
      <c r="E12231"/>
    </row>
    <row r="12232" spans="5:5">
      <c r="E12232"/>
    </row>
    <row r="12233" spans="5:5">
      <c r="E12233"/>
    </row>
    <row r="12234" spans="5:5">
      <c r="E12234"/>
    </row>
    <row r="12235" spans="5:5">
      <c r="E12235"/>
    </row>
    <row r="12236" spans="5:5">
      <c r="E12236"/>
    </row>
    <row r="12237" spans="5:5">
      <c r="E12237"/>
    </row>
    <row r="12238" spans="5:5">
      <c r="E12238"/>
    </row>
    <row r="12239" spans="5:5">
      <c r="E12239"/>
    </row>
    <row r="12240" spans="5:5">
      <c r="E12240"/>
    </row>
    <row r="12241" spans="5:5">
      <c r="E12241"/>
    </row>
    <row r="12242" spans="5:5">
      <c r="E12242"/>
    </row>
    <row r="12243" spans="5:5">
      <c r="E12243"/>
    </row>
    <row r="12244" spans="5:5">
      <c r="E12244"/>
    </row>
    <row r="12245" spans="5:5">
      <c r="E12245"/>
    </row>
    <row r="12246" spans="5:5">
      <c r="E12246"/>
    </row>
    <row r="12247" spans="5:5">
      <c r="E12247"/>
    </row>
    <row r="12248" spans="5:5">
      <c r="E12248"/>
    </row>
    <row r="12249" spans="5:5">
      <c r="E12249"/>
    </row>
    <row r="12250" spans="5:5">
      <c r="E12250"/>
    </row>
    <row r="12251" spans="5:5">
      <c r="E12251"/>
    </row>
    <row r="12252" spans="5:5">
      <c r="E12252"/>
    </row>
    <row r="12253" spans="5:5">
      <c r="E12253"/>
    </row>
    <row r="12254" spans="5:5">
      <c r="E12254"/>
    </row>
    <row r="12255" spans="5:5">
      <c r="E12255"/>
    </row>
    <row r="12256" spans="5:5">
      <c r="E12256"/>
    </row>
    <row r="12257" spans="5:5">
      <c r="E12257"/>
    </row>
    <row r="12258" spans="5:5">
      <c r="E12258"/>
    </row>
    <row r="12259" spans="5:5">
      <c r="E12259"/>
    </row>
    <row r="12260" spans="5:5">
      <c r="E12260"/>
    </row>
    <row r="12261" spans="5:5">
      <c r="E12261"/>
    </row>
    <row r="12262" spans="5:5">
      <c r="E12262"/>
    </row>
    <row r="12263" spans="5:5">
      <c r="E12263"/>
    </row>
    <row r="12264" spans="5:5">
      <c r="E12264"/>
    </row>
    <row r="12265" spans="5:5">
      <c r="E12265"/>
    </row>
    <row r="12266" spans="5:5">
      <c r="E12266"/>
    </row>
    <row r="12267" spans="5:5">
      <c r="E12267"/>
    </row>
    <row r="12268" spans="5:5">
      <c r="E12268"/>
    </row>
    <row r="12269" spans="5:5">
      <c r="E12269"/>
    </row>
    <row r="12270" spans="5:5">
      <c r="E12270"/>
    </row>
    <row r="12271" spans="5:5">
      <c r="E12271"/>
    </row>
    <row r="12272" spans="5:5">
      <c r="E12272"/>
    </row>
    <row r="12273" spans="5:5">
      <c r="E12273"/>
    </row>
    <row r="12274" spans="5:5">
      <c r="E12274"/>
    </row>
    <row r="12275" spans="5:5">
      <c r="E12275"/>
    </row>
    <row r="12276" spans="5:5">
      <c r="E12276"/>
    </row>
    <row r="12277" spans="5:5">
      <c r="E12277"/>
    </row>
    <row r="12278" spans="5:5">
      <c r="E12278"/>
    </row>
    <row r="12279" spans="5:5">
      <c r="E12279"/>
    </row>
    <row r="12280" spans="5:5">
      <c r="E12280"/>
    </row>
    <row r="12281" spans="5:5">
      <c r="E12281"/>
    </row>
    <row r="12282" spans="5:5">
      <c r="E12282"/>
    </row>
    <row r="12283" spans="5:5">
      <c r="E12283"/>
    </row>
    <row r="12284" spans="5:5">
      <c r="E12284"/>
    </row>
    <row r="12285" spans="5:5">
      <c r="E12285"/>
    </row>
    <row r="12286" spans="5:5">
      <c r="E12286"/>
    </row>
    <row r="12287" spans="5:5">
      <c r="E12287"/>
    </row>
    <row r="12288" spans="5:5">
      <c r="E12288"/>
    </row>
    <row r="12289" spans="5:5">
      <c r="E12289"/>
    </row>
    <row r="12290" spans="5:5">
      <c r="E12290"/>
    </row>
    <row r="12291" spans="5:5">
      <c r="E12291"/>
    </row>
    <row r="12292" spans="5:5">
      <c r="E12292"/>
    </row>
    <row r="12293" spans="5:5">
      <c r="E12293"/>
    </row>
    <row r="12294" spans="5:5">
      <c r="E12294"/>
    </row>
    <row r="12295" spans="5:5">
      <c r="E12295"/>
    </row>
    <row r="12296" spans="5:5">
      <c r="E12296"/>
    </row>
    <row r="12297" spans="5:5">
      <c r="E12297"/>
    </row>
    <row r="12298" spans="5:5">
      <c r="E12298"/>
    </row>
    <row r="12299" spans="5:5">
      <c r="E12299"/>
    </row>
    <row r="12300" spans="5:5">
      <c r="E12300"/>
    </row>
    <row r="12301" spans="5:5">
      <c r="E12301"/>
    </row>
    <row r="12302" spans="5:5">
      <c r="E12302"/>
    </row>
    <row r="12303" spans="5:5">
      <c r="E12303"/>
    </row>
    <row r="12304" spans="5:5">
      <c r="E12304"/>
    </row>
    <row r="12305" spans="5:5">
      <c r="E12305"/>
    </row>
    <row r="12306" spans="5:5">
      <c r="E12306"/>
    </row>
    <row r="12307" spans="5:5">
      <c r="E12307"/>
    </row>
    <row r="12308" spans="5:5">
      <c r="E12308"/>
    </row>
    <row r="12309" spans="5:5">
      <c r="E12309"/>
    </row>
    <row r="12310" spans="5:5">
      <c r="E12310"/>
    </row>
    <row r="12311" spans="5:5">
      <c r="E12311"/>
    </row>
    <row r="12312" spans="5:5">
      <c r="E12312"/>
    </row>
    <row r="12313" spans="5:5">
      <c r="E12313"/>
    </row>
    <row r="12314" spans="5:5">
      <c r="E12314"/>
    </row>
    <row r="12315" spans="5:5">
      <c r="E12315"/>
    </row>
    <row r="12316" spans="5:5">
      <c r="E12316"/>
    </row>
    <row r="12317" spans="5:5">
      <c r="E12317"/>
    </row>
    <row r="12318" spans="5:5">
      <c r="E12318"/>
    </row>
    <row r="12319" spans="5:5">
      <c r="E12319"/>
    </row>
    <row r="12320" spans="5:5">
      <c r="E12320"/>
    </row>
    <row r="12321" spans="5:5">
      <c r="E12321"/>
    </row>
    <row r="12322" spans="5:5">
      <c r="E12322"/>
    </row>
    <row r="12323" spans="5:5">
      <c r="E12323"/>
    </row>
    <row r="12324" spans="5:5">
      <c r="E12324"/>
    </row>
    <row r="12325" spans="5:5">
      <c r="E12325"/>
    </row>
    <row r="12326" spans="5:5">
      <c r="E12326"/>
    </row>
    <row r="12327" spans="5:5">
      <c r="E12327"/>
    </row>
    <row r="12328" spans="5:5">
      <c r="E12328"/>
    </row>
    <row r="12329" spans="5:5">
      <c r="E12329"/>
    </row>
    <row r="12330" spans="5:5">
      <c r="E12330"/>
    </row>
    <row r="12331" spans="5:5">
      <c r="E12331"/>
    </row>
    <row r="12332" spans="5:5">
      <c r="E12332"/>
    </row>
    <row r="12333" spans="5:5">
      <c r="E12333"/>
    </row>
    <row r="12334" spans="5:5">
      <c r="E12334"/>
    </row>
    <row r="12335" spans="5:5">
      <c r="E12335"/>
    </row>
    <row r="12336" spans="5:5">
      <c r="E12336"/>
    </row>
    <row r="12337" spans="5:5">
      <c r="E12337"/>
    </row>
    <row r="12338" spans="5:5">
      <c r="E12338"/>
    </row>
    <row r="12339" spans="5:5">
      <c r="E12339"/>
    </row>
    <row r="12340" spans="5:5">
      <c r="E12340"/>
    </row>
    <row r="12341" spans="5:5">
      <c r="E12341"/>
    </row>
    <row r="12342" spans="5:5">
      <c r="E12342"/>
    </row>
    <row r="12343" spans="5:5">
      <c r="E12343"/>
    </row>
    <row r="12344" spans="5:5">
      <c r="E12344"/>
    </row>
    <row r="12345" spans="5:5">
      <c r="E12345"/>
    </row>
    <row r="12346" spans="5:5">
      <c r="E12346"/>
    </row>
    <row r="12347" spans="5:5">
      <c r="E12347"/>
    </row>
    <row r="12348" spans="5:5">
      <c r="E12348"/>
    </row>
    <row r="12349" spans="5:5">
      <c r="E12349"/>
    </row>
    <row r="12350" spans="5:5">
      <c r="E12350"/>
    </row>
    <row r="12351" spans="5:5">
      <c r="E12351"/>
    </row>
    <row r="12352" spans="5:5">
      <c r="E12352"/>
    </row>
    <row r="12353" spans="5:5">
      <c r="E12353"/>
    </row>
    <row r="12354" spans="5:5">
      <c r="E12354"/>
    </row>
    <row r="12355" spans="5:5">
      <c r="E12355"/>
    </row>
    <row r="12356" spans="5:5">
      <c r="E12356"/>
    </row>
    <row r="12357" spans="5:5">
      <c r="E12357"/>
    </row>
    <row r="12358" spans="5:5">
      <c r="E12358"/>
    </row>
    <row r="12359" spans="5:5">
      <c r="E12359"/>
    </row>
    <row r="12360" spans="5:5">
      <c r="E12360"/>
    </row>
    <row r="12361" spans="5:5">
      <c r="E12361"/>
    </row>
    <row r="12362" spans="5:5">
      <c r="E12362"/>
    </row>
    <row r="12363" spans="5:5">
      <c r="E12363"/>
    </row>
    <row r="12364" spans="5:5">
      <c r="E12364"/>
    </row>
    <row r="12365" spans="5:5">
      <c r="E12365"/>
    </row>
    <row r="12366" spans="5:5">
      <c r="E12366"/>
    </row>
    <row r="12367" spans="5:5">
      <c r="E12367"/>
    </row>
    <row r="12368" spans="5:5">
      <c r="E12368"/>
    </row>
    <row r="12369" spans="5:5">
      <c r="E12369"/>
    </row>
    <row r="12370" spans="5:5">
      <c r="E12370"/>
    </row>
    <row r="12371" spans="5:5">
      <c r="E12371"/>
    </row>
    <row r="12372" spans="5:5">
      <c r="E12372"/>
    </row>
    <row r="12373" spans="5:5">
      <c r="E12373"/>
    </row>
    <row r="12374" spans="5:5">
      <c r="E12374"/>
    </row>
    <row r="12375" spans="5:5">
      <c r="E12375"/>
    </row>
    <row r="12376" spans="5:5">
      <c r="E12376"/>
    </row>
    <row r="12377" spans="5:5">
      <c r="E12377"/>
    </row>
    <row r="12378" spans="5:5">
      <c r="E12378"/>
    </row>
    <row r="12379" spans="5:5">
      <c r="E12379"/>
    </row>
    <row r="12380" spans="5:5">
      <c r="E12380"/>
    </row>
    <row r="12381" spans="5:5">
      <c r="E12381"/>
    </row>
    <row r="12382" spans="5:5">
      <c r="E12382"/>
    </row>
    <row r="12383" spans="5:5">
      <c r="E12383"/>
    </row>
    <row r="12384" spans="5:5">
      <c r="E12384"/>
    </row>
    <row r="12385" spans="5:5">
      <c r="E12385"/>
    </row>
    <row r="12386" spans="5:5">
      <c r="E12386"/>
    </row>
    <row r="12387" spans="5:5">
      <c r="E12387"/>
    </row>
    <row r="12388" spans="5:5">
      <c r="E12388"/>
    </row>
    <row r="12389" spans="5:5">
      <c r="E12389"/>
    </row>
    <row r="12390" spans="5:5">
      <c r="E12390"/>
    </row>
    <row r="12391" spans="5:5">
      <c r="E12391"/>
    </row>
    <row r="12392" spans="5:5">
      <c r="E12392"/>
    </row>
    <row r="12393" spans="5:5">
      <c r="E12393"/>
    </row>
    <row r="12394" spans="5:5">
      <c r="E12394"/>
    </row>
    <row r="12395" spans="5:5">
      <c r="E12395"/>
    </row>
    <row r="12396" spans="5:5">
      <c r="E12396"/>
    </row>
    <row r="12397" spans="5:5">
      <c r="E12397"/>
    </row>
    <row r="12398" spans="5:5">
      <c r="E12398"/>
    </row>
    <row r="12399" spans="5:5">
      <c r="E12399"/>
    </row>
    <row r="12400" spans="5:5">
      <c r="E12400"/>
    </row>
    <row r="12401" spans="5:5">
      <c r="E12401"/>
    </row>
    <row r="12402" spans="5:5">
      <c r="E12402"/>
    </row>
    <row r="12403" spans="5:5">
      <c r="E12403"/>
    </row>
    <row r="12404" spans="5:5">
      <c r="E12404"/>
    </row>
    <row r="12405" spans="5:5">
      <c r="E12405"/>
    </row>
    <row r="12406" spans="5:5">
      <c r="E12406"/>
    </row>
    <row r="12407" spans="5:5">
      <c r="E12407"/>
    </row>
    <row r="12408" spans="5:5">
      <c r="E12408"/>
    </row>
    <row r="12409" spans="5:5">
      <c r="E12409"/>
    </row>
    <row r="12410" spans="5:5">
      <c r="E12410"/>
    </row>
    <row r="12411" spans="5:5">
      <c r="E12411"/>
    </row>
    <row r="12412" spans="5:5">
      <c r="E12412"/>
    </row>
    <row r="12413" spans="5:5">
      <c r="E12413"/>
    </row>
    <row r="12414" spans="5:5">
      <c r="E12414"/>
    </row>
    <row r="12415" spans="5:5">
      <c r="E12415"/>
    </row>
    <row r="12416" spans="5:5">
      <c r="E12416"/>
    </row>
    <row r="12417" spans="5:5">
      <c r="E12417"/>
    </row>
    <row r="12418" spans="5:5">
      <c r="E12418"/>
    </row>
    <row r="12419" spans="5:5">
      <c r="E12419"/>
    </row>
    <row r="12420" spans="5:5">
      <c r="E12420"/>
    </row>
    <row r="12421" spans="5:5">
      <c r="E12421"/>
    </row>
    <row r="12422" spans="5:5">
      <c r="E12422"/>
    </row>
    <row r="12423" spans="5:5">
      <c r="E12423"/>
    </row>
    <row r="12424" spans="5:5">
      <c r="E12424"/>
    </row>
    <row r="12425" spans="5:5">
      <c r="E12425"/>
    </row>
    <row r="12426" spans="5:5">
      <c r="E12426"/>
    </row>
    <row r="12427" spans="5:5">
      <c r="E12427"/>
    </row>
    <row r="12428" spans="5:5">
      <c r="E12428"/>
    </row>
    <row r="12429" spans="5:5">
      <c r="E12429"/>
    </row>
    <row r="12430" spans="5:5">
      <c r="E12430"/>
    </row>
    <row r="12431" spans="5:5">
      <c r="E12431"/>
    </row>
    <row r="12432" spans="5:5">
      <c r="E12432"/>
    </row>
    <row r="12433" spans="5:5">
      <c r="E12433"/>
    </row>
    <row r="12434" spans="5:5">
      <c r="E12434"/>
    </row>
    <row r="12435" spans="5:5">
      <c r="E12435"/>
    </row>
    <row r="12436" spans="5:5">
      <c r="E12436"/>
    </row>
    <row r="12437" spans="5:5">
      <c r="E12437"/>
    </row>
    <row r="12438" spans="5:5">
      <c r="E12438"/>
    </row>
    <row r="12439" spans="5:5">
      <c r="E12439"/>
    </row>
    <row r="12440" spans="5:5">
      <c r="E12440"/>
    </row>
    <row r="12441" spans="5:5">
      <c r="E12441"/>
    </row>
    <row r="12442" spans="5:5">
      <c r="E12442"/>
    </row>
    <row r="12443" spans="5:5">
      <c r="E12443"/>
    </row>
    <row r="12444" spans="5:5">
      <c r="E12444"/>
    </row>
    <row r="12445" spans="5:5">
      <c r="E12445"/>
    </row>
    <row r="12446" spans="5:5">
      <c r="E12446"/>
    </row>
    <row r="12447" spans="5:5">
      <c r="E12447"/>
    </row>
    <row r="12448" spans="5:5">
      <c r="E12448"/>
    </row>
    <row r="12449" spans="5:5">
      <c r="E12449"/>
    </row>
    <row r="12450" spans="5:5">
      <c r="E12450"/>
    </row>
    <row r="12451" spans="5:5">
      <c r="E12451"/>
    </row>
    <row r="12452" spans="5:5">
      <c r="E12452"/>
    </row>
    <row r="12453" spans="5:5">
      <c r="E12453"/>
    </row>
    <row r="12454" spans="5:5">
      <c r="E12454"/>
    </row>
    <row r="12455" spans="5:5">
      <c r="E12455"/>
    </row>
    <row r="12456" spans="5:5">
      <c r="E12456"/>
    </row>
    <row r="12457" spans="5:5">
      <c r="E12457"/>
    </row>
    <row r="12458" spans="5:5">
      <c r="E12458"/>
    </row>
    <row r="12459" spans="5:5">
      <c r="E12459"/>
    </row>
    <row r="12460" spans="5:5">
      <c r="E12460"/>
    </row>
    <row r="12461" spans="5:5">
      <c r="E12461"/>
    </row>
    <row r="12462" spans="5:5">
      <c r="E12462"/>
    </row>
    <row r="12463" spans="5:5">
      <c r="E12463"/>
    </row>
    <row r="12464" spans="5:5">
      <c r="E12464"/>
    </row>
    <row r="12465" spans="5:5">
      <c r="E12465"/>
    </row>
    <row r="12466" spans="5:5">
      <c r="E12466"/>
    </row>
    <row r="12467" spans="5:5">
      <c r="E12467"/>
    </row>
    <row r="12468" spans="5:5">
      <c r="E12468"/>
    </row>
    <row r="12469" spans="5:5">
      <c r="E12469"/>
    </row>
    <row r="12470" spans="5:5">
      <c r="E12470"/>
    </row>
    <row r="12471" spans="5:5">
      <c r="E12471"/>
    </row>
    <row r="12472" spans="5:5">
      <c r="E12472"/>
    </row>
    <row r="12473" spans="5:5">
      <c r="E12473"/>
    </row>
    <row r="12474" spans="5:5">
      <c r="E12474"/>
    </row>
    <row r="12475" spans="5:5">
      <c r="E12475"/>
    </row>
    <row r="12476" spans="5:5">
      <c r="E12476"/>
    </row>
    <row r="12477" spans="5:5">
      <c r="E12477"/>
    </row>
    <row r="12478" spans="5:5">
      <c r="E12478"/>
    </row>
    <row r="12479" spans="5:5">
      <c r="E12479"/>
    </row>
    <row r="12480" spans="5:5">
      <c r="E12480"/>
    </row>
    <row r="12481" spans="5:5">
      <c r="E12481"/>
    </row>
    <row r="12482" spans="5:5">
      <c r="E12482"/>
    </row>
    <row r="12483" spans="5:5">
      <c r="E12483"/>
    </row>
    <row r="12484" spans="5:5">
      <c r="E12484"/>
    </row>
    <row r="12485" spans="5:5">
      <c r="E12485"/>
    </row>
    <row r="12486" spans="5:5">
      <c r="E12486"/>
    </row>
    <row r="12487" spans="5:5">
      <c r="E12487"/>
    </row>
    <row r="12488" spans="5:5">
      <c r="E12488"/>
    </row>
    <row r="12489" spans="5:5">
      <c r="E12489"/>
    </row>
    <row r="12490" spans="5:5">
      <c r="E12490"/>
    </row>
    <row r="12491" spans="5:5">
      <c r="E12491"/>
    </row>
    <row r="12492" spans="5:5">
      <c r="E12492"/>
    </row>
    <row r="12493" spans="5:5">
      <c r="E12493"/>
    </row>
    <row r="12494" spans="5:5">
      <c r="E12494"/>
    </row>
    <row r="12495" spans="5:5">
      <c r="E12495"/>
    </row>
    <row r="12496" spans="5:5">
      <c r="E12496"/>
    </row>
    <row r="12497" spans="5:5">
      <c r="E12497"/>
    </row>
    <row r="12498" spans="5:5">
      <c r="E12498"/>
    </row>
    <row r="12499" spans="5:5">
      <c r="E12499"/>
    </row>
    <row r="12500" spans="5:5">
      <c r="E12500"/>
    </row>
    <row r="12501" spans="5:5">
      <c r="E12501"/>
    </row>
    <row r="12502" spans="5:5">
      <c r="E12502"/>
    </row>
    <row r="12503" spans="5:5">
      <c r="E12503"/>
    </row>
    <row r="12504" spans="5:5">
      <c r="E12504"/>
    </row>
    <row r="12505" spans="5:5">
      <c r="E12505"/>
    </row>
    <row r="12506" spans="5:5">
      <c r="E12506"/>
    </row>
    <row r="12507" spans="5:5">
      <c r="E12507"/>
    </row>
    <row r="12508" spans="5:5">
      <c r="E12508"/>
    </row>
    <row r="12509" spans="5:5">
      <c r="E12509"/>
    </row>
    <row r="12510" spans="5:5">
      <c r="E12510"/>
    </row>
    <row r="12511" spans="5:5">
      <c r="E12511"/>
    </row>
    <row r="12512" spans="5:5">
      <c r="E12512"/>
    </row>
    <row r="12513" spans="5:5">
      <c r="E12513"/>
    </row>
    <row r="12514" spans="5:5">
      <c r="E12514"/>
    </row>
    <row r="12515" spans="5:5">
      <c r="E12515"/>
    </row>
    <row r="12516" spans="5:5">
      <c r="E12516"/>
    </row>
    <row r="12517" spans="5:5">
      <c r="E12517"/>
    </row>
    <row r="12518" spans="5:5">
      <c r="E12518"/>
    </row>
    <row r="12519" spans="5:5">
      <c r="E12519"/>
    </row>
    <row r="12520" spans="5:5">
      <c r="E12520"/>
    </row>
    <row r="12521" spans="5:5">
      <c r="E12521"/>
    </row>
    <row r="12522" spans="5:5">
      <c r="E12522"/>
    </row>
    <row r="12523" spans="5:5">
      <c r="E12523"/>
    </row>
    <row r="12524" spans="5:5">
      <c r="E12524"/>
    </row>
    <row r="12525" spans="5:5">
      <c r="E12525"/>
    </row>
    <row r="12526" spans="5:5">
      <c r="E12526"/>
    </row>
    <row r="12527" spans="5:5">
      <c r="E12527"/>
    </row>
    <row r="12528" spans="5:5">
      <c r="E12528"/>
    </row>
    <row r="12529" spans="5:5">
      <c r="E12529"/>
    </row>
    <row r="12530" spans="5:5">
      <c r="E12530"/>
    </row>
    <row r="12531" spans="5:5">
      <c r="E12531"/>
    </row>
    <row r="12532" spans="5:5">
      <c r="E12532"/>
    </row>
    <row r="12533" spans="5:5">
      <c r="E12533"/>
    </row>
    <row r="12534" spans="5:5">
      <c r="E12534"/>
    </row>
    <row r="12535" spans="5:5">
      <c r="E12535"/>
    </row>
    <row r="12536" spans="5:5">
      <c r="E12536"/>
    </row>
    <row r="12537" spans="5:5">
      <c r="E12537"/>
    </row>
    <row r="12538" spans="5:5">
      <c r="E12538"/>
    </row>
    <row r="12539" spans="5:5">
      <c r="E12539"/>
    </row>
    <row r="12540" spans="5:5">
      <c r="E12540"/>
    </row>
    <row r="12541" spans="5:5">
      <c r="E12541"/>
    </row>
    <row r="12542" spans="5:5">
      <c r="E12542"/>
    </row>
    <row r="12543" spans="5:5">
      <c r="E12543"/>
    </row>
    <row r="12544" spans="5:5">
      <c r="E12544"/>
    </row>
    <row r="12545" spans="5:5">
      <c r="E12545"/>
    </row>
    <row r="12546" spans="5:5">
      <c r="E12546"/>
    </row>
    <row r="12547" spans="5:5">
      <c r="E12547"/>
    </row>
    <row r="12548" spans="5:5">
      <c r="E12548"/>
    </row>
    <row r="12549" spans="5:5">
      <c r="E12549"/>
    </row>
    <row r="12550" spans="5:5">
      <c r="E12550"/>
    </row>
    <row r="12551" spans="5:5">
      <c r="E12551"/>
    </row>
    <row r="12552" spans="5:5">
      <c r="E12552"/>
    </row>
    <row r="12553" spans="5:5">
      <c r="E12553"/>
    </row>
    <row r="12554" spans="5:5">
      <c r="E12554"/>
    </row>
    <row r="12555" spans="5:5">
      <c r="E12555"/>
    </row>
    <row r="12556" spans="5:5">
      <c r="E12556"/>
    </row>
    <row r="12557" spans="5:5">
      <c r="E12557"/>
    </row>
    <row r="12558" spans="5:5">
      <c r="E12558"/>
    </row>
    <row r="12559" spans="5:5">
      <c r="E12559"/>
    </row>
    <row r="12560" spans="5:5">
      <c r="E12560"/>
    </row>
    <row r="12561" spans="5:5">
      <c r="E12561"/>
    </row>
    <row r="12562" spans="5:5">
      <c r="E12562"/>
    </row>
    <row r="12563" spans="5:5">
      <c r="E12563"/>
    </row>
    <row r="12564" spans="5:5">
      <c r="E12564"/>
    </row>
    <row r="12565" spans="5:5">
      <c r="E12565"/>
    </row>
    <row r="12566" spans="5:5">
      <c r="E12566"/>
    </row>
    <row r="12567" spans="5:5">
      <c r="E12567"/>
    </row>
    <row r="12568" spans="5:5">
      <c r="E12568"/>
    </row>
    <row r="12569" spans="5:5">
      <c r="E12569"/>
    </row>
    <row r="12570" spans="5:5">
      <c r="E12570"/>
    </row>
    <row r="12571" spans="5:5">
      <c r="E12571"/>
    </row>
    <row r="12572" spans="5:5">
      <c r="E12572"/>
    </row>
    <row r="12573" spans="5:5">
      <c r="E12573"/>
    </row>
    <row r="12574" spans="5:5">
      <c r="E12574"/>
    </row>
    <row r="12575" spans="5:5">
      <c r="E12575"/>
    </row>
    <row r="12576" spans="5:5">
      <c r="E12576"/>
    </row>
    <row r="12577" spans="5:5">
      <c r="E12577"/>
    </row>
    <row r="12578" spans="5:5">
      <c r="E12578"/>
    </row>
    <row r="12579" spans="5:5">
      <c r="E12579"/>
    </row>
    <row r="12580" spans="5:5">
      <c r="E12580"/>
    </row>
    <row r="12581" spans="5:5">
      <c r="E12581"/>
    </row>
    <row r="12582" spans="5:5">
      <c r="E12582"/>
    </row>
    <row r="12583" spans="5:5">
      <c r="E12583"/>
    </row>
    <row r="12584" spans="5:5">
      <c r="E12584"/>
    </row>
    <row r="12585" spans="5:5">
      <c r="E12585"/>
    </row>
    <row r="12586" spans="5:5">
      <c r="E12586"/>
    </row>
    <row r="12587" spans="5:5">
      <c r="E12587"/>
    </row>
    <row r="12588" spans="5:5">
      <c r="E12588"/>
    </row>
    <row r="12589" spans="5:5">
      <c r="E12589"/>
    </row>
    <row r="12590" spans="5:5">
      <c r="E12590"/>
    </row>
    <row r="12591" spans="5:5">
      <c r="E12591"/>
    </row>
    <row r="12592" spans="5:5">
      <c r="E12592"/>
    </row>
    <row r="12593" spans="5:5">
      <c r="E12593"/>
    </row>
    <row r="12594" spans="5:5">
      <c r="E12594"/>
    </row>
    <row r="12595" spans="5:5">
      <c r="E12595"/>
    </row>
    <row r="12596" spans="5:5">
      <c r="E12596"/>
    </row>
    <row r="12597" spans="5:5">
      <c r="E12597"/>
    </row>
    <row r="12598" spans="5:5">
      <c r="E12598"/>
    </row>
    <row r="12599" spans="5:5">
      <c r="E12599"/>
    </row>
    <row r="12600" spans="5:5">
      <c r="E12600"/>
    </row>
    <row r="12601" spans="5:5">
      <c r="E12601"/>
    </row>
    <row r="12602" spans="5:5">
      <c r="E12602"/>
    </row>
    <row r="12603" spans="5:5">
      <c r="E12603"/>
    </row>
    <row r="12604" spans="5:5">
      <c r="E12604"/>
    </row>
    <row r="12605" spans="5:5">
      <c r="E12605"/>
    </row>
    <row r="12606" spans="5:5">
      <c r="E12606"/>
    </row>
    <row r="12607" spans="5:5">
      <c r="E12607"/>
    </row>
    <row r="12608" spans="5:5">
      <c r="E12608"/>
    </row>
    <row r="12609" spans="5:5">
      <c r="E12609"/>
    </row>
    <row r="12610" spans="5:5">
      <c r="E12610"/>
    </row>
    <row r="12611" spans="5:5">
      <c r="E12611"/>
    </row>
    <row r="12612" spans="5:5">
      <c r="E12612"/>
    </row>
    <row r="12613" spans="5:5">
      <c r="E12613"/>
    </row>
    <row r="12614" spans="5:5">
      <c r="E12614"/>
    </row>
    <row r="12615" spans="5:5">
      <c r="E12615"/>
    </row>
    <row r="12616" spans="5:5">
      <c r="E12616"/>
    </row>
    <row r="12617" spans="5:5">
      <c r="E12617"/>
    </row>
    <row r="12618" spans="5:5">
      <c r="E12618"/>
    </row>
    <row r="12619" spans="5:5">
      <c r="E12619"/>
    </row>
    <row r="12620" spans="5:5">
      <c r="E12620"/>
    </row>
    <row r="12621" spans="5:5">
      <c r="E12621"/>
    </row>
    <row r="12622" spans="5:5">
      <c r="E12622"/>
    </row>
    <row r="12623" spans="5:5">
      <c r="E12623"/>
    </row>
    <row r="12624" spans="5:5">
      <c r="E12624"/>
    </row>
    <row r="12625" spans="5:5">
      <c r="E12625"/>
    </row>
    <row r="12626" spans="5:5">
      <c r="E12626"/>
    </row>
    <row r="12627" spans="5:5">
      <c r="E12627"/>
    </row>
    <row r="12628" spans="5:5">
      <c r="E12628"/>
    </row>
    <row r="12629" spans="5:5">
      <c r="E12629"/>
    </row>
    <row r="12630" spans="5:5">
      <c r="E12630"/>
    </row>
    <row r="12631" spans="5:5">
      <c r="E12631"/>
    </row>
    <row r="12632" spans="5:5">
      <c r="E12632"/>
    </row>
    <row r="12633" spans="5:5">
      <c r="E12633"/>
    </row>
    <row r="12634" spans="5:5">
      <c r="E12634"/>
    </row>
    <row r="12635" spans="5:5">
      <c r="E12635"/>
    </row>
    <row r="12636" spans="5:5">
      <c r="E12636"/>
    </row>
    <row r="12637" spans="5:5">
      <c r="E12637"/>
    </row>
    <row r="12638" spans="5:5">
      <c r="E12638"/>
    </row>
    <row r="12639" spans="5:5">
      <c r="E12639"/>
    </row>
    <row r="12640" spans="5:5">
      <c r="E12640"/>
    </row>
    <row r="12641" spans="5:5">
      <c r="E12641"/>
    </row>
    <row r="12642" spans="5:5">
      <c r="E12642"/>
    </row>
    <row r="12643" spans="5:5">
      <c r="E12643"/>
    </row>
    <row r="12644" spans="5:5">
      <c r="E12644"/>
    </row>
    <row r="12645" spans="5:5">
      <c r="E12645"/>
    </row>
    <row r="12646" spans="5:5">
      <c r="E12646"/>
    </row>
    <row r="12647" spans="5:5">
      <c r="E12647"/>
    </row>
    <row r="12648" spans="5:5">
      <c r="E12648"/>
    </row>
    <row r="12649" spans="5:5">
      <c r="E12649"/>
    </row>
    <row r="12650" spans="5:5">
      <c r="E12650"/>
    </row>
    <row r="12651" spans="5:5">
      <c r="E12651"/>
    </row>
    <row r="12652" spans="5:5">
      <c r="E12652"/>
    </row>
    <row r="12653" spans="5:5">
      <c r="E12653"/>
    </row>
    <row r="12654" spans="5:5">
      <c r="E12654"/>
    </row>
    <row r="12655" spans="5:5">
      <c r="E12655"/>
    </row>
    <row r="12656" spans="5:5">
      <c r="E12656"/>
    </row>
    <row r="12657" spans="5:5">
      <c r="E12657"/>
    </row>
    <row r="12658" spans="5:5">
      <c r="E12658"/>
    </row>
    <row r="12659" spans="5:5">
      <c r="E12659"/>
    </row>
    <row r="12660" spans="5:5">
      <c r="E12660"/>
    </row>
    <row r="12661" spans="5:5">
      <c r="E12661"/>
    </row>
    <row r="12662" spans="5:5">
      <c r="E12662"/>
    </row>
    <row r="12663" spans="5:5">
      <c r="E12663"/>
    </row>
    <row r="12664" spans="5:5">
      <c r="E12664"/>
    </row>
    <row r="12665" spans="5:5">
      <c r="E12665"/>
    </row>
    <row r="12666" spans="5:5">
      <c r="E12666"/>
    </row>
    <row r="12667" spans="5:5">
      <c r="E12667"/>
    </row>
    <row r="12668" spans="5:5">
      <c r="E12668"/>
    </row>
    <row r="12669" spans="5:5">
      <c r="E12669"/>
    </row>
    <row r="12670" spans="5:5">
      <c r="E12670"/>
    </row>
    <row r="12671" spans="5:5">
      <c r="E12671"/>
    </row>
    <row r="12672" spans="5:5">
      <c r="E12672"/>
    </row>
    <row r="12673" spans="5:5">
      <c r="E12673"/>
    </row>
    <row r="12674" spans="5:5">
      <c r="E12674"/>
    </row>
    <row r="12675" spans="5:5">
      <c r="E12675"/>
    </row>
    <row r="12676" spans="5:5">
      <c r="E12676"/>
    </row>
    <row r="12677" spans="5:5">
      <c r="E12677"/>
    </row>
    <row r="12678" spans="5:5">
      <c r="E12678"/>
    </row>
    <row r="12679" spans="5:5">
      <c r="E12679"/>
    </row>
    <row r="12680" spans="5:5">
      <c r="E12680"/>
    </row>
    <row r="12681" spans="5:5">
      <c r="E12681"/>
    </row>
    <row r="12682" spans="5:5">
      <c r="E12682"/>
    </row>
    <row r="12683" spans="5:5">
      <c r="E12683"/>
    </row>
    <row r="12684" spans="5:5">
      <c r="E12684"/>
    </row>
    <row r="12685" spans="5:5">
      <c r="E12685"/>
    </row>
    <row r="12686" spans="5:5">
      <c r="E12686"/>
    </row>
    <row r="12687" spans="5:5">
      <c r="E12687"/>
    </row>
    <row r="12688" spans="5:5">
      <c r="E12688"/>
    </row>
    <row r="12689" spans="5:5">
      <c r="E12689"/>
    </row>
    <row r="12690" spans="5:5">
      <c r="E12690"/>
    </row>
    <row r="12691" spans="5:5">
      <c r="E12691"/>
    </row>
    <row r="12692" spans="5:5">
      <c r="E12692"/>
    </row>
    <row r="12693" spans="5:5">
      <c r="E12693"/>
    </row>
    <row r="12694" spans="5:5">
      <c r="E12694"/>
    </row>
    <row r="12695" spans="5:5">
      <c r="E12695"/>
    </row>
    <row r="12696" spans="5:5">
      <c r="E12696"/>
    </row>
    <row r="12697" spans="5:5">
      <c r="E12697"/>
    </row>
    <row r="12698" spans="5:5">
      <c r="E12698"/>
    </row>
    <row r="12699" spans="5:5">
      <c r="E12699"/>
    </row>
    <row r="12700" spans="5:5">
      <c r="E12700"/>
    </row>
    <row r="12701" spans="5:5">
      <c r="E12701"/>
    </row>
    <row r="12702" spans="5:5">
      <c r="E12702"/>
    </row>
    <row r="12703" spans="5:5">
      <c r="E12703"/>
    </row>
    <row r="12704" spans="5:5">
      <c r="E12704"/>
    </row>
    <row r="12705" spans="5:5">
      <c r="E12705"/>
    </row>
    <row r="12706" spans="5:5">
      <c r="E12706"/>
    </row>
    <row r="12707" spans="5:5">
      <c r="E12707"/>
    </row>
    <row r="12708" spans="5:5">
      <c r="E12708"/>
    </row>
    <row r="12709" spans="5:5">
      <c r="E12709"/>
    </row>
    <row r="12710" spans="5:5">
      <c r="E12710"/>
    </row>
    <row r="12711" spans="5:5">
      <c r="E12711"/>
    </row>
    <row r="12712" spans="5:5">
      <c r="E12712"/>
    </row>
    <row r="12713" spans="5:5">
      <c r="E12713"/>
    </row>
    <row r="12714" spans="5:5">
      <c r="E12714"/>
    </row>
    <row r="12715" spans="5:5">
      <c r="E12715"/>
    </row>
    <row r="12716" spans="5:5">
      <c r="E12716"/>
    </row>
    <row r="12717" spans="5:5">
      <c r="E12717"/>
    </row>
    <row r="12718" spans="5:5">
      <c r="E12718"/>
    </row>
    <row r="12719" spans="5:5">
      <c r="E12719"/>
    </row>
    <row r="12720" spans="5:5">
      <c r="E12720"/>
    </row>
    <row r="12721" spans="5:5">
      <c r="E12721"/>
    </row>
    <row r="12722" spans="5:5">
      <c r="E12722"/>
    </row>
    <row r="12723" spans="5:5">
      <c r="E12723"/>
    </row>
    <row r="12724" spans="5:5">
      <c r="E12724"/>
    </row>
    <row r="12725" spans="5:5">
      <c r="E12725"/>
    </row>
    <row r="12726" spans="5:5">
      <c r="E12726"/>
    </row>
    <row r="12727" spans="5:5">
      <c r="E12727"/>
    </row>
    <row r="12728" spans="5:5">
      <c r="E12728"/>
    </row>
    <row r="12729" spans="5:5">
      <c r="E12729"/>
    </row>
    <row r="12730" spans="5:5">
      <c r="E12730"/>
    </row>
    <row r="12731" spans="5:5">
      <c r="E12731"/>
    </row>
    <row r="12732" spans="5:5">
      <c r="E12732"/>
    </row>
    <row r="12733" spans="5:5">
      <c r="E12733"/>
    </row>
    <row r="12734" spans="5:5">
      <c r="E12734"/>
    </row>
    <row r="12735" spans="5:5">
      <c r="E12735"/>
    </row>
    <row r="12736" spans="5:5">
      <c r="E12736"/>
    </row>
    <row r="12737" spans="5:5">
      <c r="E12737"/>
    </row>
    <row r="12738" spans="5:5">
      <c r="E12738"/>
    </row>
    <row r="12739" spans="5:5">
      <c r="E12739"/>
    </row>
    <row r="12740" spans="5:5">
      <c r="E12740"/>
    </row>
    <row r="12741" spans="5:5">
      <c r="E12741"/>
    </row>
    <row r="12742" spans="5:5">
      <c r="E12742"/>
    </row>
    <row r="12743" spans="5:5">
      <c r="E12743"/>
    </row>
    <row r="12744" spans="5:5">
      <c r="E12744"/>
    </row>
    <row r="12745" spans="5:5">
      <c r="E12745"/>
    </row>
    <row r="12746" spans="5:5">
      <c r="E12746"/>
    </row>
    <row r="12747" spans="5:5">
      <c r="E12747"/>
    </row>
    <row r="12748" spans="5:5">
      <c r="E12748"/>
    </row>
    <row r="12749" spans="5:5">
      <c r="E12749"/>
    </row>
    <row r="12750" spans="5:5">
      <c r="E12750"/>
    </row>
    <row r="12751" spans="5:5">
      <c r="E12751"/>
    </row>
    <row r="12752" spans="5:5">
      <c r="E12752"/>
    </row>
    <row r="12753" spans="5:5">
      <c r="E12753"/>
    </row>
    <row r="12754" spans="5:5">
      <c r="E12754"/>
    </row>
    <row r="12755" spans="5:5">
      <c r="E12755"/>
    </row>
    <row r="12756" spans="5:5">
      <c r="E12756"/>
    </row>
    <row r="12757" spans="5:5">
      <c r="E12757"/>
    </row>
    <row r="12758" spans="5:5">
      <c r="E12758"/>
    </row>
    <row r="12759" spans="5:5">
      <c r="E12759"/>
    </row>
    <row r="12760" spans="5:5">
      <c r="E12760"/>
    </row>
    <row r="12761" spans="5:5">
      <c r="E12761"/>
    </row>
    <row r="12762" spans="5:5">
      <c r="E12762"/>
    </row>
    <row r="12763" spans="5:5">
      <c r="E12763"/>
    </row>
    <row r="12764" spans="5:5">
      <c r="E12764"/>
    </row>
    <row r="12765" spans="5:5">
      <c r="E12765"/>
    </row>
    <row r="12766" spans="5:5">
      <c r="E12766"/>
    </row>
    <row r="12767" spans="5:5">
      <c r="E12767"/>
    </row>
    <row r="12768" spans="5:5">
      <c r="E12768"/>
    </row>
    <row r="12769" spans="5:5">
      <c r="E12769"/>
    </row>
    <row r="12770" spans="5:5">
      <c r="E12770"/>
    </row>
    <row r="12771" spans="5:5">
      <c r="E12771"/>
    </row>
    <row r="12772" spans="5:5">
      <c r="E12772"/>
    </row>
    <row r="12773" spans="5:5">
      <c r="E12773"/>
    </row>
    <row r="12774" spans="5:5">
      <c r="E12774"/>
    </row>
    <row r="12775" spans="5:5">
      <c r="E12775"/>
    </row>
    <row r="12776" spans="5:5">
      <c r="E12776"/>
    </row>
    <row r="12777" spans="5:5">
      <c r="E12777"/>
    </row>
    <row r="12778" spans="5:5">
      <c r="E12778"/>
    </row>
    <row r="12779" spans="5:5">
      <c r="E12779"/>
    </row>
    <row r="12780" spans="5:5">
      <c r="E12780"/>
    </row>
    <row r="12781" spans="5:5">
      <c r="E12781"/>
    </row>
    <row r="12782" spans="5:5">
      <c r="E12782"/>
    </row>
    <row r="12783" spans="5:5">
      <c r="E12783"/>
    </row>
    <row r="12784" spans="5:5">
      <c r="E12784"/>
    </row>
    <row r="12785" spans="5:5">
      <c r="E12785"/>
    </row>
    <row r="12786" spans="5:5">
      <c r="E12786"/>
    </row>
    <row r="12787" spans="5:5">
      <c r="E12787"/>
    </row>
    <row r="12788" spans="5:5">
      <c r="E12788"/>
    </row>
    <row r="12789" spans="5:5">
      <c r="E12789"/>
    </row>
    <row r="12790" spans="5:5">
      <c r="E12790"/>
    </row>
    <row r="12791" spans="5:5">
      <c r="E12791"/>
    </row>
    <row r="12792" spans="5:5">
      <c r="E12792"/>
    </row>
    <row r="12793" spans="5:5">
      <c r="E12793"/>
    </row>
    <row r="12794" spans="5:5">
      <c r="E12794"/>
    </row>
    <row r="12795" spans="5:5">
      <c r="E12795"/>
    </row>
    <row r="12796" spans="5:5">
      <c r="E12796"/>
    </row>
    <row r="12797" spans="5:5">
      <c r="E12797"/>
    </row>
    <row r="12798" spans="5:5">
      <c r="E12798"/>
    </row>
    <row r="12799" spans="5:5">
      <c r="E12799"/>
    </row>
    <row r="12800" spans="5:5">
      <c r="E12800"/>
    </row>
    <row r="12801" spans="5:5">
      <c r="E12801"/>
    </row>
    <row r="12802" spans="5:5">
      <c r="E12802"/>
    </row>
    <row r="12803" spans="5:5">
      <c r="E12803"/>
    </row>
    <row r="12804" spans="5:5">
      <c r="E12804"/>
    </row>
    <row r="12805" spans="5:5">
      <c r="E12805"/>
    </row>
    <row r="12806" spans="5:5">
      <c r="E12806"/>
    </row>
    <row r="12807" spans="5:5">
      <c r="E12807"/>
    </row>
    <row r="12808" spans="5:5">
      <c r="E12808"/>
    </row>
    <row r="12809" spans="5:5">
      <c r="E12809"/>
    </row>
    <row r="12810" spans="5:5">
      <c r="E12810"/>
    </row>
    <row r="12811" spans="5:5">
      <c r="E12811"/>
    </row>
    <row r="12812" spans="5:5">
      <c r="E12812"/>
    </row>
    <row r="12813" spans="5:5">
      <c r="E12813"/>
    </row>
    <row r="12814" spans="5:5">
      <c r="E12814"/>
    </row>
    <row r="12815" spans="5:5">
      <c r="E12815"/>
    </row>
    <row r="12816" spans="5:5">
      <c r="E12816"/>
    </row>
    <row r="12817" spans="5:5">
      <c r="E12817"/>
    </row>
    <row r="12818" spans="5:5">
      <c r="E12818"/>
    </row>
    <row r="12819" spans="5:5">
      <c r="E12819"/>
    </row>
    <row r="12820" spans="5:5">
      <c r="E12820"/>
    </row>
    <row r="12821" spans="5:5">
      <c r="E12821"/>
    </row>
    <row r="12822" spans="5:5">
      <c r="E12822"/>
    </row>
    <row r="12823" spans="5:5">
      <c r="E12823"/>
    </row>
    <row r="12824" spans="5:5">
      <c r="E12824"/>
    </row>
    <row r="12825" spans="5:5">
      <c r="E12825"/>
    </row>
    <row r="12826" spans="5:5">
      <c r="E12826"/>
    </row>
    <row r="12827" spans="5:5">
      <c r="E12827"/>
    </row>
    <row r="12828" spans="5:5">
      <c r="E12828"/>
    </row>
    <row r="12829" spans="5:5">
      <c r="E12829"/>
    </row>
    <row r="12830" spans="5:5">
      <c r="E12830"/>
    </row>
    <row r="12831" spans="5:5">
      <c r="E12831"/>
    </row>
    <row r="12832" spans="5:5">
      <c r="E12832"/>
    </row>
    <row r="12833" spans="5:5">
      <c r="E12833"/>
    </row>
    <row r="12834" spans="5:5">
      <c r="E12834"/>
    </row>
    <row r="12835" spans="5:5">
      <c r="E12835"/>
    </row>
    <row r="12836" spans="5:5">
      <c r="E12836"/>
    </row>
    <row r="12837" spans="5:5">
      <c r="E12837"/>
    </row>
    <row r="12838" spans="5:5">
      <c r="E12838"/>
    </row>
    <row r="12839" spans="5:5">
      <c r="E12839"/>
    </row>
    <row r="12840" spans="5:5">
      <c r="E12840"/>
    </row>
    <row r="12841" spans="5:5">
      <c r="E12841"/>
    </row>
    <row r="12842" spans="5:5">
      <c r="E12842"/>
    </row>
    <row r="12843" spans="5:5">
      <c r="E12843"/>
    </row>
    <row r="12844" spans="5:5">
      <c r="E12844"/>
    </row>
    <row r="12845" spans="5:5">
      <c r="E12845"/>
    </row>
    <row r="12846" spans="5:5">
      <c r="E12846"/>
    </row>
    <row r="12847" spans="5:5">
      <c r="E12847"/>
    </row>
    <row r="12848" spans="5:5">
      <c r="E12848"/>
    </row>
    <row r="12849" spans="5:5">
      <c r="E12849"/>
    </row>
    <row r="12850" spans="5:5">
      <c r="E12850"/>
    </row>
    <row r="12851" spans="5:5">
      <c r="E12851"/>
    </row>
    <row r="12852" spans="5:5">
      <c r="E12852"/>
    </row>
    <row r="12853" spans="5:5">
      <c r="E12853"/>
    </row>
    <row r="12854" spans="5:5">
      <c r="E12854"/>
    </row>
    <row r="12855" spans="5:5">
      <c r="E12855"/>
    </row>
    <row r="12856" spans="5:5">
      <c r="E12856"/>
    </row>
    <row r="12857" spans="5:5">
      <c r="E12857"/>
    </row>
    <row r="12858" spans="5:5">
      <c r="E12858"/>
    </row>
    <row r="12859" spans="5:5">
      <c r="E12859"/>
    </row>
    <row r="12860" spans="5:5">
      <c r="E12860"/>
    </row>
    <row r="12861" spans="5:5">
      <c r="E12861"/>
    </row>
    <row r="12862" spans="5:5">
      <c r="E12862"/>
    </row>
    <row r="12863" spans="5:5">
      <c r="E12863"/>
    </row>
    <row r="12864" spans="5:5">
      <c r="E12864"/>
    </row>
    <row r="12865" spans="5:5">
      <c r="E12865"/>
    </row>
    <row r="12866" spans="5:5">
      <c r="E12866"/>
    </row>
    <row r="12867" spans="5:5">
      <c r="E12867"/>
    </row>
    <row r="12868" spans="5:5">
      <c r="E12868"/>
    </row>
    <row r="12869" spans="5:5">
      <c r="E12869"/>
    </row>
    <row r="12870" spans="5:5">
      <c r="E12870"/>
    </row>
    <row r="12871" spans="5:5">
      <c r="E12871"/>
    </row>
    <row r="12872" spans="5:5">
      <c r="E12872"/>
    </row>
    <row r="12873" spans="5:5">
      <c r="E12873"/>
    </row>
    <row r="12874" spans="5:5">
      <c r="E12874"/>
    </row>
    <row r="12875" spans="5:5">
      <c r="E12875"/>
    </row>
    <row r="12876" spans="5:5">
      <c r="E12876"/>
    </row>
    <row r="12877" spans="5:5">
      <c r="E12877"/>
    </row>
    <row r="12878" spans="5:5">
      <c r="E12878"/>
    </row>
    <row r="12879" spans="5:5">
      <c r="E12879"/>
    </row>
    <row r="12880" spans="5:5">
      <c r="E12880"/>
    </row>
    <row r="12881" spans="5:5">
      <c r="E12881"/>
    </row>
    <row r="12882" spans="5:5">
      <c r="E12882"/>
    </row>
    <row r="12883" spans="5:5">
      <c r="E12883"/>
    </row>
    <row r="12884" spans="5:5">
      <c r="E12884"/>
    </row>
    <row r="12885" spans="5:5">
      <c r="E12885"/>
    </row>
    <row r="12886" spans="5:5">
      <c r="E12886"/>
    </row>
    <row r="12887" spans="5:5">
      <c r="E12887"/>
    </row>
    <row r="12888" spans="5:5">
      <c r="E12888"/>
    </row>
    <row r="12889" spans="5:5">
      <c r="E12889"/>
    </row>
    <row r="12890" spans="5:5">
      <c r="E12890"/>
    </row>
    <row r="12891" spans="5:5">
      <c r="E12891"/>
    </row>
    <row r="12892" spans="5:5">
      <c r="E12892"/>
    </row>
    <row r="12893" spans="5:5">
      <c r="E12893"/>
    </row>
    <row r="12894" spans="5:5">
      <c r="E12894"/>
    </row>
    <row r="12895" spans="5:5">
      <c r="E12895"/>
    </row>
    <row r="12896" spans="5:5">
      <c r="E12896"/>
    </row>
    <row r="12897" spans="5:5">
      <c r="E12897"/>
    </row>
    <row r="12898" spans="5:5">
      <c r="E12898"/>
    </row>
    <row r="12899" spans="5:5">
      <c r="E12899"/>
    </row>
    <row r="12900" spans="5:5">
      <c r="E12900"/>
    </row>
    <row r="12901" spans="5:5">
      <c r="E12901"/>
    </row>
    <row r="12902" spans="5:5">
      <c r="E12902"/>
    </row>
    <row r="12903" spans="5:5">
      <c r="E12903"/>
    </row>
    <row r="12904" spans="5:5">
      <c r="E12904"/>
    </row>
    <row r="12905" spans="5:5">
      <c r="E12905"/>
    </row>
    <row r="12906" spans="5:5">
      <c r="E12906"/>
    </row>
    <row r="12907" spans="5:5">
      <c r="E12907"/>
    </row>
    <row r="12908" spans="5:5">
      <c r="E12908"/>
    </row>
    <row r="12909" spans="5:5">
      <c r="E12909"/>
    </row>
    <row r="12910" spans="5:5">
      <c r="E12910"/>
    </row>
    <row r="12911" spans="5:5">
      <c r="E12911"/>
    </row>
    <row r="12912" spans="5:5">
      <c r="E12912"/>
    </row>
    <row r="12913" spans="5:5">
      <c r="E12913"/>
    </row>
    <row r="12914" spans="5:5">
      <c r="E12914"/>
    </row>
    <row r="12915" spans="5:5">
      <c r="E12915"/>
    </row>
    <row r="12916" spans="5:5">
      <c r="E12916"/>
    </row>
    <row r="12917" spans="5:5">
      <c r="E12917"/>
    </row>
    <row r="12918" spans="5:5">
      <c r="E12918"/>
    </row>
    <row r="12919" spans="5:5">
      <c r="E12919"/>
    </row>
    <row r="12920" spans="5:5">
      <c r="E12920"/>
    </row>
    <row r="12921" spans="5:5">
      <c r="E12921"/>
    </row>
    <row r="12922" spans="5:5">
      <c r="E12922"/>
    </row>
    <row r="12923" spans="5:5">
      <c r="E12923"/>
    </row>
    <row r="12924" spans="5:5">
      <c r="E12924"/>
    </row>
    <row r="12925" spans="5:5">
      <c r="E12925"/>
    </row>
    <row r="12926" spans="5:5">
      <c r="E12926"/>
    </row>
    <row r="12927" spans="5:5">
      <c r="E12927"/>
    </row>
    <row r="12928" spans="5:5">
      <c r="E12928"/>
    </row>
    <row r="12929" spans="5:5">
      <c r="E12929"/>
    </row>
    <row r="12930" spans="5:5">
      <c r="E12930"/>
    </row>
    <row r="12931" spans="5:5">
      <c r="E12931"/>
    </row>
    <row r="12932" spans="5:5">
      <c r="E12932"/>
    </row>
    <row r="12933" spans="5:5">
      <c r="E12933"/>
    </row>
    <row r="12934" spans="5:5">
      <c r="E12934"/>
    </row>
    <row r="12935" spans="5:5">
      <c r="E12935"/>
    </row>
    <row r="12936" spans="5:5">
      <c r="E12936"/>
    </row>
    <row r="12937" spans="5:5">
      <c r="E12937"/>
    </row>
    <row r="12938" spans="5:5">
      <c r="E12938"/>
    </row>
    <row r="12939" spans="5:5">
      <c r="E12939"/>
    </row>
    <row r="12940" spans="5:5">
      <c r="E12940"/>
    </row>
    <row r="12941" spans="5:5">
      <c r="E12941"/>
    </row>
    <row r="12942" spans="5:5">
      <c r="E12942"/>
    </row>
    <row r="12943" spans="5:5">
      <c r="E12943"/>
    </row>
    <row r="12944" spans="5:5">
      <c r="E12944"/>
    </row>
    <row r="12945" spans="5:5">
      <c r="E12945"/>
    </row>
    <row r="12946" spans="5:5">
      <c r="E12946"/>
    </row>
    <row r="12947" spans="5:5">
      <c r="E12947"/>
    </row>
    <row r="12948" spans="5:5">
      <c r="E12948"/>
    </row>
    <row r="12949" spans="5:5">
      <c r="E12949"/>
    </row>
    <row r="12950" spans="5:5">
      <c r="E12950"/>
    </row>
    <row r="12951" spans="5:5">
      <c r="E12951"/>
    </row>
    <row r="12952" spans="5:5">
      <c r="E12952"/>
    </row>
    <row r="12953" spans="5:5">
      <c r="E12953"/>
    </row>
    <row r="12954" spans="5:5">
      <c r="E12954"/>
    </row>
    <row r="12955" spans="5:5">
      <c r="E12955"/>
    </row>
    <row r="12956" spans="5:5">
      <c r="E12956"/>
    </row>
    <row r="12957" spans="5:5">
      <c r="E12957"/>
    </row>
    <row r="12958" spans="5:5">
      <c r="E12958"/>
    </row>
    <row r="12959" spans="5:5">
      <c r="E12959"/>
    </row>
    <row r="12960" spans="5:5">
      <c r="E12960"/>
    </row>
    <row r="12961" spans="5:5">
      <c r="E12961"/>
    </row>
    <row r="12962" spans="5:5">
      <c r="E12962"/>
    </row>
    <row r="12963" spans="5:5">
      <c r="E12963"/>
    </row>
    <row r="12964" spans="5:5">
      <c r="E12964"/>
    </row>
    <row r="12965" spans="5:5">
      <c r="E12965"/>
    </row>
    <row r="12966" spans="5:5">
      <c r="E12966"/>
    </row>
    <row r="12967" spans="5:5">
      <c r="E12967"/>
    </row>
    <row r="12968" spans="5:5">
      <c r="E12968"/>
    </row>
    <row r="12969" spans="5:5">
      <c r="E12969"/>
    </row>
    <row r="12970" spans="5:5">
      <c r="E12970"/>
    </row>
    <row r="12971" spans="5:5">
      <c r="E12971"/>
    </row>
    <row r="12972" spans="5:5">
      <c r="E12972"/>
    </row>
    <row r="12973" spans="5:5">
      <c r="E12973"/>
    </row>
    <row r="12974" spans="5:5">
      <c r="E12974"/>
    </row>
    <row r="12975" spans="5:5">
      <c r="E12975"/>
    </row>
    <row r="12976" spans="5:5">
      <c r="E12976"/>
    </row>
    <row r="12977" spans="5:5">
      <c r="E12977"/>
    </row>
    <row r="12978" spans="5:5">
      <c r="E12978"/>
    </row>
    <row r="12979" spans="5:5">
      <c r="E12979"/>
    </row>
    <row r="12980" spans="5:5">
      <c r="E12980"/>
    </row>
    <row r="12981" spans="5:5">
      <c r="E12981"/>
    </row>
    <row r="12982" spans="5:5">
      <c r="E12982"/>
    </row>
    <row r="12983" spans="5:5">
      <c r="E12983"/>
    </row>
    <row r="12984" spans="5:5">
      <c r="E12984"/>
    </row>
    <row r="12985" spans="5:5">
      <c r="E12985"/>
    </row>
    <row r="12986" spans="5:5">
      <c r="E12986"/>
    </row>
    <row r="12987" spans="5:5">
      <c r="E12987"/>
    </row>
    <row r="12988" spans="5:5">
      <c r="E12988"/>
    </row>
    <row r="12989" spans="5:5">
      <c r="E12989"/>
    </row>
    <row r="12990" spans="5:5">
      <c r="E12990"/>
    </row>
    <row r="12991" spans="5:5">
      <c r="E12991"/>
    </row>
    <row r="12992" spans="5:5">
      <c r="E12992"/>
    </row>
    <row r="12993" spans="5:5">
      <c r="E12993"/>
    </row>
    <row r="12994" spans="5:5">
      <c r="E12994"/>
    </row>
    <row r="12995" spans="5:5">
      <c r="E12995"/>
    </row>
    <row r="12996" spans="5:5">
      <c r="E12996"/>
    </row>
    <row r="12997" spans="5:5">
      <c r="E12997"/>
    </row>
    <row r="12998" spans="5:5">
      <c r="E12998"/>
    </row>
    <row r="12999" spans="5:5">
      <c r="E12999"/>
    </row>
    <row r="13000" spans="5:5">
      <c r="E13000"/>
    </row>
    <row r="13001" spans="5:5">
      <c r="E13001"/>
    </row>
    <row r="13002" spans="5:5">
      <c r="E13002"/>
    </row>
    <row r="13003" spans="5:5">
      <c r="E13003"/>
    </row>
    <row r="13004" spans="5:5">
      <c r="E13004"/>
    </row>
    <row r="13005" spans="5:5">
      <c r="E13005"/>
    </row>
    <row r="13006" spans="5:5">
      <c r="E13006"/>
    </row>
    <row r="13007" spans="5:5">
      <c r="E13007"/>
    </row>
    <row r="13008" spans="5:5">
      <c r="E13008"/>
    </row>
    <row r="13009" spans="5:5">
      <c r="E13009"/>
    </row>
    <row r="13010" spans="5:5">
      <c r="E13010"/>
    </row>
    <row r="13011" spans="5:5">
      <c r="E13011"/>
    </row>
    <row r="13012" spans="5:5">
      <c r="E13012"/>
    </row>
    <row r="13013" spans="5:5">
      <c r="E13013"/>
    </row>
    <row r="13014" spans="5:5">
      <c r="E13014"/>
    </row>
    <row r="13015" spans="5:5">
      <c r="E13015"/>
    </row>
    <row r="13016" spans="5:5">
      <c r="E13016"/>
    </row>
    <row r="13017" spans="5:5">
      <c r="E13017"/>
    </row>
    <row r="13018" spans="5:5">
      <c r="E13018"/>
    </row>
    <row r="13019" spans="5:5">
      <c r="E13019"/>
    </row>
    <row r="13020" spans="5:5">
      <c r="E13020"/>
    </row>
    <row r="13021" spans="5:5">
      <c r="E13021"/>
    </row>
    <row r="13022" spans="5:5">
      <c r="E13022"/>
    </row>
    <row r="13023" spans="5:5">
      <c r="E13023"/>
    </row>
    <row r="13024" spans="5:5">
      <c r="E13024"/>
    </row>
    <row r="13025" spans="5:5">
      <c r="E13025"/>
    </row>
    <row r="13026" spans="5:5">
      <c r="E13026"/>
    </row>
    <row r="13027" spans="5:5">
      <c r="E13027"/>
    </row>
    <row r="13028" spans="5:5">
      <c r="E13028"/>
    </row>
    <row r="13029" spans="5:5">
      <c r="E13029"/>
    </row>
    <row r="13030" spans="5:5">
      <c r="E13030"/>
    </row>
    <row r="13031" spans="5:5">
      <c r="E13031"/>
    </row>
    <row r="13032" spans="5:5">
      <c r="E13032"/>
    </row>
    <row r="13033" spans="5:5">
      <c r="E13033"/>
    </row>
    <row r="13034" spans="5:5">
      <c r="E13034"/>
    </row>
    <row r="13035" spans="5:5">
      <c r="E13035"/>
    </row>
    <row r="13036" spans="5:5">
      <c r="E13036"/>
    </row>
    <row r="13037" spans="5:5">
      <c r="E13037"/>
    </row>
    <row r="13038" spans="5:5">
      <c r="E13038"/>
    </row>
    <row r="13039" spans="5:5">
      <c r="E13039"/>
    </row>
    <row r="13040" spans="5:5">
      <c r="E13040"/>
    </row>
    <row r="13041" spans="5:5">
      <c r="E13041"/>
    </row>
    <row r="13042" spans="5:5">
      <c r="E13042"/>
    </row>
    <row r="13043" spans="5:5">
      <c r="E13043"/>
    </row>
    <row r="13044" spans="5:5">
      <c r="E13044"/>
    </row>
    <row r="13045" spans="5:5">
      <c r="E13045"/>
    </row>
    <row r="13046" spans="5:5">
      <c r="E13046"/>
    </row>
    <row r="13047" spans="5:5">
      <c r="E13047"/>
    </row>
    <row r="13048" spans="5:5">
      <c r="E13048"/>
    </row>
    <row r="13049" spans="5:5">
      <c r="E13049"/>
    </row>
    <row r="13050" spans="5:5">
      <c r="E13050"/>
    </row>
    <row r="13051" spans="5:5">
      <c r="E13051"/>
    </row>
    <row r="13052" spans="5:5">
      <c r="E13052"/>
    </row>
    <row r="13053" spans="5:5">
      <c r="E13053"/>
    </row>
    <row r="13054" spans="5:5">
      <c r="E13054"/>
    </row>
    <row r="13055" spans="5:5">
      <c r="E13055"/>
    </row>
    <row r="13056" spans="5:5">
      <c r="E13056"/>
    </row>
    <row r="13057" spans="5:5">
      <c r="E13057"/>
    </row>
    <row r="13058" spans="5:5">
      <c r="E13058"/>
    </row>
    <row r="13059" spans="5:5">
      <c r="E13059"/>
    </row>
    <row r="13060" spans="5:5">
      <c r="E13060"/>
    </row>
    <row r="13061" spans="5:5">
      <c r="E13061"/>
    </row>
    <row r="13062" spans="5:5">
      <c r="E13062"/>
    </row>
    <row r="13063" spans="5:5">
      <c r="E13063"/>
    </row>
    <row r="13064" spans="5:5">
      <c r="E13064"/>
    </row>
    <row r="13065" spans="5:5">
      <c r="E13065"/>
    </row>
    <row r="13066" spans="5:5">
      <c r="E13066"/>
    </row>
    <row r="13067" spans="5:5">
      <c r="E13067"/>
    </row>
    <row r="13068" spans="5:5">
      <c r="E13068"/>
    </row>
    <row r="13069" spans="5:5">
      <c r="E13069"/>
    </row>
    <row r="13070" spans="5:5">
      <c r="E13070"/>
    </row>
    <row r="13071" spans="5:5">
      <c r="E13071"/>
    </row>
    <row r="13072" spans="5:5">
      <c r="E13072"/>
    </row>
    <row r="13073" spans="5:5">
      <c r="E13073"/>
    </row>
    <row r="13074" spans="5:5">
      <c r="E13074"/>
    </row>
    <row r="13075" spans="5:5">
      <c r="E13075"/>
    </row>
    <row r="13076" spans="5:5">
      <c r="E13076"/>
    </row>
    <row r="13077" spans="5:5">
      <c r="E13077"/>
    </row>
    <row r="13078" spans="5:5">
      <c r="E13078"/>
    </row>
    <row r="13079" spans="5:5">
      <c r="E13079"/>
    </row>
    <row r="13080" spans="5:5">
      <c r="E13080"/>
    </row>
    <row r="13081" spans="5:5">
      <c r="E13081"/>
    </row>
    <row r="13082" spans="5:5">
      <c r="E13082"/>
    </row>
    <row r="13083" spans="5:5">
      <c r="E13083"/>
    </row>
    <row r="13084" spans="5:5">
      <c r="E13084"/>
    </row>
    <row r="13085" spans="5:5">
      <c r="E13085"/>
    </row>
    <row r="13086" spans="5:5">
      <c r="E13086"/>
    </row>
    <row r="13087" spans="5:5">
      <c r="E13087"/>
    </row>
    <row r="13088" spans="5:5">
      <c r="E13088"/>
    </row>
    <row r="13089" spans="5:5">
      <c r="E13089"/>
    </row>
    <row r="13090" spans="5:5">
      <c r="E13090"/>
    </row>
    <row r="13091" spans="5:5">
      <c r="E13091"/>
    </row>
    <row r="13092" spans="5:5">
      <c r="E13092"/>
    </row>
    <row r="13093" spans="5:5">
      <c r="E13093"/>
    </row>
    <row r="13094" spans="5:5">
      <c r="E13094"/>
    </row>
    <row r="13095" spans="5:5">
      <c r="E13095"/>
    </row>
    <row r="13096" spans="5:5">
      <c r="E13096"/>
    </row>
    <row r="13097" spans="5:5">
      <c r="E13097"/>
    </row>
    <row r="13098" spans="5:5">
      <c r="E13098"/>
    </row>
    <row r="13099" spans="5:5">
      <c r="E13099"/>
    </row>
    <row r="13100" spans="5:5">
      <c r="E13100"/>
    </row>
    <row r="13101" spans="5:5">
      <c r="E13101"/>
    </row>
    <row r="13102" spans="5:5">
      <c r="E13102"/>
    </row>
    <row r="13103" spans="5:5">
      <c r="E13103"/>
    </row>
    <row r="13104" spans="5:5">
      <c r="E13104"/>
    </row>
    <row r="13105" spans="5:5">
      <c r="E13105"/>
    </row>
    <row r="13106" spans="5:5">
      <c r="E13106"/>
    </row>
    <row r="13107" spans="5:5">
      <c r="E13107"/>
    </row>
    <row r="13108" spans="5:5">
      <c r="E13108"/>
    </row>
    <row r="13109" spans="5:5">
      <c r="E13109"/>
    </row>
    <row r="13110" spans="5:5">
      <c r="E13110"/>
    </row>
    <row r="13111" spans="5:5">
      <c r="E13111"/>
    </row>
    <row r="13112" spans="5:5">
      <c r="E13112"/>
    </row>
    <row r="13113" spans="5:5">
      <c r="E13113"/>
    </row>
    <row r="13114" spans="5:5">
      <c r="E13114"/>
    </row>
    <row r="13115" spans="5:5">
      <c r="E13115"/>
    </row>
    <row r="13116" spans="5:5">
      <c r="E13116"/>
    </row>
    <row r="13117" spans="5:5">
      <c r="E13117"/>
    </row>
    <row r="13118" spans="5:5">
      <c r="E13118"/>
    </row>
    <row r="13119" spans="5:5">
      <c r="E13119"/>
    </row>
    <row r="13120" spans="5:5">
      <c r="E13120"/>
    </row>
    <row r="13121" spans="5:5">
      <c r="E13121"/>
    </row>
    <row r="13122" spans="5:5">
      <c r="E13122"/>
    </row>
    <row r="13123" spans="5:5">
      <c r="E13123"/>
    </row>
    <row r="13124" spans="5:5">
      <c r="E13124"/>
    </row>
    <row r="13125" spans="5:5">
      <c r="E13125"/>
    </row>
    <row r="13126" spans="5:5">
      <c r="E13126"/>
    </row>
    <row r="13127" spans="5:5">
      <c r="E13127"/>
    </row>
    <row r="13128" spans="5:5">
      <c r="E13128"/>
    </row>
    <row r="13129" spans="5:5">
      <c r="E13129"/>
    </row>
    <row r="13130" spans="5:5">
      <c r="E13130"/>
    </row>
    <row r="13131" spans="5:5">
      <c r="E13131"/>
    </row>
    <row r="13132" spans="5:5">
      <c r="E13132"/>
    </row>
    <row r="13133" spans="5:5">
      <c r="E13133"/>
    </row>
    <row r="13134" spans="5:5">
      <c r="E13134"/>
    </row>
    <row r="13135" spans="5:5">
      <c r="E13135"/>
    </row>
    <row r="13136" spans="5:5">
      <c r="E13136"/>
    </row>
    <row r="13137" spans="5:5">
      <c r="E13137"/>
    </row>
    <row r="13138" spans="5:5">
      <c r="E13138"/>
    </row>
    <row r="13139" spans="5:5">
      <c r="E13139"/>
    </row>
    <row r="13140" spans="5:5">
      <c r="E13140"/>
    </row>
    <row r="13141" spans="5:5">
      <c r="E13141"/>
    </row>
    <row r="13142" spans="5:5">
      <c r="E13142"/>
    </row>
    <row r="13143" spans="5:5">
      <c r="E13143"/>
    </row>
    <row r="13144" spans="5:5">
      <c r="E13144"/>
    </row>
    <row r="13145" spans="5:5">
      <c r="E13145"/>
    </row>
    <row r="13146" spans="5:5">
      <c r="E13146"/>
    </row>
    <row r="13147" spans="5:5">
      <c r="E13147"/>
    </row>
    <row r="13148" spans="5:5">
      <c r="E13148"/>
    </row>
    <row r="13149" spans="5:5">
      <c r="E13149"/>
    </row>
    <row r="13150" spans="5:5">
      <c r="E13150"/>
    </row>
    <row r="13151" spans="5:5">
      <c r="E13151"/>
    </row>
    <row r="13152" spans="5:5">
      <c r="E13152"/>
    </row>
    <row r="13153" spans="5:5">
      <c r="E13153"/>
    </row>
    <row r="13154" spans="5:5">
      <c r="E13154"/>
    </row>
    <row r="13155" spans="5:5">
      <c r="E13155"/>
    </row>
    <row r="13156" spans="5:5">
      <c r="E13156"/>
    </row>
    <row r="13157" spans="5:5">
      <c r="E13157"/>
    </row>
    <row r="13158" spans="5:5">
      <c r="E13158"/>
    </row>
    <row r="13159" spans="5:5">
      <c r="E13159"/>
    </row>
    <row r="13160" spans="5:5">
      <c r="E13160"/>
    </row>
    <row r="13161" spans="5:5">
      <c r="E13161"/>
    </row>
    <row r="13162" spans="5:5">
      <c r="E13162"/>
    </row>
    <row r="13163" spans="5:5">
      <c r="E13163"/>
    </row>
    <row r="13164" spans="5:5">
      <c r="E13164"/>
    </row>
    <row r="13165" spans="5:5">
      <c r="E13165"/>
    </row>
    <row r="13166" spans="5:5">
      <c r="E13166"/>
    </row>
    <row r="13167" spans="5:5">
      <c r="E13167"/>
    </row>
    <row r="13168" spans="5:5">
      <c r="E13168"/>
    </row>
    <row r="13169" spans="5:5">
      <c r="E13169"/>
    </row>
    <row r="13170" spans="5:5">
      <c r="E13170"/>
    </row>
    <row r="13171" spans="5:5">
      <c r="E13171"/>
    </row>
    <row r="13172" spans="5:5">
      <c r="E13172"/>
    </row>
    <row r="13173" spans="5:5">
      <c r="E13173"/>
    </row>
    <row r="13174" spans="5:5">
      <c r="E13174"/>
    </row>
    <row r="13175" spans="5:5">
      <c r="E13175"/>
    </row>
    <row r="13176" spans="5:5">
      <c r="E13176"/>
    </row>
    <row r="13177" spans="5:5">
      <c r="E13177"/>
    </row>
    <row r="13178" spans="5:5">
      <c r="E13178"/>
    </row>
    <row r="13179" spans="5:5">
      <c r="E13179"/>
    </row>
    <row r="13180" spans="5:5">
      <c r="E13180"/>
    </row>
    <row r="13181" spans="5:5">
      <c r="E13181"/>
    </row>
    <row r="13182" spans="5:5">
      <c r="E13182"/>
    </row>
    <row r="13183" spans="5:5">
      <c r="E13183"/>
    </row>
    <row r="13184" spans="5:5">
      <c r="E13184"/>
    </row>
    <row r="13185" spans="5:5">
      <c r="E13185"/>
    </row>
    <row r="13186" spans="5:5">
      <c r="E13186"/>
    </row>
    <row r="13187" spans="5:5">
      <c r="E13187"/>
    </row>
    <row r="13188" spans="5:5">
      <c r="E13188"/>
    </row>
    <row r="13189" spans="5:5">
      <c r="E13189"/>
    </row>
    <row r="13190" spans="5:5">
      <c r="E13190"/>
    </row>
    <row r="13191" spans="5:5">
      <c r="E13191"/>
    </row>
    <row r="13192" spans="5:5">
      <c r="E13192"/>
    </row>
    <row r="13193" spans="5:5">
      <c r="E13193"/>
    </row>
    <row r="13194" spans="5:5">
      <c r="E13194"/>
    </row>
    <row r="13195" spans="5:5">
      <c r="E13195"/>
    </row>
    <row r="13196" spans="5:5">
      <c r="E13196"/>
    </row>
    <row r="13197" spans="5:5">
      <c r="E13197"/>
    </row>
    <row r="13198" spans="5:5">
      <c r="E13198"/>
    </row>
    <row r="13199" spans="5:5">
      <c r="E13199"/>
    </row>
    <row r="13200" spans="5:5">
      <c r="E13200"/>
    </row>
    <row r="13201" spans="5:5">
      <c r="E13201"/>
    </row>
    <row r="13202" spans="5:5">
      <c r="E13202"/>
    </row>
    <row r="13203" spans="5:5">
      <c r="E13203"/>
    </row>
    <row r="13204" spans="5:5">
      <c r="E13204"/>
    </row>
    <row r="13205" spans="5:5">
      <c r="E13205"/>
    </row>
    <row r="13206" spans="5:5">
      <c r="E13206"/>
    </row>
    <row r="13207" spans="5:5">
      <c r="E13207"/>
    </row>
    <row r="13208" spans="5:5">
      <c r="E13208"/>
    </row>
    <row r="13209" spans="5:5">
      <c r="E13209"/>
    </row>
    <row r="13210" spans="5:5">
      <c r="E13210"/>
    </row>
    <row r="13211" spans="5:5">
      <c r="E13211"/>
    </row>
    <row r="13212" spans="5:5">
      <c r="E13212"/>
    </row>
    <row r="13213" spans="5:5">
      <c r="E13213"/>
    </row>
    <row r="13214" spans="5:5">
      <c r="E13214"/>
    </row>
    <row r="13215" spans="5:5">
      <c r="E13215"/>
    </row>
    <row r="13216" spans="5:5">
      <c r="E13216"/>
    </row>
    <row r="13217" spans="5:5">
      <c r="E13217"/>
    </row>
    <row r="13218" spans="5:5">
      <c r="E13218"/>
    </row>
    <row r="13219" spans="5:5">
      <c r="E13219"/>
    </row>
    <row r="13220" spans="5:5">
      <c r="E13220"/>
    </row>
    <row r="13221" spans="5:5">
      <c r="E13221"/>
    </row>
    <row r="13222" spans="5:5">
      <c r="E13222"/>
    </row>
    <row r="13223" spans="5:5">
      <c r="E13223"/>
    </row>
    <row r="13224" spans="5:5">
      <c r="E13224"/>
    </row>
    <row r="13225" spans="5:5">
      <c r="E13225"/>
    </row>
    <row r="13226" spans="5:5">
      <c r="E13226"/>
    </row>
    <row r="13227" spans="5:5">
      <c r="E13227"/>
    </row>
    <row r="13228" spans="5:5">
      <c r="E13228"/>
    </row>
    <row r="13229" spans="5:5">
      <c r="E13229"/>
    </row>
    <row r="13230" spans="5:5">
      <c r="E13230"/>
    </row>
    <row r="13231" spans="5:5">
      <c r="E13231"/>
    </row>
    <row r="13232" spans="5:5">
      <c r="E13232"/>
    </row>
    <row r="13233" spans="5:5">
      <c r="E13233"/>
    </row>
    <row r="13234" spans="5:5">
      <c r="E13234"/>
    </row>
    <row r="13235" spans="5:5">
      <c r="E13235"/>
    </row>
    <row r="13236" spans="5:5">
      <c r="E13236"/>
    </row>
    <row r="13237" spans="5:5">
      <c r="E13237"/>
    </row>
    <row r="13238" spans="5:5">
      <c r="E13238"/>
    </row>
    <row r="13239" spans="5:5">
      <c r="E13239"/>
    </row>
    <row r="13240" spans="5:5">
      <c r="E13240"/>
    </row>
    <row r="13241" spans="5:5">
      <c r="E13241"/>
    </row>
    <row r="13242" spans="5:5">
      <c r="E13242"/>
    </row>
    <row r="13243" spans="5:5">
      <c r="E13243"/>
    </row>
    <row r="13244" spans="5:5">
      <c r="E13244"/>
    </row>
    <row r="13245" spans="5:5">
      <c r="E13245"/>
    </row>
    <row r="13246" spans="5:5">
      <c r="E13246"/>
    </row>
    <row r="13247" spans="5:5">
      <c r="E13247"/>
    </row>
    <row r="13248" spans="5:5">
      <c r="E13248"/>
    </row>
    <row r="13249" spans="5:5">
      <c r="E13249"/>
    </row>
    <row r="13250" spans="5:5">
      <c r="E13250"/>
    </row>
    <row r="13251" spans="5:5">
      <c r="E13251"/>
    </row>
    <row r="13252" spans="5:5">
      <c r="E13252"/>
    </row>
    <row r="13253" spans="5:5">
      <c r="E13253"/>
    </row>
    <row r="13254" spans="5:5">
      <c r="E13254"/>
    </row>
    <row r="13255" spans="5:5">
      <c r="E13255"/>
    </row>
    <row r="13256" spans="5:5">
      <c r="E13256"/>
    </row>
    <row r="13257" spans="5:5">
      <c r="E13257"/>
    </row>
    <row r="13258" spans="5:5">
      <c r="E13258"/>
    </row>
    <row r="13259" spans="5:5">
      <c r="E13259"/>
    </row>
    <row r="13260" spans="5:5">
      <c r="E13260"/>
    </row>
    <row r="13261" spans="5:5">
      <c r="E13261"/>
    </row>
    <row r="13262" spans="5:5">
      <c r="E13262"/>
    </row>
    <row r="13263" spans="5:5">
      <c r="E13263"/>
    </row>
    <row r="13264" spans="5:5">
      <c r="E13264"/>
    </row>
    <row r="13265" spans="5:5">
      <c r="E13265"/>
    </row>
    <row r="13266" spans="5:5">
      <c r="E13266"/>
    </row>
    <row r="13267" spans="5:5">
      <c r="E13267"/>
    </row>
    <row r="13268" spans="5:5">
      <c r="E13268"/>
    </row>
    <row r="13269" spans="5:5">
      <c r="E13269"/>
    </row>
    <row r="13270" spans="5:5">
      <c r="E13270"/>
    </row>
    <row r="13271" spans="5:5">
      <c r="E13271"/>
    </row>
    <row r="13272" spans="5:5">
      <c r="E13272"/>
    </row>
    <row r="13273" spans="5:5">
      <c r="E13273"/>
    </row>
    <row r="13274" spans="5:5">
      <c r="E13274"/>
    </row>
    <row r="13275" spans="5:5">
      <c r="E13275"/>
    </row>
    <row r="13276" spans="5:5">
      <c r="E13276"/>
    </row>
    <row r="13277" spans="5:5">
      <c r="E13277"/>
    </row>
    <row r="13278" spans="5:5">
      <c r="E13278"/>
    </row>
    <row r="13279" spans="5:5">
      <c r="E13279"/>
    </row>
    <row r="13280" spans="5:5">
      <c r="E13280"/>
    </row>
    <row r="13281" spans="5:5">
      <c r="E13281"/>
    </row>
    <row r="13282" spans="5:5">
      <c r="E13282"/>
    </row>
    <row r="13283" spans="5:5">
      <c r="E13283"/>
    </row>
    <row r="13284" spans="5:5">
      <c r="E13284"/>
    </row>
    <row r="13285" spans="5:5">
      <c r="E13285"/>
    </row>
    <row r="13286" spans="5:5">
      <c r="E13286"/>
    </row>
    <row r="13287" spans="5:5">
      <c r="E13287"/>
    </row>
    <row r="13288" spans="5:5">
      <c r="E13288"/>
    </row>
    <row r="13289" spans="5:5">
      <c r="E13289"/>
    </row>
    <row r="13290" spans="5:5">
      <c r="E13290"/>
    </row>
    <row r="13291" spans="5:5">
      <c r="E13291"/>
    </row>
    <row r="13292" spans="5:5">
      <c r="E13292"/>
    </row>
    <row r="13293" spans="5:5">
      <c r="E13293"/>
    </row>
    <row r="13294" spans="5:5">
      <c r="E13294"/>
    </row>
    <row r="13295" spans="5:5">
      <c r="E13295"/>
    </row>
    <row r="13296" spans="5:5">
      <c r="E13296"/>
    </row>
    <row r="13297" spans="5:5">
      <c r="E13297"/>
    </row>
    <row r="13298" spans="5:5">
      <c r="E13298"/>
    </row>
    <row r="13299" spans="5:5">
      <c r="E13299"/>
    </row>
    <row r="13300" spans="5:5">
      <c r="E13300"/>
    </row>
    <row r="13301" spans="5:5">
      <c r="E13301"/>
    </row>
    <row r="13302" spans="5:5">
      <c r="E13302"/>
    </row>
    <row r="13303" spans="5:5">
      <c r="E13303"/>
    </row>
    <row r="13304" spans="5:5">
      <c r="E13304"/>
    </row>
    <row r="13305" spans="5:5">
      <c r="E13305"/>
    </row>
    <row r="13306" spans="5:5">
      <c r="E13306"/>
    </row>
    <row r="13307" spans="5:5">
      <c r="E13307"/>
    </row>
    <row r="13308" spans="5:5">
      <c r="E13308"/>
    </row>
    <row r="13309" spans="5:5">
      <c r="E13309"/>
    </row>
    <row r="13310" spans="5:5">
      <c r="E13310"/>
    </row>
    <row r="13311" spans="5:5">
      <c r="E13311"/>
    </row>
    <row r="13312" spans="5:5">
      <c r="E13312"/>
    </row>
    <row r="13313" spans="5:5">
      <c r="E13313"/>
    </row>
    <row r="13314" spans="5:5">
      <c r="E13314"/>
    </row>
    <row r="13315" spans="5:5">
      <c r="E13315"/>
    </row>
    <row r="13316" spans="5:5">
      <c r="E13316"/>
    </row>
    <row r="13317" spans="5:5">
      <c r="E13317"/>
    </row>
    <row r="13318" spans="5:5">
      <c r="E13318"/>
    </row>
    <row r="13319" spans="5:5">
      <c r="E13319"/>
    </row>
    <row r="13320" spans="5:5">
      <c r="E13320"/>
    </row>
    <row r="13321" spans="5:5">
      <c r="E13321"/>
    </row>
    <row r="13322" spans="5:5">
      <c r="E13322"/>
    </row>
    <row r="13323" spans="5:5">
      <c r="E13323"/>
    </row>
    <row r="13324" spans="5:5">
      <c r="E13324"/>
    </row>
    <row r="13325" spans="5:5">
      <c r="E13325"/>
    </row>
    <row r="13326" spans="5:5">
      <c r="E13326"/>
    </row>
    <row r="13327" spans="5:5">
      <c r="E13327"/>
    </row>
    <row r="13328" spans="5:5">
      <c r="E13328"/>
    </row>
    <row r="13329" spans="5:5">
      <c r="E13329"/>
    </row>
    <row r="13330" spans="5:5">
      <c r="E13330"/>
    </row>
    <row r="13331" spans="5:5">
      <c r="E13331"/>
    </row>
    <row r="13332" spans="5:5">
      <c r="E13332"/>
    </row>
    <row r="13333" spans="5:5">
      <c r="E13333"/>
    </row>
    <row r="13334" spans="5:5">
      <c r="E13334"/>
    </row>
    <row r="13335" spans="5:5">
      <c r="E13335"/>
    </row>
    <row r="13336" spans="5:5">
      <c r="E13336"/>
    </row>
    <row r="13337" spans="5:5">
      <c r="E13337"/>
    </row>
    <row r="13338" spans="5:5">
      <c r="E13338"/>
    </row>
    <row r="13339" spans="5:5">
      <c r="E13339"/>
    </row>
    <row r="13340" spans="5:5">
      <c r="E13340"/>
    </row>
    <row r="13341" spans="5:5">
      <c r="E13341"/>
    </row>
    <row r="13342" spans="5:5">
      <c r="E13342"/>
    </row>
    <row r="13343" spans="5:5">
      <c r="E13343"/>
    </row>
    <row r="13344" spans="5:5">
      <c r="E13344"/>
    </row>
    <row r="13345" spans="5:5">
      <c r="E13345"/>
    </row>
    <row r="13346" spans="5:5">
      <c r="E13346"/>
    </row>
    <row r="13347" spans="5:5">
      <c r="E13347"/>
    </row>
    <row r="13348" spans="5:5">
      <c r="E13348"/>
    </row>
    <row r="13349" spans="5:5">
      <c r="E13349"/>
    </row>
    <row r="13350" spans="5:5">
      <c r="E13350"/>
    </row>
    <row r="13351" spans="5:5">
      <c r="E13351"/>
    </row>
    <row r="13352" spans="5:5">
      <c r="E13352"/>
    </row>
    <row r="13353" spans="5:5">
      <c r="E13353"/>
    </row>
    <row r="13354" spans="5:5">
      <c r="E13354"/>
    </row>
    <row r="13355" spans="5:5">
      <c r="E13355"/>
    </row>
    <row r="13356" spans="5:5">
      <c r="E13356"/>
    </row>
    <row r="13357" spans="5:5">
      <c r="E13357"/>
    </row>
    <row r="13358" spans="5:5">
      <c r="E13358"/>
    </row>
    <row r="13359" spans="5:5">
      <c r="E13359"/>
    </row>
    <row r="13360" spans="5:5">
      <c r="E13360"/>
    </row>
    <row r="13361" spans="5:5">
      <c r="E13361"/>
    </row>
    <row r="13362" spans="5:5">
      <c r="E13362"/>
    </row>
    <row r="13363" spans="5:5">
      <c r="E13363"/>
    </row>
    <row r="13364" spans="5:5">
      <c r="E13364"/>
    </row>
    <row r="13365" spans="5:5">
      <c r="E13365"/>
    </row>
    <row r="13366" spans="5:5">
      <c r="E13366"/>
    </row>
    <row r="13367" spans="5:5">
      <c r="E13367"/>
    </row>
    <row r="13368" spans="5:5">
      <c r="E13368"/>
    </row>
    <row r="13369" spans="5:5">
      <c r="E13369"/>
    </row>
    <row r="13370" spans="5:5">
      <c r="E13370"/>
    </row>
    <row r="13371" spans="5:5">
      <c r="E13371"/>
    </row>
    <row r="13372" spans="5:5">
      <c r="E13372"/>
    </row>
    <row r="13373" spans="5:5">
      <c r="E13373"/>
    </row>
    <row r="13374" spans="5:5">
      <c r="E13374"/>
    </row>
    <row r="13375" spans="5:5">
      <c r="E13375"/>
    </row>
    <row r="13376" spans="5:5">
      <c r="E13376"/>
    </row>
    <row r="13377" spans="5:5">
      <c r="E13377"/>
    </row>
    <row r="13378" spans="5:5">
      <c r="E13378"/>
    </row>
    <row r="13379" spans="5:5">
      <c r="E13379"/>
    </row>
    <row r="13380" spans="5:5">
      <c r="E13380"/>
    </row>
    <row r="13381" spans="5:5">
      <c r="E13381"/>
    </row>
    <row r="13382" spans="5:5">
      <c r="E13382"/>
    </row>
    <row r="13383" spans="5:5">
      <c r="E13383"/>
    </row>
    <row r="13384" spans="5:5">
      <c r="E13384"/>
    </row>
    <row r="13385" spans="5:5">
      <c r="E13385"/>
    </row>
    <row r="13386" spans="5:5">
      <c r="E13386"/>
    </row>
    <row r="13387" spans="5:5">
      <c r="E13387"/>
    </row>
    <row r="13388" spans="5:5">
      <c r="E13388"/>
    </row>
    <row r="13389" spans="5:5">
      <c r="E13389"/>
    </row>
    <row r="13390" spans="5:5">
      <c r="E13390"/>
    </row>
    <row r="13391" spans="5:5">
      <c r="E13391"/>
    </row>
    <row r="13392" spans="5:5">
      <c r="E13392"/>
    </row>
    <row r="13393" spans="5:5">
      <c r="E13393"/>
    </row>
    <row r="13394" spans="5:5">
      <c r="E13394"/>
    </row>
    <row r="13395" spans="5:5">
      <c r="E13395"/>
    </row>
    <row r="13396" spans="5:5">
      <c r="E13396"/>
    </row>
    <row r="13397" spans="5:5">
      <c r="E13397"/>
    </row>
    <row r="13398" spans="5:5">
      <c r="E13398"/>
    </row>
    <row r="13399" spans="5:5">
      <c r="E13399"/>
    </row>
    <row r="13400" spans="5:5">
      <c r="E13400"/>
    </row>
    <row r="13401" spans="5:5">
      <c r="E13401"/>
    </row>
    <row r="13402" spans="5:5">
      <c r="E13402"/>
    </row>
    <row r="13403" spans="5:5">
      <c r="E13403"/>
    </row>
    <row r="13404" spans="5:5">
      <c r="E13404"/>
    </row>
    <row r="13405" spans="5:5">
      <c r="E13405"/>
    </row>
    <row r="13406" spans="5:5">
      <c r="E13406"/>
    </row>
    <row r="13407" spans="5:5">
      <c r="E13407"/>
    </row>
    <row r="13408" spans="5:5">
      <c r="E13408"/>
    </row>
    <row r="13409" spans="5:5">
      <c r="E13409"/>
    </row>
    <row r="13410" spans="5:5">
      <c r="E13410"/>
    </row>
    <row r="13411" spans="5:5">
      <c r="E13411"/>
    </row>
    <row r="13412" spans="5:5">
      <c r="E13412"/>
    </row>
    <row r="13413" spans="5:5">
      <c r="E13413"/>
    </row>
    <row r="13414" spans="5:5">
      <c r="E13414"/>
    </row>
    <row r="13415" spans="5:5">
      <c r="E13415"/>
    </row>
    <row r="13416" spans="5:5">
      <c r="E13416"/>
    </row>
    <row r="13417" spans="5:5">
      <c r="E13417"/>
    </row>
    <row r="13418" spans="5:5">
      <c r="E13418"/>
    </row>
    <row r="13419" spans="5:5">
      <c r="E13419"/>
    </row>
    <row r="13420" spans="5:5">
      <c r="E13420"/>
    </row>
    <row r="13421" spans="5:5">
      <c r="E13421"/>
    </row>
    <row r="13422" spans="5:5">
      <c r="E13422"/>
    </row>
    <row r="13423" spans="5:5">
      <c r="E13423"/>
    </row>
    <row r="13424" spans="5:5">
      <c r="E13424"/>
    </row>
    <row r="13425" spans="5:5">
      <c r="E13425"/>
    </row>
    <row r="13426" spans="5:5">
      <c r="E13426"/>
    </row>
    <row r="13427" spans="5:5">
      <c r="E13427"/>
    </row>
    <row r="13428" spans="5:5">
      <c r="E13428"/>
    </row>
    <row r="13429" spans="5:5">
      <c r="E13429"/>
    </row>
    <row r="13430" spans="5:5">
      <c r="E13430"/>
    </row>
    <row r="13431" spans="5:5">
      <c r="E13431"/>
    </row>
    <row r="13432" spans="5:5">
      <c r="E13432"/>
    </row>
    <row r="13433" spans="5:5">
      <c r="E13433"/>
    </row>
    <row r="13434" spans="5:5">
      <c r="E13434"/>
    </row>
    <row r="13435" spans="5:5">
      <c r="E13435"/>
    </row>
    <row r="13436" spans="5:5">
      <c r="E13436"/>
    </row>
    <row r="13437" spans="5:5">
      <c r="E13437"/>
    </row>
    <row r="13438" spans="5:5">
      <c r="E13438"/>
    </row>
    <row r="13439" spans="5:5">
      <c r="E13439"/>
    </row>
    <row r="13440" spans="5:5">
      <c r="E13440"/>
    </row>
    <row r="13441" spans="5:5">
      <c r="E13441"/>
    </row>
    <row r="13442" spans="5:5">
      <c r="E13442"/>
    </row>
    <row r="13443" spans="5:5">
      <c r="E13443"/>
    </row>
    <row r="13444" spans="5:5">
      <c r="E13444"/>
    </row>
    <row r="13445" spans="5:5">
      <c r="E13445"/>
    </row>
    <row r="13446" spans="5:5">
      <c r="E13446"/>
    </row>
    <row r="13447" spans="5:5">
      <c r="E13447"/>
    </row>
    <row r="13448" spans="5:5">
      <c r="E13448"/>
    </row>
    <row r="13449" spans="5:5">
      <c r="E13449"/>
    </row>
    <row r="13450" spans="5:5">
      <c r="E13450"/>
    </row>
    <row r="13451" spans="5:5">
      <c r="E13451"/>
    </row>
    <row r="13452" spans="5:5">
      <c r="E13452"/>
    </row>
    <row r="13453" spans="5:5">
      <c r="E13453"/>
    </row>
    <row r="13454" spans="5:5">
      <c r="E13454"/>
    </row>
    <row r="13455" spans="5:5">
      <c r="E13455"/>
    </row>
    <row r="13456" spans="5:5">
      <c r="E13456"/>
    </row>
    <row r="13457" spans="5:5">
      <c r="E13457"/>
    </row>
    <row r="13458" spans="5:5">
      <c r="E13458"/>
    </row>
    <row r="13459" spans="5:5">
      <c r="E13459"/>
    </row>
    <row r="13460" spans="5:5">
      <c r="E13460"/>
    </row>
    <row r="13461" spans="5:5">
      <c r="E13461"/>
    </row>
    <row r="13462" spans="5:5">
      <c r="E13462"/>
    </row>
    <row r="13463" spans="5:5">
      <c r="E13463"/>
    </row>
    <row r="13464" spans="5:5">
      <c r="E13464"/>
    </row>
    <row r="13465" spans="5:5">
      <c r="E13465"/>
    </row>
    <row r="13466" spans="5:5">
      <c r="E13466"/>
    </row>
    <row r="13467" spans="5:5">
      <c r="E13467"/>
    </row>
    <row r="13468" spans="5:5">
      <c r="E13468"/>
    </row>
    <row r="13469" spans="5:5">
      <c r="E13469"/>
    </row>
    <row r="13470" spans="5:5">
      <c r="E13470"/>
    </row>
    <row r="13471" spans="5:5">
      <c r="E13471"/>
    </row>
    <row r="13472" spans="5:5">
      <c r="E13472"/>
    </row>
    <row r="13473" spans="5:5">
      <c r="E13473"/>
    </row>
    <row r="13474" spans="5:5">
      <c r="E13474"/>
    </row>
    <row r="13475" spans="5:5">
      <c r="E13475"/>
    </row>
    <row r="13476" spans="5:5">
      <c r="E13476"/>
    </row>
    <row r="13477" spans="5:5">
      <c r="E13477"/>
    </row>
    <row r="13478" spans="5:5">
      <c r="E13478"/>
    </row>
    <row r="13479" spans="5:5">
      <c r="E13479"/>
    </row>
    <row r="13480" spans="5:5">
      <c r="E13480"/>
    </row>
    <row r="13481" spans="5:5">
      <c r="E13481"/>
    </row>
    <row r="13482" spans="5:5">
      <c r="E13482"/>
    </row>
    <row r="13483" spans="5:5">
      <c r="E13483"/>
    </row>
    <row r="13484" spans="5:5">
      <c r="E13484"/>
    </row>
    <row r="13485" spans="5:5">
      <c r="E13485"/>
    </row>
    <row r="13486" spans="5:5">
      <c r="E13486"/>
    </row>
    <row r="13487" spans="5:5">
      <c r="E13487"/>
    </row>
    <row r="13488" spans="5:5">
      <c r="E13488"/>
    </row>
    <row r="13489" spans="5:5">
      <c r="E13489"/>
    </row>
    <row r="13490" spans="5:5">
      <c r="E13490"/>
    </row>
    <row r="13491" spans="5:5">
      <c r="E13491"/>
    </row>
    <row r="13492" spans="5:5">
      <c r="E13492"/>
    </row>
    <row r="13493" spans="5:5">
      <c r="E13493"/>
    </row>
    <row r="13494" spans="5:5">
      <c r="E13494"/>
    </row>
    <row r="13495" spans="5:5">
      <c r="E13495"/>
    </row>
    <row r="13496" spans="5:5">
      <c r="E13496"/>
    </row>
    <row r="13497" spans="5:5">
      <c r="E13497"/>
    </row>
    <row r="13498" spans="5:5">
      <c r="E13498"/>
    </row>
    <row r="13499" spans="5:5">
      <c r="E13499"/>
    </row>
    <row r="13500" spans="5:5">
      <c r="E13500"/>
    </row>
    <row r="13501" spans="5:5">
      <c r="E13501"/>
    </row>
    <row r="13502" spans="5:5">
      <c r="E13502"/>
    </row>
    <row r="13503" spans="5:5">
      <c r="E13503"/>
    </row>
    <row r="13504" spans="5:5">
      <c r="E13504"/>
    </row>
    <row r="13505" spans="5:5">
      <c r="E13505"/>
    </row>
    <row r="13506" spans="5:5">
      <c r="E13506"/>
    </row>
    <row r="13507" spans="5:5">
      <c r="E13507"/>
    </row>
    <row r="13508" spans="5:5">
      <c r="E13508"/>
    </row>
    <row r="13509" spans="5:5">
      <c r="E13509"/>
    </row>
    <row r="13510" spans="5:5">
      <c r="E13510"/>
    </row>
    <row r="13511" spans="5:5">
      <c r="E13511"/>
    </row>
    <row r="13512" spans="5:5">
      <c r="E13512"/>
    </row>
    <row r="13513" spans="5:5">
      <c r="E13513"/>
    </row>
    <row r="13514" spans="5:5">
      <c r="E13514"/>
    </row>
    <row r="13515" spans="5:5">
      <c r="E13515"/>
    </row>
    <row r="13516" spans="5:5">
      <c r="E13516"/>
    </row>
    <row r="13517" spans="5:5">
      <c r="E13517"/>
    </row>
    <row r="13518" spans="5:5">
      <c r="E13518"/>
    </row>
    <row r="13519" spans="5:5">
      <c r="E13519"/>
    </row>
    <row r="13520" spans="5:5">
      <c r="E13520"/>
    </row>
    <row r="13521" spans="5:5">
      <c r="E13521"/>
    </row>
    <row r="13522" spans="5:5">
      <c r="E13522"/>
    </row>
    <row r="13523" spans="5:5">
      <c r="E13523"/>
    </row>
    <row r="13524" spans="5:5">
      <c r="E13524"/>
    </row>
    <row r="13525" spans="5:5">
      <c r="E13525"/>
    </row>
    <row r="13526" spans="5:5">
      <c r="E13526"/>
    </row>
    <row r="13527" spans="5:5">
      <c r="E13527"/>
    </row>
    <row r="13528" spans="5:5">
      <c r="E13528"/>
    </row>
    <row r="13529" spans="5:5">
      <c r="E13529"/>
    </row>
    <row r="13530" spans="5:5">
      <c r="E13530"/>
    </row>
    <row r="13531" spans="5:5">
      <c r="E13531"/>
    </row>
    <row r="13532" spans="5:5">
      <c r="E13532"/>
    </row>
    <row r="13533" spans="5:5">
      <c r="E13533"/>
    </row>
    <row r="13534" spans="5:5">
      <c r="E13534"/>
    </row>
    <row r="13535" spans="5:5">
      <c r="E13535"/>
    </row>
    <row r="13536" spans="5:5">
      <c r="E13536"/>
    </row>
    <row r="13537" spans="5:5">
      <c r="E13537"/>
    </row>
    <row r="13538" spans="5:5">
      <c r="E13538"/>
    </row>
    <row r="13539" spans="5:5">
      <c r="E13539"/>
    </row>
    <row r="13540" spans="5:5">
      <c r="E13540"/>
    </row>
    <row r="13541" spans="5:5">
      <c r="E13541"/>
    </row>
    <row r="13542" spans="5:5">
      <c r="E13542"/>
    </row>
    <row r="13543" spans="5:5">
      <c r="E13543"/>
    </row>
    <row r="13544" spans="5:5">
      <c r="E13544"/>
    </row>
    <row r="13545" spans="5:5">
      <c r="E13545"/>
    </row>
    <row r="13546" spans="5:5">
      <c r="E13546"/>
    </row>
    <row r="13547" spans="5:5">
      <c r="E13547"/>
    </row>
    <row r="13548" spans="5:5">
      <c r="E13548"/>
    </row>
    <row r="13549" spans="5:5">
      <c r="E13549"/>
    </row>
    <row r="13550" spans="5:5">
      <c r="E13550"/>
    </row>
    <row r="13551" spans="5:5">
      <c r="E13551"/>
    </row>
    <row r="13552" spans="5:5">
      <c r="E13552"/>
    </row>
    <row r="13553" spans="5:5">
      <c r="E13553"/>
    </row>
    <row r="13554" spans="5:5">
      <c r="E13554"/>
    </row>
    <row r="13555" spans="5:5">
      <c r="E13555"/>
    </row>
    <row r="13556" spans="5:5">
      <c r="E13556"/>
    </row>
    <row r="13557" spans="5:5">
      <c r="E13557"/>
    </row>
    <row r="13558" spans="5:5">
      <c r="E13558"/>
    </row>
    <row r="13559" spans="5:5">
      <c r="E13559"/>
    </row>
    <row r="13560" spans="5:5">
      <c r="E13560"/>
    </row>
    <row r="13561" spans="5:5">
      <c r="E13561"/>
    </row>
    <row r="13562" spans="5:5">
      <c r="E13562"/>
    </row>
    <row r="13563" spans="5:5">
      <c r="E13563"/>
    </row>
    <row r="13564" spans="5:5">
      <c r="E13564"/>
    </row>
    <row r="13565" spans="5:5">
      <c r="E13565"/>
    </row>
    <row r="13566" spans="5:5">
      <c r="E13566"/>
    </row>
    <row r="13567" spans="5:5">
      <c r="E13567"/>
    </row>
    <row r="13568" spans="5:5">
      <c r="E13568"/>
    </row>
    <row r="13569" spans="5:5">
      <c r="E13569"/>
    </row>
    <row r="13570" spans="5:5">
      <c r="E13570"/>
    </row>
    <row r="13571" spans="5:5">
      <c r="E13571"/>
    </row>
    <row r="13572" spans="5:5">
      <c r="E13572"/>
    </row>
    <row r="13573" spans="5:5">
      <c r="E13573"/>
    </row>
    <row r="13574" spans="5:5">
      <c r="E13574"/>
    </row>
    <row r="13575" spans="5:5">
      <c r="E13575"/>
    </row>
    <row r="13576" spans="5:5">
      <c r="E13576"/>
    </row>
    <row r="13577" spans="5:5">
      <c r="E13577"/>
    </row>
    <row r="13578" spans="5:5">
      <c r="E13578"/>
    </row>
    <row r="13579" spans="5:5">
      <c r="E13579"/>
    </row>
    <row r="13580" spans="5:5">
      <c r="E13580"/>
    </row>
    <row r="13581" spans="5:5">
      <c r="E13581"/>
    </row>
    <row r="13582" spans="5:5">
      <c r="E13582"/>
    </row>
    <row r="13583" spans="5:5">
      <c r="E13583"/>
    </row>
    <row r="13584" spans="5:5">
      <c r="E13584"/>
    </row>
    <row r="13585" spans="5:5">
      <c r="E13585"/>
    </row>
    <row r="13586" spans="5:5">
      <c r="E13586"/>
    </row>
    <row r="13587" spans="5:5">
      <c r="E13587"/>
    </row>
    <row r="13588" spans="5:5">
      <c r="E13588"/>
    </row>
    <row r="13589" spans="5:5">
      <c r="E13589"/>
    </row>
    <row r="13590" spans="5:5">
      <c r="E13590"/>
    </row>
    <row r="13591" spans="5:5">
      <c r="E13591"/>
    </row>
    <row r="13592" spans="5:5">
      <c r="E13592"/>
    </row>
    <row r="13593" spans="5:5">
      <c r="E13593"/>
    </row>
    <row r="13594" spans="5:5">
      <c r="E13594"/>
    </row>
    <row r="13595" spans="5:5">
      <c r="E13595"/>
    </row>
    <row r="13596" spans="5:5">
      <c r="E13596"/>
    </row>
    <row r="13597" spans="5:5">
      <c r="E13597"/>
    </row>
    <row r="13598" spans="5:5">
      <c r="E13598"/>
    </row>
    <row r="13599" spans="5:5">
      <c r="E13599"/>
    </row>
    <row r="13600" spans="5:5">
      <c r="E13600"/>
    </row>
    <row r="13601" spans="5:5">
      <c r="E13601"/>
    </row>
    <row r="13602" spans="5:5">
      <c r="E13602"/>
    </row>
    <row r="13603" spans="5:5">
      <c r="E13603"/>
    </row>
    <row r="13604" spans="5:5">
      <c r="E13604"/>
    </row>
    <row r="13605" spans="5:5">
      <c r="E13605"/>
    </row>
    <row r="13606" spans="5:5">
      <c r="E13606"/>
    </row>
    <row r="13607" spans="5:5">
      <c r="E13607"/>
    </row>
    <row r="13608" spans="5:5">
      <c r="E13608"/>
    </row>
    <row r="13609" spans="5:5">
      <c r="E13609"/>
    </row>
    <row r="13610" spans="5:5">
      <c r="E13610"/>
    </row>
    <row r="13611" spans="5:5">
      <c r="E13611"/>
    </row>
    <row r="13612" spans="5:5">
      <c r="E13612"/>
    </row>
    <row r="13613" spans="5:5">
      <c r="E13613"/>
    </row>
    <row r="13614" spans="5:5">
      <c r="E13614"/>
    </row>
    <row r="13615" spans="5:5">
      <c r="E13615"/>
    </row>
    <row r="13616" spans="5:5">
      <c r="E13616"/>
    </row>
    <row r="13617" spans="5:5">
      <c r="E13617"/>
    </row>
    <row r="13618" spans="5:5">
      <c r="E13618"/>
    </row>
    <row r="13619" spans="5:5">
      <c r="E13619"/>
    </row>
    <row r="13620" spans="5:5">
      <c r="E13620"/>
    </row>
    <row r="13621" spans="5:5">
      <c r="E13621"/>
    </row>
    <row r="13622" spans="5:5">
      <c r="E13622"/>
    </row>
    <row r="13623" spans="5:5">
      <c r="E13623"/>
    </row>
    <row r="13624" spans="5:5">
      <c r="E13624"/>
    </row>
    <row r="13625" spans="5:5">
      <c r="E13625"/>
    </row>
    <row r="13626" spans="5:5">
      <c r="E13626"/>
    </row>
    <row r="13627" spans="5:5">
      <c r="E13627"/>
    </row>
    <row r="13628" spans="5:5">
      <c r="E13628"/>
    </row>
    <row r="13629" spans="5:5">
      <c r="E13629"/>
    </row>
    <row r="13630" spans="5:5">
      <c r="E13630"/>
    </row>
    <row r="13631" spans="5:5">
      <c r="E13631"/>
    </row>
    <row r="13632" spans="5:5">
      <c r="E13632"/>
    </row>
    <row r="13633" spans="5:5">
      <c r="E13633"/>
    </row>
    <row r="13634" spans="5:5">
      <c r="E13634"/>
    </row>
    <row r="13635" spans="5:5">
      <c r="E13635"/>
    </row>
    <row r="13636" spans="5:5">
      <c r="E13636"/>
    </row>
    <row r="13637" spans="5:5">
      <c r="E13637"/>
    </row>
    <row r="13638" spans="5:5">
      <c r="E13638"/>
    </row>
    <row r="13639" spans="5:5">
      <c r="E13639"/>
    </row>
    <row r="13640" spans="5:5">
      <c r="E13640"/>
    </row>
    <row r="13641" spans="5:5">
      <c r="E13641"/>
    </row>
    <row r="13642" spans="5:5">
      <c r="E13642"/>
    </row>
    <row r="13643" spans="5:5">
      <c r="E13643"/>
    </row>
    <row r="13644" spans="5:5">
      <c r="E13644"/>
    </row>
    <row r="13645" spans="5:5">
      <c r="E13645"/>
    </row>
    <row r="13646" spans="5:5">
      <c r="E13646"/>
    </row>
    <row r="13647" spans="5:5">
      <c r="E13647"/>
    </row>
    <row r="13648" spans="5:5">
      <c r="E13648"/>
    </row>
    <row r="13649" spans="5:5">
      <c r="E13649"/>
    </row>
    <row r="13650" spans="5:5">
      <c r="E13650"/>
    </row>
    <row r="13651" spans="5:5">
      <c r="E13651"/>
    </row>
    <row r="13652" spans="5:5">
      <c r="E13652"/>
    </row>
    <row r="13653" spans="5:5">
      <c r="E13653"/>
    </row>
    <row r="13654" spans="5:5">
      <c r="E13654"/>
    </row>
    <row r="13655" spans="5:5">
      <c r="E13655"/>
    </row>
    <row r="13656" spans="5:5">
      <c r="E13656"/>
    </row>
    <row r="13657" spans="5:5">
      <c r="E13657"/>
    </row>
    <row r="13658" spans="5:5">
      <c r="E13658"/>
    </row>
    <row r="13659" spans="5:5">
      <c r="E13659"/>
    </row>
    <row r="13660" spans="5:5">
      <c r="E13660"/>
    </row>
    <row r="13661" spans="5:5">
      <c r="E13661"/>
    </row>
    <row r="13662" spans="5:5">
      <c r="E13662"/>
    </row>
    <row r="13663" spans="5:5">
      <c r="E13663"/>
    </row>
    <row r="13664" spans="5:5">
      <c r="E13664"/>
    </row>
    <row r="13665" spans="5:5">
      <c r="E13665"/>
    </row>
    <row r="13666" spans="5:5">
      <c r="E13666"/>
    </row>
    <row r="13667" spans="5:5">
      <c r="E13667"/>
    </row>
    <row r="13668" spans="5:5">
      <c r="E13668"/>
    </row>
    <row r="13669" spans="5:5">
      <c r="E13669"/>
    </row>
    <row r="13670" spans="5:5">
      <c r="E13670"/>
    </row>
    <row r="13671" spans="5:5">
      <c r="E13671"/>
    </row>
    <row r="13672" spans="5:5">
      <c r="E13672"/>
    </row>
    <row r="13673" spans="5:5">
      <c r="E13673"/>
    </row>
    <row r="13674" spans="5:5">
      <c r="E13674"/>
    </row>
    <row r="13675" spans="5:5">
      <c r="E13675"/>
    </row>
    <row r="13676" spans="5:5">
      <c r="E13676"/>
    </row>
    <row r="13677" spans="5:5">
      <c r="E13677"/>
    </row>
    <row r="13678" spans="5:5">
      <c r="E13678"/>
    </row>
    <row r="13679" spans="5:5">
      <c r="E13679"/>
    </row>
    <row r="13680" spans="5:5">
      <c r="E13680"/>
    </row>
    <row r="13681" spans="5:5">
      <c r="E13681"/>
    </row>
    <row r="13682" spans="5:5">
      <c r="E13682"/>
    </row>
    <row r="13683" spans="5:5">
      <c r="E13683"/>
    </row>
    <row r="13684" spans="5:5">
      <c r="E13684"/>
    </row>
    <row r="13685" spans="5:5">
      <c r="E13685"/>
    </row>
    <row r="13686" spans="5:5">
      <c r="E13686"/>
    </row>
    <row r="13687" spans="5:5">
      <c r="E13687"/>
    </row>
    <row r="13688" spans="5:5">
      <c r="E13688"/>
    </row>
    <row r="13689" spans="5:5">
      <c r="E13689"/>
    </row>
    <row r="13690" spans="5:5">
      <c r="E13690"/>
    </row>
    <row r="13691" spans="5:5">
      <c r="E13691"/>
    </row>
    <row r="13692" spans="5:5">
      <c r="E13692"/>
    </row>
    <row r="13693" spans="5:5">
      <c r="E13693"/>
    </row>
    <row r="13694" spans="5:5">
      <c r="E13694"/>
    </row>
    <row r="13695" spans="5:5">
      <c r="E13695"/>
    </row>
    <row r="13696" spans="5:5">
      <c r="E13696"/>
    </row>
    <row r="13697" spans="5:5">
      <c r="E13697"/>
    </row>
    <row r="13698" spans="5:5">
      <c r="E13698"/>
    </row>
    <row r="13699" spans="5:5">
      <c r="E13699"/>
    </row>
    <row r="13700" spans="5:5">
      <c r="E13700"/>
    </row>
    <row r="13701" spans="5:5">
      <c r="E13701"/>
    </row>
    <row r="13702" spans="5:5">
      <c r="E13702"/>
    </row>
    <row r="13703" spans="5:5">
      <c r="E13703"/>
    </row>
    <row r="13704" spans="5:5">
      <c r="E13704"/>
    </row>
    <row r="13705" spans="5:5">
      <c r="E13705"/>
    </row>
    <row r="13706" spans="5:5">
      <c r="E13706"/>
    </row>
    <row r="13707" spans="5:5">
      <c r="E13707"/>
    </row>
    <row r="13708" spans="5:5">
      <c r="E13708"/>
    </row>
    <row r="13709" spans="5:5">
      <c r="E13709"/>
    </row>
    <row r="13710" spans="5:5">
      <c r="E13710"/>
    </row>
    <row r="13711" spans="5:5">
      <c r="E13711"/>
    </row>
    <row r="13712" spans="5:5">
      <c r="E13712"/>
    </row>
    <row r="13713" spans="5:5">
      <c r="E13713"/>
    </row>
    <row r="13714" spans="5:5">
      <c r="E13714"/>
    </row>
    <row r="13715" spans="5:5">
      <c r="E13715"/>
    </row>
    <row r="13716" spans="5:5">
      <c r="E13716"/>
    </row>
    <row r="13717" spans="5:5">
      <c r="E13717"/>
    </row>
    <row r="13718" spans="5:5">
      <c r="E13718"/>
    </row>
    <row r="13719" spans="5:5">
      <c r="E13719"/>
    </row>
    <row r="13720" spans="5:5">
      <c r="E13720"/>
    </row>
    <row r="13721" spans="5:5">
      <c r="E13721"/>
    </row>
    <row r="13722" spans="5:5">
      <c r="E13722"/>
    </row>
    <row r="13723" spans="5:5">
      <c r="E13723"/>
    </row>
    <row r="13724" spans="5:5">
      <c r="E13724"/>
    </row>
    <row r="13725" spans="5:5">
      <c r="E13725"/>
    </row>
    <row r="13726" spans="5:5">
      <c r="E13726"/>
    </row>
    <row r="13727" spans="5:5">
      <c r="E13727"/>
    </row>
    <row r="13728" spans="5:5">
      <c r="E13728"/>
    </row>
    <row r="13729" spans="5:5">
      <c r="E13729"/>
    </row>
    <row r="13730" spans="5:5">
      <c r="E13730"/>
    </row>
    <row r="13731" spans="5:5">
      <c r="E13731"/>
    </row>
    <row r="13732" spans="5:5">
      <c r="E13732"/>
    </row>
    <row r="13733" spans="5:5">
      <c r="E13733"/>
    </row>
    <row r="13734" spans="5:5">
      <c r="E13734"/>
    </row>
    <row r="13735" spans="5:5">
      <c r="E13735"/>
    </row>
    <row r="13736" spans="5:5">
      <c r="E13736"/>
    </row>
    <row r="13737" spans="5:5">
      <c r="E13737"/>
    </row>
    <row r="13738" spans="5:5">
      <c r="E13738"/>
    </row>
    <row r="13739" spans="5:5">
      <c r="E13739"/>
    </row>
    <row r="13740" spans="5:5">
      <c r="E13740"/>
    </row>
    <row r="13741" spans="5:5">
      <c r="E13741"/>
    </row>
    <row r="13742" spans="5:5">
      <c r="E13742"/>
    </row>
    <row r="13743" spans="5:5">
      <c r="E13743"/>
    </row>
    <row r="13744" spans="5:5">
      <c r="E13744"/>
    </row>
    <row r="13745" spans="5:5">
      <c r="E13745"/>
    </row>
    <row r="13746" spans="5:5">
      <c r="E13746"/>
    </row>
    <row r="13747" spans="5:5">
      <c r="E13747"/>
    </row>
    <row r="13748" spans="5:5">
      <c r="E13748"/>
    </row>
    <row r="13749" spans="5:5">
      <c r="E13749"/>
    </row>
    <row r="13750" spans="5:5">
      <c r="E13750"/>
    </row>
    <row r="13751" spans="5:5">
      <c r="E13751"/>
    </row>
    <row r="13752" spans="5:5">
      <c r="E13752"/>
    </row>
    <row r="13753" spans="5:5">
      <c r="E13753"/>
    </row>
    <row r="13754" spans="5:5">
      <c r="E13754"/>
    </row>
    <row r="13755" spans="5:5">
      <c r="E13755"/>
    </row>
    <row r="13756" spans="5:5">
      <c r="E13756"/>
    </row>
    <row r="13757" spans="5:5">
      <c r="E13757"/>
    </row>
    <row r="13758" spans="5:5">
      <c r="E13758"/>
    </row>
    <row r="13759" spans="5:5">
      <c r="E13759"/>
    </row>
    <row r="13760" spans="5:5">
      <c r="E13760"/>
    </row>
    <row r="13761" spans="5:5">
      <c r="E13761"/>
    </row>
    <row r="13762" spans="5:5">
      <c r="E13762"/>
    </row>
    <row r="13763" spans="5:5">
      <c r="E13763"/>
    </row>
    <row r="13764" spans="5:5">
      <c r="E13764"/>
    </row>
    <row r="13765" spans="5:5">
      <c r="E13765"/>
    </row>
    <row r="13766" spans="5:5">
      <c r="E13766"/>
    </row>
    <row r="13767" spans="5:5">
      <c r="E13767"/>
    </row>
    <row r="13768" spans="5:5">
      <c r="E13768"/>
    </row>
    <row r="13769" spans="5:5">
      <c r="E13769"/>
    </row>
    <row r="13770" spans="5:5">
      <c r="E13770"/>
    </row>
    <row r="13771" spans="5:5">
      <c r="E13771"/>
    </row>
    <row r="13772" spans="5:5">
      <c r="E13772"/>
    </row>
    <row r="13773" spans="5:5">
      <c r="E13773"/>
    </row>
    <row r="13774" spans="5:5">
      <c r="E13774"/>
    </row>
    <row r="13775" spans="5:5">
      <c r="E13775"/>
    </row>
    <row r="13776" spans="5:5">
      <c r="E13776"/>
    </row>
    <row r="13777" spans="5:5">
      <c r="E13777"/>
    </row>
    <row r="13778" spans="5:5">
      <c r="E13778"/>
    </row>
    <row r="13779" spans="5:5">
      <c r="E13779"/>
    </row>
    <row r="13780" spans="5:5">
      <c r="E13780"/>
    </row>
    <row r="13781" spans="5:5">
      <c r="E13781"/>
    </row>
    <row r="13782" spans="5:5">
      <c r="E13782"/>
    </row>
    <row r="13783" spans="5:5">
      <c r="E13783"/>
    </row>
    <row r="13784" spans="5:5">
      <c r="E13784"/>
    </row>
    <row r="13785" spans="5:5">
      <c r="E13785"/>
    </row>
    <row r="13786" spans="5:5">
      <c r="E13786"/>
    </row>
    <row r="13787" spans="5:5">
      <c r="E13787"/>
    </row>
    <row r="13788" spans="5:5">
      <c r="E13788"/>
    </row>
    <row r="13789" spans="5:5">
      <c r="E13789"/>
    </row>
    <row r="13790" spans="5:5">
      <c r="E13790"/>
    </row>
    <row r="13791" spans="5:5">
      <c r="E13791"/>
    </row>
    <row r="13792" spans="5:5">
      <c r="E13792"/>
    </row>
    <row r="13793" spans="5:5">
      <c r="E13793"/>
    </row>
    <row r="13794" spans="5:5">
      <c r="E13794"/>
    </row>
    <row r="13795" spans="5:5">
      <c r="E13795"/>
    </row>
    <row r="13796" spans="5:5">
      <c r="E13796"/>
    </row>
    <row r="13797" spans="5:5">
      <c r="E13797"/>
    </row>
    <row r="13798" spans="5:5">
      <c r="E13798"/>
    </row>
    <row r="13799" spans="5:5">
      <c r="E13799"/>
    </row>
    <row r="13800" spans="5:5">
      <c r="E13800"/>
    </row>
    <row r="13801" spans="5:5">
      <c r="E13801"/>
    </row>
    <row r="13802" spans="5:5">
      <c r="E13802"/>
    </row>
    <row r="13803" spans="5:5">
      <c r="E13803"/>
    </row>
    <row r="13804" spans="5:5">
      <c r="E13804"/>
    </row>
    <row r="13805" spans="5:5">
      <c r="E13805"/>
    </row>
    <row r="13806" spans="5:5">
      <c r="E13806"/>
    </row>
    <row r="13807" spans="5:5">
      <c r="E13807"/>
    </row>
    <row r="13808" spans="5:5">
      <c r="E13808"/>
    </row>
    <row r="13809" spans="5:5">
      <c r="E13809"/>
    </row>
    <row r="13810" spans="5:5">
      <c r="E13810"/>
    </row>
    <row r="13811" spans="5:5">
      <c r="E13811"/>
    </row>
    <row r="13812" spans="5:5">
      <c r="E13812"/>
    </row>
    <row r="13813" spans="5:5">
      <c r="E13813"/>
    </row>
    <row r="13814" spans="5:5">
      <c r="E13814"/>
    </row>
    <row r="13815" spans="5:5">
      <c r="E13815"/>
    </row>
    <row r="13816" spans="5:5">
      <c r="E13816"/>
    </row>
    <row r="13817" spans="5:5">
      <c r="E13817"/>
    </row>
    <row r="13818" spans="5:5">
      <c r="E13818"/>
    </row>
    <row r="13819" spans="5:5">
      <c r="E13819"/>
    </row>
    <row r="13820" spans="5:5">
      <c r="E13820"/>
    </row>
    <row r="13821" spans="5:5">
      <c r="E13821"/>
    </row>
    <row r="13822" spans="5:5">
      <c r="E13822"/>
    </row>
    <row r="13823" spans="5:5">
      <c r="E13823"/>
    </row>
    <row r="13824" spans="5:5">
      <c r="E13824"/>
    </row>
    <row r="13825" spans="5:5">
      <c r="E13825"/>
    </row>
    <row r="13826" spans="5:5">
      <c r="E13826"/>
    </row>
    <row r="13827" spans="5:5">
      <c r="E13827"/>
    </row>
    <row r="13828" spans="5:5">
      <c r="E13828"/>
    </row>
    <row r="13829" spans="5:5">
      <c r="E13829"/>
    </row>
    <row r="13830" spans="5:5">
      <c r="E13830"/>
    </row>
    <row r="13831" spans="5:5">
      <c r="E13831"/>
    </row>
    <row r="13832" spans="5:5">
      <c r="E13832"/>
    </row>
    <row r="13833" spans="5:5">
      <c r="E13833"/>
    </row>
    <row r="13834" spans="5:5">
      <c r="E13834"/>
    </row>
    <row r="13835" spans="5:5">
      <c r="E13835"/>
    </row>
    <row r="13836" spans="5:5">
      <c r="E13836"/>
    </row>
    <row r="13837" spans="5:5">
      <c r="E13837"/>
    </row>
    <row r="13838" spans="5:5">
      <c r="E13838"/>
    </row>
    <row r="13839" spans="5:5">
      <c r="E13839"/>
    </row>
    <row r="13840" spans="5:5">
      <c r="E13840"/>
    </row>
    <row r="13841" spans="5:5">
      <c r="E13841"/>
    </row>
    <row r="13842" spans="5:5">
      <c r="E13842"/>
    </row>
    <row r="13843" spans="5:5">
      <c r="E13843"/>
    </row>
    <row r="13844" spans="5:5">
      <c r="E13844"/>
    </row>
    <row r="13845" spans="5:5">
      <c r="E13845"/>
    </row>
    <row r="13846" spans="5:5">
      <c r="E13846"/>
    </row>
    <row r="13847" spans="5:5">
      <c r="E13847"/>
    </row>
    <row r="13848" spans="5:5">
      <c r="E13848"/>
    </row>
    <row r="13849" spans="5:5">
      <c r="E13849"/>
    </row>
    <row r="13850" spans="5:5">
      <c r="E13850"/>
    </row>
    <row r="13851" spans="5:5">
      <c r="E13851"/>
    </row>
    <row r="13852" spans="5:5">
      <c r="E13852"/>
    </row>
    <row r="13853" spans="5:5">
      <c r="E13853"/>
    </row>
    <row r="13854" spans="5:5">
      <c r="E13854"/>
    </row>
    <row r="13855" spans="5:5">
      <c r="E13855"/>
    </row>
    <row r="13856" spans="5:5">
      <c r="E13856"/>
    </row>
    <row r="13857" spans="5:5">
      <c r="E13857"/>
    </row>
    <row r="13858" spans="5:5">
      <c r="E13858"/>
    </row>
    <row r="13859" spans="5:5">
      <c r="E13859"/>
    </row>
    <row r="13860" spans="5:5">
      <c r="E13860"/>
    </row>
    <row r="13861" spans="5:5">
      <c r="E13861"/>
    </row>
    <row r="13862" spans="5:5">
      <c r="E13862"/>
    </row>
    <row r="13863" spans="5:5">
      <c r="E13863"/>
    </row>
    <row r="13864" spans="5:5">
      <c r="E13864"/>
    </row>
    <row r="13865" spans="5:5">
      <c r="E13865"/>
    </row>
    <row r="13866" spans="5:5">
      <c r="E13866"/>
    </row>
    <row r="13867" spans="5:5">
      <c r="E13867"/>
    </row>
    <row r="13868" spans="5:5">
      <c r="E13868"/>
    </row>
    <row r="13869" spans="5:5">
      <c r="E13869"/>
    </row>
    <row r="13870" spans="5:5">
      <c r="E13870"/>
    </row>
    <row r="13871" spans="5:5">
      <c r="E13871"/>
    </row>
    <row r="13872" spans="5:5">
      <c r="E13872"/>
    </row>
    <row r="13873" spans="5:5">
      <c r="E13873"/>
    </row>
    <row r="13874" spans="5:5">
      <c r="E13874"/>
    </row>
    <row r="13875" spans="5:5">
      <c r="E13875"/>
    </row>
    <row r="13876" spans="5:5">
      <c r="E13876"/>
    </row>
    <row r="13877" spans="5:5">
      <c r="E13877"/>
    </row>
    <row r="13878" spans="5:5">
      <c r="E13878"/>
    </row>
    <row r="13879" spans="5:5">
      <c r="E13879"/>
    </row>
    <row r="13880" spans="5:5">
      <c r="E13880"/>
    </row>
    <row r="13881" spans="5:5">
      <c r="E13881"/>
    </row>
    <row r="13882" spans="5:5">
      <c r="E13882"/>
    </row>
    <row r="13883" spans="5:5">
      <c r="E13883"/>
    </row>
    <row r="13884" spans="5:5">
      <c r="E13884"/>
    </row>
    <row r="13885" spans="5:5">
      <c r="E13885"/>
    </row>
    <row r="13886" spans="5:5">
      <c r="E13886"/>
    </row>
    <row r="13887" spans="5:5">
      <c r="E13887"/>
    </row>
    <row r="13888" spans="5:5">
      <c r="E13888"/>
    </row>
    <row r="13889" spans="5:5">
      <c r="E13889"/>
    </row>
    <row r="13890" spans="5:5">
      <c r="E13890"/>
    </row>
    <row r="13891" spans="5:5">
      <c r="E13891"/>
    </row>
    <row r="13892" spans="5:5">
      <c r="E13892"/>
    </row>
    <row r="13893" spans="5:5">
      <c r="E13893"/>
    </row>
    <row r="13894" spans="5:5">
      <c r="E13894"/>
    </row>
    <row r="13895" spans="5:5">
      <c r="E13895"/>
    </row>
    <row r="13896" spans="5:5">
      <c r="E13896"/>
    </row>
    <row r="13897" spans="5:5">
      <c r="E13897"/>
    </row>
    <row r="13898" spans="5:5">
      <c r="E13898"/>
    </row>
    <row r="13899" spans="5:5">
      <c r="E13899"/>
    </row>
    <row r="13900" spans="5:5">
      <c r="E13900"/>
    </row>
    <row r="13901" spans="5:5">
      <c r="E13901"/>
    </row>
    <row r="13902" spans="5:5">
      <c r="E13902"/>
    </row>
    <row r="13903" spans="5:5">
      <c r="E13903"/>
    </row>
    <row r="13904" spans="5:5">
      <c r="E13904"/>
    </row>
    <row r="13905" spans="5:5">
      <c r="E13905"/>
    </row>
    <row r="13906" spans="5:5">
      <c r="E13906"/>
    </row>
    <row r="13907" spans="5:5">
      <c r="E13907"/>
    </row>
    <row r="13908" spans="5:5">
      <c r="E13908"/>
    </row>
    <row r="13909" spans="5:5">
      <c r="E13909"/>
    </row>
    <row r="13910" spans="5:5">
      <c r="E13910"/>
    </row>
    <row r="13911" spans="5:5">
      <c r="E13911"/>
    </row>
    <row r="13912" spans="5:5">
      <c r="E13912"/>
    </row>
    <row r="13913" spans="5:5">
      <c r="E13913"/>
    </row>
    <row r="13914" spans="5:5">
      <c r="E13914"/>
    </row>
    <row r="13915" spans="5:5">
      <c r="E13915"/>
    </row>
    <row r="13916" spans="5:5">
      <c r="E13916"/>
    </row>
    <row r="13917" spans="5:5">
      <c r="E13917"/>
    </row>
    <row r="13918" spans="5:5">
      <c r="E13918"/>
    </row>
    <row r="13919" spans="5:5">
      <c r="E13919"/>
    </row>
    <row r="13920" spans="5:5">
      <c r="E13920"/>
    </row>
    <row r="13921" spans="5:5">
      <c r="E13921"/>
    </row>
    <row r="13922" spans="5:5">
      <c r="E13922"/>
    </row>
    <row r="13923" spans="5:5">
      <c r="E13923"/>
    </row>
    <row r="13924" spans="5:5">
      <c r="E13924"/>
    </row>
    <row r="13925" spans="5:5">
      <c r="E13925"/>
    </row>
    <row r="13926" spans="5:5">
      <c r="E13926"/>
    </row>
    <row r="13927" spans="5:5">
      <c r="E13927"/>
    </row>
    <row r="13928" spans="5:5">
      <c r="E13928"/>
    </row>
    <row r="13929" spans="5:5">
      <c r="E13929"/>
    </row>
    <row r="13930" spans="5:5">
      <c r="E13930"/>
    </row>
    <row r="13931" spans="5:5">
      <c r="E13931"/>
    </row>
    <row r="13932" spans="5:5">
      <c r="E13932"/>
    </row>
    <row r="13933" spans="5:5">
      <c r="E13933"/>
    </row>
    <row r="13934" spans="5:5">
      <c r="E13934"/>
    </row>
    <row r="13935" spans="5:5">
      <c r="E13935"/>
    </row>
    <row r="13936" spans="5:5">
      <c r="E13936"/>
    </row>
    <row r="13937" spans="5:5">
      <c r="E13937"/>
    </row>
    <row r="13938" spans="5:5">
      <c r="E13938"/>
    </row>
    <row r="13939" spans="5:5">
      <c r="E13939"/>
    </row>
    <row r="13940" spans="5:5">
      <c r="E13940"/>
    </row>
    <row r="13941" spans="5:5">
      <c r="E13941"/>
    </row>
    <row r="13942" spans="5:5">
      <c r="E13942"/>
    </row>
    <row r="13943" spans="5:5">
      <c r="E13943"/>
    </row>
    <row r="13944" spans="5:5">
      <c r="E13944"/>
    </row>
    <row r="13945" spans="5:5">
      <c r="E13945"/>
    </row>
    <row r="13946" spans="5:5">
      <c r="E13946"/>
    </row>
    <row r="13947" spans="5:5">
      <c r="E13947"/>
    </row>
    <row r="13948" spans="5:5">
      <c r="E13948"/>
    </row>
    <row r="13949" spans="5:5">
      <c r="E13949"/>
    </row>
    <row r="13950" spans="5:5">
      <c r="E13950"/>
    </row>
    <row r="13951" spans="5:5">
      <c r="E13951"/>
    </row>
    <row r="13952" spans="5:5">
      <c r="E13952"/>
    </row>
    <row r="13953" spans="5:5">
      <c r="E13953"/>
    </row>
    <row r="13954" spans="5:5">
      <c r="E13954"/>
    </row>
    <row r="13955" spans="5:5">
      <c r="E13955"/>
    </row>
    <row r="13956" spans="5:5">
      <c r="E13956"/>
    </row>
    <row r="13957" spans="5:5">
      <c r="E13957"/>
    </row>
    <row r="13958" spans="5:5">
      <c r="E13958"/>
    </row>
    <row r="13959" spans="5:5">
      <c r="E13959"/>
    </row>
    <row r="13960" spans="5:5">
      <c r="E13960"/>
    </row>
    <row r="13961" spans="5:5">
      <c r="E13961"/>
    </row>
    <row r="13962" spans="5:5">
      <c r="E13962"/>
    </row>
    <row r="13963" spans="5:5">
      <c r="E13963"/>
    </row>
    <row r="13964" spans="5:5">
      <c r="E13964"/>
    </row>
    <row r="13965" spans="5:5">
      <c r="E13965"/>
    </row>
    <row r="13966" spans="5:5">
      <c r="E13966"/>
    </row>
    <row r="13967" spans="5:5">
      <c r="E13967"/>
    </row>
    <row r="13968" spans="5:5">
      <c r="E13968"/>
    </row>
    <row r="13969" spans="5:5">
      <c r="E13969"/>
    </row>
    <row r="13970" spans="5:5">
      <c r="E13970"/>
    </row>
    <row r="13971" spans="5:5">
      <c r="E13971"/>
    </row>
    <row r="13972" spans="5:5">
      <c r="E13972"/>
    </row>
    <row r="13973" spans="5:5">
      <c r="E13973"/>
    </row>
    <row r="13974" spans="5:5">
      <c r="E13974"/>
    </row>
    <row r="13975" spans="5:5">
      <c r="E13975"/>
    </row>
    <row r="13976" spans="5:5">
      <c r="E13976"/>
    </row>
    <row r="13977" spans="5:5">
      <c r="E13977"/>
    </row>
    <row r="13978" spans="5:5">
      <c r="E13978"/>
    </row>
    <row r="13979" spans="5:5">
      <c r="E13979"/>
    </row>
    <row r="13980" spans="5:5">
      <c r="E13980"/>
    </row>
    <row r="13981" spans="5:5">
      <c r="E13981"/>
    </row>
    <row r="13982" spans="5:5">
      <c r="E13982"/>
    </row>
    <row r="13983" spans="5:5">
      <c r="E13983"/>
    </row>
    <row r="13984" spans="5:5">
      <c r="E13984"/>
    </row>
    <row r="13985" spans="5:5">
      <c r="E13985"/>
    </row>
    <row r="13986" spans="5:5">
      <c r="E13986"/>
    </row>
    <row r="13987" spans="5:5">
      <c r="E13987"/>
    </row>
    <row r="13988" spans="5:5">
      <c r="E13988"/>
    </row>
    <row r="13989" spans="5:5">
      <c r="E13989"/>
    </row>
    <row r="13990" spans="5:5">
      <c r="E13990"/>
    </row>
    <row r="13991" spans="5:5">
      <c r="E13991"/>
    </row>
    <row r="13992" spans="5:5">
      <c r="E13992"/>
    </row>
    <row r="13993" spans="5:5">
      <c r="E13993"/>
    </row>
    <row r="13994" spans="5:5">
      <c r="E13994"/>
    </row>
    <row r="13995" spans="5:5">
      <c r="E13995"/>
    </row>
    <row r="13996" spans="5:5">
      <c r="E13996"/>
    </row>
    <row r="13997" spans="5:5">
      <c r="E13997"/>
    </row>
    <row r="13998" spans="5:5">
      <c r="E13998"/>
    </row>
    <row r="13999" spans="5:5">
      <c r="E13999"/>
    </row>
    <row r="14000" spans="5:5">
      <c r="E14000"/>
    </row>
    <row r="14001" spans="5:5">
      <c r="E14001"/>
    </row>
    <row r="14002" spans="5:5">
      <c r="E14002"/>
    </row>
    <row r="14003" spans="5:5">
      <c r="E14003"/>
    </row>
    <row r="14004" spans="5:5">
      <c r="E14004"/>
    </row>
    <row r="14005" spans="5:5">
      <c r="E14005"/>
    </row>
    <row r="14006" spans="5:5">
      <c r="E14006"/>
    </row>
    <row r="14007" spans="5:5">
      <c r="E14007"/>
    </row>
    <row r="14008" spans="5:5">
      <c r="E14008"/>
    </row>
    <row r="14009" spans="5:5">
      <c r="E14009"/>
    </row>
    <row r="14010" spans="5:5">
      <c r="E14010"/>
    </row>
    <row r="14011" spans="5:5">
      <c r="E14011"/>
    </row>
    <row r="14012" spans="5:5">
      <c r="E14012"/>
    </row>
    <row r="14013" spans="5:5">
      <c r="E14013"/>
    </row>
    <row r="14014" spans="5:5">
      <c r="E14014"/>
    </row>
    <row r="14015" spans="5:5">
      <c r="E14015"/>
    </row>
    <row r="14016" spans="5:5">
      <c r="E14016"/>
    </row>
    <row r="14017" spans="5:5">
      <c r="E14017"/>
    </row>
    <row r="14018" spans="5:5">
      <c r="E14018"/>
    </row>
    <row r="14019" spans="5:5">
      <c r="E14019"/>
    </row>
    <row r="14020" spans="5:5">
      <c r="E14020"/>
    </row>
    <row r="14021" spans="5:5">
      <c r="E14021"/>
    </row>
    <row r="14022" spans="5:5">
      <c r="E14022"/>
    </row>
    <row r="14023" spans="5:5">
      <c r="E14023"/>
    </row>
    <row r="14024" spans="5:5">
      <c r="E14024"/>
    </row>
    <row r="14025" spans="5:5">
      <c r="E14025"/>
    </row>
    <row r="14026" spans="5:5">
      <c r="E14026"/>
    </row>
    <row r="14027" spans="5:5">
      <c r="E14027"/>
    </row>
    <row r="14028" spans="5:5">
      <c r="E14028"/>
    </row>
    <row r="14029" spans="5:5">
      <c r="E14029"/>
    </row>
    <row r="14030" spans="5:5">
      <c r="E14030"/>
    </row>
    <row r="14031" spans="5:5">
      <c r="E14031"/>
    </row>
    <row r="14032" spans="5:5">
      <c r="E14032"/>
    </row>
    <row r="14033" spans="5:5">
      <c r="E14033"/>
    </row>
    <row r="14034" spans="5:5">
      <c r="E14034"/>
    </row>
    <row r="14035" spans="5:5">
      <c r="E14035"/>
    </row>
    <row r="14036" spans="5:5">
      <c r="E14036"/>
    </row>
    <row r="14037" spans="5:5">
      <c r="E14037"/>
    </row>
    <row r="14038" spans="5:5">
      <c r="E14038"/>
    </row>
    <row r="14039" spans="5:5">
      <c r="E14039"/>
    </row>
    <row r="14040" spans="5:5">
      <c r="E14040"/>
    </row>
    <row r="14041" spans="5:5">
      <c r="E14041"/>
    </row>
    <row r="14042" spans="5:5">
      <c r="E14042"/>
    </row>
    <row r="14043" spans="5:5">
      <c r="E14043"/>
    </row>
    <row r="14044" spans="5:5">
      <c r="E14044"/>
    </row>
    <row r="14045" spans="5:5">
      <c r="E14045"/>
    </row>
    <row r="14046" spans="5:5">
      <c r="E14046"/>
    </row>
    <row r="14047" spans="5:5">
      <c r="E14047"/>
    </row>
    <row r="14048" spans="5:5">
      <c r="E14048"/>
    </row>
    <row r="14049" spans="5:5">
      <c r="E14049"/>
    </row>
    <row r="14050" spans="5:5">
      <c r="E14050"/>
    </row>
    <row r="14051" spans="5:5">
      <c r="E14051"/>
    </row>
    <row r="14052" spans="5:5">
      <c r="E14052"/>
    </row>
    <row r="14053" spans="5:5">
      <c r="E14053"/>
    </row>
    <row r="14054" spans="5:5">
      <c r="E14054"/>
    </row>
    <row r="14055" spans="5:5">
      <c r="E14055"/>
    </row>
    <row r="14056" spans="5:5">
      <c r="E14056"/>
    </row>
    <row r="14057" spans="5:5">
      <c r="E14057"/>
    </row>
    <row r="14058" spans="5:5">
      <c r="E14058"/>
    </row>
    <row r="14059" spans="5:5">
      <c r="E14059"/>
    </row>
    <row r="14060" spans="5:5">
      <c r="E14060"/>
    </row>
    <row r="14061" spans="5:5">
      <c r="E14061"/>
    </row>
    <row r="14062" spans="5:5">
      <c r="E14062"/>
    </row>
    <row r="14063" spans="5:5">
      <c r="E14063"/>
    </row>
    <row r="14064" spans="5:5">
      <c r="E14064"/>
    </row>
    <row r="14065" spans="5:5">
      <c r="E14065"/>
    </row>
    <row r="14066" spans="5:5">
      <c r="E14066"/>
    </row>
    <row r="14067" spans="5:5">
      <c r="E14067"/>
    </row>
    <row r="14068" spans="5:5">
      <c r="E14068"/>
    </row>
    <row r="14069" spans="5:5">
      <c r="E14069"/>
    </row>
    <row r="14070" spans="5:5">
      <c r="E14070"/>
    </row>
    <row r="14071" spans="5:5">
      <c r="E14071"/>
    </row>
    <row r="14072" spans="5:5">
      <c r="E14072"/>
    </row>
    <row r="14073" spans="5:5">
      <c r="E14073"/>
    </row>
    <row r="14074" spans="5:5">
      <c r="E14074"/>
    </row>
    <row r="14075" spans="5:5">
      <c r="E14075"/>
    </row>
    <row r="14076" spans="5:5">
      <c r="E14076"/>
    </row>
    <row r="14077" spans="5:5">
      <c r="E14077"/>
    </row>
    <row r="14078" spans="5:5">
      <c r="E14078"/>
    </row>
    <row r="14079" spans="5:5">
      <c r="E14079"/>
    </row>
    <row r="14080" spans="5:5">
      <c r="E14080"/>
    </row>
    <row r="14081" spans="5:5">
      <c r="E14081"/>
    </row>
    <row r="14082" spans="5:5">
      <c r="E14082"/>
    </row>
    <row r="14083" spans="5:5">
      <c r="E14083"/>
    </row>
    <row r="14084" spans="5:5">
      <c r="E14084"/>
    </row>
    <row r="14085" spans="5:5">
      <c r="E14085"/>
    </row>
    <row r="14086" spans="5:5">
      <c r="E14086"/>
    </row>
    <row r="14087" spans="5:5">
      <c r="E14087"/>
    </row>
    <row r="14088" spans="5:5">
      <c r="E14088"/>
    </row>
    <row r="14089" spans="5:5">
      <c r="E14089"/>
    </row>
    <row r="14090" spans="5:5">
      <c r="E14090"/>
    </row>
    <row r="14091" spans="5:5">
      <c r="E14091"/>
    </row>
    <row r="14092" spans="5:5">
      <c r="E14092"/>
    </row>
    <row r="14093" spans="5:5">
      <c r="E14093"/>
    </row>
    <row r="14094" spans="5:5">
      <c r="E14094"/>
    </row>
    <row r="14095" spans="5:5">
      <c r="E14095"/>
    </row>
    <row r="14096" spans="5:5">
      <c r="E14096"/>
    </row>
    <row r="14097" spans="5:5">
      <c r="E14097"/>
    </row>
    <row r="14098" spans="5:5">
      <c r="E14098"/>
    </row>
    <row r="14099" spans="5:5">
      <c r="E14099"/>
    </row>
    <row r="14100" spans="5:5">
      <c r="E14100"/>
    </row>
    <row r="14101" spans="5:5">
      <c r="E14101"/>
    </row>
    <row r="14102" spans="5:5">
      <c r="E14102"/>
    </row>
    <row r="14103" spans="5:5">
      <c r="E14103"/>
    </row>
    <row r="14104" spans="5:5">
      <c r="E14104"/>
    </row>
    <row r="14105" spans="5:5">
      <c r="E14105"/>
    </row>
    <row r="14106" spans="5:5">
      <c r="E14106"/>
    </row>
    <row r="14107" spans="5:5">
      <c r="E14107"/>
    </row>
    <row r="14108" spans="5:5">
      <c r="E14108"/>
    </row>
    <row r="14109" spans="5:5">
      <c r="E14109"/>
    </row>
    <row r="14110" spans="5:5">
      <c r="E14110"/>
    </row>
    <row r="14111" spans="5:5">
      <c r="E14111"/>
    </row>
    <row r="14112" spans="5:5">
      <c r="E14112"/>
    </row>
    <row r="14113" spans="5:5">
      <c r="E14113"/>
    </row>
    <row r="14114" spans="5:5">
      <c r="E14114"/>
    </row>
    <row r="14115" spans="5:5">
      <c r="E14115"/>
    </row>
    <row r="14116" spans="5:5">
      <c r="E14116"/>
    </row>
    <row r="14117" spans="5:5">
      <c r="E14117"/>
    </row>
    <row r="14118" spans="5:5">
      <c r="E14118"/>
    </row>
    <row r="14119" spans="5:5">
      <c r="E14119"/>
    </row>
    <row r="14120" spans="5:5">
      <c r="E14120"/>
    </row>
    <row r="14121" spans="5:5">
      <c r="E14121"/>
    </row>
    <row r="14122" spans="5:5">
      <c r="E14122"/>
    </row>
    <row r="14123" spans="5:5">
      <c r="E14123"/>
    </row>
    <row r="14124" spans="5:5">
      <c r="E14124"/>
    </row>
    <row r="14125" spans="5:5">
      <c r="E14125"/>
    </row>
    <row r="14126" spans="5:5">
      <c r="E14126"/>
    </row>
    <row r="14127" spans="5:5">
      <c r="E14127"/>
    </row>
    <row r="14128" spans="5:5">
      <c r="E14128"/>
    </row>
    <row r="14129" spans="5:5">
      <c r="E14129"/>
    </row>
    <row r="14130" spans="5:5">
      <c r="E14130"/>
    </row>
    <row r="14131" spans="5:5">
      <c r="E14131"/>
    </row>
    <row r="14132" spans="5:5">
      <c r="E14132"/>
    </row>
    <row r="14133" spans="5:5">
      <c r="E14133"/>
    </row>
    <row r="14134" spans="5:5">
      <c r="E14134"/>
    </row>
    <row r="14135" spans="5:5">
      <c r="E14135"/>
    </row>
    <row r="14136" spans="5:5">
      <c r="E14136"/>
    </row>
    <row r="14137" spans="5:5">
      <c r="E14137"/>
    </row>
    <row r="14138" spans="5:5">
      <c r="E14138"/>
    </row>
    <row r="14139" spans="5:5">
      <c r="E14139"/>
    </row>
    <row r="14140" spans="5:5">
      <c r="E14140"/>
    </row>
    <row r="14141" spans="5:5">
      <c r="E14141"/>
    </row>
    <row r="14142" spans="5:5">
      <c r="E14142"/>
    </row>
    <row r="14143" spans="5:5">
      <c r="E14143"/>
    </row>
    <row r="14144" spans="5:5">
      <c r="E14144"/>
    </row>
    <row r="14145" spans="5:5">
      <c r="E14145"/>
    </row>
    <row r="14146" spans="5:5">
      <c r="E14146"/>
    </row>
    <row r="14147" spans="5:5">
      <c r="E14147"/>
    </row>
    <row r="14148" spans="5:5">
      <c r="E14148"/>
    </row>
    <row r="14149" spans="5:5">
      <c r="E14149"/>
    </row>
    <row r="14150" spans="5:5">
      <c r="E14150"/>
    </row>
    <row r="14151" spans="5:5">
      <c r="E14151"/>
    </row>
    <row r="14152" spans="5:5">
      <c r="E14152"/>
    </row>
    <row r="14153" spans="5:5">
      <c r="E14153"/>
    </row>
    <row r="14154" spans="5:5">
      <c r="E14154"/>
    </row>
    <row r="14155" spans="5:5">
      <c r="E14155"/>
    </row>
    <row r="14156" spans="5:5">
      <c r="E14156"/>
    </row>
    <row r="14157" spans="5:5">
      <c r="E14157"/>
    </row>
    <row r="14158" spans="5:5">
      <c r="E14158"/>
    </row>
    <row r="14159" spans="5:5">
      <c r="E14159"/>
    </row>
    <row r="14160" spans="5:5">
      <c r="E14160"/>
    </row>
    <row r="14161" spans="5:5">
      <c r="E14161"/>
    </row>
    <row r="14162" spans="5:5">
      <c r="E14162"/>
    </row>
    <row r="14163" spans="5:5">
      <c r="E14163"/>
    </row>
    <row r="14164" spans="5:5">
      <c r="E14164"/>
    </row>
    <row r="14165" spans="5:5">
      <c r="E14165"/>
    </row>
    <row r="14166" spans="5:5">
      <c r="E14166"/>
    </row>
    <row r="14167" spans="5:5">
      <c r="E14167"/>
    </row>
    <row r="14168" spans="5:5">
      <c r="E14168"/>
    </row>
    <row r="14169" spans="5:5">
      <c r="E14169"/>
    </row>
    <row r="14170" spans="5:5">
      <c r="E14170"/>
    </row>
    <row r="14171" spans="5:5">
      <c r="E14171"/>
    </row>
    <row r="14172" spans="5:5">
      <c r="E14172"/>
    </row>
    <row r="14173" spans="5:5">
      <c r="E14173"/>
    </row>
    <row r="14174" spans="5:5">
      <c r="E14174"/>
    </row>
    <row r="14175" spans="5:5">
      <c r="E14175"/>
    </row>
    <row r="14176" spans="5:5">
      <c r="E14176"/>
    </row>
    <row r="14177" spans="5:5">
      <c r="E14177"/>
    </row>
    <row r="14178" spans="5:5">
      <c r="E14178"/>
    </row>
    <row r="14179" spans="5:5">
      <c r="E14179"/>
    </row>
    <row r="14180" spans="5:5">
      <c r="E14180"/>
    </row>
    <row r="14181" spans="5:5">
      <c r="E14181"/>
    </row>
    <row r="14182" spans="5:5">
      <c r="E14182"/>
    </row>
    <row r="14183" spans="5:5">
      <c r="E14183"/>
    </row>
    <row r="14184" spans="5:5">
      <c r="E14184"/>
    </row>
    <row r="14185" spans="5:5">
      <c r="E14185"/>
    </row>
    <row r="14186" spans="5:5">
      <c r="E14186"/>
    </row>
    <row r="14187" spans="5:5">
      <c r="E14187"/>
    </row>
    <row r="14188" spans="5:5">
      <c r="E14188"/>
    </row>
    <row r="14189" spans="5:5">
      <c r="E14189"/>
    </row>
    <row r="14190" spans="5:5">
      <c r="E14190"/>
    </row>
    <row r="14191" spans="5:5">
      <c r="E14191"/>
    </row>
    <row r="14192" spans="5:5">
      <c r="E14192"/>
    </row>
    <row r="14193" spans="5:5">
      <c r="E14193"/>
    </row>
    <row r="14194" spans="5:5">
      <c r="E14194"/>
    </row>
    <row r="14195" spans="5:5">
      <c r="E14195"/>
    </row>
    <row r="14196" spans="5:5">
      <c r="E14196"/>
    </row>
    <row r="14197" spans="5:5">
      <c r="E14197"/>
    </row>
    <row r="14198" spans="5:5">
      <c r="E14198"/>
    </row>
    <row r="14199" spans="5:5">
      <c r="E14199"/>
    </row>
    <row r="14200" spans="5:5">
      <c r="E14200"/>
    </row>
    <row r="14201" spans="5:5">
      <c r="E14201"/>
    </row>
    <row r="14202" spans="5:5">
      <c r="E14202"/>
    </row>
    <row r="14203" spans="5:5">
      <c r="E14203"/>
    </row>
    <row r="14204" spans="5:5">
      <c r="E14204"/>
    </row>
    <row r="14205" spans="5:5">
      <c r="E14205"/>
    </row>
    <row r="14206" spans="5:5">
      <c r="E14206"/>
    </row>
    <row r="14207" spans="5:5">
      <c r="E14207"/>
    </row>
    <row r="14208" spans="5:5">
      <c r="E14208"/>
    </row>
    <row r="14209" spans="5:5">
      <c r="E14209"/>
    </row>
    <row r="14210" spans="5:5">
      <c r="E14210"/>
    </row>
    <row r="14211" spans="5:5">
      <c r="E14211"/>
    </row>
    <row r="14212" spans="5:5">
      <c r="E14212"/>
    </row>
    <row r="14213" spans="5:5">
      <c r="E14213"/>
    </row>
    <row r="14214" spans="5:5">
      <c r="E14214"/>
    </row>
    <row r="14215" spans="5:5">
      <c r="E14215"/>
    </row>
    <row r="14216" spans="5:5">
      <c r="E14216"/>
    </row>
    <row r="14217" spans="5:5">
      <c r="E14217"/>
    </row>
    <row r="14218" spans="5:5">
      <c r="E14218"/>
    </row>
    <row r="14219" spans="5:5">
      <c r="E14219"/>
    </row>
    <row r="14220" spans="5:5">
      <c r="E14220"/>
    </row>
    <row r="14221" spans="5:5">
      <c r="E14221"/>
    </row>
    <row r="14222" spans="5:5">
      <c r="E14222"/>
    </row>
    <row r="14223" spans="5:5">
      <c r="E14223"/>
    </row>
    <row r="14224" spans="5:5">
      <c r="E14224"/>
    </row>
    <row r="14225" spans="5:5">
      <c r="E14225"/>
    </row>
    <row r="14226" spans="5:5">
      <c r="E14226"/>
    </row>
    <row r="14227" spans="5:5">
      <c r="E14227"/>
    </row>
    <row r="14228" spans="5:5">
      <c r="E14228"/>
    </row>
    <row r="14229" spans="5:5">
      <c r="E14229"/>
    </row>
    <row r="14230" spans="5:5">
      <c r="E14230"/>
    </row>
    <row r="14231" spans="5:5">
      <c r="E14231"/>
    </row>
    <row r="14232" spans="5:5">
      <c r="E14232"/>
    </row>
    <row r="14233" spans="5:5">
      <c r="E14233"/>
    </row>
    <row r="14234" spans="5:5">
      <c r="E14234"/>
    </row>
    <row r="14235" spans="5:5">
      <c r="E14235"/>
    </row>
    <row r="14236" spans="5:5">
      <c r="E14236"/>
    </row>
    <row r="14237" spans="5:5">
      <c r="E14237"/>
    </row>
    <row r="14238" spans="5:5">
      <c r="E14238"/>
    </row>
    <row r="14239" spans="5:5">
      <c r="E14239"/>
    </row>
    <row r="14240" spans="5:5">
      <c r="E14240"/>
    </row>
    <row r="14241" spans="5:5">
      <c r="E14241"/>
    </row>
    <row r="14242" spans="5:5">
      <c r="E14242"/>
    </row>
    <row r="14243" spans="5:5">
      <c r="E14243"/>
    </row>
    <row r="14244" spans="5:5">
      <c r="E14244"/>
    </row>
    <row r="14245" spans="5:5">
      <c r="E14245"/>
    </row>
    <row r="14246" spans="5:5">
      <c r="E14246"/>
    </row>
    <row r="14247" spans="5:5">
      <c r="E14247"/>
    </row>
    <row r="14248" spans="5:5">
      <c r="E14248"/>
    </row>
    <row r="14249" spans="5:5">
      <c r="E14249"/>
    </row>
    <row r="14250" spans="5:5">
      <c r="E14250"/>
    </row>
    <row r="14251" spans="5:5">
      <c r="E14251"/>
    </row>
    <row r="14252" spans="5:5">
      <c r="E14252"/>
    </row>
    <row r="14253" spans="5:5">
      <c r="E14253"/>
    </row>
    <row r="14254" spans="5:5">
      <c r="E14254"/>
    </row>
    <row r="14255" spans="5:5">
      <c r="E14255"/>
    </row>
    <row r="14256" spans="5:5">
      <c r="E14256"/>
    </row>
    <row r="14257" spans="5:5">
      <c r="E14257"/>
    </row>
    <row r="14258" spans="5:5">
      <c r="E14258"/>
    </row>
    <row r="14259" spans="5:5">
      <c r="E14259"/>
    </row>
    <row r="14260" spans="5:5">
      <c r="E14260"/>
    </row>
    <row r="14261" spans="5:5">
      <c r="E14261"/>
    </row>
    <row r="14262" spans="5:5">
      <c r="E14262"/>
    </row>
    <row r="14263" spans="5:5">
      <c r="E14263"/>
    </row>
    <row r="14264" spans="5:5">
      <c r="E14264"/>
    </row>
    <row r="14265" spans="5:5">
      <c r="E14265"/>
    </row>
    <row r="14266" spans="5:5">
      <c r="E14266"/>
    </row>
    <row r="14267" spans="5:5">
      <c r="E14267"/>
    </row>
    <row r="14268" spans="5:5">
      <c r="E14268"/>
    </row>
    <row r="14269" spans="5:5">
      <c r="E14269"/>
    </row>
    <row r="14270" spans="5:5">
      <c r="E14270"/>
    </row>
    <row r="14271" spans="5:5">
      <c r="E14271"/>
    </row>
    <row r="14272" spans="5:5">
      <c r="E14272"/>
    </row>
    <row r="14273" spans="5:5">
      <c r="E14273"/>
    </row>
    <row r="14274" spans="5:5">
      <c r="E14274"/>
    </row>
    <row r="14275" spans="5:5">
      <c r="E14275"/>
    </row>
    <row r="14276" spans="5:5">
      <c r="E14276"/>
    </row>
    <row r="14277" spans="5:5">
      <c r="E14277"/>
    </row>
    <row r="14278" spans="5:5">
      <c r="E14278"/>
    </row>
    <row r="14279" spans="5:5">
      <c r="E14279"/>
    </row>
    <row r="14280" spans="5:5">
      <c r="E14280"/>
    </row>
    <row r="14281" spans="5:5">
      <c r="E14281"/>
    </row>
    <row r="14282" spans="5:5">
      <c r="E14282"/>
    </row>
    <row r="14283" spans="5:5">
      <c r="E14283"/>
    </row>
    <row r="14284" spans="5:5">
      <c r="E14284"/>
    </row>
    <row r="14285" spans="5:5">
      <c r="E14285"/>
    </row>
    <row r="14286" spans="5:5">
      <c r="E14286"/>
    </row>
    <row r="14287" spans="5:5">
      <c r="E14287"/>
    </row>
    <row r="14288" spans="5:5">
      <c r="E14288"/>
    </row>
    <row r="14289" spans="5:5">
      <c r="E14289"/>
    </row>
    <row r="14290" spans="5:5">
      <c r="E14290"/>
    </row>
    <row r="14291" spans="5:5">
      <c r="E14291"/>
    </row>
    <row r="14292" spans="5:5">
      <c r="E14292"/>
    </row>
    <row r="14293" spans="5:5">
      <c r="E14293"/>
    </row>
    <row r="14294" spans="5:5">
      <c r="E14294"/>
    </row>
    <row r="14295" spans="5:5">
      <c r="E14295"/>
    </row>
    <row r="14296" spans="5:5">
      <c r="E14296"/>
    </row>
    <row r="14297" spans="5:5">
      <c r="E14297"/>
    </row>
    <row r="14298" spans="5:5">
      <c r="E14298"/>
    </row>
    <row r="14299" spans="5:5">
      <c r="E14299"/>
    </row>
    <row r="14300" spans="5:5">
      <c r="E14300"/>
    </row>
    <row r="14301" spans="5:5">
      <c r="E14301"/>
    </row>
    <row r="14302" spans="5:5">
      <c r="E14302"/>
    </row>
    <row r="14303" spans="5:5">
      <c r="E14303"/>
    </row>
    <row r="14304" spans="5:5">
      <c r="E14304"/>
    </row>
    <row r="14305" spans="5:5">
      <c r="E14305"/>
    </row>
    <row r="14306" spans="5:5">
      <c r="E14306"/>
    </row>
    <row r="14307" spans="5:5">
      <c r="E14307"/>
    </row>
    <row r="14308" spans="5:5">
      <c r="E14308"/>
    </row>
    <row r="14309" spans="5:5">
      <c r="E14309"/>
    </row>
    <row r="14310" spans="5:5">
      <c r="E14310"/>
    </row>
    <row r="14311" spans="5:5">
      <c r="E14311"/>
    </row>
    <row r="14312" spans="5:5">
      <c r="E14312"/>
    </row>
    <row r="14313" spans="5:5">
      <c r="E14313"/>
    </row>
    <row r="14314" spans="5:5">
      <c r="E14314"/>
    </row>
    <row r="14315" spans="5:5">
      <c r="E14315"/>
    </row>
    <row r="14316" spans="5:5">
      <c r="E14316"/>
    </row>
    <row r="14317" spans="5:5">
      <c r="E14317"/>
    </row>
    <row r="14318" spans="5:5">
      <c r="E14318"/>
    </row>
    <row r="14319" spans="5:5">
      <c r="E14319"/>
    </row>
    <row r="14320" spans="5:5">
      <c r="E14320"/>
    </row>
    <row r="14321" spans="5:5">
      <c r="E14321"/>
    </row>
    <row r="14322" spans="5:5">
      <c r="E14322"/>
    </row>
    <row r="14323" spans="5:5">
      <c r="E14323"/>
    </row>
    <row r="14324" spans="5:5">
      <c r="E14324"/>
    </row>
    <row r="14325" spans="5:5">
      <c r="E14325"/>
    </row>
    <row r="14326" spans="5:5">
      <c r="E14326"/>
    </row>
    <row r="14327" spans="5:5">
      <c r="E14327"/>
    </row>
    <row r="14328" spans="5:5">
      <c r="E14328"/>
    </row>
    <row r="14329" spans="5:5">
      <c r="E14329"/>
    </row>
    <row r="14330" spans="5:5">
      <c r="E14330"/>
    </row>
    <row r="14331" spans="5:5">
      <c r="E14331"/>
    </row>
    <row r="14332" spans="5:5">
      <c r="E14332"/>
    </row>
    <row r="14333" spans="5:5">
      <c r="E14333"/>
    </row>
    <row r="14334" spans="5:5">
      <c r="E14334"/>
    </row>
    <row r="14335" spans="5:5">
      <c r="E14335"/>
    </row>
    <row r="14336" spans="5:5">
      <c r="E14336"/>
    </row>
    <row r="14337" spans="5:5">
      <c r="E14337"/>
    </row>
    <row r="14338" spans="5:5">
      <c r="E14338"/>
    </row>
    <row r="14339" spans="5:5">
      <c r="E14339"/>
    </row>
    <row r="14340" spans="5:5">
      <c r="E14340"/>
    </row>
    <row r="14341" spans="5:5">
      <c r="E14341"/>
    </row>
    <row r="14342" spans="5:5">
      <c r="E14342"/>
    </row>
    <row r="14343" spans="5:5">
      <c r="E14343"/>
    </row>
    <row r="14344" spans="5:5">
      <c r="E14344"/>
    </row>
    <row r="14345" spans="5:5">
      <c r="E14345"/>
    </row>
    <row r="14346" spans="5:5">
      <c r="E14346"/>
    </row>
    <row r="14347" spans="5:5">
      <c r="E14347"/>
    </row>
    <row r="14348" spans="5:5">
      <c r="E14348"/>
    </row>
    <row r="14349" spans="5:5">
      <c r="E14349"/>
    </row>
    <row r="14350" spans="5:5">
      <c r="E14350"/>
    </row>
    <row r="14351" spans="5:5">
      <c r="E14351"/>
    </row>
    <row r="14352" spans="5:5">
      <c r="E14352"/>
    </row>
    <row r="14353" spans="5:5">
      <c r="E14353"/>
    </row>
    <row r="14354" spans="5:5">
      <c r="E14354"/>
    </row>
    <row r="14355" spans="5:5">
      <c r="E14355"/>
    </row>
    <row r="14356" spans="5:5">
      <c r="E14356"/>
    </row>
    <row r="14357" spans="5:5">
      <c r="E14357"/>
    </row>
    <row r="14358" spans="5:5">
      <c r="E14358"/>
    </row>
    <row r="14359" spans="5:5">
      <c r="E14359"/>
    </row>
    <row r="14360" spans="5:5">
      <c r="E14360"/>
    </row>
    <row r="14361" spans="5:5">
      <c r="E14361"/>
    </row>
    <row r="14362" spans="5:5">
      <c r="E14362"/>
    </row>
    <row r="14363" spans="5:5">
      <c r="E14363"/>
    </row>
    <row r="14364" spans="5:5">
      <c r="E14364"/>
    </row>
    <row r="14365" spans="5:5">
      <c r="E14365"/>
    </row>
    <row r="14366" spans="5:5">
      <c r="E14366"/>
    </row>
    <row r="14367" spans="5:5">
      <c r="E14367"/>
    </row>
    <row r="14368" spans="5:5">
      <c r="E14368"/>
    </row>
    <row r="14369" spans="5:5">
      <c r="E14369"/>
    </row>
    <row r="14370" spans="5:5">
      <c r="E14370"/>
    </row>
    <row r="14371" spans="5:5">
      <c r="E14371"/>
    </row>
    <row r="14372" spans="5:5">
      <c r="E14372"/>
    </row>
    <row r="14373" spans="5:5">
      <c r="E14373"/>
    </row>
    <row r="14374" spans="5:5">
      <c r="E14374"/>
    </row>
    <row r="14375" spans="5:5">
      <c r="E14375"/>
    </row>
    <row r="14376" spans="5:5">
      <c r="E14376"/>
    </row>
    <row r="14377" spans="5:5">
      <c r="E14377"/>
    </row>
    <row r="14378" spans="5:5">
      <c r="E14378"/>
    </row>
    <row r="14379" spans="5:5">
      <c r="E14379"/>
    </row>
    <row r="14380" spans="5:5">
      <c r="E14380"/>
    </row>
    <row r="14381" spans="5:5">
      <c r="E14381"/>
    </row>
    <row r="14382" spans="5:5">
      <c r="E14382"/>
    </row>
    <row r="14383" spans="5:5">
      <c r="E14383"/>
    </row>
    <row r="14384" spans="5:5">
      <c r="E14384"/>
    </row>
    <row r="14385" spans="5:5">
      <c r="E14385"/>
    </row>
    <row r="14386" spans="5:5">
      <c r="E14386"/>
    </row>
    <row r="14387" spans="5:5">
      <c r="E14387"/>
    </row>
    <row r="14388" spans="5:5">
      <c r="E14388"/>
    </row>
    <row r="14389" spans="5:5">
      <c r="E14389"/>
    </row>
    <row r="14390" spans="5:5">
      <c r="E14390"/>
    </row>
    <row r="14391" spans="5:5">
      <c r="E14391"/>
    </row>
    <row r="14392" spans="5:5">
      <c r="E14392"/>
    </row>
    <row r="14393" spans="5:5">
      <c r="E14393"/>
    </row>
    <row r="14394" spans="5:5">
      <c r="E14394"/>
    </row>
    <row r="14395" spans="5:5">
      <c r="E14395"/>
    </row>
    <row r="14396" spans="5:5">
      <c r="E14396"/>
    </row>
    <row r="14397" spans="5:5">
      <c r="E14397"/>
    </row>
    <row r="14398" spans="5:5">
      <c r="E14398"/>
    </row>
    <row r="14399" spans="5:5">
      <c r="E14399"/>
    </row>
    <row r="14400" spans="5:5">
      <c r="E14400"/>
    </row>
    <row r="14401" spans="5:5">
      <c r="E14401"/>
    </row>
    <row r="14402" spans="5:5">
      <c r="E14402"/>
    </row>
    <row r="14403" spans="5:5">
      <c r="E14403"/>
    </row>
    <row r="14404" spans="5:5">
      <c r="E14404"/>
    </row>
    <row r="14405" spans="5:5">
      <c r="E14405"/>
    </row>
    <row r="14406" spans="5:5">
      <c r="E14406"/>
    </row>
    <row r="14407" spans="5:5">
      <c r="E14407"/>
    </row>
    <row r="14408" spans="5:5">
      <c r="E14408"/>
    </row>
    <row r="14409" spans="5:5">
      <c r="E14409"/>
    </row>
    <row r="14410" spans="5:5">
      <c r="E14410"/>
    </row>
    <row r="14411" spans="5:5">
      <c r="E14411"/>
    </row>
    <row r="14412" spans="5:5">
      <c r="E14412"/>
    </row>
    <row r="14413" spans="5:5">
      <c r="E14413"/>
    </row>
    <row r="14414" spans="5:5">
      <c r="E14414"/>
    </row>
    <row r="14415" spans="5:5">
      <c r="E14415"/>
    </row>
    <row r="14416" spans="5:5">
      <c r="E14416"/>
    </row>
    <row r="14417" spans="5:5">
      <c r="E14417"/>
    </row>
    <row r="14418" spans="5:5">
      <c r="E14418"/>
    </row>
    <row r="14419" spans="5:5">
      <c r="E14419"/>
    </row>
    <row r="14420" spans="5:5">
      <c r="E14420"/>
    </row>
    <row r="14421" spans="5:5">
      <c r="E14421"/>
    </row>
    <row r="14422" spans="5:5">
      <c r="E14422"/>
    </row>
    <row r="14423" spans="5:5">
      <c r="E14423"/>
    </row>
    <row r="14424" spans="5:5">
      <c r="E14424"/>
    </row>
    <row r="14425" spans="5:5">
      <c r="E14425"/>
    </row>
    <row r="14426" spans="5:5">
      <c r="E14426"/>
    </row>
    <row r="14427" spans="5:5">
      <c r="E14427"/>
    </row>
    <row r="14428" spans="5:5">
      <c r="E14428"/>
    </row>
    <row r="14429" spans="5:5">
      <c r="E14429"/>
    </row>
    <row r="14430" spans="5:5">
      <c r="E14430"/>
    </row>
    <row r="14431" spans="5:5">
      <c r="E14431"/>
    </row>
    <row r="14432" spans="5:5">
      <c r="E14432"/>
    </row>
    <row r="14433" spans="5:5">
      <c r="E14433"/>
    </row>
    <row r="14434" spans="5:5">
      <c r="E14434"/>
    </row>
    <row r="14435" spans="5:5">
      <c r="E14435"/>
    </row>
    <row r="14436" spans="5:5">
      <c r="E14436"/>
    </row>
    <row r="14437" spans="5:5">
      <c r="E14437"/>
    </row>
    <row r="14438" spans="5:5">
      <c r="E14438"/>
    </row>
    <row r="14439" spans="5:5">
      <c r="E14439"/>
    </row>
    <row r="14440" spans="5:5">
      <c r="E14440"/>
    </row>
    <row r="14441" spans="5:5">
      <c r="E14441"/>
    </row>
    <row r="14442" spans="5:5">
      <c r="E14442"/>
    </row>
    <row r="14443" spans="5:5">
      <c r="E14443"/>
    </row>
    <row r="14444" spans="5:5">
      <c r="E14444"/>
    </row>
    <row r="14445" spans="5:5">
      <c r="E14445"/>
    </row>
    <row r="14446" spans="5:5">
      <c r="E14446"/>
    </row>
    <row r="14447" spans="5:5">
      <c r="E14447"/>
    </row>
    <row r="14448" spans="5:5">
      <c r="E14448"/>
    </row>
    <row r="14449" spans="5:5">
      <c r="E14449"/>
    </row>
    <row r="14450" spans="5:5">
      <c r="E14450"/>
    </row>
    <row r="14451" spans="5:5">
      <c r="E14451"/>
    </row>
    <row r="14452" spans="5:5">
      <c r="E14452"/>
    </row>
    <row r="14453" spans="5:5">
      <c r="E14453"/>
    </row>
    <row r="14454" spans="5:5">
      <c r="E14454"/>
    </row>
    <row r="14455" spans="5:5">
      <c r="E14455"/>
    </row>
    <row r="14456" spans="5:5">
      <c r="E14456"/>
    </row>
    <row r="14457" spans="5:5">
      <c r="E14457"/>
    </row>
    <row r="14458" spans="5:5">
      <c r="E14458"/>
    </row>
    <row r="14459" spans="5:5">
      <c r="E14459"/>
    </row>
    <row r="14460" spans="5:5">
      <c r="E14460"/>
    </row>
    <row r="14461" spans="5:5">
      <c r="E14461"/>
    </row>
    <row r="14462" spans="5:5">
      <c r="E14462"/>
    </row>
    <row r="14463" spans="5:5">
      <c r="E14463"/>
    </row>
    <row r="14464" spans="5:5">
      <c r="E14464"/>
    </row>
    <row r="14465" spans="5:5">
      <c r="E14465"/>
    </row>
    <row r="14466" spans="5:5">
      <c r="E14466"/>
    </row>
    <row r="14467" spans="5:5">
      <c r="E14467"/>
    </row>
    <row r="14468" spans="5:5">
      <c r="E14468"/>
    </row>
    <row r="14469" spans="5:5">
      <c r="E14469"/>
    </row>
    <row r="14470" spans="5:5">
      <c r="E14470"/>
    </row>
    <row r="14471" spans="5:5">
      <c r="E14471"/>
    </row>
    <row r="14472" spans="5:5">
      <c r="E14472"/>
    </row>
    <row r="14473" spans="5:5">
      <c r="E14473"/>
    </row>
    <row r="14474" spans="5:5">
      <c r="E14474"/>
    </row>
    <row r="14475" spans="5:5">
      <c r="E14475"/>
    </row>
    <row r="14476" spans="5:5">
      <c r="E14476"/>
    </row>
    <row r="14477" spans="5:5">
      <c r="E14477"/>
    </row>
    <row r="14478" spans="5:5">
      <c r="E14478"/>
    </row>
    <row r="14479" spans="5:5">
      <c r="E14479"/>
    </row>
    <row r="14480" spans="5:5">
      <c r="E14480"/>
    </row>
    <row r="14481" spans="5:5">
      <c r="E14481"/>
    </row>
    <row r="14482" spans="5:5">
      <c r="E14482"/>
    </row>
    <row r="14483" spans="5:5">
      <c r="E14483"/>
    </row>
    <row r="14484" spans="5:5">
      <c r="E14484"/>
    </row>
    <row r="14485" spans="5:5">
      <c r="E14485"/>
    </row>
    <row r="14486" spans="5:5">
      <c r="E14486"/>
    </row>
    <row r="14487" spans="5:5">
      <c r="E14487"/>
    </row>
    <row r="14488" spans="5:5">
      <c r="E14488"/>
    </row>
    <row r="14489" spans="5:5">
      <c r="E14489"/>
    </row>
    <row r="14490" spans="5:5">
      <c r="E14490"/>
    </row>
    <row r="14491" spans="5:5">
      <c r="E14491"/>
    </row>
    <row r="14492" spans="5:5">
      <c r="E14492"/>
    </row>
    <row r="14493" spans="5:5">
      <c r="E14493"/>
    </row>
    <row r="14494" spans="5:5">
      <c r="E14494"/>
    </row>
    <row r="14495" spans="5:5">
      <c r="E14495"/>
    </row>
    <row r="14496" spans="5:5">
      <c r="E14496"/>
    </row>
    <row r="14497" spans="5:5">
      <c r="E14497"/>
    </row>
    <row r="14498" spans="5:5">
      <c r="E14498"/>
    </row>
    <row r="14499" spans="5:5">
      <c r="E14499"/>
    </row>
    <row r="14500" spans="5:5">
      <c r="E14500"/>
    </row>
    <row r="14501" spans="5:5">
      <c r="E14501"/>
    </row>
    <row r="14502" spans="5:5">
      <c r="E14502"/>
    </row>
    <row r="14503" spans="5:5">
      <c r="E14503"/>
    </row>
    <row r="14504" spans="5:5">
      <c r="E14504"/>
    </row>
    <row r="14505" spans="5:5">
      <c r="E14505"/>
    </row>
    <row r="14506" spans="5:5">
      <c r="E14506"/>
    </row>
    <row r="14507" spans="5:5">
      <c r="E14507"/>
    </row>
    <row r="14508" spans="5:5">
      <c r="E14508"/>
    </row>
    <row r="14509" spans="5:5">
      <c r="E14509"/>
    </row>
    <row r="14510" spans="5:5">
      <c r="E14510"/>
    </row>
    <row r="14511" spans="5:5">
      <c r="E14511"/>
    </row>
    <row r="14512" spans="5:5">
      <c r="E14512"/>
    </row>
    <row r="14513" spans="5:5">
      <c r="E14513"/>
    </row>
    <row r="14514" spans="5:5">
      <c r="E14514"/>
    </row>
    <row r="14515" spans="5:5">
      <c r="E14515"/>
    </row>
    <row r="14516" spans="5:5">
      <c r="E14516"/>
    </row>
    <row r="14517" spans="5:5">
      <c r="E14517"/>
    </row>
    <row r="14518" spans="5:5">
      <c r="E14518"/>
    </row>
    <row r="14519" spans="5:5">
      <c r="E14519"/>
    </row>
    <row r="14520" spans="5:5">
      <c r="E14520"/>
    </row>
    <row r="14521" spans="5:5">
      <c r="E14521"/>
    </row>
    <row r="14522" spans="5:5">
      <c r="E14522"/>
    </row>
    <row r="14523" spans="5:5">
      <c r="E14523"/>
    </row>
    <row r="14524" spans="5:5">
      <c r="E14524"/>
    </row>
    <row r="14525" spans="5:5">
      <c r="E14525"/>
    </row>
    <row r="14526" spans="5:5">
      <c r="E14526"/>
    </row>
    <row r="14527" spans="5:5">
      <c r="E14527"/>
    </row>
    <row r="14528" spans="5:5">
      <c r="E14528"/>
    </row>
    <row r="14529" spans="5:5">
      <c r="E14529"/>
    </row>
    <row r="14530" spans="5:5">
      <c r="E14530"/>
    </row>
    <row r="14531" spans="5:5">
      <c r="E14531"/>
    </row>
    <row r="14532" spans="5:5">
      <c r="E14532"/>
    </row>
    <row r="14533" spans="5:5">
      <c r="E14533"/>
    </row>
    <row r="14534" spans="5:5">
      <c r="E14534"/>
    </row>
    <row r="14535" spans="5:5">
      <c r="E14535"/>
    </row>
    <row r="14536" spans="5:5">
      <c r="E14536"/>
    </row>
    <row r="14537" spans="5:5">
      <c r="E14537"/>
    </row>
    <row r="14538" spans="5:5">
      <c r="E14538"/>
    </row>
    <row r="14539" spans="5:5">
      <c r="E14539"/>
    </row>
    <row r="14540" spans="5:5">
      <c r="E14540"/>
    </row>
    <row r="14541" spans="5:5">
      <c r="E14541"/>
    </row>
    <row r="14542" spans="5:5">
      <c r="E14542"/>
    </row>
    <row r="14543" spans="5:5">
      <c r="E14543"/>
    </row>
    <row r="14544" spans="5:5">
      <c r="E14544"/>
    </row>
    <row r="14545" spans="5:5">
      <c r="E14545"/>
    </row>
    <row r="14546" spans="5:5">
      <c r="E14546"/>
    </row>
    <row r="14547" spans="5:5">
      <c r="E14547"/>
    </row>
    <row r="14548" spans="5:5">
      <c r="E14548"/>
    </row>
    <row r="14549" spans="5:5">
      <c r="E14549"/>
    </row>
    <row r="14550" spans="5:5">
      <c r="E14550"/>
    </row>
    <row r="14551" spans="5:5">
      <c r="E14551"/>
    </row>
    <row r="14552" spans="5:5">
      <c r="E14552"/>
    </row>
    <row r="14553" spans="5:5">
      <c r="E14553"/>
    </row>
    <row r="14554" spans="5:5">
      <c r="E14554"/>
    </row>
    <row r="14555" spans="5:5">
      <c r="E14555"/>
    </row>
    <row r="14556" spans="5:5">
      <c r="E14556"/>
    </row>
    <row r="14557" spans="5:5">
      <c r="E14557"/>
    </row>
    <row r="14558" spans="5:5">
      <c r="E14558"/>
    </row>
    <row r="14559" spans="5:5">
      <c r="E14559"/>
    </row>
    <row r="14560" spans="5:5">
      <c r="E14560"/>
    </row>
    <row r="14561" spans="5:5">
      <c r="E14561"/>
    </row>
    <row r="14562" spans="5:5">
      <c r="E14562"/>
    </row>
    <row r="14563" spans="5:5">
      <c r="E14563"/>
    </row>
    <row r="14564" spans="5:5">
      <c r="E14564"/>
    </row>
    <row r="14565" spans="5:5">
      <c r="E14565"/>
    </row>
    <row r="14566" spans="5:5">
      <c r="E14566"/>
    </row>
    <row r="14567" spans="5:5">
      <c r="E14567"/>
    </row>
    <row r="14568" spans="5:5">
      <c r="E14568"/>
    </row>
    <row r="14569" spans="5:5">
      <c r="E14569"/>
    </row>
    <row r="14570" spans="5:5">
      <c r="E14570"/>
    </row>
    <row r="14571" spans="5:5">
      <c r="E14571"/>
    </row>
    <row r="14572" spans="5:5">
      <c r="E14572"/>
    </row>
    <row r="14573" spans="5:5">
      <c r="E14573"/>
    </row>
    <row r="14574" spans="5:5">
      <c r="E14574"/>
    </row>
    <row r="14575" spans="5:5">
      <c r="E14575"/>
    </row>
    <row r="14576" spans="5:5">
      <c r="E14576"/>
    </row>
    <row r="14577" spans="5:5">
      <c r="E14577"/>
    </row>
    <row r="14578" spans="5:5">
      <c r="E14578"/>
    </row>
    <row r="14579" spans="5:5">
      <c r="E14579"/>
    </row>
    <row r="14580" spans="5:5">
      <c r="E14580"/>
    </row>
    <row r="14581" spans="5:5">
      <c r="E14581"/>
    </row>
    <row r="14582" spans="5:5">
      <c r="E14582"/>
    </row>
    <row r="14583" spans="5:5">
      <c r="E14583"/>
    </row>
    <row r="14584" spans="5:5">
      <c r="E14584"/>
    </row>
    <row r="14585" spans="5:5">
      <c r="E14585"/>
    </row>
    <row r="14586" spans="5:5">
      <c r="E14586"/>
    </row>
    <row r="14587" spans="5:5">
      <c r="E14587"/>
    </row>
    <row r="14588" spans="5:5">
      <c r="E14588"/>
    </row>
    <row r="14589" spans="5:5">
      <c r="E14589"/>
    </row>
    <row r="14590" spans="5:5">
      <c r="E14590"/>
    </row>
    <row r="14591" spans="5:5">
      <c r="E14591"/>
    </row>
    <row r="14592" spans="5:5">
      <c r="E14592"/>
    </row>
    <row r="14593" spans="5:5">
      <c r="E14593"/>
    </row>
    <row r="14594" spans="5:5">
      <c r="E14594"/>
    </row>
    <row r="14595" spans="5:5">
      <c r="E14595"/>
    </row>
    <row r="14596" spans="5:5">
      <c r="E14596"/>
    </row>
    <row r="14597" spans="5:5">
      <c r="E14597"/>
    </row>
    <row r="14598" spans="5:5">
      <c r="E14598"/>
    </row>
    <row r="14599" spans="5:5">
      <c r="E14599"/>
    </row>
    <row r="14600" spans="5:5">
      <c r="E14600"/>
    </row>
    <row r="14601" spans="5:5">
      <c r="E14601"/>
    </row>
    <row r="14602" spans="5:5">
      <c r="E14602"/>
    </row>
    <row r="14603" spans="5:5">
      <c r="E14603"/>
    </row>
    <row r="14604" spans="5:5">
      <c r="E14604"/>
    </row>
    <row r="14605" spans="5:5">
      <c r="E14605"/>
    </row>
    <row r="14606" spans="5:5">
      <c r="E14606"/>
    </row>
    <row r="14607" spans="5:5">
      <c r="E14607"/>
    </row>
    <row r="14608" spans="5:5">
      <c r="E14608"/>
    </row>
    <row r="14609" spans="5:5">
      <c r="E14609"/>
    </row>
    <row r="14610" spans="5:5">
      <c r="E14610"/>
    </row>
    <row r="14611" spans="5:5">
      <c r="E14611"/>
    </row>
    <row r="14612" spans="5:5">
      <c r="E14612"/>
    </row>
    <row r="14613" spans="5:5">
      <c r="E14613"/>
    </row>
    <row r="14614" spans="5:5">
      <c r="E14614"/>
    </row>
    <row r="14615" spans="5:5">
      <c r="E14615"/>
    </row>
    <row r="14616" spans="5:5">
      <c r="E14616"/>
    </row>
    <row r="14617" spans="5:5">
      <c r="E14617"/>
    </row>
    <row r="14618" spans="5:5">
      <c r="E14618"/>
    </row>
    <row r="14619" spans="5:5">
      <c r="E14619"/>
    </row>
    <row r="14620" spans="5:5">
      <c r="E14620"/>
    </row>
    <row r="14621" spans="5:5">
      <c r="E14621"/>
    </row>
    <row r="14622" spans="5:5">
      <c r="E14622"/>
    </row>
    <row r="14623" spans="5:5">
      <c r="E14623"/>
    </row>
    <row r="14624" spans="5:5">
      <c r="E14624"/>
    </row>
    <row r="14625" spans="5:5">
      <c r="E14625"/>
    </row>
    <row r="14626" spans="5:5">
      <c r="E14626"/>
    </row>
    <row r="14627" spans="5:5">
      <c r="E14627"/>
    </row>
    <row r="14628" spans="5:5">
      <c r="E14628"/>
    </row>
    <row r="14629" spans="5:5">
      <c r="E14629"/>
    </row>
    <row r="14630" spans="5:5">
      <c r="E14630"/>
    </row>
    <row r="14631" spans="5:5">
      <c r="E14631"/>
    </row>
    <row r="14632" spans="5:5">
      <c r="E14632"/>
    </row>
    <row r="14633" spans="5:5">
      <c r="E14633"/>
    </row>
    <row r="14634" spans="5:5">
      <c r="E14634"/>
    </row>
    <row r="14635" spans="5:5">
      <c r="E14635"/>
    </row>
    <row r="14636" spans="5:5">
      <c r="E14636"/>
    </row>
    <row r="14637" spans="5:5">
      <c r="E14637"/>
    </row>
    <row r="14638" spans="5:5">
      <c r="E14638"/>
    </row>
    <row r="14639" spans="5:5">
      <c r="E14639"/>
    </row>
    <row r="14640" spans="5:5">
      <c r="E14640"/>
    </row>
    <row r="14641" spans="5:5">
      <c r="E14641"/>
    </row>
    <row r="14642" spans="5:5">
      <c r="E14642"/>
    </row>
    <row r="14643" spans="5:5">
      <c r="E14643"/>
    </row>
    <row r="14644" spans="5:5">
      <c r="E14644"/>
    </row>
    <row r="14645" spans="5:5">
      <c r="E14645"/>
    </row>
    <row r="14646" spans="5:5">
      <c r="E14646"/>
    </row>
    <row r="14647" spans="5:5">
      <c r="E14647"/>
    </row>
    <row r="14648" spans="5:5">
      <c r="E14648"/>
    </row>
    <row r="14649" spans="5:5">
      <c r="E14649"/>
    </row>
    <row r="14650" spans="5:5">
      <c r="E14650"/>
    </row>
    <row r="14651" spans="5:5">
      <c r="E14651"/>
    </row>
    <row r="14652" spans="5:5">
      <c r="E14652"/>
    </row>
    <row r="14653" spans="5:5">
      <c r="E14653"/>
    </row>
    <row r="14654" spans="5:5">
      <c r="E14654"/>
    </row>
    <row r="14655" spans="5:5">
      <c r="E14655"/>
    </row>
    <row r="14656" spans="5:5">
      <c r="E14656"/>
    </row>
    <row r="14657" spans="5:5">
      <c r="E14657"/>
    </row>
    <row r="14658" spans="5:5">
      <c r="E14658"/>
    </row>
    <row r="14659" spans="5:5">
      <c r="E14659"/>
    </row>
    <row r="14660" spans="5:5">
      <c r="E14660"/>
    </row>
    <row r="14661" spans="5:5">
      <c r="E14661"/>
    </row>
    <row r="14662" spans="5:5">
      <c r="E14662"/>
    </row>
    <row r="14663" spans="5:5">
      <c r="E14663"/>
    </row>
    <row r="14664" spans="5:5">
      <c r="E14664"/>
    </row>
    <row r="14665" spans="5:5">
      <c r="E14665"/>
    </row>
    <row r="14666" spans="5:5">
      <c r="E14666"/>
    </row>
    <row r="14667" spans="5:5">
      <c r="E14667"/>
    </row>
    <row r="14668" spans="5:5">
      <c r="E14668"/>
    </row>
    <row r="14669" spans="5:5">
      <c r="E14669"/>
    </row>
    <row r="14670" spans="5:5">
      <c r="E14670"/>
    </row>
    <row r="14671" spans="5:5">
      <c r="E14671"/>
    </row>
    <row r="14672" spans="5:5">
      <c r="E14672"/>
    </row>
    <row r="14673" spans="5:5">
      <c r="E14673"/>
    </row>
    <row r="14674" spans="5:5">
      <c r="E14674"/>
    </row>
    <row r="14675" spans="5:5">
      <c r="E14675"/>
    </row>
    <row r="14676" spans="5:5">
      <c r="E14676"/>
    </row>
    <row r="14677" spans="5:5">
      <c r="E14677"/>
    </row>
    <row r="14678" spans="5:5">
      <c r="E14678"/>
    </row>
    <row r="14679" spans="5:5">
      <c r="E14679"/>
    </row>
    <row r="14680" spans="5:5">
      <c r="E14680"/>
    </row>
    <row r="14681" spans="5:5">
      <c r="E14681"/>
    </row>
    <row r="14682" spans="5:5">
      <c r="E14682"/>
    </row>
    <row r="14683" spans="5:5">
      <c r="E14683"/>
    </row>
    <row r="14684" spans="5:5">
      <c r="E14684"/>
    </row>
    <row r="14685" spans="5:5">
      <c r="E14685"/>
    </row>
    <row r="14686" spans="5:5">
      <c r="E14686"/>
    </row>
    <row r="14687" spans="5:5">
      <c r="E14687"/>
    </row>
    <row r="14688" spans="5:5">
      <c r="E14688"/>
    </row>
    <row r="14689" spans="5:5">
      <c r="E14689"/>
    </row>
    <row r="14690" spans="5:5">
      <c r="E14690"/>
    </row>
    <row r="14691" spans="5:5">
      <c r="E14691"/>
    </row>
    <row r="14692" spans="5:5">
      <c r="E14692"/>
    </row>
    <row r="14693" spans="5:5">
      <c r="E14693"/>
    </row>
    <row r="14694" spans="5:5">
      <c r="E14694"/>
    </row>
    <row r="14695" spans="5:5">
      <c r="E14695"/>
    </row>
    <row r="14696" spans="5:5">
      <c r="E14696"/>
    </row>
    <row r="14697" spans="5:5">
      <c r="E14697"/>
    </row>
    <row r="14698" spans="5:5">
      <c r="E14698"/>
    </row>
    <row r="14699" spans="5:5">
      <c r="E14699"/>
    </row>
    <row r="14700" spans="5:5">
      <c r="E14700"/>
    </row>
    <row r="14701" spans="5:5">
      <c r="E14701"/>
    </row>
    <row r="14702" spans="5:5">
      <c r="E14702"/>
    </row>
    <row r="14703" spans="5:5">
      <c r="E14703"/>
    </row>
    <row r="14704" spans="5:5">
      <c r="E14704"/>
    </row>
    <row r="14705" spans="5:5">
      <c r="E14705"/>
    </row>
    <row r="14706" spans="5:5">
      <c r="E14706"/>
    </row>
    <row r="14707" spans="5:5">
      <c r="E14707"/>
    </row>
    <row r="14708" spans="5:5">
      <c r="E14708"/>
    </row>
    <row r="14709" spans="5:5">
      <c r="E14709"/>
    </row>
    <row r="14710" spans="5:5">
      <c r="E14710"/>
    </row>
    <row r="14711" spans="5:5">
      <c r="E14711"/>
    </row>
    <row r="14712" spans="5:5">
      <c r="E14712"/>
    </row>
    <row r="14713" spans="5:5">
      <c r="E14713"/>
    </row>
    <row r="14714" spans="5:5">
      <c r="E14714"/>
    </row>
    <row r="14715" spans="5:5">
      <c r="E14715"/>
    </row>
    <row r="14716" spans="5:5">
      <c r="E14716"/>
    </row>
    <row r="14717" spans="5:5">
      <c r="E14717"/>
    </row>
    <row r="14718" spans="5:5">
      <c r="E14718"/>
    </row>
    <row r="14719" spans="5:5">
      <c r="E14719"/>
    </row>
    <row r="14720" spans="5:5">
      <c r="E14720"/>
    </row>
    <row r="14721" spans="5:5">
      <c r="E14721"/>
    </row>
    <row r="14722" spans="5:5">
      <c r="E14722"/>
    </row>
    <row r="14723" spans="5:5">
      <c r="E14723"/>
    </row>
    <row r="14724" spans="5:5">
      <c r="E14724"/>
    </row>
    <row r="14725" spans="5:5">
      <c r="E14725"/>
    </row>
    <row r="14726" spans="5:5">
      <c r="E14726"/>
    </row>
    <row r="14727" spans="5:5">
      <c r="E14727"/>
    </row>
    <row r="14728" spans="5:5">
      <c r="E14728"/>
    </row>
    <row r="14729" spans="5:5">
      <c r="E14729"/>
    </row>
    <row r="14730" spans="5:5">
      <c r="E14730"/>
    </row>
    <row r="14731" spans="5:5">
      <c r="E14731"/>
    </row>
    <row r="14732" spans="5:5">
      <c r="E14732"/>
    </row>
    <row r="14733" spans="5:5">
      <c r="E14733"/>
    </row>
    <row r="14734" spans="5:5">
      <c r="E14734"/>
    </row>
    <row r="14735" spans="5:5">
      <c r="E14735"/>
    </row>
    <row r="14736" spans="5:5">
      <c r="E14736"/>
    </row>
    <row r="14737" spans="5:5">
      <c r="E14737"/>
    </row>
    <row r="14738" spans="5:5">
      <c r="E14738"/>
    </row>
    <row r="14739" spans="5:5">
      <c r="E14739"/>
    </row>
    <row r="14740" spans="5:5">
      <c r="E14740"/>
    </row>
    <row r="14741" spans="5:5">
      <c r="E14741"/>
    </row>
    <row r="14742" spans="5:5">
      <c r="E14742"/>
    </row>
    <row r="14743" spans="5:5">
      <c r="E14743"/>
    </row>
    <row r="14744" spans="5:5">
      <c r="E14744"/>
    </row>
    <row r="14745" spans="5:5">
      <c r="E14745"/>
    </row>
    <row r="14746" spans="5:5">
      <c r="E14746"/>
    </row>
    <row r="14747" spans="5:5">
      <c r="E14747"/>
    </row>
    <row r="14748" spans="5:5">
      <c r="E14748"/>
    </row>
    <row r="14749" spans="5:5">
      <c r="E14749"/>
    </row>
    <row r="14750" spans="5:5">
      <c r="E14750"/>
    </row>
    <row r="14751" spans="5:5">
      <c r="E14751"/>
    </row>
    <row r="14752" spans="5:5">
      <c r="E14752"/>
    </row>
    <row r="14753" spans="5:5">
      <c r="E14753"/>
    </row>
    <row r="14754" spans="5:5">
      <c r="E14754"/>
    </row>
    <row r="14755" spans="5:5">
      <c r="E14755"/>
    </row>
    <row r="14756" spans="5:5">
      <c r="E14756"/>
    </row>
    <row r="14757" spans="5:5">
      <c r="E14757"/>
    </row>
    <row r="14758" spans="5:5">
      <c r="E14758"/>
    </row>
    <row r="14759" spans="5:5">
      <c r="E14759"/>
    </row>
    <row r="14760" spans="5:5">
      <c r="E14760"/>
    </row>
    <row r="14761" spans="5:5">
      <c r="E14761"/>
    </row>
    <row r="14762" spans="5:5">
      <c r="E14762"/>
    </row>
    <row r="14763" spans="5:5">
      <c r="E14763"/>
    </row>
    <row r="14764" spans="5:5">
      <c r="E14764"/>
    </row>
    <row r="14765" spans="5:5">
      <c r="E14765"/>
    </row>
    <row r="14766" spans="5:5">
      <c r="E14766"/>
    </row>
    <row r="14767" spans="5:5">
      <c r="E14767"/>
    </row>
    <row r="14768" spans="5:5">
      <c r="E14768"/>
    </row>
    <row r="14769" spans="5:5">
      <c r="E14769"/>
    </row>
    <row r="14770" spans="5:5">
      <c r="E14770"/>
    </row>
    <row r="14771" spans="5:5">
      <c r="E14771"/>
    </row>
    <row r="14772" spans="5:5">
      <c r="E14772"/>
    </row>
    <row r="14773" spans="5:5">
      <c r="E14773"/>
    </row>
    <row r="14774" spans="5:5">
      <c r="E14774"/>
    </row>
    <row r="14775" spans="5:5">
      <c r="E14775"/>
    </row>
    <row r="14776" spans="5:5">
      <c r="E14776"/>
    </row>
    <row r="14777" spans="5:5">
      <c r="E14777"/>
    </row>
    <row r="14778" spans="5:5">
      <c r="E14778"/>
    </row>
    <row r="14779" spans="5:5">
      <c r="E14779"/>
    </row>
    <row r="14780" spans="5:5">
      <c r="E14780"/>
    </row>
    <row r="14781" spans="5:5">
      <c r="E14781"/>
    </row>
    <row r="14782" spans="5:5">
      <c r="E14782"/>
    </row>
    <row r="14783" spans="5:5">
      <c r="E14783"/>
    </row>
    <row r="14784" spans="5:5">
      <c r="E14784"/>
    </row>
    <row r="14785" spans="5:5">
      <c r="E14785"/>
    </row>
    <row r="14786" spans="5:5">
      <c r="E14786"/>
    </row>
    <row r="14787" spans="5:5">
      <c r="E14787"/>
    </row>
    <row r="14788" spans="5:5">
      <c r="E14788"/>
    </row>
    <row r="14789" spans="5:5">
      <c r="E14789"/>
    </row>
    <row r="14790" spans="5:5">
      <c r="E14790"/>
    </row>
    <row r="14791" spans="5:5">
      <c r="E14791"/>
    </row>
    <row r="14792" spans="5:5">
      <c r="E14792"/>
    </row>
    <row r="14793" spans="5:5">
      <c r="E14793"/>
    </row>
    <row r="14794" spans="5:5">
      <c r="E14794"/>
    </row>
    <row r="14795" spans="5:5">
      <c r="E14795"/>
    </row>
    <row r="14796" spans="5:5">
      <c r="E14796"/>
    </row>
    <row r="14797" spans="5:5">
      <c r="E14797"/>
    </row>
    <row r="14798" spans="5:5">
      <c r="E14798"/>
    </row>
    <row r="14799" spans="5:5">
      <c r="E14799"/>
    </row>
    <row r="14800" spans="5:5">
      <c r="E14800"/>
    </row>
    <row r="14801" spans="5:5">
      <c r="E14801"/>
    </row>
    <row r="14802" spans="5:5">
      <c r="E14802"/>
    </row>
    <row r="14803" spans="5:5">
      <c r="E14803"/>
    </row>
    <row r="14804" spans="5:5">
      <c r="E14804"/>
    </row>
    <row r="14805" spans="5:5">
      <c r="E14805"/>
    </row>
    <row r="14806" spans="5:5">
      <c r="E14806"/>
    </row>
    <row r="14807" spans="5:5">
      <c r="E14807"/>
    </row>
    <row r="14808" spans="5:5">
      <c r="E14808"/>
    </row>
    <row r="14809" spans="5:5">
      <c r="E14809"/>
    </row>
    <row r="14810" spans="5:5">
      <c r="E14810"/>
    </row>
    <row r="14811" spans="5:5">
      <c r="E14811"/>
    </row>
    <row r="14812" spans="5:5">
      <c r="E14812"/>
    </row>
    <row r="14813" spans="5:5">
      <c r="E14813"/>
    </row>
    <row r="14814" spans="5:5">
      <c r="E14814"/>
    </row>
    <row r="14815" spans="5:5">
      <c r="E14815"/>
    </row>
    <row r="14816" spans="5:5">
      <c r="E14816"/>
    </row>
    <row r="14817" spans="5:5">
      <c r="E14817"/>
    </row>
    <row r="14818" spans="5:5">
      <c r="E14818"/>
    </row>
    <row r="14819" spans="5:5">
      <c r="E14819"/>
    </row>
    <row r="14820" spans="5:5">
      <c r="E14820"/>
    </row>
    <row r="14821" spans="5:5">
      <c r="E14821"/>
    </row>
    <row r="14822" spans="5:5">
      <c r="E14822"/>
    </row>
    <row r="14823" spans="5:5">
      <c r="E14823"/>
    </row>
    <row r="14824" spans="5:5">
      <c r="E14824"/>
    </row>
    <row r="14825" spans="5:5">
      <c r="E14825"/>
    </row>
    <row r="14826" spans="5:5">
      <c r="E14826"/>
    </row>
    <row r="14827" spans="5:5">
      <c r="E14827"/>
    </row>
    <row r="14828" spans="5:5">
      <c r="E14828"/>
    </row>
    <row r="14829" spans="5:5">
      <c r="E14829"/>
    </row>
    <row r="14830" spans="5:5">
      <c r="E14830"/>
    </row>
    <row r="14831" spans="5:5">
      <c r="E14831"/>
    </row>
    <row r="14832" spans="5:5">
      <c r="E14832"/>
    </row>
    <row r="14833" spans="5:5">
      <c r="E14833"/>
    </row>
    <row r="14834" spans="5:5">
      <c r="E14834"/>
    </row>
    <row r="14835" spans="5:5">
      <c r="E14835"/>
    </row>
    <row r="14836" spans="5:5">
      <c r="E14836"/>
    </row>
    <row r="14837" spans="5:5">
      <c r="E14837"/>
    </row>
    <row r="14838" spans="5:5">
      <c r="E14838"/>
    </row>
    <row r="14839" spans="5:5">
      <c r="E14839"/>
    </row>
    <row r="14840" spans="5:5">
      <c r="E14840"/>
    </row>
    <row r="14841" spans="5:5">
      <c r="E14841"/>
    </row>
    <row r="14842" spans="5:5">
      <c r="E14842"/>
    </row>
    <row r="14843" spans="5:5">
      <c r="E14843"/>
    </row>
    <row r="14844" spans="5:5">
      <c r="E14844"/>
    </row>
    <row r="14845" spans="5:5">
      <c r="E14845"/>
    </row>
    <row r="14846" spans="5:5">
      <c r="E14846"/>
    </row>
    <row r="14847" spans="5:5">
      <c r="E14847"/>
    </row>
    <row r="14848" spans="5:5">
      <c r="E14848"/>
    </row>
    <row r="14849" spans="5:5">
      <c r="E14849"/>
    </row>
    <row r="14850" spans="5:5">
      <c r="E14850"/>
    </row>
    <row r="14851" spans="5:5">
      <c r="E14851"/>
    </row>
    <row r="14852" spans="5:5">
      <c r="E14852"/>
    </row>
    <row r="14853" spans="5:5">
      <c r="E14853"/>
    </row>
    <row r="14854" spans="5:5">
      <c r="E14854"/>
    </row>
    <row r="14855" spans="5:5">
      <c r="E14855"/>
    </row>
    <row r="14856" spans="5:5">
      <c r="E14856"/>
    </row>
    <row r="14857" spans="5:5">
      <c r="E14857"/>
    </row>
    <row r="14858" spans="5:5">
      <c r="E14858"/>
    </row>
    <row r="14859" spans="5:5">
      <c r="E14859"/>
    </row>
    <row r="14860" spans="5:5">
      <c r="E14860"/>
    </row>
    <row r="14861" spans="5:5">
      <c r="E14861"/>
    </row>
    <row r="14862" spans="5:5">
      <c r="E14862"/>
    </row>
    <row r="14863" spans="5:5">
      <c r="E14863"/>
    </row>
    <row r="14864" spans="5:5">
      <c r="E14864"/>
    </row>
    <row r="14865" spans="5:5">
      <c r="E14865"/>
    </row>
    <row r="14866" spans="5:5">
      <c r="E14866"/>
    </row>
    <row r="14867" spans="5:5">
      <c r="E14867"/>
    </row>
    <row r="14868" spans="5:5">
      <c r="E14868"/>
    </row>
    <row r="14869" spans="5:5">
      <c r="E14869"/>
    </row>
    <row r="14870" spans="5:5">
      <c r="E14870"/>
    </row>
    <row r="14871" spans="5:5">
      <c r="E14871"/>
    </row>
    <row r="14872" spans="5:5">
      <c r="E14872"/>
    </row>
    <row r="14873" spans="5:5">
      <c r="E14873"/>
    </row>
    <row r="14874" spans="5:5">
      <c r="E14874"/>
    </row>
    <row r="14875" spans="5:5">
      <c r="E14875"/>
    </row>
    <row r="14876" spans="5:5">
      <c r="E14876"/>
    </row>
    <row r="14877" spans="5:5">
      <c r="E14877"/>
    </row>
    <row r="14878" spans="5:5">
      <c r="E14878"/>
    </row>
    <row r="14879" spans="5:5">
      <c r="E14879"/>
    </row>
    <row r="14880" spans="5:5">
      <c r="E14880"/>
    </row>
    <row r="14881" spans="5:5">
      <c r="E14881"/>
    </row>
    <row r="14882" spans="5:5">
      <c r="E14882"/>
    </row>
    <row r="14883" spans="5:5">
      <c r="E14883"/>
    </row>
    <row r="14884" spans="5:5">
      <c r="E14884"/>
    </row>
    <row r="14885" spans="5:5">
      <c r="E14885"/>
    </row>
    <row r="14886" spans="5:5">
      <c r="E14886"/>
    </row>
    <row r="14887" spans="5:5">
      <c r="E14887"/>
    </row>
    <row r="14888" spans="5:5">
      <c r="E14888"/>
    </row>
    <row r="14889" spans="5:5">
      <c r="E14889"/>
    </row>
    <row r="14890" spans="5:5">
      <c r="E14890"/>
    </row>
    <row r="14891" spans="5:5">
      <c r="E14891"/>
    </row>
    <row r="14892" spans="5:5">
      <c r="E14892"/>
    </row>
    <row r="14893" spans="5:5">
      <c r="E14893"/>
    </row>
    <row r="14894" spans="5:5">
      <c r="E14894"/>
    </row>
    <row r="14895" spans="5:5">
      <c r="E14895"/>
    </row>
    <row r="14896" spans="5:5">
      <c r="E14896"/>
    </row>
    <row r="14897" spans="5:5">
      <c r="E14897"/>
    </row>
    <row r="14898" spans="5:5">
      <c r="E14898"/>
    </row>
    <row r="14899" spans="5:5">
      <c r="E14899"/>
    </row>
    <row r="14900" spans="5:5">
      <c r="E14900"/>
    </row>
    <row r="14901" spans="5:5">
      <c r="E14901"/>
    </row>
    <row r="14902" spans="5:5">
      <c r="E14902"/>
    </row>
    <row r="14903" spans="5:5">
      <c r="E14903"/>
    </row>
    <row r="14904" spans="5:5">
      <c r="E14904"/>
    </row>
    <row r="14905" spans="5:5">
      <c r="E14905"/>
    </row>
    <row r="14906" spans="5:5">
      <c r="E14906"/>
    </row>
    <row r="14907" spans="5:5">
      <c r="E14907"/>
    </row>
    <row r="14908" spans="5:5">
      <c r="E14908"/>
    </row>
    <row r="14909" spans="5:5">
      <c r="E14909"/>
    </row>
    <row r="14910" spans="5:5">
      <c r="E14910"/>
    </row>
    <row r="14911" spans="5:5">
      <c r="E14911"/>
    </row>
    <row r="14912" spans="5:5">
      <c r="E14912"/>
    </row>
    <row r="14913" spans="5:5">
      <c r="E14913"/>
    </row>
    <row r="14914" spans="5:5">
      <c r="E14914"/>
    </row>
    <row r="14915" spans="5:5">
      <c r="E14915"/>
    </row>
    <row r="14916" spans="5:5">
      <c r="E14916"/>
    </row>
    <row r="14917" spans="5:5">
      <c r="E14917"/>
    </row>
    <row r="14918" spans="5:5">
      <c r="E14918"/>
    </row>
    <row r="14919" spans="5:5">
      <c r="E14919"/>
    </row>
    <row r="14920" spans="5:5">
      <c r="E14920"/>
    </row>
    <row r="14921" spans="5:5">
      <c r="E14921"/>
    </row>
    <row r="14922" spans="5:5">
      <c r="E14922"/>
    </row>
    <row r="14923" spans="5:5">
      <c r="E14923"/>
    </row>
    <row r="14924" spans="5:5">
      <c r="E14924"/>
    </row>
    <row r="14925" spans="5:5">
      <c r="E14925"/>
    </row>
    <row r="14926" spans="5:5">
      <c r="E14926"/>
    </row>
    <row r="14927" spans="5:5">
      <c r="E14927"/>
    </row>
    <row r="14928" spans="5:5">
      <c r="E14928"/>
    </row>
    <row r="14929" spans="5:5">
      <c r="E14929"/>
    </row>
    <row r="14930" spans="5:5">
      <c r="E14930"/>
    </row>
    <row r="14931" spans="5:5">
      <c r="E14931"/>
    </row>
    <row r="14932" spans="5:5">
      <c r="E14932"/>
    </row>
    <row r="14933" spans="5:5">
      <c r="E14933"/>
    </row>
    <row r="14934" spans="5:5">
      <c r="E14934"/>
    </row>
    <row r="14935" spans="5:5">
      <c r="E14935"/>
    </row>
    <row r="14936" spans="5:5">
      <c r="E14936"/>
    </row>
    <row r="14937" spans="5:5">
      <c r="E14937"/>
    </row>
    <row r="14938" spans="5:5">
      <c r="E14938"/>
    </row>
    <row r="14939" spans="5:5">
      <c r="E14939"/>
    </row>
    <row r="14940" spans="5:5">
      <c r="E14940"/>
    </row>
    <row r="14941" spans="5:5">
      <c r="E14941"/>
    </row>
    <row r="14942" spans="5:5">
      <c r="E14942"/>
    </row>
    <row r="14943" spans="5:5">
      <c r="E14943"/>
    </row>
    <row r="14944" spans="5:5">
      <c r="E14944"/>
    </row>
    <row r="14945" spans="5:5">
      <c r="E14945"/>
    </row>
    <row r="14946" spans="5:5">
      <c r="E14946"/>
    </row>
    <row r="14947" spans="5:5">
      <c r="E14947"/>
    </row>
    <row r="14948" spans="5:5">
      <c r="E14948"/>
    </row>
    <row r="14949" spans="5:5">
      <c r="E14949"/>
    </row>
    <row r="14950" spans="5:5">
      <c r="E14950"/>
    </row>
    <row r="14951" spans="5:5">
      <c r="E14951"/>
    </row>
  </sheetData>
  <autoFilter ref="A5:M2047"/>
  <pageMargins left="0.7" right="0.7" top="0.75" bottom="0.75" header="0.3" footer="0.3"/>
  <pageSetup orientation="portrait"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Q1728"/>
  <sheetViews>
    <sheetView workbookViewId="0">
      <selection activeCell="D9" sqref="D9"/>
    </sheetView>
  </sheetViews>
  <sheetFormatPr defaultRowHeight="15"/>
  <cols>
    <col min="1" max="1" width="35.7109375" customWidth="1"/>
    <col min="2" max="2" width="26.7109375" customWidth="1"/>
    <col min="3" max="3" width="26.28515625" style="15" bestFit="1" customWidth="1"/>
    <col min="4" max="15" width="24.7109375" style="15" bestFit="1" customWidth="1"/>
    <col min="16" max="16" width="26" bestFit="1" customWidth="1"/>
    <col min="17" max="17" width="29.85546875" bestFit="1" customWidth="1"/>
  </cols>
  <sheetData>
    <row r="3" spans="1:17">
      <c r="C3"/>
      <c r="D3" s="81" t="s">
        <v>13</v>
      </c>
      <c r="E3" s="81" t="s">
        <v>384</v>
      </c>
      <c r="F3"/>
      <c r="G3"/>
      <c r="H3"/>
      <c r="I3"/>
      <c r="J3"/>
      <c r="K3"/>
      <c r="L3"/>
      <c r="M3"/>
      <c r="N3"/>
      <c r="O3"/>
    </row>
    <row r="4" spans="1:17">
      <c r="C4"/>
      <c r="D4" s="165" t="s">
        <v>71</v>
      </c>
      <c r="E4"/>
      <c r="F4" s="165" t="s">
        <v>44</v>
      </c>
      <c r="G4"/>
      <c r="H4" s="165" t="s">
        <v>31</v>
      </c>
      <c r="I4"/>
      <c r="J4" s="165" t="s">
        <v>63</v>
      </c>
      <c r="K4"/>
      <c r="L4" s="165" t="s">
        <v>29</v>
      </c>
      <c r="M4"/>
      <c r="N4" s="165" t="s">
        <v>385</v>
      </c>
      <c r="O4"/>
      <c r="P4" s="165" t="s">
        <v>1859</v>
      </c>
      <c r="Q4" s="165" t="s">
        <v>1860</v>
      </c>
    </row>
    <row r="5" spans="1:17">
      <c r="A5" s="81" t="s">
        <v>5</v>
      </c>
      <c r="B5" s="81" t="s">
        <v>6</v>
      </c>
      <c r="C5" s="81" t="s">
        <v>12</v>
      </c>
      <c r="D5" s="165" t="s">
        <v>1858</v>
      </c>
      <c r="E5" s="165" t="s">
        <v>1861</v>
      </c>
      <c r="F5" s="165" t="s">
        <v>1858</v>
      </c>
      <c r="G5" s="165" t="s">
        <v>1861</v>
      </c>
      <c r="H5" s="165" t="s">
        <v>1858</v>
      </c>
      <c r="I5" s="165" t="s">
        <v>1861</v>
      </c>
      <c r="J5" s="165" t="s">
        <v>1858</v>
      </c>
      <c r="K5" s="165" t="s">
        <v>1861</v>
      </c>
      <c r="L5" s="165" t="s">
        <v>1858</v>
      </c>
      <c r="M5" s="165" t="s">
        <v>1861</v>
      </c>
      <c r="N5" s="165" t="s">
        <v>1858</v>
      </c>
      <c r="O5" s="165" t="s">
        <v>1861</v>
      </c>
    </row>
    <row r="6" spans="1:17">
      <c r="A6" s="165" t="s">
        <v>168</v>
      </c>
      <c r="B6" s="165" t="s">
        <v>2033</v>
      </c>
      <c r="C6" s="165">
        <v>5500</v>
      </c>
      <c r="D6" s="228">
        <v>0</v>
      </c>
      <c r="E6" s="228">
        <v>0</v>
      </c>
      <c r="F6" s="228"/>
      <c r="G6" s="228"/>
      <c r="H6" s="228"/>
      <c r="I6" s="228"/>
      <c r="J6" s="228"/>
      <c r="K6" s="228"/>
      <c r="L6" s="228"/>
      <c r="M6" s="228"/>
      <c r="N6" s="228"/>
      <c r="O6" s="228"/>
      <c r="P6" s="228">
        <v>0</v>
      </c>
      <c r="Q6" s="228">
        <v>0</v>
      </c>
    </row>
    <row r="7" spans="1:17">
      <c r="B7" s="165" t="s">
        <v>2008</v>
      </c>
      <c r="C7" s="165">
        <v>5000</v>
      </c>
      <c r="D7" s="228"/>
      <c r="E7" s="228"/>
      <c r="F7" s="228">
        <v>0</v>
      </c>
      <c r="G7" s="228">
        <v>0</v>
      </c>
      <c r="H7" s="228"/>
      <c r="I7" s="228"/>
      <c r="J7" s="228"/>
      <c r="K7" s="228"/>
      <c r="L7" s="228"/>
      <c r="M7" s="228"/>
      <c r="N7" s="228"/>
      <c r="O7" s="228"/>
      <c r="P7" s="228">
        <v>0</v>
      </c>
      <c r="Q7" s="228">
        <v>0</v>
      </c>
    </row>
    <row r="8" spans="1:17">
      <c r="B8" s="165" t="s">
        <v>2060</v>
      </c>
      <c r="C8" s="165">
        <v>8000</v>
      </c>
      <c r="D8" s="228">
        <v>0</v>
      </c>
      <c r="E8" s="228">
        <v>0</v>
      </c>
      <c r="F8" s="228"/>
      <c r="G8" s="228"/>
      <c r="H8" s="228"/>
      <c r="I8" s="228"/>
      <c r="J8" s="228"/>
      <c r="K8" s="228"/>
      <c r="L8" s="228"/>
      <c r="M8" s="228"/>
      <c r="N8" s="228"/>
      <c r="O8" s="228"/>
      <c r="P8" s="228">
        <v>0</v>
      </c>
      <c r="Q8" s="228">
        <v>0</v>
      </c>
    </row>
    <row r="9" spans="1:17">
      <c r="B9" s="165" t="s">
        <v>2011</v>
      </c>
      <c r="C9" s="165">
        <v>10500</v>
      </c>
      <c r="D9" s="228"/>
      <c r="E9" s="228"/>
      <c r="F9" s="228"/>
      <c r="G9" s="228"/>
      <c r="H9" s="228"/>
      <c r="I9" s="228"/>
      <c r="J9" s="228"/>
      <c r="K9" s="228"/>
      <c r="L9" s="228">
        <v>20000</v>
      </c>
      <c r="M9" s="228">
        <v>210000000</v>
      </c>
      <c r="N9" s="228"/>
      <c r="O9" s="228"/>
      <c r="P9" s="228">
        <v>20000</v>
      </c>
      <c r="Q9" s="228">
        <v>210000000</v>
      </c>
    </row>
    <row r="10" spans="1:17">
      <c r="B10" s="165" t="s">
        <v>2009</v>
      </c>
      <c r="C10" s="165">
        <v>5170</v>
      </c>
      <c r="D10" s="228"/>
      <c r="E10" s="228"/>
      <c r="F10" s="228">
        <v>0</v>
      </c>
      <c r="G10" s="228">
        <v>0</v>
      </c>
      <c r="H10" s="228"/>
      <c r="I10" s="228"/>
      <c r="J10" s="228"/>
      <c r="K10" s="228"/>
      <c r="L10" s="228"/>
      <c r="M10" s="228"/>
      <c r="N10" s="228"/>
      <c r="O10" s="228"/>
      <c r="P10" s="228">
        <v>0</v>
      </c>
      <c r="Q10" s="228">
        <v>0</v>
      </c>
    </row>
    <row r="11" spans="1:17">
      <c r="C11" s="165">
        <v>5400</v>
      </c>
      <c r="D11" s="228"/>
      <c r="E11" s="228"/>
      <c r="F11" s="228"/>
      <c r="G11" s="228"/>
      <c r="H11" s="228">
        <v>30000</v>
      </c>
      <c r="I11" s="228">
        <v>162000000</v>
      </c>
      <c r="J11" s="228"/>
      <c r="K11" s="228"/>
      <c r="L11" s="228"/>
      <c r="M11" s="228"/>
      <c r="N11" s="228"/>
      <c r="O11" s="228"/>
      <c r="P11" s="228">
        <v>30000</v>
      </c>
      <c r="Q11" s="228">
        <v>162000000</v>
      </c>
    </row>
    <row r="12" spans="1:17">
      <c r="B12" s="165" t="s">
        <v>1872</v>
      </c>
      <c r="C12" s="165">
        <v>8100</v>
      </c>
      <c r="D12" s="228">
        <v>0</v>
      </c>
      <c r="E12" s="228">
        <v>0</v>
      </c>
      <c r="F12" s="228"/>
      <c r="G12" s="228"/>
      <c r="H12" s="228"/>
      <c r="I12" s="228"/>
      <c r="J12" s="228"/>
      <c r="K12" s="228"/>
      <c r="L12" s="228"/>
      <c r="M12" s="228"/>
      <c r="N12" s="228"/>
      <c r="O12" s="228"/>
      <c r="P12" s="228">
        <v>0</v>
      </c>
      <c r="Q12" s="228">
        <v>0</v>
      </c>
    </row>
    <row r="13" spans="1:17">
      <c r="B13" s="165" t="s">
        <v>2015</v>
      </c>
      <c r="C13" s="165">
        <v>10500</v>
      </c>
      <c r="D13" s="228"/>
      <c r="E13" s="228"/>
      <c r="F13" s="228"/>
      <c r="G13" s="228"/>
      <c r="H13" s="228"/>
      <c r="I13" s="228"/>
      <c r="J13" s="228"/>
      <c r="K13" s="228"/>
      <c r="L13" s="228">
        <v>20000</v>
      </c>
      <c r="M13" s="228">
        <v>210000000</v>
      </c>
      <c r="N13" s="228"/>
      <c r="O13" s="228"/>
      <c r="P13" s="228">
        <v>20000</v>
      </c>
      <c r="Q13" s="228">
        <v>210000000</v>
      </c>
    </row>
    <row r="14" spans="1:17">
      <c r="B14" s="165" t="s">
        <v>1878</v>
      </c>
      <c r="C14" s="165">
        <v>3500</v>
      </c>
      <c r="D14" s="228"/>
      <c r="E14" s="228"/>
      <c r="F14" s="228">
        <v>0</v>
      </c>
      <c r="G14" s="228">
        <v>0</v>
      </c>
      <c r="H14" s="228"/>
      <c r="I14" s="228"/>
      <c r="J14" s="228"/>
      <c r="K14" s="228"/>
      <c r="L14" s="228"/>
      <c r="M14" s="228"/>
      <c r="N14" s="228"/>
      <c r="O14" s="228"/>
      <c r="P14" s="228">
        <v>0</v>
      </c>
      <c r="Q14" s="228">
        <v>0</v>
      </c>
    </row>
    <row r="15" spans="1:17">
      <c r="B15" s="165" t="s">
        <v>2019</v>
      </c>
      <c r="C15" s="165">
        <v>9300</v>
      </c>
      <c r="D15" s="228"/>
      <c r="E15" s="228"/>
      <c r="F15" s="228"/>
      <c r="G15" s="228"/>
      <c r="H15" s="228"/>
      <c r="I15" s="228"/>
      <c r="J15" s="228"/>
      <c r="K15" s="228"/>
      <c r="L15" s="228">
        <v>5100</v>
      </c>
      <c r="M15" s="228">
        <v>47430000</v>
      </c>
      <c r="N15" s="228"/>
      <c r="O15" s="228"/>
      <c r="P15" s="228">
        <v>5100</v>
      </c>
      <c r="Q15" s="228">
        <v>47430000</v>
      </c>
    </row>
    <row r="16" spans="1:17">
      <c r="B16" s="165" t="s">
        <v>2186</v>
      </c>
      <c r="C16" s="165">
        <v>2600</v>
      </c>
      <c r="D16" s="228"/>
      <c r="E16" s="228"/>
      <c r="F16" s="228">
        <v>0</v>
      </c>
      <c r="G16" s="228">
        <v>0</v>
      </c>
      <c r="H16" s="228"/>
      <c r="I16" s="228"/>
      <c r="J16" s="228"/>
      <c r="K16" s="228"/>
      <c r="L16" s="228"/>
      <c r="M16" s="228"/>
      <c r="N16" s="228"/>
      <c r="O16" s="228"/>
      <c r="P16" s="228">
        <v>0</v>
      </c>
      <c r="Q16" s="228">
        <v>0</v>
      </c>
    </row>
    <row r="17" spans="1:17">
      <c r="C17" s="165">
        <v>2700</v>
      </c>
      <c r="D17" s="228">
        <v>0</v>
      </c>
      <c r="E17" s="228">
        <v>0</v>
      </c>
      <c r="F17" s="228"/>
      <c r="G17" s="228"/>
      <c r="H17" s="228"/>
      <c r="I17" s="228"/>
      <c r="J17" s="228"/>
      <c r="K17" s="228"/>
      <c r="L17" s="228"/>
      <c r="M17" s="228"/>
      <c r="N17" s="228"/>
      <c r="O17" s="228"/>
      <c r="P17" s="228">
        <v>0</v>
      </c>
      <c r="Q17" s="228">
        <v>0</v>
      </c>
    </row>
    <row r="18" spans="1:17">
      <c r="A18" s="165" t="s">
        <v>2201</v>
      </c>
      <c r="B18" s="165"/>
      <c r="C18" s="165"/>
      <c r="D18" s="228">
        <v>0</v>
      </c>
      <c r="E18" s="228">
        <v>0</v>
      </c>
      <c r="F18" s="228">
        <v>0</v>
      </c>
      <c r="G18" s="228">
        <v>0</v>
      </c>
      <c r="H18" s="228">
        <v>30000</v>
      </c>
      <c r="I18" s="228">
        <v>162000000</v>
      </c>
      <c r="J18" s="228"/>
      <c r="K18" s="228"/>
      <c r="L18" s="228">
        <v>45100</v>
      </c>
      <c r="M18" s="228">
        <v>467430000</v>
      </c>
      <c r="N18" s="228"/>
      <c r="O18" s="228"/>
      <c r="P18" s="228">
        <v>75100</v>
      </c>
      <c r="Q18" s="228">
        <v>629430000</v>
      </c>
    </row>
    <row r="19" spans="1:17">
      <c r="A19" s="165" t="s">
        <v>688</v>
      </c>
      <c r="B19" s="165" t="s">
        <v>2038</v>
      </c>
      <c r="C19" s="165">
        <v>4500</v>
      </c>
      <c r="D19" s="228"/>
      <c r="E19" s="228"/>
      <c r="F19" s="228">
        <v>0</v>
      </c>
      <c r="G19" s="228">
        <v>0</v>
      </c>
      <c r="H19" s="228"/>
      <c r="I19" s="228"/>
      <c r="J19" s="228"/>
      <c r="K19" s="228"/>
      <c r="L19" s="228"/>
      <c r="M19" s="228"/>
      <c r="N19" s="228"/>
      <c r="O19" s="228"/>
      <c r="P19" s="228">
        <v>0</v>
      </c>
      <c r="Q19" s="228">
        <v>0</v>
      </c>
    </row>
    <row r="20" spans="1:17">
      <c r="B20" s="165" t="s">
        <v>2008</v>
      </c>
      <c r="C20" s="165">
        <v>4700</v>
      </c>
      <c r="D20" s="228"/>
      <c r="E20" s="228"/>
      <c r="F20" s="228">
        <v>0</v>
      </c>
      <c r="G20" s="228">
        <v>0</v>
      </c>
      <c r="H20" s="228"/>
      <c r="I20" s="228"/>
      <c r="J20" s="228"/>
      <c r="K20" s="228"/>
      <c r="L20" s="228"/>
      <c r="M20" s="228"/>
      <c r="N20" s="228"/>
      <c r="O20" s="228"/>
      <c r="P20" s="228">
        <v>0</v>
      </c>
      <c r="Q20" s="228">
        <v>0</v>
      </c>
    </row>
    <row r="21" spans="1:17">
      <c r="C21" s="165">
        <v>6200</v>
      </c>
      <c r="D21" s="228"/>
      <c r="E21" s="228"/>
      <c r="F21" s="228">
        <v>0</v>
      </c>
      <c r="G21" s="228">
        <v>0</v>
      </c>
      <c r="H21" s="228"/>
      <c r="I21" s="228"/>
      <c r="J21" s="228"/>
      <c r="K21" s="228"/>
      <c r="L21" s="228"/>
      <c r="M21" s="228"/>
      <c r="N21" s="228"/>
      <c r="O21" s="228"/>
      <c r="P21" s="228">
        <v>0</v>
      </c>
      <c r="Q21" s="228">
        <v>0</v>
      </c>
    </row>
    <row r="22" spans="1:17">
      <c r="B22" s="165" t="s">
        <v>2130</v>
      </c>
      <c r="C22" s="165">
        <v>5000</v>
      </c>
      <c r="D22" s="228"/>
      <c r="E22" s="228"/>
      <c r="F22" s="228">
        <v>0</v>
      </c>
      <c r="G22" s="228">
        <v>0</v>
      </c>
      <c r="H22" s="228"/>
      <c r="I22" s="228"/>
      <c r="J22" s="228"/>
      <c r="K22" s="228"/>
      <c r="L22" s="228"/>
      <c r="M22" s="228"/>
      <c r="N22" s="228"/>
      <c r="O22" s="228"/>
      <c r="P22" s="228">
        <v>0</v>
      </c>
      <c r="Q22" s="228">
        <v>0</v>
      </c>
    </row>
    <row r="23" spans="1:17">
      <c r="B23" s="165" t="s">
        <v>2132</v>
      </c>
      <c r="C23" s="165">
        <v>7700</v>
      </c>
      <c r="D23" s="228"/>
      <c r="E23" s="228"/>
      <c r="F23" s="228">
        <v>0</v>
      </c>
      <c r="G23" s="228">
        <v>0</v>
      </c>
      <c r="H23" s="228"/>
      <c r="I23" s="228"/>
      <c r="J23" s="228"/>
      <c r="K23" s="228"/>
      <c r="L23" s="228"/>
      <c r="M23" s="228"/>
      <c r="N23" s="228"/>
      <c r="O23" s="228"/>
      <c r="P23" s="228">
        <v>0</v>
      </c>
      <c r="Q23" s="228">
        <v>0</v>
      </c>
    </row>
    <row r="24" spans="1:17">
      <c r="B24" s="165" t="s">
        <v>2171</v>
      </c>
      <c r="C24" s="165">
        <v>5500</v>
      </c>
      <c r="D24" s="228"/>
      <c r="E24" s="228"/>
      <c r="F24" s="228">
        <v>0</v>
      </c>
      <c r="G24" s="228">
        <v>0</v>
      </c>
      <c r="H24" s="228"/>
      <c r="I24" s="228"/>
      <c r="J24" s="228"/>
      <c r="K24" s="228"/>
      <c r="L24" s="228"/>
      <c r="M24" s="228"/>
      <c r="N24" s="228"/>
      <c r="O24" s="228"/>
      <c r="P24" s="228">
        <v>0</v>
      </c>
      <c r="Q24" s="228">
        <v>0</v>
      </c>
    </row>
    <row r="25" spans="1:17">
      <c r="A25" s="165" t="s">
        <v>2202</v>
      </c>
      <c r="B25" s="165"/>
      <c r="C25" s="165"/>
      <c r="D25" s="228"/>
      <c r="E25" s="228"/>
      <c r="F25" s="228">
        <v>0</v>
      </c>
      <c r="G25" s="228">
        <v>0</v>
      </c>
      <c r="H25" s="228"/>
      <c r="I25" s="228"/>
      <c r="J25" s="228"/>
      <c r="K25" s="228"/>
      <c r="L25" s="228"/>
      <c r="M25" s="228"/>
      <c r="N25" s="228"/>
      <c r="O25" s="228"/>
      <c r="P25" s="228">
        <v>0</v>
      </c>
      <c r="Q25" s="228">
        <v>0</v>
      </c>
    </row>
    <row r="26" spans="1:17">
      <c r="A26" s="165" t="s">
        <v>1625</v>
      </c>
      <c r="B26" s="165" t="s">
        <v>2162</v>
      </c>
      <c r="C26" s="165">
        <v>5000</v>
      </c>
      <c r="D26" s="228">
        <v>0</v>
      </c>
      <c r="E26" s="228">
        <v>0</v>
      </c>
      <c r="F26" s="228"/>
      <c r="G26" s="228"/>
      <c r="H26" s="228"/>
      <c r="I26" s="228"/>
      <c r="J26" s="228"/>
      <c r="K26" s="228"/>
      <c r="L26" s="228"/>
      <c r="M26" s="228"/>
      <c r="N26" s="228"/>
      <c r="O26" s="228"/>
      <c r="P26" s="228">
        <v>0</v>
      </c>
      <c r="Q26" s="228">
        <v>0</v>
      </c>
    </row>
    <row r="27" spans="1:17">
      <c r="B27" s="165" t="s">
        <v>2164</v>
      </c>
      <c r="C27" s="165">
        <v>5000</v>
      </c>
      <c r="D27" s="228">
        <v>0</v>
      </c>
      <c r="E27" s="228">
        <v>0</v>
      </c>
      <c r="F27" s="228"/>
      <c r="G27" s="228"/>
      <c r="H27" s="228"/>
      <c r="I27" s="228"/>
      <c r="J27" s="228"/>
      <c r="K27" s="228"/>
      <c r="L27" s="228"/>
      <c r="M27" s="228"/>
      <c r="N27" s="228"/>
      <c r="O27" s="228"/>
      <c r="P27" s="228">
        <v>0</v>
      </c>
      <c r="Q27" s="228">
        <v>0</v>
      </c>
    </row>
    <row r="28" spans="1:17">
      <c r="B28" s="165" t="s">
        <v>2186</v>
      </c>
      <c r="C28" s="165">
        <v>2600</v>
      </c>
      <c r="D28" s="228"/>
      <c r="E28" s="228"/>
      <c r="F28" s="228">
        <v>0</v>
      </c>
      <c r="G28" s="228">
        <v>0</v>
      </c>
      <c r="H28" s="228"/>
      <c r="I28" s="228"/>
      <c r="J28" s="228"/>
      <c r="K28" s="228"/>
      <c r="L28" s="228"/>
      <c r="M28" s="228"/>
      <c r="N28" s="228"/>
      <c r="O28" s="228"/>
      <c r="P28" s="228">
        <v>0</v>
      </c>
      <c r="Q28" s="228">
        <v>0</v>
      </c>
    </row>
    <row r="29" spans="1:17">
      <c r="A29" s="165" t="s">
        <v>2203</v>
      </c>
      <c r="B29" s="165"/>
      <c r="C29" s="165"/>
      <c r="D29" s="228">
        <v>0</v>
      </c>
      <c r="E29" s="228">
        <v>0</v>
      </c>
      <c r="F29" s="228">
        <v>0</v>
      </c>
      <c r="G29" s="228">
        <v>0</v>
      </c>
      <c r="H29" s="228"/>
      <c r="I29" s="228"/>
      <c r="J29" s="228"/>
      <c r="K29" s="228"/>
      <c r="L29" s="228"/>
      <c r="M29" s="228"/>
      <c r="N29" s="228"/>
      <c r="O29" s="228"/>
      <c r="P29" s="228">
        <v>0</v>
      </c>
      <c r="Q29" s="228">
        <v>0</v>
      </c>
    </row>
    <row r="30" spans="1:17">
      <c r="A30" s="165" t="s">
        <v>1627</v>
      </c>
      <c r="B30" s="165" t="s">
        <v>2040</v>
      </c>
      <c r="C30" s="165">
        <v>8700</v>
      </c>
      <c r="D30" s="228"/>
      <c r="E30" s="228"/>
      <c r="F30" s="228"/>
      <c r="G30" s="228"/>
      <c r="H30" s="228"/>
      <c r="I30" s="228"/>
      <c r="J30" s="228">
        <v>300</v>
      </c>
      <c r="K30" s="228">
        <v>2610000</v>
      </c>
      <c r="L30" s="228"/>
      <c r="M30" s="228"/>
      <c r="N30" s="228"/>
      <c r="O30" s="228"/>
      <c r="P30" s="228">
        <v>300</v>
      </c>
      <c r="Q30" s="228">
        <v>2610000</v>
      </c>
    </row>
    <row r="31" spans="1:17">
      <c r="C31" s="165">
        <v>8800</v>
      </c>
      <c r="D31" s="228">
        <v>0</v>
      </c>
      <c r="E31" s="228">
        <v>0</v>
      </c>
      <c r="F31" s="228"/>
      <c r="G31" s="228"/>
      <c r="H31" s="228"/>
      <c r="I31" s="228"/>
      <c r="J31" s="228"/>
      <c r="K31" s="228"/>
      <c r="L31" s="228"/>
      <c r="M31" s="228"/>
      <c r="N31" s="228"/>
      <c r="O31" s="228"/>
      <c r="P31" s="228">
        <v>0</v>
      </c>
      <c r="Q31" s="228">
        <v>0</v>
      </c>
    </row>
    <row r="32" spans="1:17">
      <c r="C32" s="165">
        <v>8900</v>
      </c>
      <c r="D32" s="228">
        <v>0</v>
      </c>
      <c r="E32" s="228">
        <v>0</v>
      </c>
      <c r="F32" s="228"/>
      <c r="G32" s="228"/>
      <c r="H32" s="228"/>
      <c r="I32" s="228"/>
      <c r="J32" s="228"/>
      <c r="K32" s="228"/>
      <c r="L32" s="228"/>
      <c r="M32" s="228"/>
      <c r="N32" s="228"/>
      <c r="O32" s="228"/>
      <c r="P32" s="228">
        <v>0</v>
      </c>
      <c r="Q32" s="228">
        <v>0</v>
      </c>
    </row>
    <row r="33" spans="1:17">
      <c r="C33" s="165">
        <v>9000</v>
      </c>
      <c r="D33" s="228">
        <v>0</v>
      </c>
      <c r="E33" s="228">
        <v>0</v>
      </c>
      <c r="F33" s="228"/>
      <c r="G33" s="228"/>
      <c r="H33" s="228"/>
      <c r="I33" s="228"/>
      <c r="J33" s="228"/>
      <c r="K33" s="228"/>
      <c r="L33" s="228"/>
      <c r="M33" s="228"/>
      <c r="N33" s="228"/>
      <c r="O33" s="228"/>
      <c r="P33" s="228">
        <v>0</v>
      </c>
      <c r="Q33" s="228">
        <v>0</v>
      </c>
    </row>
    <row r="34" spans="1:17">
      <c r="C34" s="165">
        <v>9100</v>
      </c>
      <c r="D34" s="228">
        <v>0</v>
      </c>
      <c r="E34" s="228">
        <v>0</v>
      </c>
      <c r="F34" s="228"/>
      <c r="G34" s="228"/>
      <c r="H34" s="228"/>
      <c r="I34" s="228"/>
      <c r="J34" s="228"/>
      <c r="K34" s="228"/>
      <c r="L34" s="228"/>
      <c r="M34" s="228"/>
      <c r="N34" s="228"/>
      <c r="O34" s="228"/>
      <c r="P34" s="228">
        <v>0</v>
      </c>
      <c r="Q34" s="228">
        <v>0</v>
      </c>
    </row>
    <row r="35" spans="1:17">
      <c r="B35" s="165" t="s">
        <v>2009</v>
      </c>
      <c r="C35" s="165">
        <v>4850</v>
      </c>
      <c r="D35" s="228"/>
      <c r="E35" s="228"/>
      <c r="F35" s="228">
        <v>0</v>
      </c>
      <c r="G35" s="228">
        <v>0</v>
      </c>
      <c r="H35" s="228"/>
      <c r="I35" s="228"/>
      <c r="J35" s="228"/>
      <c r="K35" s="228"/>
      <c r="L35" s="228"/>
      <c r="M35" s="228"/>
      <c r="N35" s="228"/>
      <c r="O35" s="228"/>
      <c r="P35" s="228">
        <v>0</v>
      </c>
      <c r="Q35" s="228">
        <v>0</v>
      </c>
    </row>
    <row r="36" spans="1:17">
      <c r="B36" s="165" t="s">
        <v>1872</v>
      </c>
      <c r="C36" s="165">
        <v>6358</v>
      </c>
      <c r="D36" s="228"/>
      <c r="E36" s="228"/>
      <c r="F36" s="228">
        <v>0</v>
      </c>
      <c r="G36" s="228">
        <v>0</v>
      </c>
      <c r="H36" s="228"/>
      <c r="I36" s="228"/>
      <c r="J36" s="228"/>
      <c r="K36" s="228"/>
      <c r="L36" s="228"/>
      <c r="M36" s="228"/>
      <c r="N36" s="228"/>
      <c r="O36" s="228"/>
      <c r="P36" s="228">
        <v>0</v>
      </c>
      <c r="Q36" s="228">
        <v>0</v>
      </c>
    </row>
    <row r="37" spans="1:17">
      <c r="B37" s="165" t="s">
        <v>2173</v>
      </c>
      <c r="C37" s="165">
        <v>8700</v>
      </c>
      <c r="D37" s="228">
        <v>0</v>
      </c>
      <c r="E37" s="228">
        <v>0</v>
      </c>
      <c r="F37" s="228"/>
      <c r="G37" s="228"/>
      <c r="H37" s="228"/>
      <c r="I37" s="228"/>
      <c r="J37" s="228"/>
      <c r="K37" s="228"/>
      <c r="L37" s="228"/>
      <c r="M37" s="228"/>
      <c r="N37" s="228"/>
      <c r="O37" s="228"/>
      <c r="P37" s="228">
        <v>0</v>
      </c>
      <c r="Q37" s="228">
        <v>0</v>
      </c>
    </row>
    <row r="38" spans="1:17">
      <c r="B38" s="165" t="s">
        <v>2178</v>
      </c>
      <c r="C38" s="165">
        <v>8600</v>
      </c>
      <c r="D38" s="228">
        <v>0</v>
      </c>
      <c r="E38" s="228">
        <v>0</v>
      </c>
      <c r="F38" s="228"/>
      <c r="G38" s="228"/>
      <c r="H38" s="228"/>
      <c r="I38" s="228"/>
      <c r="J38" s="228"/>
      <c r="K38" s="228"/>
      <c r="L38" s="228"/>
      <c r="M38" s="228"/>
      <c r="N38" s="228"/>
      <c r="O38" s="228"/>
      <c r="P38" s="228">
        <v>0</v>
      </c>
      <c r="Q38" s="228">
        <v>0</v>
      </c>
    </row>
    <row r="39" spans="1:17">
      <c r="A39" s="165" t="s">
        <v>2204</v>
      </c>
      <c r="B39" s="165"/>
      <c r="C39" s="165"/>
      <c r="D39" s="228">
        <v>0</v>
      </c>
      <c r="E39" s="228">
        <v>0</v>
      </c>
      <c r="F39" s="228">
        <v>0</v>
      </c>
      <c r="G39" s="228">
        <v>0</v>
      </c>
      <c r="H39" s="228"/>
      <c r="I39" s="228"/>
      <c r="J39" s="228">
        <v>300</v>
      </c>
      <c r="K39" s="228">
        <v>2610000</v>
      </c>
      <c r="L39" s="228"/>
      <c r="M39" s="228"/>
      <c r="N39" s="228"/>
      <c r="O39" s="228"/>
      <c r="P39" s="228">
        <v>300</v>
      </c>
      <c r="Q39" s="228">
        <v>2610000</v>
      </c>
    </row>
    <row r="40" spans="1:17">
      <c r="A40" s="165" t="s">
        <v>203</v>
      </c>
      <c r="B40" s="165" t="s">
        <v>2063</v>
      </c>
      <c r="C40" s="165">
        <v>12500</v>
      </c>
      <c r="D40" s="228"/>
      <c r="E40" s="228"/>
      <c r="F40" s="228"/>
      <c r="G40" s="228"/>
      <c r="H40" s="228"/>
      <c r="I40" s="228"/>
      <c r="J40" s="228"/>
      <c r="K40" s="228"/>
      <c r="L40" s="228">
        <v>15000</v>
      </c>
      <c r="M40" s="228">
        <v>187500000</v>
      </c>
      <c r="N40" s="228"/>
      <c r="O40" s="228"/>
      <c r="P40" s="228">
        <v>15000</v>
      </c>
      <c r="Q40" s="228">
        <v>187500000</v>
      </c>
    </row>
    <row r="41" spans="1:17">
      <c r="B41" s="165" t="s">
        <v>2137</v>
      </c>
      <c r="C41" s="165">
        <v>14200</v>
      </c>
      <c r="D41" s="228"/>
      <c r="E41" s="228"/>
      <c r="F41" s="228"/>
      <c r="G41" s="228"/>
      <c r="H41" s="228"/>
      <c r="I41" s="228"/>
      <c r="J41" s="228"/>
      <c r="K41" s="228"/>
      <c r="L41" s="228">
        <v>5000</v>
      </c>
      <c r="M41" s="228">
        <v>71000000</v>
      </c>
      <c r="N41" s="228"/>
      <c r="O41" s="228"/>
      <c r="P41" s="228">
        <v>5000</v>
      </c>
      <c r="Q41" s="228">
        <v>71000000</v>
      </c>
    </row>
    <row r="42" spans="1:17">
      <c r="A42" s="165" t="s">
        <v>2205</v>
      </c>
      <c r="B42" s="165"/>
      <c r="C42" s="165"/>
      <c r="D42" s="228"/>
      <c r="E42" s="228"/>
      <c r="F42" s="228"/>
      <c r="G42" s="228"/>
      <c r="H42" s="228"/>
      <c r="I42" s="228"/>
      <c r="J42" s="228"/>
      <c r="K42" s="228"/>
      <c r="L42" s="228">
        <v>20000</v>
      </c>
      <c r="M42" s="228">
        <v>258500000</v>
      </c>
      <c r="N42" s="228"/>
      <c r="O42" s="228"/>
      <c r="P42" s="228">
        <v>20000</v>
      </c>
      <c r="Q42" s="228">
        <v>258500000</v>
      </c>
    </row>
    <row r="43" spans="1:17">
      <c r="A43" s="165" t="s">
        <v>205</v>
      </c>
      <c r="B43" s="165" t="s">
        <v>2038</v>
      </c>
      <c r="C43" s="165">
        <v>4600</v>
      </c>
      <c r="D43" s="228"/>
      <c r="E43" s="228"/>
      <c r="F43" s="228">
        <v>0</v>
      </c>
      <c r="G43" s="228">
        <v>0</v>
      </c>
      <c r="H43" s="228"/>
      <c r="I43" s="228"/>
      <c r="J43" s="228"/>
      <c r="K43" s="228"/>
      <c r="L43" s="228"/>
      <c r="M43" s="228"/>
      <c r="N43" s="228"/>
      <c r="O43" s="228"/>
      <c r="P43" s="228">
        <v>0</v>
      </c>
      <c r="Q43" s="228">
        <v>0</v>
      </c>
    </row>
    <row r="44" spans="1:17">
      <c r="B44" s="165" t="s">
        <v>2042</v>
      </c>
      <c r="C44" s="165">
        <v>10800</v>
      </c>
      <c r="D44" s="228"/>
      <c r="E44" s="228"/>
      <c r="F44" s="228"/>
      <c r="G44" s="228"/>
      <c r="H44" s="228"/>
      <c r="I44" s="228"/>
      <c r="J44" s="228"/>
      <c r="K44" s="228"/>
      <c r="L44" s="228">
        <v>2000</v>
      </c>
      <c r="M44" s="228">
        <v>21600000</v>
      </c>
      <c r="N44" s="228"/>
      <c r="O44" s="228"/>
      <c r="P44" s="228">
        <v>2000</v>
      </c>
      <c r="Q44" s="228">
        <v>21600000</v>
      </c>
    </row>
    <row r="45" spans="1:17">
      <c r="C45" s="165">
        <v>11000</v>
      </c>
      <c r="D45" s="228"/>
      <c r="E45" s="228"/>
      <c r="F45" s="228"/>
      <c r="G45" s="228"/>
      <c r="H45" s="228"/>
      <c r="I45" s="228"/>
      <c r="J45" s="228"/>
      <c r="K45" s="228"/>
      <c r="L45" s="228">
        <v>2000</v>
      </c>
      <c r="M45" s="228">
        <v>22000000</v>
      </c>
      <c r="N45" s="228"/>
      <c r="O45" s="228"/>
      <c r="P45" s="228">
        <v>2000</v>
      </c>
      <c r="Q45" s="228">
        <v>22000000</v>
      </c>
    </row>
    <row r="46" spans="1:17">
      <c r="B46" s="165" t="s">
        <v>2063</v>
      </c>
      <c r="C46" s="165">
        <v>12500</v>
      </c>
      <c r="D46" s="228"/>
      <c r="E46" s="228"/>
      <c r="F46" s="228"/>
      <c r="G46" s="228"/>
      <c r="H46" s="228"/>
      <c r="I46" s="228"/>
      <c r="J46" s="228"/>
      <c r="K46" s="228"/>
      <c r="L46" s="228">
        <v>10000</v>
      </c>
      <c r="M46" s="228">
        <v>125000000</v>
      </c>
      <c r="N46" s="228"/>
      <c r="O46" s="228"/>
      <c r="P46" s="228">
        <v>10000</v>
      </c>
      <c r="Q46" s="228">
        <v>125000000</v>
      </c>
    </row>
    <row r="47" spans="1:17">
      <c r="B47" s="165" t="s">
        <v>2064</v>
      </c>
      <c r="C47" s="165">
        <v>15200</v>
      </c>
      <c r="D47" s="228"/>
      <c r="E47" s="228"/>
      <c r="F47" s="228"/>
      <c r="G47" s="228"/>
      <c r="H47" s="228"/>
      <c r="I47" s="228"/>
      <c r="J47" s="228"/>
      <c r="K47" s="228"/>
      <c r="L47" s="228">
        <v>2000</v>
      </c>
      <c r="M47" s="228">
        <v>30400000</v>
      </c>
      <c r="N47" s="228"/>
      <c r="O47" s="228"/>
      <c r="P47" s="228">
        <v>2000</v>
      </c>
      <c r="Q47" s="228">
        <v>30400000</v>
      </c>
    </row>
    <row r="48" spans="1:17">
      <c r="B48" s="165" t="s">
        <v>2067</v>
      </c>
      <c r="C48" s="165">
        <v>5400</v>
      </c>
      <c r="D48" s="228">
        <v>5100</v>
      </c>
      <c r="E48" s="228">
        <v>27540000</v>
      </c>
      <c r="F48" s="228"/>
      <c r="G48" s="228"/>
      <c r="H48" s="228"/>
      <c r="I48" s="228"/>
      <c r="J48" s="228"/>
      <c r="K48" s="228"/>
      <c r="L48" s="228"/>
      <c r="M48" s="228"/>
      <c r="N48" s="228"/>
      <c r="O48" s="228"/>
      <c r="P48" s="228">
        <v>5100</v>
      </c>
      <c r="Q48" s="228">
        <v>27540000</v>
      </c>
    </row>
    <row r="49" spans="1:17">
      <c r="B49" s="165" t="s">
        <v>2144</v>
      </c>
      <c r="C49" s="165">
        <v>12500</v>
      </c>
      <c r="D49" s="228"/>
      <c r="E49" s="228"/>
      <c r="F49" s="228"/>
      <c r="G49" s="228"/>
      <c r="H49" s="228"/>
      <c r="I49" s="228"/>
      <c r="J49" s="228"/>
      <c r="K49" s="228"/>
      <c r="L49" s="228">
        <v>4000</v>
      </c>
      <c r="M49" s="228">
        <v>50000000</v>
      </c>
      <c r="N49" s="228"/>
      <c r="O49" s="228"/>
      <c r="P49" s="228">
        <v>4000</v>
      </c>
      <c r="Q49" s="228">
        <v>50000000</v>
      </c>
    </row>
    <row r="50" spans="1:17">
      <c r="B50" s="165" t="s">
        <v>2187</v>
      </c>
      <c r="C50" s="165">
        <v>3000</v>
      </c>
      <c r="D50" s="228"/>
      <c r="E50" s="228"/>
      <c r="F50" s="228">
        <v>0</v>
      </c>
      <c r="G50" s="228">
        <v>0</v>
      </c>
      <c r="H50" s="228"/>
      <c r="I50" s="228"/>
      <c r="J50" s="228"/>
      <c r="K50" s="228"/>
      <c r="L50" s="228"/>
      <c r="M50" s="228"/>
      <c r="N50" s="228"/>
      <c r="O50" s="228"/>
      <c r="P50" s="228">
        <v>0</v>
      </c>
      <c r="Q50" s="228">
        <v>0</v>
      </c>
    </row>
    <row r="51" spans="1:17">
      <c r="A51" s="165" t="s">
        <v>2206</v>
      </c>
      <c r="B51" s="165"/>
      <c r="C51" s="165"/>
      <c r="D51" s="228">
        <v>5100</v>
      </c>
      <c r="E51" s="228">
        <v>27540000</v>
      </c>
      <c r="F51" s="228">
        <v>0</v>
      </c>
      <c r="G51" s="228">
        <v>0</v>
      </c>
      <c r="H51" s="228"/>
      <c r="I51" s="228"/>
      <c r="J51" s="228"/>
      <c r="K51" s="228"/>
      <c r="L51" s="228">
        <v>20000</v>
      </c>
      <c r="M51" s="228">
        <v>249000000</v>
      </c>
      <c r="N51" s="228"/>
      <c r="O51" s="228"/>
      <c r="P51" s="228">
        <v>25100</v>
      </c>
      <c r="Q51" s="228">
        <v>276540000</v>
      </c>
    </row>
    <row r="52" spans="1:17">
      <c r="A52" s="165" t="s">
        <v>76</v>
      </c>
      <c r="B52" s="165" t="s">
        <v>2038</v>
      </c>
      <c r="C52" s="165">
        <v>4500</v>
      </c>
      <c r="D52" s="228"/>
      <c r="E52" s="228"/>
      <c r="F52" s="228">
        <v>0</v>
      </c>
      <c r="G52" s="228">
        <v>0</v>
      </c>
      <c r="H52" s="228"/>
      <c r="I52" s="228"/>
      <c r="J52" s="228"/>
      <c r="K52" s="228"/>
      <c r="L52" s="228"/>
      <c r="M52" s="228"/>
      <c r="N52" s="228"/>
      <c r="O52" s="228"/>
      <c r="P52" s="228">
        <v>0</v>
      </c>
      <c r="Q52" s="228">
        <v>0</v>
      </c>
    </row>
    <row r="53" spans="1:17">
      <c r="B53" s="165" t="s">
        <v>2008</v>
      </c>
      <c r="C53" s="165">
        <v>5800</v>
      </c>
      <c r="D53" s="228"/>
      <c r="E53" s="228"/>
      <c r="F53" s="228">
        <v>0</v>
      </c>
      <c r="G53" s="228">
        <v>0</v>
      </c>
      <c r="H53" s="228"/>
      <c r="I53" s="228"/>
      <c r="J53" s="228"/>
      <c r="K53" s="228"/>
      <c r="L53" s="228"/>
      <c r="M53" s="228"/>
      <c r="N53" s="228"/>
      <c r="O53" s="228"/>
      <c r="P53" s="228">
        <v>0</v>
      </c>
      <c r="Q53" s="228">
        <v>0</v>
      </c>
    </row>
    <row r="54" spans="1:17">
      <c r="B54" s="165" t="s">
        <v>2063</v>
      </c>
      <c r="C54" s="165">
        <v>12500</v>
      </c>
      <c r="D54" s="228"/>
      <c r="E54" s="228"/>
      <c r="F54" s="228"/>
      <c r="G54" s="228"/>
      <c r="H54" s="228"/>
      <c r="I54" s="228"/>
      <c r="J54" s="228"/>
      <c r="K54" s="228"/>
      <c r="L54" s="228">
        <v>20000</v>
      </c>
      <c r="M54" s="228">
        <v>250000000</v>
      </c>
      <c r="N54" s="228"/>
      <c r="O54" s="228"/>
      <c r="P54" s="228">
        <v>20000</v>
      </c>
      <c r="Q54" s="228">
        <v>250000000</v>
      </c>
    </row>
    <row r="55" spans="1:17">
      <c r="B55" s="165" t="s">
        <v>2067</v>
      </c>
      <c r="C55" s="165">
        <v>5300</v>
      </c>
      <c r="D55" s="228">
        <v>0</v>
      </c>
      <c r="E55" s="228">
        <v>0</v>
      </c>
      <c r="F55" s="228"/>
      <c r="G55" s="228"/>
      <c r="H55" s="228"/>
      <c r="I55" s="228"/>
      <c r="J55" s="228"/>
      <c r="K55" s="228"/>
      <c r="L55" s="228"/>
      <c r="M55" s="228"/>
      <c r="N55" s="228"/>
      <c r="O55" s="228"/>
      <c r="P55" s="228">
        <v>0</v>
      </c>
      <c r="Q55" s="228">
        <v>0</v>
      </c>
    </row>
    <row r="56" spans="1:17">
      <c r="B56" s="165" t="s">
        <v>2091</v>
      </c>
      <c r="C56" s="165">
        <v>5500</v>
      </c>
      <c r="D56" s="228"/>
      <c r="E56" s="228"/>
      <c r="F56" s="228">
        <v>0</v>
      </c>
      <c r="G56" s="228">
        <v>0</v>
      </c>
      <c r="H56" s="228"/>
      <c r="I56" s="228"/>
      <c r="J56" s="228"/>
      <c r="K56" s="228"/>
      <c r="L56" s="228"/>
      <c r="M56" s="228"/>
      <c r="N56" s="228"/>
      <c r="O56" s="228"/>
      <c r="P56" s="228">
        <v>0</v>
      </c>
      <c r="Q56" s="228">
        <v>0</v>
      </c>
    </row>
    <row r="57" spans="1:17">
      <c r="B57" s="165" t="s">
        <v>2100</v>
      </c>
      <c r="C57" s="165">
        <v>5400</v>
      </c>
      <c r="D57" s="228"/>
      <c r="E57" s="228"/>
      <c r="F57" s="228">
        <v>0</v>
      </c>
      <c r="G57" s="228">
        <v>0</v>
      </c>
      <c r="H57" s="228"/>
      <c r="I57" s="228"/>
      <c r="J57" s="228"/>
      <c r="K57" s="228"/>
      <c r="L57" s="228"/>
      <c r="M57" s="228"/>
      <c r="N57" s="228"/>
      <c r="O57" s="228"/>
      <c r="P57" s="228">
        <v>0</v>
      </c>
      <c r="Q57" s="228">
        <v>0</v>
      </c>
    </row>
    <row r="58" spans="1:17">
      <c r="B58" s="165" t="s">
        <v>1872</v>
      </c>
      <c r="C58" s="165">
        <v>7500</v>
      </c>
      <c r="D58" s="228"/>
      <c r="E58" s="228"/>
      <c r="F58" s="228"/>
      <c r="G58" s="228"/>
      <c r="H58" s="228">
        <v>10050</v>
      </c>
      <c r="I58" s="228">
        <v>75375000</v>
      </c>
      <c r="J58" s="228"/>
      <c r="K58" s="228"/>
      <c r="L58" s="228"/>
      <c r="M58" s="228"/>
      <c r="N58" s="228"/>
      <c r="O58" s="228"/>
      <c r="P58" s="228">
        <v>10050</v>
      </c>
      <c r="Q58" s="228">
        <v>75375000</v>
      </c>
    </row>
    <row r="59" spans="1:17">
      <c r="B59" s="165" t="s">
        <v>2144</v>
      </c>
      <c r="C59" s="165">
        <v>12500</v>
      </c>
      <c r="D59" s="228"/>
      <c r="E59" s="228"/>
      <c r="F59" s="228"/>
      <c r="G59" s="228"/>
      <c r="H59" s="228"/>
      <c r="I59" s="228"/>
      <c r="J59" s="228"/>
      <c r="K59" s="228"/>
      <c r="L59" s="228">
        <v>20000</v>
      </c>
      <c r="M59" s="228">
        <v>250000000</v>
      </c>
      <c r="N59" s="228"/>
      <c r="O59" s="228"/>
      <c r="P59" s="228">
        <v>20000</v>
      </c>
      <c r="Q59" s="228">
        <v>250000000</v>
      </c>
    </row>
    <row r="60" spans="1:17">
      <c r="B60" s="165" t="s">
        <v>2150</v>
      </c>
      <c r="C60" s="165">
        <v>5500</v>
      </c>
      <c r="D60" s="228"/>
      <c r="E60" s="228"/>
      <c r="F60" s="228">
        <v>0</v>
      </c>
      <c r="G60" s="228">
        <v>0</v>
      </c>
      <c r="H60" s="228"/>
      <c r="I60" s="228"/>
      <c r="J60" s="228"/>
      <c r="K60" s="228"/>
      <c r="L60" s="228"/>
      <c r="M60" s="228"/>
      <c r="N60" s="228"/>
      <c r="O60" s="228"/>
      <c r="P60" s="228">
        <v>0</v>
      </c>
      <c r="Q60" s="228">
        <v>0</v>
      </c>
    </row>
    <row r="61" spans="1:17">
      <c r="C61" s="165">
        <v>5800</v>
      </c>
      <c r="D61" s="228"/>
      <c r="E61" s="228"/>
      <c r="F61" s="228"/>
      <c r="G61" s="228"/>
      <c r="H61" s="228">
        <v>10200</v>
      </c>
      <c r="I61" s="228">
        <v>59160000</v>
      </c>
      <c r="J61" s="228"/>
      <c r="K61" s="228"/>
      <c r="L61" s="228"/>
      <c r="M61" s="228"/>
      <c r="N61" s="228"/>
      <c r="O61" s="228"/>
      <c r="P61" s="228">
        <v>10200</v>
      </c>
      <c r="Q61" s="228">
        <v>59160000</v>
      </c>
    </row>
    <row r="62" spans="1:17">
      <c r="B62" s="165" t="s">
        <v>2199</v>
      </c>
      <c r="C62" s="165">
        <v>6700</v>
      </c>
      <c r="D62" s="228"/>
      <c r="E62" s="228"/>
      <c r="F62" s="228"/>
      <c r="G62" s="228"/>
      <c r="H62" s="228"/>
      <c r="I62" s="228"/>
      <c r="J62" s="228"/>
      <c r="K62" s="228"/>
      <c r="L62" s="228">
        <v>10000</v>
      </c>
      <c r="M62" s="228">
        <v>67000000</v>
      </c>
      <c r="N62" s="228"/>
      <c r="O62" s="228"/>
      <c r="P62" s="228">
        <v>10000</v>
      </c>
      <c r="Q62" s="228">
        <v>67000000</v>
      </c>
    </row>
    <row r="63" spans="1:17">
      <c r="A63" s="165" t="s">
        <v>2207</v>
      </c>
      <c r="B63" s="165"/>
      <c r="C63" s="165"/>
      <c r="D63" s="228">
        <v>0</v>
      </c>
      <c r="E63" s="228">
        <v>0</v>
      </c>
      <c r="F63" s="228">
        <v>0</v>
      </c>
      <c r="G63" s="228">
        <v>0</v>
      </c>
      <c r="H63" s="228">
        <v>20250</v>
      </c>
      <c r="I63" s="228">
        <v>134535000</v>
      </c>
      <c r="J63" s="228"/>
      <c r="K63" s="228"/>
      <c r="L63" s="228">
        <v>50000</v>
      </c>
      <c r="M63" s="228">
        <v>567000000</v>
      </c>
      <c r="N63" s="228"/>
      <c r="O63" s="228"/>
      <c r="P63" s="228">
        <v>70250</v>
      </c>
      <c r="Q63" s="228">
        <v>701535000</v>
      </c>
    </row>
    <row r="64" spans="1:17">
      <c r="A64" s="165" t="s">
        <v>1379</v>
      </c>
      <c r="B64" s="165" t="s">
        <v>2011</v>
      </c>
      <c r="C64" s="165">
        <v>10600</v>
      </c>
      <c r="D64" s="228"/>
      <c r="E64" s="228"/>
      <c r="F64" s="228"/>
      <c r="G64" s="228"/>
      <c r="H64" s="228"/>
      <c r="I64" s="228"/>
      <c r="J64" s="228"/>
      <c r="K64" s="228"/>
      <c r="L64" s="228">
        <v>3000</v>
      </c>
      <c r="M64" s="228">
        <v>31800000</v>
      </c>
      <c r="N64" s="228"/>
      <c r="O64" s="228"/>
      <c r="P64" s="228">
        <v>3000</v>
      </c>
      <c r="Q64" s="228">
        <v>31800000</v>
      </c>
    </row>
    <row r="65" spans="1:17">
      <c r="B65" s="165" t="s">
        <v>2064</v>
      </c>
      <c r="C65" s="165">
        <v>15200</v>
      </c>
      <c r="D65" s="228"/>
      <c r="E65" s="228"/>
      <c r="F65" s="228"/>
      <c r="G65" s="228"/>
      <c r="H65" s="228"/>
      <c r="I65" s="228"/>
      <c r="J65" s="228"/>
      <c r="K65" s="228"/>
      <c r="L65" s="228">
        <v>1600</v>
      </c>
      <c r="M65" s="228">
        <v>24320000</v>
      </c>
      <c r="N65" s="228"/>
      <c r="O65" s="228"/>
      <c r="P65" s="228">
        <v>1600</v>
      </c>
      <c r="Q65" s="228">
        <v>24320000</v>
      </c>
    </row>
    <row r="66" spans="1:17">
      <c r="B66" s="165" t="s">
        <v>2015</v>
      </c>
      <c r="C66" s="165">
        <v>10700</v>
      </c>
      <c r="D66" s="228"/>
      <c r="E66" s="228"/>
      <c r="F66" s="228"/>
      <c r="G66" s="228"/>
      <c r="H66" s="228"/>
      <c r="I66" s="228"/>
      <c r="J66" s="228"/>
      <c r="K66" s="228"/>
      <c r="L66" s="228">
        <v>500</v>
      </c>
      <c r="M66" s="228">
        <v>5350000</v>
      </c>
      <c r="N66" s="228"/>
      <c r="O66" s="228"/>
      <c r="P66" s="228">
        <v>500</v>
      </c>
      <c r="Q66" s="228">
        <v>5350000</v>
      </c>
    </row>
    <row r="67" spans="1:17">
      <c r="A67" s="165" t="s">
        <v>2208</v>
      </c>
      <c r="B67" s="165"/>
      <c r="C67" s="165"/>
      <c r="D67" s="228"/>
      <c r="E67" s="228"/>
      <c r="F67" s="228"/>
      <c r="G67" s="228"/>
      <c r="H67" s="228"/>
      <c r="I67" s="228"/>
      <c r="J67" s="228"/>
      <c r="K67" s="228"/>
      <c r="L67" s="228">
        <v>5100</v>
      </c>
      <c r="M67" s="228">
        <v>61470000</v>
      </c>
      <c r="N67" s="228"/>
      <c r="O67" s="228"/>
      <c r="P67" s="228">
        <v>5100</v>
      </c>
      <c r="Q67" s="228">
        <v>61470000</v>
      </c>
    </row>
    <row r="68" spans="1:17">
      <c r="A68" s="165" t="s">
        <v>1241</v>
      </c>
      <c r="B68" s="165" t="s">
        <v>2025</v>
      </c>
      <c r="C68" s="165">
        <v>4000</v>
      </c>
      <c r="D68" s="228"/>
      <c r="E68" s="228"/>
      <c r="F68" s="228">
        <v>0</v>
      </c>
      <c r="G68" s="228">
        <v>0</v>
      </c>
      <c r="H68" s="228"/>
      <c r="I68" s="228"/>
      <c r="J68" s="228"/>
      <c r="K68" s="228"/>
      <c r="L68" s="228"/>
      <c r="M68" s="228"/>
      <c r="N68" s="228"/>
      <c r="O68" s="228"/>
      <c r="P68" s="228">
        <v>0</v>
      </c>
      <c r="Q68" s="228">
        <v>0</v>
      </c>
    </row>
    <row r="69" spans="1:17">
      <c r="B69" s="165" t="s">
        <v>2027</v>
      </c>
      <c r="C69" s="165">
        <v>2800</v>
      </c>
      <c r="D69" s="228"/>
      <c r="E69" s="228"/>
      <c r="F69" s="228">
        <v>0</v>
      </c>
      <c r="G69" s="228">
        <v>0</v>
      </c>
      <c r="H69" s="228"/>
      <c r="I69" s="228"/>
      <c r="J69" s="228"/>
      <c r="K69" s="228"/>
      <c r="L69" s="228"/>
      <c r="M69" s="228"/>
      <c r="N69" s="228"/>
      <c r="O69" s="228"/>
      <c r="P69" s="228">
        <v>0</v>
      </c>
      <c r="Q69" s="228">
        <v>0</v>
      </c>
    </row>
    <row r="70" spans="1:17">
      <c r="B70" s="165" t="s">
        <v>2028</v>
      </c>
      <c r="C70" s="165">
        <v>4200</v>
      </c>
      <c r="D70" s="228"/>
      <c r="E70" s="228"/>
      <c r="F70" s="228">
        <v>0</v>
      </c>
      <c r="G70" s="228">
        <v>0</v>
      </c>
      <c r="H70" s="228"/>
      <c r="I70" s="228"/>
      <c r="J70" s="228"/>
      <c r="K70" s="228"/>
      <c r="L70" s="228"/>
      <c r="M70" s="228"/>
      <c r="N70" s="228"/>
      <c r="O70" s="228"/>
      <c r="P70" s="228">
        <v>0</v>
      </c>
      <c r="Q70" s="228">
        <v>0</v>
      </c>
    </row>
    <row r="71" spans="1:17">
      <c r="C71" s="165">
        <v>4400</v>
      </c>
      <c r="D71" s="228"/>
      <c r="E71" s="228"/>
      <c r="F71" s="228">
        <v>0</v>
      </c>
      <c r="G71" s="228">
        <v>0</v>
      </c>
      <c r="H71" s="228">
        <v>8800</v>
      </c>
      <c r="I71" s="228">
        <v>38720000</v>
      </c>
      <c r="J71" s="228"/>
      <c r="K71" s="228"/>
      <c r="L71" s="228"/>
      <c r="M71" s="228"/>
      <c r="N71" s="228"/>
      <c r="O71" s="228"/>
      <c r="P71" s="228">
        <v>8800</v>
      </c>
      <c r="Q71" s="228">
        <v>38720000</v>
      </c>
    </row>
    <row r="72" spans="1:17">
      <c r="B72" s="165" t="s">
        <v>2029</v>
      </c>
      <c r="C72" s="165">
        <v>4200</v>
      </c>
      <c r="D72" s="228"/>
      <c r="E72" s="228"/>
      <c r="F72" s="228">
        <v>0</v>
      </c>
      <c r="G72" s="228">
        <v>0</v>
      </c>
      <c r="H72" s="228"/>
      <c r="I72" s="228"/>
      <c r="J72" s="228"/>
      <c r="K72" s="228"/>
      <c r="L72" s="228"/>
      <c r="M72" s="228"/>
      <c r="N72" s="228"/>
      <c r="O72" s="228"/>
      <c r="P72" s="228">
        <v>0</v>
      </c>
      <c r="Q72" s="228">
        <v>0</v>
      </c>
    </row>
    <row r="73" spans="1:17">
      <c r="C73" s="165">
        <v>4400</v>
      </c>
      <c r="D73" s="228"/>
      <c r="E73" s="228"/>
      <c r="F73" s="228">
        <v>0</v>
      </c>
      <c r="G73" s="228">
        <v>0</v>
      </c>
      <c r="H73" s="228"/>
      <c r="I73" s="228"/>
      <c r="J73" s="228"/>
      <c r="K73" s="228"/>
      <c r="L73" s="228"/>
      <c r="M73" s="228"/>
      <c r="N73" s="228"/>
      <c r="O73" s="228"/>
      <c r="P73" s="228">
        <v>0</v>
      </c>
      <c r="Q73" s="228">
        <v>0</v>
      </c>
    </row>
    <row r="74" spans="1:17">
      <c r="C74" s="165">
        <v>4600</v>
      </c>
      <c r="D74" s="228"/>
      <c r="E74" s="228"/>
      <c r="F74" s="228"/>
      <c r="G74" s="228"/>
      <c r="H74" s="228">
        <v>80100</v>
      </c>
      <c r="I74" s="228">
        <v>368460000</v>
      </c>
      <c r="J74" s="228"/>
      <c r="K74" s="228"/>
      <c r="L74" s="228"/>
      <c r="M74" s="228"/>
      <c r="N74" s="228"/>
      <c r="O74" s="228"/>
      <c r="P74" s="228">
        <v>80100</v>
      </c>
      <c r="Q74" s="228">
        <v>368460000</v>
      </c>
    </row>
    <row r="75" spans="1:17">
      <c r="B75" s="165" t="s">
        <v>2047</v>
      </c>
      <c r="C75" s="165" t="s">
        <v>385</v>
      </c>
      <c r="D75" s="228">
        <v>0</v>
      </c>
      <c r="E75" s="228">
        <v>0</v>
      </c>
      <c r="F75" s="228"/>
      <c r="G75" s="228"/>
      <c r="H75" s="228"/>
      <c r="I75" s="228"/>
      <c r="J75" s="228"/>
      <c r="K75" s="228"/>
      <c r="L75" s="228"/>
      <c r="M75" s="228"/>
      <c r="N75" s="228"/>
      <c r="O75" s="228"/>
      <c r="P75" s="228">
        <v>0</v>
      </c>
      <c r="Q75" s="228">
        <v>0</v>
      </c>
    </row>
    <row r="76" spans="1:17">
      <c r="B76" s="165" t="s">
        <v>2057</v>
      </c>
      <c r="C76" s="165">
        <v>6700</v>
      </c>
      <c r="D76" s="228"/>
      <c r="E76" s="228"/>
      <c r="F76" s="228">
        <v>0</v>
      </c>
      <c r="G76" s="228">
        <v>0</v>
      </c>
      <c r="H76" s="228"/>
      <c r="I76" s="228"/>
      <c r="J76" s="228"/>
      <c r="K76" s="228"/>
      <c r="L76" s="228"/>
      <c r="M76" s="228"/>
      <c r="N76" s="228"/>
      <c r="O76" s="228"/>
      <c r="P76" s="228">
        <v>0</v>
      </c>
      <c r="Q76" s="228">
        <v>0</v>
      </c>
    </row>
    <row r="77" spans="1:17">
      <c r="B77" s="165" t="s">
        <v>2060</v>
      </c>
      <c r="C77" s="165">
        <v>7500</v>
      </c>
      <c r="D77" s="228"/>
      <c r="E77" s="228"/>
      <c r="F77" s="228"/>
      <c r="G77" s="228"/>
      <c r="H77" s="228"/>
      <c r="I77" s="228"/>
      <c r="J77" s="228"/>
      <c r="K77" s="228"/>
      <c r="L77" s="228">
        <v>3000</v>
      </c>
      <c r="M77" s="228">
        <v>22500000</v>
      </c>
      <c r="N77" s="228"/>
      <c r="O77" s="228"/>
      <c r="P77" s="228">
        <v>3000</v>
      </c>
      <c r="Q77" s="228">
        <v>22500000</v>
      </c>
    </row>
    <row r="78" spans="1:17">
      <c r="B78" s="165" t="s">
        <v>2011</v>
      </c>
      <c r="C78" s="165">
        <v>10600</v>
      </c>
      <c r="D78" s="228"/>
      <c r="E78" s="228"/>
      <c r="F78" s="228"/>
      <c r="G78" s="228"/>
      <c r="H78" s="228"/>
      <c r="I78" s="228"/>
      <c r="J78" s="228"/>
      <c r="K78" s="228"/>
      <c r="L78" s="228">
        <v>10000</v>
      </c>
      <c r="M78" s="228">
        <v>106000000</v>
      </c>
      <c r="N78" s="228"/>
      <c r="O78" s="228"/>
      <c r="P78" s="228">
        <v>10000</v>
      </c>
      <c r="Q78" s="228">
        <v>106000000</v>
      </c>
    </row>
    <row r="79" spans="1:17">
      <c r="B79" s="165" t="s">
        <v>2074</v>
      </c>
      <c r="C79" s="165">
        <v>4300</v>
      </c>
      <c r="D79" s="228"/>
      <c r="E79" s="228"/>
      <c r="F79" s="228"/>
      <c r="G79" s="228"/>
      <c r="H79" s="228">
        <v>900</v>
      </c>
      <c r="I79" s="228">
        <v>3870000</v>
      </c>
      <c r="J79" s="228"/>
      <c r="K79" s="228"/>
      <c r="L79" s="228"/>
      <c r="M79" s="228"/>
      <c r="N79" s="228"/>
      <c r="O79" s="228"/>
      <c r="P79" s="228">
        <v>900</v>
      </c>
      <c r="Q79" s="228">
        <v>3870000</v>
      </c>
    </row>
    <row r="80" spans="1:17">
      <c r="B80" s="165" t="s">
        <v>2077</v>
      </c>
      <c r="C80" s="165">
        <v>5375</v>
      </c>
      <c r="D80" s="228"/>
      <c r="E80" s="228"/>
      <c r="F80" s="228">
        <v>0</v>
      </c>
      <c r="G80" s="228">
        <v>0</v>
      </c>
      <c r="H80" s="228"/>
      <c r="I80" s="228"/>
      <c r="J80" s="228"/>
      <c r="K80" s="228"/>
      <c r="L80" s="228"/>
      <c r="M80" s="228"/>
      <c r="N80" s="228"/>
      <c r="O80" s="228"/>
      <c r="P80" s="228">
        <v>0</v>
      </c>
      <c r="Q80" s="228">
        <v>0</v>
      </c>
    </row>
    <row r="81" spans="2:17">
      <c r="B81" s="165" t="s">
        <v>2080</v>
      </c>
      <c r="C81" s="165">
        <v>3200</v>
      </c>
      <c r="D81" s="228"/>
      <c r="E81" s="228"/>
      <c r="F81" s="228"/>
      <c r="G81" s="228"/>
      <c r="H81" s="228">
        <v>6000</v>
      </c>
      <c r="I81" s="228">
        <v>19200000</v>
      </c>
      <c r="J81" s="228"/>
      <c r="K81" s="228"/>
      <c r="L81" s="228"/>
      <c r="M81" s="228"/>
      <c r="N81" s="228"/>
      <c r="O81" s="228"/>
      <c r="P81" s="228">
        <v>6000</v>
      </c>
      <c r="Q81" s="228">
        <v>19200000</v>
      </c>
    </row>
    <row r="82" spans="2:17">
      <c r="B82" s="165" t="s">
        <v>2083</v>
      </c>
      <c r="C82" s="165">
        <v>3000</v>
      </c>
      <c r="D82" s="228"/>
      <c r="E82" s="228"/>
      <c r="F82" s="228">
        <v>0</v>
      </c>
      <c r="G82" s="228">
        <v>0</v>
      </c>
      <c r="H82" s="228"/>
      <c r="I82" s="228"/>
      <c r="J82" s="228"/>
      <c r="K82" s="228"/>
      <c r="L82" s="228"/>
      <c r="M82" s="228"/>
      <c r="N82" s="228"/>
      <c r="O82" s="228"/>
      <c r="P82" s="228">
        <v>0</v>
      </c>
      <c r="Q82" s="228">
        <v>0</v>
      </c>
    </row>
    <row r="83" spans="2:17">
      <c r="B83" s="165" t="s">
        <v>2091</v>
      </c>
      <c r="C83" s="165">
        <v>5800</v>
      </c>
      <c r="D83" s="228"/>
      <c r="E83" s="228"/>
      <c r="F83" s="228">
        <v>0</v>
      </c>
      <c r="G83" s="228">
        <v>0</v>
      </c>
      <c r="H83" s="228"/>
      <c r="I83" s="228"/>
      <c r="J83" s="228"/>
      <c r="K83" s="228"/>
      <c r="L83" s="228"/>
      <c r="M83" s="228"/>
      <c r="N83" s="228"/>
      <c r="O83" s="228"/>
      <c r="P83" s="228">
        <v>0</v>
      </c>
      <c r="Q83" s="228">
        <v>0</v>
      </c>
    </row>
    <row r="84" spans="2:17">
      <c r="B84" s="165" t="s">
        <v>2100</v>
      </c>
      <c r="C84" s="165">
        <v>5000</v>
      </c>
      <c r="D84" s="228">
        <v>0</v>
      </c>
      <c r="E84" s="228">
        <v>0</v>
      </c>
      <c r="F84" s="228"/>
      <c r="G84" s="228"/>
      <c r="H84" s="228"/>
      <c r="I84" s="228"/>
      <c r="J84" s="228"/>
      <c r="K84" s="228"/>
      <c r="L84" s="228"/>
      <c r="M84" s="228"/>
      <c r="N84" s="228"/>
      <c r="O84" s="228"/>
      <c r="P84" s="228">
        <v>0</v>
      </c>
      <c r="Q84" s="228">
        <v>0</v>
      </c>
    </row>
    <row r="85" spans="2:17">
      <c r="C85" s="165">
        <v>5400</v>
      </c>
      <c r="D85" s="228">
        <v>0</v>
      </c>
      <c r="E85" s="228">
        <v>0</v>
      </c>
      <c r="F85" s="228"/>
      <c r="G85" s="228"/>
      <c r="H85" s="228"/>
      <c r="I85" s="228"/>
      <c r="J85" s="228"/>
      <c r="K85" s="228"/>
      <c r="L85" s="228"/>
      <c r="M85" s="228"/>
      <c r="N85" s="228"/>
      <c r="O85" s="228"/>
      <c r="P85" s="228">
        <v>0</v>
      </c>
      <c r="Q85" s="228">
        <v>0</v>
      </c>
    </row>
    <row r="86" spans="2:17">
      <c r="B86" s="165" t="s">
        <v>2110</v>
      </c>
      <c r="C86" s="165">
        <v>6000</v>
      </c>
      <c r="D86" s="228"/>
      <c r="E86" s="228"/>
      <c r="F86" s="228">
        <v>0</v>
      </c>
      <c r="G86" s="228">
        <v>0</v>
      </c>
      <c r="H86" s="228"/>
      <c r="I86" s="228"/>
      <c r="J86" s="228"/>
      <c r="K86" s="228"/>
      <c r="L86" s="228"/>
      <c r="M86" s="228"/>
      <c r="N86" s="228"/>
      <c r="O86" s="228"/>
      <c r="P86" s="228">
        <v>0</v>
      </c>
      <c r="Q86" s="228">
        <v>0</v>
      </c>
    </row>
    <row r="87" spans="2:17">
      <c r="B87" s="165" t="s">
        <v>2116</v>
      </c>
      <c r="C87" s="165">
        <v>3000</v>
      </c>
      <c r="D87" s="228"/>
      <c r="E87" s="228"/>
      <c r="F87" s="228">
        <v>0</v>
      </c>
      <c r="G87" s="228">
        <v>0</v>
      </c>
      <c r="H87" s="228"/>
      <c r="I87" s="228"/>
      <c r="J87" s="228"/>
      <c r="K87" s="228"/>
      <c r="L87" s="228"/>
      <c r="M87" s="228"/>
      <c r="N87" s="228"/>
      <c r="O87" s="228"/>
      <c r="P87" s="228">
        <v>0</v>
      </c>
      <c r="Q87" s="228">
        <v>0</v>
      </c>
    </row>
    <row r="88" spans="2:17">
      <c r="B88" s="165" t="s">
        <v>2124</v>
      </c>
      <c r="C88" s="165">
        <v>2000</v>
      </c>
      <c r="D88" s="228"/>
      <c r="E88" s="228"/>
      <c r="F88" s="228">
        <v>0</v>
      </c>
      <c r="G88" s="228">
        <v>0</v>
      </c>
      <c r="H88" s="228"/>
      <c r="I88" s="228"/>
      <c r="J88" s="228"/>
      <c r="K88" s="228"/>
      <c r="L88" s="228"/>
      <c r="M88" s="228"/>
      <c r="N88" s="228"/>
      <c r="O88" s="228"/>
      <c r="P88" s="228">
        <v>0</v>
      </c>
      <c r="Q88" s="228">
        <v>0</v>
      </c>
    </row>
    <row r="89" spans="2:17">
      <c r="B89" s="165" t="s">
        <v>2125</v>
      </c>
      <c r="C89" s="165">
        <v>2800</v>
      </c>
      <c r="D89" s="228"/>
      <c r="E89" s="228"/>
      <c r="F89" s="228">
        <v>0</v>
      </c>
      <c r="G89" s="228">
        <v>0</v>
      </c>
      <c r="H89" s="228"/>
      <c r="I89" s="228"/>
      <c r="J89" s="228"/>
      <c r="K89" s="228"/>
      <c r="L89" s="228"/>
      <c r="M89" s="228"/>
      <c r="N89" s="228"/>
      <c r="O89" s="228"/>
      <c r="P89" s="228">
        <v>0</v>
      </c>
      <c r="Q89" s="228">
        <v>0</v>
      </c>
    </row>
    <row r="90" spans="2:17">
      <c r="C90" s="165">
        <v>2900</v>
      </c>
      <c r="D90" s="228">
        <v>6000</v>
      </c>
      <c r="E90" s="228">
        <v>17400000</v>
      </c>
      <c r="F90" s="228"/>
      <c r="G90" s="228"/>
      <c r="H90" s="228"/>
      <c r="I90" s="228"/>
      <c r="J90" s="228"/>
      <c r="K90" s="228"/>
      <c r="L90" s="228"/>
      <c r="M90" s="228"/>
      <c r="N90" s="228"/>
      <c r="O90" s="228"/>
      <c r="P90" s="228">
        <v>6000</v>
      </c>
      <c r="Q90" s="228">
        <v>17400000</v>
      </c>
    </row>
    <row r="91" spans="2:17">
      <c r="C91" s="165">
        <v>3300</v>
      </c>
      <c r="D91" s="228"/>
      <c r="E91" s="228"/>
      <c r="F91" s="228"/>
      <c r="G91" s="228"/>
      <c r="H91" s="228"/>
      <c r="I91" s="228"/>
      <c r="J91" s="228"/>
      <c r="K91" s="228"/>
      <c r="L91" s="228">
        <v>13200</v>
      </c>
      <c r="M91" s="228">
        <v>43560000</v>
      </c>
      <c r="N91" s="228"/>
      <c r="O91" s="228"/>
      <c r="P91" s="228">
        <v>13200</v>
      </c>
      <c r="Q91" s="228">
        <v>43560000</v>
      </c>
    </row>
    <row r="92" spans="2:17">
      <c r="B92" s="165" t="s">
        <v>2126</v>
      </c>
      <c r="C92" s="165">
        <v>4400</v>
      </c>
      <c r="D92" s="228"/>
      <c r="E92" s="228"/>
      <c r="F92" s="228"/>
      <c r="G92" s="228"/>
      <c r="H92" s="228"/>
      <c r="I92" s="228"/>
      <c r="J92" s="228">
        <v>3900</v>
      </c>
      <c r="K92" s="228">
        <v>17160000</v>
      </c>
      <c r="L92" s="228"/>
      <c r="M92" s="228"/>
      <c r="N92" s="228"/>
      <c r="O92" s="228"/>
      <c r="P92" s="228">
        <v>3900</v>
      </c>
      <c r="Q92" s="228">
        <v>17160000</v>
      </c>
    </row>
    <row r="93" spans="2:17">
      <c r="C93" s="165">
        <v>4500</v>
      </c>
      <c r="D93" s="228">
        <v>0</v>
      </c>
      <c r="E93" s="228">
        <v>0</v>
      </c>
      <c r="F93" s="228"/>
      <c r="G93" s="228"/>
      <c r="H93" s="228"/>
      <c r="I93" s="228"/>
      <c r="J93" s="228"/>
      <c r="K93" s="228"/>
      <c r="L93" s="228"/>
      <c r="M93" s="228"/>
      <c r="N93" s="228"/>
      <c r="O93" s="228"/>
      <c r="P93" s="228">
        <v>0</v>
      </c>
      <c r="Q93" s="228">
        <v>0</v>
      </c>
    </row>
    <row r="94" spans="2:17">
      <c r="B94" s="165" t="s">
        <v>2127</v>
      </c>
      <c r="C94" s="165">
        <v>6100</v>
      </c>
      <c r="D94" s="228"/>
      <c r="E94" s="228"/>
      <c r="F94" s="228"/>
      <c r="G94" s="228"/>
      <c r="H94" s="228"/>
      <c r="I94" s="228"/>
      <c r="J94" s="228"/>
      <c r="K94" s="228"/>
      <c r="L94" s="228">
        <v>5000</v>
      </c>
      <c r="M94" s="228">
        <v>30500000</v>
      </c>
      <c r="N94" s="228"/>
      <c r="O94" s="228"/>
      <c r="P94" s="228">
        <v>5000</v>
      </c>
      <c r="Q94" s="228">
        <v>30500000</v>
      </c>
    </row>
    <row r="95" spans="2:17">
      <c r="B95" s="165" t="s">
        <v>2130</v>
      </c>
      <c r="C95" s="165">
        <v>4800</v>
      </c>
      <c r="D95" s="228"/>
      <c r="E95" s="228"/>
      <c r="F95" s="228">
        <v>0</v>
      </c>
      <c r="G95" s="228">
        <v>0</v>
      </c>
      <c r="H95" s="228"/>
      <c r="I95" s="228"/>
      <c r="J95" s="228"/>
      <c r="K95" s="228"/>
      <c r="L95" s="228"/>
      <c r="M95" s="228"/>
      <c r="N95" s="228"/>
      <c r="O95" s="228"/>
      <c r="P95" s="228">
        <v>0</v>
      </c>
      <c r="Q95" s="228">
        <v>0</v>
      </c>
    </row>
    <row r="96" spans="2:17">
      <c r="C96" s="165">
        <v>5000</v>
      </c>
      <c r="D96" s="228">
        <v>0</v>
      </c>
      <c r="E96" s="228">
        <v>0</v>
      </c>
      <c r="F96" s="228"/>
      <c r="G96" s="228"/>
      <c r="H96" s="228"/>
      <c r="I96" s="228"/>
      <c r="J96" s="228"/>
      <c r="K96" s="228"/>
      <c r="L96" s="228"/>
      <c r="M96" s="228"/>
      <c r="N96" s="228"/>
      <c r="O96" s="228"/>
      <c r="P96" s="228">
        <v>0</v>
      </c>
      <c r="Q96" s="228">
        <v>0</v>
      </c>
    </row>
    <row r="97" spans="2:17">
      <c r="B97" s="165" t="s">
        <v>2132</v>
      </c>
      <c r="C97" s="165">
        <v>6700</v>
      </c>
      <c r="D97" s="228">
        <v>0</v>
      </c>
      <c r="E97" s="228">
        <v>0</v>
      </c>
      <c r="F97" s="228"/>
      <c r="G97" s="228"/>
      <c r="H97" s="228"/>
      <c r="I97" s="228"/>
      <c r="J97" s="228"/>
      <c r="K97" s="228"/>
      <c r="L97" s="228"/>
      <c r="M97" s="228"/>
      <c r="N97" s="228"/>
      <c r="O97" s="228"/>
      <c r="P97" s="228">
        <v>0</v>
      </c>
      <c r="Q97" s="228">
        <v>0</v>
      </c>
    </row>
    <row r="98" spans="2:17">
      <c r="B98" s="165" t="s">
        <v>2136</v>
      </c>
      <c r="C98" s="165">
        <v>13000</v>
      </c>
      <c r="D98" s="228">
        <v>0</v>
      </c>
      <c r="E98" s="228">
        <v>0</v>
      </c>
      <c r="F98" s="228"/>
      <c r="G98" s="228"/>
      <c r="H98" s="228"/>
      <c r="I98" s="228"/>
      <c r="J98" s="228"/>
      <c r="K98" s="228"/>
      <c r="L98" s="228"/>
      <c r="M98" s="228"/>
      <c r="N98" s="228"/>
      <c r="O98" s="228"/>
      <c r="P98" s="228">
        <v>0</v>
      </c>
      <c r="Q98" s="228">
        <v>0</v>
      </c>
    </row>
    <row r="99" spans="2:17">
      <c r="B99" s="165" t="s">
        <v>1872</v>
      </c>
      <c r="C99" s="165">
        <v>7500</v>
      </c>
      <c r="D99" s="228"/>
      <c r="E99" s="228"/>
      <c r="F99" s="228"/>
      <c r="G99" s="228"/>
      <c r="H99" s="228"/>
      <c r="I99" s="228"/>
      <c r="J99" s="228"/>
      <c r="K99" s="228"/>
      <c r="L99" s="228">
        <v>28050</v>
      </c>
      <c r="M99" s="228">
        <v>210375000</v>
      </c>
      <c r="N99" s="228"/>
      <c r="O99" s="228"/>
      <c r="P99" s="228">
        <v>28050</v>
      </c>
      <c r="Q99" s="228">
        <v>210375000</v>
      </c>
    </row>
    <row r="100" spans="2:17">
      <c r="C100" s="165">
        <v>8500</v>
      </c>
      <c r="D100" s="228"/>
      <c r="E100" s="228"/>
      <c r="F100" s="228"/>
      <c r="G100" s="228"/>
      <c r="H100" s="228"/>
      <c r="I100" s="228"/>
      <c r="J100" s="228"/>
      <c r="K100" s="228"/>
      <c r="L100" s="228">
        <v>6000</v>
      </c>
      <c r="M100" s="228">
        <v>51000000</v>
      </c>
      <c r="N100" s="228"/>
      <c r="O100" s="228"/>
      <c r="P100" s="228">
        <v>6000</v>
      </c>
      <c r="Q100" s="228">
        <v>51000000</v>
      </c>
    </row>
    <row r="101" spans="2:17">
      <c r="B101" s="165" t="s">
        <v>2015</v>
      </c>
      <c r="C101" s="165">
        <v>10500</v>
      </c>
      <c r="D101" s="228"/>
      <c r="E101" s="228"/>
      <c r="F101" s="228"/>
      <c r="G101" s="228"/>
      <c r="H101" s="228"/>
      <c r="I101" s="228"/>
      <c r="J101" s="228"/>
      <c r="K101" s="228"/>
      <c r="L101" s="228">
        <v>51000</v>
      </c>
      <c r="M101" s="228">
        <v>535500000</v>
      </c>
      <c r="N101" s="228"/>
      <c r="O101" s="228"/>
      <c r="P101" s="228">
        <v>51000</v>
      </c>
      <c r="Q101" s="228">
        <v>535500000</v>
      </c>
    </row>
    <row r="102" spans="2:17">
      <c r="B102" s="165" t="s">
        <v>2150</v>
      </c>
      <c r="C102" s="165">
        <v>5500</v>
      </c>
      <c r="D102" s="228"/>
      <c r="E102" s="228"/>
      <c r="F102" s="228">
        <v>0</v>
      </c>
      <c r="G102" s="228">
        <v>0</v>
      </c>
      <c r="H102" s="228"/>
      <c r="I102" s="228"/>
      <c r="J102" s="228"/>
      <c r="K102" s="228"/>
      <c r="L102" s="228"/>
      <c r="M102" s="228"/>
      <c r="N102" s="228"/>
      <c r="O102" s="228"/>
      <c r="P102" s="228">
        <v>0</v>
      </c>
      <c r="Q102" s="228">
        <v>0</v>
      </c>
    </row>
    <row r="103" spans="2:17">
      <c r="B103" s="165" t="s">
        <v>2156</v>
      </c>
      <c r="C103" s="165">
        <v>4000</v>
      </c>
      <c r="D103" s="228"/>
      <c r="E103" s="228"/>
      <c r="F103" s="228">
        <v>0</v>
      </c>
      <c r="G103" s="228">
        <v>0</v>
      </c>
      <c r="H103" s="228"/>
      <c r="I103" s="228"/>
      <c r="J103" s="228"/>
      <c r="K103" s="228"/>
      <c r="L103" s="228"/>
      <c r="M103" s="228"/>
      <c r="N103" s="228"/>
      <c r="O103" s="228"/>
      <c r="P103" s="228">
        <v>0</v>
      </c>
      <c r="Q103" s="228">
        <v>0</v>
      </c>
    </row>
    <row r="104" spans="2:17">
      <c r="B104" s="165" t="s">
        <v>2166</v>
      </c>
      <c r="C104" s="165">
        <v>2800</v>
      </c>
      <c r="D104" s="228"/>
      <c r="E104" s="228"/>
      <c r="F104" s="228">
        <v>0</v>
      </c>
      <c r="G104" s="228">
        <v>0</v>
      </c>
      <c r="H104" s="228"/>
      <c r="I104" s="228"/>
      <c r="J104" s="228"/>
      <c r="K104" s="228"/>
      <c r="L104" s="228"/>
      <c r="M104" s="228"/>
      <c r="N104" s="228"/>
      <c r="O104" s="228"/>
      <c r="P104" s="228">
        <v>0</v>
      </c>
      <c r="Q104" s="228">
        <v>0</v>
      </c>
    </row>
    <row r="105" spans="2:17">
      <c r="B105" s="165" t="s">
        <v>2167</v>
      </c>
      <c r="C105" s="165">
        <v>3000</v>
      </c>
      <c r="D105" s="228"/>
      <c r="E105" s="228"/>
      <c r="F105" s="228">
        <v>0</v>
      </c>
      <c r="G105" s="228">
        <v>0</v>
      </c>
      <c r="H105" s="228"/>
      <c r="I105" s="228"/>
      <c r="J105" s="228"/>
      <c r="K105" s="228"/>
      <c r="L105" s="228"/>
      <c r="M105" s="228"/>
      <c r="N105" s="228"/>
      <c r="O105" s="228"/>
      <c r="P105" s="228">
        <v>0</v>
      </c>
      <c r="Q105" s="228">
        <v>0</v>
      </c>
    </row>
    <row r="106" spans="2:17">
      <c r="B106" s="165" t="s">
        <v>2169</v>
      </c>
      <c r="C106" s="165">
        <v>4600</v>
      </c>
      <c r="D106" s="228"/>
      <c r="E106" s="228"/>
      <c r="F106" s="228">
        <v>0</v>
      </c>
      <c r="G106" s="228">
        <v>0</v>
      </c>
      <c r="H106" s="228"/>
      <c r="I106" s="228"/>
      <c r="J106" s="228"/>
      <c r="K106" s="228"/>
      <c r="L106" s="228"/>
      <c r="M106" s="228"/>
      <c r="N106" s="228"/>
      <c r="O106" s="228"/>
      <c r="P106" s="228">
        <v>0</v>
      </c>
      <c r="Q106" s="228">
        <v>0</v>
      </c>
    </row>
    <row r="107" spans="2:17">
      <c r="C107" s="165">
        <v>4800</v>
      </c>
      <c r="D107" s="228"/>
      <c r="E107" s="228"/>
      <c r="F107" s="228">
        <v>0</v>
      </c>
      <c r="G107" s="228">
        <v>0</v>
      </c>
      <c r="H107" s="228"/>
      <c r="I107" s="228"/>
      <c r="J107" s="228"/>
      <c r="K107" s="228"/>
      <c r="L107" s="228"/>
      <c r="M107" s="228"/>
      <c r="N107" s="228"/>
      <c r="O107" s="228"/>
      <c r="P107" s="228">
        <v>0</v>
      </c>
      <c r="Q107" s="228">
        <v>0</v>
      </c>
    </row>
    <row r="108" spans="2:17">
      <c r="C108" s="165">
        <v>4900</v>
      </c>
      <c r="D108" s="228"/>
      <c r="E108" s="228"/>
      <c r="F108" s="228">
        <v>0</v>
      </c>
      <c r="G108" s="228">
        <v>0</v>
      </c>
      <c r="H108" s="228"/>
      <c r="I108" s="228"/>
      <c r="J108" s="228"/>
      <c r="K108" s="228"/>
      <c r="L108" s="228"/>
      <c r="M108" s="228"/>
      <c r="N108" s="228"/>
      <c r="O108" s="228"/>
      <c r="P108" s="228">
        <v>0</v>
      </c>
      <c r="Q108" s="228">
        <v>0</v>
      </c>
    </row>
    <row r="109" spans="2:17">
      <c r="B109" s="165" t="s">
        <v>2171</v>
      </c>
      <c r="C109" s="165">
        <v>5500</v>
      </c>
      <c r="D109" s="228"/>
      <c r="E109" s="228"/>
      <c r="F109" s="228">
        <v>0</v>
      </c>
      <c r="G109" s="228">
        <v>0</v>
      </c>
      <c r="H109" s="228"/>
      <c r="I109" s="228"/>
      <c r="J109" s="228"/>
      <c r="K109" s="228"/>
      <c r="L109" s="228"/>
      <c r="M109" s="228"/>
      <c r="N109" s="228"/>
      <c r="O109" s="228"/>
      <c r="P109" s="228">
        <v>0</v>
      </c>
      <c r="Q109" s="228">
        <v>0</v>
      </c>
    </row>
    <row r="110" spans="2:17">
      <c r="B110" s="165" t="s">
        <v>2019</v>
      </c>
      <c r="C110" s="165">
        <v>8800</v>
      </c>
      <c r="D110" s="228"/>
      <c r="E110" s="228"/>
      <c r="F110" s="228"/>
      <c r="G110" s="228"/>
      <c r="H110" s="228"/>
      <c r="I110" s="228"/>
      <c r="J110" s="228"/>
      <c r="K110" s="228"/>
      <c r="L110" s="228">
        <v>28050</v>
      </c>
      <c r="M110" s="228">
        <v>246840000</v>
      </c>
      <c r="N110" s="228"/>
      <c r="O110" s="228"/>
      <c r="P110" s="228">
        <v>28050</v>
      </c>
      <c r="Q110" s="228">
        <v>246840000</v>
      </c>
    </row>
    <row r="111" spans="2:17">
      <c r="B111" s="165" t="s">
        <v>2175</v>
      </c>
      <c r="C111" s="165">
        <v>2800</v>
      </c>
      <c r="D111" s="228"/>
      <c r="E111" s="228"/>
      <c r="F111" s="228">
        <v>0</v>
      </c>
      <c r="G111" s="228">
        <v>0</v>
      </c>
      <c r="H111" s="228"/>
      <c r="I111" s="228"/>
      <c r="J111" s="228"/>
      <c r="K111" s="228"/>
      <c r="L111" s="228"/>
      <c r="M111" s="228"/>
      <c r="N111" s="228"/>
      <c r="O111" s="228"/>
      <c r="P111" s="228">
        <v>0</v>
      </c>
      <c r="Q111" s="228">
        <v>0</v>
      </c>
    </row>
    <row r="112" spans="2:17">
      <c r="C112" s="165">
        <v>2900</v>
      </c>
      <c r="D112" s="228"/>
      <c r="E112" s="228"/>
      <c r="F112" s="228"/>
      <c r="G112" s="228"/>
      <c r="H112" s="228"/>
      <c r="I112" s="228"/>
      <c r="J112" s="228">
        <v>6000</v>
      </c>
      <c r="K112" s="228">
        <v>17400000</v>
      </c>
      <c r="L112" s="228"/>
      <c r="M112" s="228"/>
      <c r="N112" s="228"/>
      <c r="O112" s="228"/>
      <c r="P112" s="228">
        <v>6000</v>
      </c>
      <c r="Q112" s="228">
        <v>17400000</v>
      </c>
    </row>
    <row r="113" spans="1:17">
      <c r="B113" s="165" t="s">
        <v>2176</v>
      </c>
      <c r="C113" s="165">
        <v>4100</v>
      </c>
      <c r="D113" s="228"/>
      <c r="E113" s="228"/>
      <c r="F113" s="228">
        <v>0</v>
      </c>
      <c r="G113" s="228">
        <v>0</v>
      </c>
      <c r="H113" s="228"/>
      <c r="I113" s="228"/>
      <c r="J113" s="228"/>
      <c r="K113" s="228"/>
      <c r="L113" s="228"/>
      <c r="M113" s="228"/>
      <c r="N113" s="228"/>
      <c r="O113" s="228"/>
      <c r="P113" s="228">
        <v>0</v>
      </c>
      <c r="Q113" s="228">
        <v>0</v>
      </c>
    </row>
    <row r="114" spans="1:17">
      <c r="C114" s="165">
        <v>4200</v>
      </c>
      <c r="D114" s="228"/>
      <c r="E114" s="228"/>
      <c r="F114" s="228">
        <v>0</v>
      </c>
      <c r="G114" s="228">
        <v>0</v>
      </c>
      <c r="H114" s="228"/>
      <c r="I114" s="228"/>
      <c r="J114" s="228">
        <v>13200</v>
      </c>
      <c r="K114" s="228">
        <v>55440000</v>
      </c>
      <c r="L114" s="228"/>
      <c r="M114" s="228"/>
      <c r="N114" s="228"/>
      <c r="O114" s="228"/>
      <c r="P114" s="228">
        <v>13200</v>
      </c>
      <c r="Q114" s="228">
        <v>55440000</v>
      </c>
    </row>
    <row r="115" spans="1:17">
      <c r="C115" s="165">
        <v>4300</v>
      </c>
      <c r="D115" s="228"/>
      <c r="E115" s="228"/>
      <c r="F115" s="228"/>
      <c r="G115" s="228"/>
      <c r="H115" s="228">
        <v>11700</v>
      </c>
      <c r="I115" s="228">
        <v>50310000</v>
      </c>
      <c r="J115" s="228"/>
      <c r="K115" s="228"/>
      <c r="L115" s="228"/>
      <c r="M115" s="228"/>
      <c r="N115" s="228"/>
      <c r="O115" s="228"/>
      <c r="P115" s="228">
        <v>11700</v>
      </c>
      <c r="Q115" s="228">
        <v>50310000</v>
      </c>
    </row>
    <row r="116" spans="1:17">
      <c r="B116" s="165" t="s">
        <v>2177</v>
      </c>
      <c r="C116" s="165">
        <v>6100</v>
      </c>
      <c r="D116" s="228"/>
      <c r="E116" s="228"/>
      <c r="F116" s="228"/>
      <c r="G116" s="228"/>
      <c r="H116" s="228"/>
      <c r="I116" s="228"/>
      <c r="J116" s="228"/>
      <c r="K116" s="228"/>
      <c r="L116" s="228">
        <v>50000</v>
      </c>
      <c r="M116" s="228">
        <v>305000000</v>
      </c>
      <c r="N116" s="228"/>
      <c r="O116" s="228"/>
      <c r="P116" s="228">
        <v>50000</v>
      </c>
      <c r="Q116" s="228">
        <v>305000000</v>
      </c>
    </row>
    <row r="117" spans="1:17">
      <c r="B117" s="165" t="s">
        <v>2186</v>
      </c>
      <c r="C117" s="165">
        <v>2800</v>
      </c>
      <c r="D117" s="228"/>
      <c r="E117" s="228"/>
      <c r="F117" s="228">
        <v>0</v>
      </c>
      <c r="G117" s="228">
        <v>0</v>
      </c>
      <c r="H117" s="228"/>
      <c r="I117" s="228"/>
      <c r="J117" s="228"/>
      <c r="K117" s="228"/>
      <c r="L117" s="228"/>
      <c r="M117" s="228"/>
      <c r="N117" s="228"/>
      <c r="O117" s="228"/>
      <c r="P117" s="228">
        <v>0</v>
      </c>
      <c r="Q117" s="228">
        <v>0</v>
      </c>
    </row>
    <row r="118" spans="1:17">
      <c r="B118" s="165" t="s">
        <v>2192</v>
      </c>
      <c r="C118" s="165">
        <v>3100</v>
      </c>
      <c r="D118" s="228"/>
      <c r="E118" s="228"/>
      <c r="F118" s="228">
        <v>0</v>
      </c>
      <c r="G118" s="228">
        <v>0</v>
      </c>
      <c r="H118" s="228"/>
      <c r="I118" s="228"/>
      <c r="J118" s="228"/>
      <c r="K118" s="228"/>
      <c r="L118" s="228"/>
      <c r="M118" s="228"/>
      <c r="N118" s="228"/>
      <c r="O118" s="228"/>
      <c r="P118" s="228">
        <v>0</v>
      </c>
      <c r="Q118" s="228">
        <v>0</v>
      </c>
    </row>
    <row r="119" spans="1:17">
      <c r="B119" s="165" t="s">
        <v>2193</v>
      </c>
      <c r="C119" s="165">
        <v>6200</v>
      </c>
      <c r="D119" s="228"/>
      <c r="E119" s="228"/>
      <c r="F119" s="228"/>
      <c r="G119" s="228"/>
      <c r="H119" s="228"/>
      <c r="I119" s="228"/>
      <c r="J119" s="228"/>
      <c r="K119" s="228"/>
      <c r="L119" s="228">
        <v>15000</v>
      </c>
      <c r="M119" s="228">
        <v>93000000</v>
      </c>
      <c r="N119" s="228"/>
      <c r="O119" s="228"/>
      <c r="P119" s="228">
        <v>15000</v>
      </c>
      <c r="Q119" s="228">
        <v>93000000</v>
      </c>
    </row>
    <row r="120" spans="1:17">
      <c r="B120" s="165" t="s">
        <v>2200</v>
      </c>
      <c r="C120" s="165">
        <v>4500</v>
      </c>
      <c r="D120" s="228"/>
      <c r="E120" s="228"/>
      <c r="F120" s="228"/>
      <c r="G120" s="228"/>
      <c r="H120" s="228">
        <v>14400</v>
      </c>
      <c r="I120" s="228">
        <v>64800000</v>
      </c>
      <c r="J120" s="228"/>
      <c r="K120" s="228"/>
      <c r="L120" s="228"/>
      <c r="M120" s="228"/>
      <c r="N120" s="228"/>
      <c r="O120" s="228"/>
      <c r="P120" s="228">
        <v>14400</v>
      </c>
      <c r="Q120" s="228">
        <v>64800000</v>
      </c>
    </row>
    <row r="121" spans="1:17">
      <c r="A121" s="165" t="s">
        <v>2209</v>
      </c>
      <c r="B121" s="165"/>
      <c r="C121" s="165"/>
      <c r="D121" s="228">
        <v>6000</v>
      </c>
      <c r="E121" s="228">
        <v>17400000</v>
      </c>
      <c r="F121" s="228">
        <v>0</v>
      </c>
      <c r="G121" s="228">
        <v>0</v>
      </c>
      <c r="H121" s="228">
        <v>121900</v>
      </c>
      <c r="I121" s="228">
        <v>545360000</v>
      </c>
      <c r="J121" s="228">
        <v>23100</v>
      </c>
      <c r="K121" s="228">
        <v>90000000</v>
      </c>
      <c r="L121" s="228">
        <v>209300</v>
      </c>
      <c r="M121" s="228">
        <v>1644275000</v>
      </c>
      <c r="N121" s="228"/>
      <c r="O121" s="228"/>
      <c r="P121" s="228">
        <v>360300</v>
      </c>
      <c r="Q121" s="228">
        <v>2297035000</v>
      </c>
    </row>
    <row r="122" spans="1:17">
      <c r="A122" s="165" t="s">
        <v>983</v>
      </c>
      <c r="B122" s="165" t="s">
        <v>2060</v>
      </c>
      <c r="C122" s="165">
        <v>8000</v>
      </c>
      <c r="D122" s="228"/>
      <c r="E122" s="228"/>
      <c r="F122" s="228"/>
      <c r="G122" s="228"/>
      <c r="H122" s="228"/>
      <c r="I122" s="228"/>
      <c r="J122" s="228"/>
      <c r="K122" s="228"/>
      <c r="L122" s="228">
        <v>5100</v>
      </c>
      <c r="M122" s="228">
        <v>40800000</v>
      </c>
      <c r="N122" s="228"/>
      <c r="O122" s="228"/>
      <c r="P122" s="228">
        <v>5100</v>
      </c>
      <c r="Q122" s="228">
        <v>40800000</v>
      </c>
    </row>
    <row r="123" spans="1:17">
      <c r="B123" s="165" t="s">
        <v>2011</v>
      </c>
      <c r="C123" s="165">
        <v>10600</v>
      </c>
      <c r="D123" s="228"/>
      <c r="E123" s="228"/>
      <c r="F123" s="228"/>
      <c r="G123" s="228"/>
      <c r="H123" s="228"/>
      <c r="I123" s="228"/>
      <c r="J123" s="228"/>
      <c r="K123" s="228"/>
      <c r="L123" s="228">
        <v>5000</v>
      </c>
      <c r="M123" s="228">
        <v>53000000</v>
      </c>
      <c r="N123" s="228"/>
      <c r="O123" s="228"/>
      <c r="P123" s="228">
        <v>5000</v>
      </c>
      <c r="Q123" s="228">
        <v>53000000</v>
      </c>
    </row>
    <row r="124" spans="1:17">
      <c r="B124" s="165" t="s">
        <v>2063</v>
      </c>
      <c r="C124" s="165">
        <v>12500</v>
      </c>
      <c r="D124" s="228"/>
      <c r="E124" s="228"/>
      <c r="F124" s="228"/>
      <c r="G124" s="228"/>
      <c r="H124" s="228"/>
      <c r="I124" s="228"/>
      <c r="J124" s="228"/>
      <c r="K124" s="228"/>
      <c r="L124" s="228">
        <v>15000</v>
      </c>
      <c r="M124" s="228">
        <v>187500000</v>
      </c>
      <c r="N124" s="228"/>
      <c r="O124" s="228"/>
      <c r="P124" s="228">
        <v>15000</v>
      </c>
      <c r="Q124" s="228">
        <v>187500000</v>
      </c>
    </row>
    <row r="125" spans="1:17">
      <c r="B125" s="165" t="s">
        <v>2009</v>
      </c>
      <c r="C125" s="165">
        <v>5000</v>
      </c>
      <c r="D125" s="228"/>
      <c r="E125" s="228"/>
      <c r="F125" s="228">
        <v>0</v>
      </c>
      <c r="G125" s="228">
        <v>0</v>
      </c>
      <c r="H125" s="228"/>
      <c r="I125" s="228"/>
      <c r="J125" s="228"/>
      <c r="K125" s="228"/>
      <c r="L125" s="228"/>
      <c r="M125" s="228"/>
      <c r="N125" s="228"/>
      <c r="O125" s="228"/>
      <c r="P125" s="228">
        <v>0</v>
      </c>
      <c r="Q125" s="228">
        <v>0</v>
      </c>
    </row>
    <row r="126" spans="1:17">
      <c r="C126" s="165">
        <v>5400</v>
      </c>
      <c r="D126" s="228">
        <v>0</v>
      </c>
      <c r="E126" s="228">
        <v>0</v>
      </c>
      <c r="F126" s="228"/>
      <c r="G126" s="228"/>
      <c r="H126" s="228"/>
      <c r="I126" s="228"/>
      <c r="J126" s="228"/>
      <c r="K126" s="228"/>
      <c r="L126" s="228"/>
      <c r="M126" s="228"/>
      <c r="N126" s="228"/>
      <c r="O126" s="228"/>
      <c r="P126" s="228">
        <v>0</v>
      </c>
      <c r="Q126" s="228">
        <v>0</v>
      </c>
    </row>
    <row r="127" spans="1:17">
      <c r="B127" s="165" t="s">
        <v>2144</v>
      </c>
      <c r="C127" s="165">
        <v>12500</v>
      </c>
      <c r="D127" s="228"/>
      <c r="E127" s="228"/>
      <c r="F127" s="228"/>
      <c r="G127" s="228"/>
      <c r="H127" s="228"/>
      <c r="I127" s="228"/>
      <c r="J127" s="228"/>
      <c r="K127" s="228"/>
      <c r="L127" s="228">
        <v>10000</v>
      </c>
      <c r="M127" s="228">
        <v>125000000</v>
      </c>
      <c r="N127" s="228"/>
      <c r="O127" s="228"/>
      <c r="P127" s="228">
        <v>10000</v>
      </c>
      <c r="Q127" s="228">
        <v>125000000</v>
      </c>
    </row>
    <row r="128" spans="1:17">
      <c r="B128" s="165" t="s">
        <v>2145</v>
      </c>
      <c r="C128" s="165">
        <v>13000</v>
      </c>
      <c r="D128" s="228"/>
      <c r="E128" s="228"/>
      <c r="F128" s="228"/>
      <c r="G128" s="228"/>
      <c r="H128" s="228"/>
      <c r="I128" s="228"/>
      <c r="J128" s="228"/>
      <c r="K128" s="228"/>
      <c r="L128" s="228">
        <v>5000</v>
      </c>
      <c r="M128" s="228">
        <v>65000000</v>
      </c>
      <c r="N128" s="228"/>
      <c r="O128" s="228"/>
      <c r="P128" s="228">
        <v>5000</v>
      </c>
      <c r="Q128" s="228">
        <v>65000000</v>
      </c>
    </row>
    <row r="129" spans="1:17">
      <c r="B129" s="165" t="s">
        <v>2186</v>
      </c>
      <c r="C129" s="165">
        <v>2800</v>
      </c>
      <c r="D129" s="228"/>
      <c r="E129" s="228"/>
      <c r="F129" s="228">
        <v>0</v>
      </c>
      <c r="G129" s="228">
        <v>0</v>
      </c>
      <c r="H129" s="228"/>
      <c r="I129" s="228"/>
      <c r="J129" s="228"/>
      <c r="K129" s="228"/>
      <c r="L129" s="228"/>
      <c r="M129" s="228"/>
      <c r="N129" s="228"/>
      <c r="O129" s="228"/>
      <c r="P129" s="228">
        <v>0</v>
      </c>
      <c r="Q129" s="228">
        <v>0</v>
      </c>
    </row>
    <row r="130" spans="1:17">
      <c r="B130" s="165" t="s">
        <v>2190</v>
      </c>
      <c r="C130" s="165">
        <v>5600</v>
      </c>
      <c r="D130" s="228"/>
      <c r="E130" s="228"/>
      <c r="F130" s="228"/>
      <c r="G130" s="228"/>
      <c r="H130" s="228"/>
      <c r="I130" s="228"/>
      <c r="J130" s="228"/>
      <c r="K130" s="228"/>
      <c r="L130" s="228">
        <v>5000</v>
      </c>
      <c r="M130" s="228">
        <v>28000000</v>
      </c>
      <c r="N130" s="228"/>
      <c r="O130" s="228"/>
      <c r="P130" s="228">
        <v>5000</v>
      </c>
      <c r="Q130" s="228">
        <v>28000000</v>
      </c>
    </row>
    <row r="131" spans="1:17">
      <c r="A131" s="165" t="s">
        <v>2210</v>
      </c>
      <c r="B131" s="165"/>
      <c r="C131" s="165"/>
      <c r="D131" s="228">
        <v>0</v>
      </c>
      <c r="E131" s="228">
        <v>0</v>
      </c>
      <c r="F131" s="228">
        <v>0</v>
      </c>
      <c r="G131" s="228">
        <v>0</v>
      </c>
      <c r="H131" s="228"/>
      <c r="I131" s="228"/>
      <c r="J131" s="228"/>
      <c r="K131" s="228"/>
      <c r="L131" s="228">
        <v>45100</v>
      </c>
      <c r="M131" s="228">
        <v>499300000</v>
      </c>
      <c r="N131" s="228"/>
      <c r="O131" s="228"/>
      <c r="P131" s="228">
        <v>45100</v>
      </c>
      <c r="Q131" s="228">
        <v>499300000</v>
      </c>
    </row>
    <row r="132" spans="1:17">
      <c r="A132" s="165" t="s">
        <v>391</v>
      </c>
      <c r="B132" s="165" t="s">
        <v>2107</v>
      </c>
      <c r="C132" s="165">
        <v>16000</v>
      </c>
      <c r="D132" s="228"/>
      <c r="E132" s="228"/>
      <c r="F132" s="228"/>
      <c r="G132" s="228"/>
      <c r="H132" s="228"/>
      <c r="I132" s="228"/>
      <c r="J132" s="228"/>
      <c r="K132" s="228"/>
      <c r="L132" s="228">
        <v>5100</v>
      </c>
      <c r="M132" s="228">
        <v>81600000</v>
      </c>
      <c r="N132" s="228"/>
      <c r="O132" s="228"/>
      <c r="P132" s="228">
        <v>5100</v>
      </c>
      <c r="Q132" s="228">
        <v>81600000</v>
      </c>
    </row>
    <row r="133" spans="1:17">
      <c r="B133" s="165" t="s">
        <v>2116</v>
      </c>
      <c r="C133" s="165">
        <v>3200</v>
      </c>
      <c r="D133" s="228"/>
      <c r="E133" s="228"/>
      <c r="F133" s="228">
        <v>0</v>
      </c>
      <c r="G133" s="228">
        <v>0</v>
      </c>
      <c r="H133" s="228"/>
      <c r="I133" s="228"/>
      <c r="J133" s="228"/>
      <c r="K133" s="228"/>
      <c r="L133" s="228"/>
      <c r="M133" s="228"/>
      <c r="N133" s="228"/>
      <c r="O133" s="228"/>
      <c r="P133" s="228">
        <v>0</v>
      </c>
      <c r="Q133" s="228">
        <v>0</v>
      </c>
    </row>
    <row r="134" spans="1:17">
      <c r="B134" s="165" t="s">
        <v>2117</v>
      </c>
      <c r="C134" s="165">
        <v>7200</v>
      </c>
      <c r="D134" s="228"/>
      <c r="E134" s="228"/>
      <c r="F134" s="228"/>
      <c r="G134" s="228"/>
      <c r="H134" s="228"/>
      <c r="I134" s="228"/>
      <c r="J134" s="228"/>
      <c r="K134" s="228"/>
      <c r="L134" s="228">
        <v>3000</v>
      </c>
      <c r="M134" s="228">
        <v>21600000</v>
      </c>
      <c r="N134" s="228"/>
      <c r="O134" s="228"/>
      <c r="P134" s="228">
        <v>3000</v>
      </c>
      <c r="Q134" s="228">
        <v>21600000</v>
      </c>
    </row>
    <row r="135" spans="1:17">
      <c r="B135" s="165" t="s">
        <v>2125</v>
      </c>
      <c r="C135" s="165">
        <v>2800</v>
      </c>
      <c r="D135" s="228">
        <v>0</v>
      </c>
      <c r="E135" s="228">
        <v>0</v>
      </c>
      <c r="F135" s="228">
        <v>0</v>
      </c>
      <c r="G135" s="228">
        <v>0</v>
      </c>
      <c r="H135" s="228"/>
      <c r="I135" s="228"/>
      <c r="J135" s="228"/>
      <c r="K135" s="228"/>
      <c r="L135" s="228"/>
      <c r="M135" s="228"/>
      <c r="N135" s="228"/>
      <c r="O135" s="228"/>
      <c r="P135" s="228">
        <v>0</v>
      </c>
      <c r="Q135" s="228">
        <v>0</v>
      </c>
    </row>
    <row r="136" spans="1:17">
      <c r="C136" s="165">
        <v>3000</v>
      </c>
      <c r="D136" s="228"/>
      <c r="E136" s="228"/>
      <c r="F136" s="228"/>
      <c r="G136" s="228"/>
      <c r="H136" s="228">
        <v>10000</v>
      </c>
      <c r="I136" s="228">
        <v>30000000</v>
      </c>
      <c r="J136" s="228"/>
      <c r="K136" s="228"/>
      <c r="L136" s="228"/>
      <c r="M136" s="228"/>
      <c r="N136" s="228"/>
      <c r="O136" s="228"/>
      <c r="P136" s="228">
        <v>10000</v>
      </c>
      <c r="Q136" s="228">
        <v>30000000</v>
      </c>
    </row>
    <row r="137" spans="1:17">
      <c r="C137" s="165">
        <v>3100</v>
      </c>
      <c r="D137" s="228"/>
      <c r="E137" s="228"/>
      <c r="F137" s="228">
        <v>0</v>
      </c>
      <c r="G137" s="228">
        <v>0</v>
      </c>
      <c r="H137" s="228"/>
      <c r="I137" s="228"/>
      <c r="J137" s="228"/>
      <c r="K137" s="228"/>
      <c r="L137" s="228"/>
      <c r="M137" s="228"/>
      <c r="N137" s="228"/>
      <c r="O137" s="228"/>
      <c r="P137" s="228">
        <v>0</v>
      </c>
      <c r="Q137" s="228">
        <v>0</v>
      </c>
    </row>
    <row r="138" spans="1:17">
      <c r="B138" s="165" t="s">
        <v>2127</v>
      </c>
      <c r="C138" s="165">
        <v>6100</v>
      </c>
      <c r="D138" s="228"/>
      <c r="E138" s="228"/>
      <c r="F138" s="228"/>
      <c r="G138" s="228"/>
      <c r="H138" s="228"/>
      <c r="I138" s="228"/>
      <c r="J138" s="228"/>
      <c r="K138" s="228"/>
      <c r="L138" s="228">
        <v>7000</v>
      </c>
      <c r="M138" s="228">
        <v>42700000</v>
      </c>
      <c r="N138" s="228"/>
      <c r="O138" s="228"/>
      <c r="P138" s="228">
        <v>7000</v>
      </c>
      <c r="Q138" s="228">
        <v>42700000</v>
      </c>
    </row>
    <row r="139" spans="1:17">
      <c r="B139" s="165" t="s">
        <v>2015</v>
      </c>
      <c r="C139" s="165">
        <v>10500</v>
      </c>
      <c r="D139" s="228"/>
      <c r="E139" s="228"/>
      <c r="F139" s="228"/>
      <c r="G139" s="228"/>
      <c r="H139" s="228"/>
      <c r="I139" s="228"/>
      <c r="J139" s="228"/>
      <c r="K139" s="228"/>
      <c r="L139" s="228">
        <v>5000</v>
      </c>
      <c r="M139" s="228">
        <v>52500000</v>
      </c>
      <c r="N139" s="228"/>
      <c r="O139" s="228"/>
      <c r="P139" s="228">
        <v>5000</v>
      </c>
      <c r="Q139" s="228">
        <v>52500000</v>
      </c>
    </row>
    <row r="140" spans="1:17">
      <c r="B140" s="165" t="s">
        <v>2144</v>
      </c>
      <c r="C140" s="165">
        <v>12500</v>
      </c>
      <c r="D140" s="228">
        <v>0</v>
      </c>
      <c r="E140" s="228">
        <v>0</v>
      </c>
      <c r="F140" s="228"/>
      <c r="G140" s="228"/>
      <c r="H140" s="228"/>
      <c r="I140" s="228"/>
      <c r="J140" s="228"/>
      <c r="K140" s="228"/>
      <c r="L140" s="228"/>
      <c r="M140" s="228"/>
      <c r="N140" s="228"/>
      <c r="O140" s="228"/>
      <c r="P140" s="228">
        <v>0</v>
      </c>
      <c r="Q140" s="228">
        <v>0</v>
      </c>
    </row>
    <row r="141" spans="1:17">
      <c r="A141" s="165" t="s">
        <v>2211</v>
      </c>
      <c r="B141" s="165"/>
      <c r="C141" s="165"/>
      <c r="D141" s="228">
        <v>0</v>
      </c>
      <c r="E141" s="228">
        <v>0</v>
      </c>
      <c r="F141" s="228">
        <v>0</v>
      </c>
      <c r="G141" s="228">
        <v>0</v>
      </c>
      <c r="H141" s="228">
        <v>10000</v>
      </c>
      <c r="I141" s="228">
        <v>30000000</v>
      </c>
      <c r="J141" s="228"/>
      <c r="K141" s="228"/>
      <c r="L141" s="228">
        <v>20100</v>
      </c>
      <c r="M141" s="228">
        <v>198400000</v>
      </c>
      <c r="N141" s="228"/>
      <c r="O141" s="228"/>
      <c r="P141" s="228">
        <v>30100</v>
      </c>
      <c r="Q141" s="228">
        <v>228400000</v>
      </c>
    </row>
    <row r="142" spans="1:17">
      <c r="A142" s="165" t="s">
        <v>111</v>
      </c>
      <c r="B142" s="165" t="s">
        <v>2027</v>
      </c>
      <c r="C142" s="165">
        <v>2800</v>
      </c>
      <c r="D142" s="228"/>
      <c r="E142" s="228"/>
      <c r="F142" s="228">
        <v>0</v>
      </c>
      <c r="G142" s="228">
        <v>0</v>
      </c>
      <c r="H142" s="228"/>
      <c r="I142" s="228"/>
      <c r="J142" s="228"/>
      <c r="K142" s="228"/>
      <c r="L142" s="228"/>
      <c r="M142" s="228"/>
      <c r="N142" s="228"/>
      <c r="O142" s="228"/>
      <c r="P142" s="228">
        <v>0</v>
      </c>
      <c r="Q142" s="228">
        <v>0</v>
      </c>
    </row>
    <row r="143" spans="1:17">
      <c r="B143" s="165" t="s">
        <v>2028</v>
      </c>
      <c r="C143" s="165">
        <v>4480</v>
      </c>
      <c r="D143" s="228"/>
      <c r="E143" s="228"/>
      <c r="F143" s="228"/>
      <c r="G143" s="228"/>
      <c r="H143" s="228">
        <v>18700</v>
      </c>
      <c r="I143" s="228">
        <v>83776000</v>
      </c>
      <c r="J143" s="228"/>
      <c r="K143" s="228"/>
      <c r="L143" s="228"/>
      <c r="M143" s="228"/>
      <c r="N143" s="228"/>
      <c r="O143" s="228"/>
      <c r="P143" s="228">
        <v>18700</v>
      </c>
      <c r="Q143" s="228">
        <v>83776000</v>
      </c>
    </row>
    <row r="144" spans="1:17">
      <c r="B144" s="165" t="s">
        <v>2029</v>
      </c>
      <c r="C144" s="165">
        <v>4480</v>
      </c>
      <c r="D144" s="228"/>
      <c r="E144" s="228"/>
      <c r="F144" s="228"/>
      <c r="G144" s="228"/>
      <c r="H144" s="228"/>
      <c r="I144" s="228"/>
      <c r="J144" s="228">
        <v>1200</v>
      </c>
      <c r="K144" s="228">
        <v>5376000</v>
      </c>
      <c r="L144" s="228"/>
      <c r="M144" s="228"/>
      <c r="N144" s="228"/>
      <c r="O144" s="228"/>
      <c r="P144" s="228">
        <v>1200</v>
      </c>
      <c r="Q144" s="228">
        <v>5376000</v>
      </c>
    </row>
    <row r="145" spans="1:17">
      <c r="C145" s="165">
        <v>4540</v>
      </c>
      <c r="D145" s="228"/>
      <c r="E145" s="228"/>
      <c r="F145" s="228"/>
      <c r="G145" s="228"/>
      <c r="H145" s="228">
        <v>15300</v>
      </c>
      <c r="I145" s="228">
        <v>69462000</v>
      </c>
      <c r="J145" s="228"/>
      <c r="K145" s="228"/>
      <c r="L145" s="228"/>
      <c r="M145" s="228"/>
      <c r="N145" s="228"/>
      <c r="O145" s="228"/>
      <c r="P145" s="228">
        <v>15300</v>
      </c>
      <c r="Q145" s="228">
        <v>69462000</v>
      </c>
    </row>
    <row r="146" spans="1:17">
      <c r="B146" s="165" t="s">
        <v>2035</v>
      </c>
      <c r="C146" s="165">
        <v>8500</v>
      </c>
      <c r="D146" s="228"/>
      <c r="E146" s="228"/>
      <c r="F146" s="228"/>
      <c r="G146" s="228"/>
      <c r="H146" s="228"/>
      <c r="I146" s="228"/>
      <c r="J146" s="228"/>
      <c r="K146" s="228"/>
      <c r="L146" s="228">
        <v>2100</v>
      </c>
      <c r="M146" s="228">
        <v>17850000</v>
      </c>
      <c r="N146" s="228"/>
      <c r="O146" s="228"/>
      <c r="P146" s="228">
        <v>2100</v>
      </c>
      <c r="Q146" s="228">
        <v>17850000</v>
      </c>
    </row>
    <row r="147" spans="1:17">
      <c r="B147" s="165" t="s">
        <v>2036</v>
      </c>
      <c r="C147" s="165">
        <v>4400</v>
      </c>
      <c r="D147" s="228"/>
      <c r="E147" s="228"/>
      <c r="F147" s="228">
        <v>0</v>
      </c>
      <c r="G147" s="228">
        <v>0</v>
      </c>
      <c r="H147" s="228"/>
      <c r="I147" s="228"/>
      <c r="J147" s="228"/>
      <c r="K147" s="228"/>
      <c r="L147" s="228"/>
      <c r="M147" s="228"/>
      <c r="N147" s="228"/>
      <c r="O147" s="228"/>
      <c r="P147" s="228">
        <v>0</v>
      </c>
      <c r="Q147" s="228">
        <v>0</v>
      </c>
    </row>
    <row r="148" spans="1:17">
      <c r="B148" s="165" t="s">
        <v>2011</v>
      </c>
      <c r="C148" s="165">
        <v>10500</v>
      </c>
      <c r="D148" s="228"/>
      <c r="E148" s="228"/>
      <c r="F148" s="228"/>
      <c r="G148" s="228"/>
      <c r="H148" s="228"/>
      <c r="I148" s="228"/>
      <c r="J148" s="228"/>
      <c r="K148" s="228"/>
      <c r="L148" s="228">
        <v>2000</v>
      </c>
      <c r="M148" s="228">
        <v>21000000</v>
      </c>
      <c r="N148" s="228"/>
      <c r="O148" s="228"/>
      <c r="P148" s="228">
        <v>2000</v>
      </c>
      <c r="Q148" s="228">
        <v>21000000</v>
      </c>
    </row>
    <row r="149" spans="1:17">
      <c r="B149" s="165" t="s">
        <v>2067</v>
      </c>
      <c r="C149" s="165">
        <v>5500</v>
      </c>
      <c r="D149" s="228"/>
      <c r="E149" s="228"/>
      <c r="F149" s="228">
        <v>0</v>
      </c>
      <c r="G149" s="228">
        <v>0</v>
      </c>
      <c r="H149" s="228"/>
      <c r="I149" s="228"/>
      <c r="J149" s="228"/>
      <c r="K149" s="228"/>
      <c r="L149" s="228"/>
      <c r="M149" s="228"/>
      <c r="N149" s="228"/>
      <c r="O149" s="228"/>
      <c r="P149" s="228">
        <v>0</v>
      </c>
      <c r="Q149" s="228">
        <v>0</v>
      </c>
    </row>
    <row r="150" spans="1:17">
      <c r="B150" s="165" t="s">
        <v>2069</v>
      </c>
      <c r="C150" s="165">
        <v>14200</v>
      </c>
      <c r="D150" s="228"/>
      <c r="E150" s="228"/>
      <c r="F150" s="228"/>
      <c r="G150" s="228"/>
      <c r="H150" s="228"/>
      <c r="I150" s="228"/>
      <c r="J150" s="228"/>
      <c r="K150" s="228"/>
      <c r="L150" s="228">
        <v>3000</v>
      </c>
      <c r="M150" s="228">
        <v>42600000</v>
      </c>
      <c r="N150" s="228"/>
      <c r="O150" s="228"/>
      <c r="P150" s="228">
        <v>3000</v>
      </c>
      <c r="Q150" s="228">
        <v>42600000</v>
      </c>
    </row>
    <row r="151" spans="1:17">
      <c r="B151" s="165" t="s">
        <v>2114</v>
      </c>
      <c r="C151" s="165">
        <v>3900</v>
      </c>
      <c r="D151" s="228"/>
      <c r="E151" s="228"/>
      <c r="F151" s="228">
        <v>0</v>
      </c>
      <c r="G151" s="228">
        <v>0</v>
      </c>
      <c r="H151" s="228"/>
      <c r="I151" s="228"/>
      <c r="J151" s="228"/>
      <c r="K151" s="228"/>
      <c r="L151" s="228"/>
      <c r="M151" s="228"/>
      <c r="N151" s="228"/>
      <c r="O151" s="228"/>
      <c r="P151" s="228">
        <v>0</v>
      </c>
      <c r="Q151" s="228">
        <v>0</v>
      </c>
    </row>
    <row r="152" spans="1:17">
      <c r="B152" s="165" t="s">
        <v>2117</v>
      </c>
      <c r="C152" s="165">
        <v>7200</v>
      </c>
      <c r="D152" s="228"/>
      <c r="E152" s="228"/>
      <c r="F152" s="228"/>
      <c r="G152" s="228"/>
      <c r="H152" s="228"/>
      <c r="I152" s="228"/>
      <c r="J152" s="228"/>
      <c r="K152" s="228"/>
      <c r="L152" s="228">
        <v>20100</v>
      </c>
      <c r="M152" s="228">
        <v>144720000</v>
      </c>
      <c r="N152" s="228"/>
      <c r="O152" s="228"/>
      <c r="P152" s="228">
        <v>20100</v>
      </c>
      <c r="Q152" s="228">
        <v>144720000</v>
      </c>
    </row>
    <row r="153" spans="1:17">
      <c r="B153" s="165" t="s">
        <v>2125</v>
      </c>
      <c r="C153" s="165">
        <v>3000</v>
      </c>
      <c r="D153" s="228"/>
      <c r="E153" s="228"/>
      <c r="F153" s="228">
        <v>0</v>
      </c>
      <c r="G153" s="228">
        <v>0</v>
      </c>
      <c r="H153" s="228"/>
      <c r="I153" s="228"/>
      <c r="J153" s="228"/>
      <c r="K153" s="228"/>
      <c r="L153" s="228"/>
      <c r="M153" s="228"/>
      <c r="N153" s="228"/>
      <c r="O153" s="228"/>
      <c r="P153" s="228">
        <v>0</v>
      </c>
      <c r="Q153" s="228">
        <v>0</v>
      </c>
    </row>
    <row r="154" spans="1:17">
      <c r="B154" s="165" t="s">
        <v>2137</v>
      </c>
      <c r="C154" s="165">
        <v>14200</v>
      </c>
      <c r="D154" s="228"/>
      <c r="E154" s="228"/>
      <c r="F154" s="228"/>
      <c r="G154" s="228"/>
      <c r="H154" s="228"/>
      <c r="I154" s="228"/>
      <c r="J154" s="228"/>
      <c r="K154" s="228"/>
      <c r="L154" s="228">
        <v>6000</v>
      </c>
      <c r="M154" s="228">
        <v>85200000</v>
      </c>
      <c r="N154" s="228"/>
      <c r="O154" s="228"/>
      <c r="P154" s="228">
        <v>6000</v>
      </c>
      <c r="Q154" s="228">
        <v>85200000</v>
      </c>
    </row>
    <row r="155" spans="1:17">
      <c r="B155" s="165" t="s">
        <v>2176</v>
      </c>
      <c r="C155" s="165">
        <v>4100</v>
      </c>
      <c r="D155" s="228"/>
      <c r="E155" s="228"/>
      <c r="F155" s="228">
        <v>0</v>
      </c>
      <c r="G155" s="228">
        <v>0</v>
      </c>
      <c r="H155" s="228"/>
      <c r="I155" s="228"/>
      <c r="J155" s="228"/>
      <c r="K155" s="228"/>
      <c r="L155" s="228"/>
      <c r="M155" s="228"/>
      <c r="N155" s="228"/>
      <c r="O155" s="228"/>
      <c r="P155" s="228">
        <v>0</v>
      </c>
      <c r="Q155" s="228">
        <v>0</v>
      </c>
    </row>
    <row r="156" spans="1:17">
      <c r="C156" s="165">
        <v>4200</v>
      </c>
      <c r="D156" s="228"/>
      <c r="E156" s="228"/>
      <c r="F156" s="228">
        <v>0</v>
      </c>
      <c r="G156" s="228">
        <v>0</v>
      </c>
      <c r="H156" s="228"/>
      <c r="I156" s="228"/>
      <c r="J156" s="228"/>
      <c r="K156" s="228"/>
      <c r="L156" s="228"/>
      <c r="M156" s="228"/>
      <c r="N156" s="228"/>
      <c r="O156" s="228"/>
      <c r="P156" s="228">
        <v>0</v>
      </c>
      <c r="Q156" s="228">
        <v>0</v>
      </c>
    </row>
    <row r="157" spans="1:17">
      <c r="B157" s="165" t="s">
        <v>2190</v>
      </c>
      <c r="C157" s="165">
        <v>5000</v>
      </c>
      <c r="D157" s="228"/>
      <c r="E157" s="228"/>
      <c r="F157" s="228">
        <v>0</v>
      </c>
      <c r="G157" s="228">
        <v>0</v>
      </c>
      <c r="H157" s="228"/>
      <c r="I157" s="228"/>
      <c r="J157" s="228"/>
      <c r="K157" s="228"/>
      <c r="L157" s="228"/>
      <c r="M157" s="228"/>
      <c r="N157" s="228"/>
      <c r="O157" s="228"/>
      <c r="P157" s="228">
        <v>0</v>
      </c>
      <c r="Q157" s="228">
        <v>0</v>
      </c>
    </row>
    <row r="158" spans="1:17">
      <c r="A158" s="165" t="s">
        <v>2212</v>
      </c>
      <c r="B158" s="165"/>
      <c r="C158" s="165"/>
      <c r="D158" s="228"/>
      <c r="E158" s="228"/>
      <c r="F158" s="228">
        <v>0</v>
      </c>
      <c r="G158" s="228">
        <v>0</v>
      </c>
      <c r="H158" s="228">
        <v>34000</v>
      </c>
      <c r="I158" s="228">
        <v>153238000</v>
      </c>
      <c r="J158" s="228">
        <v>1200</v>
      </c>
      <c r="K158" s="228">
        <v>5376000</v>
      </c>
      <c r="L158" s="228">
        <v>33200</v>
      </c>
      <c r="M158" s="228">
        <v>311370000</v>
      </c>
      <c r="N158" s="228"/>
      <c r="O158" s="228"/>
      <c r="P158" s="228">
        <v>68400</v>
      </c>
      <c r="Q158" s="228">
        <v>469984000</v>
      </c>
    </row>
    <row r="159" spans="1:17">
      <c r="A159" s="165" t="s">
        <v>289</v>
      </c>
      <c r="B159" s="165" t="s">
        <v>2011</v>
      </c>
      <c r="C159" s="165">
        <v>10500</v>
      </c>
      <c r="D159" s="228"/>
      <c r="E159" s="228"/>
      <c r="F159" s="228"/>
      <c r="G159" s="228"/>
      <c r="H159" s="228"/>
      <c r="I159" s="228"/>
      <c r="J159" s="228"/>
      <c r="K159" s="228"/>
      <c r="L159" s="228">
        <v>750</v>
      </c>
      <c r="M159" s="228">
        <v>7875000</v>
      </c>
      <c r="N159" s="228"/>
      <c r="O159" s="228"/>
      <c r="P159" s="228">
        <v>750</v>
      </c>
      <c r="Q159" s="228">
        <v>7875000</v>
      </c>
    </row>
    <row r="160" spans="1:17">
      <c r="B160" s="165" t="s">
        <v>2016</v>
      </c>
      <c r="C160" s="165">
        <v>13500</v>
      </c>
      <c r="D160" s="228"/>
      <c r="E160" s="228"/>
      <c r="F160" s="228"/>
      <c r="G160" s="228"/>
      <c r="H160" s="228"/>
      <c r="I160" s="228"/>
      <c r="J160" s="228"/>
      <c r="K160" s="228"/>
      <c r="L160" s="228">
        <v>1250</v>
      </c>
      <c r="M160" s="228">
        <v>16875000</v>
      </c>
      <c r="N160" s="228"/>
      <c r="O160" s="228"/>
      <c r="P160" s="228">
        <v>1250</v>
      </c>
      <c r="Q160" s="228">
        <v>16875000</v>
      </c>
    </row>
    <row r="161" spans="1:17">
      <c r="B161" s="165" t="s">
        <v>2127</v>
      </c>
      <c r="C161" s="165">
        <v>6100</v>
      </c>
      <c r="D161" s="228"/>
      <c r="E161" s="228"/>
      <c r="F161" s="228"/>
      <c r="G161" s="228"/>
      <c r="H161" s="228"/>
      <c r="I161" s="228"/>
      <c r="J161" s="228"/>
      <c r="K161" s="228"/>
      <c r="L161" s="228">
        <v>1000</v>
      </c>
      <c r="M161" s="228">
        <v>6100000</v>
      </c>
      <c r="N161" s="228"/>
      <c r="O161" s="228"/>
      <c r="P161" s="228">
        <v>1000</v>
      </c>
      <c r="Q161" s="228">
        <v>6100000</v>
      </c>
    </row>
    <row r="162" spans="1:17">
      <c r="B162" s="165" t="s">
        <v>2177</v>
      </c>
      <c r="C162" s="165">
        <v>6100</v>
      </c>
      <c r="D162" s="228"/>
      <c r="E162" s="228"/>
      <c r="F162" s="228"/>
      <c r="G162" s="228"/>
      <c r="H162" s="228"/>
      <c r="I162" s="228"/>
      <c r="J162" s="228"/>
      <c r="K162" s="228"/>
      <c r="L162" s="228">
        <v>1000</v>
      </c>
      <c r="M162" s="228">
        <v>6100000</v>
      </c>
      <c r="N162" s="228"/>
      <c r="O162" s="228"/>
      <c r="P162" s="228">
        <v>1000</v>
      </c>
      <c r="Q162" s="228">
        <v>6100000</v>
      </c>
    </row>
    <row r="163" spans="1:17">
      <c r="A163" s="165" t="s">
        <v>2213</v>
      </c>
      <c r="B163" s="165"/>
      <c r="C163" s="165"/>
      <c r="D163" s="228"/>
      <c r="E163" s="228"/>
      <c r="F163" s="228"/>
      <c r="G163" s="228"/>
      <c r="H163" s="228"/>
      <c r="I163" s="228"/>
      <c r="J163" s="228"/>
      <c r="K163" s="228"/>
      <c r="L163" s="228">
        <v>4000</v>
      </c>
      <c r="M163" s="228">
        <v>36950000</v>
      </c>
      <c r="N163" s="228"/>
      <c r="O163" s="228"/>
      <c r="P163" s="228">
        <v>4000</v>
      </c>
      <c r="Q163" s="228">
        <v>36950000</v>
      </c>
    </row>
    <row r="164" spans="1:17">
      <c r="A164" s="165" t="s">
        <v>473</v>
      </c>
      <c r="B164" s="165" t="s">
        <v>2042</v>
      </c>
      <c r="C164" s="165">
        <v>10800</v>
      </c>
      <c r="D164" s="228"/>
      <c r="E164" s="228"/>
      <c r="F164" s="228"/>
      <c r="G164" s="228"/>
      <c r="H164" s="228"/>
      <c r="I164" s="228"/>
      <c r="J164" s="228"/>
      <c r="K164" s="228"/>
      <c r="L164" s="228">
        <v>5000</v>
      </c>
      <c r="M164" s="228">
        <v>54000000</v>
      </c>
      <c r="N164" s="228"/>
      <c r="O164" s="228"/>
      <c r="P164" s="228">
        <v>5000</v>
      </c>
      <c r="Q164" s="228">
        <v>54000000</v>
      </c>
    </row>
    <row r="165" spans="1:17">
      <c r="B165" s="165" t="s">
        <v>2016</v>
      </c>
      <c r="C165" s="165">
        <v>13500</v>
      </c>
      <c r="D165" s="228"/>
      <c r="E165" s="228"/>
      <c r="F165" s="228"/>
      <c r="G165" s="228"/>
      <c r="H165" s="228"/>
      <c r="I165" s="228"/>
      <c r="J165" s="228"/>
      <c r="K165" s="228"/>
      <c r="L165" s="228">
        <v>4000</v>
      </c>
      <c r="M165" s="228">
        <v>54000000</v>
      </c>
      <c r="N165" s="228"/>
      <c r="O165" s="228"/>
      <c r="P165" s="228">
        <v>4000</v>
      </c>
      <c r="Q165" s="228">
        <v>54000000</v>
      </c>
    </row>
    <row r="166" spans="1:17">
      <c r="B166" s="165" t="s">
        <v>2177</v>
      </c>
      <c r="C166" s="165">
        <v>6100</v>
      </c>
      <c r="D166" s="228"/>
      <c r="E166" s="228"/>
      <c r="F166" s="228"/>
      <c r="G166" s="228"/>
      <c r="H166" s="228"/>
      <c r="I166" s="228"/>
      <c r="J166" s="228"/>
      <c r="K166" s="228"/>
      <c r="L166" s="228">
        <v>3000</v>
      </c>
      <c r="M166" s="228">
        <v>18300000</v>
      </c>
      <c r="N166" s="228"/>
      <c r="O166" s="228"/>
      <c r="P166" s="228">
        <v>3000</v>
      </c>
      <c r="Q166" s="228">
        <v>18300000</v>
      </c>
    </row>
    <row r="167" spans="1:17">
      <c r="A167" s="165" t="s">
        <v>2214</v>
      </c>
      <c r="B167" s="165"/>
      <c r="C167" s="165"/>
      <c r="D167" s="228"/>
      <c r="E167" s="228"/>
      <c r="F167" s="228"/>
      <c r="G167" s="228"/>
      <c r="H167" s="228"/>
      <c r="I167" s="228"/>
      <c r="J167" s="228"/>
      <c r="K167" s="228"/>
      <c r="L167" s="228">
        <v>12000</v>
      </c>
      <c r="M167" s="228">
        <v>126300000</v>
      </c>
      <c r="N167" s="228"/>
      <c r="O167" s="228"/>
      <c r="P167" s="228">
        <v>12000</v>
      </c>
      <c r="Q167" s="228">
        <v>126300000</v>
      </c>
    </row>
    <row r="168" spans="1:17">
      <c r="A168" s="165" t="s">
        <v>1279</v>
      </c>
      <c r="B168" s="165" t="s">
        <v>2011</v>
      </c>
      <c r="C168" s="165">
        <v>10600</v>
      </c>
      <c r="D168" s="228"/>
      <c r="E168" s="228"/>
      <c r="F168" s="228"/>
      <c r="G168" s="228"/>
      <c r="H168" s="228"/>
      <c r="I168" s="228"/>
      <c r="J168" s="228"/>
      <c r="K168" s="228"/>
      <c r="L168" s="228">
        <v>1000</v>
      </c>
      <c r="M168" s="228">
        <v>10600000</v>
      </c>
      <c r="N168" s="228"/>
      <c r="O168" s="228"/>
      <c r="P168" s="228">
        <v>1000</v>
      </c>
      <c r="Q168" s="228">
        <v>10600000</v>
      </c>
    </row>
    <row r="169" spans="1:17">
      <c r="B169" s="165" t="s">
        <v>2063</v>
      </c>
      <c r="C169" s="165">
        <v>12500</v>
      </c>
      <c r="D169" s="228"/>
      <c r="E169" s="228"/>
      <c r="F169" s="228"/>
      <c r="G169" s="228"/>
      <c r="H169" s="228"/>
      <c r="I169" s="228"/>
      <c r="J169" s="228"/>
      <c r="K169" s="228"/>
      <c r="L169" s="228">
        <v>5000</v>
      </c>
      <c r="M169" s="228">
        <v>62500000</v>
      </c>
      <c r="N169" s="228"/>
      <c r="O169" s="228"/>
      <c r="P169" s="228">
        <v>5000</v>
      </c>
      <c r="Q169" s="228">
        <v>62500000</v>
      </c>
    </row>
    <row r="170" spans="1:17">
      <c r="B170" s="165" t="s">
        <v>2093</v>
      </c>
      <c r="C170" s="165">
        <v>11400</v>
      </c>
      <c r="D170" s="228"/>
      <c r="E170" s="228"/>
      <c r="F170" s="228"/>
      <c r="G170" s="228"/>
      <c r="H170" s="228"/>
      <c r="I170" s="228"/>
      <c r="J170" s="228"/>
      <c r="K170" s="228"/>
      <c r="L170" s="228">
        <v>3000</v>
      </c>
      <c r="M170" s="228">
        <v>34200000</v>
      </c>
      <c r="N170" s="228"/>
      <c r="O170" s="228"/>
      <c r="P170" s="228">
        <v>3000</v>
      </c>
      <c r="Q170" s="228">
        <v>34200000</v>
      </c>
    </row>
    <row r="171" spans="1:17">
      <c r="B171" s="165" t="s">
        <v>2106</v>
      </c>
      <c r="C171" s="165">
        <v>15200</v>
      </c>
      <c r="D171" s="228"/>
      <c r="E171" s="228"/>
      <c r="F171" s="228"/>
      <c r="G171" s="228"/>
      <c r="H171" s="228"/>
      <c r="I171" s="228"/>
      <c r="J171" s="228"/>
      <c r="K171" s="228"/>
      <c r="L171" s="228">
        <v>11000</v>
      </c>
      <c r="M171" s="228">
        <v>167200000</v>
      </c>
      <c r="N171" s="228"/>
      <c r="O171" s="228"/>
      <c r="P171" s="228">
        <v>11000</v>
      </c>
      <c r="Q171" s="228">
        <v>167200000</v>
      </c>
    </row>
    <row r="172" spans="1:17">
      <c r="B172" s="165" t="s">
        <v>2015</v>
      </c>
      <c r="C172" s="165">
        <v>10700</v>
      </c>
      <c r="D172" s="228"/>
      <c r="E172" s="228"/>
      <c r="F172" s="228"/>
      <c r="G172" s="228"/>
      <c r="H172" s="228"/>
      <c r="I172" s="228"/>
      <c r="J172" s="228"/>
      <c r="K172" s="228"/>
      <c r="L172" s="228">
        <v>3000</v>
      </c>
      <c r="M172" s="228">
        <v>32100000</v>
      </c>
      <c r="N172" s="228"/>
      <c r="O172" s="228"/>
      <c r="P172" s="228">
        <v>3000</v>
      </c>
      <c r="Q172" s="228">
        <v>32100000</v>
      </c>
    </row>
    <row r="173" spans="1:17">
      <c r="B173" s="165" t="s">
        <v>2144</v>
      </c>
      <c r="C173" s="165">
        <v>12500</v>
      </c>
      <c r="D173" s="228"/>
      <c r="E173" s="228"/>
      <c r="F173" s="228"/>
      <c r="G173" s="228"/>
      <c r="H173" s="228"/>
      <c r="I173" s="228"/>
      <c r="J173" s="228"/>
      <c r="K173" s="228"/>
      <c r="L173" s="228">
        <v>10000</v>
      </c>
      <c r="M173" s="228">
        <v>125000000</v>
      </c>
      <c r="N173" s="228"/>
      <c r="O173" s="228"/>
      <c r="P173" s="228">
        <v>10000</v>
      </c>
      <c r="Q173" s="228">
        <v>125000000</v>
      </c>
    </row>
    <row r="174" spans="1:17">
      <c r="B174" s="165" t="s">
        <v>2019</v>
      </c>
      <c r="C174" s="165">
        <v>9100</v>
      </c>
      <c r="D174" s="228"/>
      <c r="E174" s="228"/>
      <c r="F174" s="228"/>
      <c r="G174" s="228"/>
      <c r="H174" s="228"/>
      <c r="I174" s="228"/>
      <c r="J174" s="228"/>
      <c r="K174" s="228"/>
      <c r="L174" s="228">
        <v>2100</v>
      </c>
      <c r="M174" s="228">
        <v>19110000</v>
      </c>
      <c r="N174" s="228"/>
      <c r="O174" s="228"/>
      <c r="P174" s="228">
        <v>2100</v>
      </c>
      <c r="Q174" s="228">
        <v>19110000</v>
      </c>
    </row>
    <row r="175" spans="1:17">
      <c r="B175" s="165" t="s">
        <v>2023</v>
      </c>
      <c r="C175" s="165">
        <v>10900</v>
      </c>
      <c r="D175" s="228"/>
      <c r="E175" s="228"/>
      <c r="F175" s="228"/>
      <c r="G175" s="228"/>
      <c r="H175" s="228"/>
      <c r="I175" s="228"/>
      <c r="J175" s="228"/>
      <c r="K175" s="228"/>
      <c r="L175" s="228">
        <v>2000</v>
      </c>
      <c r="M175" s="228">
        <v>21800000</v>
      </c>
      <c r="N175" s="228"/>
      <c r="O175" s="228"/>
      <c r="P175" s="228">
        <v>2000</v>
      </c>
      <c r="Q175" s="228">
        <v>21800000</v>
      </c>
    </row>
    <row r="176" spans="1:17">
      <c r="A176" s="165" t="s">
        <v>2215</v>
      </c>
      <c r="B176" s="165"/>
      <c r="C176" s="165"/>
      <c r="D176" s="228"/>
      <c r="E176" s="228"/>
      <c r="F176" s="228"/>
      <c r="G176" s="228"/>
      <c r="H176" s="228"/>
      <c r="I176" s="228"/>
      <c r="J176" s="228"/>
      <c r="K176" s="228"/>
      <c r="L176" s="228">
        <v>37100</v>
      </c>
      <c r="M176" s="228">
        <v>472510000</v>
      </c>
      <c r="N176" s="228"/>
      <c r="O176" s="228"/>
      <c r="P176" s="228">
        <v>37100</v>
      </c>
      <c r="Q176" s="228">
        <v>472510000</v>
      </c>
    </row>
    <row r="177" spans="1:17">
      <c r="A177" s="165" t="s">
        <v>911</v>
      </c>
      <c r="B177" s="165" t="s">
        <v>2025</v>
      </c>
      <c r="C177" s="165">
        <v>4000</v>
      </c>
      <c r="D177" s="228"/>
      <c r="E177" s="228"/>
      <c r="F177" s="228"/>
      <c r="G177" s="228"/>
      <c r="H177" s="228"/>
      <c r="I177" s="228"/>
      <c r="J177" s="228">
        <v>3900</v>
      </c>
      <c r="K177" s="228">
        <v>15600000</v>
      </c>
      <c r="L177" s="228"/>
      <c r="M177" s="228"/>
      <c r="N177" s="228"/>
      <c r="O177" s="228"/>
      <c r="P177" s="228">
        <v>3900</v>
      </c>
      <c r="Q177" s="228">
        <v>15600000</v>
      </c>
    </row>
    <row r="178" spans="1:17">
      <c r="B178" s="165" t="s">
        <v>2033</v>
      </c>
      <c r="C178" s="165">
        <v>5500</v>
      </c>
      <c r="D178" s="228"/>
      <c r="E178" s="228"/>
      <c r="F178" s="228">
        <v>5000</v>
      </c>
      <c r="G178" s="228">
        <v>27500000</v>
      </c>
      <c r="H178" s="228"/>
      <c r="I178" s="228"/>
      <c r="J178" s="228"/>
      <c r="K178" s="228"/>
      <c r="L178" s="228"/>
      <c r="M178" s="228"/>
      <c r="N178" s="228"/>
      <c r="O178" s="228"/>
      <c r="P178" s="228">
        <v>5000</v>
      </c>
      <c r="Q178" s="228">
        <v>27500000</v>
      </c>
    </row>
    <row r="179" spans="1:17">
      <c r="B179" s="165" t="s">
        <v>2035</v>
      </c>
      <c r="C179" s="165">
        <v>8500</v>
      </c>
      <c r="D179" s="228">
        <v>0</v>
      </c>
      <c r="E179" s="228">
        <v>0</v>
      </c>
      <c r="F179" s="228"/>
      <c r="G179" s="228"/>
      <c r="H179" s="228"/>
      <c r="I179" s="228"/>
      <c r="J179" s="228"/>
      <c r="K179" s="228"/>
      <c r="L179" s="228"/>
      <c r="M179" s="228"/>
      <c r="N179" s="228"/>
      <c r="O179" s="228"/>
      <c r="P179" s="228">
        <v>0</v>
      </c>
      <c r="Q179" s="228">
        <v>0</v>
      </c>
    </row>
    <row r="180" spans="1:17">
      <c r="B180" s="165" t="s">
        <v>2042</v>
      </c>
      <c r="C180" s="165">
        <v>11000</v>
      </c>
      <c r="D180" s="228">
        <v>0</v>
      </c>
      <c r="E180" s="228">
        <v>0</v>
      </c>
      <c r="F180" s="228"/>
      <c r="G180" s="228"/>
      <c r="H180" s="228"/>
      <c r="I180" s="228"/>
      <c r="J180" s="228"/>
      <c r="K180" s="228"/>
      <c r="L180" s="228"/>
      <c r="M180" s="228"/>
      <c r="N180" s="228"/>
      <c r="O180" s="228"/>
      <c r="P180" s="228">
        <v>0</v>
      </c>
      <c r="Q180" s="228">
        <v>0</v>
      </c>
    </row>
    <row r="181" spans="1:17">
      <c r="B181" s="165" t="s">
        <v>2057</v>
      </c>
      <c r="C181" s="165">
        <v>6700</v>
      </c>
      <c r="D181" s="228"/>
      <c r="E181" s="228"/>
      <c r="F181" s="228">
        <v>0</v>
      </c>
      <c r="G181" s="228">
        <v>0</v>
      </c>
      <c r="H181" s="228"/>
      <c r="I181" s="228"/>
      <c r="J181" s="228"/>
      <c r="K181" s="228"/>
      <c r="L181" s="228"/>
      <c r="M181" s="228"/>
      <c r="N181" s="228"/>
      <c r="O181" s="228"/>
      <c r="P181" s="228">
        <v>0</v>
      </c>
      <c r="Q181" s="228">
        <v>0</v>
      </c>
    </row>
    <row r="182" spans="1:17">
      <c r="B182" s="165" t="s">
        <v>2008</v>
      </c>
      <c r="C182" s="165">
        <v>4700</v>
      </c>
      <c r="D182" s="228"/>
      <c r="E182" s="228"/>
      <c r="F182" s="228">
        <v>0</v>
      </c>
      <c r="G182" s="228">
        <v>0</v>
      </c>
      <c r="H182" s="228"/>
      <c r="I182" s="228"/>
      <c r="J182" s="228"/>
      <c r="K182" s="228"/>
      <c r="L182" s="228"/>
      <c r="M182" s="228"/>
      <c r="N182" s="228"/>
      <c r="O182" s="228"/>
      <c r="P182" s="228">
        <v>0</v>
      </c>
      <c r="Q182" s="228">
        <v>0</v>
      </c>
    </row>
    <row r="183" spans="1:17">
      <c r="C183" s="165">
        <v>5000</v>
      </c>
      <c r="D183" s="228">
        <v>0</v>
      </c>
      <c r="E183" s="228">
        <v>0</v>
      </c>
      <c r="F183" s="228">
        <v>0</v>
      </c>
      <c r="G183" s="228">
        <v>0</v>
      </c>
      <c r="H183" s="228"/>
      <c r="I183" s="228"/>
      <c r="J183" s="228"/>
      <c r="K183" s="228"/>
      <c r="L183" s="228"/>
      <c r="M183" s="228"/>
      <c r="N183" s="228"/>
      <c r="O183" s="228"/>
      <c r="P183" s="228">
        <v>0</v>
      </c>
      <c r="Q183" s="228">
        <v>0</v>
      </c>
    </row>
    <row r="184" spans="1:17">
      <c r="B184" s="165" t="s">
        <v>2011</v>
      </c>
      <c r="C184" s="165">
        <v>10500</v>
      </c>
      <c r="D184" s="228"/>
      <c r="E184" s="228"/>
      <c r="F184" s="228"/>
      <c r="G184" s="228"/>
      <c r="H184" s="228"/>
      <c r="I184" s="228"/>
      <c r="J184" s="228"/>
      <c r="K184" s="228"/>
      <c r="L184" s="228">
        <v>20000</v>
      </c>
      <c r="M184" s="228">
        <v>210000000</v>
      </c>
      <c r="N184" s="228"/>
      <c r="O184" s="228"/>
      <c r="P184" s="228">
        <v>20000</v>
      </c>
      <c r="Q184" s="228">
        <v>210000000</v>
      </c>
    </row>
    <row r="185" spans="1:17">
      <c r="B185" s="165" t="s">
        <v>2098</v>
      </c>
      <c r="C185" s="165">
        <v>4000</v>
      </c>
      <c r="D185" s="228"/>
      <c r="E185" s="228"/>
      <c r="F185" s="228"/>
      <c r="G185" s="228"/>
      <c r="H185" s="228"/>
      <c r="I185" s="228"/>
      <c r="J185" s="228">
        <v>8100</v>
      </c>
      <c r="K185" s="228">
        <v>32400000</v>
      </c>
      <c r="L185" s="228"/>
      <c r="M185" s="228"/>
      <c r="N185" s="228"/>
      <c r="O185" s="228"/>
      <c r="P185" s="228">
        <v>8100</v>
      </c>
      <c r="Q185" s="228">
        <v>32400000</v>
      </c>
    </row>
    <row r="186" spans="1:17">
      <c r="B186" s="165" t="s">
        <v>2110</v>
      </c>
      <c r="C186" s="165">
        <v>6000</v>
      </c>
      <c r="D186" s="228"/>
      <c r="E186" s="228"/>
      <c r="F186" s="228">
        <v>0</v>
      </c>
      <c r="G186" s="228">
        <v>0</v>
      </c>
      <c r="H186" s="228"/>
      <c r="I186" s="228"/>
      <c r="J186" s="228"/>
      <c r="K186" s="228"/>
      <c r="L186" s="228"/>
      <c r="M186" s="228"/>
      <c r="N186" s="228"/>
      <c r="O186" s="228"/>
      <c r="P186" s="228">
        <v>0</v>
      </c>
      <c r="Q186" s="228">
        <v>0</v>
      </c>
    </row>
    <row r="187" spans="1:17">
      <c r="B187" s="165" t="s">
        <v>2113</v>
      </c>
      <c r="C187" s="165">
        <v>6200</v>
      </c>
      <c r="D187" s="228"/>
      <c r="E187" s="228"/>
      <c r="F187" s="228">
        <v>16000</v>
      </c>
      <c r="G187" s="228">
        <v>99200000</v>
      </c>
      <c r="H187" s="228"/>
      <c r="I187" s="228"/>
      <c r="J187" s="228"/>
      <c r="K187" s="228"/>
      <c r="L187" s="228"/>
      <c r="M187" s="228"/>
      <c r="N187" s="228"/>
      <c r="O187" s="228"/>
      <c r="P187" s="228">
        <v>16000</v>
      </c>
      <c r="Q187" s="228">
        <v>99200000</v>
      </c>
    </row>
    <row r="188" spans="1:17">
      <c r="B188" s="165" t="s">
        <v>2132</v>
      </c>
      <c r="C188" s="165">
        <v>6700</v>
      </c>
      <c r="D188" s="228"/>
      <c r="E188" s="228"/>
      <c r="F188" s="228">
        <v>5000</v>
      </c>
      <c r="G188" s="228">
        <v>33500000</v>
      </c>
      <c r="H188" s="228"/>
      <c r="I188" s="228"/>
      <c r="J188" s="228"/>
      <c r="K188" s="228"/>
      <c r="L188" s="228"/>
      <c r="M188" s="228"/>
      <c r="N188" s="228"/>
      <c r="O188" s="228"/>
      <c r="P188" s="228">
        <v>5000</v>
      </c>
      <c r="Q188" s="228">
        <v>33500000</v>
      </c>
    </row>
    <row r="189" spans="1:17">
      <c r="B189" s="165" t="s">
        <v>2150</v>
      </c>
      <c r="C189" s="165">
        <v>5500</v>
      </c>
      <c r="D189" s="228"/>
      <c r="E189" s="228"/>
      <c r="F189" s="228">
        <v>0</v>
      </c>
      <c r="G189" s="228">
        <v>0</v>
      </c>
      <c r="H189" s="228"/>
      <c r="I189" s="228"/>
      <c r="J189" s="228"/>
      <c r="K189" s="228"/>
      <c r="L189" s="228"/>
      <c r="M189" s="228"/>
      <c r="N189" s="228"/>
      <c r="O189" s="228"/>
      <c r="P189" s="228">
        <v>0</v>
      </c>
      <c r="Q189" s="228">
        <v>0</v>
      </c>
    </row>
    <row r="190" spans="1:17">
      <c r="B190" s="165" t="s">
        <v>2171</v>
      </c>
      <c r="C190" s="165">
        <v>5500</v>
      </c>
      <c r="D190" s="228"/>
      <c r="E190" s="228"/>
      <c r="F190" s="228">
        <v>0</v>
      </c>
      <c r="G190" s="228">
        <v>0</v>
      </c>
      <c r="H190" s="228"/>
      <c r="I190" s="228"/>
      <c r="J190" s="228"/>
      <c r="K190" s="228"/>
      <c r="L190" s="228"/>
      <c r="M190" s="228"/>
      <c r="N190" s="228"/>
      <c r="O190" s="228"/>
      <c r="P190" s="228">
        <v>0</v>
      </c>
      <c r="Q190" s="228">
        <v>0</v>
      </c>
    </row>
    <row r="191" spans="1:17">
      <c r="B191" s="165" t="s">
        <v>2180</v>
      </c>
      <c r="C191" s="165">
        <v>4350</v>
      </c>
      <c r="D191" s="228"/>
      <c r="E191" s="228"/>
      <c r="F191" s="228">
        <v>0</v>
      </c>
      <c r="G191" s="228">
        <v>0</v>
      </c>
      <c r="H191" s="228"/>
      <c r="I191" s="228"/>
      <c r="J191" s="228"/>
      <c r="K191" s="228"/>
      <c r="L191" s="228"/>
      <c r="M191" s="228"/>
      <c r="N191" s="228"/>
      <c r="O191" s="228"/>
      <c r="P191" s="228">
        <v>0</v>
      </c>
      <c r="Q191" s="228">
        <v>0</v>
      </c>
    </row>
    <row r="192" spans="1:17">
      <c r="B192" s="165" t="s">
        <v>2181</v>
      </c>
      <c r="C192" s="165">
        <v>7000</v>
      </c>
      <c r="D192" s="228"/>
      <c r="E192" s="228"/>
      <c r="F192" s="228">
        <v>0</v>
      </c>
      <c r="G192" s="228">
        <v>0</v>
      </c>
      <c r="H192" s="228"/>
      <c r="I192" s="228"/>
      <c r="J192" s="228"/>
      <c r="K192" s="228"/>
      <c r="L192" s="228"/>
      <c r="M192" s="228"/>
      <c r="N192" s="228"/>
      <c r="O192" s="228"/>
      <c r="P192" s="228">
        <v>0</v>
      </c>
      <c r="Q192" s="228">
        <v>0</v>
      </c>
    </row>
    <row r="193" spans="1:17">
      <c r="B193" s="165" t="s">
        <v>2189</v>
      </c>
      <c r="C193" s="165">
        <v>3800</v>
      </c>
      <c r="D193" s="228"/>
      <c r="E193" s="228"/>
      <c r="F193" s="228">
        <v>0</v>
      </c>
      <c r="G193" s="228">
        <v>0</v>
      </c>
      <c r="H193" s="228"/>
      <c r="I193" s="228"/>
      <c r="J193" s="228"/>
      <c r="K193" s="228"/>
      <c r="L193" s="228"/>
      <c r="M193" s="228"/>
      <c r="N193" s="228"/>
      <c r="O193" s="228"/>
      <c r="P193" s="228">
        <v>0</v>
      </c>
      <c r="Q193" s="228">
        <v>0</v>
      </c>
    </row>
    <row r="194" spans="1:17">
      <c r="B194" s="165" t="s">
        <v>2190</v>
      </c>
      <c r="C194" s="165">
        <v>5000</v>
      </c>
      <c r="D194" s="228"/>
      <c r="E194" s="228"/>
      <c r="F194" s="228">
        <v>0</v>
      </c>
      <c r="G194" s="228">
        <v>0</v>
      </c>
      <c r="H194" s="228"/>
      <c r="I194" s="228"/>
      <c r="J194" s="228"/>
      <c r="K194" s="228"/>
      <c r="L194" s="228"/>
      <c r="M194" s="228"/>
      <c r="N194" s="228"/>
      <c r="O194" s="228"/>
      <c r="P194" s="228">
        <v>0</v>
      </c>
      <c r="Q194" s="228">
        <v>0</v>
      </c>
    </row>
    <row r="195" spans="1:17">
      <c r="A195" s="165" t="s">
        <v>2216</v>
      </c>
      <c r="B195" s="165"/>
      <c r="C195" s="165"/>
      <c r="D195" s="228">
        <v>0</v>
      </c>
      <c r="E195" s="228">
        <v>0</v>
      </c>
      <c r="F195" s="228">
        <v>26000</v>
      </c>
      <c r="G195" s="228">
        <v>160200000</v>
      </c>
      <c r="H195" s="228"/>
      <c r="I195" s="228"/>
      <c r="J195" s="228">
        <v>12000</v>
      </c>
      <c r="K195" s="228">
        <v>48000000</v>
      </c>
      <c r="L195" s="228">
        <v>20000</v>
      </c>
      <c r="M195" s="228">
        <v>210000000</v>
      </c>
      <c r="N195" s="228"/>
      <c r="O195" s="228"/>
      <c r="P195" s="228">
        <v>58000</v>
      </c>
      <c r="Q195" s="228">
        <v>418200000</v>
      </c>
    </row>
    <row r="196" spans="1:17">
      <c r="A196" s="165" t="s">
        <v>243</v>
      </c>
      <c r="B196" s="165" t="s">
        <v>2016</v>
      </c>
      <c r="C196" s="165">
        <v>13500</v>
      </c>
      <c r="D196" s="228"/>
      <c r="E196" s="228"/>
      <c r="F196" s="228"/>
      <c r="G196" s="228"/>
      <c r="H196" s="228"/>
      <c r="I196" s="228"/>
      <c r="J196" s="228"/>
      <c r="K196" s="228"/>
      <c r="L196" s="228">
        <v>10000</v>
      </c>
      <c r="M196" s="228">
        <v>135000000</v>
      </c>
      <c r="N196" s="228"/>
      <c r="O196" s="228"/>
      <c r="P196" s="228">
        <v>10000</v>
      </c>
      <c r="Q196" s="228">
        <v>135000000</v>
      </c>
    </row>
    <row r="197" spans="1:17">
      <c r="B197" s="165" t="s">
        <v>2136</v>
      </c>
      <c r="C197" s="165">
        <v>13000</v>
      </c>
      <c r="D197" s="228"/>
      <c r="E197" s="228"/>
      <c r="F197" s="228"/>
      <c r="G197" s="228"/>
      <c r="H197" s="228"/>
      <c r="I197" s="228"/>
      <c r="J197" s="228"/>
      <c r="K197" s="228"/>
      <c r="L197" s="228">
        <v>10000</v>
      </c>
      <c r="M197" s="228">
        <v>130000000</v>
      </c>
      <c r="N197" s="228"/>
      <c r="O197" s="228"/>
      <c r="P197" s="228">
        <v>10000</v>
      </c>
      <c r="Q197" s="228">
        <v>130000000</v>
      </c>
    </row>
    <row r="198" spans="1:17">
      <c r="B198" s="165" t="s">
        <v>2155</v>
      </c>
      <c r="C198" s="165">
        <v>9300</v>
      </c>
      <c r="D198" s="228"/>
      <c r="E198" s="228"/>
      <c r="F198" s="228"/>
      <c r="G198" s="228"/>
      <c r="H198" s="228"/>
      <c r="I198" s="228"/>
      <c r="J198" s="228"/>
      <c r="K198" s="228"/>
      <c r="L198" s="228">
        <v>5000</v>
      </c>
      <c r="M198" s="228">
        <v>46500000</v>
      </c>
      <c r="N198" s="228"/>
      <c r="O198" s="228"/>
      <c r="P198" s="228">
        <v>5000</v>
      </c>
      <c r="Q198" s="228">
        <v>46500000</v>
      </c>
    </row>
    <row r="199" spans="1:17">
      <c r="B199" s="165" t="s">
        <v>2023</v>
      </c>
      <c r="C199" s="165">
        <v>10100</v>
      </c>
      <c r="D199" s="228"/>
      <c r="E199" s="228"/>
      <c r="F199" s="228"/>
      <c r="G199" s="228"/>
      <c r="H199" s="228"/>
      <c r="I199" s="228"/>
      <c r="J199" s="228"/>
      <c r="K199" s="228"/>
      <c r="L199" s="228">
        <v>5000</v>
      </c>
      <c r="M199" s="228">
        <v>50500000</v>
      </c>
      <c r="N199" s="228"/>
      <c r="O199" s="228"/>
      <c r="P199" s="228">
        <v>5000</v>
      </c>
      <c r="Q199" s="228">
        <v>50500000</v>
      </c>
    </row>
    <row r="200" spans="1:17">
      <c r="A200" s="165" t="s">
        <v>2217</v>
      </c>
      <c r="B200" s="165"/>
      <c r="C200" s="165"/>
      <c r="D200" s="228"/>
      <c r="E200" s="228"/>
      <c r="F200" s="228"/>
      <c r="G200" s="228"/>
      <c r="H200" s="228"/>
      <c r="I200" s="228"/>
      <c r="J200" s="228"/>
      <c r="K200" s="228"/>
      <c r="L200" s="228">
        <v>30000</v>
      </c>
      <c r="M200" s="228">
        <v>362000000</v>
      </c>
      <c r="N200" s="228"/>
      <c r="O200" s="228"/>
      <c r="P200" s="228">
        <v>30000</v>
      </c>
      <c r="Q200" s="228">
        <v>362000000</v>
      </c>
    </row>
    <row r="201" spans="1:17">
      <c r="A201" s="165" t="s">
        <v>257</v>
      </c>
      <c r="B201" s="165" t="s">
        <v>2011</v>
      </c>
      <c r="C201" s="165">
        <v>10500</v>
      </c>
      <c r="D201" s="228"/>
      <c r="E201" s="228"/>
      <c r="F201" s="228"/>
      <c r="G201" s="228"/>
      <c r="H201" s="228"/>
      <c r="I201" s="228"/>
      <c r="J201" s="228"/>
      <c r="K201" s="228"/>
      <c r="L201" s="228">
        <v>3000</v>
      </c>
      <c r="M201" s="228">
        <v>31500000</v>
      </c>
      <c r="N201" s="228"/>
      <c r="O201" s="228"/>
      <c r="P201" s="228">
        <v>3000</v>
      </c>
      <c r="Q201" s="228">
        <v>31500000</v>
      </c>
    </row>
    <row r="202" spans="1:17">
      <c r="B202" s="165" t="s">
        <v>2136</v>
      </c>
      <c r="C202" s="165">
        <v>13000</v>
      </c>
      <c r="D202" s="228"/>
      <c r="E202" s="228"/>
      <c r="F202" s="228"/>
      <c r="G202" s="228"/>
      <c r="H202" s="228"/>
      <c r="I202" s="228"/>
      <c r="J202" s="228"/>
      <c r="K202" s="228"/>
      <c r="L202" s="228">
        <v>10000</v>
      </c>
      <c r="M202" s="228">
        <v>130000000</v>
      </c>
      <c r="N202" s="228"/>
      <c r="O202" s="228"/>
      <c r="P202" s="228">
        <v>10000</v>
      </c>
      <c r="Q202" s="228">
        <v>130000000</v>
      </c>
    </row>
    <row r="203" spans="1:17">
      <c r="B203" s="165" t="s">
        <v>2015</v>
      </c>
      <c r="C203" s="165">
        <v>10500</v>
      </c>
      <c r="D203" s="228"/>
      <c r="E203" s="228"/>
      <c r="F203" s="228"/>
      <c r="G203" s="228"/>
      <c r="H203" s="228"/>
      <c r="I203" s="228"/>
      <c r="J203" s="228"/>
      <c r="K203" s="228"/>
      <c r="L203" s="228">
        <v>5000</v>
      </c>
      <c r="M203" s="228">
        <v>52500000</v>
      </c>
      <c r="N203" s="228"/>
      <c r="O203" s="228"/>
      <c r="P203" s="228">
        <v>5000</v>
      </c>
      <c r="Q203" s="228">
        <v>52500000</v>
      </c>
    </row>
    <row r="204" spans="1:17">
      <c r="B204" s="165" t="s">
        <v>2155</v>
      </c>
      <c r="C204" s="165">
        <v>9300</v>
      </c>
      <c r="D204" s="228"/>
      <c r="E204" s="228"/>
      <c r="F204" s="228"/>
      <c r="G204" s="228"/>
      <c r="H204" s="228"/>
      <c r="I204" s="228"/>
      <c r="J204" s="228"/>
      <c r="K204" s="228"/>
      <c r="L204" s="228">
        <v>10000</v>
      </c>
      <c r="M204" s="228">
        <v>93000000</v>
      </c>
      <c r="N204" s="228"/>
      <c r="O204" s="228"/>
      <c r="P204" s="228">
        <v>10000</v>
      </c>
      <c r="Q204" s="228">
        <v>93000000</v>
      </c>
    </row>
    <row r="205" spans="1:17">
      <c r="B205" s="165" t="s">
        <v>2023</v>
      </c>
      <c r="C205" s="165">
        <v>11000</v>
      </c>
      <c r="D205" s="228"/>
      <c r="E205" s="228"/>
      <c r="F205" s="228"/>
      <c r="G205" s="228"/>
      <c r="H205" s="228"/>
      <c r="I205" s="228"/>
      <c r="J205" s="228"/>
      <c r="K205" s="228"/>
      <c r="L205" s="228">
        <v>2000</v>
      </c>
      <c r="M205" s="228">
        <v>22000000</v>
      </c>
      <c r="N205" s="228"/>
      <c r="O205" s="228"/>
      <c r="P205" s="228">
        <v>2000</v>
      </c>
      <c r="Q205" s="228">
        <v>22000000</v>
      </c>
    </row>
    <row r="206" spans="1:17">
      <c r="A206" s="165" t="s">
        <v>2218</v>
      </c>
      <c r="B206" s="165"/>
      <c r="C206" s="165"/>
      <c r="D206" s="228"/>
      <c r="E206" s="228"/>
      <c r="F206" s="228"/>
      <c r="G206" s="228"/>
      <c r="H206" s="228"/>
      <c r="I206" s="228"/>
      <c r="J206" s="228"/>
      <c r="K206" s="228"/>
      <c r="L206" s="228">
        <v>30000</v>
      </c>
      <c r="M206" s="228">
        <v>329000000</v>
      </c>
      <c r="N206" s="228"/>
      <c r="O206" s="228"/>
      <c r="P206" s="228">
        <v>30000</v>
      </c>
      <c r="Q206" s="228">
        <v>329000000</v>
      </c>
    </row>
    <row r="207" spans="1:17">
      <c r="A207" s="165" t="s">
        <v>274</v>
      </c>
      <c r="B207" s="165" t="s">
        <v>2042</v>
      </c>
      <c r="C207" s="165">
        <v>10800</v>
      </c>
      <c r="D207" s="228"/>
      <c r="E207" s="228"/>
      <c r="F207" s="228"/>
      <c r="G207" s="228"/>
      <c r="H207" s="228"/>
      <c r="I207" s="228"/>
      <c r="J207" s="228"/>
      <c r="K207" s="228"/>
      <c r="L207" s="228">
        <v>5000</v>
      </c>
      <c r="M207" s="228">
        <v>54000000</v>
      </c>
      <c r="N207" s="228"/>
      <c r="O207" s="228"/>
      <c r="P207" s="228">
        <v>5000</v>
      </c>
      <c r="Q207" s="228">
        <v>54000000</v>
      </c>
    </row>
    <row r="208" spans="1:17">
      <c r="B208" s="165" t="s">
        <v>2106</v>
      </c>
      <c r="C208" s="165">
        <v>15200</v>
      </c>
      <c r="D208" s="228"/>
      <c r="E208" s="228"/>
      <c r="F208" s="228"/>
      <c r="G208" s="228"/>
      <c r="H208" s="228"/>
      <c r="I208" s="228"/>
      <c r="J208" s="228"/>
      <c r="K208" s="228"/>
      <c r="L208" s="228">
        <v>5000</v>
      </c>
      <c r="M208" s="228">
        <v>76000000</v>
      </c>
      <c r="N208" s="228"/>
      <c r="O208" s="228"/>
      <c r="P208" s="228">
        <v>5000</v>
      </c>
      <c r="Q208" s="228">
        <v>76000000</v>
      </c>
    </row>
    <row r="209" spans="1:17">
      <c r="B209" s="165" t="s">
        <v>2115</v>
      </c>
      <c r="C209" s="165">
        <v>8000</v>
      </c>
      <c r="D209" s="228"/>
      <c r="E209" s="228"/>
      <c r="F209" s="228">
        <v>0</v>
      </c>
      <c r="G209" s="228">
        <v>0</v>
      </c>
      <c r="H209" s="228"/>
      <c r="I209" s="228"/>
      <c r="J209" s="228"/>
      <c r="K209" s="228"/>
      <c r="L209" s="228"/>
      <c r="M209" s="228"/>
      <c r="N209" s="228"/>
      <c r="O209" s="228"/>
      <c r="P209" s="228">
        <v>0</v>
      </c>
      <c r="Q209" s="228">
        <v>0</v>
      </c>
    </row>
    <row r="210" spans="1:17">
      <c r="B210" s="165" t="s">
        <v>2125</v>
      </c>
      <c r="C210" s="165">
        <v>2800</v>
      </c>
      <c r="D210" s="228"/>
      <c r="E210" s="228"/>
      <c r="F210" s="228">
        <v>0</v>
      </c>
      <c r="G210" s="228">
        <v>0</v>
      </c>
      <c r="H210" s="228"/>
      <c r="I210" s="228"/>
      <c r="J210" s="228"/>
      <c r="K210" s="228"/>
      <c r="L210" s="228"/>
      <c r="M210" s="228"/>
      <c r="N210" s="228"/>
      <c r="O210" s="228"/>
      <c r="P210" s="228">
        <v>0</v>
      </c>
      <c r="Q210" s="228">
        <v>0</v>
      </c>
    </row>
    <row r="211" spans="1:17">
      <c r="B211" s="165" t="s">
        <v>2136</v>
      </c>
      <c r="C211" s="165">
        <v>13000</v>
      </c>
      <c r="D211" s="228"/>
      <c r="E211" s="228"/>
      <c r="F211" s="228"/>
      <c r="G211" s="228"/>
      <c r="H211" s="228"/>
      <c r="I211" s="228"/>
      <c r="J211" s="228"/>
      <c r="K211" s="228"/>
      <c r="L211" s="228">
        <v>5000</v>
      </c>
      <c r="M211" s="228">
        <v>65000000</v>
      </c>
      <c r="N211" s="228"/>
      <c r="O211" s="228"/>
      <c r="P211" s="228">
        <v>5000</v>
      </c>
      <c r="Q211" s="228">
        <v>65000000</v>
      </c>
    </row>
    <row r="212" spans="1:17">
      <c r="B212" s="165" t="s">
        <v>2155</v>
      </c>
      <c r="C212" s="165">
        <v>9300</v>
      </c>
      <c r="D212" s="228"/>
      <c r="E212" s="228"/>
      <c r="F212" s="228"/>
      <c r="G212" s="228"/>
      <c r="H212" s="228"/>
      <c r="I212" s="228"/>
      <c r="J212" s="228"/>
      <c r="K212" s="228"/>
      <c r="L212" s="228">
        <v>5000</v>
      </c>
      <c r="M212" s="228">
        <v>46500000</v>
      </c>
      <c r="N212" s="228"/>
      <c r="O212" s="228"/>
      <c r="P212" s="228">
        <v>5000</v>
      </c>
      <c r="Q212" s="228">
        <v>46500000</v>
      </c>
    </row>
    <row r="213" spans="1:17">
      <c r="B213" s="165" t="s">
        <v>2023</v>
      </c>
      <c r="C213" s="165">
        <v>10100</v>
      </c>
      <c r="D213" s="228"/>
      <c r="E213" s="228"/>
      <c r="F213" s="228"/>
      <c r="G213" s="228"/>
      <c r="H213" s="228"/>
      <c r="I213" s="228"/>
      <c r="J213" s="228"/>
      <c r="K213" s="228"/>
      <c r="L213" s="228">
        <v>5000</v>
      </c>
      <c r="M213" s="228">
        <v>50500000</v>
      </c>
      <c r="N213" s="228"/>
      <c r="O213" s="228"/>
      <c r="P213" s="228">
        <v>5000</v>
      </c>
      <c r="Q213" s="228">
        <v>50500000</v>
      </c>
    </row>
    <row r="214" spans="1:17">
      <c r="A214" s="165" t="s">
        <v>2219</v>
      </c>
      <c r="B214" s="165"/>
      <c r="C214" s="165"/>
      <c r="D214" s="228"/>
      <c r="E214" s="228"/>
      <c r="F214" s="228">
        <v>0</v>
      </c>
      <c r="G214" s="228">
        <v>0</v>
      </c>
      <c r="H214" s="228"/>
      <c r="I214" s="228"/>
      <c r="J214" s="228"/>
      <c r="K214" s="228"/>
      <c r="L214" s="228">
        <v>25000</v>
      </c>
      <c r="M214" s="228">
        <v>292000000</v>
      </c>
      <c r="N214" s="228"/>
      <c r="O214" s="228"/>
      <c r="P214" s="228">
        <v>25000</v>
      </c>
      <c r="Q214" s="228">
        <v>292000000</v>
      </c>
    </row>
    <row r="215" spans="1:17">
      <c r="A215" s="165" t="s">
        <v>270</v>
      </c>
      <c r="B215" s="165" t="s">
        <v>2027</v>
      </c>
      <c r="C215" s="165">
        <v>2800</v>
      </c>
      <c r="D215" s="228">
        <v>0</v>
      </c>
      <c r="E215" s="228">
        <v>0</v>
      </c>
      <c r="F215" s="228">
        <v>0</v>
      </c>
      <c r="G215" s="228">
        <v>0</v>
      </c>
      <c r="H215" s="228"/>
      <c r="I215" s="228"/>
      <c r="J215" s="228"/>
      <c r="K215" s="228"/>
      <c r="L215" s="228"/>
      <c r="M215" s="228"/>
      <c r="N215" s="228"/>
      <c r="O215" s="228"/>
      <c r="P215" s="228">
        <v>0</v>
      </c>
      <c r="Q215" s="228">
        <v>0</v>
      </c>
    </row>
    <row r="216" spans="1:17">
      <c r="B216" s="165" t="s">
        <v>2038</v>
      </c>
      <c r="C216" s="165">
        <v>4370</v>
      </c>
      <c r="D216" s="228">
        <v>0</v>
      </c>
      <c r="E216" s="228">
        <v>0</v>
      </c>
      <c r="F216" s="228"/>
      <c r="G216" s="228"/>
      <c r="H216" s="228"/>
      <c r="I216" s="228"/>
      <c r="J216" s="228"/>
      <c r="K216" s="228"/>
      <c r="L216" s="228"/>
      <c r="M216" s="228"/>
      <c r="N216" s="228"/>
      <c r="O216" s="228"/>
      <c r="P216" s="228">
        <v>0</v>
      </c>
      <c r="Q216" s="228">
        <v>0</v>
      </c>
    </row>
    <row r="217" spans="1:17">
      <c r="B217" s="165" t="s">
        <v>2039</v>
      </c>
      <c r="C217" s="165">
        <v>6300</v>
      </c>
      <c r="D217" s="228"/>
      <c r="E217" s="228"/>
      <c r="F217" s="228">
        <v>0</v>
      </c>
      <c r="G217" s="228">
        <v>0</v>
      </c>
      <c r="H217" s="228"/>
      <c r="I217" s="228"/>
      <c r="J217" s="228"/>
      <c r="K217" s="228"/>
      <c r="L217" s="228"/>
      <c r="M217" s="228"/>
      <c r="N217" s="228"/>
      <c r="O217" s="228"/>
      <c r="P217" s="228">
        <v>0</v>
      </c>
      <c r="Q217" s="228">
        <v>0</v>
      </c>
    </row>
    <row r="218" spans="1:17">
      <c r="B218" s="165" t="s">
        <v>2042</v>
      </c>
      <c r="C218" s="165">
        <v>11000</v>
      </c>
      <c r="D218" s="228"/>
      <c r="E218" s="228"/>
      <c r="F218" s="228"/>
      <c r="G218" s="228"/>
      <c r="H218" s="228"/>
      <c r="I218" s="228"/>
      <c r="J218" s="228"/>
      <c r="K218" s="228"/>
      <c r="L218" s="228">
        <v>3000</v>
      </c>
      <c r="M218" s="228">
        <v>33000000</v>
      </c>
      <c r="N218" s="228"/>
      <c r="O218" s="228"/>
      <c r="P218" s="228">
        <v>3000</v>
      </c>
      <c r="Q218" s="228">
        <v>33000000</v>
      </c>
    </row>
    <row r="219" spans="1:17">
      <c r="B219" s="165" t="s">
        <v>2008</v>
      </c>
      <c r="C219" s="165">
        <v>5000</v>
      </c>
      <c r="D219" s="228"/>
      <c r="E219" s="228"/>
      <c r="F219" s="228">
        <v>0</v>
      </c>
      <c r="G219" s="228">
        <v>0</v>
      </c>
      <c r="H219" s="228"/>
      <c r="I219" s="228"/>
      <c r="J219" s="228"/>
      <c r="K219" s="228"/>
      <c r="L219" s="228"/>
      <c r="M219" s="228"/>
      <c r="N219" s="228"/>
      <c r="O219" s="228"/>
      <c r="P219" s="228">
        <v>0</v>
      </c>
      <c r="Q219" s="228">
        <v>0</v>
      </c>
    </row>
    <row r="220" spans="1:17">
      <c r="C220" s="165">
        <v>6000</v>
      </c>
      <c r="D220" s="228"/>
      <c r="E220" s="228"/>
      <c r="F220" s="228">
        <v>0</v>
      </c>
      <c r="G220" s="228">
        <v>0</v>
      </c>
      <c r="H220" s="228"/>
      <c r="I220" s="228"/>
      <c r="J220" s="228"/>
      <c r="K220" s="228"/>
      <c r="L220" s="228"/>
      <c r="M220" s="228"/>
      <c r="N220" s="228"/>
      <c r="O220" s="228"/>
      <c r="P220" s="228">
        <v>0</v>
      </c>
      <c r="Q220" s="228">
        <v>0</v>
      </c>
    </row>
    <row r="221" spans="1:17">
      <c r="B221" s="165" t="s">
        <v>2011</v>
      </c>
      <c r="C221" s="165">
        <v>10500</v>
      </c>
      <c r="D221" s="228"/>
      <c r="E221" s="228"/>
      <c r="F221" s="228"/>
      <c r="G221" s="228"/>
      <c r="H221" s="228"/>
      <c r="I221" s="228"/>
      <c r="J221" s="228"/>
      <c r="K221" s="228"/>
      <c r="L221" s="228">
        <v>8000</v>
      </c>
      <c r="M221" s="228">
        <v>84000000</v>
      </c>
      <c r="N221" s="228"/>
      <c r="O221" s="228"/>
      <c r="P221" s="228">
        <v>8000</v>
      </c>
      <c r="Q221" s="228">
        <v>84000000</v>
      </c>
    </row>
    <row r="222" spans="1:17">
      <c r="B222" s="165" t="s">
        <v>2067</v>
      </c>
      <c r="C222" s="165">
        <v>5600</v>
      </c>
      <c r="D222" s="228"/>
      <c r="E222" s="228"/>
      <c r="F222" s="228"/>
      <c r="G222" s="228"/>
      <c r="H222" s="228">
        <v>6000</v>
      </c>
      <c r="I222" s="228">
        <v>33600000</v>
      </c>
      <c r="J222" s="228"/>
      <c r="K222" s="228"/>
      <c r="L222" s="228"/>
      <c r="M222" s="228"/>
      <c r="N222" s="228"/>
      <c r="O222" s="228"/>
      <c r="P222" s="228">
        <v>6000</v>
      </c>
      <c r="Q222" s="228">
        <v>33600000</v>
      </c>
    </row>
    <row r="223" spans="1:17">
      <c r="B223" s="165" t="s">
        <v>2087</v>
      </c>
      <c r="C223" s="165">
        <v>10100</v>
      </c>
      <c r="D223" s="228"/>
      <c r="E223" s="228"/>
      <c r="F223" s="228"/>
      <c r="G223" s="228"/>
      <c r="H223" s="228"/>
      <c r="I223" s="228"/>
      <c r="J223" s="228"/>
      <c r="K223" s="228"/>
      <c r="L223" s="228">
        <v>3000</v>
      </c>
      <c r="M223" s="228">
        <v>30300000</v>
      </c>
      <c r="N223" s="228"/>
      <c r="O223" s="228"/>
      <c r="P223" s="228">
        <v>3000</v>
      </c>
      <c r="Q223" s="228">
        <v>30300000</v>
      </c>
    </row>
    <row r="224" spans="1:17">
      <c r="B224" s="165" t="s">
        <v>2098</v>
      </c>
      <c r="C224" s="165">
        <v>4500</v>
      </c>
      <c r="D224" s="228"/>
      <c r="E224" s="228"/>
      <c r="F224" s="228"/>
      <c r="G224" s="228"/>
      <c r="H224" s="228">
        <v>6000</v>
      </c>
      <c r="I224" s="228">
        <v>27000000</v>
      </c>
      <c r="J224" s="228"/>
      <c r="K224" s="228"/>
      <c r="L224" s="228"/>
      <c r="M224" s="228"/>
      <c r="N224" s="228"/>
      <c r="O224" s="228"/>
      <c r="P224" s="228">
        <v>6000</v>
      </c>
      <c r="Q224" s="228">
        <v>27000000</v>
      </c>
    </row>
    <row r="225" spans="2:17">
      <c r="B225" s="165" t="s">
        <v>2100</v>
      </c>
      <c r="C225" s="165">
        <v>5200</v>
      </c>
      <c r="D225" s="228"/>
      <c r="E225" s="228"/>
      <c r="F225" s="228">
        <v>0</v>
      </c>
      <c r="G225" s="228">
        <v>0</v>
      </c>
      <c r="H225" s="228"/>
      <c r="I225" s="228"/>
      <c r="J225" s="228"/>
      <c r="K225" s="228"/>
      <c r="L225" s="228"/>
      <c r="M225" s="228"/>
      <c r="N225" s="228"/>
      <c r="O225" s="228"/>
      <c r="P225" s="228">
        <v>0</v>
      </c>
      <c r="Q225" s="228">
        <v>0</v>
      </c>
    </row>
    <row r="226" spans="2:17">
      <c r="B226" s="165" t="s">
        <v>2104</v>
      </c>
      <c r="C226" s="165">
        <v>7100</v>
      </c>
      <c r="D226" s="228"/>
      <c r="E226" s="228"/>
      <c r="F226" s="228"/>
      <c r="G226" s="228"/>
      <c r="H226" s="228">
        <v>6000</v>
      </c>
      <c r="I226" s="228">
        <v>42600000</v>
      </c>
      <c r="J226" s="228"/>
      <c r="K226" s="228"/>
      <c r="L226" s="228"/>
      <c r="M226" s="228"/>
      <c r="N226" s="228"/>
      <c r="O226" s="228"/>
      <c r="P226" s="228">
        <v>6000</v>
      </c>
      <c r="Q226" s="228">
        <v>42600000</v>
      </c>
    </row>
    <row r="227" spans="2:17">
      <c r="C227" s="165">
        <v>7200</v>
      </c>
      <c r="D227" s="228"/>
      <c r="E227" s="228"/>
      <c r="F227" s="228"/>
      <c r="G227" s="228"/>
      <c r="H227" s="228"/>
      <c r="I227" s="228"/>
      <c r="J227" s="228"/>
      <c r="K227" s="228"/>
      <c r="L227" s="228">
        <v>8000</v>
      </c>
      <c r="M227" s="228">
        <v>57600000</v>
      </c>
      <c r="N227" s="228"/>
      <c r="O227" s="228"/>
      <c r="P227" s="228">
        <v>8000</v>
      </c>
      <c r="Q227" s="228">
        <v>57600000</v>
      </c>
    </row>
    <row r="228" spans="2:17">
      <c r="B228" s="165" t="s">
        <v>2016</v>
      </c>
      <c r="C228" s="165">
        <v>13500</v>
      </c>
      <c r="D228" s="228"/>
      <c r="E228" s="228"/>
      <c r="F228" s="228"/>
      <c r="G228" s="228"/>
      <c r="H228" s="228"/>
      <c r="I228" s="228"/>
      <c r="J228" s="228"/>
      <c r="K228" s="228"/>
      <c r="L228" s="228">
        <v>4000</v>
      </c>
      <c r="M228" s="228">
        <v>54000000</v>
      </c>
      <c r="N228" s="228"/>
      <c r="O228" s="228"/>
      <c r="P228" s="228">
        <v>4000</v>
      </c>
      <c r="Q228" s="228">
        <v>54000000</v>
      </c>
    </row>
    <row r="229" spans="2:17">
      <c r="B229" s="165" t="s">
        <v>2106</v>
      </c>
      <c r="C229" s="165">
        <v>15200</v>
      </c>
      <c r="D229" s="228"/>
      <c r="E229" s="228"/>
      <c r="F229" s="228"/>
      <c r="G229" s="228"/>
      <c r="H229" s="228"/>
      <c r="I229" s="228"/>
      <c r="J229" s="228"/>
      <c r="K229" s="228"/>
      <c r="L229" s="228">
        <v>7000</v>
      </c>
      <c r="M229" s="228">
        <v>106400000</v>
      </c>
      <c r="N229" s="228"/>
      <c r="O229" s="228"/>
      <c r="P229" s="228">
        <v>7000</v>
      </c>
      <c r="Q229" s="228">
        <v>106400000</v>
      </c>
    </row>
    <row r="230" spans="2:17">
      <c r="B230" s="165" t="s">
        <v>2116</v>
      </c>
      <c r="C230" s="165">
        <v>3000</v>
      </c>
      <c r="D230" s="228">
        <v>0</v>
      </c>
      <c r="E230" s="228">
        <v>0</v>
      </c>
      <c r="F230" s="228"/>
      <c r="G230" s="228"/>
      <c r="H230" s="228"/>
      <c r="I230" s="228"/>
      <c r="J230" s="228"/>
      <c r="K230" s="228"/>
      <c r="L230" s="228"/>
      <c r="M230" s="228"/>
      <c r="N230" s="228"/>
      <c r="O230" s="228"/>
      <c r="P230" s="228">
        <v>0</v>
      </c>
      <c r="Q230" s="228">
        <v>0</v>
      </c>
    </row>
    <row r="231" spans="2:17">
      <c r="B231" s="165" t="s">
        <v>2125</v>
      </c>
      <c r="C231" s="165">
        <v>2800</v>
      </c>
      <c r="D231" s="228">
        <v>0</v>
      </c>
      <c r="E231" s="228">
        <v>0</v>
      </c>
      <c r="F231" s="228">
        <v>0</v>
      </c>
      <c r="G231" s="228">
        <v>0</v>
      </c>
      <c r="H231" s="228"/>
      <c r="I231" s="228"/>
      <c r="J231" s="228"/>
      <c r="K231" s="228"/>
      <c r="L231" s="228"/>
      <c r="M231" s="228"/>
      <c r="N231" s="228"/>
      <c r="O231" s="228"/>
      <c r="P231" s="228">
        <v>0</v>
      </c>
      <c r="Q231" s="228">
        <v>0</v>
      </c>
    </row>
    <row r="232" spans="2:17">
      <c r="C232" s="165">
        <v>3000</v>
      </c>
      <c r="D232" s="228"/>
      <c r="E232" s="228"/>
      <c r="F232" s="228"/>
      <c r="G232" s="228"/>
      <c r="H232" s="228">
        <v>4000</v>
      </c>
      <c r="I232" s="228">
        <v>12000000</v>
      </c>
      <c r="J232" s="228"/>
      <c r="K232" s="228"/>
      <c r="L232" s="228"/>
      <c r="M232" s="228"/>
      <c r="N232" s="228"/>
      <c r="O232" s="228"/>
      <c r="P232" s="228">
        <v>4000</v>
      </c>
      <c r="Q232" s="228">
        <v>12000000</v>
      </c>
    </row>
    <row r="233" spans="2:17">
      <c r="B233" s="165" t="s">
        <v>2132</v>
      </c>
      <c r="C233" s="165">
        <v>6700</v>
      </c>
      <c r="D233" s="228"/>
      <c r="E233" s="228"/>
      <c r="F233" s="228">
        <v>0</v>
      </c>
      <c r="G233" s="228">
        <v>0</v>
      </c>
      <c r="H233" s="228"/>
      <c r="I233" s="228"/>
      <c r="J233" s="228"/>
      <c r="K233" s="228"/>
      <c r="L233" s="228"/>
      <c r="M233" s="228"/>
      <c r="N233" s="228"/>
      <c r="O233" s="228"/>
      <c r="P233" s="228">
        <v>0</v>
      </c>
      <c r="Q233" s="228">
        <v>0</v>
      </c>
    </row>
    <row r="234" spans="2:17">
      <c r="C234" s="165">
        <v>6800</v>
      </c>
      <c r="D234" s="228"/>
      <c r="E234" s="228"/>
      <c r="F234" s="228">
        <v>0</v>
      </c>
      <c r="G234" s="228">
        <v>0</v>
      </c>
      <c r="H234" s="228"/>
      <c r="I234" s="228"/>
      <c r="J234" s="228"/>
      <c r="K234" s="228"/>
      <c r="L234" s="228"/>
      <c r="M234" s="228"/>
      <c r="N234" s="228"/>
      <c r="O234" s="228"/>
      <c r="P234" s="228">
        <v>0</v>
      </c>
      <c r="Q234" s="228">
        <v>0</v>
      </c>
    </row>
    <row r="235" spans="2:17">
      <c r="C235" s="165">
        <v>8100</v>
      </c>
      <c r="D235" s="228"/>
      <c r="E235" s="228"/>
      <c r="F235" s="228"/>
      <c r="G235" s="228"/>
      <c r="H235" s="228"/>
      <c r="I235" s="228"/>
      <c r="J235" s="228"/>
      <c r="K235" s="228"/>
      <c r="L235" s="228">
        <v>8000</v>
      </c>
      <c r="M235" s="228">
        <v>64800000</v>
      </c>
      <c r="N235" s="228"/>
      <c r="O235" s="228"/>
      <c r="P235" s="228">
        <v>8000</v>
      </c>
      <c r="Q235" s="228">
        <v>64800000</v>
      </c>
    </row>
    <row r="236" spans="2:17">
      <c r="B236" s="165" t="s">
        <v>2136</v>
      </c>
      <c r="C236" s="165">
        <v>13000</v>
      </c>
      <c r="D236" s="228"/>
      <c r="E236" s="228"/>
      <c r="F236" s="228"/>
      <c r="G236" s="228"/>
      <c r="H236" s="228"/>
      <c r="I236" s="228"/>
      <c r="J236" s="228"/>
      <c r="K236" s="228"/>
      <c r="L236" s="228">
        <v>10000</v>
      </c>
      <c r="M236" s="228">
        <v>130000000</v>
      </c>
      <c r="N236" s="228"/>
      <c r="O236" s="228"/>
      <c r="P236" s="228">
        <v>10000</v>
      </c>
      <c r="Q236" s="228">
        <v>130000000</v>
      </c>
    </row>
    <row r="237" spans="2:17">
      <c r="B237" s="165" t="s">
        <v>2015</v>
      </c>
      <c r="C237" s="165">
        <v>10700</v>
      </c>
      <c r="D237" s="228"/>
      <c r="E237" s="228"/>
      <c r="F237" s="228"/>
      <c r="G237" s="228"/>
      <c r="H237" s="228"/>
      <c r="I237" s="228"/>
      <c r="J237" s="228"/>
      <c r="K237" s="228"/>
      <c r="L237" s="228">
        <v>3000</v>
      </c>
      <c r="M237" s="228">
        <v>32100000</v>
      </c>
      <c r="N237" s="228"/>
      <c r="O237" s="228"/>
      <c r="P237" s="228">
        <v>3000</v>
      </c>
      <c r="Q237" s="228">
        <v>32100000</v>
      </c>
    </row>
    <row r="238" spans="2:17">
      <c r="B238" s="165" t="s">
        <v>2155</v>
      </c>
      <c r="C238" s="165">
        <v>9300</v>
      </c>
      <c r="D238" s="228"/>
      <c r="E238" s="228"/>
      <c r="F238" s="228"/>
      <c r="G238" s="228"/>
      <c r="H238" s="228"/>
      <c r="I238" s="228"/>
      <c r="J238" s="228"/>
      <c r="K238" s="228"/>
      <c r="L238" s="228">
        <v>6000</v>
      </c>
      <c r="M238" s="228">
        <v>55800000</v>
      </c>
      <c r="N238" s="228"/>
      <c r="O238" s="228"/>
      <c r="P238" s="228">
        <v>6000</v>
      </c>
      <c r="Q238" s="228">
        <v>55800000</v>
      </c>
    </row>
    <row r="239" spans="2:17">
      <c r="B239" s="165" t="s">
        <v>2169</v>
      </c>
      <c r="C239" s="165">
        <v>4600</v>
      </c>
      <c r="D239" s="228"/>
      <c r="E239" s="228"/>
      <c r="F239" s="228">
        <v>0</v>
      </c>
      <c r="G239" s="228">
        <v>0</v>
      </c>
      <c r="H239" s="228"/>
      <c r="I239" s="228"/>
      <c r="J239" s="228"/>
      <c r="K239" s="228"/>
      <c r="L239" s="228"/>
      <c r="M239" s="228"/>
      <c r="N239" s="228"/>
      <c r="O239" s="228"/>
      <c r="P239" s="228">
        <v>0</v>
      </c>
      <c r="Q239" s="228">
        <v>0</v>
      </c>
    </row>
    <row r="240" spans="2:17">
      <c r="C240" s="165">
        <v>4650</v>
      </c>
      <c r="D240" s="228"/>
      <c r="E240" s="228"/>
      <c r="F240" s="228">
        <v>0</v>
      </c>
      <c r="G240" s="228">
        <v>0</v>
      </c>
      <c r="H240" s="228"/>
      <c r="I240" s="228"/>
      <c r="J240" s="228"/>
      <c r="K240" s="228"/>
      <c r="L240" s="228"/>
      <c r="M240" s="228"/>
      <c r="N240" s="228"/>
      <c r="O240" s="228"/>
      <c r="P240" s="228">
        <v>0</v>
      </c>
      <c r="Q240" s="228">
        <v>0</v>
      </c>
    </row>
    <row r="241" spans="1:17">
      <c r="C241" s="165">
        <v>5000</v>
      </c>
      <c r="D241" s="228"/>
      <c r="E241" s="228"/>
      <c r="F241" s="228"/>
      <c r="G241" s="228"/>
      <c r="H241" s="228">
        <v>6000</v>
      </c>
      <c r="I241" s="228">
        <v>30000000</v>
      </c>
      <c r="J241" s="228"/>
      <c r="K241" s="228"/>
      <c r="L241" s="228">
        <v>9000</v>
      </c>
      <c r="M241" s="228">
        <v>45000000</v>
      </c>
      <c r="N241" s="228"/>
      <c r="O241" s="228"/>
      <c r="P241" s="228">
        <v>15000</v>
      </c>
      <c r="Q241" s="228">
        <v>75000000</v>
      </c>
    </row>
    <row r="242" spans="1:17">
      <c r="B242" s="165" t="s">
        <v>2171</v>
      </c>
      <c r="C242" s="165">
        <v>5500</v>
      </c>
      <c r="D242" s="228"/>
      <c r="E242" s="228"/>
      <c r="F242" s="228">
        <v>0</v>
      </c>
      <c r="G242" s="228">
        <v>0</v>
      </c>
      <c r="H242" s="228"/>
      <c r="I242" s="228"/>
      <c r="J242" s="228"/>
      <c r="K242" s="228"/>
      <c r="L242" s="228"/>
      <c r="M242" s="228"/>
      <c r="N242" s="228"/>
      <c r="O242" s="228"/>
      <c r="P242" s="228">
        <v>0</v>
      </c>
      <c r="Q242" s="228">
        <v>0</v>
      </c>
    </row>
    <row r="243" spans="1:17">
      <c r="B243" s="165" t="s">
        <v>2023</v>
      </c>
      <c r="C243" s="165">
        <v>10100</v>
      </c>
      <c r="D243" s="228"/>
      <c r="E243" s="228"/>
      <c r="F243" s="228"/>
      <c r="G243" s="228"/>
      <c r="H243" s="228"/>
      <c r="I243" s="228"/>
      <c r="J243" s="228"/>
      <c r="K243" s="228"/>
      <c r="L243" s="228">
        <v>8000</v>
      </c>
      <c r="M243" s="228">
        <v>80800000</v>
      </c>
      <c r="N243" s="228"/>
      <c r="O243" s="228"/>
      <c r="P243" s="228">
        <v>8000</v>
      </c>
      <c r="Q243" s="228">
        <v>80800000</v>
      </c>
    </row>
    <row r="244" spans="1:17">
      <c r="B244" s="165" t="s">
        <v>2186</v>
      </c>
      <c r="C244" s="165">
        <v>2600</v>
      </c>
      <c r="D244" s="228"/>
      <c r="E244" s="228"/>
      <c r="F244" s="228">
        <v>0</v>
      </c>
      <c r="G244" s="228">
        <v>0</v>
      </c>
      <c r="H244" s="228"/>
      <c r="I244" s="228"/>
      <c r="J244" s="228"/>
      <c r="K244" s="228"/>
      <c r="L244" s="228"/>
      <c r="M244" s="228"/>
      <c r="N244" s="228"/>
      <c r="O244" s="228"/>
      <c r="P244" s="228">
        <v>0</v>
      </c>
      <c r="Q244" s="228">
        <v>0</v>
      </c>
    </row>
    <row r="245" spans="1:17">
      <c r="B245" s="165" t="s">
        <v>2188</v>
      </c>
      <c r="C245" s="165">
        <v>4000</v>
      </c>
      <c r="D245" s="228"/>
      <c r="E245" s="228"/>
      <c r="F245" s="228"/>
      <c r="G245" s="228"/>
      <c r="H245" s="228">
        <v>9000</v>
      </c>
      <c r="I245" s="228">
        <v>36000000</v>
      </c>
      <c r="J245" s="228"/>
      <c r="K245" s="228"/>
      <c r="L245" s="228">
        <v>9000</v>
      </c>
      <c r="M245" s="228">
        <v>36000000</v>
      </c>
      <c r="N245" s="228"/>
      <c r="O245" s="228"/>
      <c r="P245" s="228">
        <v>18000</v>
      </c>
      <c r="Q245" s="228">
        <v>72000000</v>
      </c>
    </row>
    <row r="246" spans="1:17">
      <c r="B246" s="165" t="s">
        <v>2194</v>
      </c>
      <c r="C246" s="165">
        <v>5500</v>
      </c>
      <c r="D246" s="228"/>
      <c r="E246" s="228"/>
      <c r="F246" s="228">
        <v>0</v>
      </c>
      <c r="G246" s="228">
        <v>0</v>
      </c>
      <c r="H246" s="228"/>
      <c r="I246" s="228"/>
      <c r="J246" s="228"/>
      <c r="K246" s="228"/>
      <c r="L246" s="228"/>
      <c r="M246" s="228"/>
      <c r="N246" s="228"/>
      <c r="O246" s="228"/>
      <c r="P246" s="228">
        <v>0</v>
      </c>
      <c r="Q246" s="228">
        <v>0</v>
      </c>
    </row>
    <row r="247" spans="1:17">
      <c r="C247" s="165">
        <v>6000</v>
      </c>
      <c r="D247" s="228"/>
      <c r="E247" s="228"/>
      <c r="F247" s="228"/>
      <c r="G247" s="228"/>
      <c r="H247" s="228">
        <v>6000</v>
      </c>
      <c r="I247" s="228">
        <v>36000000</v>
      </c>
      <c r="J247" s="228"/>
      <c r="K247" s="228"/>
      <c r="L247" s="228"/>
      <c r="M247" s="228"/>
      <c r="N247" s="228"/>
      <c r="O247" s="228"/>
      <c r="P247" s="228">
        <v>6000</v>
      </c>
      <c r="Q247" s="228">
        <v>36000000</v>
      </c>
    </row>
    <row r="248" spans="1:17">
      <c r="C248" s="165">
        <v>6090</v>
      </c>
      <c r="D248" s="228"/>
      <c r="E248" s="228"/>
      <c r="F248" s="228"/>
      <c r="G248" s="228"/>
      <c r="H248" s="228"/>
      <c r="I248" s="228"/>
      <c r="J248" s="228"/>
      <c r="K248" s="228"/>
      <c r="L248" s="228">
        <v>6000</v>
      </c>
      <c r="M248" s="228">
        <v>36540000</v>
      </c>
      <c r="N248" s="228"/>
      <c r="O248" s="228"/>
      <c r="P248" s="228">
        <v>6000</v>
      </c>
      <c r="Q248" s="228">
        <v>36540000</v>
      </c>
    </row>
    <row r="249" spans="1:17">
      <c r="A249" s="165" t="s">
        <v>2220</v>
      </c>
      <c r="B249" s="165"/>
      <c r="C249" s="165"/>
      <c r="D249" s="228">
        <v>0</v>
      </c>
      <c r="E249" s="228">
        <v>0</v>
      </c>
      <c r="F249" s="228">
        <v>0</v>
      </c>
      <c r="G249" s="228">
        <v>0</v>
      </c>
      <c r="H249" s="228">
        <v>43000</v>
      </c>
      <c r="I249" s="228">
        <v>217200000</v>
      </c>
      <c r="J249" s="228"/>
      <c r="K249" s="228"/>
      <c r="L249" s="228">
        <v>92000</v>
      </c>
      <c r="M249" s="228">
        <v>846340000</v>
      </c>
      <c r="N249" s="228"/>
      <c r="O249" s="228"/>
      <c r="P249" s="228">
        <v>135000</v>
      </c>
      <c r="Q249" s="228">
        <v>1063540000</v>
      </c>
    </row>
    <row r="250" spans="1:17">
      <c r="A250" s="165" t="s">
        <v>1429</v>
      </c>
      <c r="B250" s="165" t="s">
        <v>2011</v>
      </c>
      <c r="C250" s="165">
        <v>10600</v>
      </c>
      <c r="D250" s="228"/>
      <c r="E250" s="228"/>
      <c r="F250" s="228"/>
      <c r="G250" s="228"/>
      <c r="H250" s="228"/>
      <c r="I250" s="228"/>
      <c r="J250" s="228"/>
      <c r="K250" s="228"/>
      <c r="L250" s="228">
        <v>4000</v>
      </c>
      <c r="M250" s="228">
        <v>42400000</v>
      </c>
      <c r="N250" s="228"/>
      <c r="O250" s="228"/>
      <c r="P250" s="228">
        <v>4000</v>
      </c>
      <c r="Q250" s="228">
        <v>42400000</v>
      </c>
    </row>
    <row r="251" spans="1:17">
      <c r="B251" s="165" t="s">
        <v>2016</v>
      </c>
      <c r="C251" s="165">
        <v>13500</v>
      </c>
      <c r="D251" s="228"/>
      <c r="E251" s="228"/>
      <c r="F251" s="228"/>
      <c r="G251" s="228"/>
      <c r="H251" s="228"/>
      <c r="I251" s="228"/>
      <c r="J251" s="228"/>
      <c r="K251" s="228"/>
      <c r="L251" s="228">
        <v>3000</v>
      </c>
      <c r="M251" s="228">
        <v>40500000</v>
      </c>
      <c r="N251" s="228"/>
      <c r="O251" s="228"/>
      <c r="P251" s="228">
        <v>3000</v>
      </c>
      <c r="Q251" s="228">
        <v>40500000</v>
      </c>
    </row>
    <row r="252" spans="1:17">
      <c r="B252" s="165" t="s">
        <v>2136</v>
      </c>
      <c r="C252" s="165">
        <v>13000</v>
      </c>
      <c r="D252" s="228"/>
      <c r="E252" s="228"/>
      <c r="F252" s="228"/>
      <c r="G252" s="228"/>
      <c r="H252" s="228"/>
      <c r="I252" s="228"/>
      <c r="J252" s="228"/>
      <c r="K252" s="228"/>
      <c r="L252" s="228">
        <v>7000</v>
      </c>
      <c r="M252" s="228">
        <v>91000000</v>
      </c>
      <c r="N252" s="228"/>
      <c r="O252" s="228"/>
      <c r="P252" s="228">
        <v>7000</v>
      </c>
      <c r="Q252" s="228">
        <v>91000000</v>
      </c>
    </row>
    <row r="253" spans="1:17">
      <c r="B253" s="165" t="s">
        <v>2015</v>
      </c>
      <c r="C253" s="165">
        <v>10700</v>
      </c>
      <c r="D253" s="228"/>
      <c r="E253" s="228"/>
      <c r="F253" s="228"/>
      <c r="G253" s="228"/>
      <c r="H253" s="228"/>
      <c r="I253" s="228"/>
      <c r="J253" s="228"/>
      <c r="K253" s="228"/>
      <c r="L253" s="228">
        <v>3000</v>
      </c>
      <c r="M253" s="228">
        <v>32100000</v>
      </c>
      <c r="N253" s="228"/>
      <c r="O253" s="228"/>
      <c r="P253" s="228">
        <v>3000</v>
      </c>
      <c r="Q253" s="228">
        <v>32100000</v>
      </c>
    </row>
    <row r="254" spans="1:17">
      <c r="B254" s="165" t="s">
        <v>2155</v>
      </c>
      <c r="C254" s="165">
        <v>9300</v>
      </c>
      <c r="D254" s="228"/>
      <c r="E254" s="228"/>
      <c r="F254" s="228"/>
      <c r="G254" s="228"/>
      <c r="H254" s="228"/>
      <c r="I254" s="228"/>
      <c r="J254" s="228"/>
      <c r="K254" s="228"/>
      <c r="L254" s="228">
        <v>2000</v>
      </c>
      <c r="M254" s="228">
        <v>18600000</v>
      </c>
      <c r="N254" s="228"/>
      <c r="O254" s="228"/>
      <c r="P254" s="228">
        <v>2000</v>
      </c>
      <c r="Q254" s="228">
        <v>18600000</v>
      </c>
    </row>
    <row r="255" spans="1:17">
      <c r="C255" s="165">
        <v>9600</v>
      </c>
      <c r="D255" s="228"/>
      <c r="E255" s="228"/>
      <c r="F255" s="228"/>
      <c r="G255" s="228"/>
      <c r="H255" s="228"/>
      <c r="I255" s="228"/>
      <c r="J255" s="228"/>
      <c r="K255" s="228"/>
      <c r="L255" s="228">
        <v>1000</v>
      </c>
      <c r="M255" s="228">
        <v>9600000</v>
      </c>
      <c r="N255" s="228"/>
      <c r="O255" s="228"/>
      <c r="P255" s="228">
        <v>1000</v>
      </c>
      <c r="Q255" s="228">
        <v>9600000</v>
      </c>
    </row>
    <row r="256" spans="1:17">
      <c r="A256" s="165" t="s">
        <v>2221</v>
      </c>
      <c r="B256" s="165"/>
      <c r="C256" s="165"/>
      <c r="D256" s="228"/>
      <c r="E256" s="228"/>
      <c r="F256" s="228"/>
      <c r="G256" s="228"/>
      <c r="H256" s="228"/>
      <c r="I256" s="228"/>
      <c r="J256" s="228"/>
      <c r="K256" s="228"/>
      <c r="L256" s="228">
        <v>20000</v>
      </c>
      <c r="M256" s="228">
        <v>234200000</v>
      </c>
      <c r="N256" s="228"/>
      <c r="O256" s="228"/>
      <c r="P256" s="228">
        <v>20000</v>
      </c>
      <c r="Q256" s="228">
        <v>234200000</v>
      </c>
    </row>
    <row r="257" spans="1:17">
      <c r="A257" s="165" t="s">
        <v>1428</v>
      </c>
      <c r="B257" s="165" t="s">
        <v>2011</v>
      </c>
      <c r="C257" s="165">
        <v>10500</v>
      </c>
      <c r="D257" s="228"/>
      <c r="E257" s="228"/>
      <c r="F257" s="228"/>
      <c r="G257" s="228"/>
      <c r="H257" s="228"/>
      <c r="I257" s="228"/>
      <c r="J257" s="228"/>
      <c r="K257" s="228"/>
      <c r="L257" s="228">
        <v>750</v>
      </c>
      <c r="M257" s="228">
        <v>7875000</v>
      </c>
      <c r="N257" s="228"/>
      <c r="O257" s="228"/>
      <c r="P257" s="228">
        <v>750</v>
      </c>
      <c r="Q257" s="228">
        <v>7875000</v>
      </c>
    </row>
    <row r="258" spans="1:17">
      <c r="C258" s="165">
        <v>10600</v>
      </c>
      <c r="D258" s="228"/>
      <c r="E258" s="228"/>
      <c r="F258" s="228"/>
      <c r="G258" s="228"/>
      <c r="H258" s="228"/>
      <c r="I258" s="228"/>
      <c r="J258" s="228"/>
      <c r="K258" s="228"/>
      <c r="L258" s="228">
        <v>1250</v>
      </c>
      <c r="M258" s="228">
        <v>13250000</v>
      </c>
      <c r="N258" s="228"/>
      <c r="O258" s="228"/>
      <c r="P258" s="228">
        <v>1250</v>
      </c>
      <c r="Q258" s="228">
        <v>13250000</v>
      </c>
    </row>
    <row r="259" spans="1:17">
      <c r="B259" s="165" t="s">
        <v>2136</v>
      </c>
      <c r="C259" s="165">
        <v>13000</v>
      </c>
      <c r="D259" s="228"/>
      <c r="E259" s="228"/>
      <c r="F259" s="228"/>
      <c r="G259" s="228"/>
      <c r="H259" s="228"/>
      <c r="I259" s="228"/>
      <c r="J259" s="228"/>
      <c r="K259" s="228"/>
      <c r="L259" s="228">
        <v>10500</v>
      </c>
      <c r="M259" s="228">
        <v>136500000</v>
      </c>
      <c r="N259" s="228"/>
      <c r="O259" s="228"/>
      <c r="P259" s="228">
        <v>10500</v>
      </c>
      <c r="Q259" s="228">
        <v>136500000</v>
      </c>
    </row>
    <row r="260" spans="1:17">
      <c r="B260" s="165" t="s">
        <v>2155</v>
      </c>
      <c r="C260" s="165">
        <v>9300</v>
      </c>
      <c r="D260" s="228"/>
      <c r="E260" s="228"/>
      <c r="F260" s="228"/>
      <c r="G260" s="228"/>
      <c r="H260" s="228"/>
      <c r="I260" s="228"/>
      <c r="J260" s="228"/>
      <c r="K260" s="228"/>
      <c r="L260" s="228">
        <v>5750</v>
      </c>
      <c r="M260" s="228">
        <v>53475000</v>
      </c>
      <c r="N260" s="228"/>
      <c r="O260" s="228"/>
      <c r="P260" s="228">
        <v>5750</v>
      </c>
      <c r="Q260" s="228">
        <v>53475000</v>
      </c>
    </row>
    <row r="261" spans="1:17">
      <c r="C261" s="165">
        <v>9600</v>
      </c>
      <c r="D261" s="228"/>
      <c r="E261" s="228"/>
      <c r="F261" s="228"/>
      <c r="G261" s="228"/>
      <c r="H261" s="228"/>
      <c r="I261" s="228"/>
      <c r="J261" s="228"/>
      <c r="K261" s="228"/>
      <c r="L261" s="228">
        <v>6250</v>
      </c>
      <c r="M261" s="228">
        <v>60000000</v>
      </c>
      <c r="N261" s="228"/>
      <c r="O261" s="228"/>
      <c r="P261" s="228">
        <v>6250</v>
      </c>
      <c r="Q261" s="228">
        <v>60000000</v>
      </c>
    </row>
    <row r="262" spans="1:17">
      <c r="B262" s="165" t="s">
        <v>2023</v>
      </c>
      <c r="C262" s="165">
        <v>10100</v>
      </c>
      <c r="D262" s="228"/>
      <c r="E262" s="228"/>
      <c r="F262" s="228"/>
      <c r="G262" s="228"/>
      <c r="H262" s="228"/>
      <c r="I262" s="228"/>
      <c r="J262" s="228"/>
      <c r="K262" s="228"/>
      <c r="L262" s="228">
        <v>3500</v>
      </c>
      <c r="M262" s="228">
        <v>35350000</v>
      </c>
      <c r="N262" s="228"/>
      <c r="O262" s="228"/>
      <c r="P262" s="228">
        <v>3500</v>
      </c>
      <c r="Q262" s="228">
        <v>35350000</v>
      </c>
    </row>
    <row r="263" spans="1:17">
      <c r="A263" s="165" t="s">
        <v>2222</v>
      </c>
      <c r="B263" s="165"/>
      <c r="C263" s="165"/>
      <c r="D263" s="228"/>
      <c r="E263" s="228"/>
      <c r="F263" s="228"/>
      <c r="G263" s="228"/>
      <c r="H263" s="228"/>
      <c r="I263" s="228"/>
      <c r="J263" s="228"/>
      <c r="K263" s="228"/>
      <c r="L263" s="228">
        <v>28000</v>
      </c>
      <c r="M263" s="228">
        <v>306450000</v>
      </c>
      <c r="N263" s="228"/>
      <c r="O263" s="228"/>
      <c r="P263" s="228">
        <v>28000</v>
      </c>
      <c r="Q263" s="228">
        <v>306450000</v>
      </c>
    </row>
    <row r="264" spans="1:17">
      <c r="A264" s="165" t="s">
        <v>150</v>
      </c>
      <c r="B264" s="165" t="s">
        <v>2059</v>
      </c>
      <c r="C264" s="165">
        <v>3700</v>
      </c>
      <c r="D264" s="228"/>
      <c r="E264" s="228"/>
      <c r="F264" s="228">
        <v>0</v>
      </c>
      <c r="G264" s="228">
        <v>0</v>
      </c>
      <c r="H264" s="228"/>
      <c r="I264" s="228"/>
      <c r="J264" s="228"/>
      <c r="K264" s="228"/>
      <c r="L264" s="228"/>
      <c r="M264" s="228"/>
      <c r="N264" s="228"/>
      <c r="O264" s="228"/>
      <c r="P264" s="228">
        <v>0</v>
      </c>
      <c r="Q264" s="228">
        <v>0</v>
      </c>
    </row>
    <row r="265" spans="1:17">
      <c r="B265" s="165" t="s">
        <v>2008</v>
      </c>
      <c r="C265" s="165">
        <v>4700</v>
      </c>
      <c r="D265" s="228"/>
      <c r="E265" s="228"/>
      <c r="F265" s="228">
        <v>0</v>
      </c>
      <c r="G265" s="228">
        <v>0</v>
      </c>
      <c r="H265" s="228"/>
      <c r="I265" s="228"/>
      <c r="J265" s="228"/>
      <c r="K265" s="228"/>
      <c r="L265" s="228"/>
      <c r="M265" s="228"/>
      <c r="N265" s="228"/>
      <c r="O265" s="228"/>
      <c r="P265" s="228">
        <v>0</v>
      </c>
      <c r="Q265" s="228">
        <v>0</v>
      </c>
    </row>
    <row r="266" spans="1:17">
      <c r="C266" s="165">
        <v>5000</v>
      </c>
      <c r="D266" s="228"/>
      <c r="E266" s="228"/>
      <c r="F266" s="228">
        <v>0</v>
      </c>
      <c r="G266" s="228">
        <v>0</v>
      </c>
      <c r="H266" s="228"/>
      <c r="I266" s="228"/>
      <c r="J266" s="228"/>
      <c r="K266" s="228"/>
      <c r="L266" s="228"/>
      <c r="M266" s="228"/>
      <c r="N266" s="228"/>
      <c r="O266" s="228"/>
      <c r="P266" s="228">
        <v>0</v>
      </c>
      <c r="Q266" s="228">
        <v>0</v>
      </c>
    </row>
    <row r="267" spans="1:17">
      <c r="B267" s="165" t="s">
        <v>2060</v>
      </c>
      <c r="C267" s="165">
        <v>7200</v>
      </c>
      <c r="D267" s="228"/>
      <c r="E267" s="228"/>
      <c r="F267" s="228"/>
      <c r="G267" s="228"/>
      <c r="H267" s="228"/>
      <c r="I267" s="228"/>
      <c r="J267" s="228"/>
      <c r="K267" s="228"/>
      <c r="L267" s="228">
        <v>5100</v>
      </c>
      <c r="M267" s="228">
        <v>36720000</v>
      </c>
      <c r="N267" s="228"/>
      <c r="O267" s="228"/>
      <c r="P267" s="228">
        <v>5100</v>
      </c>
      <c r="Q267" s="228">
        <v>36720000</v>
      </c>
    </row>
    <row r="268" spans="1:17">
      <c r="B268" s="165" t="s">
        <v>2062</v>
      </c>
      <c r="C268" s="165">
        <v>12000</v>
      </c>
      <c r="D268" s="228"/>
      <c r="E268" s="228"/>
      <c r="F268" s="228"/>
      <c r="G268" s="228"/>
      <c r="H268" s="228"/>
      <c r="I268" s="228"/>
      <c r="J268" s="228"/>
      <c r="K268" s="228"/>
      <c r="L268" s="228">
        <v>1000</v>
      </c>
      <c r="M268" s="228">
        <v>12000000</v>
      </c>
      <c r="N268" s="228"/>
      <c r="O268" s="228"/>
      <c r="P268" s="228">
        <v>1000</v>
      </c>
      <c r="Q268" s="228">
        <v>12000000</v>
      </c>
    </row>
    <row r="269" spans="1:17">
      <c r="B269" s="165" t="s">
        <v>2063</v>
      </c>
      <c r="C269" s="165">
        <v>12500</v>
      </c>
      <c r="D269" s="228"/>
      <c r="E269" s="228"/>
      <c r="F269" s="228"/>
      <c r="G269" s="228"/>
      <c r="H269" s="228"/>
      <c r="I269" s="228"/>
      <c r="J269" s="228"/>
      <c r="K269" s="228"/>
      <c r="L269" s="228">
        <v>4000</v>
      </c>
      <c r="M269" s="228">
        <v>50000000</v>
      </c>
      <c r="N269" s="228"/>
      <c r="O269" s="228"/>
      <c r="P269" s="228">
        <v>4000</v>
      </c>
      <c r="Q269" s="228">
        <v>50000000</v>
      </c>
    </row>
    <row r="270" spans="1:17">
      <c r="B270" s="165" t="s">
        <v>2067</v>
      </c>
      <c r="C270" s="165">
        <v>5413</v>
      </c>
      <c r="D270" s="228"/>
      <c r="E270" s="228"/>
      <c r="F270" s="228">
        <v>0</v>
      </c>
      <c r="G270" s="228">
        <v>0</v>
      </c>
      <c r="H270" s="228"/>
      <c r="I270" s="228"/>
      <c r="J270" s="228"/>
      <c r="K270" s="228"/>
      <c r="L270" s="228"/>
      <c r="M270" s="228"/>
      <c r="N270" s="228"/>
      <c r="O270" s="228"/>
      <c r="P270" s="228">
        <v>0</v>
      </c>
      <c r="Q270" s="228">
        <v>0</v>
      </c>
    </row>
    <row r="271" spans="1:17">
      <c r="B271" s="165" t="s">
        <v>2086</v>
      </c>
      <c r="C271" s="165">
        <v>4700</v>
      </c>
      <c r="D271" s="228"/>
      <c r="E271" s="228"/>
      <c r="F271" s="228">
        <v>0</v>
      </c>
      <c r="G271" s="228">
        <v>0</v>
      </c>
      <c r="H271" s="228"/>
      <c r="I271" s="228"/>
      <c r="J271" s="228"/>
      <c r="K271" s="228"/>
      <c r="L271" s="228"/>
      <c r="M271" s="228"/>
      <c r="N271" s="228"/>
      <c r="O271" s="228"/>
      <c r="P271" s="228">
        <v>0</v>
      </c>
      <c r="Q271" s="228">
        <v>0</v>
      </c>
    </row>
    <row r="272" spans="1:17">
      <c r="B272" s="165" t="s">
        <v>2103</v>
      </c>
      <c r="C272" s="165">
        <v>3800</v>
      </c>
      <c r="D272" s="228"/>
      <c r="E272" s="228"/>
      <c r="F272" s="228">
        <v>0</v>
      </c>
      <c r="G272" s="228">
        <v>0</v>
      </c>
      <c r="H272" s="228"/>
      <c r="I272" s="228"/>
      <c r="J272" s="228"/>
      <c r="K272" s="228"/>
      <c r="L272" s="228"/>
      <c r="M272" s="228"/>
      <c r="N272" s="228"/>
      <c r="O272" s="228"/>
      <c r="P272" s="228">
        <v>0</v>
      </c>
      <c r="Q272" s="228">
        <v>0</v>
      </c>
    </row>
    <row r="273" spans="1:17">
      <c r="B273" s="165" t="s">
        <v>2129</v>
      </c>
      <c r="C273" s="165">
        <v>5000</v>
      </c>
      <c r="D273" s="228"/>
      <c r="E273" s="228"/>
      <c r="F273" s="228"/>
      <c r="G273" s="228"/>
      <c r="H273" s="228"/>
      <c r="I273" s="228"/>
      <c r="J273" s="228">
        <v>4175</v>
      </c>
      <c r="K273" s="228">
        <v>20875000</v>
      </c>
      <c r="L273" s="228"/>
      <c r="M273" s="228"/>
      <c r="N273" s="228"/>
      <c r="O273" s="228"/>
      <c r="P273" s="228">
        <v>4175</v>
      </c>
      <c r="Q273" s="228">
        <v>20875000</v>
      </c>
    </row>
    <row r="274" spans="1:17">
      <c r="B274" s="165" t="s">
        <v>2130</v>
      </c>
      <c r="C274" s="165">
        <v>5200</v>
      </c>
      <c r="D274" s="228"/>
      <c r="E274" s="228"/>
      <c r="F274" s="228">
        <v>0</v>
      </c>
      <c r="G274" s="228">
        <v>0</v>
      </c>
      <c r="H274" s="228"/>
      <c r="I274" s="228"/>
      <c r="J274" s="228"/>
      <c r="K274" s="228"/>
      <c r="L274" s="228"/>
      <c r="M274" s="228"/>
      <c r="N274" s="228"/>
      <c r="O274" s="228"/>
      <c r="P274" s="228">
        <v>0</v>
      </c>
      <c r="Q274" s="228">
        <v>0</v>
      </c>
    </row>
    <row r="275" spans="1:17">
      <c r="B275" s="165" t="s">
        <v>2132</v>
      </c>
      <c r="C275" s="165">
        <v>6700</v>
      </c>
      <c r="D275" s="228">
        <v>0</v>
      </c>
      <c r="E275" s="228">
        <v>0</v>
      </c>
      <c r="F275" s="228">
        <v>0</v>
      </c>
      <c r="G275" s="228">
        <v>0</v>
      </c>
      <c r="H275" s="228"/>
      <c r="I275" s="228"/>
      <c r="J275" s="228"/>
      <c r="K275" s="228"/>
      <c r="L275" s="228"/>
      <c r="M275" s="228"/>
      <c r="N275" s="228"/>
      <c r="O275" s="228"/>
      <c r="P275" s="228">
        <v>0</v>
      </c>
      <c r="Q275" s="228">
        <v>0</v>
      </c>
    </row>
    <row r="276" spans="1:17">
      <c r="B276" s="165" t="s">
        <v>2136</v>
      </c>
      <c r="C276" s="165">
        <v>13000</v>
      </c>
      <c r="D276" s="228"/>
      <c r="E276" s="228"/>
      <c r="F276" s="228"/>
      <c r="G276" s="228"/>
      <c r="H276" s="228"/>
      <c r="I276" s="228"/>
      <c r="J276" s="228"/>
      <c r="K276" s="228"/>
      <c r="L276" s="228">
        <v>5000</v>
      </c>
      <c r="M276" s="228">
        <v>65000000</v>
      </c>
      <c r="N276" s="228"/>
      <c r="O276" s="228"/>
      <c r="P276" s="228">
        <v>5000</v>
      </c>
      <c r="Q276" s="228">
        <v>65000000</v>
      </c>
    </row>
    <row r="277" spans="1:17">
      <c r="B277" s="165" t="s">
        <v>2009</v>
      </c>
      <c r="C277" s="165">
        <v>4800</v>
      </c>
      <c r="D277" s="228">
        <v>0</v>
      </c>
      <c r="E277" s="228">
        <v>0</v>
      </c>
      <c r="F277" s="228"/>
      <c r="G277" s="228"/>
      <c r="H277" s="228"/>
      <c r="I277" s="228"/>
      <c r="J277" s="228"/>
      <c r="K277" s="228"/>
      <c r="L277" s="228"/>
      <c r="M277" s="228"/>
      <c r="N277" s="228"/>
      <c r="O277" s="228"/>
      <c r="P277" s="228">
        <v>0</v>
      </c>
      <c r="Q277" s="228">
        <v>0</v>
      </c>
    </row>
    <row r="278" spans="1:17">
      <c r="C278" s="165">
        <v>5000</v>
      </c>
      <c r="D278" s="228">
        <v>0</v>
      </c>
      <c r="E278" s="228">
        <v>0</v>
      </c>
      <c r="F278" s="228"/>
      <c r="G278" s="228"/>
      <c r="H278" s="228"/>
      <c r="I278" s="228"/>
      <c r="J278" s="228"/>
      <c r="K278" s="228"/>
      <c r="L278" s="228"/>
      <c r="M278" s="228"/>
      <c r="N278" s="228"/>
      <c r="O278" s="228"/>
      <c r="P278" s="228">
        <v>0</v>
      </c>
      <c r="Q278" s="228">
        <v>0</v>
      </c>
    </row>
    <row r="279" spans="1:17">
      <c r="C279" s="165">
        <v>5163</v>
      </c>
      <c r="D279" s="228"/>
      <c r="E279" s="228"/>
      <c r="F279" s="228"/>
      <c r="G279" s="228"/>
      <c r="H279" s="228">
        <v>20000</v>
      </c>
      <c r="I279" s="228">
        <v>103260000</v>
      </c>
      <c r="J279" s="228"/>
      <c r="K279" s="228"/>
      <c r="L279" s="228"/>
      <c r="M279" s="228"/>
      <c r="N279" s="228"/>
      <c r="O279" s="228"/>
      <c r="P279" s="228">
        <v>20000</v>
      </c>
      <c r="Q279" s="228">
        <v>103260000</v>
      </c>
    </row>
    <row r="280" spans="1:17">
      <c r="B280" s="165" t="s">
        <v>1872</v>
      </c>
      <c r="C280" s="165">
        <v>6300</v>
      </c>
      <c r="D280" s="228"/>
      <c r="E280" s="228"/>
      <c r="F280" s="228">
        <v>0</v>
      </c>
      <c r="G280" s="228">
        <v>0</v>
      </c>
      <c r="H280" s="228"/>
      <c r="I280" s="228"/>
      <c r="J280" s="228"/>
      <c r="K280" s="228"/>
      <c r="L280" s="228"/>
      <c r="M280" s="228"/>
      <c r="N280" s="228"/>
      <c r="O280" s="228"/>
      <c r="P280" s="228">
        <v>0</v>
      </c>
      <c r="Q280" s="228">
        <v>0</v>
      </c>
    </row>
    <row r="281" spans="1:17">
      <c r="C281" s="165">
        <v>7200</v>
      </c>
      <c r="D281" s="228"/>
      <c r="E281" s="228"/>
      <c r="F281" s="228"/>
      <c r="G281" s="228"/>
      <c r="H281" s="228"/>
      <c r="I281" s="228"/>
      <c r="J281" s="228"/>
      <c r="K281" s="228"/>
      <c r="L281" s="228">
        <v>5100</v>
      </c>
      <c r="M281" s="228">
        <v>36720000</v>
      </c>
      <c r="N281" s="228"/>
      <c r="O281" s="228"/>
      <c r="P281" s="228">
        <v>5100</v>
      </c>
      <c r="Q281" s="228">
        <v>36720000</v>
      </c>
    </row>
    <row r="282" spans="1:17">
      <c r="B282" s="165" t="s">
        <v>2144</v>
      </c>
      <c r="C282" s="165">
        <v>12500</v>
      </c>
      <c r="D282" s="228"/>
      <c r="E282" s="228"/>
      <c r="F282" s="228"/>
      <c r="G282" s="228"/>
      <c r="H282" s="228"/>
      <c r="I282" s="228"/>
      <c r="J282" s="228"/>
      <c r="K282" s="228"/>
      <c r="L282" s="228">
        <v>5000</v>
      </c>
      <c r="M282" s="228">
        <v>62500000</v>
      </c>
      <c r="N282" s="228"/>
      <c r="O282" s="228"/>
      <c r="P282" s="228">
        <v>5000</v>
      </c>
      <c r="Q282" s="228">
        <v>62500000</v>
      </c>
    </row>
    <row r="283" spans="1:17">
      <c r="B283" s="165" t="s">
        <v>2190</v>
      </c>
      <c r="C283" s="165">
        <v>5500</v>
      </c>
      <c r="D283" s="228"/>
      <c r="E283" s="228"/>
      <c r="F283" s="228"/>
      <c r="G283" s="228"/>
      <c r="H283" s="228"/>
      <c r="I283" s="228"/>
      <c r="J283" s="228"/>
      <c r="K283" s="228"/>
      <c r="L283" s="228">
        <v>5000</v>
      </c>
      <c r="M283" s="228">
        <v>27500000</v>
      </c>
      <c r="N283" s="228"/>
      <c r="O283" s="228"/>
      <c r="P283" s="228">
        <v>5000</v>
      </c>
      <c r="Q283" s="228">
        <v>27500000</v>
      </c>
    </row>
    <row r="284" spans="1:17">
      <c r="A284" s="165" t="s">
        <v>2223</v>
      </c>
      <c r="B284" s="165"/>
      <c r="C284" s="165"/>
      <c r="D284" s="228">
        <v>0</v>
      </c>
      <c r="E284" s="228">
        <v>0</v>
      </c>
      <c r="F284" s="228">
        <v>0</v>
      </c>
      <c r="G284" s="228">
        <v>0</v>
      </c>
      <c r="H284" s="228">
        <v>20000</v>
      </c>
      <c r="I284" s="228">
        <v>103260000</v>
      </c>
      <c r="J284" s="228">
        <v>4175</v>
      </c>
      <c r="K284" s="228">
        <v>20875000</v>
      </c>
      <c r="L284" s="228">
        <v>30200</v>
      </c>
      <c r="M284" s="228">
        <v>290440000</v>
      </c>
      <c r="N284" s="228"/>
      <c r="O284" s="228"/>
      <c r="P284" s="228">
        <v>54375</v>
      </c>
      <c r="Q284" s="228">
        <v>414575000</v>
      </c>
    </row>
    <row r="285" spans="1:17">
      <c r="A285" s="165" t="s">
        <v>1047</v>
      </c>
      <c r="B285" s="165" t="s">
        <v>2036</v>
      </c>
      <c r="C285" s="165">
        <v>4500</v>
      </c>
      <c r="D285" s="228"/>
      <c r="E285" s="228"/>
      <c r="F285" s="228">
        <v>0</v>
      </c>
      <c r="G285" s="228">
        <v>0</v>
      </c>
      <c r="H285" s="228"/>
      <c r="I285" s="228"/>
      <c r="J285" s="228"/>
      <c r="K285" s="228"/>
      <c r="L285" s="228"/>
      <c r="M285" s="228"/>
      <c r="N285" s="228"/>
      <c r="O285" s="228"/>
      <c r="P285" s="228">
        <v>0</v>
      </c>
      <c r="Q285" s="228">
        <v>0</v>
      </c>
    </row>
    <row r="286" spans="1:17">
      <c r="B286" s="165" t="s">
        <v>2008</v>
      </c>
      <c r="C286" s="165">
        <v>4700</v>
      </c>
      <c r="D286" s="228"/>
      <c r="E286" s="228"/>
      <c r="F286" s="228">
        <v>0</v>
      </c>
      <c r="G286" s="228">
        <v>0</v>
      </c>
      <c r="H286" s="228"/>
      <c r="I286" s="228"/>
      <c r="J286" s="228"/>
      <c r="K286" s="228"/>
      <c r="L286" s="228"/>
      <c r="M286" s="228"/>
      <c r="N286" s="228"/>
      <c r="O286" s="228"/>
      <c r="P286" s="228">
        <v>0</v>
      </c>
      <c r="Q286" s="228">
        <v>0</v>
      </c>
    </row>
    <row r="287" spans="1:17">
      <c r="B287" s="165" t="s">
        <v>2063</v>
      </c>
      <c r="C287" s="165">
        <v>12500</v>
      </c>
      <c r="D287" s="228"/>
      <c r="E287" s="228"/>
      <c r="F287" s="228"/>
      <c r="G287" s="228"/>
      <c r="H287" s="228"/>
      <c r="I287" s="228"/>
      <c r="J287" s="228"/>
      <c r="K287" s="228"/>
      <c r="L287" s="228">
        <v>5000</v>
      </c>
      <c r="M287" s="228">
        <v>62500000</v>
      </c>
      <c r="N287" s="228"/>
      <c r="O287" s="228"/>
      <c r="P287" s="228">
        <v>5000</v>
      </c>
      <c r="Q287" s="228">
        <v>62500000</v>
      </c>
    </row>
    <row r="288" spans="1:17">
      <c r="B288" s="165" t="s">
        <v>2098</v>
      </c>
      <c r="C288" s="165">
        <v>4100</v>
      </c>
      <c r="D288" s="228"/>
      <c r="E288" s="228"/>
      <c r="F288" s="228"/>
      <c r="G288" s="228"/>
      <c r="H288" s="228">
        <v>4200</v>
      </c>
      <c r="I288" s="228">
        <v>17220000</v>
      </c>
      <c r="J288" s="228"/>
      <c r="K288" s="228"/>
      <c r="L288" s="228"/>
      <c r="M288" s="228"/>
      <c r="N288" s="228"/>
      <c r="O288" s="228"/>
      <c r="P288" s="228">
        <v>4200</v>
      </c>
      <c r="Q288" s="228">
        <v>17220000</v>
      </c>
    </row>
    <row r="289" spans="1:17">
      <c r="B289" s="165" t="s">
        <v>2100</v>
      </c>
      <c r="C289" s="165">
        <v>5400</v>
      </c>
      <c r="D289" s="228"/>
      <c r="E289" s="228"/>
      <c r="F289" s="228">
        <v>0</v>
      </c>
      <c r="G289" s="228">
        <v>0</v>
      </c>
      <c r="H289" s="228"/>
      <c r="I289" s="228"/>
      <c r="J289" s="228"/>
      <c r="K289" s="228"/>
      <c r="L289" s="228"/>
      <c r="M289" s="228"/>
      <c r="N289" s="228"/>
      <c r="O289" s="228"/>
      <c r="P289" s="228">
        <v>0</v>
      </c>
      <c r="Q289" s="228">
        <v>0</v>
      </c>
    </row>
    <row r="290" spans="1:17">
      <c r="C290" s="165">
        <v>5500</v>
      </c>
      <c r="D290" s="228"/>
      <c r="E290" s="228"/>
      <c r="F290" s="228"/>
      <c r="G290" s="228"/>
      <c r="H290" s="228">
        <v>10000</v>
      </c>
      <c r="I290" s="228">
        <v>55000000</v>
      </c>
      <c r="J290" s="228"/>
      <c r="K290" s="228"/>
      <c r="L290" s="228"/>
      <c r="M290" s="228"/>
      <c r="N290" s="228"/>
      <c r="O290" s="228"/>
      <c r="P290" s="228">
        <v>10000</v>
      </c>
      <c r="Q290" s="228">
        <v>55000000</v>
      </c>
    </row>
    <row r="291" spans="1:17">
      <c r="B291" s="165" t="s">
        <v>2116</v>
      </c>
      <c r="C291" s="165">
        <v>3000</v>
      </c>
      <c r="D291" s="228"/>
      <c r="E291" s="228"/>
      <c r="F291" s="228">
        <v>0</v>
      </c>
      <c r="G291" s="228">
        <v>0</v>
      </c>
      <c r="H291" s="228"/>
      <c r="I291" s="228"/>
      <c r="J291" s="228"/>
      <c r="K291" s="228"/>
      <c r="L291" s="228"/>
      <c r="M291" s="228"/>
      <c r="N291" s="228"/>
      <c r="O291" s="228"/>
      <c r="P291" s="228">
        <v>0</v>
      </c>
      <c r="Q291" s="228">
        <v>0</v>
      </c>
    </row>
    <row r="292" spans="1:17">
      <c r="B292" s="165" t="s">
        <v>2125</v>
      </c>
      <c r="C292" s="165">
        <v>2900</v>
      </c>
      <c r="D292" s="228"/>
      <c r="E292" s="228"/>
      <c r="F292" s="228">
        <v>0</v>
      </c>
      <c r="G292" s="228">
        <v>0</v>
      </c>
      <c r="H292" s="228"/>
      <c r="I292" s="228"/>
      <c r="J292" s="228"/>
      <c r="K292" s="228"/>
      <c r="L292" s="228"/>
      <c r="M292" s="228"/>
      <c r="N292" s="228"/>
      <c r="O292" s="228"/>
      <c r="P292" s="228">
        <v>0</v>
      </c>
      <c r="Q292" s="228">
        <v>0</v>
      </c>
    </row>
    <row r="293" spans="1:17">
      <c r="B293" s="165" t="s">
        <v>2136</v>
      </c>
      <c r="C293" s="165">
        <v>13000</v>
      </c>
      <c r="D293" s="228"/>
      <c r="E293" s="228"/>
      <c r="F293" s="228"/>
      <c r="G293" s="228"/>
      <c r="H293" s="228"/>
      <c r="I293" s="228"/>
      <c r="J293" s="228"/>
      <c r="K293" s="228"/>
      <c r="L293" s="228">
        <v>10000</v>
      </c>
      <c r="M293" s="228">
        <v>130000000</v>
      </c>
      <c r="N293" s="228"/>
      <c r="O293" s="228"/>
      <c r="P293" s="228">
        <v>10000</v>
      </c>
      <c r="Q293" s="228">
        <v>130000000</v>
      </c>
    </row>
    <row r="294" spans="1:17">
      <c r="B294" s="165" t="s">
        <v>2009</v>
      </c>
      <c r="C294" s="165">
        <v>5000</v>
      </c>
      <c r="D294" s="228"/>
      <c r="E294" s="228"/>
      <c r="F294" s="228">
        <v>0</v>
      </c>
      <c r="G294" s="228">
        <v>0</v>
      </c>
      <c r="H294" s="228"/>
      <c r="I294" s="228"/>
      <c r="J294" s="228"/>
      <c r="K294" s="228"/>
      <c r="L294" s="228"/>
      <c r="M294" s="228"/>
      <c r="N294" s="228"/>
      <c r="O294" s="228"/>
      <c r="P294" s="228">
        <v>0</v>
      </c>
      <c r="Q294" s="228">
        <v>0</v>
      </c>
    </row>
    <row r="295" spans="1:17">
      <c r="C295" s="165">
        <v>5400</v>
      </c>
      <c r="D295" s="228">
        <v>0</v>
      </c>
      <c r="E295" s="228">
        <v>0</v>
      </c>
      <c r="F295" s="228"/>
      <c r="G295" s="228"/>
      <c r="H295" s="228"/>
      <c r="I295" s="228"/>
      <c r="J295" s="228"/>
      <c r="K295" s="228"/>
      <c r="L295" s="228"/>
      <c r="M295" s="228"/>
      <c r="N295" s="228"/>
      <c r="O295" s="228"/>
      <c r="P295" s="228">
        <v>0</v>
      </c>
      <c r="Q295" s="228">
        <v>0</v>
      </c>
    </row>
    <row r="296" spans="1:17">
      <c r="B296" s="165" t="s">
        <v>2169</v>
      </c>
      <c r="C296" s="165">
        <v>4800</v>
      </c>
      <c r="D296" s="228"/>
      <c r="E296" s="228"/>
      <c r="F296" s="228"/>
      <c r="G296" s="228"/>
      <c r="H296" s="228">
        <v>6000</v>
      </c>
      <c r="I296" s="228">
        <v>28800000</v>
      </c>
      <c r="J296" s="228"/>
      <c r="K296" s="228"/>
      <c r="L296" s="228"/>
      <c r="M296" s="228"/>
      <c r="N296" s="228"/>
      <c r="O296" s="228"/>
      <c r="P296" s="228">
        <v>6000</v>
      </c>
      <c r="Q296" s="228">
        <v>28800000</v>
      </c>
    </row>
    <row r="297" spans="1:17">
      <c r="B297" s="165" t="s">
        <v>2023</v>
      </c>
      <c r="C297" s="165">
        <v>11000</v>
      </c>
      <c r="D297" s="228"/>
      <c r="E297" s="228"/>
      <c r="F297" s="228"/>
      <c r="G297" s="228"/>
      <c r="H297" s="228"/>
      <c r="I297" s="228"/>
      <c r="J297" s="228"/>
      <c r="K297" s="228"/>
      <c r="L297" s="228">
        <v>5000</v>
      </c>
      <c r="M297" s="228">
        <v>55000000</v>
      </c>
      <c r="N297" s="228"/>
      <c r="O297" s="228"/>
      <c r="P297" s="228">
        <v>5000</v>
      </c>
      <c r="Q297" s="228">
        <v>55000000</v>
      </c>
    </row>
    <row r="298" spans="1:17">
      <c r="B298" s="165" t="s">
        <v>2177</v>
      </c>
      <c r="C298" s="165">
        <v>6100</v>
      </c>
      <c r="D298" s="228"/>
      <c r="E298" s="228"/>
      <c r="F298" s="228"/>
      <c r="G298" s="228"/>
      <c r="H298" s="228"/>
      <c r="I298" s="228"/>
      <c r="J298" s="228"/>
      <c r="K298" s="228"/>
      <c r="L298" s="228">
        <v>5000</v>
      </c>
      <c r="M298" s="228">
        <v>30500000</v>
      </c>
      <c r="N298" s="228"/>
      <c r="O298" s="228"/>
      <c r="P298" s="228">
        <v>5000</v>
      </c>
      <c r="Q298" s="228">
        <v>30500000</v>
      </c>
    </row>
    <row r="299" spans="1:17">
      <c r="B299" s="165" t="s">
        <v>2188</v>
      </c>
      <c r="C299" s="165">
        <v>3800</v>
      </c>
      <c r="D299" s="228"/>
      <c r="E299" s="228"/>
      <c r="F299" s="228">
        <v>0</v>
      </c>
      <c r="G299" s="228">
        <v>0</v>
      </c>
      <c r="H299" s="228"/>
      <c r="I299" s="228"/>
      <c r="J299" s="228"/>
      <c r="K299" s="228"/>
      <c r="L299" s="228"/>
      <c r="M299" s="228"/>
      <c r="N299" s="228"/>
      <c r="O299" s="228"/>
      <c r="P299" s="228">
        <v>0</v>
      </c>
      <c r="Q299" s="228">
        <v>0</v>
      </c>
    </row>
    <row r="300" spans="1:17">
      <c r="C300" s="165">
        <v>4000</v>
      </c>
      <c r="D300" s="228"/>
      <c r="E300" s="228"/>
      <c r="F300" s="228"/>
      <c r="G300" s="228"/>
      <c r="H300" s="228">
        <v>10200</v>
      </c>
      <c r="I300" s="228">
        <v>40800000</v>
      </c>
      <c r="J300" s="228"/>
      <c r="K300" s="228"/>
      <c r="L300" s="228"/>
      <c r="M300" s="228"/>
      <c r="N300" s="228"/>
      <c r="O300" s="228"/>
      <c r="P300" s="228">
        <v>10200</v>
      </c>
      <c r="Q300" s="228">
        <v>40800000</v>
      </c>
    </row>
    <row r="301" spans="1:17">
      <c r="B301" s="165" t="s">
        <v>2194</v>
      </c>
      <c r="C301" s="165">
        <v>5500</v>
      </c>
      <c r="D301" s="228"/>
      <c r="E301" s="228"/>
      <c r="F301" s="228">
        <v>2000</v>
      </c>
      <c r="G301" s="228">
        <v>11000000</v>
      </c>
      <c r="H301" s="228"/>
      <c r="I301" s="228"/>
      <c r="J301" s="228"/>
      <c r="K301" s="228"/>
      <c r="L301" s="228"/>
      <c r="M301" s="228"/>
      <c r="N301" s="228"/>
      <c r="O301" s="228"/>
      <c r="P301" s="228">
        <v>2000</v>
      </c>
      <c r="Q301" s="228">
        <v>11000000</v>
      </c>
    </row>
    <row r="302" spans="1:17">
      <c r="A302" s="165" t="s">
        <v>2224</v>
      </c>
      <c r="B302" s="165"/>
      <c r="C302" s="165"/>
      <c r="D302" s="228">
        <v>0</v>
      </c>
      <c r="E302" s="228">
        <v>0</v>
      </c>
      <c r="F302" s="228">
        <v>2000</v>
      </c>
      <c r="G302" s="228">
        <v>11000000</v>
      </c>
      <c r="H302" s="228">
        <v>30400</v>
      </c>
      <c r="I302" s="228">
        <v>141820000</v>
      </c>
      <c r="J302" s="228"/>
      <c r="K302" s="228"/>
      <c r="L302" s="228">
        <v>25000</v>
      </c>
      <c r="M302" s="228">
        <v>278000000</v>
      </c>
      <c r="N302" s="228"/>
      <c r="O302" s="228"/>
      <c r="P302" s="228">
        <v>57400</v>
      </c>
      <c r="Q302" s="228">
        <v>430820000</v>
      </c>
    </row>
    <row r="303" spans="1:17">
      <c r="A303" s="165" t="s">
        <v>1483</v>
      </c>
      <c r="B303" s="165" t="s">
        <v>2033</v>
      </c>
      <c r="C303" s="165">
        <v>5700</v>
      </c>
      <c r="D303" s="228">
        <v>0</v>
      </c>
      <c r="E303" s="228">
        <v>0</v>
      </c>
      <c r="F303" s="228"/>
      <c r="G303" s="228"/>
      <c r="H303" s="228"/>
      <c r="I303" s="228"/>
      <c r="J303" s="228"/>
      <c r="K303" s="228"/>
      <c r="L303" s="228"/>
      <c r="M303" s="228"/>
      <c r="N303" s="228"/>
      <c r="O303" s="228"/>
      <c r="P303" s="228">
        <v>0</v>
      </c>
      <c r="Q303" s="228">
        <v>0</v>
      </c>
    </row>
    <row r="304" spans="1:17">
      <c r="C304" s="165">
        <v>5800</v>
      </c>
      <c r="D304" s="228">
        <v>0</v>
      </c>
      <c r="E304" s="228">
        <v>0</v>
      </c>
      <c r="F304" s="228"/>
      <c r="G304" s="228"/>
      <c r="H304" s="228"/>
      <c r="I304" s="228"/>
      <c r="J304" s="228"/>
      <c r="K304" s="228"/>
      <c r="L304" s="228"/>
      <c r="M304" s="228"/>
      <c r="N304" s="228"/>
      <c r="O304" s="228"/>
      <c r="P304" s="228">
        <v>0</v>
      </c>
      <c r="Q304" s="228">
        <v>0</v>
      </c>
    </row>
    <row r="305" spans="1:17">
      <c r="B305" s="165" t="s">
        <v>2008</v>
      </c>
      <c r="C305" s="165">
        <v>6400</v>
      </c>
      <c r="D305" s="228">
        <v>0</v>
      </c>
      <c r="E305" s="228">
        <v>0</v>
      </c>
      <c r="F305" s="228"/>
      <c r="G305" s="228"/>
      <c r="H305" s="228"/>
      <c r="I305" s="228"/>
      <c r="J305" s="228"/>
      <c r="K305" s="228"/>
      <c r="L305" s="228"/>
      <c r="M305" s="228"/>
      <c r="N305" s="228"/>
      <c r="O305" s="228"/>
      <c r="P305" s="228">
        <v>0</v>
      </c>
      <c r="Q305" s="228">
        <v>0</v>
      </c>
    </row>
    <row r="306" spans="1:17">
      <c r="B306" s="165" t="s">
        <v>2011</v>
      </c>
      <c r="C306" s="165">
        <v>10600</v>
      </c>
      <c r="D306" s="228">
        <v>0</v>
      </c>
      <c r="E306" s="228">
        <v>0</v>
      </c>
      <c r="F306" s="228"/>
      <c r="G306" s="228"/>
      <c r="H306" s="228"/>
      <c r="I306" s="228"/>
      <c r="J306" s="228"/>
      <c r="K306" s="228"/>
      <c r="L306" s="228"/>
      <c r="M306" s="228"/>
      <c r="N306" s="228"/>
      <c r="O306" s="228"/>
      <c r="P306" s="228">
        <v>0</v>
      </c>
      <c r="Q306" s="228">
        <v>0</v>
      </c>
    </row>
    <row r="307" spans="1:17">
      <c r="B307" s="165" t="s">
        <v>2064</v>
      </c>
      <c r="C307" s="165">
        <v>15200</v>
      </c>
      <c r="D307" s="228">
        <v>0</v>
      </c>
      <c r="E307" s="228">
        <v>0</v>
      </c>
      <c r="F307" s="228"/>
      <c r="G307" s="228"/>
      <c r="H307" s="228"/>
      <c r="I307" s="228"/>
      <c r="J307" s="228"/>
      <c r="K307" s="228"/>
      <c r="L307" s="228"/>
      <c r="M307" s="228"/>
      <c r="N307" s="228"/>
      <c r="O307" s="228"/>
      <c r="P307" s="228">
        <v>0</v>
      </c>
      <c r="Q307" s="228">
        <v>0</v>
      </c>
    </row>
    <row r="308" spans="1:17">
      <c r="B308" s="165" t="s">
        <v>2067</v>
      </c>
      <c r="C308" s="165">
        <v>5400</v>
      </c>
      <c r="D308" s="228">
        <v>0</v>
      </c>
      <c r="E308" s="228">
        <v>0</v>
      </c>
      <c r="F308" s="228"/>
      <c r="G308" s="228"/>
      <c r="H308" s="228"/>
      <c r="I308" s="228"/>
      <c r="J308" s="228"/>
      <c r="K308" s="228"/>
      <c r="L308" s="228"/>
      <c r="M308" s="228"/>
      <c r="N308" s="228"/>
      <c r="O308" s="228"/>
      <c r="P308" s="228">
        <v>0</v>
      </c>
      <c r="Q308" s="228">
        <v>0</v>
      </c>
    </row>
    <row r="309" spans="1:17">
      <c r="B309" s="165" t="s">
        <v>2132</v>
      </c>
      <c r="C309" s="165">
        <v>7700</v>
      </c>
      <c r="D309" s="228">
        <v>0</v>
      </c>
      <c r="E309" s="228">
        <v>0</v>
      </c>
      <c r="F309" s="228"/>
      <c r="G309" s="228"/>
      <c r="H309" s="228"/>
      <c r="I309" s="228"/>
      <c r="J309" s="228"/>
      <c r="K309" s="228"/>
      <c r="L309" s="228"/>
      <c r="M309" s="228"/>
      <c r="N309" s="228"/>
      <c r="O309" s="228"/>
      <c r="P309" s="228">
        <v>0</v>
      </c>
      <c r="Q309" s="228">
        <v>0</v>
      </c>
    </row>
    <row r="310" spans="1:17">
      <c r="B310" s="165" t="s">
        <v>2134</v>
      </c>
      <c r="C310" s="165">
        <v>10900</v>
      </c>
      <c r="D310" s="228">
        <v>0</v>
      </c>
      <c r="E310" s="228">
        <v>0</v>
      </c>
      <c r="F310" s="228"/>
      <c r="G310" s="228"/>
      <c r="H310" s="228"/>
      <c r="I310" s="228"/>
      <c r="J310" s="228"/>
      <c r="K310" s="228"/>
      <c r="L310" s="228"/>
      <c r="M310" s="228"/>
      <c r="N310" s="228"/>
      <c r="O310" s="228"/>
      <c r="P310" s="228">
        <v>0</v>
      </c>
      <c r="Q310" s="228">
        <v>0</v>
      </c>
    </row>
    <row r="311" spans="1:17">
      <c r="B311" s="165" t="s">
        <v>2135</v>
      </c>
      <c r="C311" s="165" t="s">
        <v>1487</v>
      </c>
      <c r="D311" s="228">
        <v>0</v>
      </c>
      <c r="E311" s="228" t="e">
        <v>#VALUE!</v>
      </c>
      <c r="F311" s="228"/>
      <c r="G311" s="228"/>
      <c r="H311" s="228"/>
      <c r="I311" s="228"/>
      <c r="J311" s="228"/>
      <c r="K311" s="228"/>
      <c r="L311" s="228"/>
      <c r="M311" s="228"/>
      <c r="N311" s="228"/>
      <c r="O311" s="228"/>
      <c r="P311" s="228">
        <v>0</v>
      </c>
      <c r="Q311" s="228" t="e">
        <v>#VALUE!</v>
      </c>
    </row>
    <row r="312" spans="1:17">
      <c r="B312" s="165" t="s">
        <v>2009</v>
      </c>
      <c r="C312" s="165">
        <v>5500</v>
      </c>
      <c r="D312" s="228">
        <v>0</v>
      </c>
      <c r="E312" s="228">
        <v>0</v>
      </c>
      <c r="F312" s="228"/>
      <c r="G312" s="228"/>
      <c r="H312" s="228"/>
      <c r="I312" s="228"/>
      <c r="J312" s="228"/>
      <c r="K312" s="228"/>
      <c r="L312" s="228"/>
      <c r="M312" s="228"/>
      <c r="N312" s="228"/>
      <c r="O312" s="228"/>
      <c r="P312" s="228">
        <v>0</v>
      </c>
      <c r="Q312" s="228">
        <v>0</v>
      </c>
    </row>
    <row r="313" spans="1:17">
      <c r="B313" s="165" t="s">
        <v>2153</v>
      </c>
      <c r="C313" s="165">
        <v>5300</v>
      </c>
      <c r="D313" s="228">
        <v>0</v>
      </c>
      <c r="E313" s="228">
        <v>0</v>
      </c>
      <c r="F313" s="228"/>
      <c r="G313" s="228"/>
      <c r="H313" s="228"/>
      <c r="I313" s="228"/>
      <c r="J313" s="228"/>
      <c r="K313" s="228"/>
      <c r="L313" s="228"/>
      <c r="M313" s="228"/>
      <c r="N313" s="228"/>
      <c r="O313" s="228"/>
      <c r="P313" s="228">
        <v>0</v>
      </c>
      <c r="Q313" s="228">
        <v>0</v>
      </c>
    </row>
    <row r="314" spans="1:17">
      <c r="B314" s="165" t="s">
        <v>2188</v>
      </c>
      <c r="C314" s="165">
        <v>3800</v>
      </c>
      <c r="D314" s="228">
        <v>0</v>
      </c>
      <c r="E314" s="228">
        <v>0</v>
      </c>
      <c r="F314" s="228"/>
      <c r="G314" s="228"/>
      <c r="H314" s="228"/>
      <c r="I314" s="228"/>
      <c r="J314" s="228"/>
      <c r="K314" s="228"/>
      <c r="L314" s="228"/>
      <c r="M314" s="228"/>
      <c r="N314" s="228"/>
      <c r="O314" s="228"/>
      <c r="P314" s="228">
        <v>0</v>
      </c>
      <c r="Q314" s="228">
        <v>0</v>
      </c>
    </row>
    <row r="315" spans="1:17">
      <c r="C315" s="165">
        <v>3900</v>
      </c>
      <c r="D315" s="228">
        <v>0</v>
      </c>
      <c r="E315" s="228">
        <v>0</v>
      </c>
      <c r="F315" s="228"/>
      <c r="G315" s="228"/>
      <c r="H315" s="228"/>
      <c r="I315" s="228"/>
      <c r="J315" s="228"/>
      <c r="K315" s="228"/>
      <c r="L315" s="228"/>
      <c r="M315" s="228"/>
      <c r="N315" s="228"/>
      <c r="O315" s="228"/>
      <c r="P315" s="228">
        <v>0</v>
      </c>
      <c r="Q315" s="228">
        <v>0</v>
      </c>
    </row>
    <row r="316" spans="1:17">
      <c r="A316" s="165" t="s">
        <v>2225</v>
      </c>
      <c r="B316" s="165"/>
      <c r="C316" s="165"/>
      <c r="D316" s="228">
        <v>0</v>
      </c>
      <c r="E316" s="228" t="e">
        <v>#VALUE!</v>
      </c>
      <c r="F316" s="228"/>
      <c r="G316" s="228"/>
      <c r="H316" s="228"/>
      <c r="I316" s="228"/>
      <c r="J316" s="228"/>
      <c r="K316" s="228"/>
      <c r="L316" s="228"/>
      <c r="M316" s="228"/>
      <c r="N316" s="228"/>
      <c r="O316" s="228"/>
      <c r="P316" s="228">
        <v>0</v>
      </c>
      <c r="Q316" s="228" t="e">
        <v>#VALUE!</v>
      </c>
    </row>
    <row r="317" spans="1:17">
      <c r="A317" s="165" t="s">
        <v>1235</v>
      </c>
      <c r="B317" s="165" t="s">
        <v>2125</v>
      </c>
      <c r="C317" s="165">
        <v>2900</v>
      </c>
      <c r="D317" s="228"/>
      <c r="E317" s="228"/>
      <c r="F317" s="228">
        <v>0</v>
      </c>
      <c r="G317" s="228">
        <v>0</v>
      </c>
      <c r="H317" s="228"/>
      <c r="I317" s="228"/>
      <c r="J317" s="228"/>
      <c r="K317" s="228"/>
      <c r="L317" s="228"/>
      <c r="M317" s="228"/>
      <c r="N317" s="228"/>
      <c r="O317" s="228"/>
      <c r="P317" s="228">
        <v>0</v>
      </c>
      <c r="Q317" s="228">
        <v>0</v>
      </c>
    </row>
    <row r="318" spans="1:17">
      <c r="B318" s="165" t="s">
        <v>2169</v>
      </c>
      <c r="C318" s="165">
        <v>4800</v>
      </c>
      <c r="D318" s="228"/>
      <c r="E318" s="228"/>
      <c r="F318" s="228">
        <v>0</v>
      </c>
      <c r="G318" s="228">
        <v>0</v>
      </c>
      <c r="H318" s="228"/>
      <c r="I318" s="228"/>
      <c r="J318" s="228"/>
      <c r="K318" s="228"/>
      <c r="L318" s="228"/>
      <c r="M318" s="228"/>
      <c r="N318" s="228"/>
      <c r="O318" s="228"/>
      <c r="P318" s="228">
        <v>0</v>
      </c>
      <c r="Q318" s="228">
        <v>0</v>
      </c>
    </row>
    <row r="319" spans="1:17">
      <c r="A319" s="165" t="s">
        <v>2226</v>
      </c>
      <c r="B319" s="165"/>
      <c r="C319" s="165"/>
      <c r="D319" s="228"/>
      <c r="E319" s="228"/>
      <c r="F319" s="228">
        <v>0</v>
      </c>
      <c r="G319" s="228">
        <v>0</v>
      </c>
      <c r="H319" s="228"/>
      <c r="I319" s="228"/>
      <c r="J319" s="228"/>
      <c r="K319" s="228"/>
      <c r="L319" s="228"/>
      <c r="M319" s="228"/>
      <c r="N319" s="228"/>
      <c r="O319" s="228"/>
      <c r="P319" s="228">
        <v>0</v>
      </c>
      <c r="Q319" s="228">
        <v>0</v>
      </c>
    </row>
    <row r="320" spans="1:17">
      <c r="A320" s="165" t="s">
        <v>1798</v>
      </c>
      <c r="B320" s="165" t="s">
        <v>2060</v>
      </c>
      <c r="C320" s="165">
        <v>8000</v>
      </c>
      <c r="D320" s="228"/>
      <c r="E320" s="228"/>
      <c r="F320" s="228"/>
      <c r="G320" s="228"/>
      <c r="H320" s="228"/>
      <c r="I320" s="228"/>
      <c r="J320" s="228"/>
      <c r="K320" s="228"/>
      <c r="L320" s="228">
        <v>5100</v>
      </c>
      <c r="M320" s="228">
        <v>40800000</v>
      </c>
      <c r="N320" s="228"/>
      <c r="O320" s="228"/>
      <c r="P320" s="228">
        <v>5100</v>
      </c>
      <c r="Q320" s="228">
        <v>40800000</v>
      </c>
    </row>
    <row r="321" spans="1:17">
      <c r="B321" s="165" t="s">
        <v>2011</v>
      </c>
      <c r="C321" s="165">
        <v>10600</v>
      </c>
      <c r="D321" s="228"/>
      <c r="E321" s="228"/>
      <c r="F321" s="228"/>
      <c r="G321" s="228"/>
      <c r="H321" s="228"/>
      <c r="I321" s="228"/>
      <c r="J321" s="228"/>
      <c r="K321" s="228"/>
      <c r="L321" s="228">
        <v>7000</v>
      </c>
      <c r="M321" s="228">
        <v>74200000</v>
      </c>
      <c r="N321" s="228"/>
      <c r="O321" s="228"/>
      <c r="P321" s="228">
        <v>7000</v>
      </c>
      <c r="Q321" s="228">
        <v>74200000</v>
      </c>
    </row>
    <row r="322" spans="1:17">
      <c r="B322" s="165" t="s">
        <v>2064</v>
      </c>
      <c r="C322" s="165">
        <v>15200</v>
      </c>
      <c r="D322" s="228"/>
      <c r="E322" s="228"/>
      <c r="F322" s="228"/>
      <c r="G322" s="228"/>
      <c r="H322" s="228"/>
      <c r="I322" s="228"/>
      <c r="J322" s="228"/>
      <c r="K322" s="228"/>
      <c r="L322" s="228">
        <v>10000</v>
      </c>
      <c r="M322" s="228">
        <v>152000000</v>
      </c>
      <c r="N322" s="228"/>
      <c r="O322" s="228"/>
      <c r="P322" s="228">
        <v>10000</v>
      </c>
      <c r="Q322" s="228">
        <v>152000000</v>
      </c>
    </row>
    <row r="323" spans="1:17">
      <c r="B323" s="165" t="s">
        <v>2015</v>
      </c>
      <c r="C323" s="165">
        <v>10700</v>
      </c>
      <c r="D323" s="228"/>
      <c r="E323" s="228"/>
      <c r="F323" s="228"/>
      <c r="G323" s="228"/>
      <c r="H323" s="228"/>
      <c r="I323" s="228"/>
      <c r="J323" s="228"/>
      <c r="K323" s="228"/>
      <c r="L323" s="228">
        <v>8000</v>
      </c>
      <c r="M323" s="228">
        <v>85600000</v>
      </c>
      <c r="N323" s="228"/>
      <c r="O323" s="228"/>
      <c r="P323" s="228">
        <v>8000</v>
      </c>
      <c r="Q323" s="228">
        <v>85600000</v>
      </c>
    </row>
    <row r="324" spans="1:17">
      <c r="B324" s="165" t="s">
        <v>2143</v>
      </c>
      <c r="C324" s="165">
        <v>12500</v>
      </c>
      <c r="D324" s="228"/>
      <c r="E324" s="228"/>
      <c r="F324" s="228"/>
      <c r="G324" s="228"/>
      <c r="H324" s="228"/>
      <c r="I324" s="228"/>
      <c r="J324" s="228"/>
      <c r="K324" s="228"/>
      <c r="L324" s="228">
        <v>5000</v>
      </c>
      <c r="M324" s="228">
        <v>62500000</v>
      </c>
      <c r="N324" s="228"/>
      <c r="O324" s="228"/>
      <c r="P324" s="228">
        <v>5000</v>
      </c>
      <c r="Q324" s="228">
        <v>62500000</v>
      </c>
    </row>
    <row r="325" spans="1:17">
      <c r="B325" s="165" t="s">
        <v>2146</v>
      </c>
      <c r="C325" s="165">
        <v>15300</v>
      </c>
      <c r="D325" s="228"/>
      <c r="E325" s="228"/>
      <c r="F325" s="228"/>
      <c r="G325" s="228"/>
      <c r="H325" s="228"/>
      <c r="I325" s="228"/>
      <c r="J325" s="228"/>
      <c r="K325" s="228"/>
      <c r="L325" s="228">
        <v>10050</v>
      </c>
      <c r="M325" s="228">
        <v>153765000</v>
      </c>
      <c r="N325" s="228"/>
      <c r="O325" s="228"/>
      <c r="P325" s="228">
        <v>10050</v>
      </c>
      <c r="Q325" s="228">
        <v>153765000</v>
      </c>
    </row>
    <row r="326" spans="1:17">
      <c r="A326" s="165" t="s">
        <v>2227</v>
      </c>
      <c r="B326" s="165"/>
      <c r="C326" s="165"/>
      <c r="D326" s="228"/>
      <c r="E326" s="228"/>
      <c r="F326" s="228"/>
      <c r="G326" s="228"/>
      <c r="H326" s="228"/>
      <c r="I326" s="228"/>
      <c r="J326" s="228"/>
      <c r="K326" s="228"/>
      <c r="L326" s="228">
        <v>45150</v>
      </c>
      <c r="M326" s="228">
        <v>568865000</v>
      </c>
      <c r="N326" s="228"/>
      <c r="O326" s="228"/>
      <c r="P326" s="228">
        <v>45150</v>
      </c>
      <c r="Q326" s="228">
        <v>568865000</v>
      </c>
    </row>
    <row r="327" spans="1:17">
      <c r="A327" s="165" t="s">
        <v>710</v>
      </c>
      <c r="B327" s="165" t="s">
        <v>2033</v>
      </c>
      <c r="C327" s="165">
        <v>5600</v>
      </c>
      <c r="D327" s="228"/>
      <c r="E327" s="228"/>
      <c r="F327" s="228">
        <v>0</v>
      </c>
      <c r="G327" s="228">
        <v>0</v>
      </c>
      <c r="H327" s="228"/>
      <c r="I327" s="228"/>
      <c r="J327" s="228"/>
      <c r="K327" s="228"/>
      <c r="L327" s="228"/>
      <c r="M327" s="228"/>
      <c r="N327" s="228"/>
      <c r="O327" s="228"/>
      <c r="P327" s="228">
        <v>0</v>
      </c>
      <c r="Q327" s="228">
        <v>0</v>
      </c>
    </row>
    <row r="328" spans="1:17">
      <c r="B328" s="165" t="s">
        <v>2036</v>
      </c>
      <c r="C328" s="165">
        <v>4370</v>
      </c>
      <c r="D328" s="228">
        <v>0</v>
      </c>
      <c r="E328" s="228">
        <v>0</v>
      </c>
      <c r="F328" s="228"/>
      <c r="G328" s="228"/>
      <c r="H328" s="228"/>
      <c r="I328" s="228"/>
      <c r="J328" s="228"/>
      <c r="K328" s="228"/>
      <c r="L328" s="228"/>
      <c r="M328" s="228"/>
      <c r="N328" s="228"/>
      <c r="O328" s="228"/>
      <c r="P328" s="228">
        <v>0</v>
      </c>
      <c r="Q328" s="228">
        <v>0</v>
      </c>
    </row>
    <row r="329" spans="1:17">
      <c r="B329" s="165" t="s">
        <v>2038</v>
      </c>
      <c r="C329" s="165">
        <v>4370</v>
      </c>
      <c r="D329" s="228"/>
      <c r="E329" s="228"/>
      <c r="F329" s="228">
        <v>0</v>
      </c>
      <c r="G329" s="228">
        <v>0</v>
      </c>
      <c r="H329" s="228"/>
      <c r="I329" s="228"/>
      <c r="J329" s="228"/>
      <c r="K329" s="228"/>
      <c r="L329" s="228"/>
      <c r="M329" s="228"/>
      <c r="N329" s="228"/>
      <c r="O329" s="228"/>
      <c r="P329" s="228">
        <v>0</v>
      </c>
      <c r="Q329" s="228">
        <v>0</v>
      </c>
    </row>
    <row r="330" spans="1:17">
      <c r="B330" s="165" t="s">
        <v>2042</v>
      </c>
      <c r="C330" s="165">
        <v>10800</v>
      </c>
      <c r="D330" s="228"/>
      <c r="E330" s="228"/>
      <c r="F330" s="228"/>
      <c r="G330" s="228"/>
      <c r="H330" s="228"/>
      <c r="I330" s="228"/>
      <c r="J330" s="228"/>
      <c r="K330" s="228"/>
      <c r="L330" s="228">
        <v>10000</v>
      </c>
      <c r="M330" s="228">
        <v>108000000</v>
      </c>
      <c r="N330" s="228"/>
      <c r="O330" s="228"/>
      <c r="P330" s="228">
        <v>10000</v>
      </c>
      <c r="Q330" s="228">
        <v>108000000</v>
      </c>
    </row>
    <row r="331" spans="1:17">
      <c r="B331" s="165" t="s">
        <v>2008</v>
      </c>
      <c r="C331" s="165">
        <v>5000</v>
      </c>
      <c r="D331" s="228"/>
      <c r="E331" s="228"/>
      <c r="F331" s="228">
        <v>0</v>
      </c>
      <c r="G331" s="228">
        <v>0</v>
      </c>
      <c r="H331" s="228"/>
      <c r="I331" s="228"/>
      <c r="J331" s="228"/>
      <c r="K331" s="228"/>
      <c r="L331" s="228"/>
      <c r="M331" s="228"/>
      <c r="N331" s="228"/>
      <c r="O331" s="228"/>
      <c r="P331" s="228">
        <v>0</v>
      </c>
      <c r="Q331" s="228">
        <v>0</v>
      </c>
    </row>
    <row r="332" spans="1:17">
      <c r="B332" s="165" t="s">
        <v>2060</v>
      </c>
      <c r="C332" s="165">
        <v>7500</v>
      </c>
      <c r="D332" s="228"/>
      <c r="E332" s="228"/>
      <c r="F332" s="228"/>
      <c r="G332" s="228"/>
      <c r="H332" s="228"/>
      <c r="I332" s="228"/>
      <c r="J332" s="228"/>
      <c r="K332" s="228"/>
      <c r="L332" s="228">
        <v>10050</v>
      </c>
      <c r="M332" s="228">
        <v>75375000</v>
      </c>
      <c r="N332" s="228"/>
      <c r="O332" s="228"/>
      <c r="P332" s="228">
        <v>10050</v>
      </c>
      <c r="Q332" s="228">
        <v>75375000</v>
      </c>
    </row>
    <row r="333" spans="1:17">
      <c r="B333" s="165" t="s">
        <v>2011</v>
      </c>
      <c r="C333" s="165">
        <v>10500</v>
      </c>
      <c r="D333" s="228"/>
      <c r="E333" s="228"/>
      <c r="F333" s="228"/>
      <c r="G333" s="228"/>
      <c r="H333" s="228"/>
      <c r="I333" s="228"/>
      <c r="J333" s="228"/>
      <c r="K333" s="228"/>
      <c r="L333" s="228">
        <v>10000</v>
      </c>
      <c r="M333" s="228">
        <v>105000000</v>
      </c>
      <c r="N333" s="228"/>
      <c r="O333" s="228"/>
      <c r="P333" s="228">
        <v>10000</v>
      </c>
      <c r="Q333" s="228">
        <v>105000000</v>
      </c>
    </row>
    <row r="334" spans="1:17">
      <c r="B334" s="165" t="s">
        <v>2099</v>
      </c>
      <c r="C334" s="165">
        <v>3900</v>
      </c>
      <c r="D334" s="228">
        <v>0</v>
      </c>
      <c r="E334" s="228">
        <v>0</v>
      </c>
      <c r="F334" s="228"/>
      <c r="G334" s="228"/>
      <c r="H334" s="228"/>
      <c r="I334" s="228"/>
      <c r="J334" s="228"/>
      <c r="K334" s="228"/>
      <c r="L334" s="228"/>
      <c r="M334" s="228"/>
      <c r="N334" s="228"/>
      <c r="O334" s="228"/>
      <c r="P334" s="228">
        <v>0</v>
      </c>
      <c r="Q334" s="228">
        <v>0</v>
      </c>
    </row>
    <row r="335" spans="1:17">
      <c r="B335" s="165" t="s">
        <v>2100</v>
      </c>
      <c r="C335" s="165">
        <v>5200</v>
      </c>
      <c r="D335" s="228"/>
      <c r="E335" s="228"/>
      <c r="F335" s="228"/>
      <c r="G335" s="228"/>
      <c r="H335" s="228"/>
      <c r="I335" s="228"/>
      <c r="J335" s="228">
        <v>10000</v>
      </c>
      <c r="K335" s="228">
        <v>52000000</v>
      </c>
      <c r="L335" s="228"/>
      <c r="M335" s="228"/>
      <c r="N335" s="228"/>
      <c r="O335" s="228"/>
      <c r="P335" s="228">
        <v>10000</v>
      </c>
      <c r="Q335" s="228">
        <v>52000000</v>
      </c>
    </row>
    <row r="336" spans="1:17">
      <c r="C336" s="165">
        <v>5300</v>
      </c>
      <c r="D336" s="228"/>
      <c r="E336" s="228"/>
      <c r="F336" s="228"/>
      <c r="G336" s="228"/>
      <c r="H336" s="228"/>
      <c r="I336" s="228"/>
      <c r="J336" s="228"/>
      <c r="K336" s="228"/>
      <c r="L336" s="228">
        <v>20000</v>
      </c>
      <c r="M336" s="228">
        <v>106000000</v>
      </c>
      <c r="N336" s="228"/>
      <c r="O336" s="228"/>
      <c r="P336" s="228">
        <v>20000</v>
      </c>
      <c r="Q336" s="228">
        <v>106000000</v>
      </c>
    </row>
    <row r="337" spans="1:17">
      <c r="B337" s="165" t="s">
        <v>2009</v>
      </c>
      <c r="C337" s="165">
        <v>4800</v>
      </c>
      <c r="D337" s="228"/>
      <c r="E337" s="228"/>
      <c r="F337" s="228">
        <v>0</v>
      </c>
      <c r="G337" s="228">
        <v>0</v>
      </c>
      <c r="H337" s="228"/>
      <c r="I337" s="228"/>
      <c r="J337" s="228"/>
      <c r="K337" s="228"/>
      <c r="L337" s="228"/>
      <c r="M337" s="228"/>
      <c r="N337" s="228"/>
      <c r="O337" s="228"/>
      <c r="P337" s="228">
        <v>0</v>
      </c>
      <c r="Q337" s="228">
        <v>0</v>
      </c>
    </row>
    <row r="338" spans="1:17">
      <c r="B338" s="165" t="s">
        <v>1872</v>
      </c>
      <c r="C338" s="165">
        <v>6470</v>
      </c>
      <c r="D338" s="228"/>
      <c r="E338" s="228"/>
      <c r="F338" s="228">
        <v>0</v>
      </c>
      <c r="G338" s="228">
        <v>0</v>
      </c>
      <c r="H338" s="228"/>
      <c r="I338" s="228"/>
      <c r="J338" s="228"/>
      <c r="K338" s="228"/>
      <c r="L338" s="228"/>
      <c r="M338" s="228"/>
      <c r="N338" s="228"/>
      <c r="O338" s="228"/>
      <c r="P338" s="228">
        <v>0</v>
      </c>
      <c r="Q338" s="228">
        <v>0</v>
      </c>
    </row>
    <row r="339" spans="1:17">
      <c r="C339" s="165">
        <v>6530</v>
      </c>
      <c r="D339" s="228"/>
      <c r="E339" s="228"/>
      <c r="F339" s="228"/>
      <c r="G339" s="228"/>
      <c r="H339" s="228">
        <v>28350</v>
      </c>
      <c r="I339" s="228">
        <v>185125500</v>
      </c>
      <c r="J339" s="228">
        <v>21750</v>
      </c>
      <c r="K339" s="228">
        <v>142027500</v>
      </c>
      <c r="L339" s="228"/>
      <c r="M339" s="228"/>
      <c r="N339" s="228"/>
      <c r="O339" s="228"/>
      <c r="P339" s="228">
        <v>50100</v>
      </c>
      <c r="Q339" s="228">
        <v>327153000</v>
      </c>
    </row>
    <row r="340" spans="1:17">
      <c r="B340" s="165" t="s">
        <v>2015</v>
      </c>
      <c r="C340" s="165">
        <v>10500</v>
      </c>
      <c r="D340" s="228"/>
      <c r="E340" s="228"/>
      <c r="F340" s="228"/>
      <c r="G340" s="228"/>
      <c r="H340" s="228"/>
      <c r="I340" s="228"/>
      <c r="J340" s="228"/>
      <c r="K340" s="228"/>
      <c r="L340" s="228">
        <v>20000</v>
      </c>
      <c r="M340" s="228">
        <v>210000000</v>
      </c>
      <c r="N340" s="228"/>
      <c r="O340" s="228"/>
      <c r="P340" s="228">
        <v>20000</v>
      </c>
      <c r="Q340" s="228">
        <v>210000000</v>
      </c>
    </row>
    <row r="341" spans="1:17">
      <c r="B341" s="165" t="s">
        <v>2178</v>
      </c>
      <c r="C341" s="165">
        <v>8700</v>
      </c>
      <c r="D341" s="228">
        <v>0</v>
      </c>
      <c r="E341" s="228">
        <v>0</v>
      </c>
      <c r="F341" s="228"/>
      <c r="G341" s="228"/>
      <c r="H341" s="228"/>
      <c r="I341" s="228"/>
      <c r="J341" s="228"/>
      <c r="K341" s="228"/>
      <c r="L341" s="228"/>
      <c r="M341" s="228"/>
      <c r="N341" s="228"/>
      <c r="O341" s="228"/>
      <c r="P341" s="228">
        <v>0</v>
      </c>
      <c r="Q341" s="228">
        <v>0</v>
      </c>
    </row>
    <row r="342" spans="1:17">
      <c r="B342" s="165" t="s">
        <v>2184</v>
      </c>
      <c r="C342" s="165">
        <v>4000</v>
      </c>
      <c r="D342" s="228"/>
      <c r="E342" s="228"/>
      <c r="F342" s="228">
        <v>15450</v>
      </c>
      <c r="G342" s="228">
        <v>61800000</v>
      </c>
      <c r="H342" s="228"/>
      <c r="I342" s="228"/>
      <c r="J342" s="228"/>
      <c r="K342" s="228"/>
      <c r="L342" s="228"/>
      <c r="M342" s="228"/>
      <c r="N342" s="228"/>
      <c r="O342" s="228"/>
      <c r="P342" s="228">
        <v>15450</v>
      </c>
      <c r="Q342" s="228">
        <v>61800000</v>
      </c>
    </row>
    <row r="343" spans="1:17">
      <c r="B343" s="165" t="s">
        <v>2185</v>
      </c>
      <c r="C343" s="165">
        <v>4000</v>
      </c>
      <c r="D343" s="228"/>
      <c r="E343" s="228"/>
      <c r="F343" s="228">
        <v>2125</v>
      </c>
      <c r="G343" s="228">
        <v>8500000</v>
      </c>
      <c r="H343" s="228"/>
      <c r="I343" s="228"/>
      <c r="J343" s="228"/>
      <c r="K343" s="228"/>
      <c r="L343" s="228"/>
      <c r="M343" s="228"/>
      <c r="N343" s="228"/>
      <c r="O343" s="228"/>
      <c r="P343" s="228">
        <v>2125</v>
      </c>
      <c r="Q343" s="228">
        <v>8500000</v>
      </c>
    </row>
    <row r="344" spans="1:17">
      <c r="A344" s="165" t="s">
        <v>2228</v>
      </c>
      <c r="B344" s="165"/>
      <c r="C344" s="165"/>
      <c r="D344" s="228">
        <v>0</v>
      </c>
      <c r="E344" s="228">
        <v>0</v>
      </c>
      <c r="F344" s="228">
        <v>17575</v>
      </c>
      <c r="G344" s="228">
        <v>70300000</v>
      </c>
      <c r="H344" s="228">
        <v>28350</v>
      </c>
      <c r="I344" s="228">
        <v>185125500</v>
      </c>
      <c r="J344" s="228">
        <v>31750</v>
      </c>
      <c r="K344" s="228">
        <v>194027500</v>
      </c>
      <c r="L344" s="228">
        <v>70050</v>
      </c>
      <c r="M344" s="228">
        <v>604375000</v>
      </c>
      <c r="N344" s="228"/>
      <c r="O344" s="228"/>
      <c r="P344" s="228">
        <v>147725</v>
      </c>
      <c r="Q344" s="228">
        <v>1053828000</v>
      </c>
    </row>
    <row r="345" spans="1:17">
      <c r="A345" s="165" t="s">
        <v>162</v>
      </c>
      <c r="B345" s="165" t="s">
        <v>2008</v>
      </c>
      <c r="C345" s="165">
        <v>4600</v>
      </c>
      <c r="D345" s="228"/>
      <c r="E345" s="228"/>
      <c r="F345" s="228">
        <v>0</v>
      </c>
      <c r="G345" s="228">
        <v>0</v>
      </c>
      <c r="H345" s="228"/>
      <c r="I345" s="228"/>
      <c r="J345" s="228"/>
      <c r="K345" s="228"/>
      <c r="L345" s="228"/>
      <c r="M345" s="228"/>
      <c r="N345" s="228"/>
      <c r="O345" s="228"/>
      <c r="P345" s="228">
        <v>0</v>
      </c>
      <c r="Q345" s="228">
        <v>0</v>
      </c>
    </row>
    <row r="346" spans="1:17">
      <c r="C346" s="165">
        <v>5085</v>
      </c>
      <c r="D346" s="228"/>
      <c r="E346" s="228"/>
      <c r="F346" s="228">
        <v>0</v>
      </c>
      <c r="G346" s="228">
        <v>0</v>
      </c>
      <c r="H346" s="228"/>
      <c r="I346" s="228"/>
      <c r="J346" s="228"/>
      <c r="K346" s="228"/>
      <c r="L346" s="228"/>
      <c r="M346" s="228"/>
      <c r="N346" s="228"/>
      <c r="O346" s="228"/>
      <c r="P346" s="228">
        <v>0</v>
      </c>
      <c r="Q346" s="228">
        <v>0</v>
      </c>
    </row>
    <row r="347" spans="1:17">
      <c r="C347" s="165">
        <v>5170</v>
      </c>
      <c r="D347" s="228">
        <v>0</v>
      </c>
      <c r="E347" s="228">
        <v>0</v>
      </c>
      <c r="F347" s="228">
        <v>0</v>
      </c>
      <c r="G347" s="228">
        <v>0</v>
      </c>
      <c r="H347" s="228"/>
      <c r="I347" s="228"/>
      <c r="J347" s="228"/>
      <c r="K347" s="228"/>
      <c r="L347" s="228"/>
      <c r="M347" s="228"/>
      <c r="N347" s="228"/>
      <c r="O347" s="228"/>
      <c r="P347" s="228">
        <v>0</v>
      </c>
      <c r="Q347" s="228">
        <v>0</v>
      </c>
    </row>
    <row r="348" spans="1:17">
      <c r="C348" s="165">
        <v>5255</v>
      </c>
      <c r="D348" s="228"/>
      <c r="E348" s="228"/>
      <c r="F348" s="228"/>
      <c r="G348" s="228"/>
      <c r="H348" s="228">
        <v>10000</v>
      </c>
      <c r="I348" s="228">
        <v>52550000</v>
      </c>
      <c r="J348" s="228"/>
      <c r="K348" s="228"/>
      <c r="L348" s="228"/>
      <c r="M348" s="228"/>
      <c r="N348" s="228"/>
      <c r="O348" s="228"/>
      <c r="P348" s="228">
        <v>10000</v>
      </c>
      <c r="Q348" s="228">
        <v>52550000</v>
      </c>
    </row>
    <row r="349" spans="1:17">
      <c r="C349" s="165">
        <v>5340</v>
      </c>
      <c r="D349" s="228"/>
      <c r="E349" s="228"/>
      <c r="F349" s="228"/>
      <c r="G349" s="228"/>
      <c r="H349" s="228"/>
      <c r="I349" s="228"/>
      <c r="J349" s="228"/>
      <c r="K349" s="228"/>
      <c r="L349" s="228">
        <v>20000</v>
      </c>
      <c r="M349" s="228">
        <v>106800000</v>
      </c>
      <c r="N349" s="228"/>
      <c r="O349" s="228"/>
      <c r="P349" s="228">
        <v>20000</v>
      </c>
      <c r="Q349" s="228">
        <v>106800000</v>
      </c>
    </row>
    <row r="350" spans="1:17">
      <c r="C350" s="165">
        <v>5834</v>
      </c>
      <c r="D350" s="228"/>
      <c r="E350" s="228"/>
      <c r="F350" s="228"/>
      <c r="G350" s="228"/>
      <c r="H350" s="228"/>
      <c r="I350" s="228"/>
      <c r="J350" s="228">
        <v>3600</v>
      </c>
      <c r="K350" s="228">
        <v>21002400</v>
      </c>
      <c r="L350" s="228"/>
      <c r="M350" s="228"/>
      <c r="N350" s="228"/>
      <c r="O350" s="228"/>
      <c r="P350" s="228">
        <v>3600</v>
      </c>
      <c r="Q350" s="228">
        <v>21002400</v>
      </c>
    </row>
    <row r="351" spans="1:17">
      <c r="C351" s="165">
        <v>5876</v>
      </c>
      <c r="D351" s="228"/>
      <c r="E351" s="228"/>
      <c r="F351" s="228"/>
      <c r="G351" s="228"/>
      <c r="H351" s="228">
        <v>5000</v>
      </c>
      <c r="I351" s="228">
        <v>29380000</v>
      </c>
      <c r="J351" s="228"/>
      <c r="K351" s="228"/>
      <c r="L351" s="228"/>
      <c r="M351" s="228"/>
      <c r="N351" s="228"/>
      <c r="O351" s="228"/>
      <c r="P351" s="228">
        <v>5000</v>
      </c>
      <c r="Q351" s="228">
        <v>29380000</v>
      </c>
    </row>
    <row r="352" spans="1:17">
      <c r="B352" s="165" t="s">
        <v>2060</v>
      </c>
      <c r="C352" s="165">
        <v>7200</v>
      </c>
      <c r="D352" s="228"/>
      <c r="E352" s="228"/>
      <c r="F352" s="228"/>
      <c r="G352" s="228"/>
      <c r="H352" s="228"/>
      <c r="I352" s="228"/>
      <c r="J352" s="228"/>
      <c r="K352" s="228"/>
      <c r="L352" s="228">
        <v>20100</v>
      </c>
      <c r="M352" s="228">
        <v>144720000</v>
      </c>
      <c r="N352" s="228"/>
      <c r="O352" s="228"/>
      <c r="P352" s="228">
        <v>20100</v>
      </c>
      <c r="Q352" s="228">
        <v>144720000</v>
      </c>
    </row>
    <row r="353" spans="2:17">
      <c r="B353" s="165" t="s">
        <v>2011</v>
      </c>
      <c r="C353" s="165">
        <v>10500</v>
      </c>
      <c r="D353" s="228"/>
      <c r="E353" s="228"/>
      <c r="F353" s="228"/>
      <c r="G353" s="228"/>
      <c r="H353" s="228"/>
      <c r="I353" s="228"/>
      <c r="J353" s="228"/>
      <c r="K353" s="228"/>
      <c r="L353" s="228">
        <v>3000</v>
      </c>
      <c r="M353" s="228">
        <v>31500000</v>
      </c>
      <c r="N353" s="228"/>
      <c r="O353" s="228"/>
      <c r="P353" s="228">
        <v>3000</v>
      </c>
      <c r="Q353" s="228">
        <v>31500000</v>
      </c>
    </row>
    <row r="354" spans="2:17">
      <c r="B354" s="165" t="s">
        <v>2090</v>
      </c>
      <c r="C354" s="165">
        <v>5500</v>
      </c>
      <c r="D354" s="228"/>
      <c r="E354" s="228"/>
      <c r="F354" s="228">
        <v>0</v>
      </c>
      <c r="G354" s="228">
        <v>0</v>
      </c>
      <c r="H354" s="228"/>
      <c r="I354" s="228"/>
      <c r="J354" s="228"/>
      <c r="K354" s="228"/>
      <c r="L354" s="228"/>
      <c r="M354" s="228"/>
      <c r="N354" s="228"/>
      <c r="O354" s="228"/>
      <c r="P354" s="228">
        <v>0</v>
      </c>
      <c r="Q354" s="228">
        <v>0</v>
      </c>
    </row>
    <row r="355" spans="2:17">
      <c r="C355" s="165">
        <v>5670</v>
      </c>
      <c r="D355" s="228"/>
      <c r="E355" s="228"/>
      <c r="F355" s="228"/>
      <c r="G355" s="228"/>
      <c r="H355" s="228">
        <v>10000</v>
      </c>
      <c r="I355" s="228">
        <v>56700000</v>
      </c>
      <c r="J355" s="228"/>
      <c r="K355" s="228"/>
      <c r="L355" s="228"/>
      <c r="M355" s="228"/>
      <c r="N355" s="228"/>
      <c r="O355" s="228"/>
      <c r="P355" s="228">
        <v>10000</v>
      </c>
      <c r="Q355" s="228">
        <v>56700000</v>
      </c>
    </row>
    <row r="356" spans="2:17">
      <c r="C356" s="165">
        <v>5925</v>
      </c>
      <c r="D356" s="228"/>
      <c r="E356" s="228"/>
      <c r="F356" s="228"/>
      <c r="G356" s="228"/>
      <c r="H356" s="228"/>
      <c r="I356" s="228"/>
      <c r="J356" s="228"/>
      <c r="K356" s="228"/>
      <c r="L356" s="228">
        <v>30000</v>
      </c>
      <c r="M356" s="228">
        <v>177750000</v>
      </c>
      <c r="N356" s="228"/>
      <c r="O356" s="228"/>
      <c r="P356" s="228">
        <v>30000</v>
      </c>
      <c r="Q356" s="228">
        <v>177750000</v>
      </c>
    </row>
    <row r="357" spans="2:17">
      <c r="B357" s="165" t="s">
        <v>2132</v>
      </c>
      <c r="C357" s="165">
        <v>6500</v>
      </c>
      <c r="D357" s="228"/>
      <c r="E357" s="228"/>
      <c r="F357" s="228">
        <v>0</v>
      </c>
      <c r="G357" s="228">
        <v>0</v>
      </c>
      <c r="H357" s="228"/>
      <c r="I357" s="228"/>
      <c r="J357" s="228"/>
      <c r="K357" s="228"/>
      <c r="L357" s="228"/>
      <c r="M357" s="228"/>
      <c r="N357" s="228"/>
      <c r="O357" s="228"/>
      <c r="P357" s="228">
        <v>0</v>
      </c>
      <c r="Q357" s="228">
        <v>0</v>
      </c>
    </row>
    <row r="358" spans="2:17">
      <c r="C358" s="165">
        <v>6700</v>
      </c>
      <c r="D358" s="228"/>
      <c r="E358" s="228"/>
      <c r="F358" s="228">
        <v>0</v>
      </c>
      <c r="G358" s="228">
        <v>0</v>
      </c>
      <c r="H358" s="228"/>
      <c r="I358" s="228"/>
      <c r="J358" s="228"/>
      <c r="K358" s="228"/>
      <c r="L358" s="228"/>
      <c r="M358" s="228"/>
      <c r="N358" s="228"/>
      <c r="O358" s="228"/>
      <c r="P358" s="228">
        <v>0</v>
      </c>
      <c r="Q358" s="228">
        <v>0</v>
      </c>
    </row>
    <row r="359" spans="2:17">
      <c r="B359" s="165" t="s">
        <v>1872</v>
      </c>
      <c r="C359" s="165">
        <v>6300</v>
      </c>
      <c r="D359" s="228"/>
      <c r="E359" s="228"/>
      <c r="F359" s="228">
        <v>0</v>
      </c>
      <c r="G359" s="228">
        <v>0</v>
      </c>
      <c r="H359" s="228"/>
      <c r="I359" s="228"/>
      <c r="J359" s="228"/>
      <c r="K359" s="228"/>
      <c r="L359" s="228"/>
      <c r="M359" s="228"/>
      <c r="N359" s="228"/>
      <c r="O359" s="228"/>
      <c r="P359" s="228">
        <v>0</v>
      </c>
      <c r="Q359" s="228">
        <v>0</v>
      </c>
    </row>
    <row r="360" spans="2:17">
      <c r="C360" s="165">
        <v>6528</v>
      </c>
      <c r="D360" s="228"/>
      <c r="E360" s="228"/>
      <c r="F360" s="228">
        <v>0</v>
      </c>
      <c r="G360" s="228">
        <v>0</v>
      </c>
      <c r="H360" s="228"/>
      <c r="I360" s="228"/>
      <c r="J360" s="228"/>
      <c r="K360" s="228"/>
      <c r="L360" s="228"/>
      <c r="M360" s="228"/>
      <c r="N360" s="228"/>
      <c r="O360" s="228"/>
      <c r="P360" s="228">
        <v>0</v>
      </c>
      <c r="Q360" s="228">
        <v>0</v>
      </c>
    </row>
    <row r="361" spans="2:17">
      <c r="C361" s="165">
        <v>6600</v>
      </c>
      <c r="D361" s="228"/>
      <c r="E361" s="228"/>
      <c r="F361" s="228"/>
      <c r="G361" s="228"/>
      <c r="H361" s="228">
        <v>10050</v>
      </c>
      <c r="I361" s="228">
        <v>66330000</v>
      </c>
      <c r="J361" s="228"/>
      <c r="K361" s="228"/>
      <c r="L361" s="228"/>
      <c r="M361" s="228"/>
      <c r="N361" s="228"/>
      <c r="O361" s="228"/>
      <c r="P361" s="228">
        <v>10050</v>
      </c>
      <c r="Q361" s="228">
        <v>66330000</v>
      </c>
    </row>
    <row r="362" spans="2:17">
      <c r="C362" s="165">
        <v>6700</v>
      </c>
      <c r="D362" s="228"/>
      <c r="E362" s="228"/>
      <c r="F362" s="228"/>
      <c r="G362" s="228"/>
      <c r="H362" s="228"/>
      <c r="I362" s="228"/>
      <c r="J362" s="228"/>
      <c r="K362" s="228"/>
      <c r="L362" s="228">
        <v>20100</v>
      </c>
      <c r="M362" s="228">
        <v>134670000</v>
      </c>
      <c r="N362" s="228"/>
      <c r="O362" s="228"/>
      <c r="P362" s="228">
        <v>20100</v>
      </c>
      <c r="Q362" s="228">
        <v>134670000</v>
      </c>
    </row>
    <row r="363" spans="2:17">
      <c r="C363" s="165">
        <v>6800</v>
      </c>
      <c r="D363" s="228"/>
      <c r="E363" s="228"/>
      <c r="F363" s="228"/>
      <c r="G363" s="228"/>
      <c r="H363" s="228"/>
      <c r="I363" s="228"/>
      <c r="J363" s="228"/>
      <c r="K363" s="228"/>
      <c r="L363" s="228">
        <v>30000</v>
      </c>
      <c r="M363" s="228">
        <v>204000000</v>
      </c>
      <c r="N363" s="228"/>
      <c r="O363" s="228"/>
      <c r="P363" s="228">
        <v>30000</v>
      </c>
      <c r="Q363" s="228">
        <v>204000000</v>
      </c>
    </row>
    <row r="364" spans="2:17">
      <c r="C364" s="165">
        <v>8000</v>
      </c>
      <c r="D364" s="228"/>
      <c r="E364" s="228"/>
      <c r="F364" s="228"/>
      <c r="G364" s="228"/>
      <c r="H364" s="228"/>
      <c r="I364" s="228"/>
      <c r="J364" s="228">
        <v>10050</v>
      </c>
      <c r="K364" s="228">
        <v>80400000</v>
      </c>
      <c r="L364" s="228"/>
      <c r="M364" s="228"/>
      <c r="N364" s="228"/>
      <c r="O364" s="228"/>
      <c r="P364" s="228">
        <v>10050</v>
      </c>
      <c r="Q364" s="228">
        <v>80400000</v>
      </c>
    </row>
    <row r="365" spans="2:17">
      <c r="C365" s="165">
        <v>6613</v>
      </c>
      <c r="D365" s="228"/>
      <c r="E365" s="228"/>
      <c r="F365" s="228">
        <v>0</v>
      </c>
      <c r="G365" s="228">
        <v>0</v>
      </c>
      <c r="H365" s="228"/>
      <c r="I365" s="228"/>
      <c r="J365" s="228"/>
      <c r="K365" s="228"/>
      <c r="L365" s="228"/>
      <c r="M365" s="228"/>
      <c r="N365" s="228"/>
      <c r="O365" s="228"/>
      <c r="P365" s="228">
        <v>0</v>
      </c>
      <c r="Q365" s="228">
        <v>0</v>
      </c>
    </row>
    <row r="366" spans="2:17">
      <c r="B366" s="165" t="s">
        <v>2015</v>
      </c>
      <c r="C366" s="165">
        <v>10500</v>
      </c>
      <c r="D366" s="228"/>
      <c r="E366" s="228"/>
      <c r="F366" s="228"/>
      <c r="G366" s="228"/>
      <c r="H366" s="228"/>
      <c r="I366" s="228"/>
      <c r="J366" s="228"/>
      <c r="K366" s="228"/>
      <c r="L366" s="228">
        <v>10000</v>
      </c>
      <c r="M366" s="228">
        <v>105000000</v>
      </c>
      <c r="N366" s="228"/>
      <c r="O366" s="228"/>
      <c r="P366" s="228">
        <v>10000</v>
      </c>
      <c r="Q366" s="228">
        <v>105000000</v>
      </c>
    </row>
    <row r="367" spans="2:17">
      <c r="B367" s="165" t="s">
        <v>2171</v>
      </c>
      <c r="C367" s="165">
        <v>5500</v>
      </c>
      <c r="D367" s="228"/>
      <c r="E367" s="228"/>
      <c r="F367" s="228">
        <v>0</v>
      </c>
      <c r="G367" s="228">
        <v>0</v>
      </c>
      <c r="H367" s="228"/>
      <c r="I367" s="228"/>
      <c r="J367" s="228"/>
      <c r="K367" s="228"/>
      <c r="L367" s="228"/>
      <c r="M367" s="228"/>
      <c r="N367" s="228"/>
      <c r="O367" s="228"/>
      <c r="P367" s="228">
        <v>0</v>
      </c>
      <c r="Q367" s="228">
        <v>0</v>
      </c>
    </row>
    <row r="368" spans="2:17">
      <c r="C368" s="165">
        <v>5755</v>
      </c>
      <c r="D368" s="228"/>
      <c r="E368" s="228"/>
      <c r="F368" s="228"/>
      <c r="G368" s="228"/>
      <c r="H368" s="228">
        <v>10000</v>
      </c>
      <c r="I368" s="228">
        <v>57550000</v>
      </c>
      <c r="J368" s="228"/>
      <c r="K368" s="228"/>
      <c r="L368" s="228"/>
      <c r="M368" s="228"/>
      <c r="N368" s="228"/>
      <c r="O368" s="228"/>
      <c r="P368" s="228">
        <v>10000</v>
      </c>
      <c r="Q368" s="228">
        <v>57550000</v>
      </c>
    </row>
    <row r="369" spans="1:17">
      <c r="C369" s="165">
        <v>5770</v>
      </c>
      <c r="D369" s="228"/>
      <c r="E369" s="228"/>
      <c r="F369" s="228"/>
      <c r="G369" s="228"/>
      <c r="H369" s="228">
        <v>10000</v>
      </c>
      <c r="I369" s="228">
        <v>57700000</v>
      </c>
      <c r="J369" s="228"/>
      <c r="K369" s="228"/>
      <c r="L369" s="228"/>
      <c r="M369" s="228"/>
      <c r="N369" s="228"/>
      <c r="O369" s="228"/>
      <c r="P369" s="228">
        <v>10000</v>
      </c>
      <c r="Q369" s="228">
        <v>57700000</v>
      </c>
    </row>
    <row r="370" spans="1:17">
      <c r="C370" s="165">
        <v>5840</v>
      </c>
      <c r="D370" s="228"/>
      <c r="E370" s="228"/>
      <c r="F370" s="228"/>
      <c r="G370" s="228"/>
      <c r="H370" s="228"/>
      <c r="I370" s="228"/>
      <c r="J370" s="228"/>
      <c r="K370" s="228"/>
      <c r="L370" s="228">
        <v>10000</v>
      </c>
      <c r="M370" s="228">
        <v>58400000</v>
      </c>
      <c r="N370" s="228"/>
      <c r="O370" s="228"/>
      <c r="P370" s="228">
        <v>10000</v>
      </c>
      <c r="Q370" s="228">
        <v>58400000</v>
      </c>
    </row>
    <row r="371" spans="1:17">
      <c r="C371" s="165">
        <v>6010</v>
      </c>
      <c r="D371" s="228"/>
      <c r="E371" s="228"/>
      <c r="F371" s="228"/>
      <c r="G371" s="228"/>
      <c r="H371" s="228"/>
      <c r="I371" s="228"/>
      <c r="J371" s="228"/>
      <c r="K371" s="228"/>
      <c r="L371" s="228">
        <v>10000</v>
      </c>
      <c r="M371" s="228">
        <v>60100000</v>
      </c>
      <c r="N371" s="228"/>
      <c r="O371" s="228"/>
      <c r="P371" s="228">
        <v>10000</v>
      </c>
      <c r="Q371" s="228">
        <v>60100000</v>
      </c>
    </row>
    <row r="372" spans="1:17">
      <c r="B372" s="165" t="s">
        <v>2019</v>
      </c>
      <c r="C372" s="165">
        <v>9100</v>
      </c>
      <c r="D372" s="228"/>
      <c r="E372" s="228"/>
      <c r="F372" s="228"/>
      <c r="G372" s="228"/>
      <c r="H372" s="228"/>
      <c r="I372" s="228"/>
      <c r="J372" s="228"/>
      <c r="K372" s="228"/>
      <c r="L372" s="228">
        <v>5100</v>
      </c>
      <c r="M372" s="228">
        <v>46410000</v>
      </c>
      <c r="N372" s="228"/>
      <c r="O372" s="228"/>
      <c r="P372" s="228">
        <v>5100</v>
      </c>
      <c r="Q372" s="228">
        <v>46410000</v>
      </c>
    </row>
    <row r="373" spans="1:17">
      <c r="A373" s="165" t="s">
        <v>2229</v>
      </c>
      <c r="B373" s="165"/>
      <c r="C373" s="165"/>
      <c r="D373" s="228">
        <v>0</v>
      </c>
      <c r="E373" s="228">
        <v>0</v>
      </c>
      <c r="F373" s="228">
        <v>0</v>
      </c>
      <c r="G373" s="228">
        <v>0</v>
      </c>
      <c r="H373" s="228">
        <v>55050</v>
      </c>
      <c r="I373" s="228">
        <v>320210000</v>
      </c>
      <c r="J373" s="228">
        <v>13650</v>
      </c>
      <c r="K373" s="228">
        <v>101402400</v>
      </c>
      <c r="L373" s="228">
        <v>158300</v>
      </c>
      <c r="M373" s="228">
        <v>1069350000</v>
      </c>
      <c r="N373" s="228"/>
      <c r="O373" s="228"/>
      <c r="P373" s="228">
        <v>227000</v>
      </c>
      <c r="Q373" s="228">
        <v>1490962400</v>
      </c>
    </row>
    <row r="374" spans="1:17">
      <c r="A374" s="165" t="s">
        <v>994</v>
      </c>
      <c r="B374" s="165" t="s">
        <v>2060</v>
      </c>
      <c r="C374" s="165">
        <v>8000</v>
      </c>
      <c r="D374" s="228"/>
      <c r="E374" s="228"/>
      <c r="F374" s="228"/>
      <c r="G374" s="228"/>
      <c r="H374" s="228"/>
      <c r="I374" s="228"/>
      <c r="J374" s="228"/>
      <c r="K374" s="228"/>
      <c r="L374" s="228">
        <v>60000</v>
      </c>
      <c r="M374" s="228">
        <v>480000000</v>
      </c>
      <c r="N374" s="228"/>
      <c r="O374" s="228"/>
      <c r="P374" s="228">
        <v>60000</v>
      </c>
      <c r="Q374" s="228">
        <v>480000000</v>
      </c>
    </row>
    <row r="375" spans="1:17">
      <c r="B375" s="165" t="s">
        <v>2009</v>
      </c>
      <c r="C375" s="165">
        <v>5000</v>
      </c>
      <c r="D375" s="228"/>
      <c r="E375" s="228"/>
      <c r="F375" s="228">
        <v>0</v>
      </c>
      <c r="G375" s="228">
        <v>0</v>
      </c>
      <c r="H375" s="228"/>
      <c r="I375" s="228"/>
      <c r="J375" s="228"/>
      <c r="K375" s="228"/>
      <c r="L375" s="228"/>
      <c r="M375" s="228"/>
      <c r="N375" s="228"/>
      <c r="O375" s="228"/>
      <c r="P375" s="228">
        <v>0</v>
      </c>
      <c r="Q375" s="228">
        <v>0</v>
      </c>
    </row>
    <row r="376" spans="1:17">
      <c r="B376" s="165" t="s">
        <v>2015</v>
      </c>
      <c r="C376" s="165">
        <v>10500</v>
      </c>
      <c r="D376" s="228"/>
      <c r="E376" s="228"/>
      <c r="F376" s="228"/>
      <c r="G376" s="228"/>
      <c r="H376" s="228"/>
      <c r="I376" s="228"/>
      <c r="J376" s="228"/>
      <c r="K376" s="228"/>
      <c r="L376" s="228">
        <v>30000</v>
      </c>
      <c r="M376" s="228">
        <v>315000000</v>
      </c>
      <c r="N376" s="228"/>
      <c r="O376" s="228"/>
      <c r="P376" s="228">
        <v>30000</v>
      </c>
      <c r="Q376" s="228">
        <v>315000000</v>
      </c>
    </row>
    <row r="377" spans="1:17">
      <c r="A377" s="165" t="s">
        <v>2230</v>
      </c>
      <c r="B377" s="165"/>
      <c r="C377" s="165"/>
      <c r="D377" s="228"/>
      <c r="E377" s="228"/>
      <c r="F377" s="228">
        <v>0</v>
      </c>
      <c r="G377" s="228">
        <v>0</v>
      </c>
      <c r="H377" s="228"/>
      <c r="I377" s="228"/>
      <c r="J377" s="228"/>
      <c r="K377" s="228"/>
      <c r="L377" s="228">
        <v>90000</v>
      </c>
      <c r="M377" s="228">
        <v>795000000</v>
      </c>
      <c r="N377" s="228"/>
      <c r="O377" s="228"/>
      <c r="P377" s="228">
        <v>90000</v>
      </c>
      <c r="Q377" s="228">
        <v>795000000</v>
      </c>
    </row>
    <row r="378" spans="1:17">
      <c r="A378" s="165" t="s">
        <v>285</v>
      </c>
      <c r="B378" s="165" t="s">
        <v>2008</v>
      </c>
      <c r="C378" s="165">
        <v>4700</v>
      </c>
      <c r="D378" s="228"/>
      <c r="E378" s="228"/>
      <c r="F378" s="228">
        <v>0</v>
      </c>
      <c r="G378" s="228">
        <v>0</v>
      </c>
      <c r="H378" s="228"/>
      <c r="I378" s="228"/>
      <c r="J378" s="228"/>
      <c r="K378" s="228"/>
      <c r="L378" s="228"/>
      <c r="M378" s="228"/>
      <c r="N378" s="228"/>
      <c r="O378" s="228"/>
      <c r="P378" s="228">
        <v>0</v>
      </c>
      <c r="Q378" s="228">
        <v>0</v>
      </c>
    </row>
    <row r="379" spans="1:17">
      <c r="B379" s="165" t="s">
        <v>2060</v>
      </c>
      <c r="C379" s="165">
        <v>7200</v>
      </c>
      <c r="D379" s="228"/>
      <c r="E379" s="228"/>
      <c r="F379" s="228"/>
      <c r="G379" s="228"/>
      <c r="H379" s="228"/>
      <c r="I379" s="228"/>
      <c r="J379" s="228"/>
      <c r="K379" s="228"/>
      <c r="L379" s="228">
        <v>31200</v>
      </c>
      <c r="M379" s="228">
        <v>224640000</v>
      </c>
      <c r="N379" s="228"/>
      <c r="O379" s="228"/>
      <c r="P379" s="228">
        <v>31200</v>
      </c>
      <c r="Q379" s="228">
        <v>224640000</v>
      </c>
    </row>
    <row r="380" spans="1:17">
      <c r="C380" s="165">
        <v>7500</v>
      </c>
      <c r="D380" s="228"/>
      <c r="E380" s="228"/>
      <c r="F380" s="228"/>
      <c r="G380" s="228"/>
      <c r="H380" s="228"/>
      <c r="I380" s="228"/>
      <c r="J380" s="228"/>
      <c r="K380" s="228"/>
      <c r="L380" s="228">
        <v>6000</v>
      </c>
      <c r="M380" s="228">
        <v>45000000</v>
      </c>
      <c r="N380" s="228"/>
      <c r="O380" s="228"/>
      <c r="P380" s="228">
        <v>6000</v>
      </c>
      <c r="Q380" s="228">
        <v>45000000</v>
      </c>
    </row>
    <row r="381" spans="1:17">
      <c r="B381" s="165" t="s">
        <v>2067</v>
      </c>
      <c r="C381" s="165">
        <v>5300</v>
      </c>
      <c r="D381" s="228"/>
      <c r="E381" s="228"/>
      <c r="F381" s="228">
        <v>0</v>
      </c>
      <c r="G381" s="228">
        <v>0</v>
      </c>
      <c r="H381" s="228"/>
      <c r="I381" s="228"/>
      <c r="J381" s="228"/>
      <c r="K381" s="228"/>
      <c r="L381" s="228"/>
      <c r="M381" s="228"/>
      <c r="N381" s="228"/>
      <c r="O381" s="228"/>
      <c r="P381" s="228">
        <v>0</v>
      </c>
      <c r="Q381" s="228">
        <v>0</v>
      </c>
    </row>
    <row r="382" spans="1:17">
      <c r="B382" s="165" t="s">
        <v>2070</v>
      </c>
      <c r="C382" s="165">
        <v>6600</v>
      </c>
      <c r="D382" s="228"/>
      <c r="E382" s="228"/>
      <c r="F382" s="228"/>
      <c r="G382" s="228"/>
      <c r="H382" s="228">
        <v>2800</v>
      </c>
      <c r="I382" s="228">
        <v>18480000</v>
      </c>
      <c r="J382" s="228"/>
      <c r="K382" s="228"/>
      <c r="L382" s="228"/>
      <c r="M382" s="228"/>
      <c r="N382" s="228"/>
      <c r="O382" s="228"/>
      <c r="P382" s="228">
        <v>2800</v>
      </c>
      <c r="Q382" s="228">
        <v>18480000</v>
      </c>
    </row>
    <row r="383" spans="1:17">
      <c r="B383" s="165" t="s">
        <v>2079</v>
      </c>
      <c r="C383" s="165">
        <v>3500</v>
      </c>
      <c r="D383" s="228"/>
      <c r="E383" s="228"/>
      <c r="F383" s="228">
        <v>0</v>
      </c>
      <c r="G383" s="228">
        <v>0</v>
      </c>
      <c r="H383" s="228"/>
      <c r="I383" s="228"/>
      <c r="J383" s="228"/>
      <c r="K383" s="228"/>
      <c r="L383" s="228"/>
      <c r="M383" s="228"/>
      <c r="N383" s="228"/>
      <c r="O383" s="228"/>
      <c r="P383" s="228">
        <v>0</v>
      </c>
      <c r="Q383" s="228">
        <v>0</v>
      </c>
    </row>
    <row r="384" spans="1:17">
      <c r="B384" s="165" t="s">
        <v>2103</v>
      </c>
      <c r="C384" s="165">
        <v>3800</v>
      </c>
      <c r="D384" s="228"/>
      <c r="E384" s="228"/>
      <c r="F384" s="228"/>
      <c r="G384" s="228"/>
      <c r="H384" s="228"/>
      <c r="I384" s="228"/>
      <c r="J384" s="228">
        <v>2100</v>
      </c>
      <c r="K384" s="228">
        <v>7980000</v>
      </c>
      <c r="L384" s="228"/>
      <c r="M384" s="228"/>
      <c r="N384" s="228"/>
      <c r="O384" s="228"/>
      <c r="P384" s="228">
        <v>2100</v>
      </c>
      <c r="Q384" s="228">
        <v>7980000</v>
      </c>
    </row>
    <row r="385" spans="1:17">
      <c r="B385" s="165" t="s">
        <v>2016</v>
      </c>
      <c r="C385" s="165">
        <v>13500</v>
      </c>
      <c r="D385" s="228"/>
      <c r="E385" s="228"/>
      <c r="F385" s="228"/>
      <c r="G385" s="228"/>
      <c r="H385" s="228"/>
      <c r="I385" s="228"/>
      <c r="J385" s="228"/>
      <c r="K385" s="228"/>
      <c r="L385" s="228">
        <v>10000</v>
      </c>
      <c r="M385" s="228">
        <v>135000000</v>
      </c>
      <c r="N385" s="228"/>
      <c r="O385" s="228"/>
      <c r="P385" s="228">
        <v>10000</v>
      </c>
      <c r="Q385" s="228">
        <v>135000000</v>
      </c>
    </row>
    <row r="386" spans="1:17">
      <c r="B386" s="165" t="s">
        <v>2130</v>
      </c>
      <c r="C386" s="165">
        <v>4800</v>
      </c>
      <c r="D386" s="228"/>
      <c r="E386" s="228"/>
      <c r="F386" s="228">
        <v>0</v>
      </c>
      <c r="G386" s="228">
        <v>0</v>
      </c>
      <c r="H386" s="228"/>
      <c r="I386" s="228"/>
      <c r="J386" s="228"/>
      <c r="K386" s="228"/>
      <c r="L386" s="228"/>
      <c r="M386" s="228"/>
      <c r="N386" s="228"/>
      <c r="O386" s="228"/>
      <c r="P386" s="228">
        <v>0</v>
      </c>
      <c r="Q386" s="228">
        <v>0</v>
      </c>
    </row>
    <row r="387" spans="1:17">
      <c r="B387" s="165" t="s">
        <v>2140</v>
      </c>
      <c r="C387" s="165">
        <v>3800</v>
      </c>
      <c r="D387" s="228"/>
      <c r="E387" s="228"/>
      <c r="F387" s="228"/>
      <c r="G387" s="228"/>
      <c r="H387" s="228"/>
      <c r="I387" s="228"/>
      <c r="J387" s="228"/>
      <c r="K387" s="228"/>
      <c r="L387" s="228">
        <v>10200</v>
      </c>
      <c r="M387" s="228">
        <v>38760000</v>
      </c>
      <c r="N387" s="228"/>
      <c r="O387" s="228"/>
      <c r="P387" s="228">
        <v>10200</v>
      </c>
      <c r="Q387" s="228">
        <v>38760000</v>
      </c>
    </row>
    <row r="388" spans="1:17">
      <c r="B388" s="165" t="s">
        <v>2015</v>
      </c>
      <c r="C388" s="165">
        <v>10500</v>
      </c>
      <c r="D388" s="228"/>
      <c r="E388" s="228"/>
      <c r="F388" s="228"/>
      <c r="G388" s="228"/>
      <c r="H388" s="228"/>
      <c r="I388" s="228"/>
      <c r="J388" s="228"/>
      <c r="K388" s="228"/>
      <c r="L388" s="228">
        <v>20000</v>
      </c>
      <c r="M388" s="228">
        <v>210000000</v>
      </c>
      <c r="N388" s="228"/>
      <c r="O388" s="228"/>
      <c r="P388" s="228">
        <v>20000</v>
      </c>
      <c r="Q388" s="228">
        <v>210000000</v>
      </c>
    </row>
    <row r="389" spans="1:17">
      <c r="B389" s="165" t="s">
        <v>2157</v>
      </c>
      <c r="C389" s="165">
        <v>7300</v>
      </c>
      <c r="D389" s="228"/>
      <c r="E389" s="228"/>
      <c r="F389" s="228">
        <v>0</v>
      </c>
      <c r="G389" s="228">
        <v>0</v>
      </c>
      <c r="H389" s="228"/>
      <c r="I389" s="228"/>
      <c r="J389" s="228"/>
      <c r="K389" s="228"/>
      <c r="L389" s="228"/>
      <c r="M389" s="228"/>
      <c r="N389" s="228"/>
      <c r="O389" s="228"/>
      <c r="P389" s="228">
        <v>0</v>
      </c>
      <c r="Q389" s="228">
        <v>0</v>
      </c>
    </row>
    <row r="390" spans="1:17">
      <c r="B390" s="165" t="s">
        <v>2169</v>
      </c>
      <c r="C390" s="165">
        <v>4600</v>
      </c>
      <c r="D390" s="228"/>
      <c r="E390" s="228"/>
      <c r="F390" s="228">
        <v>0</v>
      </c>
      <c r="G390" s="228">
        <v>0</v>
      </c>
      <c r="H390" s="228"/>
      <c r="I390" s="228"/>
      <c r="J390" s="228"/>
      <c r="K390" s="228"/>
      <c r="L390" s="228"/>
      <c r="M390" s="228"/>
      <c r="N390" s="228"/>
      <c r="O390" s="228"/>
      <c r="P390" s="228">
        <v>0</v>
      </c>
      <c r="Q390" s="228">
        <v>0</v>
      </c>
    </row>
    <row r="391" spans="1:17">
      <c r="C391" s="165">
        <v>4900</v>
      </c>
      <c r="D391" s="228"/>
      <c r="E391" s="228"/>
      <c r="F391" s="228"/>
      <c r="G391" s="228"/>
      <c r="H391" s="228">
        <v>9900</v>
      </c>
      <c r="I391" s="228">
        <v>48510000</v>
      </c>
      <c r="J391" s="228"/>
      <c r="K391" s="228"/>
      <c r="L391" s="228"/>
      <c r="M391" s="228"/>
      <c r="N391" s="228"/>
      <c r="O391" s="228"/>
      <c r="P391" s="228">
        <v>9900</v>
      </c>
      <c r="Q391" s="228">
        <v>48510000</v>
      </c>
    </row>
    <row r="392" spans="1:17">
      <c r="B392" s="165" t="s">
        <v>2186</v>
      </c>
      <c r="C392" s="165">
        <v>2800</v>
      </c>
      <c r="D392" s="228"/>
      <c r="E392" s="228"/>
      <c r="F392" s="228">
        <v>0</v>
      </c>
      <c r="G392" s="228">
        <v>0</v>
      </c>
      <c r="H392" s="228">
        <v>20000</v>
      </c>
      <c r="I392" s="228">
        <v>56000000</v>
      </c>
      <c r="J392" s="228"/>
      <c r="K392" s="228"/>
      <c r="L392" s="228"/>
      <c r="M392" s="228"/>
      <c r="N392" s="228"/>
      <c r="O392" s="228"/>
      <c r="P392" s="228">
        <v>20000</v>
      </c>
      <c r="Q392" s="228">
        <v>56000000</v>
      </c>
    </row>
    <row r="393" spans="1:17">
      <c r="C393" s="165">
        <v>2900</v>
      </c>
      <c r="D393" s="228"/>
      <c r="E393" s="228"/>
      <c r="F393" s="228"/>
      <c r="G393" s="228"/>
      <c r="H393" s="228"/>
      <c r="I393" s="228"/>
      <c r="J393" s="228"/>
      <c r="K393" s="228"/>
      <c r="L393" s="228">
        <v>20000</v>
      </c>
      <c r="M393" s="228">
        <v>58000000</v>
      </c>
      <c r="N393" s="228"/>
      <c r="O393" s="228"/>
      <c r="P393" s="228">
        <v>20000</v>
      </c>
      <c r="Q393" s="228">
        <v>58000000</v>
      </c>
    </row>
    <row r="394" spans="1:17">
      <c r="B394" s="165" t="s">
        <v>2188</v>
      </c>
      <c r="C394" s="165">
        <v>3800</v>
      </c>
      <c r="D394" s="228"/>
      <c r="E394" s="228"/>
      <c r="F394" s="228">
        <v>0</v>
      </c>
      <c r="G394" s="228">
        <v>0</v>
      </c>
      <c r="H394" s="228"/>
      <c r="I394" s="228"/>
      <c r="J394" s="228"/>
      <c r="K394" s="228"/>
      <c r="L394" s="228"/>
      <c r="M394" s="228"/>
      <c r="N394" s="228"/>
      <c r="O394" s="228"/>
      <c r="P394" s="228">
        <v>0</v>
      </c>
      <c r="Q394" s="228">
        <v>0</v>
      </c>
    </row>
    <row r="395" spans="1:17">
      <c r="C395" s="165">
        <v>4000</v>
      </c>
      <c r="D395" s="228"/>
      <c r="E395" s="228"/>
      <c r="F395" s="228"/>
      <c r="G395" s="228"/>
      <c r="H395" s="228"/>
      <c r="I395" s="228"/>
      <c r="J395" s="228"/>
      <c r="K395" s="228"/>
      <c r="L395" s="228">
        <v>10200</v>
      </c>
      <c r="M395" s="228">
        <v>40800000</v>
      </c>
      <c r="N395" s="228"/>
      <c r="O395" s="228"/>
      <c r="P395" s="228">
        <v>10200</v>
      </c>
      <c r="Q395" s="228">
        <v>40800000</v>
      </c>
    </row>
    <row r="396" spans="1:17">
      <c r="B396" s="165" t="s">
        <v>2194</v>
      </c>
      <c r="C396" s="165">
        <v>6000</v>
      </c>
      <c r="D396" s="228"/>
      <c r="E396" s="228"/>
      <c r="F396" s="228">
        <v>0</v>
      </c>
      <c r="G396" s="228">
        <v>0</v>
      </c>
      <c r="H396" s="228"/>
      <c r="I396" s="228"/>
      <c r="J396" s="228"/>
      <c r="K396" s="228"/>
      <c r="L396" s="228"/>
      <c r="M396" s="228"/>
      <c r="N396" s="228"/>
      <c r="O396" s="228"/>
      <c r="P396" s="228">
        <v>0</v>
      </c>
      <c r="Q396" s="228">
        <v>0</v>
      </c>
    </row>
    <row r="397" spans="1:17">
      <c r="B397" s="165" t="s">
        <v>2195</v>
      </c>
      <c r="C397" s="165">
        <v>6300</v>
      </c>
      <c r="D397" s="228"/>
      <c r="E397" s="228"/>
      <c r="F397" s="228">
        <v>0</v>
      </c>
      <c r="G397" s="228">
        <v>0</v>
      </c>
      <c r="H397" s="228"/>
      <c r="I397" s="228"/>
      <c r="J397" s="228"/>
      <c r="K397" s="228"/>
      <c r="L397" s="228"/>
      <c r="M397" s="228"/>
      <c r="N397" s="228"/>
      <c r="O397" s="228"/>
      <c r="P397" s="228">
        <v>0</v>
      </c>
      <c r="Q397" s="228">
        <v>0</v>
      </c>
    </row>
    <row r="398" spans="1:17">
      <c r="B398" s="165" t="s">
        <v>2196</v>
      </c>
      <c r="C398" s="165">
        <v>7200</v>
      </c>
      <c r="D398" s="228"/>
      <c r="E398" s="228"/>
      <c r="F398" s="228">
        <v>0</v>
      </c>
      <c r="G398" s="228">
        <v>0</v>
      </c>
      <c r="H398" s="228"/>
      <c r="I398" s="228"/>
      <c r="J398" s="228"/>
      <c r="K398" s="228"/>
      <c r="L398" s="228"/>
      <c r="M398" s="228"/>
      <c r="N398" s="228"/>
      <c r="O398" s="228"/>
      <c r="P398" s="228">
        <v>0</v>
      </c>
      <c r="Q398" s="228">
        <v>0</v>
      </c>
    </row>
    <row r="399" spans="1:17">
      <c r="A399" s="165" t="s">
        <v>2231</v>
      </c>
      <c r="B399" s="165"/>
      <c r="C399" s="165"/>
      <c r="D399" s="228"/>
      <c r="E399" s="228"/>
      <c r="F399" s="228">
        <v>0</v>
      </c>
      <c r="G399" s="228">
        <v>0</v>
      </c>
      <c r="H399" s="228">
        <v>32700</v>
      </c>
      <c r="I399" s="228">
        <v>122990000</v>
      </c>
      <c r="J399" s="228">
        <v>2100</v>
      </c>
      <c r="K399" s="228">
        <v>7980000</v>
      </c>
      <c r="L399" s="228">
        <v>107600</v>
      </c>
      <c r="M399" s="228">
        <v>752200000</v>
      </c>
      <c r="N399" s="228"/>
      <c r="O399" s="228"/>
      <c r="P399" s="228">
        <v>142400</v>
      </c>
      <c r="Q399" s="228">
        <v>883170000</v>
      </c>
    </row>
    <row r="400" spans="1:17">
      <c r="A400" s="165" t="s">
        <v>771</v>
      </c>
      <c r="B400" s="165" t="s">
        <v>2130</v>
      </c>
      <c r="C400" s="165">
        <v>5000</v>
      </c>
      <c r="D400" s="228">
        <v>0</v>
      </c>
      <c r="E400" s="228">
        <v>0</v>
      </c>
      <c r="F400" s="228"/>
      <c r="G400" s="228"/>
      <c r="H400" s="228"/>
      <c r="I400" s="228"/>
      <c r="J400" s="228"/>
      <c r="K400" s="228"/>
      <c r="L400" s="228"/>
      <c r="M400" s="228"/>
      <c r="N400" s="228"/>
      <c r="O400" s="228"/>
      <c r="P400" s="228">
        <v>0</v>
      </c>
      <c r="Q400" s="228">
        <v>0</v>
      </c>
    </row>
    <row r="401" spans="1:17">
      <c r="B401" s="165" t="s">
        <v>2132</v>
      </c>
      <c r="C401" s="165">
        <v>7500</v>
      </c>
      <c r="D401" s="228">
        <v>0</v>
      </c>
      <c r="E401" s="228">
        <v>0</v>
      </c>
      <c r="F401" s="228"/>
      <c r="G401" s="228"/>
      <c r="H401" s="228"/>
      <c r="I401" s="228"/>
      <c r="J401" s="228"/>
      <c r="K401" s="228"/>
      <c r="L401" s="228"/>
      <c r="M401" s="228"/>
      <c r="N401" s="228"/>
      <c r="O401" s="228"/>
      <c r="P401" s="228">
        <v>0</v>
      </c>
      <c r="Q401" s="228">
        <v>0</v>
      </c>
    </row>
    <row r="402" spans="1:17">
      <c r="B402" s="165" t="s">
        <v>2009</v>
      </c>
      <c r="C402" s="165">
        <v>5000</v>
      </c>
      <c r="D402" s="228"/>
      <c r="E402" s="228"/>
      <c r="F402" s="228">
        <v>0</v>
      </c>
      <c r="G402" s="228">
        <v>0</v>
      </c>
      <c r="H402" s="228"/>
      <c r="I402" s="228"/>
      <c r="J402" s="228"/>
      <c r="K402" s="228"/>
      <c r="L402" s="228"/>
      <c r="M402" s="228"/>
      <c r="N402" s="228"/>
      <c r="O402" s="228"/>
      <c r="P402" s="228">
        <v>0</v>
      </c>
      <c r="Q402" s="228">
        <v>0</v>
      </c>
    </row>
    <row r="403" spans="1:17">
      <c r="B403" s="165" t="s">
        <v>2186</v>
      </c>
      <c r="C403" s="165">
        <v>2800</v>
      </c>
      <c r="D403" s="228">
        <v>0</v>
      </c>
      <c r="E403" s="228">
        <v>0</v>
      </c>
      <c r="F403" s="228"/>
      <c r="G403" s="228"/>
      <c r="H403" s="228"/>
      <c r="I403" s="228"/>
      <c r="J403" s="228"/>
      <c r="K403" s="228"/>
      <c r="L403" s="228"/>
      <c r="M403" s="228"/>
      <c r="N403" s="228"/>
      <c r="O403" s="228"/>
      <c r="P403" s="228">
        <v>0</v>
      </c>
      <c r="Q403" s="228">
        <v>0</v>
      </c>
    </row>
    <row r="404" spans="1:17">
      <c r="B404" s="165" t="s">
        <v>2188</v>
      </c>
      <c r="C404" s="165">
        <v>3800</v>
      </c>
      <c r="D404" s="228"/>
      <c r="E404" s="228"/>
      <c r="F404" s="228">
        <v>0</v>
      </c>
      <c r="G404" s="228">
        <v>0</v>
      </c>
      <c r="H404" s="228"/>
      <c r="I404" s="228"/>
      <c r="J404" s="228"/>
      <c r="K404" s="228"/>
      <c r="L404" s="228"/>
      <c r="M404" s="228"/>
      <c r="N404" s="228"/>
      <c r="O404" s="228"/>
      <c r="P404" s="228">
        <v>0</v>
      </c>
      <c r="Q404" s="228">
        <v>0</v>
      </c>
    </row>
    <row r="405" spans="1:17">
      <c r="A405" s="165" t="s">
        <v>2232</v>
      </c>
      <c r="B405" s="165"/>
      <c r="C405" s="165"/>
      <c r="D405" s="228">
        <v>0</v>
      </c>
      <c r="E405" s="228">
        <v>0</v>
      </c>
      <c r="F405" s="228">
        <v>0</v>
      </c>
      <c r="G405" s="228">
        <v>0</v>
      </c>
      <c r="H405" s="228"/>
      <c r="I405" s="228"/>
      <c r="J405" s="228"/>
      <c r="K405" s="228"/>
      <c r="L405" s="228"/>
      <c r="M405" s="228"/>
      <c r="N405" s="228"/>
      <c r="O405" s="228"/>
      <c r="P405" s="228">
        <v>0</v>
      </c>
      <c r="Q405" s="228">
        <v>0</v>
      </c>
    </row>
    <row r="406" spans="1:17">
      <c r="A406" s="165" t="s">
        <v>170</v>
      </c>
      <c r="B406" s="165" t="s">
        <v>2008</v>
      </c>
      <c r="C406" s="165">
        <v>5170</v>
      </c>
      <c r="D406" s="228"/>
      <c r="E406" s="228"/>
      <c r="F406" s="228">
        <v>0</v>
      </c>
      <c r="G406" s="228">
        <v>0</v>
      </c>
      <c r="H406" s="228"/>
      <c r="I406" s="228"/>
      <c r="J406" s="228"/>
      <c r="K406" s="228"/>
      <c r="L406" s="228"/>
      <c r="M406" s="228"/>
      <c r="N406" s="228"/>
      <c r="O406" s="228"/>
      <c r="P406" s="228">
        <v>0</v>
      </c>
      <c r="Q406" s="228">
        <v>0</v>
      </c>
    </row>
    <row r="407" spans="1:17">
      <c r="B407" s="165" t="s">
        <v>2116</v>
      </c>
      <c r="C407" s="165">
        <v>3200</v>
      </c>
      <c r="D407" s="228">
        <v>0</v>
      </c>
      <c r="E407" s="228">
        <v>0</v>
      </c>
      <c r="F407" s="228"/>
      <c r="G407" s="228"/>
      <c r="H407" s="228"/>
      <c r="I407" s="228"/>
      <c r="J407" s="228"/>
      <c r="K407" s="228"/>
      <c r="L407" s="228"/>
      <c r="M407" s="228"/>
      <c r="N407" s="228"/>
      <c r="O407" s="228"/>
      <c r="P407" s="228">
        <v>0</v>
      </c>
      <c r="Q407" s="228">
        <v>0</v>
      </c>
    </row>
    <row r="408" spans="1:17">
      <c r="B408" s="165" t="s">
        <v>2009</v>
      </c>
      <c r="C408" s="165">
        <v>5170</v>
      </c>
      <c r="D408" s="228"/>
      <c r="E408" s="228"/>
      <c r="F408" s="228">
        <v>0</v>
      </c>
      <c r="G408" s="228">
        <v>0</v>
      </c>
      <c r="H408" s="228"/>
      <c r="I408" s="228"/>
      <c r="J408" s="228"/>
      <c r="K408" s="228"/>
      <c r="L408" s="228"/>
      <c r="M408" s="228"/>
      <c r="N408" s="228"/>
      <c r="O408" s="228"/>
      <c r="P408" s="228">
        <v>0</v>
      </c>
      <c r="Q408" s="228">
        <v>0</v>
      </c>
    </row>
    <row r="409" spans="1:17">
      <c r="B409" s="165" t="s">
        <v>2176</v>
      </c>
      <c r="C409" s="165">
        <v>4100</v>
      </c>
      <c r="D409" s="228"/>
      <c r="E409" s="228"/>
      <c r="F409" s="228">
        <v>0</v>
      </c>
      <c r="G409" s="228">
        <v>0</v>
      </c>
      <c r="H409" s="228"/>
      <c r="I409" s="228"/>
      <c r="J409" s="228"/>
      <c r="K409" s="228"/>
      <c r="L409" s="228"/>
      <c r="M409" s="228"/>
      <c r="N409" s="228"/>
      <c r="O409" s="228"/>
      <c r="P409" s="228">
        <v>0</v>
      </c>
      <c r="Q409" s="228">
        <v>0</v>
      </c>
    </row>
    <row r="410" spans="1:17">
      <c r="C410" s="165">
        <v>4300</v>
      </c>
      <c r="D410" s="228"/>
      <c r="E410" s="228"/>
      <c r="F410" s="228">
        <v>0</v>
      </c>
      <c r="G410" s="228">
        <v>0</v>
      </c>
      <c r="H410" s="228"/>
      <c r="I410" s="228"/>
      <c r="J410" s="228"/>
      <c r="K410" s="228"/>
      <c r="L410" s="228"/>
      <c r="M410" s="228"/>
      <c r="N410" s="228"/>
      <c r="O410" s="228"/>
      <c r="P410" s="228">
        <v>0</v>
      </c>
      <c r="Q410" s="228">
        <v>0</v>
      </c>
    </row>
    <row r="411" spans="1:17">
      <c r="C411" s="165">
        <v>4400</v>
      </c>
      <c r="D411" s="228"/>
      <c r="E411" s="228"/>
      <c r="F411" s="228"/>
      <c r="G411" s="228"/>
      <c r="H411" s="228"/>
      <c r="I411" s="228"/>
      <c r="J411" s="228"/>
      <c r="K411" s="228"/>
      <c r="L411" s="228">
        <v>4800</v>
      </c>
      <c r="M411" s="228">
        <v>21120000</v>
      </c>
      <c r="N411" s="228"/>
      <c r="O411" s="228"/>
      <c r="P411" s="228">
        <v>4800</v>
      </c>
      <c r="Q411" s="228">
        <v>21120000</v>
      </c>
    </row>
    <row r="412" spans="1:17">
      <c r="B412" s="165" t="s">
        <v>2188</v>
      </c>
      <c r="C412" s="165">
        <v>3800</v>
      </c>
      <c r="D412" s="228"/>
      <c r="E412" s="228"/>
      <c r="F412" s="228">
        <v>0</v>
      </c>
      <c r="G412" s="228">
        <v>0</v>
      </c>
      <c r="H412" s="228"/>
      <c r="I412" s="228"/>
      <c r="J412" s="228"/>
      <c r="K412" s="228"/>
      <c r="L412" s="228"/>
      <c r="M412" s="228"/>
      <c r="N412" s="228"/>
      <c r="O412" s="228"/>
      <c r="P412" s="228">
        <v>0</v>
      </c>
      <c r="Q412" s="228">
        <v>0</v>
      </c>
    </row>
    <row r="413" spans="1:17">
      <c r="C413" s="165">
        <v>4000</v>
      </c>
      <c r="D413" s="228"/>
      <c r="E413" s="228"/>
      <c r="F413" s="228"/>
      <c r="G413" s="228"/>
      <c r="H413" s="228"/>
      <c r="I413" s="228"/>
      <c r="J413" s="228"/>
      <c r="K413" s="228"/>
      <c r="L413" s="228">
        <v>5200</v>
      </c>
      <c r="M413" s="228">
        <v>20800000</v>
      </c>
      <c r="N413" s="228"/>
      <c r="O413" s="228"/>
      <c r="P413" s="228">
        <v>5200</v>
      </c>
      <c r="Q413" s="228">
        <v>20800000</v>
      </c>
    </row>
    <row r="414" spans="1:17">
      <c r="A414" s="165" t="s">
        <v>2233</v>
      </c>
      <c r="B414" s="165"/>
      <c r="C414" s="165"/>
      <c r="D414" s="228">
        <v>0</v>
      </c>
      <c r="E414" s="228">
        <v>0</v>
      </c>
      <c r="F414" s="228">
        <v>0</v>
      </c>
      <c r="G414" s="228">
        <v>0</v>
      </c>
      <c r="H414" s="228"/>
      <c r="I414" s="228"/>
      <c r="J414" s="228"/>
      <c r="K414" s="228"/>
      <c r="L414" s="228">
        <v>10000</v>
      </c>
      <c r="M414" s="228">
        <v>41920000</v>
      </c>
      <c r="N414" s="228"/>
      <c r="O414" s="228"/>
      <c r="P414" s="228">
        <v>10000</v>
      </c>
      <c r="Q414" s="228">
        <v>41920000</v>
      </c>
    </row>
    <row r="415" spans="1:17">
      <c r="A415" s="165" t="s">
        <v>786</v>
      </c>
      <c r="B415" s="165" t="s">
        <v>2011</v>
      </c>
      <c r="C415" s="165">
        <v>0</v>
      </c>
      <c r="D415" s="228"/>
      <c r="E415" s="228"/>
      <c r="F415" s="228"/>
      <c r="G415" s="228"/>
      <c r="H415" s="228"/>
      <c r="I415" s="228"/>
      <c r="J415" s="228"/>
      <c r="K415" s="228"/>
      <c r="L415" s="228">
        <v>1625</v>
      </c>
      <c r="M415" s="228">
        <v>0</v>
      </c>
      <c r="N415" s="228"/>
      <c r="O415" s="228"/>
      <c r="P415" s="228">
        <v>1625</v>
      </c>
      <c r="Q415" s="228">
        <v>0</v>
      </c>
    </row>
    <row r="416" spans="1:17">
      <c r="B416" s="165" t="s">
        <v>2063</v>
      </c>
      <c r="C416" s="165">
        <v>12500</v>
      </c>
      <c r="D416" s="228"/>
      <c r="E416" s="228"/>
      <c r="F416" s="228"/>
      <c r="G416" s="228"/>
      <c r="H416" s="228"/>
      <c r="I416" s="228"/>
      <c r="J416" s="228"/>
      <c r="K416" s="228"/>
      <c r="L416" s="228">
        <v>6000</v>
      </c>
      <c r="M416" s="228">
        <v>75000000</v>
      </c>
      <c r="N416" s="228"/>
      <c r="O416" s="228"/>
      <c r="P416" s="228">
        <v>6000</v>
      </c>
      <c r="Q416" s="228">
        <v>75000000</v>
      </c>
    </row>
    <row r="417" spans="1:17">
      <c r="B417" s="165" t="s">
        <v>2136</v>
      </c>
      <c r="C417" s="165">
        <v>13000</v>
      </c>
      <c r="D417" s="228"/>
      <c r="E417" s="228"/>
      <c r="F417" s="228"/>
      <c r="G417" s="228"/>
      <c r="H417" s="228"/>
      <c r="I417" s="228"/>
      <c r="J417" s="228"/>
      <c r="K417" s="228"/>
      <c r="L417" s="228">
        <v>6000</v>
      </c>
      <c r="M417" s="228">
        <v>78000000</v>
      </c>
      <c r="N417" s="228"/>
      <c r="O417" s="228"/>
      <c r="P417" s="228">
        <v>6000</v>
      </c>
      <c r="Q417" s="228">
        <v>78000000</v>
      </c>
    </row>
    <row r="418" spans="1:17">
      <c r="A418" s="165" t="s">
        <v>2234</v>
      </c>
      <c r="B418" s="165"/>
      <c r="C418" s="165"/>
      <c r="D418" s="228"/>
      <c r="E418" s="228"/>
      <c r="F418" s="228"/>
      <c r="G418" s="228"/>
      <c r="H418" s="228"/>
      <c r="I418" s="228"/>
      <c r="J418" s="228"/>
      <c r="K418" s="228"/>
      <c r="L418" s="228">
        <v>13625</v>
      </c>
      <c r="M418" s="228">
        <v>153000000</v>
      </c>
      <c r="N418" s="228"/>
      <c r="O418" s="228"/>
      <c r="P418" s="228">
        <v>13625</v>
      </c>
      <c r="Q418" s="228">
        <v>153000000</v>
      </c>
    </row>
    <row r="419" spans="1:17">
      <c r="A419" s="165" t="s">
        <v>980</v>
      </c>
      <c r="B419" s="165" t="s">
        <v>2011</v>
      </c>
      <c r="C419" s="165">
        <v>10500</v>
      </c>
      <c r="D419" s="228"/>
      <c r="E419" s="228"/>
      <c r="F419" s="228"/>
      <c r="G419" s="228"/>
      <c r="H419" s="228"/>
      <c r="I419" s="228"/>
      <c r="J419" s="228"/>
      <c r="K419" s="228"/>
      <c r="L419" s="228">
        <v>6000</v>
      </c>
      <c r="M419" s="228">
        <v>63000000</v>
      </c>
      <c r="N419" s="228"/>
      <c r="O419" s="228"/>
      <c r="P419" s="228">
        <v>6000</v>
      </c>
      <c r="Q419" s="228">
        <v>63000000</v>
      </c>
    </row>
    <row r="420" spans="1:17">
      <c r="B420" s="165" t="s">
        <v>1872</v>
      </c>
      <c r="C420" s="165">
        <v>7200</v>
      </c>
      <c r="D420" s="228"/>
      <c r="E420" s="228"/>
      <c r="F420" s="228"/>
      <c r="G420" s="228"/>
      <c r="H420" s="228"/>
      <c r="I420" s="228"/>
      <c r="J420" s="228"/>
      <c r="K420" s="228"/>
      <c r="L420" s="228">
        <v>4050</v>
      </c>
      <c r="M420" s="228">
        <v>29160000</v>
      </c>
      <c r="N420" s="228"/>
      <c r="O420" s="228"/>
      <c r="P420" s="228">
        <v>4050</v>
      </c>
      <c r="Q420" s="228">
        <v>29160000</v>
      </c>
    </row>
    <row r="421" spans="1:17">
      <c r="B421" s="165" t="s">
        <v>2144</v>
      </c>
      <c r="C421" s="165">
        <v>12500</v>
      </c>
      <c r="D421" s="228"/>
      <c r="E421" s="228"/>
      <c r="F421" s="228"/>
      <c r="G421" s="228"/>
      <c r="H421" s="228"/>
      <c r="I421" s="228"/>
      <c r="J421" s="228"/>
      <c r="K421" s="228"/>
      <c r="L421" s="228">
        <v>6000</v>
      </c>
      <c r="M421" s="228">
        <v>75000000</v>
      </c>
      <c r="N421" s="228"/>
      <c r="O421" s="228"/>
      <c r="P421" s="228">
        <v>6000</v>
      </c>
      <c r="Q421" s="228">
        <v>75000000</v>
      </c>
    </row>
    <row r="422" spans="1:17">
      <c r="B422" s="165" t="s">
        <v>2190</v>
      </c>
      <c r="C422" s="165">
        <v>5600</v>
      </c>
      <c r="D422" s="228"/>
      <c r="E422" s="228"/>
      <c r="F422" s="228"/>
      <c r="G422" s="228"/>
      <c r="H422" s="228"/>
      <c r="I422" s="228"/>
      <c r="J422" s="228"/>
      <c r="K422" s="228"/>
      <c r="L422" s="228">
        <v>5000</v>
      </c>
      <c r="M422" s="228">
        <v>28000000</v>
      </c>
      <c r="N422" s="228"/>
      <c r="O422" s="228"/>
      <c r="P422" s="228">
        <v>5000</v>
      </c>
      <c r="Q422" s="228">
        <v>28000000</v>
      </c>
    </row>
    <row r="423" spans="1:17">
      <c r="A423" s="165" t="s">
        <v>2235</v>
      </c>
      <c r="B423" s="165"/>
      <c r="C423" s="165"/>
      <c r="D423" s="228"/>
      <c r="E423" s="228"/>
      <c r="F423" s="228"/>
      <c r="G423" s="228"/>
      <c r="H423" s="228"/>
      <c r="I423" s="228"/>
      <c r="J423" s="228"/>
      <c r="K423" s="228"/>
      <c r="L423" s="228">
        <v>21050</v>
      </c>
      <c r="M423" s="228">
        <v>195160000</v>
      </c>
      <c r="N423" s="228"/>
      <c r="O423" s="228"/>
      <c r="P423" s="228">
        <v>21050</v>
      </c>
      <c r="Q423" s="228">
        <v>195160000</v>
      </c>
    </row>
    <row r="424" spans="1:17">
      <c r="A424" s="165" t="s">
        <v>226</v>
      </c>
      <c r="B424" s="165" t="s">
        <v>2025</v>
      </c>
      <c r="C424" s="165">
        <v>4000</v>
      </c>
      <c r="D424" s="228"/>
      <c r="E424" s="228"/>
      <c r="F424" s="228">
        <v>0</v>
      </c>
      <c r="G424" s="228">
        <v>0</v>
      </c>
      <c r="H424" s="228"/>
      <c r="I424" s="228"/>
      <c r="J424" s="228"/>
      <c r="K424" s="228"/>
      <c r="L424" s="228"/>
      <c r="M424" s="228"/>
      <c r="N424" s="228"/>
      <c r="O424" s="228"/>
      <c r="P424" s="228">
        <v>0</v>
      </c>
      <c r="Q424" s="228">
        <v>0</v>
      </c>
    </row>
    <row r="425" spans="1:17">
      <c r="B425" s="165" t="s">
        <v>2067</v>
      </c>
      <c r="C425" s="165">
        <v>5300</v>
      </c>
      <c r="D425" s="228"/>
      <c r="E425" s="228"/>
      <c r="F425" s="228">
        <v>0</v>
      </c>
      <c r="G425" s="228">
        <v>0</v>
      </c>
      <c r="H425" s="228"/>
      <c r="I425" s="228"/>
      <c r="J425" s="228"/>
      <c r="K425" s="228"/>
      <c r="L425" s="228"/>
      <c r="M425" s="228"/>
      <c r="N425" s="228"/>
      <c r="O425" s="228"/>
      <c r="P425" s="228">
        <v>0</v>
      </c>
      <c r="Q425" s="228">
        <v>0</v>
      </c>
    </row>
    <row r="426" spans="1:17">
      <c r="B426" s="165" t="s">
        <v>2085</v>
      </c>
      <c r="C426" s="165">
        <v>4700</v>
      </c>
      <c r="D426" s="228"/>
      <c r="E426" s="228"/>
      <c r="F426" s="228">
        <v>0</v>
      </c>
      <c r="G426" s="228">
        <v>0</v>
      </c>
      <c r="H426" s="228"/>
      <c r="I426" s="228"/>
      <c r="J426" s="228"/>
      <c r="K426" s="228"/>
      <c r="L426" s="228"/>
      <c r="M426" s="228"/>
      <c r="N426" s="228"/>
      <c r="O426" s="228"/>
      <c r="P426" s="228">
        <v>0</v>
      </c>
      <c r="Q426" s="228">
        <v>0</v>
      </c>
    </row>
    <row r="427" spans="1:17">
      <c r="B427" s="165" t="s">
        <v>2152</v>
      </c>
      <c r="C427" s="165">
        <v>3600</v>
      </c>
      <c r="D427" s="228"/>
      <c r="E427" s="228"/>
      <c r="F427" s="228">
        <v>0</v>
      </c>
      <c r="G427" s="228">
        <v>0</v>
      </c>
      <c r="H427" s="228"/>
      <c r="I427" s="228"/>
      <c r="J427" s="228"/>
      <c r="K427" s="228"/>
      <c r="L427" s="228"/>
      <c r="M427" s="228"/>
      <c r="N427" s="228"/>
      <c r="O427" s="228"/>
      <c r="P427" s="228">
        <v>0</v>
      </c>
      <c r="Q427" s="228">
        <v>0</v>
      </c>
    </row>
    <row r="428" spans="1:17">
      <c r="B428" s="165" t="s">
        <v>1878</v>
      </c>
      <c r="C428" s="165">
        <v>3600</v>
      </c>
      <c r="D428" s="228"/>
      <c r="E428" s="228"/>
      <c r="F428" s="228">
        <v>0</v>
      </c>
      <c r="G428" s="228">
        <v>0</v>
      </c>
      <c r="H428" s="228"/>
      <c r="I428" s="228"/>
      <c r="J428" s="228"/>
      <c r="K428" s="228"/>
      <c r="L428" s="228"/>
      <c r="M428" s="228"/>
      <c r="N428" s="228"/>
      <c r="O428" s="228"/>
      <c r="P428" s="228">
        <v>0</v>
      </c>
      <c r="Q428" s="228">
        <v>0</v>
      </c>
    </row>
    <row r="429" spans="1:17">
      <c r="B429" s="165" t="s">
        <v>2187</v>
      </c>
      <c r="C429" s="165">
        <v>10200</v>
      </c>
      <c r="D429" s="228">
        <v>0</v>
      </c>
      <c r="E429" s="228">
        <v>0</v>
      </c>
      <c r="F429" s="228"/>
      <c r="G429" s="228"/>
      <c r="H429" s="228"/>
      <c r="I429" s="228"/>
      <c r="J429" s="228"/>
      <c r="K429" s="228"/>
      <c r="L429" s="228"/>
      <c r="M429" s="228"/>
      <c r="N429" s="228"/>
      <c r="O429" s="228"/>
      <c r="P429" s="228">
        <v>0</v>
      </c>
      <c r="Q429" s="228">
        <v>0</v>
      </c>
    </row>
    <row r="430" spans="1:17">
      <c r="A430" s="165" t="s">
        <v>2236</v>
      </c>
      <c r="B430" s="165"/>
      <c r="C430" s="165"/>
      <c r="D430" s="228">
        <v>0</v>
      </c>
      <c r="E430" s="228">
        <v>0</v>
      </c>
      <c r="F430" s="228">
        <v>0</v>
      </c>
      <c r="G430" s="228">
        <v>0</v>
      </c>
      <c r="H430" s="228"/>
      <c r="I430" s="228"/>
      <c r="J430" s="228"/>
      <c r="K430" s="228"/>
      <c r="L430" s="228"/>
      <c r="M430" s="228"/>
      <c r="N430" s="228"/>
      <c r="O430" s="228"/>
      <c r="P430" s="228">
        <v>0</v>
      </c>
      <c r="Q430" s="228">
        <v>0</v>
      </c>
    </row>
    <row r="431" spans="1:17">
      <c r="A431" s="165" t="s">
        <v>282</v>
      </c>
      <c r="B431" s="165" t="s">
        <v>2033</v>
      </c>
      <c r="C431" s="165">
        <v>5800</v>
      </c>
      <c r="D431" s="228"/>
      <c r="E431" s="228"/>
      <c r="F431" s="228">
        <v>0</v>
      </c>
      <c r="G431" s="228">
        <v>0</v>
      </c>
      <c r="H431" s="228"/>
      <c r="I431" s="228"/>
      <c r="J431" s="228"/>
      <c r="K431" s="228"/>
      <c r="L431" s="228"/>
      <c r="M431" s="228"/>
      <c r="N431" s="228"/>
      <c r="O431" s="228"/>
      <c r="P431" s="228">
        <v>0</v>
      </c>
      <c r="Q431" s="228">
        <v>0</v>
      </c>
    </row>
    <row r="432" spans="1:17">
      <c r="B432" s="165" t="s">
        <v>2039</v>
      </c>
      <c r="C432" s="165">
        <v>6300</v>
      </c>
      <c r="D432" s="228"/>
      <c r="E432" s="228"/>
      <c r="F432" s="228">
        <v>0</v>
      </c>
      <c r="G432" s="228">
        <v>0</v>
      </c>
      <c r="H432" s="228"/>
      <c r="I432" s="228"/>
      <c r="J432" s="228"/>
      <c r="K432" s="228"/>
      <c r="L432" s="228"/>
      <c r="M432" s="228"/>
      <c r="N432" s="228"/>
      <c r="O432" s="228"/>
      <c r="P432" s="228">
        <v>0</v>
      </c>
      <c r="Q432" s="228">
        <v>0</v>
      </c>
    </row>
    <row r="433" spans="2:17">
      <c r="B433" s="165" t="s">
        <v>2044</v>
      </c>
      <c r="C433" s="165">
        <v>11600</v>
      </c>
      <c r="D433" s="228"/>
      <c r="E433" s="228"/>
      <c r="F433" s="228"/>
      <c r="G433" s="228"/>
      <c r="H433" s="228"/>
      <c r="I433" s="228"/>
      <c r="J433" s="228"/>
      <c r="K433" s="228"/>
      <c r="L433" s="228">
        <v>5015</v>
      </c>
      <c r="M433" s="228">
        <v>58174000</v>
      </c>
      <c r="N433" s="228"/>
      <c r="O433" s="228"/>
      <c r="P433" s="228">
        <v>5015</v>
      </c>
      <c r="Q433" s="228">
        <v>58174000</v>
      </c>
    </row>
    <row r="434" spans="2:17">
      <c r="B434" s="165" t="s">
        <v>2008</v>
      </c>
      <c r="C434" s="165">
        <v>4600</v>
      </c>
      <c r="D434" s="228"/>
      <c r="E434" s="228"/>
      <c r="F434" s="228">
        <v>0</v>
      </c>
      <c r="G434" s="228">
        <v>0</v>
      </c>
      <c r="H434" s="228"/>
      <c r="I434" s="228"/>
      <c r="J434" s="228"/>
      <c r="K434" s="228"/>
      <c r="L434" s="228"/>
      <c r="M434" s="228"/>
      <c r="N434" s="228"/>
      <c r="O434" s="228"/>
      <c r="P434" s="228">
        <v>0</v>
      </c>
      <c r="Q434" s="228">
        <v>0</v>
      </c>
    </row>
    <row r="435" spans="2:17">
      <c r="C435" s="165">
        <v>4700</v>
      </c>
      <c r="D435" s="228"/>
      <c r="E435" s="228"/>
      <c r="F435" s="228">
        <v>0</v>
      </c>
      <c r="G435" s="228">
        <v>0</v>
      </c>
      <c r="H435" s="228"/>
      <c r="I435" s="228"/>
      <c r="J435" s="228"/>
      <c r="K435" s="228"/>
      <c r="L435" s="228"/>
      <c r="M435" s="228"/>
      <c r="N435" s="228"/>
      <c r="O435" s="228"/>
      <c r="P435" s="228">
        <v>0</v>
      </c>
      <c r="Q435" s="228">
        <v>0</v>
      </c>
    </row>
    <row r="436" spans="2:17">
      <c r="C436" s="165">
        <v>5000</v>
      </c>
      <c r="D436" s="228"/>
      <c r="E436" s="228"/>
      <c r="F436" s="228">
        <v>0</v>
      </c>
      <c r="G436" s="228">
        <v>0</v>
      </c>
      <c r="H436" s="228"/>
      <c r="I436" s="228"/>
      <c r="J436" s="228"/>
      <c r="K436" s="228"/>
      <c r="L436" s="228"/>
      <c r="M436" s="228"/>
      <c r="N436" s="228"/>
      <c r="O436" s="228"/>
      <c r="P436" s="228">
        <v>0</v>
      </c>
      <c r="Q436" s="228">
        <v>0</v>
      </c>
    </row>
    <row r="437" spans="2:17">
      <c r="C437" s="165">
        <v>6000</v>
      </c>
      <c r="D437" s="228"/>
      <c r="E437" s="228"/>
      <c r="F437" s="228">
        <v>200</v>
      </c>
      <c r="G437" s="228">
        <v>1200000</v>
      </c>
      <c r="H437" s="228"/>
      <c r="I437" s="228"/>
      <c r="J437" s="228"/>
      <c r="K437" s="228"/>
      <c r="L437" s="228"/>
      <c r="M437" s="228"/>
      <c r="N437" s="228"/>
      <c r="O437" s="228"/>
      <c r="P437" s="228">
        <v>200</v>
      </c>
      <c r="Q437" s="228">
        <v>1200000</v>
      </c>
    </row>
    <row r="438" spans="2:17">
      <c r="B438" s="165" t="s">
        <v>2011</v>
      </c>
      <c r="C438" s="165">
        <v>10500</v>
      </c>
      <c r="D438" s="228"/>
      <c r="E438" s="228"/>
      <c r="F438" s="228"/>
      <c r="G438" s="228"/>
      <c r="H438" s="228"/>
      <c r="I438" s="228"/>
      <c r="J438" s="228"/>
      <c r="K438" s="228"/>
      <c r="L438" s="228">
        <v>5000</v>
      </c>
      <c r="M438" s="228">
        <v>52500000</v>
      </c>
      <c r="N438" s="228"/>
      <c r="O438" s="228"/>
      <c r="P438" s="228">
        <v>5000</v>
      </c>
      <c r="Q438" s="228">
        <v>52500000</v>
      </c>
    </row>
    <row r="439" spans="2:17">
      <c r="B439" s="165" t="s">
        <v>2063</v>
      </c>
      <c r="C439" s="165">
        <v>12500</v>
      </c>
      <c r="D439" s="228"/>
      <c r="E439" s="228"/>
      <c r="F439" s="228"/>
      <c r="G439" s="228"/>
      <c r="H439" s="228"/>
      <c r="I439" s="228"/>
      <c r="J439" s="228"/>
      <c r="K439" s="228"/>
      <c r="L439" s="228">
        <v>10000</v>
      </c>
      <c r="M439" s="228">
        <v>125000000</v>
      </c>
      <c r="N439" s="228"/>
      <c r="O439" s="228"/>
      <c r="P439" s="228">
        <v>10000</v>
      </c>
      <c r="Q439" s="228">
        <v>125000000</v>
      </c>
    </row>
    <row r="440" spans="2:17">
      <c r="B440" s="165" t="s">
        <v>2067</v>
      </c>
      <c r="C440" s="165">
        <v>5300</v>
      </c>
      <c r="D440" s="228"/>
      <c r="E440" s="228"/>
      <c r="F440" s="228">
        <v>0</v>
      </c>
      <c r="G440" s="228">
        <v>0</v>
      </c>
      <c r="H440" s="228"/>
      <c r="I440" s="228"/>
      <c r="J440" s="228"/>
      <c r="K440" s="228"/>
      <c r="L440" s="228"/>
      <c r="M440" s="228"/>
      <c r="N440" s="228"/>
      <c r="O440" s="228"/>
      <c r="P440" s="228">
        <v>0</v>
      </c>
      <c r="Q440" s="228">
        <v>0</v>
      </c>
    </row>
    <row r="441" spans="2:17">
      <c r="B441" s="165" t="s">
        <v>2069</v>
      </c>
      <c r="C441" s="165">
        <v>14200</v>
      </c>
      <c r="D441" s="228"/>
      <c r="E441" s="228"/>
      <c r="F441" s="228"/>
      <c r="G441" s="228"/>
      <c r="H441" s="228"/>
      <c r="I441" s="228"/>
      <c r="J441" s="228"/>
      <c r="K441" s="228"/>
      <c r="L441" s="228">
        <v>5000</v>
      </c>
      <c r="M441" s="228">
        <v>71000000</v>
      </c>
      <c r="N441" s="228"/>
      <c r="O441" s="228"/>
      <c r="P441" s="228">
        <v>5000</v>
      </c>
      <c r="Q441" s="228">
        <v>71000000</v>
      </c>
    </row>
    <row r="442" spans="2:17">
      <c r="B442" s="165" t="s">
        <v>2100</v>
      </c>
      <c r="C442" s="165">
        <v>5300</v>
      </c>
      <c r="D442" s="228"/>
      <c r="E442" s="228"/>
      <c r="F442" s="228">
        <v>0</v>
      </c>
      <c r="G442" s="228">
        <v>0</v>
      </c>
      <c r="H442" s="228"/>
      <c r="I442" s="228"/>
      <c r="J442" s="228"/>
      <c r="K442" s="228"/>
      <c r="L442" s="228"/>
      <c r="M442" s="228"/>
      <c r="N442" s="228"/>
      <c r="O442" s="228"/>
      <c r="P442" s="228">
        <v>0</v>
      </c>
      <c r="Q442" s="228">
        <v>0</v>
      </c>
    </row>
    <row r="443" spans="2:17">
      <c r="B443" s="165" t="s">
        <v>2132</v>
      </c>
      <c r="C443" s="165">
        <v>6700</v>
      </c>
      <c r="D443" s="228"/>
      <c r="E443" s="228"/>
      <c r="F443" s="228">
        <v>0</v>
      </c>
      <c r="G443" s="228">
        <v>0</v>
      </c>
      <c r="H443" s="228"/>
      <c r="I443" s="228"/>
      <c r="J443" s="228"/>
      <c r="K443" s="228"/>
      <c r="L443" s="228"/>
      <c r="M443" s="228"/>
      <c r="N443" s="228"/>
      <c r="O443" s="228"/>
      <c r="P443" s="228">
        <v>0</v>
      </c>
      <c r="Q443" s="228">
        <v>0</v>
      </c>
    </row>
    <row r="444" spans="2:17">
      <c r="C444" s="165">
        <v>7700</v>
      </c>
      <c r="D444" s="228"/>
      <c r="E444" s="228"/>
      <c r="F444" s="228">
        <v>0</v>
      </c>
      <c r="G444" s="228">
        <v>0</v>
      </c>
      <c r="H444" s="228"/>
      <c r="I444" s="228"/>
      <c r="J444" s="228"/>
      <c r="K444" s="228"/>
      <c r="L444" s="228"/>
      <c r="M444" s="228"/>
      <c r="N444" s="228"/>
      <c r="O444" s="228"/>
      <c r="P444" s="228">
        <v>0</v>
      </c>
      <c r="Q444" s="228">
        <v>0</v>
      </c>
    </row>
    <row r="445" spans="2:17">
      <c r="B445" s="165" t="s">
        <v>2137</v>
      </c>
      <c r="C445" s="165">
        <v>14200</v>
      </c>
      <c r="D445" s="228"/>
      <c r="E445" s="228"/>
      <c r="F445" s="228"/>
      <c r="G445" s="228"/>
      <c r="H445" s="228"/>
      <c r="I445" s="228"/>
      <c r="J445" s="228"/>
      <c r="K445" s="228"/>
      <c r="L445" s="228">
        <v>5000</v>
      </c>
      <c r="M445" s="228">
        <v>71000000</v>
      </c>
      <c r="N445" s="228"/>
      <c r="O445" s="228"/>
      <c r="P445" s="228">
        <v>5000</v>
      </c>
      <c r="Q445" s="228">
        <v>71000000</v>
      </c>
    </row>
    <row r="446" spans="2:17">
      <c r="B446" s="165" t="s">
        <v>2009</v>
      </c>
      <c r="C446" s="165">
        <v>5000</v>
      </c>
      <c r="D446" s="228"/>
      <c r="E446" s="228"/>
      <c r="F446" s="228">
        <v>0</v>
      </c>
      <c r="G446" s="228">
        <v>0</v>
      </c>
      <c r="H446" s="228"/>
      <c r="I446" s="228"/>
      <c r="J446" s="228"/>
      <c r="K446" s="228"/>
      <c r="L446" s="228"/>
      <c r="M446" s="228"/>
      <c r="N446" s="228"/>
      <c r="O446" s="228"/>
      <c r="P446" s="228">
        <v>0</v>
      </c>
      <c r="Q446" s="228">
        <v>0</v>
      </c>
    </row>
    <row r="447" spans="2:17">
      <c r="C447" s="165">
        <v>5300</v>
      </c>
      <c r="D447" s="228"/>
      <c r="E447" s="228"/>
      <c r="F447" s="228">
        <v>0</v>
      </c>
      <c r="G447" s="228">
        <v>0</v>
      </c>
      <c r="H447" s="228"/>
      <c r="I447" s="228"/>
      <c r="J447" s="228"/>
      <c r="K447" s="228"/>
      <c r="L447" s="228"/>
      <c r="M447" s="228"/>
      <c r="N447" s="228"/>
      <c r="O447" s="228"/>
      <c r="P447" s="228">
        <v>0</v>
      </c>
      <c r="Q447" s="228">
        <v>0</v>
      </c>
    </row>
    <row r="448" spans="2:17">
      <c r="B448" s="165" t="s">
        <v>1872</v>
      </c>
      <c r="C448" s="165">
        <v>6300</v>
      </c>
      <c r="D448" s="228"/>
      <c r="E448" s="228"/>
      <c r="F448" s="228">
        <v>0</v>
      </c>
      <c r="G448" s="228">
        <v>0</v>
      </c>
      <c r="H448" s="228"/>
      <c r="I448" s="228"/>
      <c r="J448" s="228"/>
      <c r="K448" s="228"/>
      <c r="L448" s="228"/>
      <c r="M448" s="228"/>
      <c r="N448" s="228"/>
      <c r="O448" s="228"/>
      <c r="P448" s="228">
        <v>0</v>
      </c>
      <c r="Q448" s="228">
        <v>0</v>
      </c>
    </row>
    <row r="449" spans="1:17">
      <c r="C449" s="165">
        <v>7200</v>
      </c>
      <c r="D449" s="228"/>
      <c r="E449" s="228"/>
      <c r="F449" s="228"/>
      <c r="G449" s="228"/>
      <c r="H449" s="228"/>
      <c r="I449" s="228"/>
      <c r="J449" s="228">
        <v>14550</v>
      </c>
      <c r="K449" s="228">
        <v>104760000</v>
      </c>
      <c r="L449" s="228"/>
      <c r="M449" s="228"/>
      <c r="N449" s="228"/>
      <c r="O449" s="228"/>
      <c r="P449" s="228">
        <v>14550</v>
      </c>
      <c r="Q449" s="228">
        <v>104760000</v>
      </c>
    </row>
    <row r="450" spans="1:17">
      <c r="C450" s="165">
        <v>7300</v>
      </c>
      <c r="D450" s="228"/>
      <c r="E450" s="228"/>
      <c r="F450" s="228"/>
      <c r="G450" s="228"/>
      <c r="H450" s="228">
        <v>25200</v>
      </c>
      <c r="I450" s="228">
        <v>183960000</v>
      </c>
      <c r="J450" s="228"/>
      <c r="K450" s="228"/>
      <c r="L450" s="228"/>
      <c r="M450" s="228"/>
      <c r="N450" s="228"/>
      <c r="O450" s="228"/>
      <c r="P450" s="228">
        <v>25200</v>
      </c>
      <c r="Q450" s="228">
        <v>183960000</v>
      </c>
    </row>
    <row r="451" spans="1:17">
      <c r="B451" s="165" t="s">
        <v>1878</v>
      </c>
      <c r="C451" s="165">
        <v>3500</v>
      </c>
      <c r="D451" s="228"/>
      <c r="E451" s="228"/>
      <c r="F451" s="228">
        <v>0</v>
      </c>
      <c r="G451" s="228">
        <v>0</v>
      </c>
      <c r="H451" s="228"/>
      <c r="I451" s="228"/>
      <c r="J451" s="228"/>
      <c r="K451" s="228"/>
      <c r="L451" s="228"/>
      <c r="M451" s="228"/>
      <c r="N451" s="228"/>
      <c r="O451" s="228"/>
      <c r="P451" s="228">
        <v>0</v>
      </c>
      <c r="Q451" s="228">
        <v>0</v>
      </c>
    </row>
    <row r="452" spans="1:17">
      <c r="C452" s="165">
        <v>3700</v>
      </c>
      <c r="D452" s="228"/>
      <c r="E452" s="228"/>
      <c r="F452" s="228">
        <v>-300</v>
      </c>
      <c r="G452" s="228">
        <v>-1110000</v>
      </c>
      <c r="H452" s="228"/>
      <c r="I452" s="228"/>
      <c r="J452" s="228"/>
      <c r="K452" s="228"/>
      <c r="L452" s="228"/>
      <c r="M452" s="228"/>
      <c r="N452" s="228"/>
      <c r="O452" s="228"/>
      <c r="P452" s="228">
        <v>-300</v>
      </c>
      <c r="Q452" s="228">
        <v>-1110000</v>
      </c>
    </row>
    <row r="453" spans="1:17">
      <c r="B453" s="165" t="s">
        <v>2153</v>
      </c>
      <c r="C453" s="165">
        <v>5200</v>
      </c>
      <c r="D453" s="228"/>
      <c r="E453" s="228"/>
      <c r="F453" s="228"/>
      <c r="G453" s="228"/>
      <c r="H453" s="228">
        <v>10000</v>
      </c>
      <c r="I453" s="228">
        <v>52000000</v>
      </c>
      <c r="J453" s="228">
        <v>10000</v>
      </c>
      <c r="K453" s="228">
        <v>52000000</v>
      </c>
      <c r="L453" s="228"/>
      <c r="M453" s="228"/>
      <c r="N453" s="228"/>
      <c r="O453" s="228"/>
      <c r="P453" s="228">
        <v>20000</v>
      </c>
      <c r="Q453" s="228">
        <v>104000000</v>
      </c>
    </row>
    <row r="454" spans="1:17">
      <c r="C454" s="165">
        <v>5300</v>
      </c>
      <c r="D454" s="228"/>
      <c r="E454" s="228"/>
      <c r="F454" s="228"/>
      <c r="G454" s="228"/>
      <c r="H454" s="228"/>
      <c r="I454" s="228"/>
      <c r="J454" s="228"/>
      <c r="K454" s="228"/>
      <c r="L454" s="228">
        <v>45000</v>
      </c>
      <c r="M454" s="228">
        <v>238500000</v>
      </c>
      <c r="N454" s="228"/>
      <c r="O454" s="228"/>
      <c r="P454" s="228">
        <v>45000</v>
      </c>
      <c r="Q454" s="228">
        <v>238500000</v>
      </c>
    </row>
    <row r="455" spans="1:17">
      <c r="C455" s="165">
        <v>5400</v>
      </c>
      <c r="D455" s="228"/>
      <c r="E455" s="228"/>
      <c r="F455" s="228"/>
      <c r="G455" s="228"/>
      <c r="H455" s="228"/>
      <c r="I455" s="228"/>
      <c r="J455" s="228"/>
      <c r="K455" s="228"/>
      <c r="L455" s="228">
        <v>25000</v>
      </c>
      <c r="M455" s="228">
        <v>135000000</v>
      </c>
      <c r="N455" s="228"/>
      <c r="O455" s="228"/>
      <c r="P455" s="228">
        <v>25000</v>
      </c>
      <c r="Q455" s="228">
        <v>135000000</v>
      </c>
    </row>
    <row r="456" spans="1:17">
      <c r="B456" s="165" t="s">
        <v>2169</v>
      </c>
      <c r="C456" s="165">
        <v>4900</v>
      </c>
      <c r="D456" s="228"/>
      <c r="E456" s="228"/>
      <c r="F456" s="228">
        <v>0</v>
      </c>
      <c r="G456" s="228">
        <v>0</v>
      </c>
      <c r="H456" s="228">
        <v>10200</v>
      </c>
      <c r="I456" s="228">
        <v>49980000</v>
      </c>
      <c r="J456" s="228"/>
      <c r="K456" s="228"/>
      <c r="L456" s="228"/>
      <c r="M456" s="228"/>
      <c r="N456" s="228"/>
      <c r="O456" s="228"/>
      <c r="P456" s="228">
        <v>10200</v>
      </c>
      <c r="Q456" s="228">
        <v>49980000</v>
      </c>
    </row>
    <row r="457" spans="1:17">
      <c r="B457" s="165" t="s">
        <v>2188</v>
      </c>
      <c r="C457" s="165">
        <v>3800</v>
      </c>
      <c r="D457" s="228"/>
      <c r="E457" s="228"/>
      <c r="F457" s="228">
        <v>0</v>
      </c>
      <c r="G457" s="228">
        <v>0</v>
      </c>
      <c r="H457" s="228"/>
      <c r="I457" s="228"/>
      <c r="J457" s="228"/>
      <c r="K457" s="228"/>
      <c r="L457" s="228"/>
      <c r="M457" s="228"/>
      <c r="N457" s="228"/>
      <c r="O457" s="228"/>
      <c r="P457" s="228">
        <v>0</v>
      </c>
      <c r="Q457" s="228">
        <v>0</v>
      </c>
    </row>
    <row r="458" spans="1:17">
      <c r="B458" s="165" t="s">
        <v>2189</v>
      </c>
      <c r="C458" s="165">
        <v>3800</v>
      </c>
      <c r="D458" s="228"/>
      <c r="E458" s="228"/>
      <c r="F458" s="228">
        <v>0</v>
      </c>
      <c r="G458" s="228">
        <v>0</v>
      </c>
      <c r="H458" s="228"/>
      <c r="I458" s="228"/>
      <c r="J458" s="228"/>
      <c r="K458" s="228"/>
      <c r="L458" s="228"/>
      <c r="M458" s="228"/>
      <c r="N458" s="228"/>
      <c r="O458" s="228"/>
      <c r="P458" s="228">
        <v>0</v>
      </c>
      <c r="Q458" s="228">
        <v>0</v>
      </c>
    </row>
    <row r="459" spans="1:17">
      <c r="B459" s="165" t="s">
        <v>2190</v>
      </c>
      <c r="C459" s="165">
        <v>5000</v>
      </c>
      <c r="D459" s="228"/>
      <c r="E459" s="228"/>
      <c r="F459" s="228">
        <v>0</v>
      </c>
      <c r="G459" s="228">
        <v>0</v>
      </c>
      <c r="H459" s="228"/>
      <c r="I459" s="228"/>
      <c r="J459" s="228"/>
      <c r="K459" s="228"/>
      <c r="L459" s="228"/>
      <c r="M459" s="228"/>
      <c r="N459" s="228"/>
      <c r="O459" s="228"/>
      <c r="P459" s="228">
        <v>0</v>
      </c>
      <c r="Q459" s="228">
        <v>0</v>
      </c>
    </row>
    <row r="460" spans="1:17">
      <c r="A460" s="165" t="s">
        <v>2237</v>
      </c>
      <c r="B460" s="165"/>
      <c r="C460" s="165"/>
      <c r="D460" s="228"/>
      <c r="E460" s="228"/>
      <c r="F460" s="228">
        <v>-100</v>
      </c>
      <c r="G460" s="228">
        <v>90000</v>
      </c>
      <c r="H460" s="228">
        <v>45400</v>
      </c>
      <c r="I460" s="228">
        <v>285940000</v>
      </c>
      <c r="J460" s="228">
        <v>24550</v>
      </c>
      <c r="K460" s="228">
        <v>156760000</v>
      </c>
      <c r="L460" s="228">
        <v>100015</v>
      </c>
      <c r="M460" s="228">
        <v>751174000</v>
      </c>
      <c r="N460" s="228"/>
      <c r="O460" s="228"/>
      <c r="P460" s="228">
        <v>169865</v>
      </c>
      <c r="Q460" s="228">
        <v>1193964000</v>
      </c>
    </row>
    <row r="461" spans="1:17">
      <c r="A461" s="165" t="s">
        <v>288</v>
      </c>
      <c r="B461" s="165" t="s">
        <v>2033</v>
      </c>
      <c r="C461" s="165">
        <v>5500</v>
      </c>
      <c r="D461" s="228"/>
      <c r="E461" s="228"/>
      <c r="F461" s="228">
        <v>0</v>
      </c>
      <c r="G461" s="228">
        <v>0</v>
      </c>
      <c r="H461" s="228"/>
      <c r="I461" s="228"/>
      <c r="J461" s="228"/>
      <c r="K461" s="228"/>
      <c r="L461" s="228"/>
      <c r="M461" s="228"/>
      <c r="N461" s="228"/>
      <c r="O461" s="228"/>
      <c r="P461" s="228">
        <v>0</v>
      </c>
      <c r="Q461" s="228">
        <v>0</v>
      </c>
    </row>
    <row r="462" spans="1:17">
      <c r="B462" s="165" t="s">
        <v>2169</v>
      </c>
      <c r="C462" s="165">
        <v>4700</v>
      </c>
      <c r="D462" s="228"/>
      <c r="E462" s="228"/>
      <c r="F462" s="228">
        <v>0</v>
      </c>
      <c r="G462" s="228">
        <v>0</v>
      </c>
      <c r="H462" s="228"/>
      <c r="I462" s="228"/>
      <c r="J462" s="228"/>
      <c r="K462" s="228"/>
      <c r="L462" s="228"/>
      <c r="M462" s="228"/>
      <c r="N462" s="228"/>
      <c r="O462" s="228"/>
      <c r="P462" s="228">
        <v>0</v>
      </c>
      <c r="Q462" s="228">
        <v>0</v>
      </c>
    </row>
    <row r="463" spans="1:17">
      <c r="B463" s="165" t="s">
        <v>2186</v>
      </c>
      <c r="C463" s="165">
        <v>2600</v>
      </c>
      <c r="D463" s="228">
        <v>0</v>
      </c>
      <c r="E463" s="228">
        <v>0</v>
      </c>
      <c r="F463" s="228"/>
      <c r="G463" s="228"/>
      <c r="H463" s="228"/>
      <c r="I463" s="228"/>
      <c r="J463" s="228"/>
      <c r="K463" s="228"/>
      <c r="L463" s="228"/>
      <c r="M463" s="228"/>
      <c r="N463" s="228"/>
      <c r="O463" s="228"/>
      <c r="P463" s="228">
        <v>0</v>
      </c>
      <c r="Q463" s="228">
        <v>0</v>
      </c>
    </row>
    <row r="464" spans="1:17">
      <c r="B464" s="165" t="s">
        <v>2188</v>
      </c>
      <c r="C464" s="165">
        <v>3800</v>
      </c>
      <c r="D464" s="228">
        <v>0</v>
      </c>
      <c r="E464" s="228">
        <v>0</v>
      </c>
      <c r="F464" s="228"/>
      <c r="G464" s="228"/>
      <c r="H464" s="228"/>
      <c r="I464" s="228"/>
      <c r="J464" s="228"/>
      <c r="K464" s="228"/>
      <c r="L464" s="228"/>
      <c r="M464" s="228"/>
      <c r="N464" s="228"/>
      <c r="O464" s="228"/>
      <c r="P464" s="228">
        <v>0</v>
      </c>
      <c r="Q464" s="228">
        <v>0</v>
      </c>
    </row>
    <row r="465" spans="1:17">
      <c r="A465" s="165" t="s">
        <v>2238</v>
      </c>
      <c r="B465" s="165"/>
      <c r="C465" s="165"/>
      <c r="D465" s="228">
        <v>0</v>
      </c>
      <c r="E465" s="228">
        <v>0</v>
      </c>
      <c r="F465" s="228">
        <v>0</v>
      </c>
      <c r="G465" s="228">
        <v>0</v>
      </c>
      <c r="H465" s="228"/>
      <c r="I465" s="228"/>
      <c r="J465" s="228"/>
      <c r="K465" s="228"/>
      <c r="L465" s="228"/>
      <c r="M465" s="228"/>
      <c r="N465" s="228"/>
      <c r="O465" s="228"/>
      <c r="P465" s="228">
        <v>0</v>
      </c>
      <c r="Q465" s="228">
        <v>0</v>
      </c>
    </row>
    <row r="466" spans="1:17">
      <c r="A466" s="165" t="s">
        <v>245</v>
      </c>
      <c r="B466" s="165" t="s">
        <v>2011</v>
      </c>
      <c r="C466" s="165">
        <v>10600</v>
      </c>
      <c r="D466" s="228"/>
      <c r="E466" s="228"/>
      <c r="F466" s="228"/>
      <c r="G466" s="228"/>
      <c r="H466" s="228"/>
      <c r="I466" s="228"/>
      <c r="J466" s="228"/>
      <c r="K466" s="228"/>
      <c r="L466" s="228">
        <v>5000</v>
      </c>
      <c r="M466" s="228">
        <v>53000000</v>
      </c>
      <c r="N466" s="228"/>
      <c r="O466" s="228"/>
      <c r="P466" s="228">
        <v>5000</v>
      </c>
      <c r="Q466" s="228">
        <v>53000000</v>
      </c>
    </row>
    <row r="467" spans="1:17">
      <c r="B467" s="165" t="s">
        <v>2015</v>
      </c>
      <c r="C467" s="165">
        <v>10700</v>
      </c>
      <c r="D467" s="228"/>
      <c r="E467" s="228"/>
      <c r="F467" s="228"/>
      <c r="G467" s="228"/>
      <c r="H467" s="228"/>
      <c r="I467" s="228"/>
      <c r="J467" s="228"/>
      <c r="K467" s="228"/>
      <c r="L467" s="228">
        <v>10000</v>
      </c>
      <c r="M467" s="228">
        <v>107000000</v>
      </c>
      <c r="N467" s="228"/>
      <c r="O467" s="228"/>
      <c r="P467" s="228">
        <v>10000</v>
      </c>
      <c r="Q467" s="228">
        <v>107000000</v>
      </c>
    </row>
    <row r="468" spans="1:17">
      <c r="B468" s="165" t="s">
        <v>1878</v>
      </c>
      <c r="C468" s="165">
        <v>3700</v>
      </c>
      <c r="D468" s="228">
        <v>0</v>
      </c>
      <c r="E468" s="228">
        <v>0</v>
      </c>
      <c r="F468" s="228"/>
      <c r="G468" s="228"/>
      <c r="H468" s="228"/>
      <c r="I468" s="228"/>
      <c r="J468" s="228"/>
      <c r="K468" s="228"/>
      <c r="L468" s="228"/>
      <c r="M468" s="228"/>
      <c r="N468" s="228"/>
      <c r="O468" s="228"/>
      <c r="P468" s="228">
        <v>0</v>
      </c>
      <c r="Q468" s="228">
        <v>0</v>
      </c>
    </row>
    <row r="469" spans="1:17">
      <c r="A469" s="165" t="s">
        <v>2239</v>
      </c>
      <c r="B469" s="165"/>
      <c r="C469" s="165"/>
      <c r="D469" s="228">
        <v>0</v>
      </c>
      <c r="E469" s="228">
        <v>0</v>
      </c>
      <c r="F469" s="228"/>
      <c r="G469" s="228"/>
      <c r="H469" s="228"/>
      <c r="I469" s="228"/>
      <c r="J469" s="228"/>
      <c r="K469" s="228"/>
      <c r="L469" s="228">
        <v>15000</v>
      </c>
      <c r="M469" s="228">
        <v>160000000</v>
      </c>
      <c r="N469" s="228"/>
      <c r="O469" s="228"/>
      <c r="P469" s="228">
        <v>15000</v>
      </c>
      <c r="Q469" s="228">
        <v>160000000</v>
      </c>
    </row>
    <row r="470" spans="1:17">
      <c r="A470" s="165" t="s">
        <v>1237</v>
      </c>
      <c r="B470" s="165" t="s">
        <v>2033</v>
      </c>
      <c r="C470" s="165">
        <v>5500</v>
      </c>
      <c r="D470" s="228">
        <v>0</v>
      </c>
      <c r="E470" s="228">
        <v>0</v>
      </c>
      <c r="F470" s="228"/>
      <c r="G470" s="228"/>
      <c r="H470" s="228"/>
      <c r="I470" s="228"/>
      <c r="J470" s="228"/>
      <c r="K470" s="228"/>
      <c r="L470" s="228"/>
      <c r="M470" s="228"/>
      <c r="N470" s="228"/>
      <c r="O470" s="228"/>
      <c r="P470" s="228">
        <v>0</v>
      </c>
      <c r="Q470" s="228">
        <v>0</v>
      </c>
    </row>
    <row r="471" spans="1:17">
      <c r="C471" s="165">
        <v>5600</v>
      </c>
      <c r="D471" s="228"/>
      <c r="E471" s="228"/>
      <c r="F471" s="228"/>
      <c r="G471" s="228"/>
      <c r="H471" s="228"/>
      <c r="I471" s="228"/>
      <c r="J471" s="228"/>
      <c r="K471" s="228"/>
      <c r="L471" s="228">
        <v>5000</v>
      </c>
      <c r="M471" s="228">
        <v>28000000</v>
      </c>
      <c r="N471" s="228"/>
      <c r="O471" s="228"/>
      <c r="P471" s="228">
        <v>5000</v>
      </c>
      <c r="Q471" s="228">
        <v>28000000</v>
      </c>
    </row>
    <row r="472" spans="1:17">
      <c r="C472" s="165">
        <v>5800</v>
      </c>
      <c r="D472" s="228"/>
      <c r="E472" s="228"/>
      <c r="F472" s="228">
        <v>0</v>
      </c>
      <c r="G472" s="228">
        <v>0</v>
      </c>
      <c r="H472" s="228"/>
      <c r="I472" s="228"/>
      <c r="J472" s="228"/>
      <c r="K472" s="228"/>
      <c r="L472" s="228"/>
      <c r="M472" s="228"/>
      <c r="N472" s="228"/>
      <c r="O472" s="228"/>
      <c r="P472" s="228">
        <v>0</v>
      </c>
      <c r="Q472" s="228">
        <v>0</v>
      </c>
    </row>
    <row r="473" spans="1:17">
      <c r="B473" s="165" t="s">
        <v>2042</v>
      </c>
      <c r="C473" s="165">
        <v>11000</v>
      </c>
      <c r="D473" s="228"/>
      <c r="E473" s="228"/>
      <c r="F473" s="228"/>
      <c r="G473" s="228"/>
      <c r="H473" s="228"/>
      <c r="I473" s="228"/>
      <c r="J473" s="228"/>
      <c r="K473" s="228"/>
      <c r="L473" s="228">
        <v>6000</v>
      </c>
      <c r="M473" s="228">
        <v>66000000</v>
      </c>
      <c r="N473" s="228"/>
      <c r="O473" s="228"/>
      <c r="P473" s="228">
        <v>6000</v>
      </c>
      <c r="Q473" s="228">
        <v>66000000</v>
      </c>
    </row>
    <row r="474" spans="1:17">
      <c r="B474" s="165" t="s">
        <v>2011</v>
      </c>
      <c r="C474" s="165">
        <v>10600</v>
      </c>
      <c r="D474" s="228"/>
      <c r="E474" s="228"/>
      <c r="F474" s="228"/>
      <c r="G474" s="228"/>
      <c r="H474" s="228"/>
      <c r="I474" s="228"/>
      <c r="J474" s="228"/>
      <c r="K474" s="228"/>
      <c r="L474" s="228">
        <v>10000</v>
      </c>
      <c r="M474" s="228">
        <v>106000000</v>
      </c>
      <c r="N474" s="228"/>
      <c r="O474" s="228"/>
      <c r="P474" s="228">
        <v>10000</v>
      </c>
      <c r="Q474" s="228">
        <v>106000000</v>
      </c>
    </row>
    <row r="475" spans="1:17">
      <c r="B475" s="165" t="s">
        <v>2067</v>
      </c>
      <c r="C475" s="165">
        <v>5300</v>
      </c>
      <c r="D475" s="228"/>
      <c r="E475" s="228"/>
      <c r="F475" s="228">
        <v>0</v>
      </c>
      <c r="G475" s="228">
        <v>0</v>
      </c>
      <c r="H475" s="228"/>
      <c r="I475" s="228"/>
      <c r="J475" s="228"/>
      <c r="K475" s="228"/>
      <c r="L475" s="228"/>
      <c r="M475" s="228"/>
      <c r="N475" s="228"/>
      <c r="O475" s="228"/>
      <c r="P475" s="228">
        <v>0</v>
      </c>
      <c r="Q475" s="228">
        <v>0</v>
      </c>
    </row>
    <row r="476" spans="1:17">
      <c r="C476" s="165">
        <v>5360</v>
      </c>
      <c r="D476" s="228">
        <v>0</v>
      </c>
      <c r="E476" s="228">
        <v>0</v>
      </c>
      <c r="F476" s="228"/>
      <c r="G476" s="228"/>
      <c r="H476" s="228"/>
      <c r="I476" s="228"/>
      <c r="J476" s="228"/>
      <c r="K476" s="228"/>
      <c r="L476" s="228"/>
      <c r="M476" s="228"/>
      <c r="N476" s="228"/>
      <c r="O476" s="228"/>
      <c r="P476" s="228">
        <v>0</v>
      </c>
      <c r="Q476" s="228">
        <v>0</v>
      </c>
    </row>
    <row r="477" spans="1:17">
      <c r="B477" s="165" t="s">
        <v>2098</v>
      </c>
      <c r="C477" s="165">
        <v>4500</v>
      </c>
      <c r="D477" s="228"/>
      <c r="E477" s="228"/>
      <c r="F477" s="228"/>
      <c r="G477" s="228"/>
      <c r="H477" s="228"/>
      <c r="I477" s="228"/>
      <c r="J477" s="228">
        <v>2100</v>
      </c>
      <c r="K477" s="228">
        <v>9450000</v>
      </c>
      <c r="L477" s="228"/>
      <c r="M477" s="228"/>
      <c r="N477" s="228"/>
      <c r="O477" s="228"/>
      <c r="P477" s="228">
        <v>2100</v>
      </c>
      <c r="Q477" s="228">
        <v>9450000</v>
      </c>
    </row>
    <row r="478" spans="1:17">
      <c r="C478" s="165">
        <v>4600</v>
      </c>
      <c r="D478" s="228"/>
      <c r="E478" s="228"/>
      <c r="F478" s="228"/>
      <c r="G478" s="228"/>
      <c r="H478" s="228"/>
      <c r="I478" s="228"/>
      <c r="J478" s="228"/>
      <c r="K478" s="228"/>
      <c r="L478" s="228">
        <v>5100</v>
      </c>
      <c r="M478" s="228">
        <v>23460000</v>
      </c>
      <c r="N478" s="228"/>
      <c r="O478" s="228"/>
      <c r="P478" s="228">
        <v>5100</v>
      </c>
      <c r="Q478" s="228">
        <v>23460000</v>
      </c>
    </row>
    <row r="479" spans="1:17">
      <c r="B479" s="165" t="s">
        <v>2100</v>
      </c>
      <c r="C479" s="165">
        <v>5400</v>
      </c>
      <c r="D479" s="228"/>
      <c r="E479" s="228"/>
      <c r="F479" s="228">
        <v>0</v>
      </c>
      <c r="G479" s="228">
        <v>0</v>
      </c>
      <c r="H479" s="228"/>
      <c r="I479" s="228"/>
      <c r="J479" s="228"/>
      <c r="K479" s="228"/>
      <c r="L479" s="228"/>
      <c r="M479" s="228"/>
      <c r="N479" s="228"/>
      <c r="O479" s="228"/>
      <c r="P479" s="228">
        <v>0</v>
      </c>
      <c r="Q479" s="228">
        <v>0</v>
      </c>
    </row>
    <row r="480" spans="1:17">
      <c r="B480" s="165" t="s">
        <v>2101</v>
      </c>
      <c r="C480" s="165">
        <v>8500</v>
      </c>
      <c r="D480" s="228"/>
      <c r="E480" s="228"/>
      <c r="F480" s="228"/>
      <c r="G480" s="228"/>
      <c r="H480" s="228"/>
      <c r="I480" s="228"/>
      <c r="J480" s="228"/>
      <c r="K480" s="228"/>
      <c r="L480" s="228">
        <v>5100</v>
      </c>
      <c r="M480" s="228">
        <v>43350000</v>
      </c>
      <c r="N480" s="228"/>
      <c r="O480" s="228"/>
      <c r="P480" s="228">
        <v>5100</v>
      </c>
      <c r="Q480" s="228">
        <v>43350000</v>
      </c>
    </row>
    <row r="481" spans="1:17">
      <c r="B481" s="165" t="s">
        <v>2104</v>
      </c>
      <c r="C481" s="165">
        <v>6700</v>
      </c>
      <c r="D481" s="228"/>
      <c r="E481" s="228"/>
      <c r="F481" s="228">
        <v>0</v>
      </c>
      <c r="G481" s="228">
        <v>0</v>
      </c>
      <c r="H481" s="228"/>
      <c r="I481" s="228"/>
      <c r="J481" s="228"/>
      <c r="K481" s="228"/>
      <c r="L481" s="228"/>
      <c r="M481" s="228"/>
      <c r="N481" s="228"/>
      <c r="O481" s="228"/>
      <c r="P481" s="228">
        <v>0</v>
      </c>
      <c r="Q481" s="228">
        <v>0</v>
      </c>
    </row>
    <row r="482" spans="1:17">
      <c r="B482" s="165" t="s">
        <v>2106</v>
      </c>
      <c r="C482" s="165">
        <v>15400</v>
      </c>
      <c r="D482" s="228"/>
      <c r="E482" s="228"/>
      <c r="F482" s="228"/>
      <c r="G482" s="228"/>
      <c r="H482" s="228"/>
      <c r="I482" s="228"/>
      <c r="J482" s="228"/>
      <c r="K482" s="228"/>
      <c r="L482" s="228">
        <v>10000</v>
      </c>
      <c r="M482" s="228">
        <v>154000000</v>
      </c>
      <c r="N482" s="228"/>
      <c r="O482" s="228"/>
      <c r="P482" s="228">
        <v>10000</v>
      </c>
      <c r="Q482" s="228">
        <v>154000000</v>
      </c>
    </row>
    <row r="483" spans="1:17">
      <c r="B483" s="165" t="s">
        <v>2129</v>
      </c>
      <c r="C483" s="165">
        <v>5100</v>
      </c>
      <c r="D483" s="228"/>
      <c r="E483" s="228"/>
      <c r="F483" s="228"/>
      <c r="G483" s="228"/>
      <c r="H483" s="228"/>
      <c r="I483" s="228"/>
      <c r="J483" s="228">
        <v>4675</v>
      </c>
      <c r="K483" s="228">
        <v>23842500</v>
      </c>
      <c r="L483" s="228"/>
      <c r="M483" s="228"/>
      <c r="N483" s="228"/>
      <c r="O483" s="228"/>
      <c r="P483" s="228">
        <v>4675</v>
      </c>
      <c r="Q483" s="228">
        <v>23842500</v>
      </c>
    </row>
    <row r="484" spans="1:17">
      <c r="B484" s="165" t="s">
        <v>2130</v>
      </c>
      <c r="C484" s="165">
        <v>5100</v>
      </c>
      <c r="D484" s="228"/>
      <c r="E484" s="228"/>
      <c r="F484" s="228"/>
      <c r="G484" s="228"/>
      <c r="H484" s="228"/>
      <c r="I484" s="228"/>
      <c r="J484" s="228">
        <v>1500</v>
      </c>
      <c r="K484" s="228">
        <v>7650000</v>
      </c>
      <c r="L484" s="228"/>
      <c r="M484" s="228"/>
      <c r="N484" s="228"/>
      <c r="O484" s="228"/>
      <c r="P484" s="228">
        <v>1500</v>
      </c>
      <c r="Q484" s="228">
        <v>7650000</v>
      </c>
    </row>
    <row r="485" spans="1:17">
      <c r="B485" s="165" t="s">
        <v>2140</v>
      </c>
      <c r="C485" s="165">
        <v>3800</v>
      </c>
      <c r="D485" s="228"/>
      <c r="E485" s="228"/>
      <c r="F485" s="228"/>
      <c r="G485" s="228"/>
      <c r="H485" s="228"/>
      <c r="I485" s="228"/>
      <c r="J485" s="228">
        <v>5100</v>
      </c>
      <c r="K485" s="228">
        <v>19380000</v>
      </c>
      <c r="L485" s="228"/>
      <c r="M485" s="228"/>
      <c r="N485" s="228"/>
      <c r="O485" s="228"/>
      <c r="P485" s="228">
        <v>5100</v>
      </c>
      <c r="Q485" s="228">
        <v>19380000</v>
      </c>
    </row>
    <row r="486" spans="1:17">
      <c r="B486" s="165" t="s">
        <v>2009</v>
      </c>
      <c r="C486" s="165">
        <v>5000</v>
      </c>
      <c r="D486" s="228"/>
      <c r="E486" s="228"/>
      <c r="F486" s="228">
        <v>3000</v>
      </c>
      <c r="G486" s="228">
        <v>15000000</v>
      </c>
      <c r="H486" s="228"/>
      <c r="I486" s="228"/>
      <c r="J486" s="228"/>
      <c r="K486" s="228"/>
      <c r="L486" s="228"/>
      <c r="M486" s="228"/>
      <c r="N486" s="228"/>
      <c r="O486" s="228"/>
      <c r="P486" s="228">
        <v>3000</v>
      </c>
      <c r="Q486" s="228">
        <v>15000000</v>
      </c>
    </row>
    <row r="487" spans="1:17">
      <c r="C487" s="165">
        <v>5400</v>
      </c>
      <c r="D487" s="228">
        <v>0</v>
      </c>
      <c r="E487" s="228">
        <v>0</v>
      </c>
      <c r="F487" s="228"/>
      <c r="G487" s="228"/>
      <c r="H487" s="228"/>
      <c r="I487" s="228"/>
      <c r="J487" s="228"/>
      <c r="K487" s="228"/>
      <c r="L487" s="228"/>
      <c r="M487" s="228"/>
      <c r="N487" s="228"/>
      <c r="O487" s="228"/>
      <c r="P487" s="228">
        <v>0</v>
      </c>
      <c r="Q487" s="228">
        <v>0</v>
      </c>
    </row>
    <row r="488" spans="1:17">
      <c r="C488" s="165">
        <v>5700</v>
      </c>
      <c r="D488" s="228"/>
      <c r="E488" s="228"/>
      <c r="F488" s="228"/>
      <c r="G488" s="228"/>
      <c r="H488" s="228"/>
      <c r="I488" s="228"/>
      <c r="J488" s="228"/>
      <c r="K488" s="228"/>
      <c r="L488" s="228">
        <v>5000</v>
      </c>
      <c r="M488" s="228">
        <v>28500000</v>
      </c>
      <c r="N488" s="228"/>
      <c r="O488" s="228"/>
      <c r="P488" s="228">
        <v>5000</v>
      </c>
      <c r="Q488" s="228">
        <v>28500000</v>
      </c>
    </row>
    <row r="489" spans="1:17">
      <c r="B489" s="165" t="s">
        <v>2015</v>
      </c>
      <c r="C489" s="165">
        <v>10700</v>
      </c>
      <c r="D489" s="228"/>
      <c r="E489" s="228"/>
      <c r="F489" s="228"/>
      <c r="G489" s="228"/>
      <c r="H489" s="228"/>
      <c r="I489" s="228"/>
      <c r="J489" s="228"/>
      <c r="K489" s="228"/>
      <c r="L489" s="228">
        <v>10000</v>
      </c>
      <c r="M489" s="228">
        <v>107000000</v>
      </c>
      <c r="N489" s="228"/>
      <c r="O489" s="228"/>
      <c r="P489" s="228">
        <v>10000</v>
      </c>
      <c r="Q489" s="228">
        <v>107000000</v>
      </c>
    </row>
    <row r="490" spans="1:17">
      <c r="B490" s="165" t="s">
        <v>2169</v>
      </c>
      <c r="C490" s="165">
        <v>4600</v>
      </c>
      <c r="D490" s="228"/>
      <c r="E490" s="228"/>
      <c r="F490" s="228">
        <v>0</v>
      </c>
      <c r="G490" s="228">
        <v>0</v>
      </c>
      <c r="H490" s="228"/>
      <c r="I490" s="228"/>
      <c r="J490" s="228"/>
      <c r="K490" s="228"/>
      <c r="L490" s="228"/>
      <c r="M490" s="228"/>
      <c r="N490" s="228"/>
      <c r="O490" s="228"/>
      <c r="P490" s="228">
        <v>0</v>
      </c>
      <c r="Q490" s="228">
        <v>0</v>
      </c>
    </row>
    <row r="491" spans="1:17">
      <c r="B491" s="165" t="s">
        <v>2171</v>
      </c>
      <c r="C491" s="165">
        <v>5500</v>
      </c>
      <c r="D491" s="228"/>
      <c r="E491" s="228"/>
      <c r="F491" s="228">
        <v>0</v>
      </c>
      <c r="G491" s="228">
        <v>0</v>
      </c>
      <c r="H491" s="228"/>
      <c r="I491" s="228"/>
      <c r="J491" s="228"/>
      <c r="K491" s="228"/>
      <c r="L491" s="228"/>
      <c r="M491" s="228"/>
      <c r="N491" s="228"/>
      <c r="O491" s="228"/>
      <c r="P491" s="228">
        <v>0</v>
      </c>
      <c r="Q491" s="228">
        <v>0</v>
      </c>
    </row>
    <row r="492" spans="1:17">
      <c r="B492" s="165" t="s">
        <v>2188</v>
      </c>
      <c r="C492" s="165">
        <v>3800</v>
      </c>
      <c r="D492" s="228"/>
      <c r="E492" s="228"/>
      <c r="F492" s="228">
        <v>0</v>
      </c>
      <c r="G492" s="228">
        <v>0</v>
      </c>
      <c r="H492" s="228"/>
      <c r="I492" s="228"/>
      <c r="J492" s="228"/>
      <c r="K492" s="228"/>
      <c r="L492" s="228"/>
      <c r="M492" s="228"/>
      <c r="N492" s="228"/>
      <c r="O492" s="228"/>
      <c r="P492" s="228">
        <v>0</v>
      </c>
      <c r="Q492" s="228">
        <v>0</v>
      </c>
    </row>
    <row r="493" spans="1:17">
      <c r="C493" s="165">
        <v>4000</v>
      </c>
      <c r="D493" s="228"/>
      <c r="E493" s="228"/>
      <c r="F493" s="228"/>
      <c r="G493" s="228"/>
      <c r="H493" s="228"/>
      <c r="I493" s="228"/>
      <c r="J493" s="228"/>
      <c r="K493" s="228"/>
      <c r="L493" s="228">
        <v>8100</v>
      </c>
      <c r="M493" s="228">
        <v>32400000</v>
      </c>
      <c r="N493" s="228"/>
      <c r="O493" s="228"/>
      <c r="P493" s="228">
        <v>8100</v>
      </c>
      <c r="Q493" s="228">
        <v>32400000</v>
      </c>
    </row>
    <row r="494" spans="1:17">
      <c r="A494" s="165" t="s">
        <v>2240</v>
      </c>
      <c r="B494" s="165"/>
      <c r="C494" s="165"/>
      <c r="D494" s="228">
        <v>0</v>
      </c>
      <c r="E494" s="228">
        <v>0</v>
      </c>
      <c r="F494" s="228">
        <v>3000</v>
      </c>
      <c r="G494" s="228">
        <v>15000000</v>
      </c>
      <c r="H494" s="228"/>
      <c r="I494" s="228"/>
      <c r="J494" s="228">
        <v>13375</v>
      </c>
      <c r="K494" s="228">
        <v>60322500</v>
      </c>
      <c r="L494" s="228">
        <v>64300</v>
      </c>
      <c r="M494" s="228">
        <v>588710000</v>
      </c>
      <c r="N494" s="228"/>
      <c r="O494" s="228"/>
      <c r="P494" s="228">
        <v>80675</v>
      </c>
      <c r="Q494" s="228">
        <v>664032500</v>
      </c>
    </row>
    <row r="495" spans="1:17">
      <c r="A495" s="165" t="s">
        <v>1619</v>
      </c>
      <c r="B495" s="165" t="s">
        <v>2029</v>
      </c>
      <c r="C495" s="165">
        <v>4600</v>
      </c>
      <c r="D495" s="228">
        <v>0</v>
      </c>
      <c r="E495" s="228">
        <v>0</v>
      </c>
      <c r="F495" s="228"/>
      <c r="G495" s="228"/>
      <c r="H495" s="228"/>
      <c r="I495" s="228"/>
      <c r="J495" s="228"/>
      <c r="K495" s="228"/>
      <c r="L495" s="228"/>
      <c r="M495" s="228"/>
      <c r="N495" s="228"/>
      <c r="O495" s="228"/>
      <c r="P495" s="228">
        <v>0</v>
      </c>
      <c r="Q495" s="228">
        <v>0</v>
      </c>
    </row>
    <row r="496" spans="1:17">
      <c r="B496" s="165" t="s">
        <v>2011</v>
      </c>
      <c r="C496" s="165">
        <v>12000</v>
      </c>
      <c r="D496" s="228"/>
      <c r="E496" s="228"/>
      <c r="F496" s="228"/>
      <c r="G496" s="228"/>
      <c r="H496" s="228"/>
      <c r="I496" s="228"/>
      <c r="J496" s="228"/>
      <c r="K496" s="228"/>
      <c r="L496" s="228">
        <v>5000</v>
      </c>
      <c r="M496" s="228">
        <v>60000000</v>
      </c>
      <c r="N496" s="228"/>
      <c r="O496" s="228"/>
      <c r="P496" s="228">
        <v>5000</v>
      </c>
      <c r="Q496" s="228">
        <v>60000000</v>
      </c>
    </row>
    <row r="497" spans="1:17">
      <c r="B497" s="165" t="s">
        <v>2067</v>
      </c>
      <c r="C497" s="165">
        <v>5500</v>
      </c>
      <c r="D497" s="228"/>
      <c r="E497" s="228"/>
      <c r="F497" s="228">
        <v>0</v>
      </c>
      <c r="G497" s="228">
        <v>0</v>
      </c>
      <c r="H497" s="228"/>
      <c r="I497" s="228"/>
      <c r="J497" s="228"/>
      <c r="K497" s="228"/>
      <c r="L497" s="228"/>
      <c r="M497" s="228"/>
      <c r="N497" s="228"/>
      <c r="O497" s="228"/>
      <c r="P497" s="228">
        <v>0</v>
      </c>
      <c r="Q497" s="228">
        <v>0</v>
      </c>
    </row>
    <row r="498" spans="1:17">
      <c r="B498" s="165" t="s">
        <v>2114</v>
      </c>
      <c r="C498" s="165">
        <v>4100</v>
      </c>
      <c r="D498" s="228">
        <v>0</v>
      </c>
      <c r="E498" s="228">
        <v>0</v>
      </c>
      <c r="F498" s="228"/>
      <c r="G498" s="228"/>
      <c r="H498" s="228"/>
      <c r="I498" s="228"/>
      <c r="J498" s="228"/>
      <c r="K498" s="228"/>
      <c r="L498" s="228"/>
      <c r="M498" s="228"/>
      <c r="N498" s="228"/>
      <c r="O498" s="228"/>
      <c r="P498" s="228">
        <v>0</v>
      </c>
      <c r="Q498" s="228">
        <v>0</v>
      </c>
    </row>
    <row r="499" spans="1:17">
      <c r="B499" s="165" t="s">
        <v>2015</v>
      </c>
      <c r="C499" s="165">
        <v>12500</v>
      </c>
      <c r="D499" s="228"/>
      <c r="E499" s="228"/>
      <c r="F499" s="228"/>
      <c r="G499" s="228"/>
      <c r="H499" s="228"/>
      <c r="I499" s="228"/>
      <c r="J499" s="228"/>
      <c r="K499" s="228"/>
      <c r="L499" s="228">
        <v>6000</v>
      </c>
      <c r="M499" s="228">
        <v>75000000</v>
      </c>
      <c r="N499" s="228"/>
      <c r="O499" s="228"/>
      <c r="P499" s="228">
        <v>6000</v>
      </c>
      <c r="Q499" s="228">
        <v>75000000</v>
      </c>
    </row>
    <row r="500" spans="1:17">
      <c r="B500" s="165" t="s">
        <v>2169</v>
      </c>
      <c r="C500" s="165">
        <v>4800</v>
      </c>
      <c r="D500" s="228"/>
      <c r="E500" s="228"/>
      <c r="F500" s="228">
        <v>0</v>
      </c>
      <c r="G500" s="228">
        <v>0</v>
      </c>
      <c r="H500" s="228"/>
      <c r="I500" s="228"/>
      <c r="J500" s="228"/>
      <c r="K500" s="228"/>
      <c r="L500" s="228"/>
      <c r="M500" s="228"/>
      <c r="N500" s="228"/>
      <c r="O500" s="228"/>
      <c r="P500" s="228">
        <v>0</v>
      </c>
      <c r="Q500" s="228">
        <v>0</v>
      </c>
    </row>
    <row r="501" spans="1:17">
      <c r="B501" s="165" t="s">
        <v>2023</v>
      </c>
      <c r="C501" s="165">
        <v>11000</v>
      </c>
      <c r="D501" s="228"/>
      <c r="E501" s="228"/>
      <c r="F501" s="228"/>
      <c r="G501" s="228"/>
      <c r="H501" s="228"/>
      <c r="I501" s="228"/>
      <c r="J501" s="228"/>
      <c r="K501" s="228"/>
      <c r="L501" s="228">
        <v>6000</v>
      </c>
      <c r="M501" s="228">
        <v>66000000</v>
      </c>
      <c r="N501" s="228"/>
      <c r="O501" s="228"/>
      <c r="P501" s="228">
        <v>6000</v>
      </c>
      <c r="Q501" s="228">
        <v>66000000</v>
      </c>
    </row>
    <row r="502" spans="1:17">
      <c r="A502" s="165" t="s">
        <v>2241</v>
      </c>
      <c r="B502" s="165"/>
      <c r="C502" s="165"/>
      <c r="D502" s="228">
        <v>0</v>
      </c>
      <c r="E502" s="228">
        <v>0</v>
      </c>
      <c r="F502" s="228">
        <v>0</v>
      </c>
      <c r="G502" s="228">
        <v>0</v>
      </c>
      <c r="H502" s="228"/>
      <c r="I502" s="228"/>
      <c r="J502" s="228"/>
      <c r="K502" s="228"/>
      <c r="L502" s="228">
        <v>17000</v>
      </c>
      <c r="M502" s="228">
        <v>201000000</v>
      </c>
      <c r="N502" s="228"/>
      <c r="O502" s="228"/>
      <c r="P502" s="228">
        <v>17000</v>
      </c>
      <c r="Q502" s="228">
        <v>201000000</v>
      </c>
    </row>
    <row r="503" spans="1:17">
      <c r="A503" s="165" t="s">
        <v>148</v>
      </c>
      <c r="B503" s="165" t="s">
        <v>2029</v>
      </c>
      <c r="C503" s="165">
        <v>4600</v>
      </c>
      <c r="D503" s="228"/>
      <c r="E503" s="228"/>
      <c r="F503" s="228"/>
      <c r="G503" s="228"/>
      <c r="H503" s="228">
        <v>2700</v>
      </c>
      <c r="I503" s="228">
        <v>12420000</v>
      </c>
      <c r="J503" s="228"/>
      <c r="K503" s="228"/>
      <c r="L503" s="228"/>
      <c r="M503" s="228"/>
      <c r="N503" s="228"/>
      <c r="O503" s="228"/>
      <c r="P503" s="228">
        <v>2700</v>
      </c>
      <c r="Q503" s="228">
        <v>12420000</v>
      </c>
    </row>
    <row r="504" spans="1:17">
      <c r="B504" s="165" t="s">
        <v>2015</v>
      </c>
      <c r="C504" s="165">
        <v>10500</v>
      </c>
      <c r="D504" s="228"/>
      <c r="E504" s="228"/>
      <c r="F504" s="228"/>
      <c r="G504" s="228"/>
      <c r="H504" s="228"/>
      <c r="I504" s="228"/>
      <c r="J504" s="228"/>
      <c r="K504" s="228"/>
      <c r="L504" s="228">
        <v>2000</v>
      </c>
      <c r="M504" s="228">
        <v>21000000</v>
      </c>
      <c r="N504" s="228"/>
      <c r="O504" s="228"/>
      <c r="P504" s="228">
        <v>2000</v>
      </c>
      <c r="Q504" s="228">
        <v>21000000</v>
      </c>
    </row>
    <row r="505" spans="1:17">
      <c r="B505" s="165" t="s">
        <v>2149</v>
      </c>
      <c r="C505" s="165">
        <v>10900</v>
      </c>
      <c r="D505" s="228"/>
      <c r="E505" s="228"/>
      <c r="F505" s="228"/>
      <c r="G505" s="228"/>
      <c r="H505" s="228"/>
      <c r="I505" s="228"/>
      <c r="J505" s="228"/>
      <c r="K505" s="228"/>
      <c r="L505" s="228">
        <v>3000</v>
      </c>
      <c r="M505" s="228">
        <v>32700000</v>
      </c>
      <c r="N505" s="228"/>
      <c r="O505" s="228"/>
      <c r="P505" s="228">
        <v>3000</v>
      </c>
      <c r="Q505" s="228">
        <v>32700000</v>
      </c>
    </row>
    <row r="506" spans="1:17">
      <c r="B506" s="165" t="s">
        <v>2169</v>
      </c>
      <c r="C506" s="165">
        <v>4900</v>
      </c>
      <c r="D506" s="228"/>
      <c r="E506" s="228"/>
      <c r="F506" s="228"/>
      <c r="G506" s="228"/>
      <c r="H506" s="228"/>
      <c r="I506" s="228"/>
      <c r="J506" s="228">
        <v>5100</v>
      </c>
      <c r="K506" s="228">
        <v>24990000</v>
      </c>
      <c r="L506" s="228"/>
      <c r="M506" s="228"/>
      <c r="N506" s="228"/>
      <c r="O506" s="228"/>
      <c r="P506" s="228">
        <v>5100</v>
      </c>
      <c r="Q506" s="228">
        <v>24990000</v>
      </c>
    </row>
    <row r="507" spans="1:17">
      <c r="C507" s="165">
        <v>5000</v>
      </c>
      <c r="D507" s="228"/>
      <c r="E507" s="228"/>
      <c r="F507" s="228"/>
      <c r="G507" s="228"/>
      <c r="H507" s="228">
        <v>2400</v>
      </c>
      <c r="I507" s="228">
        <v>12000000</v>
      </c>
      <c r="J507" s="228"/>
      <c r="K507" s="228"/>
      <c r="L507" s="228"/>
      <c r="M507" s="228"/>
      <c r="N507" s="228"/>
      <c r="O507" s="228"/>
      <c r="P507" s="228">
        <v>2400</v>
      </c>
      <c r="Q507" s="228">
        <v>12000000</v>
      </c>
    </row>
    <row r="508" spans="1:17">
      <c r="B508" s="165" t="s">
        <v>2188</v>
      </c>
      <c r="C508" s="165">
        <v>3800</v>
      </c>
      <c r="D508" s="228"/>
      <c r="E508" s="228"/>
      <c r="F508" s="228">
        <v>0</v>
      </c>
      <c r="G508" s="228">
        <v>0</v>
      </c>
      <c r="H508" s="228"/>
      <c r="I508" s="228"/>
      <c r="J508" s="228"/>
      <c r="K508" s="228"/>
      <c r="L508" s="228"/>
      <c r="M508" s="228"/>
      <c r="N508" s="228"/>
      <c r="O508" s="228"/>
      <c r="P508" s="228">
        <v>0</v>
      </c>
      <c r="Q508" s="228">
        <v>0</v>
      </c>
    </row>
    <row r="509" spans="1:17">
      <c r="C509" s="165">
        <v>3900</v>
      </c>
      <c r="D509" s="228">
        <v>0</v>
      </c>
      <c r="E509" s="228">
        <v>0</v>
      </c>
      <c r="F509" s="228"/>
      <c r="G509" s="228"/>
      <c r="H509" s="228"/>
      <c r="I509" s="228"/>
      <c r="J509" s="228"/>
      <c r="K509" s="228"/>
      <c r="L509" s="228"/>
      <c r="M509" s="228"/>
      <c r="N509" s="228"/>
      <c r="O509" s="228"/>
      <c r="P509" s="228">
        <v>0</v>
      </c>
      <c r="Q509" s="228">
        <v>0</v>
      </c>
    </row>
    <row r="510" spans="1:17">
      <c r="A510" s="165" t="s">
        <v>2242</v>
      </c>
      <c r="B510" s="165"/>
      <c r="C510" s="165"/>
      <c r="D510" s="228">
        <v>0</v>
      </c>
      <c r="E510" s="228">
        <v>0</v>
      </c>
      <c r="F510" s="228">
        <v>0</v>
      </c>
      <c r="G510" s="228">
        <v>0</v>
      </c>
      <c r="H510" s="228">
        <v>5100</v>
      </c>
      <c r="I510" s="228">
        <v>24420000</v>
      </c>
      <c r="J510" s="228">
        <v>5100</v>
      </c>
      <c r="K510" s="228">
        <v>24990000</v>
      </c>
      <c r="L510" s="228">
        <v>5000</v>
      </c>
      <c r="M510" s="228">
        <v>53700000</v>
      </c>
      <c r="N510" s="228"/>
      <c r="O510" s="228"/>
      <c r="P510" s="228">
        <v>15200</v>
      </c>
      <c r="Q510" s="228">
        <v>103110000</v>
      </c>
    </row>
    <row r="511" spans="1:17">
      <c r="A511" s="165" t="s">
        <v>388</v>
      </c>
      <c r="B511" s="165" t="s">
        <v>2011</v>
      </c>
      <c r="C511" s="165">
        <v>10500</v>
      </c>
      <c r="D511" s="228"/>
      <c r="E511" s="228"/>
      <c r="F511" s="228"/>
      <c r="G511" s="228"/>
      <c r="H511" s="228"/>
      <c r="I511" s="228"/>
      <c r="J511" s="228"/>
      <c r="K511" s="228"/>
      <c r="L511" s="228">
        <v>8000</v>
      </c>
      <c r="M511" s="228">
        <v>84000000</v>
      </c>
      <c r="N511" s="228"/>
      <c r="O511" s="228"/>
      <c r="P511" s="228">
        <v>8000</v>
      </c>
      <c r="Q511" s="228">
        <v>84000000</v>
      </c>
    </row>
    <row r="512" spans="1:17">
      <c r="C512" s="165">
        <v>10600</v>
      </c>
      <c r="D512" s="228"/>
      <c r="E512" s="228"/>
      <c r="F512" s="228"/>
      <c r="G512" s="228"/>
      <c r="H512" s="228"/>
      <c r="I512" s="228"/>
      <c r="J512" s="228"/>
      <c r="K512" s="228"/>
      <c r="L512" s="228">
        <v>5000</v>
      </c>
      <c r="M512" s="228">
        <v>53000000</v>
      </c>
      <c r="N512" s="228"/>
      <c r="O512" s="228"/>
      <c r="P512" s="228">
        <v>5000</v>
      </c>
      <c r="Q512" s="228">
        <v>53000000</v>
      </c>
    </row>
    <row r="513" spans="1:17">
      <c r="B513" s="165" t="s">
        <v>2117</v>
      </c>
      <c r="C513" s="165">
        <v>7200</v>
      </c>
      <c r="D513" s="228"/>
      <c r="E513" s="228"/>
      <c r="F513" s="228"/>
      <c r="G513" s="228"/>
      <c r="H513" s="228"/>
      <c r="I513" s="228"/>
      <c r="J513" s="228"/>
      <c r="K513" s="228"/>
      <c r="L513" s="228">
        <v>5100</v>
      </c>
      <c r="M513" s="228">
        <v>36720000</v>
      </c>
      <c r="N513" s="228"/>
      <c r="O513" s="228"/>
      <c r="P513" s="228">
        <v>5100</v>
      </c>
      <c r="Q513" s="228">
        <v>36720000</v>
      </c>
    </row>
    <row r="514" spans="1:17">
      <c r="B514" s="165" t="s">
        <v>2015</v>
      </c>
      <c r="C514" s="165">
        <v>10700</v>
      </c>
      <c r="D514" s="228"/>
      <c r="E514" s="228"/>
      <c r="F514" s="228"/>
      <c r="G514" s="228"/>
      <c r="H514" s="228"/>
      <c r="I514" s="228"/>
      <c r="J514" s="228"/>
      <c r="K514" s="228"/>
      <c r="L514" s="228">
        <v>5000</v>
      </c>
      <c r="M514" s="228">
        <v>53500000</v>
      </c>
      <c r="N514" s="228"/>
      <c r="O514" s="228"/>
      <c r="P514" s="228">
        <v>5000</v>
      </c>
      <c r="Q514" s="228">
        <v>53500000</v>
      </c>
    </row>
    <row r="515" spans="1:17">
      <c r="B515" s="165" t="s">
        <v>2144</v>
      </c>
      <c r="C515" s="165">
        <v>12500</v>
      </c>
      <c r="D515" s="228"/>
      <c r="E515" s="228"/>
      <c r="F515" s="228"/>
      <c r="G515" s="228"/>
      <c r="H515" s="228"/>
      <c r="I515" s="228"/>
      <c r="J515" s="228"/>
      <c r="K515" s="228"/>
      <c r="L515" s="228">
        <v>12000</v>
      </c>
      <c r="M515" s="228">
        <v>150000000</v>
      </c>
      <c r="N515" s="228"/>
      <c r="O515" s="228"/>
      <c r="P515" s="228">
        <v>12000</v>
      </c>
      <c r="Q515" s="228">
        <v>150000000</v>
      </c>
    </row>
    <row r="516" spans="1:17">
      <c r="A516" s="165" t="s">
        <v>2243</v>
      </c>
      <c r="B516" s="165"/>
      <c r="C516" s="165"/>
      <c r="D516" s="228"/>
      <c r="E516" s="228"/>
      <c r="F516" s="228"/>
      <c r="G516" s="228"/>
      <c r="H516" s="228"/>
      <c r="I516" s="228"/>
      <c r="J516" s="228"/>
      <c r="K516" s="228"/>
      <c r="L516" s="228">
        <v>35100</v>
      </c>
      <c r="M516" s="228">
        <v>377220000</v>
      </c>
      <c r="N516" s="228"/>
      <c r="O516" s="228"/>
      <c r="P516" s="228">
        <v>35100</v>
      </c>
      <c r="Q516" s="228">
        <v>377220000</v>
      </c>
    </row>
    <row r="517" spans="1:17">
      <c r="A517" s="165" t="s">
        <v>1167</v>
      </c>
      <c r="B517" s="165" t="s">
        <v>2011</v>
      </c>
      <c r="C517" s="165">
        <v>10600</v>
      </c>
      <c r="D517" s="228"/>
      <c r="E517" s="228"/>
      <c r="F517" s="228"/>
      <c r="G517" s="228"/>
      <c r="H517" s="228"/>
      <c r="I517" s="228"/>
      <c r="J517" s="228"/>
      <c r="K517" s="228"/>
      <c r="L517" s="228">
        <v>20000</v>
      </c>
      <c r="M517" s="228">
        <v>212000000</v>
      </c>
      <c r="N517" s="228"/>
      <c r="O517" s="228"/>
      <c r="P517" s="228">
        <v>20000</v>
      </c>
      <c r="Q517" s="228">
        <v>212000000</v>
      </c>
    </row>
    <row r="518" spans="1:17">
      <c r="B518" s="165" t="s">
        <v>2087</v>
      </c>
      <c r="C518" s="165">
        <v>10100</v>
      </c>
      <c r="D518" s="228"/>
      <c r="E518" s="228"/>
      <c r="F518" s="228"/>
      <c r="G518" s="228"/>
      <c r="H518" s="228"/>
      <c r="I518" s="228"/>
      <c r="J518" s="228"/>
      <c r="K518" s="228"/>
      <c r="L518" s="228">
        <v>20100</v>
      </c>
      <c r="M518" s="228">
        <v>203010000</v>
      </c>
      <c r="N518" s="228"/>
      <c r="O518" s="228"/>
      <c r="P518" s="228">
        <v>20100</v>
      </c>
      <c r="Q518" s="228">
        <v>203010000</v>
      </c>
    </row>
    <row r="519" spans="1:17">
      <c r="B519" s="165" t="s">
        <v>2015</v>
      </c>
      <c r="C519" s="165">
        <v>10700</v>
      </c>
      <c r="D519" s="228">
        <v>0</v>
      </c>
      <c r="E519" s="228">
        <v>0</v>
      </c>
      <c r="F519" s="228"/>
      <c r="G519" s="228"/>
      <c r="H519" s="228"/>
      <c r="I519" s="228"/>
      <c r="J519" s="228"/>
      <c r="K519" s="228"/>
      <c r="L519" s="228"/>
      <c r="M519" s="228"/>
      <c r="N519" s="228"/>
      <c r="O519" s="228"/>
      <c r="P519" s="228">
        <v>0</v>
      </c>
      <c r="Q519" s="228">
        <v>0</v>
      </c>
    </row>
    <row r="520" spans="1:17">
      <c r="A520" s="165" t="s">
        <v>2244</v>
      </c>
      <c r="B520" s="165"/>
      <c r="C520" s="165"/>
      <c r="D520" s="228">
        <v>0</v>
      </c>
      <c r="E520" s="228">
        <v>0</v>
      </c>
      <c r="F520" s="228"/>
      <c r="G520" s="228"/>
      <c r="H520" s="228"/>
      <c r="I520" s="228"/>
      <c r="J520" s="228"/>
      <c r="K520" s="228"/>
      <c r="L520" s="228">
        <v>40100</v>
      </c>
      <c r="M520" s="228">
        <v>415010000</v>
      </c>
      <c r="N520" s="228"/>
      <c r="O520" s="228"/>
      <c r="P520" s="228">
        <v>40100</v>
      </c>
      <c r="Q520" s="228">
        <v>415010000</v>
      </c>
    </row>
    <row r="521" spans="1:17">
      <c r="A521" s="165" t="s">
        <v>253</v>
      </c>
      <c r="B521" s="165" t="s">
        <v>2036</v>
      </c>
      <c r="C521" s="165">
        <v>4500</v>
      </c>
      <c r="D521" s="228"/>
      <c r="E521" s="228"/>
      <c r="F521" s="228">
        <v>0</v>
      </c>
      <c r="G521" s="228">
        <v>0</v>
      </c>
      <c r="H521" s="228"/>
      <c r="I521" s="228"/>
      <c r="J521" s="228"/>
      <c r="K521" s="228"/>
      <c r="L521" s="228"/>
      <c r="M521" s="228"/>
      <c r="N521" s="228"/>
      <c r="O521" s="228"/>
      <c r="P521" s="228">
        <v>0</v>
      </c>
      <c r="Q521" s="228">
        <v>0</v>
      </c>
    </row>
    <row r="522" spans="1:17">
      <c r="B522" s="165" t="s">
        <v>2038</v>
      </c>
      <c r="C522" s="165">
        <v>4500</v>
      </c>
      <c r="D522" s="228"/>
      <c r="E522" s="228"/>
      <c r="F522" s="228"/>
      <c r="G522" s="228"/>
      <c r="H522" s="228"/>
      <c r="I522" s="228"/>
      <c r="J522" s="228">
        <v>2100</v>
      </c>
      <c r="K522" s="228">
        <v>9450000</v>
      </c>
      <c r="L522" s="228"/>
      <c r="M522" s="228"/>
      <c r="N522" s="228"/>
      <c r="O522" s="228"/>
      <c r="P522" s="228">
        <v>2100</v>
      </c>
      <c r="Q522" s="228">
        <v>9450000</v>
      </c>
    </row>
    <row r="523" spans="1:17">
      <c r="B523" s="165" t="s">
        <v>2039</v>
      </c>
      <c r="C523" s="165">
        <v>7000</v>
      </c>
      <c r="D523" s="228"/>
      <c r="E523" s="228"/>
      <c r="F523" s="228">
        <v>0</v>
      </c>
      <c r="G523" s="228">
        <v>0</v>
      </c>
      <c r="H523" s="228"/>
      <c r="I523" s="228"/>
      <c r="J523" s="228"/>
      <c r="K523" s="228"/>
      <c r="L523" s="228"/>
      <c r="M523" s="228"/>
      <c r="N523" s="228"/>
      <c r="O523" s="228"/>
      <c r="P523" s="228">
        <v>0</v>
      </c>
      <c r="Q523" s="228">
        <v>0</v>
      </c>
    </row>
    <row r="524" spans="1:17">
      <c r="B524" s="165" t="s">
        <v>2040</v>
      </c>
      <c r="C524" s="165">
        <v>9000</v>
      </c>
      <c r="D524" s="228"/>
      <c r="E524" s="228"/>
      <c r="F524" s="228"/>
      <c r="G524" s="228"/>
      <c r="H524" s="228"/>
      <c r="I524" s="228"/>
      <c r="J524" s="228"/>
      <c r="K524" s="228"/>
      <c r="L524" s="228">
        <v>4650</v>
      </c>
      <c r="M524" s="228">
        <v>41850000</v>
      </c>
      <c r="N524" s="228"/>
      <c r="O524" s="228"/>
      <c r="P524" s="228">
        <v>4650</v>
      </c>
      <c r="Q524" s="228">
        <v>41850000</v>
      </c>
    </row>
    <row r="525" spans="1:17">
      <c r="B525" s="165" t="s">
        <v>2008</v>
      </c>
      <c r="C525" s="165">
        <v>4700</v>
      </c>
      <c r="D525" s="228"/>
      <c r="E525" s="228"/>
      <c r="F525" s="228">
        <v>0</v>
      </c>
      <c r="G525" s="228">
        <v>0</v>
      </c>
      <c r="H525" s="228"/>
      <c r="I525" s="228"/>
      <c r="J525" s="228"/>
      <c r="K525" s="228"/>
      <c r="L525" s="228"/>
      <c r="M525" s="228"/>
      <c r="N525" s="228"/>
      <c r="O525" s="228"/>
      <c r="P525" s="228">
        <v>0</v>
      </c>
      <c r="Q525" s="228">
        <v>0</v>
      </c>
    </row>
    <row r="526" spans="1:17">
      <c r="C526" s="165">
        <v>5000</v>
      </c>
      <c r="D526" s="228"/>
      <c r="E526" s="228"/>
      <c r="F526" s="228">
        <v>0</v>
      </c>
      <c r="G526" s="228">
        <v>0</v>
      </c>
      <c r="H526" s="228"/>
      <c r="I526" s="228"/>
      <c r="J526" s="228"/>
      <c r="K526" s="228"/>
      <c r="L526" s="228"/>
      <c r="M526" s="228"/>
      <c r="N526" s="228"/>
      <c r="O526" s="228"/>
      <c r="P526" s="228">
        <v>0</v>
      </c>
      <c r="Q526" s="228">
        <v>0</v>
      </c>
    </row>
    <row r="527" spans="1:17">
      <c r="B527" s="165" t="s">
        <v>2060</v>
      </c>
      <c r="C527" s="165">
        <v>8000</v>
      </c>
      <c r="D527" s="228"/>
      <c r="E527" s="228"/>
      <c r="F527" s="228"/>
      <c r="G527" s="228"/>
      <c r="H527" s="228"/>
      <c r="I527" s="228"/>
      <c r="J527" s="228"/>
      <c r="K527" s="228"/>
      <c r="L527" s="228">
        <v>9000</v>
      </c>
      <c r="M527" s="228">
        <v>72000000</v>
      </c>
      <c r="N527" s="228"/>
      <c r="O527" s="228"/>
      <c r="P527" s="228">
        <v>9000</v>
      </c>
      <c r="Q527" s="228">
        <v>72000000</v>
      </c>
    </row>
    <row r="528" spans="1:17">
      <c r="B528" s="165" t="s">
        <v>2011</v>
      </c>
      <c r="C528" s="165">
        <v>10500</v>
      </c>
      <c r="D528" s="228"/>
      <c r="E528" s="228"/>
      <c r="F528" s="228"/>
      <c r="G528" s="228"/>
      <c r="H528" s="228"/>
      <c r="I528" s="228"/>
      <c r="J528" s="228"/>
      <c r="K528" s="228"/>
      <c r="L528" s="228">
        <v>16000</v>
      </c>
      <c r="M528" s="228">
        <v>168000000</v>
      </c>
      <c r="N528" s="228"/>
      <c r="O528" s="228"/>
      <c r="P528" s="228">
        <v>16000</v>
      </c>
      <c r="Q528" s="228">
        <v>168000000</v>
      </c>
    </row>
    <row r="529" spans="2:17">
      <c r="B529" s="165" t="s">
        <v>2063</v>
      </c>
      <c r="C529" s="165">
        <v>12500</v>
      </c>
      <c r="D529" s="228"/>
      <c r="E529" s="228"/>
      <c r="F529" s="228"/>
      <c r="G529" s="228"/>
      <c r="H529" s="228"/>
      <c r="I529" s="228"/>
      <c r="J529" s="228"/>
      <c r="K529" s="228"/>
      <c r="L529" s="228">
        <v>5000</v>
      </c>
      <c r="M529" s="228">
        <v>62500000</v>
      </c>
      <c r="N529" s="228"/>
      <c r="O529" s="228"/>
      <c r="P529" s="228">
        <v>5000</v>
      </c>
      <c r="Q529" s="228">
        <v>62500000</v>
      </c>
    </row>
    <row r="530" spans="2:17">
      <c r="B530" s="165" t="s">
        <v>2104</v>
      </c>
      <c r="C530" s="165">
        <v>6700</v>
      </c>
      <c r="D530" s="228"/>
      <c r="E530" s="228"/>
      <c r="F530" s="228">
        <v>0</v>
      </c>
      <c r="G530" s="228">
        <v>0</v>
      </c>
      <c r="H530" s="228"/>
      <c r="I530" s="228"/>
      <c r="J530" s="228"/>
      <c r="K530" s="228"/>
      <c r="L530" s="228"/>
      <c r="M530" s="228"/>
      <c r="N530" s="228"/>
      <c r="O530" s="228"/>
      <c r="P530" s="228">
        <v>0</v>
      </c>
      <c r="Q530" s="228">
        <v>0</v>
      </c>
    </row>
    <row r="531" spans="2:17">
      <c r="B531" s="165" t="s">
        <v>2016</v>
      </c>
      <c r="C531" s="165">
        <v>13500</v>
      </c>
      <c r="D531" s="228"/>
      <c r="E531" s="228"/>
      <c r="F531" s="228"/>
      <c r="G531" s="228"/>
      <c r="H531" s="228"/>
      <c r="I531" s="228"/>
      <c r="J531" s="228"/>
      <c r="K531" s="228"/>
      <c r="L531" s="228">
        <v>5000</v>
      </c>
      <c r="M531" s="228">
        <v>67500000</v>
      </c>
      <c r="N531" s="228"/>
      <c r="O531" s="228"/>
      <c r="P531" s="228">
        <v>5000</v>
      </c>
      <c r="Q531" s="228">
        <v>67500000</v>
      </c>
    </row>
    <row r="532" spans="2:17">
      <c r="B532" s="165" t="s">
        <v>2106</v>
      </c>
      <c r="C532" s="165">
        <v>15200</v>
      </c>
      <c r="D532" s="228"/>
      <c r="E532" s="228"/>
      <c r="F532" s="228"/>
      <c r="G532" s="228"/>
      <c r="H532" s="228"/>
      <c r="I532" s="228"/>
      <c r="J532" s="228"/>
      <c r="K532" s="228"/>
      <c r="L532" s="228">
        <v>3000</v>
      </c>
      <c r="M532" s="228">
        <v>45600000</v>
      </c>
      <c r="N532" s="228"/>
      <c r="O532" s="228"/>
      <c r="P532" s="228">
        <v>3000</v>
      </c>
      <c r="Q532" s="228">
        <v>45600000</v>
      </c>
    </row>
    <row r="533" spans="2:17">
      <c r="B533" s="165" t="s">
        <v>2107</v>
      </c>
      <c r="C533" s="165">
        <v>16000</v>
      </c>
      <c r="D533" s="228"/>
      <c r="E533" s="228"/>
      <c r="F533" s="228"/>
      <c r="G533" s="228"/>
      <c r="H533" s="228"/>
      <c r="I533" s="228"/>
      <c r="J533" s="228"/>
      <c r="K533" s="228"/>
      <c r="L533" s="228">
        <v>4050</v>
      </c>
      <c r="M533" s="228">
        <v>64800000</v>
      </c>
      <c r="N533" s="228"/>
      <c r="O533" s="228"/>
      <c r="P533" s="228">
        <v>4050</v>
      </c>
      <c r="Q533" s="228">
        <v>64800000</v>
      </c>
    </row>
    <row r="534" spans="2:17">
      <c r="B534" s="165" t="s">
        <v>2108</v>
      </c>
      <c r="C534" s="165">
        <v>6000</v>
      </c>
      <c r="D534" s="228"/>
      <c r="E534" s="228"/>
      <c r="F534" s="228">
        <v>0</v>
      </c>
      <c r="G534" s="228">
        <v>0</v>
      </c>
      <c r="H534" s="228"/>
      <c r="I534" s="228"/>
      <c r="J534" s="228"/>
      <c r="K534" s="228"/>
      <c r="L534" s="228"/>
      <c r="M534" s="228"/>
      <c r="N534" s="228"/>
      <c r="O534" s="228"/>
      <c r="P534" s="228">
        <v>0</v>
      </c>
      <c r="Q534" s="228">
        <v>0</v>
      </c>
    </row>
    <row r="535" spans="2:17">
      <c r="B535" s="165" t="s">
        <v>2115</v>
      </c>
      <c r="C535" s="165">
        <v>8000</v>
      </c>
      <c r="D535" s="228"/>
      <c r="E535" s="228"/>
      <c r="F535" s="228">
        <v>0</v>
      </c>
      <c r="G535" s="228">
        <v>0</v>
      </c>
      <c r="H535" s="228"/>
      <c r="I535" s="228"/>
      <c r="J535" s="228"/>
      <c r="K535" s="228"/>
      <c r="L535" s="228"/>
      <c r="M535" s="228"/>
      <c r="N535" s="228"/>
      <c r="O535" s="228"/>
      <c r="P535" s="228">
        <v>0</v>
      </c>
      <c r="Q535" s="228">
        <v>0</v>
      </c>
    </row>
    <row r="536" spans="2:17">
      <c r="B536" s="165" t="s">
        <v>2137</v>
      </c>
      <c r="C536" s="165">
        <v>14600</v>
      </c>
      <c r="D536" s="228"/>
      <c r="E536" s="228"/>
      <c r="F536" s="228"/>
      <c r="G536" s="228"/>
      <c r="H536" s="228"/>
      <c r="I536" s="228"/>
      <c r="J536" s="228"/>
      <c r="K536" s="228"/>
      <c r="L536" s="228">
        <v>3000</v>
      </c>
      <c r="M536" s="228">
        <v>43800000</v>
      </c>
      <c r="N536" s="228"/>
      <c r="O536" s="228"/>
      <c r="P536" s="228">
        <v>3000</v>
      </c>
      <c r="Q536" s="228">
        <v>43800000</v>
      </c>
    </row>
    <row r="537" spans="2:17">
      <c r="B537" s="165" t="s">
        <v>2009</v>
      </c>
      <c r="C537" s="165">
        <v>4800</v>
      </c>
      <c r="D537" s="228"/>
      <c r="E537" s="228"/>
      <c r="F537" s="228">
        <v>0</v>
      </c>
      <c r="G537" s="228">
        <v>0</v>
      </c>
      <c r="H537" s="228"/>
      <c r="I537" s="228"/>
      <c r="J537" s="228"/>
      <c r="K537" s="228"/>
      <c r="L537" s="228"/>
      <c r="M537" s="228"/>
      <c r="N537" s="228"/>
      <c r="O537" s="228"/>
      <c r="P537" s="228">
        <v>0</v>
      </c>
      <c r="Q537" s="228">
        <v>0</v>
      </c>
    </row>
    <row r="538" spans="2:17">
      <c r="C538" s="165">
        <v>5400</v>
      </c>
      <c r="D538" s="228"/>
      <c r="E538" s="228"/>
      <c r="F538" s="228">
        <v>0</v>
      </c>
      <c r="G538" s="228">
        <v>0</v>
      </c>
      <c r="H538" s="228"/>
      <c r="I538" s="228"/>
      <c r="J538" s="228"/>
      <c r="K538" s="228"/>
      <c r="L538" s="228"/>
      <c r="M538" s="228"/>
      <c r="N538" s="228"/>
      <c r="O538" s="228"/>
      <c r="P538" s="228">
        <v>0</v>
      </c>
      <c r="Q538" s="228">
        <v>0</v>
      </c>
    </row>
    <row r="539" spans="2:17">
      <c r="C539" s="165">
        <v>5500</v>
      </c>
      <c r="D539" s="228"/>
      <c r="E539" s="228"/>
      <c r="F539" s="228"/>
      <c r="G539" s="228"/>
      <c r="H539" s="228">
        <v>14000</v>
      </c>
      <c r="I539" s="228">
        <v>77000000</v>
      </c>
      <c r="J539" s="228">
        <v>7000</v>
      </c>
      <c r="K539" s="228">
        <v>38500000</v>
      </c>
      <c r="L539" s="228"/>
      <c r="M539" s="228"/>
      <c r="N539" s="228"/>
      <c r="O539" s="228"/>
      <c r="P539" s="228">
        <v>21000</v>
      </c>
      <c r="Q539" s="228">
        <v>115500000</v>
      </c>
    </row>
    <row r="540" spans="2:17">
      <c r="C540" s="165" t="s">
        <v>1471</v>
      </c>
      <c r="D540" s="228"/>
      <c r="E540" s="228"/>
      <c r="F540" s="228"/>
      <c r="G540" s="228"/>
      <c r="H540" s="228"/>
      <c r="I540" s="228"/>
      <c r="J540" s="228"/>
      <c r="K540" s="228"/>
      <c r="L540" s="228">
        <v>65000</v>
      </c>
      <c r="M540" s="228" t="e">
        <v>#VALUE!</v>
      </c>
      <c r="N540" s="228"/>
      <c r="O540" s="228"/>
      <c r="P540" s="228">
        <v>65000</v>
      </c>
      <c r="Q540" s="228" t="e">
        <v>#VALUE!</v>
      </c>
    </row>
    <row r="541" spans="2:17">
      <c r="B541" s="165" t="s">
        <v>1872</v>
      </c>
      <c r="C541" s="165">
        <v>7700</v>
      </c>
      <c r="D541" s="228"/>
      <c r="E541" s="228"/>
      <c r="F541" s="228"/>
      <c r="G541" s="228"/>
      <c r="H541" s="228"/>
      <c r="I541" s="228"/>
      <c r="J541" s="228"/>
      <c r="K541" s="228"/>
      <c r="L541" s="228">
        <v>6000</v>
      </c>
      <c r="M541" s="228">
        <v>46200000</v>
      </c>
      <c r="N541" s="228"/>
      <c r="O541" s="228"/>
      <c r="P541" s="228">
        <v>6000</v>
      </c>
      <c r="Q541" s="228">
        <v>46200000</v>
      </c>
    </row>
    <row r="542" spans="2:17">
      <c r="B542" s="165" t="s">
        <v>2015</v>
      </c>
      <c r="C542" s="165">
        <v>10500</v>
      </c>
      <c r="D542" s="228"/>
      <c r="E542" s="228"/>
      <c r="F542" s="228"/>
      <c r="G542" s="228"/>
      <c r="H542" s="228"/>
      <c r="I542" s="228"/>
      <c r="J542" s="228"/>
      <c r="K542" s="228"/>
      <c r="L542" s="228">
        <v>9000</v>
      </c>
      <c r="M542" s="228">
        <v>94500000</v>
      </c>
      <c r="N542" s="228"/>
      <c r="O542" s="228"/>
      <c r="P542" s="228">
        <v>9000</v>
      </c>
      <c r="Q542" s="228">
        <v>94500000</v>
      </c>
    </row>
    <row r="543" spans="2:17">
      <c r="C543" s="165">
        <v>10700</v>
      </c>
      <c r="D543" s="228"/>
      <c r="E543" s="228"/>
      <c r="F543" s="228"/>
      <c r="G543" s="228"/>
      <c r="H543" s="228"/>
      <c r="I543" s="228"/>
      <c r="J543" s="228"/>
      <c r="K543" s="228"/>
      <c r="L543" s="228">
        <v>4000</v>
      </c>
      <c r="M543" s="228">
        <v>42800000</v>
      </c>
      <c r="N543" s="228"/>
      <c r="O543" s="228"/>
      <c r="P543" s="228">
        <v>4000</v>
      </c>
      <c r="Q543" s="228">
        <v>42800000</v>
      </c>
    </row>
    <row r="544" spans="2:17">
      <c r="B544" s="165" t="s">
        <v>2144</v>
      </c>
      <c r="C544" s="165">
        <v>12500</v>
      </c>
      <c r="D544" s="228"/>
      <c r="E544" s="228"/>
      <c r="F544" s="228"/>
      <c r="G544" s="228"/>
      <c r="H544" s="228"/>
      <c r="I544" s="228"/>
      <c r="J544" s="228"/>
      <c r="K544" s="228"/>
      <c r="L544" s="228">
        <v>5000</v>
      </c>
      <c r="M544" s="228">
        <v>62500000</v>
      </c>
      <c r="N544" s="228"/>
      <c r="O544" s="228"/>
      <c r="P544" s="228">
        <v>5000</v>
      </c>
      <c r="Q544" s="228">
        <v>62500000</v>
      </c>
    </row>
    <row r="545" spans="1:17">
      <c r="B545" s="165" t="s">
        <v>1878</v>
      </c>
      <c r="C545" s="165">
        <v>3500</v>
      </c>
      <c r="D545" s="228"/>
      <c r="E545" s="228"/>
      <c r="F545" s="228">
        <v>0</v>
      </c>
      <c r="G545" s="228">
        <v>0</v>
      </c>
      <c r="H545" s="228"/>
      <c r="I545" s="228"/>
      <c r="J545" s="228"/>
      <c r="K545" s="228"/>
      <c r="L545" s="228"/>
      <c r="M545" s="228"/>
      <c r="N545" s="228"/>
      <c r="O545" s="228"/>
      <c r="P545" s="228">
        <v>0</v>
      </c>
      <c r="Q545" s="228">
        <v>0</v>
      </c>
    </row>
    <row r="546" spans="1:17">
      <c r="B546" s="165" t="s">
        <v>2169</v>
      </c>
      <c r="C546" s="165">
        <v>4800</v>
      </c>
      <c r="D546" s="228"/>
      <c r="E546" s="228"/>
      <c r="F546" s="228">
        <v>1500</v>
      </c>
      <c r="G546" s="228">
        <v>7200000</v>
      </c>
      <c r="H546" s="228">
        <v>9000</v>
      </c>
      <c r="I546" s="228">
        <v>43200000</v>
      </c>
      <c r="J546" s="228">
        <v>9000</v>
      </c>
      <c r="K546" s="228">
        <v>43200000</v>
      </c>
      <c r="L546" s="228"/>
      <c r="M546" s="228"/>
      <c r="N546" s="228"/>
      <c r="O546" s="228"/>
      <c r="P546" s="228">
        <v>19500</v>
      </c>
      <c r="Q546" s="228">
        <v>93600000</v>
      </c>
    </row>
    <row r="547" spans="1:17">
      <c r="B547" s="165" t="s">
        <v>2186</v>
      </c>
      <c r="C547" s="165">
        <v>2600</v>
      </c>
      <c r="D547" s="228"/>
      <c r="E547" s="228"/>
      <c r="F547" s="228">
        <v>0</v>
      </c>
      <c r="G547" s="228">
        <v>0</v>
      </c>
      <c r="H547" s="228"/>
      <c r="I547" s="228"/>
      <c r="J547" s="228"/>
      <c r="K547" s="228"/>
      <c r="L547" s="228"/>
      <c r="M547" s="228"/>
      <c r="N547" s="228"/>
      <c r="O547" s="228"/>
      <c r="P547" s="228">
        <v>0</v>
      </c>
      <c r="Q547" s="228">
        <v>0</v>
      </c>
    </row>
    <row r="548" spans="1:17">
      <c r="C548" s="165">
        <v>2700</v>
      </c>
      <c r="D548" s="228"/>
      <c r="E548" s="228"/>
      <c r="F548" s="228">
        <v>0</v>
      </c>
      <c r="G548" s="228">
        <v>0</v>
      </c>
      <c r="H548" s="228"/>
      <c r="I548" s="228"/>
      <c r="J548" s="228"/>
      <c r="K548" s="228"/>
      <c r="L548" s="228"/>
      <c r="M548" s="228"/>
      <c r="N548" s="228"/>
      <c r="O548" s="228"/>
      <c r="P548" s="228">
        <v>0</v>
      </c>
      <c r="Q548" s="228">
        <v>0</v>
      </c>
    </row>
    <row r="549" spans="1:17">
      <c r="B549" s="165" t="s">
        <v>2187</v>
      </c>
      <c r="C549" s="165">
        <v>3000</v>
      </c>
      <c r="D549" s="228"/>
      <c r="E549" s="228"/>
      <c r="F549" s="228">
        <v>0</v>
      </c>
      <c r="G549" s="228">
        <v>0</v>
      </c>
      <c r="H549" s="228"/>
      <c r="I549" s="228"/>
      <c r="J549" s="228"/>
      <c r="K549" s="228"/>
      <c r="L549" s="228"/>
      <c r="M549" s="228"/>
      <c r="N549" s="228"/>
      <c r="O549" s="228"/>
      <c r="P549" s="228">
        <v>0</v>
      </c>
      <c r="Q549" s="228">
        <v>0</v>
      </c>
    </row>
    <row r="550" spans="1:17">
      <c r="B550" s="165" t="s">
        <v>2189</v>
      </c>
      <c r="C550" s="165">
        <v>3800</v>
      </c>
      <c r="D550" s="228"/>
      <c r="E550" s="228"/>
      <c r="F550" s="228">
        <v>0</v>
      </c>
      <c r="G550" s="228">
        <v>0</v>
      </c>
      <c r="H550" s="228"/>
      <c r="I550" s="228"/>
      <c r="J550" s="228"/>
      <c r="K550" s="228"/>
      <c r="L550" s="228"/>
      <c r="M550" s="228"/>
      <c r="N550" s="228"/>
      <c r="O550" s="228"/>
      <c r="P550" s="228">
        <v>0</v>
      </c>
      <c r="Q550" s="228">
        <v>0</v>
      </c>
    </row>
    <row r="551" spans="1:17">
      <c r="A551" s="165" t="s">
        <v>2245</v>
      </c>
      <c r="B551" s="165"/>
      <c r="C551" s="165"/>
      <c r="D551" s="228"/>
      <c r="E551" s="228"/>
      <c r="F551" s="228">
        <v>1500</v>
      </c>
      <c r="G551" s="228">
        <v>7200000</v>
      </c>
      <c r="H551" s="228">
        <v>23000</v>
      </c>
      <c r="I551" s="228">
        <v>120200000</v>
      </c>
      <c r="J551" s="228">
        <v>18100</v>
      </c>
      <c r="K551" s="228">
        <v>91150000</v>
      </c>
      <c r="L551" s="228">
        <v>138700</v>
      </c>
      <c r="M551" s="228" t="e">
        <v>#VALUE!</v>
      </c>
      <c r="N551" s="228"/>
      <c r="O551" s="228"/>
      <c r="P551" s="228">
        <v>181300</v>
      </c>
      <c r="Q551" s="228" t="e">
        <v>#VALUE!</v>
      </c>
    </row>
    <row r="552" spans="1:17">
      <c r="A552" s="165" t="s">
        <v>1818</v>
      </c>
      <c r="B552" s="165" t="s">
        <v>2060</v>
      </c>
      <c r="C552" s="165">
        <v>8000</v>
      </c>
      <c r="D552" s="228"/>
      <c r="E552" s="228"/>
      <c r="F552" s="228"/>
      <c r="G552" s="228"/>
      <c r="H552" s="228"/>
      <c r="I552" s="228"/>
      <c r="J552" s="228"/>
      <c r="K552" s="228"/>
      <c r="L552" s="228">
        <v>5100</v>
      </c>
      <c r="M552" s="228">
        <v>40800000</v>
      </c>
      <c r="N552" s="228"/>
      <c r="O552" s="228"/>
      <c r="P552" s="228">
        <v>5100</v>
      </c>
      <c r="Q552" s="228">
        <v>40800000</v>
      </c>
    </row>
    <row r="553" spans="1:17">
      <c r="B553" s="165" t="s">
        <v>2011</v>
      </c>
      <c r="C553" s="165">
        <v>10600</v>
      </c>
      <c r="D553" s="228"/>
      <c r="E553" s="228"/>
      <c r="F553" s="228"/>
      <c r="G553" s="228"/>
      <c r="H553" s="228"/>
      <c r="I553" s="228"/>
      <c r="J553" s="228"/>
      <c r="K553" s="228"/>
      <c r="L553" s="228">
        <v>10000</v>
      </c>
      <c r="M553" s="228">
        <v>106000000</v>
      </c>
      <c r="N553" s="228"/>
      <c r="O553" s="228"/>
      <c r="P553" s="228">
        <v>10000</v>
      </c>
      <c r="Q553" s="228">
        <v>106000000</v>
      </c>
    </row>
    <row r="554" spans="1:17">
      <c r="B554" s="165" t="s">
        <v>2062</v>
      </c>
      <c r="C554" s="165">
        <v>12000</v>
      </c>
      <c r="D554" s="228"/>
      <c r="E554" s="228"/>
      <c r="F554" s="228"/>
      <c r="G554" s="228"/>
      <c r="H554" s="228"/>
      <c r="I554" s="228"/>
      <c r="J554" s="228"/>
      <c r="K554" s="228"/>
      <c r="L554" s="228">
        <v>5000</v>
      </c>
      <c r="M554" s="228">
        <v>60000000</v>
      </c>
      <c r="N554" s="228"/>
      <c r="O554" s="228"/>
      <c r="P554" s="228">
        <v>5000</v>
      </c>
      <c r="Q554" s="228">
        <v>60000000</v>
      </c>
    </row>
    <row r="555" spans="1:17">
      <c r="A555" s="165" t="s">
        <v>2246</v>
      </c>
      <c r="B555" s="165"/>
      <c r="C555" s="165"/>
      <c r="D555" s="228"/>
      <c r="E555" s="228"/>
      <c r="F555" s="228"/>
      <c r="G555" s="228"/>
      <c r="H555" s="228"/>
      <c r="I555" s="228"/>
      <c r="J555" s="228"/>
      <c r="K555" s="228"/>
      <c r="L555" s="228">
        <v>20100</v>
      </c>
      <c r="M555" s="228">
        <v>206800000</v>
      </c>
      <c r="N555" s="228"/>
      <c r="O555" s="228"/>
      <c r="P555" s="228">
        <v>20100</v>
      </c>
      <c r="Q555" s="228">
        <v>206800000</v>
      </c>
    </row>
    <row r="556" spans="1:17">
      <c r="A556" s="165" t="s">
        <v>95</v>
      </c>
      <c r="B556" s="165" t="s">
        <v>2078</v>
      </c>
      <c r="C556" s="165">
        <v>7400</v>
      </c>
      <c r="D556" s="228"/>
      <c r="E556" s="228"/>
      <c r="F556" s="228">
        <v>0</v>
      </c>
      <c r="G556" s="228">
        <v>0</v>
      </c>
      <c r="H556" s="228"/>
      <c r="I556" s="228"/>
      <c r="J556" s="228"/>
      <c r="K556" s="228"/>
      <c r="L556" s="228"/>
      <c r="M556" s="228"/>
      <c r="N556" s="228"/>
      <c r="O556" s="228"/>
      <c r="P556" s="228">
        <v>0</v>
      </c>
      <c r="Q556" s="228">
        <v>0</v>
      </c>
    </row>
    <row r="557" spans="1:17">
      <c r="B557" s="165" t="s">
        <v>2016</v>
      </c>
      <c r="C557" s="165">
        <v>14600</v>
      </c>
      <c r="D557" s="228"/>
      <c r="E557" s="228"/>
      <c r="F557" s="228"/>
      <c r="G557" s="228"/>
      <c r="H557" s="228"/>
      <c r="I557" s="228"/>
      <c r="J557" s="228"/>
      <c r="K557" s="228"/>
      <c r="L557" s="228">
        <v>2000</v>
      </c>
      <c r="M557" s="228">
        <v>29200000</v>
      </c>
      <c r="N557" s="228"/>
      <c r="O557" s="228"/>
      <c r="P557" s="228">
        <v>2000</v>
      </c>
      <c r="Q557" s="228">
        <v>29200000</v>
      </c>
    </row>
    <row r="558" spans="1:17">
      <c r="B558" s="165" t="s">
        <v>1872</v>
      </c>
      <c r="C558" s="165">
        <v>6300</v>
      </c>
      <c r="D558" s="228"/>
      <c r="E558" s="228"/>
      <c r="F558" s="228">
        <v>0</v>
      </c>
      <c r="G558" s="228">
        <v>0</v>
      </c>
      <c r="H558" s="228"/>
      <c r="I558" s="228"/>
      <c r="J558" s="228"/>
      <c r="K558" s="228"/>
      <c r="L558" s="228"/>
      <c r="M558" s="228"/>
      <c r="N558" s="228"/>
      <c r="O558" s="228"/>
      <c r="P558" s="228">
        <v>0</v>
      </c>
      <c r="Q558" s="228">
        <v>0</v>
      </c>
    </row>
    <row r="559" spans="1:17">
      <c r="B559" s="165" t="s">
        <v>2015</v>
      </c>
      <c r="C559" s="165">
        <v>11700</v>
      </c>
      <c r="D559" s="228"/>
      <c r="E559" s="228"/>
      <c r="F559" s="228"/>
      <c r="G559" s="228"/>
      <c r="H559" s="228"/>
      <c r="I559" s="228"/>
      <c r="J559" s="228"/>
      <c r="K559" s="228"/>
      <c r="L559" s="228">
        <v>1000</v>
      </c>
      <c r="M559" s="228">
        <v>11700000</v>
      </c>
      <c r="N559" s="228"/>
      <c r="O559" s="228"/>
      <c r="P559" s="228">
        <v>1000</v>
      </c>
      <c r="Q559" s="228">
        <v>11700000</v>
      </c>
    </row>
    <row r="560" spans="1:17">
      <c r="B560" s="165" t="s">
        <v>2154</v>
      </c>
      <c r="C560" s="165">
        <v>7700</v>
      </c>
      <c r="D560" s="228"/>
      <c r="E560" s="228"/>
      <c r="F560" s="228"/>
      <c r="G560" s="228"/>
      <c r="H560" s="228"/>
      <c r="I560" s="228"/>
      <c r="J560" s="228"/>
      <c r="K560" s="228"/>
      <c r="L560" s="228">
        <v>2100</v>
      </c>
      <c r="M560" s="228">
        <v>16170000</v>
      </c>
      <c r="N560" s="228"/>
      <c r="O560" s="228"/>
      <c r="P560" s="228">
        <v>2100</v>
      </c>
      <c r="Q560" s="228">
        <v>16170000</v>
      </c>
    </row>
    <row r="561" spans="1:17">
      <c r="A561" s="165" t="s">
        <v>2247</v>
      </c>
      <c r="B561" s="165"/>
      <c r="C561" s="165"/>
      <c r="D561" s="228"/>
      <c r="E561" s="228"/>
      <c r="F561" s="228">
        <v>0</v>
      </c>
      <c r="G561" s="228">
        <v>0</v>
      </c>
      <c r="H561" s="228"/>
      <c r="I561" s="228"/>
      <c r="J561" s="228"/>
      <c r="K561" s="228"/>
      <c r="L561" s="228">
        <v>5100</v>
      </c>
      <c r="M561" s="228">
        <v>57070000</v>
      </c>
      <c r="N561" s="228"/>
      <c r="O561" s="228"/>
      <c r="P561" s="228">
        <v>5100</v>
      </c>
      <c r="Q561" s="228">
        <v>57070000</v>
      </c>
    </row>
    <row r="562" spans="1:17">
      <c r="A562" s="165" t="s">
        <v>827</v>
      </c>
      <c r="B562" s="165" t="s">
        <v>2060</v>
      </c>
      <c r="C562" s="165">
        <v>8000</v>
      </c>
      <c r="D562" s="228"/>
      <c r="E562" s="228"/>
      <c r="F562" s="228"/>
      <c r="G562" s="228"/>
      <c r="H562" s="228"/>
      <c r="I562" s="228"/>
      <c r="J562" s="228"/>
      <c r="K562" s="228"/>
      <c r="L562" s="228">
        <v>5100</v>
      </c>
      <c r="M562" s="228">
        <v>40800000</v>
      </c>
      <c r="N562" s="228"/>
      <c r="O562" s="228"/>
      <c r="P562" s="228">
        <v>5100</v>
      </c>
      <c r="Q562" s="228">
        <v>40800000</v>
      </c>
    </row>
    <row r="563" spans="1:17">
      <c r="B563" s="165" t="s">
        <v>2011</v>
      </c>
      <c r="C563" s="165">
        <v>10600</v>
      </c>
      <c r="D563" s="228">
        <v>0</v>
      </c>
      <c r="E563" s="228">
        <v>0</v>
      </c>
      <c r="F563" s="228"/>
      <c r="G563" s="228"/>
      <c r="H563" s="228"/>
      <c r="I563" s="228"/>
      <c r="J563" s="228"/>
      <c r="K563" s="228"/>
      <c r="L563" s="228"/>
      <c r="M563" s="228"/>
      <c r="N563" s="228"/>
      <c r="O563" s="228"/>
      <c r="P563" s="228">
        <v>0</v>
      </c>
      <c r="Q563" s="228">
        <v>0</v>
      </c>
    </row>
    <row r="564" spans="1:17">
      <c r="B564" s="165" t="s">
        <v>2062</v>
      </c>
      <c r="C564" s="165">
        <v>12000</v>
      </c>
      <c r="D564" s="228"/>
      <c r="E564" s="228"/>
      <c r="F564" s="228"/>
      <c r="G564" s="228"/>
      <c r="H564" s="228"/>
      <c r="I564" s="228"/>
      <c r="J564" s="228"/>
      <c r="K564" s="228"/>
      <c r="L564" s="228">
        <v>25000</v>
      </c>
      <c r="M564" s="228">
        <v>300000000</v>
      </c>
      <c r="N564" s="228"/>
      <c r="O564" s="228"/>
      <c r="P564" s="228">
        <v>25000</v>
      </c>
      <c r="Q564" s="228">
        <v>300000000</v>
      </c>
    </row>
    <row r="565" spans="1:17">
      <c r="B565" s="165" t="s">
        <v>2063</v>
      </c>
      <c r="C565" s="165">
        <v>12500</v>
      </c>
      <c r="D565" s="228">
        <v>0</v>
      </c>
      <c r="E565" s="228">
        <v>0</v>
      </c>
      <c r="F565" s="228"/>
      <c r="G565" s="228"/>
      <c r="H565" s="228"/>
      <c r="I565" s="228"/>
      <c r="J565" s="228"/>
      <c r="K565" s="228"/>
      <c r="L565" s="228"/>
      <c r="M565" s="228"/>
      <c r="N565" s="228"/>
      <c r="O565" s="228"/>
      <c r="P565" s="228">
        <v>0</v>
      </c>
      <c r="Q565" s="228">
        <v>0</v>
      </c>
    </row>
    <row r="566" spans="1:17">
      <c r="B566" s="165" t="s">
        <v>2015</v>
      </c>
      <c r="C566" s="165">
        <v>10700</v>
      </c>
      <c r="D566" s="228">
        <v>0</v>
      </c>
      <c r="E566" s="228">
        <v>0</v>
      </c>
      <c r="F566" s="228"/>
      <c r="G566" s="228"/>
      <c r="H566" s="228"/>
      <c r="I566" s="228"/>
      <c r="J566" s="228"/>
      <c r="K566" s="228"/>
      <c r="L566" s="228"/>
      <c r="M566" s="228"/>
      <c r="N566" s="228"/>
      <c r="O566" s="228"/>
      <c r="P566" s="228">
        <v>0</v>
      </c>
      <c r="Q566" s="228">
        <v>0</v>
      </c>
    </row>
    <row r="567" spans="1:17">
      <c r="B567" s="165" t="s">
        <v>2143</v>
      </c>
      <c r="C567" s="165">
        <v>12500</v>
      </c>
      <c r="D567" s="228"/>
      <c r="E567" s="228"/>
      <c r="F567" s="228"/>
      <c r="G567" s="228"/>
      <c r="H567" s="228"/>
      <c r="I567" s="228"/>
      <c r="J567" s="228"/>
      <c r="K567" s="228"/>
      <c r="L567" s="228">
        <v>8000</v>
      </c>
      <c r="M567" s="228">
        <v>100000000</v>
      </c>
      <c r="N567" s="228"/>
      <c r="O567" s="228"/>
      <c r="P567" s="228">
        <v>8000</v>
      </c>
      <c r="Q567" s="228">
        <v>100000000</v>
      </c>
    </row>
    <row r="568" spans="1:17">
      <c r="B568" s="165" t="s">
        <v>2144</v>
      </c>
      <c r="C568" s="165">
        <v>12500</v>
      </c>
      <c r="D568" s="228">
        <v>0</v>
      </c>
      <c r="E568" s="228">
        <v>0</v>
      </c>
      <c r="F568" s="228"/>
      <c r="G568" s="228"/>
      <c r="H568" s="228"/>
      <c r="I568" s="228"/>
      <c r="J568" s="228"/>
      <c r="K568" s="228"/>
      <c r="L568" s="228"/>
      <c r="M568" s="228"/>
      <c r="N568" s="228"/>
      <c r="O568" s="228"/>
      <c r="P568" s="228">
        <v>0</v>
      </c>
      <c r="Q568" s="228">
        <v>0</v>
      </c>
    </row>
    <row r="569" spans="1:17">
      <c r="B569" s="165" t="s">
        <v>2145</v>
      </c>
      <c r="C569" s="165">
        <v>13000</v>
      </c>
      <c r="D569" s="228"/>
      <c r="E569" s="228"/>
      <c r="F569" s="228"/>
      <c r="G569" s="228"/>
      <c r="H569" s="228"/>
      <c r="I569" s="228"/>
      <c r="J569" s="228"/>
      <c r="K569" s="228"/>
      <c r="L569" s="228">
        <v>7000</v>
      </c>
      <c r="M569" s="228">
        <v>91000000</v>
      </c>
      <c r="N569" s="228"/>
      <c r="O569" s="228"/>
      <c r="P569" s="228">
        <v>7000</v>
      </c>
      <c r="Q569" s="228">
        <v>91000000</v>
      </c>
    </row>
    <row r="570" spans="1:17">
      <c r="A570" s="165" t="s">
        <v>2248</v>
      </c>
      <c r="B570" s="165"/>
      <c r="C570" s="165"/>
      <c r="D570" s="228">
        <v>0</v>
      </c>
      <c r="E570" s="228">
        <v>0</v>
      </c>
      <c r="F570" s="228"/>
      <c r="G570" s="228"/>
      <c r="H570" s="228"/>
      <c r="I570" s="228"/>
      <c r="J570" s="228"/>
      <c r="K570" s="228"/>
      <c r="L570" s="228">
        <v>45100</v>
      </c>
      <c r="M570" s="228">
        <v>531800000</v>
      </c>
      <c r="N570" s="228"/>
      <c r="O570" s="228"/>
      <c r="P570" s="228">
        <v>45100</v>
      </c>
      <c r="Q570" s="228">
        <v>531800000</v>
      </c>
    </row>
    <row r="571" spans="1:17">
      <c r="A571" s="165" t="s">
        <v>182</v>
      </c>
      <c r="B571" s="165" t="s">
        <v>2033</v>
      </c>
      <c r="C571" s="165">
        <v>5500</v>
      </c>
      <c r="D571" s="228"/>
      <c r="E571" s="228"/>
      <c r="F571" s="228">
        <v>0</v>
      </c>
      <c r="G571" s="228">
        <v>0</v>
      </c>
      <c r="H571" s="228"/>
      <c r="I571" s="228"/>
      <c r="J571" s="228"/>
      <c r="K571" s="228"/>
      <c r="L571" s="228"/>
      <c r="M571" s="228"/>
      <c r="N571" s="228"/>
      <c r="O571" s="228"/>
      <c r="P571" s="228">
        <v>0</v>
      </c>
      <c r="Q571" s="228">
        <v>0</v>
      </c>
    </row>
    <row r="572" spans="1:17">
      <c r="B572" s="165" t="s">
        <v>2008</v>
      </c>
      <c r="C572" s="165">
        <v>5000</v>
      </c>
      <c r="D572" s="228"/>
      <c r="E572" s="228"/>
      <c r="F572" s="228">
        <v>0</v>
      </c>
      <c r="G572" s="228">
        <v>0</v>
      </c>
      <c r="H572" s="228"/>
      <c r="I572" s="228"/>
      <c r="J572" s="228"/>
      <c r="K572" s="228"/>
      <c r="L572" s="228"/>
      <c r="M572" s="228"/>
      <c r="N572" s="228"/>
      <c r="O572" s="228"/>
      <c r="P572" s="228">
        <v>0</v>
      </c>
      <c r="Q572" s="228">
        <v>0</v>
      </c>
    </row>
    <row r="573" spans="1:17">
      <c r="C573" s="165">
        <v>6000</v>
      </c>
      <c r="D573" s="228">
        <v>0</v>
      </c>
      <c r="E573" s="228">
        <v>0</v>
      </c>
      <c r="F573" s="228"/>
      <c r="G573" s="228"/>
      <c r="H573" s="228"/>
      <c r="I573" s="228"/>
      <c r="J573" s="228"/>
      <c r="K573" s="228"/>
      <c r="L573" s="228"/>
      <c r="M573" s="228"/>
      <c r="N573" s="228"/>
      <c r="O573" s="228"/>
      <c r="P573" s="228">
        <v>0</v>
      </c>
      <c r="Q573" s="228">
        <v>0</v>
      </c>
    </row>
    <row r="574" spans="1:17">
      <c r="B574" s="165" t="s">
        <v>2011</v>
      </c>
      <c r="C574" s="165">
        <v>10500</v>
      </c>
      <c r="D574" s="228">
        <v>0</v>
      </c>
      <c r="E574" s="228">
        <v>0</v>
      </c>
      <c r="F574" s="228"/>
      <c r="G574" s="228"/>
      <c r="H574" s="228"/>
      <c r="I574" s="228"/>
      <c r="J574" s="228"/>
      <c r="K574" s="228"/>
      <c r="L574" s="228"/>
      <c r="M574" s="228"/>
      <c r="N574" s="228"/>
      <c r="O574" s="228"/>
      <c r="P574" s="228">
        <v>0</v>
      </c>
      <c r="Q574" s="228">
        <v>0</v>
      </c>
    </row>
    <row r="575" spans="1:17">
      <c r="B575" s="165" t="s">
        <v>2144</v>
      </c>
      <c r="C575" s="165">
        <v>12500</v>
      </c>
      <c r="D575" s="228">
        <v>0</v>
      </c>
      <c r="E575" s="228">
        <v>0</v>
      </c>
      <c r="F575" s="228"/>
      <c r="G575" s="228"/>
      <c r="H575" s="228"/>
      <c r="I575" s="228"/>
      <c r="J575" s="228"/>
      <c r="K575" s="228"/>
      <c r="L575" s="228"/>
      <c r="M575" s="228"/>
      <c r="N575" s="228"/>
      <c r="O575" s="228"/>
      <c r="P575" s="228">
        <v>0</v>
      </c>
      <c r="Q575" s="228">
        <v>0</v>
      </c>
    </row>
    <row r="576" spans="1:17">
      <c r="B576" s="165" t="s">
        <v>2188</v>
      </c>
      <c r="C576" s="165">
        <v>3800</v>
      </c>
      <c r="D576" s="228"/>
      <c r="E576" s="228"/>
      <c r="F576" s="228">
        <v>0</v>
      </c>
      <c r="G576" s="228">
        <v>0</v>
      </c>
      <c r="H576" s="228"/>
      <c r="I576" s="228"/>
      <c r="J576" s="228"/>
      <c r="K576" s="228"/>
      <c r="L576" s="228"/>
      <c r="M576" s="228"/>
      <c r="N576" s="228"/>
      <c r="O576" s="228"/>
      <c r="P576" s="228">
        <v>0</v>
      </c>
      <c r="Q576" s="228">
        <v>0</v>
      </c>
    </row>
    <row r="577" spans="1:17">
      <c r="A577" s="165" t="s">
        <v>2249</v>
      </c>
      <c r="B577" s="165"/>
      <c r="C577" s="165"/>
      <c r="D577" s="228">
        <v>0</v>
      </c>
      <c r="E577" s="228">
        <v>0</v>
      </c>
      <c r="F577" s="228">
        <v>0</v>
      </c>
      <c r="G577" s="228">
        <v>0</v>
      </c>
      <c r="H577" s="228"/>
      <c r="I577" s="228"/>
      <c r="J577" s="228"/>
      <c r="K577" s="228"/>
      <c r="L577" s="228"/>
      <c r="M577" s="228"/>
      <c r="N577" s="228"/>
      <c r="O577" s="228"/>
      <c r="P577" s="228">
        <v>0</v>
      </c>
      <c r="Q577" s="228">
        <v>0</v>
      </c>
    </row>
    <row r="578" spans="1:17">
      <c r="A578" s="165" t="s">
        <v>1555</v>
      </c>
      <c r="B578" s="165" t="s">
        <v>2036</v>
      </c>
      <c r="C578" s="165">
        <v>4500</v>
      </c>
      <c r="D578" s="228">
        <v>0</v>
      </c>
      <c r="E578" s="228">
        <v>0</v>
      </c>
      <c r="F578" s="228"/>
      <c r="G578" s="228"/>
      <c r="H578" s="228"/>
      <c r="I578" s="228"/>
      <c r="J578" s="228"/>
      <c r="K578" s="228"/>
      <c r="L578" s="228"/>
      <c r="M578" s="228"/>
      <c r="N578" s="228"/>
      <c r="O578" s="228"/>
      <c r="P578" s="228">
        <v>0</v>
      </c>
      <c r="Q578" s="228">
        <v>0</v>
      </c>
    </row>
    <row r="579" spans="1:17">
      <c r="B579" s="165" t="s">
        <v>2038</v>
      </c>
      <c r="C579" s="165">
        <v>4500</v>
      </c>
      <c r="D579" s="228">
        <v>0</v>
      </c>
      <c r="E579" s="228">
        <v>0</v>
      </c>
      <c r="F579" s="228"/>
      <c r="G579" s="228"/>
      <c r="H579" s="228"/>
      <c r="I579" s="228"/>
      <c r="J579" s="228"/>
      <c r="K579" s="228"/>
      <c r="L579" s="228"/>
      <c r="M579" s="228"/>
      <c r="N579" s="228"/>
      <c r="O579" s="228"/>
      <c r="P579" s="228">
        <v>0</v>
      </c>
      <c r="Q579" s="228">
        <v>0</v>
      </c>
    </row>
    <row r="580" spans="1:17">
      <c r="B580" s="165" t="s">
        <v>2065</v>
      </c>
      <c r="C580" s="165">
        <v>15200</v>
      </c>
      <c r="D580" s="228"/>
      <c r="E580" s="228"/>
      <c r="F580" s="228"/>
      <c r="G580" s="228"/>
      <c r="H580" s="228"/>
      <c r="I580" s="228"/>
      <c r="J580" s="228"/>
      <c r="K580" s="228"/>
      <c r="L580" s="228">
        <v>10000</v>
      </c>
      <c r="M580" s="228">
        <v>152000000</v>
      </c>
      <c r="N580" s="228"/>
      <c r="O580" s="228"/>
      <c r="P580" s="228">
        <v>10000</v>
      </c>
      <c r="Q580" s="228">
        <v>152000000</v>
      </c>
    </row>
    <row r="581" spans="1:17">
      <c r="B581" s="165" t="s">
        <v>2067</v>
      </c>
      <c r="C581" s="165">
        <v>5500</v>
      </c>
      <c r="D581" s="228"/>
      <c r="E581" s="228"/>
      <c r="F581" s="228">
        <v>0</v>
      </c>
      <c r="G581" s="228">
        <v>0</v>
      </c>
      <c r="H581" s="228"/>
      <c r="I581" s="228"/>
      <c r="J581" s="228"/>
      <c r="K581" s="228"/>
      <c r="L581" s="228"/>
      <c r="M581" s="228"/>
      <c r="N581" s="228"/>
      <c r="O581" s="228"/>
      <c r="P581" s="228">
        <v>0</v>
      </c>
      <c r="Q581" s="228">
        <v>0</v>
      </c>
    </row>
    <row r="582" spans="1:17">
      <c r="B582" s="165" t="s">
        <v>2091</v>
      </c>
      <c r="C582" s="165">
        <v>5800</v>
      </c>
      <c r="D582" s="228"/>
      <c r="E582" s="228"/>
      <c r="F582" s="228"/>
      <c r="G582" s="228"/>
      <c r="H582" s="228"/>
      <c r="I582" s="228"/>
      <c r="J582" s="228">
        <v>10000</v>
      </c>
      <c r="K582" s="228">
        <v>58000000</v>
      </c>
      <c r="L582" s="228"/>
      <c r="M582" s="228"/>
      <c r="N582" s="228"/>
      <c r="O582" s="228"/>
      <c r="P582" s="228">
        <v>10000</v>
      </c>
      <c r="Q582" s="228">
        <v>58000000</v>
      </c>
    </row>
    <row r="583" spans="1:17">
      <c r="B583" s="165" t="s">
        <v>2093</v>
      </c>
      <c r="C583" s="165">
        <v>11500</v>
      </c>
      <c r="D583" s="228"/>
      <c r="E583" s="228"/>
      <c r="F583" s="228"/>
      <c r="G583" s="228"/>
      <c r="H583" s="228"/>
      <c r="I583" s="228"/>
      <c r="J583" s="228"/>
      <c r="K583" s="228"/>
      <c r="L583" s="228">
        <v>20000</v>
      </c>
      <c r="M583" s="228">
        <v>230000000</v>
      </c>
      <c r="N583" s="228"/>
      <c r="O583" s="228"/>
      <c r="P583" s="228">
        <v>20000</v>
      </c>
      <c r="Q583" s="228">
        <v>230000000</v>
      </c>
    </row>
    <row r="584" spans="1:17">
      <c r="B584" s="165" t="s">
        <v>2095</v>
      </c>
      <c r="C584" s="165">
        <v>7100</v>
      </c>
      <c r="D584" s="228"/>
      <c r="E584" s="228"/>
      <c r="F584" s="228">
        <v>0</v>
      </c>
      <c r="G584" s="228">
        <v>0</v>
      </c>
      <c r="H584" s="228"/>
      <c r="I584" s="228"/>
      <c r="J584" s="228"/>
      <c r="K584" s="228"/>
      <c r="L584" s="228"/>
      <c r="M584" s="228"/>
      <c r="N584" s="228"/>
      <c r="O584" s="228"/>
      <c r="P584" s="228">
        <v>0</v>
      </c>
      <c r="Q584" s="228">
        <v>0</v>
      </c>
    </row>
    <row r="585" spans="1:17">
      <c r="B585" s="165" t="s">
        <v>2130</v>
      </c>
      <c r="C585" s="165">
        <v>5000</v>
      </c>
      <c r="D585" s="228"/>
      <c r="E585" s="228"/>
      <c r="F585" s="228">
        <v>0</v>
      </c>
      <c r="G585" s="228">
        <v>0</v>
      </c>
      <c r="H585" s="228"/>
      <c r="I585" s="228"/>
      <c r="J585" s="228"/>
      <c r="K585" s="228"/>
      <c r="L585" s="228"/>
      <c r="M585" s="228"/>
      <c r="N585" s="228"/>
      <c r="O585" s="228"/>
      <c r="P585" s="228">
        <v>0</v>
      </c>
      <c r="Q585" s="228">
        <v>0</v>
      </c>
    </row>
    <row r="586" spans="1:17">
      <c r="B586" s="165" t="s">
        <v>2009</v>
      </c>
      <c r="C586" s="165">
        <v>5300</v>
      </c>
      <c r="D586" s="228"/>
      <c r="E586" s="228"/>
      <c r="F586" s="228">
        <v>0</v>
      </c>
      <c r="G586" s="228">
        <v>0</v>
      </c>
      <c r="H586" s="228"/>
      <c r="I586" s="228"/>
      <c r="J586" s="228"/>
      <c r="K586" s="228"/>
      <c r="L586" s="228"/>
      <c r="M586" s="228"/>
      <c r="N586" s="228"/>
      <c r="O586" s="228"/>
      <c r="P586" s="228">
        <v>0</v>
      </c>
      <c r="Q586" s="228">
        <v>0</v>
      </c>
    </row>
    <row r="587" spans="1:17">
      <c r="B587" s="165" t="s">
        <v>2179</v>
      </c>
      <c r="C587" s="165">
        <v>13900</v>
      </c>
      <c r="D587" s="228"/>
      <c r="E587" s="228"/>
      <c r="F587" s="228"/>
      <c r="G587" s="228"/>
      <c r="H587" s="228"/>
      <c r="I587" s="228"/>
      <c r="J587" s="228"/>
      <c r="K587" s="228"/>
      <c r="L587" s="228">
        <v>2100</v>
      </c>
      <c r="M587" s="228">
        <v>29190000</v>
      </c>
      <c r="N587" s="228"/>
      <c r="O587" s="228"/>
      <c r="P587" s="228">
        <v>2100</v>
      </c>
      <c r="Q587" s="228">
        <v>29190000</v>
      </c>
    </row>
    <row r="588" spans="1:17">
      <c r="A588" s="165" t="s">
        <v>2250</v>
      </c>
      <c r="B588" s="165"/>
      <c r="C588" s="165"/>
      <c r="D588" s="228">
        <v>0</v>
      </c>
      <c r="E588" s="228">
        <v>0</v>
      </c>
      <c r="F588" s="228">
        <v>0</v>
      </c>
      <c r="G588" s="228">
        <v>0</v>
      </c>
      <c r="H588" s="228"/>
      <c r="I588" s="228"/>
      <c r="J588" s="228">
        <v>10000</v>
      </c>
      <c r="K588" s="228">
        <v>58000000</v>
      </c>
      <c r="L588" s="228">
        <v>32100</v>
      </c>
      <c r="M588" s="228">
        <v>411190000</v>
      </c>
      <c r="N588" s="228"/>
      <c r="O588" s="228"/>
      <c r="P588" s="228">
        <v>42100</v>
      </c>
      <c r="Q588" s="228">
        <v>469190000</v>
      </c>
    </row>
    <row r="589" spans="1:17">
      <c r="A589" s="165" t="s">
        <v>231</v>
      </c>
      <c r="B589" s="165" t="s">
        <v>2063</v>
      </c>
      <c r="C589" s="165">
        <v>12500</v>
      </c>
      <c r="D589" s="228"/>
      <c r="E589" s="228"/>
      <c r="F589" s="228"/>
      <c r="G589" s="228"/>
      <c r="H589" s="228"/>
      <c r="I589" s="228"/>
      <c r="J589" s="228"/>
      <c r="K589" s="228"/>
      <c r="L589" s="228">
        <v>8000</v>
      </c>
      <c r="M589" s="228">
        <v>100000000</v>
      </c>
      <c r="N589" s="228"/>
      <c r="O589" s="228"/>
      <c r="P589" s="228">
        <v>8000</v>
      </c>
      <c r="Q589" s="228">
        <v>100000000</v>
      </c>
    </row>
    <row r="590" spans="1:17">
      <c r="B590" s="165" t="s">
        <v>2132</v>
      </c>
      <c r="C590" s="165">
        <v>6700</v>
      </c>
      <c r="D590" s="228"/>
      <c r="E590" s="228"/>
      <c r="F590" s="228">
        <v>0</v>
      </c>
      <c r="G590" s="228">
        <v>0</v>
      </c>
      <c r="H590" s="228"/>
      <c r="I590" s="228"/>
      <c r="J590" s="228"/>
      <c r="K590" s="228"/>
      <c r="L590" s="228"/>
      <c r="M590" s="228"/>
      <c r="N590" s="228"/>
      <c r="O590" s="228"/>
      <c r="P590" s="228">
        <v>0</v>
      </c>
      <c r="Q590" s="228">
        <v>0</v>
      </c>
    </row>
    <row r="591" spans="1:17">
      <c r="B591" s="165" t="s">
        <v>2136</v>
      </c>
      <c r="C591" s="165">
        <v>13000</v>
      </c>
      <c r="D591" s="228"/>
      <c r="E591" s="228"/>
      <c r="F591" s="228"/>
      <c r="G591" s="228"/>
      <c r="H591" s="228"/>
      <c r="I591" s="228"/>
      <c r="J591" s="228"/>
      <c r="K591" s="228"/>
      <c r="L591" s="228">
        <v>2500</v>
      </c>
      <c r="M591" s="228">
        <v>32500000</v>
      </c>
      <c r="N591" s="228"/>
      <c r="O591" s="228"/>
      <c r="P591" s="228">
        <v>2500</v>
      </c>
      <c r="Q591" s="228">
        <v>32500000</v>
      </c>
    </row>
    <row r="592" spans="1:17">
      <c r="B592" s="165" t="s">
        <v>2137</v>
      </c>
      <c r="C592" s="165">
        <v>14200</v>
      </c>
      <c r="D592" s="228"/>
      <c r="E592" s="228"/>
      <c r="F592" s="228"/>
      <c r="G592" s="228"/>
      <c r="H592" s="228"/>
      <c r="I592" s="228"/>
      <c r="J592" s="228"/>
      <c r="K592" s="228"/>
      <c r="L592" s="228">
        <v>2500</v>
      </c>
      <c r="M592" s="228">
        <v>35500000</v>
      </c>
      <c r="N592" s="228"/>
      <c r="O592" s="228"/>
      <c r="P592" s="228">
        <v>2500</v>
      </c>
      <c r="Q592" s="228">
        <v>35500000</v>
      </c>
    </row>
    <row r="593" spans="1:17">
      <c r="B593" s="165" t="s">
        <v>2144</v>
      </c>
      <c r="C593" s="165">
        <v>12500</v>
      </c>
      <c r="D593" s="228"/>
      <c r="E593" s="228"/>
      <c r="F593" s="228"/>
      <c r="G593" s="228"/>
      <c r="H593" s="228"/>
      <c r="I593" s="228"/>
      <c r="J593" s="228"/>
      <c r="K593" s="228"/>
      <c r="L593" s="228">
        <v>5500</v>
      </c>
      <c r="M593" s="228">
        <v>68750000</v>
      </c>
      <c r="N593" s="228"/>
      <c r="O593" s="228"/>
      <c r="P593" s="228">
        <v>5500</v>
      </c>
      <c r="Q593" s="228">
        <v>68750000</v>
      </c>
    </row>
    <row r="594" spans="1:17">
      <c r="B594" s="165" t="s">
        <v>2175</v>
      </c>
      <c r="C594" s="165">
        <v>2800</v>
      </c>
      <c r="D594" s="228"/>
      <c r="E594" s="228"/>
      <c r="F594" s="228">
        <v>0</v>
      </c>
      <c r="G594" s="228">
        <v>0</v>
      </c>
      <c r="H594" s="228"/>
      <c r="I594" s="228"/>
      <c r="J594" s="228"/>
      <c r="K594" s="228"/>
      <c r="L594" s="228"/>
      <c r="M594" s="228"/>
      <c r="N594" s="228"/>
      <c r="O594" s="228"/>
      <c r="P594" s="228">
        <v>0</v>
      </c>
      <c r="Q594" s="228">
        <v>0</v>
      </c>
    </row>
    <row r="595" spans="1:17">
      <c r="B595" s="165" t="s">
        <v>2188</v>
      </c>
      <c r="C595" s="165">
        <v>3800</v>
      </c>
      <c r="D595" s="228"/>
      <c r="E595" s="228"/>
      <c r="F595" s="228">
        <v>0</v>
      </c>
      <c r="G595" s="228">
        <v>0</v>
      </c>
      <c r="H595" s="228"/>
      <c r="I595" s="228"/>
      <c r="J595" s="228"/>
      <c r="K595" s="228"/>
      <c r="L595" s="228"/>
      <c r="M595" s="228"/>
      <c r="N595" s="228"/>
      <c r="O595" s="228"/>
      <c r="P595" s="228">
        <v>0</v>
      </c>
      <c r="Q595" s="228">
        <v>0</v>
      </c>
    </row>
    <row r="596" spans="1:17">
      <c r="B596" s="165" t="s">
        <v>2190</v>
      </c>
      <c r="C596" s="165" t="s">
        <v>385</v>
      </c>
      <c r="D596" s="228">
        <v>5000</v>
      </c>
      <c r="E596" s="228">
        <v>0</v>
      </c>
      <c r="F596" s="228"/>
      <c r="G596" s="228"/>
      <c r="H596" s="228"/>
      <c r="I596" s="228"/>
      <c r="J596" s="228"/>
      <c r="K596" s="228"/>
      <c r="L596" s="228"/>
      <c r="M596" s="228"/>
      <c r="N596" s="228"/>
      <c r="O596" s="228"/>
      <c r="P596" s="228">
        <v>5000</v>
      </c>
      <c r="Q596" s="228">
        <v>0</v>
      </c>
    </row>
    <row r="597" spans="1:17">
      <c r="A597" s="165" t="s">
        <v>2251</v>
      </c>
      <c r="B597" s="165"/>
      <c r="C597" s="165"/>
      <c r="D597" s="228">
        <v>5000</v>
      </c>
      <c r="E597" s="228">
        <v>0</v>
      </c>
      <c r="F597" s="228">
        <v>0</v>
      </c>
      <c r="G597" s="228">
        <v>0</v>
      </c>
      <c r="H597" s="228"/>
      <c r="I597" s="228"/>
      <c r="J597" s="228"/>
      <c r="K597" s="228"/>
      <c r="L597" s="228">
        <v>18500</v>
      </c>
      <c r="M597" s="228">
        <v>236750000</v>
      </c>
      <c r="N597" s="228"/>
      <c r="O597" s="228"/>
      <c r="P597" s="228">
        <v>23500</v>
      </c>
      <c r="Q597" s="228">
        <v>236750000</v>
      </c>
    </row>
    <row r="598" spans="1:17">
      <c r="A598" s="165" t="s">
        <v>120</v>
      </c>
      <c r="B598" s="165" t="s">
        <v>2011</v>
      </c>
      <c r="C598" s="165">
        <v>10500</v>
      </c>
      <c r="D598" s="228"/>
      <c r="E598" s="228"/>
      <c r="F598" s="228"/>
      <c r="G598" s="228"/>
      <c r="H598" s="228"/>
      <c r="I598" s="228"/>
      <c r="J598" s="228"/>
      <c r="K598" s="228"/>
      <c r="L598" s="228">
        <v>5000</v>
      </c>
      <c r="M598" s="228">
        <v>52500000</v>
      </c>
      <c r="N598" s="228"/>
      <c r="O598" s="228"/>
      <c r="P598" s="228">
        <v>5000</v>
      </c>
      <c r="Q598" s="228">
        <v>52500000</v>
      </c>
    </row>
    <row r="599" spans="1:17">
      <c r="C599" s="165">
        <v>10600</v>
      </c>
      <c r="D599" s="228"/>
      <c r="E599" s="228"/>
      <c r="F599" s="228"/>
      <c r="G599" s="228"/>
      <c r="H599" s="228"/>
      <c r="I599" s="228"/>
      <c r="J599" s="228"/>
      <c r="K599" s="228"/>
      <c r="L599" s="228">
        <v>1000</v>
      </c>
      <c r="M599" s="228">
        <v>10600000</v>
      </c>
      <c r="N599" s="228"/>
      <c r="O599" s="228"/>
      <c r="P599" s="228">
        <v>1000</v>
      </c>
      <c r="Q599" s="228">
        <v>10600000</v>
      </c>
    </row>
    <row r="600" spans="1:17">
      <c r="B600" s="165" t="s">
        <v>2105</v>
      </c>
      <c r="C600" s="165">
        <v>10300</v>
      </c>
      <c r="D600" s="228"/>
      <c r="E600" s="228"/>
      <c r="F600" s="228"/>
      <c r="G600" s="228"/>
      <c r="H600" s="228"/>
      <c r="I600" s="228"/>
      <c r="J600" s="228"/>
      <c r="K600" s="228"/>
      <c r="L600" s="228">
        <v>2100</v>
      </c>
      <c r="M600" s="228">
        <v>21630000</v>
      </c>
      <c r="N600" s="228"/>
      <c r="O600" s="228"/>
      <c r="P600" s="228">
        <v>2100</v>
      </c>
      <c r="Q600" s="228">
        <v>21630000</v>
      </c>
    </row>
    <row r="601" spans="1:17">
      <c r="B601" s="165" t="s">
        <v>2016</v>
      </c>
      <c r="C601" s="165">
        <v>13500</v>
      </c>
      <c r="D601" s="228"/>
      <c r="E601" s="228"/>
      <c r="F601" s="228"/>
      <c r="G601" s="228"/>
      <c r="H601" s="228"/>
      <c r="I601" s="228"/>
      <c r="J601" s="228"/>
      <c r="K601" s="228"/>
      <c r="L601" s="228">
        <v>1000</v>
      </c>
      <c r="M601" s="228">
        <v>13500000</v>
      </c>
      <c r="N601" s="228"/>
      <c r="O601" s="228"/>
      <c r="P601" s="228">
        <v>1000</v>
      </c>
      <c r="Q601" s="228">
        <v>13500000</v>
      </c>
    </row>
    <row r="602" spans="1:17">
      <c r="B602" s="165" t="s">
        <v>2114</v>
      </c>
      <c r="C602" s="165">
        <v>4300</v>
      </c>
      <c r="D602" s="228"/>
      <c r="E602" s="228"/>
      <c r="F602" s="228"/>
      <c r="G602" s="228"/>
      <c r="H602" s="228"/>
      <c r="I602" s="228"/>
      <c r="J602" s="228"/>
      <c r="K602" s="228"/>
      <c r="L602" s="228">
        <v>3000</v>
      </c>
      <c r="M602" s="228">
        <v>12900000</v>
      </c>
      <c r="N602" s="228"/>
      <c r="O602" s="228"/>
      <c r="P602" s="228">
        <v>3000</v>
      </c>
      <c r="Q602" s="228">
        <v>12900000</v>
      </c>
    </row>
    <row r="603" spans="1:17">
      <c r="B603" s="165" t="s">
        <v>2134</v>
      </c>
      <c r="C603" s="165">
        <v>10800</v>
      </c>
      <c r="D603" s="228"/>
      <c r="E603" s="228"/>
      <c r="F603" s="228"/>
      <c r="G603" s="228"/>
      <c r="H603" s="228"/>
      <c r="I603" s="228"/>
      <c r="J603" s="228"/>
      <c r="K603" s="228"/>
      <c r="L603" s="228">
        <v>2100</v>
      </c>
      <c r="M603" s="228">
        <v>22680000</v>
      </c>
      <c r="N603" s="228"/>
      <c r="O603" s="228"/>
      <c r="P603" s="228">
        <v>2100</v>
      </c>
      <c r="Q603" s="228">
        <v>22680000</v>
      </c>
    </row>
    <row r="604" spans="1:17">
      <c r="B604" s="165" t="s">
        <v>2139</v>
      </c>
      <c r="C604" s="165">
        <v>10500</v>
      </c>
      <c r="D604" s="228"/>
      <c r="E604" s="228"/>
      <c r="F604" s="228"/>
      <c r="G604" s="228"/>
      <c r="H604" s="228"/>
      <c r="I604" s="228"/>
      <c r="J604" s="228"/>
      <c r="K604" s="228"/>
      <c r="L604" s="228">
        <v>4200</v>
      </c>
      <c r="M604" s="228">
        <v>44100000</v>
      </c>
      <c r="N604" s="228"/>
      <c r="O604" s="228"/>
      <c r="P604" s="228">
        <v>4200</v>
      </c>
      <c r="Q604" s="228">
        <v>44100000</v>
      </c>
    </row>
    <row r="605" spans="1:17">
      <c r="B605" s="165" t="s">
        <v>2015</v>
      </c>
      <c r="C605" s="165">
        <v>10500</v>
      </c>
      <c r="D605" s="228"/>
      <c r="E605" s="228"/>
      <c r="F605" s="228"/>
      <c r="G605" s="228"/>
      <c r="H605" s="228"/>
      <c r="I605" s="228"/>
      <c r="J605" s="228"/>
      <c r="K605" s="228"/>
      <c r="L605" s="228">
        <v>2000</v>
      </c>
      <c r="M605" s="228">
        <v>21000000</v>
      </c>
      <c r="N605" s="228"/>
      <c r="O605" s="228"/>
      <c r="P605" s="228">
        <v>2000</v>
      </c>
      <c r="Q605" s="228">
        <v>21000000</v>
      </c>
    </row>
    <row r="606" spans="1:17">
      <c r="C606" s="165">
        <v>10700</v>
      </c>
      <c r="D606" s="228"/>
      <c r="E606" s="228"/>
      <c r="F606" s="228"/>
      <c r="G606" s="228"/>
      <c r="H606" s="228"/>
      <c r="I606" s="228"/>
      <c r="J606" s="228"/>
      <c r="K606" s="228"/>
      <c r="L606" s="228">
        <v>2000</v>
      </c>
      <c r="M606" s="228">
        <v>21400000</v>
      </c>
      <c r="N606" s="228"/>
      <c r="O606" s="228"/>
      <c r="P606" s="228">
        <v>2000</v>
      </c>
      <c r="Q606" s="228">
        <v>21400000</v>
      </c>
    </row>
    <row r="607" spans="1:17">
      <c r="B607" s="165" t="s">
        <v>2175</v>
      </c>
      <c r="C607" s="165">
        <v>3100</v>
      </c>
      <c r="D607" s="228"/>
      <c r="E607" s="228"/>
      <c r="F607" s="228"/>
      <c r="G607" s="228"/>
      <c r="H607" s="228"/>
      <c r="I607" s="228"/>
      <c r="J607" s="228"/>
      <c r="K607" s="228"/>
      <c r="L607" s="228">
        <v>3200</v>
      </c>
      <c r="M607" s="228">
        <v>9920000</v>
      </c>
      <c r="N607" s="228"/>
      <c r="O607" s="228"/>
      <c r="P607" s="228">
        <v>3200</v>
      </c>
      <c r="Q607" s="228">
        <v>9920000</v>
      </c>
    </row>
    <row r="608" spans="1:17">
      <c r="B608" s="165" t="s">
        <v>2176</v>
      </c>
      <c r="C608" s="165">
        <v>4600</v>
      </c>
      <c r="D608" s="228"/>
      <c r="E608" s="228"/>
      <c r="F608" s="228"/>
      <c r="G608" s="228"/>
      <c r="H608" s="228"/>
      <c r="I608" s="228"/>
      <c r="J608" s="228"/>
      <c r="K608" s="228"/>
      <c r="L608" s="228">
        <v>13200</v>
      </c>
      <c r="M608" s="228">
        <v>60720000</v>
      </c>
      <c r="N608" s="228"/>
      <c r="O608" s="228"/>
      <c r="P608" s="228">
        <v>13200</v>
      </c>
      <c r="Q608" s="228">
        <v>60720000</v>
      </c>
    </row>
    <row r="609" spans="1:17">
      <c r="A609" s="165" t="s">
        <v>2252</v>
      </c>
      <c r="B609" s="165"/>
      <c r="C609" s="165"/>
      <c r="D609" s="228"/>
      <c r="E609" s="228"/>
      <c r="F609" s="228"/>
      <c r="G609" s="228"/>
      <c r="H609" s="228"/>
      <c r="I609" s="228"/>
      <c r="J609" s="228"/>
      <c r="K609" s="228"/>
      <c r="L609" s="228">
        <v>38800</v>
      </c>
      <c r="M609" s="228">
        <v>290950000</v>
      </c>
      <c r="N609" s="228"/>
      <c r="O609" s="228"/>
      <c r="P609" s="228">
        <v>38800</v>
      </c>
      <c r="Q609" s="228">
        <v>290950000</v>
      </c>
    </row>
    <row r="610" spans="1:17">
      <c r="A610" s="165" t="s">
        <v>1415</v>
      </c>
      <c r="B610" s="165" t="s">
        <v>2120</v>
      </c>
      <c r="C610" s="165">
        <v>4600</v>
      </c>
      <c r="D610" s="228"/>
      <c r="E610" s="228"/>
      <c r="F610" s="228">
        <v>0</v>
      </c>
      <c r="G610" s="228">
        <v>0</v>
      </c>
      <c r="H610" s="228"/>
      <c r="I610" s="228"/>
      <c r="J610" s="228"/>
      <c r="K610" s="228"/>
      <c r="L610" s="228"/>
      <c r="M610" s="228"/>
      <c r="N610" s="228"/>
      <c r="O610" s="228"/>
      <c r="P610" s="228">
        <v>0</v>
      </c>
      <c r="Q610" s="228">
        <v>0</v>
      </c>
    </row>
    <row r="611" spans="1:17">
      <c r="B611" s="165" t="s">
        <v>2125</v>
      </c>
      <c r="C611" s="165">
        <v>3000</v>
      </c>
      <c r="D611" s="228">
        <v>0</v>
      </c>
      <c r="E611" s="228">
        <v>0</v>
      </c>
      <c r="F611" s="228"/>
      <c r="G611" s="228"/>
      <c r="H611" s="228"/>
      <c r="I611" s="228"/>
      <c r="J611" s="228"/>
      <c r="K611" s="228"/>
      <c r="L611" s="228"/>
      <c r="M611" s="228"/>
      <c r="N611" s="228"/>
      <c r="O611" s="228"/>
      <c r="P611" s="228">
        <v>0</v>
      </c>
      <c r="Q611" s="228">
        <v>0</v>
      </c>
    </row>
    <row r="612" spans="1:17">
      <c r="B612" s="165" t="s">
        <v>2009</v>
      </c>
      <c r="C612" s="165">
        <v>5300</v>
      </c>
      <c r="D612" s="228">
        <v>0</v>
      </c>
      <c r="E612" s="228">
        <v>0</v>
      </c>
      <c r="F612" s="228"/>
      <c r="G612" s="228"/>
      <c r="H612" s="228"/>
      <c r="I612" s="228"/>
      <c r="J612" s="228"/>
      <c r="K612" s="228"/>
      <c r="L612" s="228"/>
      <c r="M612" s="228"/>
      <c r="N612" s="228"/>
      <c r="O612" s="228"/>
      <c r="P612" s="228">
        <v>0</v>
      </c>
      <c r="Q612" s="228">
        <v>0</v>
      </c>
    </row>
    <row r="613" spans="1:17">
      <c r="B613" s="165" t="s">
        <v>1878</v>
      </c>
      <c r="C613" s="165">
        <v>3700</v>
      </c>
      <c r="D613" s="228">
        <v>0</v>
      </c>
      <c r="E613" s="228">
        <v>0</v>
      </c>
      <c r="F613" s="228"/>
      <c r="G613" s="228"/>
      <c r="H613" s="228"/>
      <c r="I613" s="228"/>
      <c r="J613" s="228"/>
      <c r="K613" s="228"/>
      <c r="L613" s="228"/>
      <c r="M613" s="228"/>
      <c r="N613" s="228"/>
      <c r="O613" s="228"/>
      <c r="P613" s="228">
        <v>0</v>
      </c>
      <c r="Q613" s="228">
        <v>0</v>
      </c>
    </row>
    <row r="614" spans="1:17">
      <c r="A614" s="165" t="s">
        <v>2253</v>
      </c>
      <c r="B614" s="165"/>
      <c r="C614" s="165"/>
      <c r="D614" s="228">
        <v>0</v>
      </c>
      <c r="E614" s="228">
        <v>0</v>
      </c>
      <c r="F614" s="228">
        <v>0</v>
      </c>
      <c r="G614" s="228">
        <v>0</v>
      </c>
      <c r="H614" s="228"/>
      <c r="I614" s="228"/>
      <c r="J614" s="228"/>
      <c r="K614" s="228"/>
      <c r="L614" s="228"/>
      <c r="M614" s="228"/>
      <c r="N614" s="228"/>
      <c r="O614" s="228"/>
      <c r="P614" s="228">
        <v>0</v>
      </c>
      <c r="Q614" s="228">
        <v>0</v>
      </c>
    </row>
    <row r="615" spans="1:17">
      <c r="A615" s="165" t="s">
        <v>1098</v>
      </c>
      <c r="B615" s="165" t="s">
        <v>2011</v>
      </c>
      <c r="C615" s="165">
        <v>10600</v>
      </c>
      <c r="D615" s="228"/>
      <c r="E615" s="228"/>
      <c r="F615" s="228"/>
      <c r="G615" s="228"/>
      <c r="H615" s="228"/>
      <c r="I615" s="228"/>
      <c r="J615" s="228"/>
      <c r="K615" s="228"/>
      <c r="L615" s="228">
        <v>2000</v>
      </c>
      <c r="M615" s="228">
        <v>21200000</v>
      </c>
      <c r="N615" s="228"/>
      <c r="O615" s="228"/>
      <c r="P615" s="228">
        <v>2000</v>
      </c>
      <c r="Q615" s="228">
        <v>21200000</v>
      </c>
    </row>
    <row r="616" spans="1:17">
      <c r="B616" s="165" t="s">
        <v>2064</v>
      </c>
      <c r="C616" s="165">
        <v>15200</v>
      </c>
      <c r="D616" s="228"/>
      <c r="E616" s="228"/>
      <c r="F616" s="228"/>
      <c r="G616" s="228"/>
      <c r="H616" s="228"/>
      <c r="I616" s="228"/>
      <c r="J616" s="228"/>
      <c r="K616" s="228"/>
      <c r="L616" s="228">
        <v>2000</v>
      </c>
      <c r="M616" s="228">
        <v>30400000</v>
      </c>
      <c r="N616" s="228"/>
      <c r="O616" s="228"/>
      <c r="P616" s="228">
        <v>2000</v>
      </c>
      <c r="Q616" s="228">
        <v>30400000</v>
      </c>
    </row>
    <row r="617" spans="1:17">
      <c r="B617" s="165" t="s">
        <v>2091</v>
      </c>
      <c r="C617" s="165">
        <v>5700</v>
      </c>
      <c r="D617" s="228"/>
      <c r="E617" s="228"/>
      <c r="F617" s="228"/>
      <c r="G617" s="228"/>
      <c r="H617" s="228"/>
      <c r="I617" s="228"/>
      <c r="J617" s="228">
        <v>1000</v>
      </c>
      <c r="K617" s="228">
        <v>5700000</v>
      </c>
      <c r="L617" s="228"/>
      <c r="M617" s="228"/>
      <c r="N617" s="228"/>
      <c r="O617" s="228"/>
      <c r="P617" s="228">
        <v>1000</v>
      </c>
      <c r="Q617" s="228">
        <v>5700000</v>
      </c>
    </row>
    <row r="618" spans="1:17">
      <c r="C618" s="165">
        <v>6100</v>
      </c>
      <c r="D618" s="228"/>
      <c r="E618" s="228"/>
      <c r="F618" s="228"/>
      <c r="G618" s="228"/>
      <c r="H618" s="228"/>
      <c r="I618" s="228"/>
      <c r="J618" s="228"/>
      <c r="K618" s="228"/>
      <c r="L618" s="228">
        <v>1000</v>
      </c>
      <c r="M618" s="228">
        <v>6100000</v>
      </c>
      <c r="N618" s="228"/>
      <c r="O618" s="228"/>
      <c r="P618" s="228">
        <v>1000</v>
      </c>
      <c r="Q618" s="228">
        <v>6100000</v>
      </c>
    </row>
    <row r="619" spans="1:17">
      <c r="B619" s="165" t="s">
        <v>2093</v>
      </c>
      <c r="C619" s="165">
        <v>11400</v>
      </c>
      <c r="D619" s="228"/>
      <c r="E619" s="228"/>
      <c r="F619" s="228"/>
      <c r="G619" s="228"/>
      <c r="H619" s="228"/>
      <c r="I619" s="228"/>
      <c r="J619" s="228"/>
      <c r="K619" s="228"/>
      <c r="L619" s="228">
        <v>2000</v>
      </c>
      <c r="M619" s="228">
        <v>22800000</v>
      </c>
      <c r="N619" s="228"/>
      <c r="O619" s="228"/>
      <c r="P619" s="228">
        <v>2000</v>
      </c>
      <c r="Q619" s="228">
        <v>22800000</v>
      </c>
    </row>
    <row r="620" spans="1:17">
      <c r="B620" s="165" t="s">
        <v>2098</v>
      </c>
      <c r="C620" s="165">
        <v>4000</v>
      </c>
      <c r="D620" s="228"/>
      <c r="E620" s="228"/>
      <c r="F620" s="228">
        <v>0</v>
      </c>
      <c r="G620" s="228">
        <v>0</v>
      </c>
      <c r="H620" s="228"/>
      <c r="I620" s="228"/>
      <c r="J620" s="228"/>
      <c r="K620" s="228"/>
      <c r="L620" s="228"/>
      <c r="M620" s="228"/>
      <c r="N620" s="228"/>
      <c r="O620" s="228"/>
      <c r="P620" s="228">
        <v>0</v>
      </c>
      <c r="Q620" s="228">
        <v>0</v>
      </c>
    </row>
    <row r="621" spans="1:17">
      <c r="B621" s="165" t="s">
        <v>2104</v>
      </c>
      <c r="C621" s="165">
        <v>6940</v>
      </c>
      <c r="D621" s="228"/>
      <c r="E621" s="228"/>
      <c r="F621" s="228"/>
      <c r="G621" s="228"/>
      <c r="H621" s="228"/>
      <c r="I621" s="228"/>
      <c r="J621" s="228">
        <v>1800</v>
      </c>
      <c r="K621" s="228">
        <v>12492000</v>
      </c>
      <c r="L621" s="228"/>
      <c r="M621" s="228"/>
      <c r="N621" s="228"/>
      <c r="O621" s="228"/>
      <c r="P621" s="228">
        <v>1800</v>
      </c>
      <c r="Q621" s="228">
        <v>12492000</v>
      </c>
    </row>
    <row r="622" spans="1:17">
      <c r="B622" s="165" t="s">
        <v>2105</v>
      </c>
      <c r="C622" s="165">
        <v>10300</v>
      </c>
      <c r="D622" s="228"/>
      <c r="E622" s="228"/>
      <c r="F622" s="228"/>
      <c r="G622" s="228"/>
      <c r="H622" s="228"/>
      <c r="I622" s="228"/>
      <c r="J622" s="228"/>
      <c r="K622" s="228"/>
      <c r="L622" s="228">
        <v>2100</v>
      </c>
      <c r="M622" s="228">
        <v>21630000</v>
      </c>
      <c r="N622" s="228"/>
      <c r="O622" s="228"/>
      <c r="P622" s="228">
        <v>2100</v>
      </c>
      <c r="Q622" s="228">
        <v>21630000</v>
      </c>
    </row>
    <row r="623" spans="1:17">
      <c r="B623" s="165" t="s">
        <v>2114</v>
      </c>
      <c r="C623" s="165">
        <v>3900</v>
      </c>
      <c r="D623" s="228">
        <v>0</v>
      </c>
      <c r="E623" s="228">
        <v>0</v>
      </c>
      <c r="F623" s="228"/>
      <c r="G623" s="228"/>
      <c r="H623" s="228"/>
      <c r="I623" s="228"/>
      <c r="J623" s="228"/>
      <c r="K623" s="228"/>
      <c r="L623" s="228"/>
      <c r="M623" s="228"/>
      <c r="N623" s="228"/>
      <c r="O623" s="228"/>
      <c r="P623" s="228">
        <v>0</v>
      </c>
      <c r="Q623" s="228">
        <v>0</v>
      </c>
    </row>
    <row r="624" spans="1:17">
      <c r="C624" s="165">
        <v>4200</v>
      </c>
      <c r="D624" s="228"/>
      <c r="E624" s="228"/>
      <c r="F624" s="228"/>
      <c r="G624" s="228"/>
      <c r="H624" s="228"/>
      <c r="I624" s="228"/>
      <c r="J624" s="228"/>
      <c r="K624" s="228"/>
      <c r="L624" s="228">
        <v>1200</v>
      </c>
      <c r="M624" s="228">
        <v>5040000</v>
      </c>
      <c r="N624" s="228"/>
      <c r="O624" s="228"/>
      <c r="P624" s="228">
        <v>1200</v>
      </c>
      <c r="Q624" s="228">
        <v>5040000</v>
      </c>
    </row>
    <row r="625" spans="1:17">
      <c r="B625" s="165" t="s">
        <v>2158</v>
      </c>
      <c r="C625" s="165">
        <v>10100</v>
      </c>
      <c r="D625" s="228"/>
      <c r="E625" s="228"/>
      <c r="F625" s="228"/>
      <c r="G625" s="228"/>
      <c r="H625" s="228"/>
      <c r="I625" s="228"/>
      <c r="J625" s="228"/>
      <c r="K625" s="228"/>
      <c r="L625" s="228">
        <v>2000</v>
      </c>
      <c r="M625" s="228">
        <v>20200000</v>
      </c>
      <c r="N625" s="228"/>
      <c r="O625" s="228"/>
      <c r="P625" s="228">
        <v>2000</v>
      </c>
      <c r="Q625" s="228">
        <v>20200000</v>
      </c>
    </row>
    <row r="626" spans="1:17">
      <c r="B626" s="165" t="s">
        <v>2183</v>
      </c>
      <c r="C626" s="165">
        <v>7000</v>
      </c>
      <c r="D626" s="228"/>
      <c r="E626" s="228"/>
      <c r="F626" s="228"/>
      <c r="G626" s="228"/>
      <c r="H626" s="228"/>
      <c r="I626" s="228"/>
      <c r="J626" s="228"/>
      <c r="K626" s="228"/>
      <c r="L626" s="228">
        <v>1000</v>
      </c>
      <c r="M626" s="228">
        <v>7000000</v>
      </c>
      <c r="N626" s="228"/>
      <c r="O626" s="228"/>
      <c r="P626" s="228">
        <v>1000</v>
      </c>
      <c r="Q626" s="228">
        <v>7000000</v>
      </c>
    </row>
    <row r="627" spans="1:17">
      <c r="B627" s="165" t="s">
        <v>2186</v>
      </c>
      <c r="C627" s="165">
        <v>2700</v>
      </c>
      <c r="D627" s="228"/>
      <c r="E627" s="228"/>
      <c r="F627" s="228">
        <v>0</v>
      </c>
      <c r="G627" s="228">
        <v>0</v>
      </c>
      <c r="H627" s="228"/>
      <c r="I627" s="228"/>
      <c r="J627" s="228"/>
      <c r="K627" s="228"/>
      <c r="L627" s="228"/>
      <c r="M627" s="228"/>
      <c r="N627" s="228"/>
      <c r="O627" s="228"/>
      <c r="P627" s="228">
        <v>0</v>
      </c>
      <c r="Q627" s="228">
        <v>0</v>
      </c>
    </row>
    <row r="628" spans="1:17">
      <c r="A628" s="165" t="s">
        <v>2254</v>
      </c>
      <c r="B628" s="165"/>
      <c r="C628" s="165"/>
      <c r="D628" s="228">
        <v>0</v>
      </c>
      <c r="E628" s="228">
        <v>0</v>
      </c>
      <c r="F628" s="228">
        <v>0</v>
      </c>
      <c r="G628" s="228">
        <v>0</v>
      </c>
      <c r="H628" s="228"/>
      <c r="I628" s="228"/>
      <c r="J628" s="228">
        <v>2800</v>
      </c>
      <c r="K628" s="228">
        <v>18192000</v>
      </c>
      <c r="L628" s="228">
        <v>13300</v>
      </c>
      <c r="M628" s="228">
        <v>134370000</v>
      </c>
      <c r="N628" s="228"/>
      <c r="O628" s="228"/>
      <c r="P628" s="228">
        <v>16100</v>
      </c>
      <c r="Q628" s="228">
        <v>152562000</v>
      </c>
    </row>
    <row r="629" spans="1:17">
      <c r="A629" s="165" t="s">
        <v>1567</v>
      </c>
      <c r="B629" s="165" t="s">
        <v>2036</v>
      </c>
      <c r="C629" s="165">
        <v>4500</v>
      </c>
      <c r="D629" s="228"/>
      <c r="E629" s="228"/>
      <c r="F629" s="228">
        <v>0</v>
      </c>
      <c r="G629" s="228">
        <v>0</v>
      </c>
      <c r="H629" s="228"/>
      <c r="I629" s="228"/>
      <c r="J629" s="228"/>
      <c r="K629" s="228"/>
      <c r="L629" s="228"/>
      <c r="M629" s="228"/>
      <c r="N629" s="228"/>
      <c r="O629" s="228"/>
      <c r="P629" s="228">
        <v>0</v>
      </c>
      <c r="Q629" s="228">
        <v>0</v>
      </c>
    </row>
    <row r="630" spans="1:17">
      <c r="B630" s="165" t="s">
        <v>2038</v>
      </c>
      <c r="C630" s="165">
        <v>4500</v>
      </c>
      <c r="D630" s="228"/>
      <c r="E630" s="228"/>
      <c r="F630" s="228">
        <v>0</v>
      </c>
      <c r="G630" s="228">
        <v>0</v>
      </c>
      <c r="H630" s="228"/>
      <c r="I630" s="228"/>
      <c r="J630" s="228"/>
      <c r="K630" s="228"/>
      <c r="L630" s="228"/>
      <c r="M630" s="228"/>
      <c r="N630" s="228"/>
      <c r="O630" s="228"/>
      <c r="P630" s="228">
        <v>0</v>
      </c>
      <c r="Q630" s="228">
        <v>0</v>
      </c>
    </row>
    <row r="631" spans="1:17">
      <c r="B631" s="165" t="s">
        <v>2009</v>
      </c>
      <c r="C631" s="165">
        <v>5500</v>
      </c>
      <c r="D631" s="228"/>
      <c r="E631" s="228"/>
      <c r="F631" s="228"/>
      <c r="G631" s="228"/>
      <c r="H631" s="228">
        <v>10000</v>
      </c>
      <c r="I631" s="228">
        <v>55000000</v>
      </c>
      <c r="J631" s="228"/>
      <c r="K631" s="228"/>
      <c r="L631" s="228"/>
      <c r="M631" s="228"/>
      <c r="N631" s="228"/>
      <c r="O631" s="228"/>
      <c r="P631" s="228">
        <v>10000</v>
      </c>
      <c r="Q631" s="228">
        <v>55000000</v>
      </c>
    </row>
    <row r="632" spans="1:17">
      <c r="B632" s="165" t="s">
        <v>1872</v>
      </c>
      <c r="C632" s="165">
        <v>7300</v>
      </c>
      <c r="D632" s="228"/>
      <c r="E632" s="228"/>
      <c r="F632" s="228"/>
      <c r="G632" s="228"/>
      <c r="H632" s="228"/>
      <c r="I632" s="228"/>
      <c r="J632" s="228">
        <v>10050</v>
      </c>
      <c r="K632" s="228">
        <v>73365000</v>
      </c>
      <c r="L632" s="228"/>
      <c r="M632" s="228"/>
      <c r="N632" s="228"/>
      <c r="O632" s="228"/>
      <c r="P632" s="228">
        <v>10050</v>
      </c>
      <c r="Q632" s="228">
        <v>73365000</v>
      </c>
    </row>
    <row r="633" spans="1:17">
      <c r="A633" s="165" t="s">
        <v>2255</v>
      </c>
      <c r="B633" s="165"/>
      <c r="C633" s="165"/>
      <c r="D633" s="228"/>
      <c r="E633" s="228"/>
      <c r="F633" s="228">
        <v>0</v>
      </c>
      <c r="G633" s="228">
        <v>0</v>
      </c>
      <c r="H633" s="228">
        <v>10000</v>
      </c>
      <c r="I633" s="228">
        <v>55000000</v>
      </c>
      <c r="J633" s="228">
        <v>10050</v>
      </c>
      <c r="K633" s="228">
        <v>73365000</v>
      </c>
      <c r="L633" s="228"/>
      <c r="M633" s="228"/>
      <c r="N633" s="228"/>
      <c r="O633" s="228"/>
      <c r="P633" s="228">
        <v>20050</v>
      </c>
      <c r="Q633" s="228">
        <v>128365000</v>
      </c>
    </row>
    <row r="634" spans="1:17">
      <c r="A634" s="165" t="s">
        <v>1018</v>
      </c>
      <c r="B634" s="165" t="s">
        <v>2011</v>
      </c>
      <c r="C634" s="165">
        <v>10600</v>
      </c>
      <c r="D634" s="228">
        <v>0</v>
      </c>
      <c r="E634" s="228">
        <v>0</v>
      </c>
      <c r="F634" s="228"/>
      <c r="G634" s="228"/>
      <c r="H634" s="228"/>
      <c r="I634" s="228"/>
      <c r="J634" s="228"/>
      <c r="K634" s="228"/>
      <c r="L634" s="228"/>
      <c r="M634" s="228"/>
      <c r="N634" s="228"/>
      <c r="O634" s="228"/>
      <c r="P634" s="228">
        <v>0</v>
      </c>
      <c r="Q634" s="228">
        <v>0</v>
      </c>
    </row>
    <row r="635" spans="1:17">
      <c r="B635" s="165" t="s">
        <v>2062</v>
      </c>
      <c r="C635" s="165">
        <v>12000</v>
      </c>
      <c r="D635" s="228"/>
      <c r="E635" s="228"/>
      <c r="F635" s="228"/>
      <c r="G635" s="228"/>
      <c r="H635" s="228"/>
      <c r="I635" s="228"/>
      <c r="J635" s="228"/>
      <c r="K635" s="228"/>
      <c r="L635" s="228">
        <v>18000</v>
      </c>
      <c r="M635" s="228">
        <v>216000000</v>
      </c>
      <c r="N635" s="228"/>
      <c r="O635" s="228"/>
      <c r="P635" s="228">
        <v>18000</v>
      </c>
      <c r="Q635" s="228">
        <v>216000000</v>
      </c>
    </row>
    <row r="636" spans="1:17">
      <c r="B636" s="165" t="s">
        <v>2015</v>
      </c>
      <c r="C636" s="165">
        <v>10700</v>
      </c>
      <c r="D636" s="228">
        <v>0</v>
      </c>
      <c r="E636" s="228">
        <v>0</v>
      </c>
      <c r="F636" s="228"/>
      <c r="G636" s="228"/>
      <c r="H636" s="228"/>
      <c r="I636" s="228"/>
      <c r="J636" s="228"/>
      <c r="K636" s="228"/>
      <c r="L636" s="228"/>
      <c r="M636" s="228"/>
      <c r="N636" s="228"/>
      <c r="O636" s="228"/>
      <c r="P636" s="228">
        <v>0</v>
      </c>
      <c r="Q636" s="228">
        <v>0</v>
      </c>
    </row>
    <row r="637" spans="1:17">
      <c r="B637" s="165" t="s">
        <v>2143</v>
      </c>
      <c r="C637" s="165">
        <v>12500</v>
      </c>
      <c r="D637" s="228"/>
      <c r="E637" s="228"/>
      <c r="F637" s="228"/>
      <c r="G637" s="228"/>
      <c r="H637" s="228"/>
      <c r="I637" s="228"/>
      <c r="J637" s="228"/>
      <c r="K637" s="228"/>
      <c r="L637" s="228">
        <v>2000</v>
      </c>
      <c r="M637" s="228">
        <v>25000000</v>
      </c>
      <c r="N637" s="228"/>
      <c r="O637" s="228"/>
      <c r="P637" s="228">
        <v>2000</v>
      </c>
      <c r="Q637" s="228">
        <v>25000000</v>
      </c>
    </row>
    <row r="638" spans="1:17">
      <c r="B638" s="165" t="s">
        <v>2145</v>
      </c>
      <c r="C638" s="165">
        <v>13000</v>
      </c>
      <c r="D638" s="228"/>
      <c r="E638" s="228"/>
      <c r="F638" s="228"/>
      <c r="G638" s="228"/>
      <c r="H638" s="228"/>
      <c r="I638" s="228"/>
      <c r="J638" s="228"/>
      <c r="K638" s="228"/>
      <c r="L638" s="228">
        <v>5000</v>
      </c>
      <c r="M638" s="228">
        <v>65000000</v>
      </c>
      <c r="N638" s="228"/>
      <c r="O638" s="228"/>
      <c r="P638" s="228">
        <v>5000</v>
      </c>
      <c r="Q638" s="228">
        <v>65000000</v>
      </c>
    </row>
    <row r="639" spans="1:17">
      <c r="B639" s="165" t="s">
        <v>1878</v>
      </c>
      <c r="C639" s="165">
        <v>3600</v>
      </c>
      <c r="D639" s="228">
        <v>0</v>
      </c>
      <c r="E639" s="228">
        <v>0</v>
      </c>
      <c r="F639" s="228"/>
      <c r="G639" s="228"/>
      <c r="H639" s="228"/>
      <c r="I639" s="228"/>
      <c r="J639" s="228"/>
      <c r="K639" s="228"/>
      <c r="L639" s="228"/>
      <c r="M639" s="228"/>
      <c r="N639" s="228"/>
      <c r="O639" s="228"/>
      <c r="P639" s="228">
        <v>0</v>
      </c>
      <c r="Q639" s="228">
        <v>0</v>
      </c>
    </row>
    <row r="640" spans="1:17">
      <c r="B640" s="165" t="s">
        <v>2188</v>
      </c>
      <c r="C640" s="165">
        <v>3800</v>
      </c>
      <c r="D640" s="228"/>
      <c r="E640" s="228"/>
      <c r="F640" s="228">
        <v>0</v>
      </c>
      <c r="G640" s="228">
        <v>0</v>
      </c>
      <c r="H640" s="228"/>
      <c r="I640" s="228"/>
      <c r="J640" s="228"/>
      <c r="K640" s="228"/>
      <c r="L640" s="228"/>
      <c r="M640" s="228"/>
      <c r="N640" s="228"/>
      <c r="O640" s="228"/>
      <c r="P640" s="228">
        <v>0</v>
      </c>
      <c r="Q640" s="228">
        <v>0</v>
      </c>
    </row>
    <row r="641" spans="1:17">
      <c r="A641" s="165" t="s">
        <v>2256</v>
      </c>
      <c r="B641" s="165"/>
      <c r="C641" s="165"/>
      <c r="D641" s="228">
        <v>0</v>
      </c>
      <c r="E641" s="228">
        <v>0</v>
      </c>
      <c r="F641" s="228">
        <v>0</v>
      </c>
      <c r="G641" s="228">
        <v>0</v>
      </c>
      <c r="H641" s="228"/>
      <c r="I641" s="228"/>
      <c r="J641" s="228"/>
      <c r="K641" s="228"/>
      <c r="L641" s="228">
        <v>25000</v>
      </c>
      <c r="M641" s="228">
        <v>306000000</v>
      </c>
      <c r="N641" s="228"/>
      <c r="O641" s="228"/>
      <c r="P641" s="228">
        <v>25000</v>
      </c>
      <c r="Q641" s="228">
        <v>306000000</v>
      </c>
    </row>
    <row r="642" spans="1:17">
      <c r="A642" s="165" t="s">
        <v>236</v>
      </c>
      <c r="B642" s="165" t="s">
        <v>2008</v>
      </c>
      <c r="C642" s="165">
        <v>4700</v>
      </c>
      <c r="D642" s="228"/>
      <c r="E642" s="228"/>
      <c r="F642" s="228">
        <v>0</v>
      </c>
      <c r="G642" s="228">
        <v>0</v>
      </c>
      <c r="H642" s="228"/>
      <c r="I642" s="228"/>
      <c r="J642" s="228"/>
      <c r="K642" s="228"/>
      <c r="L642" s="228"/>
      <c r="M642" s="228"/>
      <c r="N642" s="228"/>
      <c r="O642" s="228"/>
      <c r="P642" s="228">
        <v>0</v>
      </c>
      <c r="Q642" s="228">
        <v>0</v>
      </c>
    </row>
    <row r="643" spans="1:17">
      <c r="B643" s="165" t="s">
        <v>2106</v>
      </c>
      <c r="C643" s="165">
        <v>15200</v>
      </c>
      <c r="D643" s="228"/>
      <c r="E643" s="228"/>
      <c r="F643" s="228"/>
      <c r="G643" s="228"/>
      <c r="H643" s="228"/>
      <c r="I643" s="228"/>
      <c r="J643" s="228"/>
      <c r="K643" s="228"/>
      <c r="L643" s="228">
        <v>10000</v>
      </c>
      <c r="M643" s="228">
        <v>152000000</v>
      </c>
      <c r="N643" s="228"/>
      <c r="O643" s="228"/>
      <c r="P643" s="228">
        <v>10000</v>
      </c>
      <c r="Q643" s="228">
        <v>152000000</v>
      </c>
    </row>
    <row r="644" spans="1:17">
      <c r="B644" s="165" t="s">
        <v>2130</v>
      </c>
      <c r="C644" s="165">
        <v>4800</v>
      </c>
      <c r="D644" s="228"/>
      <c r="E644" s="228"/>
      <c r="F644" s="228">
        <v>0</v>
      </c>
      <c r="G644" s="228">
        <v>0</v>
      </c>
      <c r="H644" s="228"/>
      <c r="I644" s="228"/>
      <c r="J644" s="228"/>
      <c r="K644" s="228"/>
      <c r="L644" s="228"/>
      <c r="M644" s="228"/>
      <c r="N644" s="228"/>
      <c r="O644" s="228"/>
      <c r="P644" s="228">
        <v>0</v>
      </c>
      <c r="Q644" s="228">
        <v>0</v>
      </c>
    </row>
    <row r="645" spans="1:17">
      <c r="C645" s="165">
        <v>5100</v>
      </c>
      <c r="D645" s="228"/>
      <c r="E645" s="228"/>
      <c r="F645" s="228">
        <v>0</v>
      </c>
      <c r="G645" s="228">
        <v>0</v>
      </c>
      <c r="H645" s="228"/>
      <c r="I645" s="228"/>
      <c r="J645" s="228"/>
      <c r="K645" s="228"/>
      <c r="L645" s="228"/>
      <c r="M645" s="228"/>
      <c r="N645" s="228"/>
      <c r="O645" s="228"/>
      <c r="P645" s="228">
        <v>0</v>
      </c>
      <c r="Q645" s="228">
        <v>0</v>
      </c>
    </row>
    <row r="646" spans="1:17">
      <c r="C646" s="165">
        <v>5200</v>
      </c>
      <c r="D646" s="228"/>
      <c r="E646" s="228"/>
      <c r="F646" s="228"/>
      <c r="G646" s="228"/>
      <c r="H646" s="228">
        <v>10200</v>
      </c>
      <c r="I646" s="228">
        <v>53040000</v>
      </c>
      <c r="J646" s="228"/>
      <c r="K646" s="228"/>
      <c r="L646" s="228"/>
      <c r="M646" s="228"/>
      <c r="N646" s="228"/>
      <c r="O646" s="228"/>
      <c r="P646" s="228">
        <v>10200</v>
      </c>
      <c r="Q646" s="228">
        <v>53040000</v>
      </c>
    </row>
    <row r="647" spans="1:17">
      <c r="B647" s="165" t="s">
        <v>2132</v>
      </c>
      <c r="C647" s="165">
        <v>6700</v>
      </c>
      <c r="D647" s="228">
        <v>0</v>
      </c>
      <c r="E647" s="228">
        <v>0</v>
      </c>
      <c r="F647" s="228">
        <v>0</v>
      </c>
      <c r="G647" s="228">
        <v>0</v>
      </c>
      <c r="H647" s="228"/>
      <c r="I647" s="228"/>
      <c r="J647" s="228"/>
      <c r="K647" s="228"/>
      <c r="L647" s="228"/>
      <c r="M647" s="228"/>
      <c r="N647" s="228"/>
      <c r="O647" s="228"/>
      <c r="P647" s="228">
        <v>0</v>
      </c>
      <c r="Q647" s="228">
        <v>0</v>
      </c>
    </row>
    <row r="648" spans="1:17">
      <c r="B648" s="165" t="s">
        <v>2009</v>
      </c>
      <c r="C648" s="165">
        <v>4800</v>
      </c>
      <c r="D648" s="228"/>
      <c r="E648" s="228"/>
      <c r="F648" s="228">
        <v>0</v>
      </c>
      <c r="G648" s="228">
        <v>0</v>
      </c>
      <c r="H648" s="228"/>
      <c r="I648" s="228"/>
      <c r="J648" s="228"/>
      <c r="K648" s="228"/>
      <c r="L648" s="228"/>
      <c r="M648" s="228"/>
      <c r="N648" s="228"/>
      <c r="O648" s="228"/>
      <c r="P648" s="228">
        <v>0</v>
      </c>
      <c r="Q648" s="228">
        <v>0</v>
      </c>
    </row>
    <row r="649" spans="1:17">
      <c r="B649" s="165" t="s">
        <v>2188</v>
      </c>
      <c r="C649" s="165">
        <v>3800</v>
      </c>
      <c r="D649" s="228"/>
      <c r="E649" s="228"/>
      <c r="F649" s="228">
        <v>0</v>
      </c>
      <c r="G649" s="228">
        <v>0</v>
      </c>
      <c r="H649" s="228"/>
      <c r="I649" s="228"/>
      <c r="J649" s="228"/>
      <c r="K649" s="228"/>
      <c r="L649" s="228"/>
      <c r="M649" s="228"/>
      <c r="N649" s="228"/>
      <c r="O649" s="228"/>
      <c r="P649" s="228">
        <v>0</v>
      </c>
      <c r="Q649" s="228">
        <v>0</v>
      </c>
    </row>
    <row r="650" spans="1:17">
      <c r="B650" s="165" t="s">
        <v>2190</v>
      </c>
      <c r="C650" s="165">
        <v>5000</v>
      </c>
      <c r="D650" s="228"/>
      <c r="E650" s="228"/>
      <c r="F650" s="228">
        <v>0</v>
      </c>
      <c r="G650" s="228">
        <v>0</v>
      </c>
      <c r="H650" s="228"/>
      <c r="I650" s="228"/>
      <c r="J650" s="228"/>
      <c r="K650" s="228"/>
      <c r="L650" s="228"/>
      <c r="M650" s="228"/>
      <c r="N650" s="228"/>
      <c r="O650" s="228"/>
      <c r="P650" s="228">
        <v>0</v>
      </c>
      <c r="Q650" s="228">
        <v>0</v>
      </c>
    </row>
    <row r="651" spans="1:17">
      <c r="A651" s="165" t="s">
        <v>2257</v>
      </c>
      <c r="B651" s="165"/>
      <c r="C651" s="165"/>
      <c r="D651" s="228">
        <v>0</v>
      </c>
      <c r="E651" s="228">
        <v>0</v>
      </c>
      <c r="F651" s="228">
        <v>0</v>
      </c>
      <c r="G651" s="228">
        <v>0</v>
      </c>
      <c r="H651" s="228">
        <v>10200</v>
      </c>
      <c r="I651" s="228">
        <v>53040000</v>
      </c>
      <c r="J651" s="228"/>
      <c r="K651" s="228"/>
      <c r="L651" s="228">
        <v>10000</v>
      </c>
      <c r="M651" s="228">
        <v>152000000</v>
      </c>
      <c r="N651" s="228"/>
      <c r="O651" s="228"/>
      <c r="P651" s="228">
        <v>20200</v>
      </c>
      <c r="Q651" s="228">
        <v>205040000</v>
      </c>
    </row>
    <row r="652" spans="1:17">
      <c r="A652" s="165" t="s">
        <v>465</v>
      </c>
      <c r="B652" s="165" t="s">
        <v>2029</v>
      </c>
      <c r="C652" s="165">
        <v>4430</v>
      </c>
      <c r="D652" s="228"/>
      <c r="E652" s="228"/>
      <c r="F652" s="228"/>
      <c r="G652" s="228"/>
      <c r="H652" s="228"/>
      <c r="I652" s="228"/>
      <c r="J652" s="228">
        <v>16800</v>
      </c>
      <c r="K652" s="228">
        <v>74424000</v>
      </c>
      <c r="L652" s="228"/>
      <c r="M652" s="228"/>
      <c r="N652" s="228"/>
      <c r="O652" s="228"/>
      <c r="P652" s="228">
        <v>16800</v>
      </c>
      <c r="Q652" s="228">
        <v>74424000</v>
      </c>
    </row>
    <row r="653" spans="1:17">
      <c r="C653" s="165">
        <v>4600</v>
      </c>
      <c r="D653" s="228"/>
      <c r="E653" s="228"/>
      <c r="F653" s="228"/>
      <c r="G653" s="228"/>
      <c r="H653" s="228">
        <v>20700</v>
      </c>
      <c r="I653" s="228">
        <v>95220000</v>
      </c>
      <c r="J653" s="228"/>
      <c r="K653" s="228"/>
      <c r="L653" s="228"/>
      <c r="M653" s="228"/>
      <c r="N653" s="228"/>
      <c r="O653" s="228"/>
      <c r="P653" s="228">
        <v>20700</v>
      </c>
      <c r="Q653" s="228">
        <v>95220000</v>
      </c>
    </row>
    <row r="654" spans="1:17">
      <c r="B654" s="165" t="s">
        <v>2030</v>
      </c>
      <c r="C654" s="165">
        <v>4800</v>
      </c>
      <c r="D654" s="228"/>
      <c r="E654" s="228"/>
      <c r="F654" s="228"/>
      <c r="G654" s="228"/>
      <c r="H654" s="228"/>
      <c r="I654" s="228"/>
      <c r="J654" s="228"/>
      <c r="K654" s="228"/>
      <c r="L654" s="228">
        <v>14900</v>
      </c>
      <c r="M654" s="228">
        <v>71520000</v>
      </c>
      <c r="N654" s="228"/>
      <c r="O654" s="228"/>
      <c r="P654" s="228">
        <v>14900</v>
      </c>
      <c r="Q654" s="228">
        <v>71520000</v>
      </c>
    </row>
    <row r="655" spans="1:17">
      <c r="B655" s="165" t="s">
        <v>2031</v>
      </c>
      <c r="C655" s="165">
        <v>6400</v>
      </c>
      <c r="D655" s="228"/>
      <c r="E655" s="228"/>
      <c r="F655" s="228"/>
      <c r="G655" s="228"/>
      <c r="H655" s="228"/>
      <c r="I655" s="228"/>
      <c r="J655" s="228"/>
      <c r="K655" s="228"/>
      <c r="L655" s="228">
        <v>10200</v>
      </c>
      <c r="M655" s="228">
        <v>65280000</v>
      </c>
      <c r="N655" s="228"/>
      <c r="O655" s="228"/>
      <c r="P655" s="228">
        <v>10200</v>
      </c>
      <c r="Q655" s="228">
        <v>65280000</v>
      </c>
    </row>
    <row r="656" spans="1:17">
      <c r="B656" s="165" t="s">
        <v>2074</v>
      </c>
      <c r="C656" s="165">
        <v>4000</v>
      </c>
      <c r="D656" s="228"/>
      <c r="E656" s="228"/>
      <c r="F656" s="228">
        <v>0</v>
      </c>
      <c r="G656" s="228">
        <v>0</v>
      </c>
      <c r="H656" s="228"/>
      <c r="I656" s="228"/>
      <c r="J656" s="228"/>
      <c r="K656" s="228"/>
      <c r="L656" s="228"/>
      <c r="M656" s="228"/>
      <c r="N656" s="228"/>
      <c r="O656" s="228"/>
      <c r="P656" s="228">
        <v>0</v>
      </c>
      <c r="Q656" s="228">
        <v>0</v>
      </c>
    </row>
    <row r="657" spans="2:17">
      <c r="C657" s="165">
        <v>4230</v>
      </c>
      <c r="D657" s="228"/>
      <c r="E657" s="228"/>
      <c r="F657" s="228"/>
      <c r="G657" s="228"/>
      <c r="H657" s="228"/>
      <c r="I657" s="228"/>
      <c r="J657" s="228">
        <v>13200</v>
      </c>
      <c r="K657" s="228">
        <v>55836000</v>
      </c>
      <c r="L657" s="228"/>
      <c r="M657" s="228"/>
      <c r="N657" s="228"/>
      <c r="O657" s="228"/>
      <c r="P657" s="228">
        <v>13200</v>
      </c>
      <c r="Q657" s="228">
        <v>55836000</v>
      </c>
    </row>
    <row r="658" spans="2:17">
      <c r="C658" s="165">
        <v>4300</v>
      </c>
      <c r="D658" s="228">
        <v>17100</v>
      </c>
      <c r="E658" s="228">
        <v>73530000</v>
      </c>
      <c r="F658" s="228"/>
      <c r="G658" s="228"/>
      <c r="H658" s="228"/>
      <c r="I658" s="228"/>
      <c r="J658" s="228"/>
      <c r="K658" s="228"/>
      <c r="L658" s="228"/>
      <c r="M658" s="228"/>
      <c r="N658" s="228"/>
      <c r="O658" s="228"/>
      <c r="P658" s="228">
        <v>17100</v>
      </c>
      <c r="Q658" s="228">
        <v>73530000</v>
      </c>
    </row>
    <row r="659" spans="2:17">
      <c r="C659" s="165">
        <v>4400</v>
      </c>
      <c r="D659" s="228"/>
      <c r="E659" s="228"/>
      <c r="F659" s="228"/>
      <c r="G659" s="228"/>
      <c r="H659" s="228">
        <v>900</v>
      </c>
      <c r="I659" s="228">
        <v>3960000</v>
      </c>
      <c r="J659" s="228"/>
      <c r="K659" s="228"/>
      <c r="L659" s="228"/>
      <c r="M659" s="228"/>
      <c r="N659" s="228"/>
      <c r="O659" s="228"/>
      <c r="P659" s="228">
        <v>900</v>
      </c>
      <c r="Q659" s="228">
        <v>3960000</v>
      </c>
    </row>
    <row r="660" spans="2:17">
      <c r="B660" s="165" t="s">
        <v>2083</v>
      </c>
      <c r="C660" s="165">
        <v>3300</v>
      </c>
      <c r="D660" s="228"/>
      <c r="E660" s="228"/>
      <c r="F660" s="228">
        <v>0</v>
      </c>
      <c r="G660" s="228">
        <v>0</v>
      </c>
      <c r="H660" s="228"/>
      <c r="I660" s="228"/>
      <c r="J660" s="228"/>
      <c r="K660" s="228"/>
      <c r="L660" s="228"/>
      <c r="M660" s="228"/>
      <c r="N660" s="228"/>
      <c r="O660" s="228"/>
      <c r="P660" s="228">
        <v>0</v>
      </c>
      <c r="Q660" s="228">
        <v>0</v>
      </c>
    </row>
    <row r="661" spans="2:17">
      <c r="B661" s="165" t="s">
        <v>2016</v>
      </c>
      <c r="C661" s="165">
        <v>13500</v>
      </c>
      <c r="D661" s="228"/>
      <c r="E661" s="228"/>
      <c r="F661" s="228"/>
      <c r="G661" s="228"/>
      <c r="H661" s="228"/>
      <c r="I661" s="228"/>
      <c r="J661" s="228"/>
      <c r="K661" s="228"/>
      <c r="L661" s="228">
        <v>12000</v>
      </c>
      <c r="M661" s="228">
        <v>162000000</v>
      </c>
      <c r="N661" s="228"/>
      <c r="O661" s="228"/>
      <c r="P661" s="228">
        <v>12000</v>
      </c>
      <c r="Q661" s="228">
        <v>162000000</v>
      </c>
    </row>
    <row r="662" spans="2:17">
      <c r="B662" s="165" t="s">
        <v>2114</v>
      </c>
      <c r="C662" s="165">
        <v>3900</v>
      </c>
      <c r="D662" s="228"/>
      <c r="E662" s="228"/>
      <c r="F662" s="228">
        <v>0</v>
      </c>
      <c r="G662" s="228">
        <v>0</v>
      </c>
      <c r="H662" s="228"/>
      <c r="I662" s="228"/>
      <c r="J662" s="228"/>
      <c r="K662" s="228"/>
      <c r="L662" s="228"/>
      <c r="M662" s="228"/>
      <c r="N662" s="228"/>
      <c r="O662" s="228"/>
      <c r="P662" s="228">
        <v>0</v>
      </c>
      <c r="Q662" s="228">
        <v>0</v>
      </c>
    </row>
    <row r="663" spans="2:17">
      <c r="C663" s="165">
        <v>4100</v>
      </c>
      <c r="D663" s="228">
        <v>0</v>
      </c>
      <c r="E663" s="228">
        <v>0</v>
      </c>
      <c r="F663" s="228"/>
      <c r="G663" s="228"/>
      <c r="H663" s="228"/>
      <c r="I663" s="228"/>
      <c r="J663" s="228"/>
      <c r="K663" s="228"/>
      <c r="L663" s="228"/>
      <c r="M663" s="228"/>
      <c r="N663" s="228"/>
      <c r="O663" s="228"/>
      <c r="P663" s="228">
        <v>0</v>
      </c>
      <c r="Q663" s="228">
        <v>0</v>
      </c>
    </row>
    <row r="664" spans="2:17">
      <c r="B664" s="165" t="s">
        <v>2117</v>
      </c>
      <c r="C664" s="165">
        <v>7200</v>
      </c>
      <c r="D664" s="228"/>
      <c r="E664" s="228"/>
      <c r="F664" s="228"/>
      <c r="G664" s="228"/>
      <c r="H664" s="228"/>
      <c r="I664" s="228"/>
      <c r="J664" s="228"/>
      <c r="K664" s="228"/>
      <c r="L664" s="228">
        <v>15000</v>
      </c>
      <c r="M664" s="228">
        <v>108000000</v>
      </c>
      <c r="N664" s="228"/>
      <c r="O664" s="228"/>
      <c r="P664" s="228">
        <v>15000</v>
      </c>
      <c r="Q664" s="228">
        <v>108000000</v>
      </c>
    </row>
    <row r="665" spans="2:17">
      <c r="B665" s="165" t="s">
        <v>2124</v>
      </c>
      <c r="C665" s="165">
        <v>2000</v>
      </c>
      <c r="D665" s="228"/>
      <c r="E665" s="228"/>
      <c r="F665" s="228">
        <v>0</v>
      </c>
      <c r="G665" s="228">
        <v>0</v>
      </c>
      <c r="H665" s="228"/>
      <c r="I665" s="228"/>
      <c r="J665" s="228"/>
      <c r="K665" s="228"/>
      <c r="L665" s="228"/>
      <c r="M665" s="228"/>
      <c r="N665" s="228"/>
      <c r="O665" s="228"/>
      <c r="P665" s="228">
        <v>0</v>
      </c>
      <c r="Q665" s="228">
        <v>0</v>
      </c>
    </row>
    <row r="666" spans="2:17">
      <c r="B666" s="165" t="s">
        <v>2125</v>
      </c>
      <c r="C666" s="165">
        <v>2800</v>
      </c>
      <c r="D666" s="228"/>
      <c r="E666" s="228"/>
      <c r="F666" s="228">
        <v>0</v>
      </c>
      <c r="G666" s="228">
        <v>0</v>
      </c>
      <c r="H666" s="228"/>
      <c r="I666" s="228"/>
      <c r="J666" s="228"/>
      <c r="K666" s="228"/>
      <c r="L666" s="228"/>
      <c r="M666" s="228"/>
      <c r="N666" s="228"/>
      <c r="O666" s="228"/>
      <c r="P666" s="228">
        <v>0</v>
      </c>
      <c r="Q666" s="228">
        <v>0</v>
      </c>
    </row>
    <row r="667" spans="2:17">
      <c r="C667" s="165">
        <v>2900</v>
      </c>
      <c r="D667" s="228"/>
      <c r="E667" s="228"/>
      <c r="F667" s="228">
        <v>0</v>
      </c>
      <c r="G667" s="228">
        <v>0</v>
      </c>
      <c r="H667" s="228"/>
      <c r="I667" s="228"/>
      <c r="J667" s="228"/>
      <c r="K667" s="228"/>
      <c r="L667" s="228"/>
      <c r="M667" s="228"/>
      <c r="N667" s="228"/>
      <c r="O667" s="228"/>
      <c r="P667" s="228">
        <v>0</v>
      </c>
      <c r="Q667" s="228">
        <v>0</v>
      </c>
    </row>
    <row r="668" spans="2:17">
      <c r="C668" s="165">
        <v>3000</v>
      </c>
      <c r="D668" s="228"/>
      <c r="E668" s="228"/>
      <c r="F668" s="228"/>
      <c r="G668" s="228"/>
      <c r="H668" s="228">
        <v>20000</v>
      </c>
      <c r="I668" s="228">
        <v>60000000</v>
      </c>
      <c r="J668" s="228"/>
      <c r="K668" s="228"/>
      <c r="L668" s="228"/>
      <c r="M668" s="228"/>
      <c r="N668" s="228"/>
      <c r="O668" s="228"/>
      <c r="P668" s="228">
        <v>20000</v>
      </c>
      <c r="Q668" s="228">
        <v>60000000</v>
      </c>
    </row>
    <row r="669" spans="2:17">
      <c r="B669" s="165" t="s">
        <v>2126</v>
      </c>
      <c r="C669" s="165">
        <v>4200</v>
      </c>
      <c r="D669" s="228"/>
      <c r="E669" s="228"/>
      <c r="F669" s="228">
        <v>0</v>
      </c>
      <c r="G669" s="228">
        <v>0</v>
      </c>
      <c r="H669" s="228"/>
      <c r="I669" s="228"/>
      <c r="J669" s="228"/>
      <c r="K669" s="228"/>
      <c r="L669" s="228"/>
      <c r="M669" s="228"/>
      <c r="N669" s="228"/>
      <c r="O669" s="228"/>
      <c r="P669" s="228">
        <v>0</v>
      </c>
      <c r="Q669" s="228">
        <v>0</v>
      </c>
    </row>
    <row r="670" spans="2:17">
      <c r="C670" s="165">
        <v>4400</v>
      </c>
      <c r="D670" s="228"/>
      <c r="E670" s="228"/>
      <c r="F670" s="228">
        <v>0</v>
      </c>
      <c r="G670" s="228">
        <v>0</v>
      </c>
      <c r="H670" s="228"/>
      <c r="I670" s="228"/>
      <c r="J670" s="228"/>
      <c r="K670" s="228"/>
      <c r="L670" s="228"/>
      <c r="M670" s="228"/>
      <c r="N670" s="228"/>
      <c r="O670" s="228"/>
      <c r="P670" s="228">
        <v>0</v>
      </c>
      <c r="Q670" s="228">
        <v>0</v>
      </c>
    </row>
    <row r="671" spans="2:17">
      <c r="C671" s="165">
        <v>4430</v>
      </c>
      <c r="D671" s="228"/>
      <c r="E671" s="228"/>
      <c r="F671" s="228"/>
      <c r="G671" s="228"/>
      <c r="H671" s="228"/>
      <c r="I671" s="228"/>
      <c r="J671" s="228">
        <v>20100</v>
      </c>
      <c r="K671" s="228">
        <v>89043000</v>
      </c>
      <c r="L671" s="228"/>
      <c r="M671" s="228"/>
      <c r="N671" s="228"/>
      <c r="O671" s="228"/>
      <c r="P671" s="228">
        <v>20100</v>
      </c>
      <c r="Q671" s="228">
        <v>89043000</v>
      </c>
    </row>
    <row r="672" spans="2:17">
      <c r="C672" s="165">
        <v>4600</v>
      </c>
      <c r="D672" s="228"/>
      <c r="E672" s="228"/>
      <c r="F672" s="228"/>
      <c r="G672" s="228"/>
      <c r="H672" s="228"/>
      <c r="I672" s="228"/>
      <c r="J672" s="228"/>
      <c r="K672" s="228"/>
      <c r="L672" s="228">
        <v>15000</v>
      </c>
      <c r="M672" s="228">
        <v>69000000</v>
      </c>
      <c r="N672" s="228"/>
      <c r="O672" s="228"/>
      <c r="P672" s="228">
        <v>15000</v>
      </c>
      <c r="Q672" s="228">
        <v>69000000</v>
      </c>
    </row>
    <row r="673" spans="1:17">
      <c r="B673" s="165" t="s">
        <v>2015</v>
      </c>
      <c r="C673" s="165">
        <v>10500</v>
      </c>
      <c r="D673" s="228"/>
      <c r="E673" s="228"/>
      <c r="F673" s="228"/>
      <c r="G673" s="228"/>
      <c r="H673" s="228"/>
      <c r="I673" s="228"/>
      <c r="J673" s="228"/>
      <c r="K673" s="228"/>
      <c r="L673" s="228">
        <v>12000</v>
      </c>
      <c r="M673" s="228">
        <v>126000000</v>
      </c>
      <c r="N673" s="228"/>
      <c r="O673" s="228"/>
      <c r="P673" s="228">
        <v>12000</v>
      </c>
      <c r="Q673" s="228">
        <v>126000000</v>
      </c>
    </row>
    <row r="674" spans="1:17">
      <c r="B674" s="165" t="s">
        <v>2023</v>
      </c>
      <c r="C674" s="165">
        <v>10800</v>
      </c>
      <c r="D674" s="228"/>
      <c r="E674" s="228"/>
      <c r="F674" s="228"/>
      <c r="G674" s="228"/>
      <c r="H674" s="228"/>
      <c r="I674" s="228"/>
      <c r="J674" s="228"/>
      <c r="K674" s="228"/>
      <c r="L674" s="228">
        <v>12000</v>
      </c>
      <c r="M674" s="228">
        <v>129600000</v>
      </c>
      <c r="N674" s="228"/>
      <c r="O674" s="228"/>
      <c r="P674" s="228">
        <v>12000</v>
      </c>
      <c r="Q674" s="228">
        <v>129600000</v>
      </c>
    </row>
    <row r="675" spans="1:17">
      <c r="B675" s="165" t="s">
        <v>2176</v>
      </c>
      <c r="C675" s="165">
        <v>4100</v>
      </c>
      <c r="D675" s="228"/>
      <c r="E675" s="228"/>
      <c r="F675" s="228">
        <v>0</v>
      </c>
      <c r="G675" s="228">
        <v>0</v>
      </c>
      <c r="H675" s="228"/>
      <c r="I675" s="228"/>
      <c r="J675" s="228"/>
      <c r="K675" s="228"/>
      <c r="L675" s="228"/>
      <c r="M675" s="228"/>
      <c r="N675" s="228"/>
      <c r="O675" s="228"/>
      <c r="P675" s="228">
        <v>0</v>
      </c>
      <c r="Q675" s="228">
        <v>0</v>
      </c>
    </row>
    <row r="676" spans="1:17">
      <c r="C676" s="165">
        <v>4400</v>
      </c>
      <c r="D676" s="228"/>
      <c r="E676" s="228"/>
      <c r="F676" s="228">
        <v>0</v>
      </c>
      <c r="G676" s="228">
        <v>0</v>
      </c>
      <c r="H676" s="228"/>
      <c r="I676" s="228"/>
      <c r="J676" s="228"/>
      <c r="K676" s="228"/>
      <c r="L676" s="228"/>
      <c r="M676" s="228"/>
      <c r="N676" s="228"/>
      <c r="O676" s="228"/>
      <c r="P676" s="228">
        <v>0</v>
      </c>
      <c r="Q676" s="228">
        <v>0</v>
      </c>
    </row>
    <row r="677" spans="1:17">
      <c r="C677" s="165">
        <v>4430</v>
      </c>
      <c r="D677" s="228"/>
      <c r="E677" s="228"/>
      <c r="F677" s="228"/>
      <c r="G677" s="228"/>
      <c r="H677" s="228"/>
      <c r="I677" s="228"/>
      <c r="J677" s="228">
        <v>900</v>
      </c>
      <c r="K677" s="228">
        <v>3987000</v>
      </c>
      <c r="L677" s="228"/>
      <c r="M677" s="228"/>
      <c r="N677" s="228"/>
      <c r="O677" s="228"/>
      <c r="P677" s="228">
        <v>900</v>
      </c>
      <c r="Q677" s="228">
        <v>3987000</v>
      </c>
    </row>
    <row r="678" spans="1:17">
      <c r="B678" s="165" t="s">
        <v>2186</v>
      </c>
      <c r="C678" s="165">
        <v>2700</v>
      </c>
      <c r="D678" s="228"/>
      <c r="E678" s="228"/>
      <c r="F678" s="228">
        <v>0</v>
      </c>
      <c r="G678" s="228">
        <v>0</v>
      </c>
      <c r="H678" s="228"/>
      <c r="I678" s="228"/>
      <c r="J678" s="228"/>
      <c r="K678" s="228"/>
      <c r="L678" s="228"/>
      <c r="M678" s="228"/>
      <c r="N678" s="228"/>
      <c r="O678" s="228"/>
      <c r="P678" s="228">
        <v>0</v>
      </c>
      <c r="Q678" s="228">
        <v>0</v>
      </c>
    </row>
    <row r="679" spans="1:17">
      <c r="A679" s="165" t="s">
        <v>2258</v>
      </c>
      <c r="B679" s="165"/>
      <c r="C679" s="165"/>
      <c r="D679" s="228">
        <v>17100</v>
      </c>
      <c r="E679" s="228">
        <v>73530000</v>
      </c>
      <c r="F679" s="228">
        <v>0</v>
      </c>
      <c r="G679" s="228">
        <v>0</v>
      </c>
      <c r="H679" s="228">
        <v>41600</v>
      </c>
      <c r="I679" s="228">
        <v>159180000</v>
      </c>
      <c r="J679" s="228">
        <v>51000</v>
      </c>
      <c r="K679" s="228">
        <v>223290000</v>
      </c>
      <c r="L679" s="228">
        <v>91100</v>
      </c>
      <c r="M679" s="228">
        <v>731400000</v>
      </c>
      <c r="N679" s="228"/>
      <c r="O679" s="228"/>
      <c r="P679" s="228">
        <v>200800</v>
      </c>
      <c r="Q679" s="228">
        <v>1187400000</v>
      </c>
    </row>
    <row r="680" spans="1:17">
      <c r="A680" s="165" t="s">
        <v>266</v>
      </c>
      <c r="B680" s="165" t="s">
        <v>2008</v>
      </c>
      <c r="C680" s="165">
        <v>5000</v>
      </c>
      <c r="D680" s="228"/>
      <c r="E680" s="228"/>
      <c r="F680" s="228">
        <v>0</v>
      </c>
      <c r="G680" s="228">
        <v>0</v>
      </c>
      <c r="H680" s="228"/>
      <c r="I680" s="228"/>
      <c r="J680" s="228"/>
      <c r="K680" s="228"/>
      <c r="L680" s="228"/>
      <c r="M680" s="228"/>
      <c r="N680" s="228"/>
      <c r="O680" s="228"/>
      <c r="P680" s="228">
        <v>0</v>
      </c>
      <c r="Q680" s="228">
        <v>0</v>
      </c>
    </row>
    <row r="681" spans="1:17">
      <c r="B681" s="165" t="s">
        <v>2171</v>
      </c>
      <c r="C681" s="165">
        <v>5500</v>
      </c>
      <c r="D681" s="228"/>
      <c r="E681" s="228"/>
      <c r="F681" s="228">
        <v>0</v>
      </c>
      <c r="G681" s="228">
        <v>0</v>
      </c>
      <c r="H681" s="228"/>
      <c r="I681" s="228"/>
      <c r="J681" s="228"/>
      <c r="K681" s="228"/>
      <c r="L681" s="228"/>
      <c r="M681" s="228"/>
      <c r="N681" s="228"/>
      <c r="O681" s="228"/>
      <c r="P681" s="228">
        <v>0</v>
      </c>
      <c r="Q681" s="228">
        <v>0</v>
      </c>
    </row>
    <row r="682" spans="1:17">
      <c r="A682" s="165" t="s">
        <v>2259</v>
      </c>
      <c r="B682" s="165"/>
      <c r="C682" s="165"/>
      <c r="D682" s="228"/>
      <c r="E682" s="228"/>
      <c r="F682" s="228">
        <v>0</v>
      </c>
      <c r="G682" s="228">
        <v>0</v>
      </c>
      <c r="H682" s="228"/>
      <c r="I682" s="228"/>
      <c r="J682" s="228"/>
      <c r="K682" s="228"/>
      <c r="L682" s="228"/>
      <c r="M682" s="228"/>
      <c r="N682" s="228"/>
      <c r="O682" s="228"/>
      <c r="P682" s="228">
        <v>0</v>
      </c>
      <c r="Q682" s="228">
        <v>0</v>
      </c>
    </row>
    <row r="683" spans="1:17">
      <c r="A683" s="165" t="s">
        <v>1345</v>
      </c>
      <c r="B683" s="165" t="s">
        <v>2067</v>
      </c>
      <c r="C683" s="165">
        <v>5400</v>
      </c>
      <c r="D683" s="228"/>
      <c r="E683" s="228"/>
      <c r="F683" s="228">
        <v>0</v>
      </c>
      <c r="G683" s="228">
        <v>0</v>
      </c>
      <c r="H683" s="228"/>
      <c r="I683" s="228"/>
      <c r="J683" s="228"/>
      <c r="K683" s="228"/>
      <c r="L683" s="228"/>
      <c r="M683" s="228"/>
      <c r="N683" s="228"/>
      <c r="O683" s="228"/>
      <c r="P683" s="228">
        <v>0</v>
      </c>
      <c r="Q683" s="228">
        <v>0</v>
      </c>
    </row>
    <row r="684" spans="1:17">
      <c r="B684" s="165" t="s">
        <v>2076</v>
      </c>
      <c r="C684" s="165">
        <v>5700</v>
      </c>
      <c r="D684" s="228"/>
      <c r="E684" s="228"/>
      <c r="F684" s="228">
        <v>0</v>
      </c>
      <c r="G684" s="228">
        <v>0</v>
      </c>
      <c r="H684" s="228"/>
      <c r="I684" s="228"/>
      <c r="J684" s="228"/>
      <c r="K684" s="228"/>
      <c r="L684" s="228"/>
      <c r="M684" s="228"/>
      <c r="N684" s="228"/>
      <c r="O684" s="228"/>
      <c r="P684" s="228">
        <v>0</v>
      </c>
      <c r="Q684" s="228">
        <v>0</v>
      </c>
    </row>
    <row r="685" spans="1:17">
      <c r="B685" s="165" t="s">
        <v>2107</v>
      </c>
      <c r="C685" s="165">
        <v>16000</v>
      </c>
      <c r="D685" s="228"/>
      <c r="E685" s="228"/>
      <c r="F685" s="228"/>
      <c r="G685" s="228"/>
      <c r="H685" s="228"/>
      <c r="I685" s="228"/>
      <c r="J685" s="228"/>
      <c r="K685" s="228"/>
      <c r="L685" s="228">
        <v>0</v>
      </c>
      <c r="M685" s="228">
        <v>0</v>
      </c>
      <c r="N685" s="228"/>
      <c r="O685" s="228"/>
      <c r="P685" s="228">
        <v>0</v>
      </c>
      <c r="Q685" s="228">
        <v>0</v>
      </c>
    </row>
    <row r="686" spans="1:17">
      <c r="B686" s="165" t="s">
        <v>2120</v>
      </c>
      <c r="C686" s="165">
        <v>4800</v>
      </c>
      <c r="D686" s="228"/>
      <c r="E686" s="228"/>
      <c r="F686" s="228">
        <v>0</v>
      </c>
      <c r="G686" s="228">
        <v>0</v>
      </c>
      <c r="H686" s="228"/>
      <c r="I686" s="228"/>
      <c r="J686" s="228"/>
      <c r="K686" s="228"/>
      <c r="L686" s="228"/>
      <c r="M686" s="228"/>
      <c r="N686" s="228"/>
      <c r="O686" s="228"/>
      <c r="P686" s="228">
        <v>0</v>
      </c>
      <c r="Q686" s="228">
        <v>0</v>
      </c>
    </row>
    <row r="687" spans="1:17">
      <c r="B687" s="165" t="s">
        <v>2169</v>
      </c>
      <c r="C687" s="165">
        <v>4600</v>
      </c>
      <c r="D687" s="228"/>
      <c r="E687" s="228"/>
      <c r="F687" s="228">
        <v>0</v>
      </c>
      <c r="G687" s="228">
        <v>0</v>
      </c>
      <c r="H687" s="228"/>
      <c r="I687" s="228"/>
      <c r="J687" s="228"/>
      <c r="K687" s="228"/>
      <c r="L687" s="228"/>
      <c r="M687" s="228"/>
      <c r="N687" s="228"/>
      <c r="O687" s="228"/>
      <c r="P687" s="228">
        <v>0</v>
      </c>
      <c r="Q687" s="228">
        <v>0</v>
      </c>
    </row>
    <row r="688" spans="1:17">
      <c r="B688" s="165" t="s">
        <v>2023</v>
      </c>
      <c r="C688" s="165">
        <v>11000</v>
      </c>
      <c r="D688" s="228">
        <v>0</v>
      </c>
      <c r="E688" s="228">
        <v>0</v>
      </c>
      <c r="F688" s="228"/>
      <c r="G688" s="228"/>
      <c r="H688" s="228"/>
      <c r="I688" s="228"/>
      <c r="J688" s="228"/>
      <c r="K688" s="228"/>
      <c r="L688" s="228"/>
      <c r="M688" s="228"/>
      <c r="N688" s="228"/>
      <c r="O688" s="228"/>
      <c r="P688" s="228">
        <v>0</v>
      </c>
      <c r="Q688" s="228">
        <v>0</v>
      </c>
    </row>
    <row r="689" spans="1:17">
      <c r="B689" s="165" t="s">
        <v>2186</v>
      </c>
      <c r="C689" s="165">
        <v>2700</v>
      </c>
      <c r="D689" s="228">
        <v>0</v>
      </c>
      <c r="E689" s="228">
        <v>0</v>
      </c>
      <c r="F689" s="228"/>
      <c r="G689" s="228"/>
      <c r="H689" s="228"/>
      <c r="I689" s="228"/>
      <c r="J689" s="228"/>
      <c r="K689" s="228"/>
      <c r="L689" s="228"/>
      <c r="M689" s="228"/>
      <c r="N689" s="228"/>
      <c r="O689" s="228"/>
      <c r="P689" s="228">
        <v>0</v>
      </c>
      <c r="Q689" s="228">
        <v>0</v>
      </c>
    </row>
    <row r="690" spans="1:17">
      <c r="B690" s="165" t="s">
        <v>2188</v>
      </c>
      <c r="C690" s="165">
        <v>3800</v>
      </c>
      <c r="D690" s="228">
        <v>0</v>
      </c>
      <c r="E690" s="228">
        <v>0</v>
      </c>
      <c r="F690" s="228"/>
      <c r="G690" s="228"/>
      <c r="H690" s="228"/>
      <c r="I690" s="228"/>
      <c r="J690" s="228"/>
      <c r="K690" s="228"/>
      <c r="L690" s="228"/>
      <c r="M690" s="228"/>
      <c r="N690" s="228"/>
      <c r="O690" s="228"/>
      <c r="P690" s="228">
        <v>0</v>
      </c>
      <c r="Q690" s="228">
        <v>0</v>
      </c>
    </row>
    <row r="691" spans="1:17">
      <c r="A691" s="165" t="s">
        <v>2260</v>
      </c>
      <c r="B691" s="165"/>
      <c r="C691" s="165"/>
      <c r="D691" s="228">
        <v>0</v>
      </c>
      <c r="E691" s="228">
        <v>0</v>
      </c>
      <c r="F691" s="228">
        <v>0</v>
      </c>
      <c r="G691" s="228">
        <v>0</v>
      </c>
      <c r="H691" s="228"/>
      <c r="I691" s="228"/>
      <c r="J691" s="228"/>
      <c r="K691" s="228"/>
      <c r="L691" s="228">
        <v>0</v>
      </c>
      <c r="M691" s="228">
        <v>0</v>
      </c>
      <c r="N691" s="228"/>
      <c r="O691" s="228"/>
      <c r="P691" s="228">
        <v>0</v>
      </c>
      <c r="Q691" s="228">
        <v>0</v>
      </c>
    </row>
    <row r="692" spans="1:17">
      <c r="A692" s="165" t="s">
        <v>255</v>
      </c>
      <c r="B692" s="165" t="s">
        <v>2063</v>
      </c>
      <c r="C692" s="165">
        <v>12500</v>
      </c>
      <c r="D692" s="228"/>
      <c r="E692" s="228"/>
      <c r="F692" s="228"/>
      <c r="G692" s="228"/>
      <c r="H692" s="228"/>
      <c r="I692" s="228"/>
      <c r="J692" s="228"/>
      <c r="K692" s="228"/>
      <c r="L692" s="228">
        <v>35000</v>
      </c>
      <c r="M692" s="228">
        <v>437500000</v>
      </c>
      <c r="N692" s="228"/>
      <c r="O692" s="228"/>
      <c r="P692" s="228">
        <v>35000</v>
      </c>
      <c r="Q692" s="228">
        <v>437500000</v>
      </c>
    </row>
    <row r="693" spans="1:17">
      <c r="B693" s="165" t="s">
        <v>2144</v>
      </c>
      <c r="C693" s="165">
        <v>12500</v>
      </c>
      <c r="D693" s="228"/>
      <c r="E693" s="228"/>
      <c r="F693" s="228"/>
      <c r="G693" s="228"/>
      <c r="H693" s="228"/>
      <c r="I693" s="228"/>
      <c r="J693" s="228"/>
      <c r="K693" s="228"/>
      <c r="L693" s="228">
        <v>21000</v>
      </c>
      <c r="M693" s="228">
        <v>262500000</v>
      </c>
      <c r="N693" s="228"/>
      <c r="O693" s="228"/>
      <c r="P693" s="228">
        <v>21000</v>
      </c>
      <c r="Q693" s="228">
        <v>262500000</v>
      </c>
    </row>
    <row r="694" spans="1:17">
      <c r="A694" s="165" t="s">
        <v>2261</v>
      </c>
      <c r="B694" s="165"/>
      <c r="C694" s="165"/>
      <c r="D694" s="228"/>
      <c r="E694" s="228"/>
      <c r="F694" s="228"/>
      <c r="G694" s="228"/>
      <c r="H694" s="228"/>
      <c r="I694" s="228"/>
      <c r="J694" s="228"/>
      <c r="K694" s="228"/>
      <c r="L694" s="228">
        <v>56000</v>
      </c>
      <c r="M694" s="228">
        <v>700000000</v>
      </c>
      <c r="N694" s="228"/>
      <c r="O694" s="228"/>
      <c r="P694" s="228">
        <v>56000</v>
      </c>
      <c r="Q694" s="228">
        <v>700000000</v>
      </c>
    </row>
    <row r="695" spans="1:17">
      <c r="A695" s="165" t="s">
        <v>280</v>
      </c>
      <c r="B695" s="165" t="s">
        <v>2063</v>
      </c>
      <c r="C695" s="165">
        <v>12500</v>
      </c>
      <c r="D695" s="228"/>
      <c r="E695" s="228"/>
      <c r="F695" s="228"/>
      <c r="G695" s="228"/>
      <c r="H695" s="228"/>
      <c r="I695" s="228"/>
      <c r="J695" s="228"/>
      <c r="K695" s="228"/>
      <c r="L695" s="228">
        <v>15000</v>
      </c>
      <c r="M695" s="228">
        <v>187500000</v>
      </c>
      <c r="N695" s="228"/>
      <c r="O695" s="228"/>
      <c r="P695" s="228">
        <v>15000</v>
      </c>
      <c r="Q695" s="228">
        <v>187500000</v>
      </c>
    </row>
    <row r="696" spans="1:17">
      <c r="B696" s="165" t="s">
        <v>2017</v>
      </c>
      <c r="C696" s="165">
        <v>16000</v>
      </c>
      <c r="D696" s="228"/>
      <c r="E696" s="228"/>
      <c r="F696" s="228"/>
      <c r="G696" s="228"/>
      <c r="H696" s="228"/>
      <c r="I696" s="228"/>
      <c r="J696" s="228"/>
      <c r="K696" s="228"/>
      <c r="L696" s="228">
        <v>5040</v>
      </c>
      <c r="M696" s="228">
        <v>80640000</v>
      </c>
      <c r="N696" s="228"/>
      <c r="O696" s="228"/>
      <c r="P696" s="228">
        <v>5040</v>
      </c>
      <c r="Q696" s="228">
        <v>80640000</v>
      </c>
    </row>
    <row r="697" spans="1:17">
      <c r="B697" s="165" t="s">
        <v>2144</v>
      </c>
      <c r="C697" s="165">
        <v>12500</v>
      </c>
      <c r="D697" s="228"/>
      <c r="E697" s="228"/>
      <c r="F697" s="228"/>
      <c r="G697" s="228"/>
      <c r="H697" s="228"/>
      <c r="I697" s="228"/>
      <c r="J697" s="228"/>
      <c r="K697" s="228"/>
      <c r="L697" s="228">
        <v>12000</v>
      </c>
      <c r="M697" s="228">
        <v>150000000</v>
      </c>
      <c r="N697" s="228"/>
      <c r="O697" s="228"/>
      <c r="P697" s="228">
        <v>12000</v>
      </c>
      <c r="Q697" s="228">
        <v>150000000</v>
      </c>
    </row>
    <row r="698" spans="1:17">
      <c r="A698" s="165" t="s">
        <v>2262</v>
      </c>
      <c r="B698" s="165"/>
      <c r="C698" s="165"/>
      <c r="D698" s="228"/>
      <c r="E698" s="228"/>
      <c r="F698" s="228"/>
      <c r="G698" s="228"/>
      <c r="H698" s="228"/>
      <c r="I698" s="228"/>
      <c r="J698" s="228"/>
      <c r="K698" s="228"/>
      <c r="L698" s="228">
        <v>32040</v>
      </c>
      <c r="M698" s="228">
        <v>418140000</v>
      </c>
      <c r="N698" s="228"/>
      <c r="O698" s="228"/>
      <c r="P698" s="228">
        <v>32040</v>
      </c>
      <c r="Q698" s="228">
        <v>418140000</v>
      </c>
    </row>
    <row r="699" spans="1:17">
      <c r="A699" s="165" t="s">
        <v>1564</v>
      </c>
      <c r="B699" s="165" t="s">
        <v>2025</v>
      </c>
      <c r="C699" s="165">
        <v>4000</v>
      </c>
      <c r="D699" s="228"/>
      <c r="E699" s="228"/>
      <c r="F699" s="228">
        <v>0</v>
      </c>
      <c r="G699" s="228">
        <v>0</v>
      </c>
      <c r="H699" s="228"/>
      <c r="I699" s="228"/>
      <c r="J699" s="228"/>
      <c r="K699" s="228"/>
      <c r="L699" s="228"/>
      <c r="M699" s="228"/>
      <c r="N699" s="228"/>
      <c r="O699" s="228"/>
      <c r="P699" s="228">
        <v>0</v>
      </c>
      <c r="Q699" s="228">
        <v>0</v>
      </c>
    </row>
    <row r="700" spans="1:17">
      <c r="B700" s="165" t="s">
        <v>2038</v>
      </c>
      <c r="C700" s="165">
        <v>4500</v>
      </c>
      <c r="D700" s="228">
        <v>0</v>
      </c>
      <c r="E700" s="228">
        <v>0</v>
      </c>
      <c r="F700" s="228"/>
      <c r="G700" s="228"/>
      <c r="H700" s="228"/>
      <c r="I700" s="228"/>
      <c r="J700" s="228">
        <v>2100</v>
      </c>
      <c r="K700" s="228">
        <v>9450000</v>
      </c>
      <c r="L700" s="228"/>
      <c r="M700" s="228"/>
      <c r="N700" s="228"/>
      <c r="O700" s="228"/>
      <c r="P700" s="228">
        <v>2100</v>
      </c>
      <c r="Q700" s="228">
        <v>9450000</v>
      </c>
    </row>
    <row r="701" spans="1:17">
      <c r="B701" s="165" t="s">
        <v>2060</v>
      </c>
      <c r="C701" s="165">
        <v>8000</v>
      </c>
      <c r="D701" s="228">
        <v>0</v>
      </c>
      <c r="E701" s="228">
        <v>0</v>
      </c>
      <c r="F701" s="228"/>
      <c r="G701" s="228"/>
      <c r="H701" s="228"/>
      <c r="I701" s="228"/>
      <c r="J701" s="228"/>
      <c r="K701" s="228"/>
      <c r="L701" s="228"/>
      <c r="M701" s="228"/>
      <c r="N701" s="228"/>
      <c r="O701" s="228"/>
      <c r="P701" s="228">
        <v>0</v>
      </c>
      <c r="Q701" s="228">
        <v>0</v>
      </c>
    </row>
    <row r="702" spans="1:17">
      <c r="B702" s="165" t="s">
        <v>2011</v>
      </c>
      <c r="C702" s="165">
        <v>10600</v>
      </c>
      <c r="D702" s="228"/>
      <c r="E702" s="228"/>
      <c r="F702" s="228"/>
      <c r="G702" s="228"/>
      <c r="H702" s="228"/>
      <c r="I702" s="228"/>
      <c r="J702" s="228"/>
      <c r="K702" s="228"/>
      <c r="L702" s="228">
        <v>13000</v>
      </c>
      <c r="M702" s="228">
        <v>137800000</v>
      </c>
      <c r="N702" s="228"/>
      <c r="O702" s="228"/>
      <c r="P702" s="228">
        <v>13000</v>
      </c>
      <c r="Q702" s="228">
        <v>137800000</v>
      </c>
    </row>
    <row r="703" spans="1:17">
      <c r="B703" s="165" t="s">
        <v>2067</v>
      </c>
      <c r="C703" s="165">
        <v>5400</v>
      </c>
      <c r="D703" s="228"/>
      <c r="E703" s="228"/>
      <c r="F703" s="228"/>
      <c r="G703" s="228"/>
      <c r="H703" s="228">
        <v>5100</v>
      </c>
      <c r="I703" s="228">
        <v>27540000</v>
      </c>
      <c r="J703" s="228">
        <v>5400</v>
      </c>
      <c r="K703" s="228">
        <v>29160000</v>
      </c>
      <c r="L703" s="228"/>
      <c r="M703" s="228"/>
      <c r="N703" s="228"/>
      <c r="O703" s="228"/>
      <c r="P703" s="228">
        <v>10500</v>
      </c>
      <c r="Q703" s="228">
        <v>56700000</v>
      </c>
    </row>
    <row r="704" spans="1:17">
      <c r="C704" s="165">
        <v>5600</v>
      </c>
      <c r="D704" s="228"/>
      <c r="E704" s="228"/>
      <c r="F704" s="228"/>
      <c r="G704" s="228"/>
      <c r="H704" s="228"/>
      <c r="I704" s="228"/>
      <c r="J704" s="228"/>
      <c r="K704" s="228"/>
      <c r="L704" s="228">
        <v>5100</v>
      </c>
      <c r="M704" s="228">
        <v>28560000</v>
      </c>
      <c r="N704" s="228"/>
      <c r="O704" s="228"/>
      <c r="P704" s="228">
        <v>5100</v>
      </c>
      <c r="Q704" s="228">
        <v>28560000</v>
      </c>
    </row>
    <row r="705" spans="1:17">
      <c r="B705" s="165" t="s">
        <v>2069</v>
      </c>
      <c r="C705" s="165">
        <v>14300</v>
      </c>
      <c r="D705" s="228"/>
      <c r="E705" s="228"/>
      <c r="F705" s="228"/>
      <c r="G705" s="228"/>
      <c r="H705" s="228"/>
      <c r="I705" s="228"/>
      <c r="J705" s="228"/>
      <c r="K705" s="228"/>
      <c r="L705" s="228">
        <v>5000</v>
      </c>
      <c r="M705" s="228">
        <v>71500000</v>
      </c>
      <c r="N705" s="228"/>
      <c r="O705" s="228"/>
      <c r="P705" s="228">
        <v>5000</v>
      </c>
      <c r="Q705" s="228">
        <v>71500000</v>
      </c>
    </row>
    <row r="706" spans="1:17">
      <c r="B706" s="165" t="s">
        <v>2104</v>
      </c>
      <c r="C706" s="165">
        <v>7000</v>
      </c>
      <c r="D706" s="228">
        <v>0</v>
      </c>
      <c r="E706" s="228">
        <v>0</v>
      </c>
      <c r="F706" s="228"/>
      <c r="G706" s="228"/>
      <c r="H706" s="228">
        <v>10000</v>
      </c>
      <c r="I706" s="228">
        <v>70000000</v>
      </c>
      <c r="J706" s="228"/>
      <c r="K706" s="228"/>
      <c r="L706" s="228"/>
      <c r="M706" s="228"/>
      <c r="N706" s="228"/>
      <c r="O706" s="228"/>
      <c r="P706" s="228">
        <v>10000</v>
      </c>
      <c r="Q706" s="228">
        <v>70000000</v>
      </c>
    </row>
    <row r="707" spans="1:17">
      <c r="B707" s="165" t="s">
        <v>2140</v>
      </c>
      <c r="C707" s="165">
        <v>3800</v>
      </c>
      <c r="D707" s="228"/>
      <c r="E707" s="228"/>
      <c r="F707" s="228"/>
      <c r="G707" s="228"/>
      <c r="H707" s="228">
        <v>5100</v>
      </c>
      <c r="I707" s="228">
        <v>19380000</v>
      </c>
      <c r="J707" s="228"/>
      <c r="K707" s="228"/>
      <c r="L707" s="228"/>
      <c r="M707" s="228"/>
      <c r="N707" s="228"/>
      <c r="O707" s="228"/>
      <c r="P707" s="228">
        <v>5100</v>
      </c>
      <c r="Q707" s="228">
        <v>19380000</v>
      </c>
    </row>
    <row r="708" spans="1:17">
      <c r="B708" s="165" t="s">
        <v>2009</v>
      </c>
      <c r="C708" s="165">
        <v>3700</v>
      </c>
      <c r="D708" s="228"/>
      <c r="E708" s="228"/>
      <c r="F708" s="228"/>
      <c r="G708" s="228"/>
      <c r="H708" s="228">
        <v>4000</v>
      </c>
      <c r="I708" s="228">
        <v>14800000</v>
      </c>
      <c r="J708" s="228"/>
      <c r="K708" s="228"/>
      <c r="L708" s="228"/>
      <c r="M708" s="228"/>
      <c r="N708" s="228"/>
      <c r="O708" s="228"/>
      <c r="P708" s="228">
        <v>4000</v>
      </c>
      <c r="Q708" s="228">
        <v>14800000</v>
      </c>
    </row>
    <row r="709" spans="1:17">
      <c r="B709" s="165" t="s">
        <v>2015</v>
      </c>
      <c r="C709" s="165">
        <v>10700</v>
      </c>
      <c r="D709" s="228"/>
      <c r="E709" s="228"/>
      <c r="F709" s="228"/>
      <c r="G709" s="228"/>
      <c r="H709" s="228"/>
      <c r="I709" s="228"/>
      <c r="J709" s="228"/>
      <c r="K709" s="228"/>
      <c r="L709" s="228">
        <v>7000</v>
      </c>
      <c r="M709" s="228">
        <v>74900000</v>
      </c>
      <c r="N709" s="228"/>
      <c r="O709" s="228"/>
      <c r="P709" s="228">
        <v>7000</v>
      </c>
      <c r="Q709" s="228">
        <v>74900000</v>
      </c>
    </row>
    <row r="710" spans="1:17">
      <c r="B710" s="165" t="s">
        <v>2143</v>
      </c>
      <c r="C710" s="165">
        <v>12500</v>
      </c>
      <c r="D710" s="228"/>
      <c r="E710" s="228"/>
      <c r="F710" s="228"/>
      <c r="G710" s="228"/>
      <c r="H710" s="228"/>
      <c r="I710" s="228"/>
      <c r="J710" s="228"/>
      <c r="K710" s="228"/>
      <c r="L710" s="228">
        <v>3000</v>
      </c>
      <c r="M710" s="228">
        <v>37500000</v>
      </c>
      <c r="N710" s="228"/>
      <c r="O710" s="228"/>
      <c r="P710" s="228">
        <v>3000</v>
      </c>
      <c r="Q710" s="228">
        <v>37500000</v>
      </c>
    </row>
    <row r="711" spans="1:17">
      <c r="B711" s="165" t="s">
        <v>1878</v>
      </c>
      <c r="C711" s="165">
        <v>3600</v>
      </c>
      <c r="D711" s="228"/>
      <c r="E711" s="228"/>
      <c r="F711" s="228">
        <v>0</v>
      </c>
      <c r="G711" s="228">
        <v>0</v>
      </c>
      <c r="H711" s="228">
        <v>2700</v>
      </c>
      <c r="I711" s="228">
        <v>9720000</v>
      </c>
      <c r="J711" s="228">
        <v>1200</v>
      </c>
      <c r="K711" s="228">
        <v>4320000</v>
      </c>
      <c r="L711" s="228"/>
      <c r="M711" s="228"/>
      <c r="N711" s="228"/>
      <c r="O711" s="228"/>
      <c r="P711" s="228">
        <v>3900</v>
      </c>
      <c r="Q711" s="228">
        <v>14040000</v>
      </c>
    </row>
    <row r="712" spans="1:17">
      <c r="C712" s="165">
        <v>3800</v>
      </c>
      <c r="D712" s="228"/>
      <c r="E712" s="228"/>
      <c r="F712" s="228"/>
      <c r="G712" s="228"/>
      <c r="H712" s="228">
        <v>5100</v>
      </c>
      <c r="I712" s="228">
        <v>19380000</v>
      </c>
      <c r="J712" s="228"/>
      <c r="K712" s="228"/>
      <c r="L712" s="228"/>
      <c r="M712" s="228"/>
      <c r="N712" s="228"/>
      <c r="O712" s="228"/>
      <c r="P712" s="228">
        <v>5100</v>
      </c>
      <c r="Q712" s="228">
        <v>19380000</v>
      </c>
    </row>
    <row r="713" spans="1:17">
      <c r="A713" s="165" t="s">
        <v>2263</v>
      </c>
      <c r="B713" s="165"/>
      <c r="C713" s="165"/>
      <c r="D713" s="228">
        <v>0</v>
      </c>
      <c r="E713" s="228">
        <v>0</v>
      </c>
      <c r="F713" s="228">
        <v>0</v>
      </c>
      <c r="G713" s="228">
        <v>0</v>
      </c>
      <c r="H713" s="228">
        <v>32000</v>
      </c>
      <c r="I713" s="228">
        <v>160820000</v>
      </c>
      <c r="J713" s="228">
        <v>8700</v>
      </c>
      <c r="K713" s="228">
        <v>42930000</v>
      </c>
      <c r="L713" s="228">
        <v>33100</v>
      </c>
      <c r="M713" s="228">
        <v>350260000</v>
      </c>
      <c r="N713" s="228"/>
      <c r="O713" s="228"/>
      <c r="P713" s="228">
        <v>73800</v>
      </c>
      <c r="Q713" s="228">
        <v>554010000</v>
      </c>
    </row>
    <row r="714" spans="1:17">
      <c r="A714" s="165" t="s">
        <v>1214</v>
      </c>
      <c r="B714" s="165" t="s">
        <v>2057</v>
      </c>
      <c r="C714" s="165">
        <v>6700</v>
      </c>
      <c r="D714" s="228"/>
      <c r="E714" s="228"/>
      <c r="F714" s="228">
        <v>0</v>
      </c>
      <c r="G714" s="228">
        <v>0</v>
      </c>
      <c r="H714" s="228"/>
      <c r="I714" s="228"/>
      <c r="J714" s="228"/>
      <c r="K714" s="228"/>
      <c r="L714" s="228"/>
      <c r="M714" s="228"/>
      <c r="N714" s="228"/>
      <c r="O714" s="228"/>
      <c r="P714" s="228">
        <v>0</v>
      </c>
      <c r="Q714" s="228">
        <v>0</v>
      </c>
    </row>
    <row r="715" spans="1:17">
      <c r="B715" s="165" t="s">
        <v>2169</v>
      </c>
      <c r="C715" s="165">
        <v>4600</v>
      </c>
      <c r="D715" s="228"/>
      <c r="E715" s="228"/>
      <c r="F715" s="228">
        <v>0</v>
      </c>
      <c r="G715" s="228">
        <v>0</v>
      </c>
      <c r="H715" s="228"/>
      <c r="I715" s="228"/>
      <c r="J715" s="228"/>
      <c r="K715" s="228"/>
      <c r="L715" s="228"/>
      <c r="M715" s="228"/>
      <c r="N715" s="228"/>
      <c r="O715" s="228"/>
      <c r="P715" s="228">
        <v>0</v>
      </c>
      <c r="Q715" s="228">
        <v>0</v>
      </c>
    </row>
    <row r="716" spans="1:17">
      <c r="B716" s="165" t="s">
        <v>2188</v>
      </c>
      <c r="C716" s="165">
        <v>4000</v>
      </c>
      <c r="D716" s="228"/>
      <c r="E716" s="228"/>
      <c r="F716" s="228"/>
      <c r="G716" s="228"/>
      <c r="H716" s="228">
        <v>20100</v>
      </c>
      <c r="I716" s="228">
        <v>80400000</v>
      </c>
      <c r="J716" s="228"/>
      <c r="K716" s="228"/>
      <c r="L716" s="228">
        <v>20100</v>
      </c>
      <c r="M716" s="228">
        <v>80400000</v>
      </c>
      <c r="N716" s="228"/>
      <c r="O716" s="228"/>
      <c r="P716" s="228">
        <v>40200</v>
      </c>
      <c r="Q716" s="228">
        <v>160800000</v>
      </c>
    </row>
    <row r="717" spans="1:17">
      <c r="C717" s="165">
        <v>4100</v>
      </c>
      <c r="D717" s="228"/>
      <c r="E717" s="228"/>
      <c r="F717" s="228"/>
      <c r="G717" s="228"/>
      <c r="H717" s="228"/>
      <c r="I717" s="228"/>
      <c r="J717" s="228"/>
      <c r="K717" s="228"/>
      <c r="L717" s="228">
        <v>20100</v>
      </c>
      <c r="M717" s="228">
        <v>82410000</v>
      </c>
      <c r="N717" s="228"/>
      <c r="O717" s="228"/>
      <c r="P717" s="228">
        <v>20100</v>
      </c>
      <c r="Q717" s="228">
        <v>82410000</v>
      </c>
    </row>
    <row r="718" spans="1:17">
      <c r="B718" s="165" t="s">
        <v>2189</v>
      </c>
      <c r="C718" s="165">
        <v>3800</v>
      </c>
      <c r="D718" s="228"/>
      <c r="E718" s="228"/>
      <c r="F718" s="228">
        <v>0</v>
      </c>
      <c r="G718" s="228">
        <v>0</v>
      </c>
      <c r="H718" s="228"/>
      <c r="I718" s="228"/>
      <c r="J718" s="228"/>
      <c r="K718" s="228"/>
      <c r="L718" s="228"/>
      <c r="M718" s="228"/>
      <c r="N718" s="228"/>
      <c r="O718" s="228"/>
      <c r="P718" s="228">
        <v>0</v>
      </c>
      <c r="Q718" s="228">
        <v>0</v>
      </c>
    </row>
    <row r="719" spans="1:17">
      <c r="A719" s="165" t="s">
        <v>2264</v>
      </c>
      <c r="B719" s="165"/>
      <c r="C719" s="165"/>
      <c r="D719" s="228"/>
      <c r="E719" s="228"/>
      <c r="F719" s="228">
        <v>0</v>
      </c>
      <c r="G719" s="228">
        <v>0</v>
      </c>
      <c r="H719" s="228">
        <v>20100</v>
      </c>
      <c r="I719" s="228">
        <v>80400000</v>
      </c>
      <c r="J719" s="228"/>
      <c r="K719" s="228"/>
      <c r="L719" s="228">
        <v>40200</v>
      </c>
      <c r="M719" s="228">
        <v>162810000</v>
      </c>
      <c r="N719" s="228"/>
      <c r="O719" s="228"/>
      <c r="P719" s="228">
        <v>60300</v>
      </c>
      <c r="Q719" s="228">
        <v>243210000</v>
      </c>
    </row>
    <row r="720" spans="1:17">
      <c r="A720" s="165" t="s">
        <v>1504</v>
      </c>
      <c r="B720" s="165" t="s">
        <v>2115</v>
      </c>
      <c r="C720" s="165">
        <v>8600</v>
      </c>
      <c r="D720" s="228"/>
      <c r="E720" s="228"/>
      <c r="F720" s="228"/>
      <c r="G720" s="228"/>
      <c r="H720" s="228">
        <v>2000</v>
      </c>
      <c r="I720" s="228">
        <v>17200000</v>
      </c>
      <c r="J720" s="228"/>
      <c r="K720" s="228"/>
      <c r="L720" s="228"/>
      <c r="M720" s="228"/>
      <c r="N720" s="228"/>
      <c r="O720" s="228"/>
      <c r="P720" s="228">
        <v>2000</v>
      </c>
      <c r="Q720" s="228">
        <v>17200000</v>
      </c>
    </row>
    <row r="721" spans="1:17">
      <c r="C721" s="165">
        <v>8700</v>
      </c>
      <c r="D721" s="228"/>
      <c r="E721" s="228"/>
      <c r="F721" s="228"/>
      <c r="G721" s="228"/>
      <c r="H721" s="228">
        <v>2000</v>
      </c>
      <c r="I721" s="228">
        <v>17400000</v>
      </c>
      <c r="J721" s="228"/>
      <c r="K721" s="228"/>
      <c r="L721" s="228">
        <v>1200</v>
      </c>
      <c r="M721" s="228">
        <v>10440000</v>
      </c>
      <c r="N721" s="228"/>
      <c r="O721" s="228"/>
      <c r="P721" s="228">
        <v>3200</v>
      </c>
      <c r="Q721" s="228">
        <v>27840000</v>
      </c>
    </row>
    <row r="722" spans="1:17">
      <c r="C722" s="165">
        <v>8800</v>
      </c>
      <c r="D722" s="228"/>
      <c r="E722" s="228"/>
      <c r="F722" s="228"/>
      <c r="G722" s="228"/>
      <c r="H722" s="228"/>
      <c r="I722" s="228"/>
      <c r="J722" s="228"/>
      <c r="K722" s="228"/>
      <c r="L722" s="228">
        <v>10000</v>
      </c>
      <c r="M722" s="228">
        <v>88000000</v>
      </c>
      <c r="N722" s="228"/>
      <c r="O722" s="228"/>
      <c r="P722" s="228">
        <v>10000</v>
      </c>
      <c r="Q722" s="228">
        <v>88000000</v>
      </c>
    </row>
    <row r="723" spans="1:17">
      <c r="B723" s="165" t="s">
        <v>2134</v>
      </c>
      <c r="C723" s="165">
        <v>10900</v>
      </c>
      <c r="D723" s="228"/>
      <c r="E723" s="228"/>
      <c r="F723" s="228"/>
      <c r="G723" s="228"/>
      <c r="H723" s="228"/>
      <c r="I723" s="228"/>
      <c r="J723" s="228"/>
      <c r="K723" s="228"/>
      <c r="L723" s="228">
        <v>5100</v>
      </c>
      <c r="M723" s="228">
        <v>55590000</v>
      </c>
      <c r="N723" s="228"/>
      <c r="O723" s="228"/>
      <c r="P723" s="228">
        <v>5100</v>
      </c>
      <c r="Q723" s="228">
        <v>55590000</v>
      </c>
    </row>
    <row r="724" spans="1:17">
      <c r="B724" s="165" t="s">
        <v>2009</v>
      </c>
      <c r="C724" s="165">
        <v>5500</v>
      </c>
      <c r="D724" s="228"/>
      <c r="E724" s="228"/>
      <c r="F724" s="228"/>
      <c r="G724" s="228"/>
      <c r="H724" s="228">
        <v>14000</v>
      </c>
      <c r="I724" s="228">
        <v>77000000</v>
      </c>
      <c r="J724" s="228"/>
      <c r="K724" s="228"/>
      <c r="L724" s="228"/>
      <c r="M724" s="228"/>
      <c r="N724" s="228"/>
      <c r="O724" s="228"/>
      <c r="P724" s="228">
        <v>14000</v>
      </c>
      <c r="Q724" s="228">
        <v>77000000</v>
      </c>
    </row>
    <row r="725" spans="1:17">
      <c r="C725" s="165">
        <v>5600</v>
      </c>
      <c r="D725" s="228"/>
      <c r="E725" s="228"/>
      <c r="F725" s="228"/>
      <c r="G725" s="228"/>
      <c r="H725" s="228">
        <v>14000</v>
      </c>
      <c r="I725" s="228">
        <v>78400000</v>
      </c>
      <c r="J725" s="228"/>
      <c r="K725" s="228"/>
      <c r="L725" s="228">
        <v>7000</v>
      </c>
      <c r="M725" s="228">
        <v>39200000</v>
      </c>
      <c r="N725" s="228"/>
      <c r="O725" s="228"/>
      <c r="P725" s="228">
        <v>21000</v>
      </c>
      <c r="Q725" s="228">
        <v>117600000</v>
      </c>
    </row>
    <row r="726" spans="1:17">
      <c r="C726" s="165">
        <v>6000</v>
      </c>
      <c r="D726" s="228"/>
      <c r="E726" s="228"/>
      <c r="F726" s="228"/>
      <c r="G726" s="228"/>
      <c r="H726" s="228"/>
      <c r="I726" s="228"/>
      <c r="J726" s="228"/>
      <c r="K726" s="228"/>
      <c r="L726" s="228">
        <v>10000</v>
      </c>
      <c r="M726" s="228">
        <v>60000000</v>
      </c>
      <c r="N726" s="228"/>
      <c r="O726" s="228"/>
      <c r="P726" s="228">
        <v>10000</v>
      </c>
      <c r="Q726" s="228">
        <v>60000000</v>
      </c>
    </row>
    <row r="727" spans="1:17">
      <c r="B727" s="165" t="s">
        <v>2015</v>
      </c>
      <c r="C727" s="165">
        <v>10700</v>
      </c>
      <c r="D727" s="228"/>
      <c r="E727" s="228"/>
      <c r="F727" s="228"/>
      <c r="G727" s="228"/>
      <c r="H727" s="228"/>
      <c r="I727" s="228"/>
      <c r="J727" s="228"/>
      <c r="K727" s="228"/>
      <c r="L727" s="228">
        <v>10000</v>
      </c>
      <c r="M727" s="228">
        <v>107000000</v>
      </c>
      <c r="N727" s="228"/>
      <c r="O727" s="228"/>
      <c r="P727" s="228">
        <v>10000</v>
      </c>
      <c r="Q727" s="228">
        <v>107000000</v>
      </c>
    </row>
    <row r="728" spans="1:17">
      <c r="B728" s="165" t="s">
        <v>2174</v>
      </c>
      <c r="C728" s="165">
        <v>13900</v>
      </c>
      <c r="D728" s="228"/>
      <c r="E728" s="228"/>
      <c r="F728" s="228"/>
      <c r="G728" s="228"/>
      <c r="H728" s="228"/>
      <c r="I728" s="228"/>
      <c r="J728" s="228"/>
      <c r="K728" s="228"/>
      <c r="L728" s="228">
        <v>2950</v>
      </c>
      <c r="M728" s="228">
        <v>41005000</v>
      </c>
      <c r="N728" s="228"/>
      <c r="O728" s="228"/>
      <c r="P728" s="228">
        <v>2950</v>
      </c>
      <c r="Q728" s="228">
        <v>41005000</v>
      </c>
    </row>
    <row r="729" spans="1:17">
      <c r="B729" s="165" t="s">
        <v>2178</v>
      </c>
      <c r="C729" s="165">
        <v>8900</v>
      </c>
      <c r="D729" s="228"/>
      <c r="E729" s="228"/>
      <c r="F729" s="228"/>
      <c r="G729" s="228"/>
      <c r="H729" s="228"/>
      <c r="I729" s="228"/>
      <c r="J729" s="228"/>
      <c r="K729" s="228"/>
      <c r="L729" s="228">
        <v>10000</v>
      </c>
      <c r="M729" s="228">
        <v>89000000</v>
      </c>
      <c r="N729" s="228"/>
      <c r="O729" s="228"/>
      <c r="P729" s="228">
        <v>10000</v>
      </c>
      <c r="Q729" s="228">
        <v>89000000</v>
      </c>
    </row>
    <row r="730" spans="1:17">
      <c r="A730" s="165" t="s">
        <v>2265</v>
      </c>
      <c r="B730" s="165"/>
      <c r="C730" s="165"/>
      <c r="D730" s="228"/>
      <c r="E730" s="228"/>
      <c r="F730" s="228"/>
      <c r="G730" s="228"/>
      <c r="H730" s="228">
        <v>32000</v>
      </c>
      <c r="I730" s="228">
        <v>190000000</v>
      </c>
      <c r="J730" s="228"/>
      <c r="K730" s="228"/>
      <c r="L730" s="228">
        <v>56250</v>
      </c>
      <c r="M730" s="228">
        <v>490235000</v>
      </c>
      <c r="N730" s="228"/>
      <c r="O730" s="228"/>
      <c r="P730" s="228">
        <v>88250</v>
      </c>
      <c r="Q730" s="228">
        <v>680235000</v>
      </c>
    </row>
    <row r="731" spans="1:17">
      <c r="A731" s="165" t="s">
        <v>177</v>
      </c>
      <c r="B731" s="165" t="s">
        <v>2060</v>
      </c>
      <c r="C731" s="165">
        <v>7200</v>
      </c>
      <c r="D731" s="228"/>
      <c r="E731" s="228"/>
      <c r="F731" s="228"/>
      <c r="G731" s="228"/>
      <c r="H731" s="228"/>
      <c r="I731" s="228"/>
      <c r="J731" s="228"/>
      <c r="K731" s="228"/>
      <c r="L731" s="228">
        <v>5100</v>
      </c>
      <c r="M731" s="228">
        <v>36720000</v>
      </c>
      <c r="N731" s="228"/>
      <c r="O731" s="228"/>
      <c r="P731" s="228">
        <v>5100</v>
      </c>
      <c r="Q731" s="228">
        <v>36720000</v>
      </c>
    </row>
    <row r="732" spans="1:17">
      <c r="B732" s="165" t="s">
        <v>2067</v>
      </c>
      <c r="C732" s="165">
        <v>5500</v>
      </c>
      <c r="D732" s="228"/>
      <c r="E732" s="228"/>
      <c r="F732" s="228">
        <v>0</v>
      </c>
      <c r="G732" s="228">
        <v>0</v>
      </c>
      <c r="H732" s="228"/>
      <c r="I732" s="228"/>
      <c r="J732" s="228"/>
      <c r="K732" s="228"/>
      <c r="L732" s="228"/>
      <c r="M732" s="228"/>
      <c r="N732" s="228"/>
      <c r="O732" s="228"/>
      <c r="P732" s="228">
        <v>0</v>
      </c>
      <c r="Q732" s="228">
        <v>0</v>
      </c>
    </row>
    <row r="733" spans="1:17">
      <c r="B733" s="165" t="s">
        <v>2106</v>
      </c>
      <c r="C733" s="165">
        <v>15200</v>
      </c>
      <c r="D733" s="228"/>
      <c r="E733" s="228"/>
      <c r="F733" s="228"/>
      <c r="G733" s="228"/>
      <c r="H733" s="228"/>
      <c r="I733" s="228"/>
      <c r="J733" s="228"/>
      <c r="K733" s="228"/>
      <c r="L733" s="228">
        <v>5000</v>
      </c>
      <c r="M733" s="228">
        <v>76000000</v>
      </c>
      <c r="N733" s="228"/>
      <c r="O733" s="228"/>
      <c r="P733" s="228">
        <v>5000</v>
      </c>
      <c r="Q733" s="228">
        <v>76000000</v>
      </c>
    </row>
    <row r="734" spans="1:17">
      <c r="B734" s="165" t="s">
        <v>2009</v>
      </c>
      <c r="C734" s="165">
        <v>5000</v>
      </c>
      <c r="D734" s="228"/>
      <c r="E734" s="228"/>
      <c r="F734" s="228">
        <v>0</v>
      </c>
      <c r="G734" s="228">
        <v>0</v>
      </c>
      <c r="H734" s="228"/>
      <c r="I734" s="228"/>
      <c r="J734" s="228"/>
      <c r="K734" s="228"/>
      <c r="L734" s="228"/>
      <c r="M734" s="228"/>
      <c r="N734" s="228"/>
      <c r="O734" s="228"/>
      <c r="P734" s="228">
        <v>0</v>
      </c>
      <c r="Q734" s="228">
        <v>0</v>
      </c>
    </row>
    <row r="735" spans="1:17">
      <c r="C735" s="165">
        <v>5170</v>
      </c>
      <c r="D735" s="228">
        <v>0</v>
      </c>
      <c r="E735" s="228">
        <v>0</v>
      </c>
      <c r="F735" s="228"/>
      <c r="G735" s="228"/>
      <c r="H735" s="228"/>
      <c r="I735" s="228"/>
      <c r="J735" s="228"/>
      <c r="K735" s="228"/>
      <c r="L735" s="228"/>
      <c r="M735" s="228"/>
      <c r="N735" s="228"/>
      <c r="O735" s="228"/>
      <c r="P735" s="228">
        <v>0</v>
      </c>
      <c r="Q735" s="228">
        <v>0</v>
      </c>
    </row>
    <row r="736" spans="1:17">
      <c r="C736" s="165">
        <v>5500</v>
      </c>
      <c r="D736" s="228">
        <v>0</v>
      </c>
      <c r="E736" s="228">
        <v>0</v>
      </c>
      <c r="F736" s="228"/>
      <c r="G736" s="228"/>
      <c r="H736" s="228"/>
      <c r="I736" s="228"/>
      <c r="J736" s="228"/>
      <c r="K736" s="228"/>
      <c r="L736" s="228"/>
      <c r="M736" s="228"/>
      <c r="N736" s="228"/>
      <c r="O736" s="228"/>
      <c r="P736" s="228">
        <v>0</v>
      </c>
      <c r="Q736" s="228">
        <v>0</v>
      </c>
    </row>
    <row r="737" spans="1:17">
      <c r="B737" s="165" t="s">
        <v>2144</v>
      </c>
      <c r="C737" s="165">
        <v>12500</v>
      </c>
      <c r="D737" s="228"/>
      <c r="E737" s="228"/>
      <c r="F737" s="228"/>
      <c r="G737" s="228"/>
      <c r="H737" s="228"/>
      <c r="I737" s="228"/>
      <c r="J737" s="228"/>
      <c r="K737" s="228"/>
      <c r="L737" s="228">
        <v>10000</v>
      </c>
      <c r="M737" s="228">
        <v>125000000</v>
      </c>
      <c r="N737" s="228"/>
      <c r="O737" s="228"/>
      <c r="P737" s="228">
        <v>10000</v>
      </c>
      <c r="Q737" s="228">
        <v>125000000</v>
      </c>
    </row>
    <row r="738" spans="1:17">
      <c r="B738" s="165" t="s">
        <v>2186</v>
      </c>
      <c r="C738" s="165">
        <v>2600</v>
      </c>
      <c r="D738" s="228"/>
      <c r="E738" s="228"/>
      <c r="F738" s="228">
        <v>0</v>
      </c>
      <c r="G738" s="228">
        <v>0</v>
      </c>
      <c r="H738" s="228"/>
      <c r="I738" s="228"/>
      <c r="J738" s="228"/>
      <c r="K738" s="228"/>
      <c r="L738" s="228"/>
      <c r="M738" s="228"/>
      <c r="N738" s="228"/>
      <c r="O738" s="228"/>
      <c r="P738" s="228">
        <v>0</v>
      </c>
      <c r="Q738" s="228">
        <v>0</v>
      </c>
    </row>
    <row r="739" spans="1:17">
      <c r="C739" s="165">
        <v>2800</v>
      </c>
      <c r="D739" s="228"/>
      <c r="E739" s="228"/>
      <c r="F739" s="228">
        <v>0</v>
      </c>
      <c r="G739" s="228">
        <v>0</v>
      </c>
      <c r="H739" s="228">
        <v>10000</v>
      </c>
      <c r="I739" s="228">
        <v>28000000</v>
      </c>
      <c r="J739" s="228"/>
      <c r="K739" s="228"/>
      <c r="L739" s="228"/>
      <c r="M739" s="228"/>
      <c r="N739" s="228"/>
      <c r="O739" s="228"/>
      <c r="P739" s="228">
        <v>10000</v>
      </c>
      <c r="Q739" s="228">
        <v>28000000</v>
      </c>
    </row>
    <row r="740" spans="1:17">
      <c r="B740" s="165" t="s">
        <v>2188</v>
      </c>
      <c r="C740" s="165">
        <v>3900</v>
      </c>
      <c r="D740" s="228"/>
      <c r="E740" s="228"/>
      <c r="F740" s="228">
        <v>0</v>
      </c>
      <c r="G740" s="228">
        <v>0</v>
      </c>
      <c r="H740" s="228"/>
      <c r="I740" s="228"/>
      <c r="J740" s="228"/>
      <c r="K740" s="228"/>
      <c r="L740" s="228"/>
      <c r="M740" s="228"/>
      <c r="N740" s="228"/>
      <c r="O740" s="228"/>
      <c r="P740" s="228">
        <v>0</v>
      </c>
      <c r="Q740" s="228">
        <v>0</v>
      </c>
    </row>
    <row r="741" spans="1:17">
      <c r="A741" s="165" t="s">
        <v>2266</v>
      </c>
      <c r="B741" s="165"/>
      <c r="C741" s="165"/>
      <c r="D741" s="228">
        <v>0</v>
      </c>
      <c r="E741" s="228">
        <v>0</v>
      </c>
      <c r="F741" s="228">
        <v>0</v>
      </c>
      <c r="G741" s="228">
        <v>0</v>
      </c>
      <c r="H741" s="228">
        <v>10000</v>
      </c>
      <c r="I741" s="228">
        <v>28000000</v>
      </c>
      <c r="J741" s="228"/>
      <c r="K741" s="228"/>
      <c r="L741" s="228">
        <v>20100</v>
      </c>
      <c r="M741" s="228">
        <v>237720000</v>
      </c>
      <c r="N741" s="228"/>
      <c r="O741" s="228"/>
      <c r="P741" s="228">
        <v>30100</v>
      </c>
      <c r="Q741" s="228">
        <v>265720000</v>
      </c>
    </row>
    <row r="742" spans="1:17">
      <c r="A742" s="165" t="s">
        <v>1411</v>
      </c>
      <c r="B742" s="165" t="s">
        <v>2025</v>
      </c>
      <c r="C742" s="165">
        <v>4000</v>
      </c>
      <c r="D742" s="228"/>
      <c r="E742" s="228"/>
      <c r="F742" s="228">
        <v>0</v>
      </c>
      <c r="G742" s="228">
        <v>0</v>
      </c>
      <c r="H742" s="228"/>
      <c r="I742" s="228"/>
      <c r="J742" s="228"/>
      <c r="K742" s="228"/>
      <c r="L742" s="228"/>
      <c r="M742" s="228"/>
      <c r="N742" s="228"/>
      <c r="O742" s="228"/>
      <c r="P742" s="228">
        <v>0</v>
      </c>
      <c r="Q742" s="228">
        <v>0</v>
      </c>
    </row>
    <row r="743" spans="1:17">
      <c r="B743" s="165" t="s">
        <v>2078</v>
      </c>
      <c r="C743" s="165">
        <v>6400</v>
      </c>
      <c r="D743" s="228"/>
      <c r="E743" s="228"/>
      <c r="F743" s="228">
        <v>0</v>
      </c>
      <c r="G743" s="228">
        <v>0</v>
      </c>
      <c r="H743" s="228"/>
      <c r="I743" s="228"/>
      <c r="J743" s="228"/>
      <c r="K743" s="228"/>
      <c r="L743" s="228"/>
      <c r="M743" s="228"/>
      <c r="N743" s="228"/>
      <c r="O743" s="228"/>
      <c r="P743" s="228">
        <v>0</v>
      </c>
      <c r="Q743" s="228">
        <v>0</v>
      </c>
    </row>
    <row r="744" spans="1:17">
      <c r="B744" s="165" t="s">
        <v>2086</v>
      </c>
      <c r="C744" s="165">
        <v>5000</v>
      </c>
      <c r="D744" s="228"/>
      <c r="E744" s="228"/>
      <c r="F744" s="228"/>
      <c r="G744" s="228"/>
      <c r="H744" s="228">
        <v>10800</v>
      </c>
      <c r="I744" s="228">
        <v>54000000</v>
      </c>
      <c r="J744" s="228"/>
      <c r="K744" s="228"/>
      <c r="L744" s="228"/>
      <c r="M744" s="228"/>
      <c r="N744" s="228"/>
      <c r="O744" s="228"/>
      <c r="P744" s="228">
        <v>10800</v>
      </c>
      <c r="Q744" s="228">
        <v>54000000</v>
      </c>
    </row>
    <row r="745" spans="1:17">
      <c r="B745" s="165" t="s">
        <v>2103</v>
      </c>
      <c r="C745" s="165">
        <v>3700</v>
      </c>
      <c r="D745" s="228"/>
      <c r="E745" s="228"/>
      <c r="F745" s="228">
        <v>0</v>
      </c>
      <c r="G745" s="228">
        <v>0</v>
      </c>
      <c r="H745" s="228"/>
      <c r="I745" s="228"/>
      <c r="J745" s="228"/>
      <c r="K745" s="228"/>
      <c r="L745" s="228"/>
      <c r="M745" s="228"/>
      <c r="N745" s="228"/>
      <c r="O745" s="228"/>
      <c r="P745" s="228">
        <v>0</v>
      </c>
      <c r="Q745" s="228">
        <v>0</v>
      </c>
    </row>
    <row r="746" spans="1:17">
      <c r="B746" s="165" t="s">
        <v>2153</v>
      </c>
      <c r="C746" s="165">
        <v>5200</v>
      </c>
      <c r="D746" s="228"/>
      <c r="E746" s="228"/>
      <c r="F746" s="228"/>
      <c r="G746" s="228"/>
      <c r="H746" s="228">
        <v>10000</v>
      </c>
      <c r="I746" s="228">
        <v>52000000</v>
      </c>
      <c r="J746" s="228"/>
      <c r="K746" s="228"/>
      <c r="L746" s="228"/>
      <c r="M746" s="228"/>
      <c r="N746" s="228"/>
      <c r="O746" s="228"/>
      <c r="P746" s="228">
        <v>10000</v>
      </c>
      <c r="Q746" s="228">
        <v>52000000</v>
      </c>
    </row>
    <row r="747" spans="1:17">
      <c r="C747" s="165">
        <v>5300</v>
      </c>
      <c r="D747" s="228"/>
      <c r="E747" s="228"/>
      <c r="F747" s="228"/>
      <c r="G747" s="228"/>
      <c r="H747" s="228">
        <v>6000</v>
      </c>
      <c r="I747" s="228">
        <v>31800000</v>
      </c>
      <c r="J747" s="228"/>
      <c r="K747" s="228"/>
      <c r="L747" s="228"/>
      <c r="M747" s="228"/>
      <c r="N747" s="228"/>
      <c r="O747" s="228"/>
      <c r="P747" s="228">
        <v>6000</v>
      </c>
      <c r="Q747" s="228">
        <v>31800000</v>
      </c>
    </row>
    <row r="748" spans="1:17">
      <c r="B748" s="165" t="s">
        <v>2188</v>
      </c>
      <c r="C748" s="165">
        <v>4000</v>
      </c>
      <c r="D748" s="228"/>
      <c r="E748" s="228"/>
      <c r="F748" s="228"/>
      <c r="G748" s="228"/>
      <c r="H748" s="228">
        <v>20100</v>
      </c>
      <c r="I748" s="228">
        <v>80400000</v>
      </c>
      <c r="J748" s="228"/>
      <c r="K748" s="228"/>
      <c r="L748" s="228"/>
      <c r="M748" s="228"/>
      <c r="N748" s="228"/>
      <c r="O748" s="228"/>
      <c r="P748" s="228">
        <v>20100</v>
      </c>
      <c r="Q748" s="228">
        <v>80400000</v>
      </c>
    </row>
    <row r="749" spans="1:17">
      <c r="B749" s="165" t="s">
        <v>2194</v>
      </c>
      <c r="C749" s="165">
        <v>6000</v>
      </c>
      <c r="D749" s="228"/>
      <c r="E749" s="228"/>
      <c r="F749" s="228"/>
      <c r="G749" s="228"/>
      <c r="H749" s="228">
        <v>4000</v>
      </c>
      <c r="I749" s="228">
        <v>24000000</v>
      </c>
      <c r="J749" s="228"/>
      <c r="K749" s="228"/>
      <c r="L749" s="228"/>
      <c r="M749" s="228"/>
      <c r="N749" s="228"/>
      <c r="O749" s="228"/>
      <c r="P749" s="228">
        <v>4000</v>
      </c>
      <c r="Q749" s="228">
        <v>24000000</v>
      </c>
    </row>
    <row r="750" spans="1:17">
      <c r="A750" s="165" t="s">
        <v>2267</v>
      </c>
      <c r="B750" s="165"/>
      <c r="C750" s="165"/>
      <c r="D750" s="228"/>
      <c r="E750" s="228"/>
      <c r="F750" s="228">
        <v>0</v>
      </c>
      <c r="G750" s="228">
        <v>0</v>
      </c>
      <c r="H750" s="228">
        <v>50900</v>
      </c>
      <c r="I750" s="228">
        <v>242200000</v>
      </c>
      <c r="J750" s="228"/>
      <c r="K750" s="228"/>
      <c r="L750" s="228"/>
      <c r="M750" s="228"/>
      <c r="N750" s="228"/>
      <c r="O750" s="228"/>
      <c r="P750" s="228">
        <v>50900</v>
      </c>
      <c r="Q750" s="228">
        <v>242200000</v>
      </c>
    </row>
    <row r="751" spans="1:17">
      <c r="A751" s="165" t="s">
        <v>25</v>
      </c>
      <c r="B751" s="165" t="s">
        <v>2048</v>
      </c>
      <c r="C751" s="165">
        <v>6200</v>
      </c>
      <c r="D751" s="228"/>
      <c r="E751" s="228"/>
      <c r="F751" s="228">
        <v>0</v>
      </c>
      <c r="G751" s="228">
        <v>0</v>
      </c>
      <c r="H751" s="228"/>
      <c r="I751" s="228"/>
      <c r="J751" s="228"/>
      <c r="K751" s="228"/>
      <c r="L751" s="228"/>
      <c r="M751" s="228"/>
      <c r="N751" s="228"/>
      <c r="O751" s="228"/>
      <c r="P751" s="228">
        <v>0</v>
      </c>
      <c r="Q751" s="228">
        <v>0</v>
      </c>
    </row>
    <row r="752" spans="1:17">
      <c r="C752" s="165">
        <v>6428</v>
      </c>
      <c r="D752" s="228"/>
      <c r="E752" s="228"/>
      <c r="F752" s="228"/>
      <c r="G752" s="228"/>
      <c r="H752" s="228"/>
      <c r="I752" s="228"/>
      <c r="J752" s="228">
        <v>7050</v>
      </c>
      <c r="K752" s="228">
        <v>45317400</v>
      </c>
      <c r="L752" s="228"/>
      <c r="M752" s="228"/>
      <c r="N752" s="228"/>
      <c r="O752" s="228"/>
      <c r="P752" s="228">
        <v>7050</v>
      </c>
      <c r="Q752" s="228">
        <v>45317400</v>
      </c>
    </row>
    <row r="753" spans="2:17">
      <c r="B753" s="165" t="s">
        <v>2050</v>
      </c>
      <c r="C753" s="165">
        <v>6000</v>
      </c>
      <c r="D753" s="228">
        <v>0</v>
      </c>
      <c r="E753" s="228">
        <v>0</v>
      </c>
      <c r="F753" s="228"/>
      <c r="G753" s="228"/>
      <c r="H753" s="228"/>
      <c r="I753" s="228"/>
      <c r="J753" s="228"/>
      <c r="K753" s="228"/>
      <c r="L753" s="228"/>
      <c r="M753" s="228"/>
      <c r="N753" s="228"/>
      <c r="O753" s="228"/>
      <c r="P753" s="228">
        <v>0</v>
      </c>
      <c r="Q753" s="228">
        <v>0</v>
      </c>
    </row>
    <row r="754" spans="2:17">
      <c r="C754" s="165">
        <v>6171</v>
      </c>
      <c r="D754" s="228"/>
      <c r="E754" s="228"/>
      <c r="F754" s="228"/>
      <c r="G754" s="228"/>
      <c r="H754" s="228"/>
      <c r="I754" s="228"/>
      <c r="J754" s="228">
        <v>2000</v>
      </c>
      <c r="K754" s="228">
        <v>12342000</v>
      </c>
      <c r="L754" s="228"/>
      <c r="M754" s="228"/>
      <c r="N754" s="228"/>
      <c r="O754" s="228"/>
      <c r="P754" s="228">
        <v>2000</v>
      </c>
      <c r="Q754" s="228">
        <v>12342000</v>
      </c>
    </row>
    <row r="755" spans="2:17">
      <c r="C755" s="165">
        <v>6299</v>
      </c>
      <c r="D755" s="228"/>
      <c r="E755" s="228"/>
      <c r="F755" s="228"/>
      <c r="G755" s="228"/>
      <c r="H755" s="228"/>
      <c r="I755" s="228"/>
      <c r="J755" s="228">
        <v>5000</v>
      </c>
      <c r="K755" s="228">
        <v>31495000</v>
      </c>
      <c r="L755" s="228"/>
      <c r="M755" s="228"/>
      <c r="N755" s="228"/>
      <c r="O755" s="228"/>
      <c r="P755" s="228">
        <v>5000</v>
      </c>
      <c r="Q755" s="228">
        <v>31495000</v>
      </c>
    </row>
    <row r="756" spans="2:17">
      <c r="B756" s="165" t="s">
        <v>2057</v>
      </c>
      <c r="C756" s="165">
        <v>6700</v>
      </c>
      <c r="D756" s="228"/>
      <c r="E756" s="228"/>
      <c r="F756" s="228">
        <v>0</v>
      </c>
      <c r="G756" s="228">
        <v>0</v>
      </c>
      <c r="H756" s="228"/>
      <c r="I756" s="228"/>
      <c r="J756" s="228"/>
      <c r="K756" s="228"/>
      <c r="L756" s="228"/>
      <c r="M756" s="228"/>
      <c r="N756" s="228"/>
      <c r="O756" s="228"/>
      <c r="P756" s="228">
        <v>0</v>
      </c>
      <c r="Q756" s="228">
        <v>0</v>
      </c>
    </row>
    <row r="757" spans="2:17">
      <c r="C757" s="165">
        <v>7100</v>
      </c>
      <c r="D757" s="228"/>
      <c r="E757" s="228"/>
      <c r="F757" s="228"/>
      <c r="G757" s="228"/>
      <c r="H757" s="228"/>
      <c r="I757" s="228"/>
      <c r="J757" s="228">
        <v>3000</v>
      </c>
      <c r="K757" s="228">
        <v>21300000</v>
      </c>
      <c r="L757" s="228"/>
      <c r="M757" s="228"/>
      <c r="N757" s="228"/>
      <c r="O757" s="228"/>
      <c r="P757" s="228">
        <v>3000</v>
      </c>
      <c r="Q757" s="228">
        <v>21300000</v>
      </c>
    </row>
    <row r="758" spans="2:17">
      <c r="B758" s="165" t="s">
        <v>2008</v>
      </c>
      <c r="C758" s="165">
        <v>4600</v>
      </c>
      <c r="D758" s="228"/>
      <c r="E758" s="228"/>
      <c r="F758" s="228">
        <v>0</v>
      </c>
      <c r="G758" s="228">
        <v>0</v>
      </c>
      <c r="H758" s="228"/>
      <c r="I758" s="228"/>
      <c r="J758" s="228"/>
      <c r="K758" s="228"/>
      <c r="L758" s="228"/>
      <c r="M758" s="228"/>
      <c r="N758" s="228"/>
      <c r="O758" s="228"/>
      <c r="P758" s="228">
        <v>0</v>
      </c>
      <c r="Q758" s="228">
        <v>0</v>
      </c>
    </row>
    <row r="759" spans="2:17">
      <c r="C759" s="165">
        <v>5000</v>
      </c>
      <c r="D759" s="228"/>
      <c r="E759" s="228"/>
      <c r="F759" s="228">
        <v>0</v>
      </c>
      <c r="G759" s="228">
        <v>0</v>
      </c>
      <c r="H759" s="228"/>
      <c r="I759" s="228"/>
      <c r="J759" s="228"/>
      <c r="K759" s="228"/>
      <c r="L759" s="228"/>
      <c r="M759" s="228"/>
      <c r="N759" s="228"/>
      <c r="O759" s="228"/>
      <c r="P759" s="228">
        <v>0</v>
      </c>
      <c r="Q759" s="228">
        <v>0</v>
      </c>
    </row>
    <row r="760" spans="2:17">
      <c r="C760" s="165">
        <v>6000</v>
      </c>
      <c r="D760" s="228"/>
      <c r="E760" s="228"/>
      <c r="F760" s="228">
        <v>0</v>
      </c>
      <c r="G760" s="228">
        <v>0</v>
      </c>
      <c r="H760" s="228"/>
      <c r="I760" s="228"/>
      <c r="J760" s="228"/>
      <c r="K760" s="228"/>
      <c r="L760" s="228"/>
      <c r="M760" s="228"/>
      <c r="N760" s="228"/>
      <c r="O760" s="228"/>
      <c r="P760" s="228">
        <v>0</v>
      </c>
      <c r="Q760" s="228">
        <v>0</v>
      </c>
    </row>
    <row r="761" spans="2:17">
      <c r="C761" s="165">
        <v>6499</v>
      </c>
      <c r="D761" s="228"/>
      <c r="E761" s="228"/>
      <c r="F761" s="228"/>
      <c r="G761" s="228"/>
      <c r="H761" s="228"/>
      <c r="I761" s="228"/>
      <c r="J761" s="228">
        <v>5000</v>
      </c>
      <c r="K761" s="228">
        <v>32495000</v>
      </c>
      <c r="L761" s="228"/>
      <c r="M761" s="228"/>
      <c r="N761" s="228"/>
      <c r="O761" s="228"/>
      <c r="P761" s="228">
        <v>5000</v>
      </c>
      <c r="Q761" s="228">
        <v>32495000</v>
      </c>
    </row>
    <row r="762" spans="2:17">
      <c r="C762" s="165">
        <v>6584</v>
      </c>
      <c r="D762" s="228"/>
      <c r="E762" s="228"/>
      <c r="F762" s="228"/>
      <c r="G762" s="228"/>
      <c r="H762" s="228">
        <v>10000</v>
      </c>
      <c r="I762" s="228">
        <v>65840000</v>
      </c>
      <c r="J762" s="228"/>
      <c r="K762" s="228"/>
      <c r="L762" s="228"/>
      <c r="M762" s="228"/>
      <c r="N762" s="228"/>
      <c r="O762" s="228"/>
      <c r="P762" s="228">
        <v>10000</v>
      </c>
      <c r="Q762" s="228">
        <v>65840000</v>
      </c>
    </row>
    <row r="763" spans="2:17">
      <c r="C763" s="165">
        <v>6669</v>
      </c>
      <c r="D763" s="228"/>
      <c r="E763" s="228"/>
      <c r="F763" s="228"/>
      <c r="G763" s="228"/>
      <c r="H763" s="228"/>
      <c r="I763" s="228"/>
      <c r="J763" s="228"/>
      <c r="K763" s="228"/>
      <c r="L763" s="228">
        <v>10000</v>
      </c>
      <c r="M763" s="228">
        <v>66690000</v>
      </c>
      <c r="N763" s="228"/>
      <c r="O763" s="228"/>
      <c r="P763" s="228">
        <v>10000</v>
      </c>
      <c r="Q763" s="228">
        <v>66690000</v>
      </c>
    </row>
    <row r="764" spans="2:17">
      <c r="C764" s="165">
        <v>6754</v>
      </c>
      <c r="D764" s="228"/>
      <c r="E764" s="228"/>
      <c r="F764" s="228"/>
      <c r="G764" s="228"/>
      <c r="H764" s="228"/>
      <c r="I764" s="228"/>
      <c r="J764" s="228"/>
      <c r="K764" s="228"/>
      <c r="L764" s="228">
        <v>10000</v>
      </c>
      <c r="M764" s="228">
        <v>67540000</v>
      </c>
      <c r="N764" s="228"/>
      <c r="O764" s="228"/>
      <c r="P764" s="228">
        <v>10000</v>
      </c>
      <c r="Q764" s="228">
        <v>67540000</v>
      </c>
    </row>
    <row r="765" spans="2:17">
      <c r="C765" s="165">
        <v>6839</v>
      </c>
      <c r="D765" s="228"/>
      <c r="E765" s="228"/>
      <c r="F765" s="228"/>
      <c r="G765" s="228"/>
      <c r="H765" s="228"/>
      <c r="I765" s="228"/>
      <c r="J765" s="228"/>
      <c r="K765" s="228"/>
      <c r="L765" s="228">
        <v>10000</v>
      </c>
      <c r="M765" s="228">
        <v>68390000</v>
      </c>
      <c r="N765" s="228"/>
      <c r="O765" s="228"/>
      <c r="P765" s="228">
        <v>10000</v>
      </c>
      <c r="Q765" s="228">
        <v>68390000</v>
      </c>
    </row>
    <row r="766" spans="2:17">
      <c r="B766" s="165" t="s">
        <v>2060</v>
      </c>
      <c r="C766" s="165">
        <v>7500</v>
      </c>
      <c r="D766" s="228"/>
      <c r="E766" s="228"/>
      <c r="F766" s="228"/>
      <c r="G766" s="228"/>
      <c r="H766" s="228"/>
      <c r="I766" s="228"/>
      <c r="J766" s="228"/>
      <c r="K766" s="228"/>
      <c r="L766" s="228">
        <v>13050</v>
      </c>
      <c r="M766" s="228">
        <v>97875000</v>
      </c>
      <c r="N766" s="228"/>
      <c r="O766" s="228"/>
      <c r="P766" s="228">
        <v>13050</v>
      </c>
      <c r="Q766" s="228">
        <v>97875000</v>
      </c>
    </row>
    <row r="767" spans="2:17">
      <c r="B767" s="165" t="s">
        <v>2067</v>
      </c>
      <c r="C767" s="165">
        <v>5414</v>
      </c>
      <c r="D767" s="228"/>
      <c r="E767" s="228"/>
      <c r="F767" s="228">
        <v>0</v>
      </c>
      <c r="G767" s="228">
        <v>0</v>
      </c>
      <c r="H767" s="228"/>
      <c r="I767" s="228"/>
      <c r="J767" s="228"/>
      <c r="K767" s="228"/>
      <c r="L767" s="228"/>
      <c r="M767" s="228"/>
      <c r="N767" s="228"/>
      <c r="O767" s="228"/>
      <c r="P767" s="228">
        <v>0</v>
      </c>
      <c r="Q767" s="228">
        <v>0</v>
      </c>
    </row>
    <row r="768" spans="2:17">
      <c r="B768" s="165" t="s">
        <v>2068</v>
      </c>
      <c r="C768" s="165">
        <v>6700</v>
      </c>
      <c r="D768" s="228"/>
      <c r="E768" s="228"/>
      <c r="F768" s="228">
        <v>0</v>
      </c>
      <c r="G768" s="228">
        <v>0</v>
      </c>
      <c r="H768" s="228"/>
      <c r="I768" s="228"/>
      <c r="J768" s="228"/>
      <c r="K768" s="228"/>
      <c r="L768" s="228"/>
      <c r="M768" s="228"/>
      <c r="N768" s="228"/>
      <c r="O768" s="228"/>
      <c r="P768" s="228">
        <v>0</v>
      </c>
      <c r="Q768" s="228">
        <v>0</v>
      </c>
    </row>
    <row r="769" spans="2:17">
      <c r="B769" s="165" t="s">
        <v>2020</v>
      </c>
      <c r="C769" s="165">
        <v>11900</v>
      </c>
      <c r="D769" s="228"/>
      <c r="E769" s="228"/>
      <c r="F769" s="228"/>
      <c r="G769" s="228"/>
      <c r="H769" s="228"/>
      <c r="I769" s="228"/>
      <c r="J769" s="228"/>
      <c r="K769" s="228"/>
      <c r="L769" s="228">
        <v>7800</v>
      </c>
      <c r="M769" s="228">
        <v>92820000</v>
      </c>
      <c r="N769" s="228"/>
      <c r="O769" s="228"/>
      <c r="P769" s="228">
        <v>7800</v>
      </c>
      <c r="Q769" s="228">
        <v>92820000</v>
      </c>
    </row>
    <row r="770" spans="2:17">
      <c r="B770" s="165" t="s">
        <v>2070</v>
      </c>
      <c r="C770" s="165">
        <v>6700</v>
      </c>
      <c r="D770" s="228"/>
      <c r="E770" s="228"/>
      <c r="F770" s="228"/>
      <c r="G770" s="228"/>
      <c r="H770" s="228"/>
      <c r="I770" s="228"/>
      <c r="J770" s="228"/>
      <c r="K770" s="228"/>
      <c r="L770" s="228">
        <v>200</v>
      </c>
      <c r="M770" s="228">
        <v>1340000</v>
      </c>
      <c r="N770" s="228"/>
      <c r="O770" s="228"/>
      <c r="P770" s="228">
        <v>200</v>
      </c>
      <c r="Q770" s="228">
        <v>1340000</v>
      </c>
    </row>
    <row r="771" spans="2:17">
      <c r="B771" s="165" t="s">
        <v>2089</v>
      </c>
      <c r="C771" s="165">
        <v>3800</v>
      </c>
      <c r="D771" s="228"/>
      <c r="E771" s="228"/>
      <c r="F771" s="228"/>
      <c r="G771" s="228"/>
      <c r="H771" s="228"/>
      <c r="I771" s="228"/>
      <c r="J771" s="228"/>
      <c r="K771" s="228"/>
      <c r="L771" s="228">
        <v>20400</v>
      </c>
      <c r="M771" s="228">
        <v>77520000</v>
      </c>
      <c r="N771" s="228"/>
      <c r="O771" s="228"/>
      <c r="P771" s="228">
        <v>20400</v>
      </c>
      <c r="Q771" s="228">
        <v>77520000</v>
      </c>
    </row>
    <row r="772" spans="2:17">
      <c r="C772" s="165">
        <v>3914</v>
      </c>
      <c r="D772" s="228"/>
      <c r="E772" s="228"/>
      <c r="F772" s="228">
        <v>0</v>
      </c>
      <c r="G772" s="228">
        <v>0</v>
      </c>
      <c r="H772" s="228"/>
      <c r="I772" s="228"/>
      <c r="J772" s="228"/>
      <c r="K772" s="228"/>
      <c r="L772" s="228"/>
      <c r="M772" s="228"/>
      <c r="N772" s="228"/>
      <c r="O772" s="228"/>
      <c r="P772" s="228">
        <v>0</v>
      </c>
      <c r="Q772" s="228">
        <v>0</v>
      </c>
    </row>
    <row r="773" spans="2:17">
      <c r="C773" s="165">
        <v>3999</v>
      </c>
      <c r="D773" s="228"/>
      <c r="E773" s="228"/>
      <c r="F773" s="228"/>
      <c r="G773" s="228"/>
      <c r="H773" s="228">
        <v>5100</v>
      </c>
      <c r="I773" s="228">
        <v>20394900</v>
      </c>
      <c r="J773" s="228"/>
      <c r="K773" s="228"/>
      <c r="L773" s="228"/>
      <c r="M773" s="228"/>
      <c r="N773" s="228"/>
      <c r="O773" s="228"/>
      <c r="P773" s="228">
        <v>5100</v>
      </c>
      <c r="Q773" s="228">
        <v>20394900</v>
      </c>
    </row>
    <row r="774" spans="2:17">
      <c r="C774" s="165" t="s">
        <v>1814</v>
      </c>
      <c r="D774" s="228"/>
      <c r="E774" s="228"/>
      <c r="F774" s="228"/>
      <c r="G774" s="228"/>
      <c r="H774" s="228">
        <v>5100</v>
      </c>
      <c r="I774" s="228" t="e">
        <v>#VALUE!</v>
      </c>
      <c r="J774" s="228"/>
      <c r="K774" s="228"/>
      <c r="L774" s="228">
        <v>5100</v>
      </c>
      <c r="M774" s="228" t="e">
        <v>#VALUE!</v>
      </c>
      <c r="N774" s="228"/>
      <c r="O774" s="228"/>
      <c r="P774" s="228">
        <v>10200</v>
      </c>
      <c r="Q774" s="228" t="e">
        <v>#VALUE!</v>
      </c>
    </row>
    <row r="775" spans="2:17">
      <c r="B775" s="165" t="s">
        <v>2090</v>
      </c>
      <c r="C775" s="165">
        <v>6100</v>
      </c>
      <c r="D775" s="228"/>
      <c r="E775" s="228"/>
      <c r="F775" s="228"/>
      <c r="G775" s="228"/>
      <c r="H775" s="228"/>
      <c r="I775" s="228"/>
      <c r="J775" s="228"/>
      <c r="K775" s="228"/>
      <c r="L775" s="228">
        <v>5000</v>
      </c>
      <c r="M775" s="228">
        <v>30500000</v>
      </c>
      <c r="N775" s="228"/>
      <c r="O775" s="228"/>
      <c r="P775" s="228">
        <v>5000</v>
      </c>
      <c r="Q775" s="228">
        <v>30500000</v>
      </c>
    </row>
    <row r="776" spans="2:17">
      <c r="B776" s="165" t="s">
        <v>2100</v>
      </c>
      <c r="C776" s="165">
        <v>5300</v>
      </c>
      <c r="D776" s="228"/>
      <c r="E776" s="228"/>
      <c r="F776" s="228">
        <v>0</v>
      </c>
      <c r="G776" s="228">
        <v>0</v>
      </c>
      <c r="H776" s="228"/>
      <c r="I776" s="228"/>
      <c r="J776" s="228"/>
      <c r="K776" s="228"/>
      <c r="L776" s="228"/>
      <c r="M776" s="228"/>
      <c r="N776" s="228"/>
      <c r="O776" s="228"/>
      <c r="P776" s="228">
        <v>0</v>
      </c>
      <c r="Q776" s="228">
        <v>0</v>
      </c>
    </row>
    <row r="777" spans="2:17">
      <c r="B777" s="165" t="s">
        <v>2110</v>
      </c>
      <c r="C777" s="165">
        <v>6000</v>
      </c>
      <c r="D777" s="228"/>
      <c r="E777" s="228"/>
      <c r="F777" s="228">
        <v>0</v>
      </c>
      <c r="G777" s="228">
        <v>0</v>
      </c>
      <c r="H777" s="228"/>
      <c r="I777" s="228"/>
      <c r="J777" s="228"/>
      <c r="K777" s="228"/>
      <c r="L777" s="228"/>
      <c r="M777" s="228"/>
      <c r="N777" s="228"/>
      <c r="O777" s="228"/>
      <c r="P777" s="228">
        <v>0</v>
      </c>
      <c r="Q777" s="228">
        <v>0</v>
      </c>
    </row>
    <row r="778" spans="2:17">
      <c r="C778" s="165">
        <v>6363</v>
      </c>
      <c r="D778" s="228"/>
      <c r="E778" s="228"/>
      <c r="F778" s="228"/>
      <c r="G778" s="228"/>
      <c r="H778" s="228">
        <v>7000</v>
      </c>
      <c r="I778" s="228">
        <v>44541000</v>
      </c>
      <c r="J778" s="228"/>
      <c r="K778" s="228"/>
      <c r="L778" s="228"/>
      <c r="M778" s="228"/>
      <c r="N778" s="228"/>
      <c r="O778" s="228"/>
      <c r="P778" s="228">
        <v>7000</v>
      </c>
      <c r="Q778" s="228">
        <v>44541000</v>
      </c>
    </row>
    <row r="779" spans="2:17">
      <c r="B779" s="165" t="s">
        <v>2113</v>
      </c>
      <c r="C779" s="165">
        <v>6371</v>
      </c>
      <c r="D779" s="228"/>
      <c r="E779" s="228"/>
      <c r="F779" s="228"/>
      <c r="G779" s="228"/>
      <c r="H779" s="228"/>
      <c r="I779" s="228"/>
      <c r="J779" s="228">
        <v>1800</v>
      </c>
      <c r="K779" s="228">
        <v>11467800</v>
      </c>
      <c r="L779" s="228"/>
      <c r="M779" s="228"/>
      <c r="N779" s="228"/>
      <c r="O779" s="228"/>
      <c r="P779" s="228">
        <v>1800</v>
      </c>
      <c r="Q779" s="228">
        <v>11467800</v>
      </c>
    </row>
    <row r="780" spans="2:17">
      <c r="B780" s="165" t="s">
        <v>2115</v>
      </c>
      <c r="C780" s="165">
        <v>8600</v>
      </c>
      <c r="D780" s="228">
        <v>0</v>
      </c>
      <c r="E780" s="228">
        <v>0</v>
      </c>
      <c r="F780" s="228"/>
      <c r="G780" s="228"/>
      <c r="H780" s="228"/>
      <c r="I780" s="228"/>
      <c r="J780" s="228"/>
      <c r="K780" s="228"/>
      <c r="L780" s="228"/>
      <c r="M780" s="228"/>
      <c r="N780" s="228"/>
      <c r="O780" s="228"/>
      <c r="P780" s="228">
        <v>0</v>
      </c>
      <c r="Q780" s="228">
        <v>0</v>
      </c>
    </row>
    <row r="781" spans="2:17">
      <c r="C781" s="165">
        <v>8700</v>
      </c>
      <c r="D781" s="228"/>
      <c r="E781" s="228"/>
      <c r="F781" s="228"/>
      <c r="G781" s="228"/>
      <c r="H781" s="228">
        <v>800</v>
      </c>
      <c r="I781" s="228">
        <v>6960000</v>
      </c>
      <c r="J781" s="228">
        <v>800</v>
      </c>
      <c r="K781" s="228">
        <v>6960000</v>
      </c>
      <c r="L781" s="228">
        <v>800</v>
      </c>
      <c r="M781" s="228">
        <v>6960000</v>
      </c>
      <c r="N781" s="228"/>
      <c r="O781" s="228"/>
      <c r="P781" s="228">
        <v>2400</v>
      </c>
      <c r="Q781" s="228">
        <v>20880000</v>
      </c>
    </row>
    <row r="782" spans="2:17">
      <c r="C782" s="165" t="s">
        <v>1811</v>
      </c>
      <c r="D782" s="228"/>
      <c r="E782" s="228"/>
      <c r="F782" s="228"/>
      <c r="G782" s="228"/>
      <c r="H782" s="228"/>
      <c r="I782" s="228"/>
      <c r="J782" s="228"/>
      <c r="K782" s="228"/>
      <c r="L782" s="228">
        <v>4000</v>
      </c>
      <c r="M782" s="228" t="e">
        <v>#VALUE!</v>
      </c>
      <c r="N782" s="228"/>
      <c r="O782" s="228"/>
      <c r="P782" s="228">
        <v>4000</v>
      </c>
      <c r="Q782" s="228" t="e">
        <v>#VALUE!</v>
      </c>
    </row>
    <row r="783" spans="2:17">
      <c r="B783" s="165" t="s">
        <v>2022</v>
      </c>
      <c r="C783" s="165">
        <v>8600</v>
      </c>
      <c r="D783" s="228"/>
      <c r="E783" s="228"/>
      <c r="F783" s="228">
        <v>400</v>
      </c>
      <c r="G783" s="228">
        <v>3440000</v>
      </c>
      <c r="H783" s="228"/>
      <c r="I783" s="228"/>
      <c r="J783" s="228"/>
      <c r="K783" s="228"/>
      <c r="L783" s="228"/>
      <c r="M783" s="228"/>
      <c r="N783" s="228"/>
      <c r="O783" s="228"/>
      <c r="P783" s="228">
        <v>400</v>
      </c>
      <c r="Q783" s="228">
        <v>3440000</v>
      </c>
    </row>
    <row r="784" spans="2:17">
      <c r="B784" s="165" t="s">
        <v>2132</v>
      </c>
      <c r="C784" s="165">
        <v>6500</v>
      </c>
      <c r="D784" s="228"/>
      <c r="E784" s="228"/>
      <c r="F784" s="228">
        <v>0</v>
      </c>
      <c r="G784" s="228">
        <v>0</v>
      </c>
      <c r="H784" s="228"/>
      <c r="I784" s="228"/>
      <c r="J784" s="228"/>
      <c r="K784" s="228"/>
      <c r="L784" s="228">
        <v>40800</v>
      </c>
      <c r="M784" s="228">
        <v>265200000</v>
      </c>
      <c r="N784" s="228"/>
      <c r="O784" s="228"/>
      <c r="P784" s="228">
        <v>40800</v>
      </c>
      <c r="Q784" s="228">
        <v>265200000</v>
      </c>
    </row>
    <row r="785" spans="2:17">
      <c r="C785" s="165">
        <v>6700</v>
      </c>
      <c r="D785" s="228"/>
      <c r="E785" s="228"/>
      <c r="F785" s="228">
        <v>0</v>
      </c>
      <c r="G785" s="228">
        <v>0</v>
      </c>
      <c r="H785" s="228"/>
      <c r="I785" s="228"/>
      <c r="J785" s="228"/>
      <c r="K785" s="228"/>
      <c r="L785" s="228"/>
      <c r="M785" s="228"/>
      <c r="N785" s="228"/>
      <c r="O785" s="228"/>
      <c r="P785" s="228">
        <v>0</v>
      </c>
      <c r="Q785" s="228">
        <v>0</v>
      </c>
    </row>
    <row r="786" spans="2:17">
      <c r="C786" s="165">
        <v>6870</v>
      </c>
      <c r="D786" s="228"/>
      <c r="E786" s="228"/>
      <c r="F786" s="228"/>
      <c r="G786" s="228"/>
      <c r="H786" s="228"/>
      <c r="I786" s="228"/>
      <c r="J786" s="228">
        <v>4800</v>
      </c>
      <c r="K786" s="228">
        <v>32976000</v>
      </c>
      <c r="L786" s="228"/>
      <c r="M786" s="228"/>
      <c r="N786" s="228"/>
      <c r="O786" s="228"/>
      <c r="P786" s="228">
        <v>4800</v>
      </c>
      <c r="Q786" s="228">
        <v>32976000</v>
      </c>
    </row>
    <row r="787" spans="2:17">
      <c r="C787" s="165">
        <v>6999</v>
      </c>
      <c r="D787" s="228"/>
      <c r="E787" s="228"/>
      <c r="F787" s="228"/>
      <c r="G787" s="228"/>
      <c r="H787" s="228"/>
      <c r="I787" s="228"/>
      <c r="J787" s="228">
        <v>5200</v>
      </c>
      <c r="K787" s="228">
        <v>36394800</v>
      </c>
      <c r="L787" s="228"/>
      <c r="M787" s="228"/>
      <c r="N787" s="228"/>
      <c r="O787" s="228"/>
      <c r="P787" s="228">
        <v>5200</v>
      </c>
      <c r="Q787" s="228">
        <v>36394800</v>
      </c>
    </row>
    <row r="788" spans="2:17">
      <c r="C788" s="165" t="s">
        <v>1815</v>
      </c>
      <c r="D788" s="228"/>
      <c r="E788" s="228"/>
      <c r="F788" s="228"/>
      <c r="G788" s="228"/>
      <c r="H788" s="228">
        <v>20000</v>
      </c>
      <c r="I788" s="228" t="e">
        <v>#VALUE!</v>
      </c>
      <c r="J788" s="228"/>
      <c r="K788" s="228"/>
      <c r="L788" s="228">
        <v>20000</v>
      </c>
      <c r="M788" s="228" t="e">
        <v>#VALUE!</v>
      </c>
      <c r="N788" s="228"/>
      <c r="O788" s="228"/>
      <c r="P788" s="228">
        <v>40000</v>
      </c>
      <c r="Q788" s="228" t="e">
        <v>#VALUE!</v>
      </c>
    </row>
    <row r="789" spans="2:17">
      <c r="B789" s="165" t="s">
        <v>2134</v>
      </c>
      <c r="C789" s="165">
        <v>10800</v>
      </c>
      <c r="D789" s="228"/>
      <c r="E789" s="228"/>
      <c r="F789" s="228"/>
      <c r="G789" s="228"/>
      <c r="H789" s="228"/>
      <c r="I789" s="228"/>
      <c r="J789" s="228"/>
      <c r="K789" s="228"/>
      <c r="L789" s="228">
        <v>10050</v>
      </c>
      <c r="M789" s="228">
        <v>108540000</v>
      </c>
      <c r="N789" s="228"/>
      <c r="O789" s="228"/>
      <c r="P789" s="228">
        <v>10050</v>
      </c>
      <c r="Q789" s="228">
        <v>108540000</v>
      </c>
    </row>
    <row r="790" spans="2:17">
      <c r="B790" s="165" t="s">
        <v>2138</v>
      </c>
      <c r="C790" s="165">
        <v>6700</v>
      </c>
      <c r="D790" s="228"/>
      <c r="E790" s="228"/>
      <c r="F790" s="228"/>
      <c r="G790" s="228"/>
      <c r="H790" s="228"/>
      <c r="I790" s="228"/>
      <c r="J790" s="228"/>
      <c r="K790" s="228"/>
      <c r="L790" s="228">
        <v>13000</v>
      </c>
      <c r="M790" s="228">
        <v>87100000</v>
      </c>
      <c r="N790" s="228"/>
      <c r="O790" s="228"/>
      <c r="P790" s="228">
        <v>13000</v>
      </c>
      <c r="Q790" s="228">
        <v>87100000</v>
      </c>
    </row>
    <row r="791" spans="2:17">
      <c r="C791" s="165">
        <v>6871</v>
      </c>
      <c r="D791" s="228"/>
      <c r="E791" s="228"/>
      <c r="F791" s="228"/>
      <c r="G791" s="228"/>
      <c r="H791" s="228"/>
      <c r="I791" s="228"/>
      <c r="J791" s="228">
        <v>2000</v>
      </c>
      <c r="K791" s="228">
        <v>13742000</v>
      </c>
      <c r="L791" s="228"/>
      <c r="M791" s="228"/>
      <c r="N791" s="228"/>
      <c r="O791" s="228"/>
      <c r="P791" s="228">
        <v>2000</v>
      </c>
      <c r="Q791" s="228">
        <v>13742000</v>
      </c>
    </row>
    <row r="792" spans="2:17">
      <c r="C792" s="165" t="s">
        <v>1816</v>
      </c>
      <c r="D792" s="228"/>
      <c r="E792" s="228"/>
      <c r="F792" s="228"/>
      <c r="G792" s="228"/>
      <c r="H792" s="228">
        <v>15000</v>
      </c>
      <c r="I792" s="228" t="e">
        <v>#VALUE!</v>
      </c>
      <c r="J792" s="228"/>
      <c r="K792" s="228"/>
      <c r="L792" s="228">
        <v>10000</v>
      </c>
      <c r="M792" s="228" t="e">
        <v>#VALUE!</v>
      </c>
      <c r="N792" s="228"/>
      <c r="O792" s="228"/>
      <c r="P792" s="228">
        <v>25000</v>
      </c>
      <c r="Q792" s="228" t="e">
        <v>#VALUE!</v>
      </c>
    </row>
    <row r="793" spans="2:17">
      <c r="B793" s="165" t="s">
        <v>1872</v>
      </c>
      <c r="C793" s="165">
        <v>6300</v>
      </c>
      <c r="D793" s="228"/>
      <c r="E793" s="228"/>
      <c r="F793" s="228">
        <v>0</v>
      </c>
      <c r="G793" s="228">
        <v>0</v>
      </c>
      <c r="H793" s="228"/>
      <c r="I793" s="228"/>
      <c r="J793" s="228"/>
      <c r="K793" s="228"/>
      <c r="L793" s="228"/>
      <c r="M793" s="228"/>
      <c r="N793" s="228"/>
      <c r="O793" s="228"/>
      <c r="P793" s="228">
        <v>0</v>
      </c>
      <c r="Q793" s="228">
        <v>0</v>
      </c>
    </row>
    <row r="794" spans="2:17">
      <c r="C794" s="165">
        <v>6528</v>
      </c>
      <c r="D794" s="228"/>
      <c r="E794" s="228"/>
      <c r="F794" s="228"/>
      <c r="G794" s="228"/>
      <c r="H794" s="228"/>
      <c r="I794" s="228"/>
      <c r="J794" s="228">
        <v>10050</v>
      </c>
      <c r="K794" s="228">
        <v>65606400</v>
      </c>
      <c r="L794" s="228"/>
      <c r="M794" s="228"/>
      <c r="N794" s="228"/>
      <c r="O794" s="228"/>
      <c r="P794" s="228">
        <v>10050</v>
      </c>
      <c r="Q794" s="228">
        <v>65606400</v>
      </c>
    </row>
    <row r="795" spans="2:17">
      <c r="C795" s="165">
        <v>6699</v>
      </c>
      <c r="D795" s="228"/>
      <c r="E795" s="228"/>
      <c r="F795" s="228"/>
      <c r="G795" s="228"/>
      <c r="H795" s="228"/>
      <c r="I795" s="228"/>
      <c r="J795" s="228">
        <v>900</v>
      </c>
      <c r="K795" s="228">
        <v>6029100</v>
      </c>
      <c r="L795" s="228"/>
      <c r="M795" s="228"/>
      <c r="N795" s="228"/>
      <c r="O795" s="228"/>
      <c r="P795" s="228">
        <v>900</v>
      </c>
      <c r="Q795" s="228">
        <v>6029100</v>
      </c>
    </row>
    <row r="796" spans="2:17">
      <c r="B796" s="165" t="s">
        <v>2169</v>
      </c>
      <c r="C796" s="165">
        <v>4600</v>
      </c>
      <c r="D796" s="228">
        <v>3000</v>
      </c>
      <c r="E796" s="228">
        <v>13800000</v>
      </c>
      <c r="F796" s="228"/>
      <c r="G796" s="228"/>
      <c r="H796" s="228"/>
      <c r="I796" s="228"/>
      <c r="J796" s="228"/>
      <c r="K796" s="228"/>
      <c r="L796" s="228"/>
      <c r="M796" s="228"/>
      <c r="N796" s="228"/>
      <c r="O796" s="228"/>
      <c r="P796" s="228">
        <v>3000</v>
      </c>
      <c r="Q796" s="228">
        <v>13800000</v>
      </c>
    </row>
    <row r="797" spans="2:17">
      <c r="B797" s="165" t="s">
        <v>2171</v>
      </c>
      <c r="C797" s="165">
        <v>5500</v>
      </c>
      <c r="D797" s="228">
        <v>3000</v>
      </c>
      <c r="E797" s="228">
        <v>16500000</v>
      </c>
      <c r="F797" s="228"/>
      <c r="G797" s="228"/>
      <c r="H797" s="228"/>
      <c r="I797" s="228"/>
      <c r="J797" s="228"/>
      <c r="K797" s="228"/>
      <c r="L797" s="228"/>
      <c r="M797" s="228"/>
      <c r="N797" s="228"/>
      <c r="O797" s="228"/>
      <c r="P797" s="228">
        <v>3000</v>
      </c>
      <c r="Q797" s="228">
        <v>16500000</v>
      </c>
    </row>
    <row r="798" spans="2:17">
      <c r="B798" s="165" t="s">
        <v>2173</v>
      </c>
      <c r="C798" s="165">
        <v>8700</v>
      </c>
      <c r="D798" s="228"/>
      <c r="E798" s="228"/>
      <c r="F798" s="228"/>
      <c r="G798" s="228"/>
      <c r="H798" s="228">
        <v>700</v>
      </c>
      <c r="I798" s="228">
        <v>6090000</v>
      </c>
      <c r="J798" s="228">
        <v>700</v>
      </c>
      <c r="K798" s="228">
        <v>6090000</v>
      </c>
      <c r="L798" s="228">
        <v>700</v>
      </c>
      <c r="M798" s="228">
        <v>6090000</v>
      </c>
      <c r="N798" s="228"/>
      <c r="O798" s="228"/>
      <c r="P798" s="228">
        <v>2100</v>
      </c>
      <c r="Q798" s="228">
        <v>18270000</v>
      </c>
    </row>
    <row r="799" spans="2:17">
      <c r="C799" s="165" t="s">
        <v>1811</v>
      </c>
      <c r="D799" s="228">
        <v>0</v>
      </c>
      <c r="E799" s="228" t="e">
        <v>#VALUE!</v>
      </c>
      <c r="F799" s="228"/>
      <c r="G799" s="228"/>
      <c r="H799" s="228"/>
      <c r="I799" s="228"/>
      <c r="J799" s="228"/>
      <c r="K799" s="228"/>
      <c r="L799" s="228"/>
      <c r="M799" s="228"/>
      <c r="N799" s="228"/>
      <c r="O799" s="228"/>
      <c r="P799" s="228">
        <v>0</v>
      </c>
      <c r="Q799" s="228" t="e">
        <v>#VALUE!</v>
      </c>
    </row>
    <row r="800" spans="2:17">
      <c r="B800" s="165" t="s">
        <v>2178</v>
      </c>
      <c r="C800" s="165">
        <v>8600</v>
      </c>
      <c r="D800" s="228"/>
      <c r="E800" s="228"/>
      <c r="F800" s="228">
        <v>400</v>
      </c>
      <c r="G800" s="228">
        <v>3440000</v>
      </c>
      <c r="H800" s="228"/>
      <c r="I800" s="228"/>
      <c r="J800" s="228"/>
      <c r="K800" s="228"/>
      <c r="L800" s="228"/>
      <c r="M800" s="228"/>
      <c r="N800" s="228"/>
      <c r="O800" s="228"/>
      <c r="P800" s="228">
        <v>400</v>
      </c>
      <c r="Q800" s="228">
        <v>3440000</v>
      </c>
    </row>
    <row r="801" spans="1:17">
      <c r="C801" s="165">
        <v>8700</v>
      </c>
      <c r="D801" s="228"/>
      <c r="E801" s="228"/>
      <c r="F801" s="228"/>
      <c r="G801" s="228"/>
      <c r="H801" s="228">
        <v>800</v>
      </c>
      <c r="I801" s="228">
        <v>6960000</v>
      </c>
      <c r="J801" s="228">
        <v>800</v>
      </c>
      <c r="K801" s="228">
        <v>6960000</v>
      </c>
      <c r="L801" s="228">
        <v>800</v>
      </c>
      <c r="M801" s="228">
        <v>6960000</v>
      </c>
      <c r="N801" s="228"/>
      <c r="O801" s="228"/>
      <c r="P801" s="228">
        <v>2400</v>
      </c>
      <c r="Q801" s="228">
        <v>20880000</v>
      </c>
    </row>
    <row r="802" spans="1:17">
      <c r="C802" s="165" t="s">
        <v>1811</v>
      </c>
      <c r="D802" s="228"/>
      <c r="E802" s="228"/>
      <c r="F802" s="228"/>
      <c r="G802" s="228"/>
      <c r="H802" s="228"/>
      <c r="I802" s="228"/>
      <c r="J802" s="228"/>
      <c r="K802" s="228"/>
      <c r="L802" s="228">
        <v>4000</v>
      </c>
      <c r="M802" s="228" t="e">
        <v>#VALUE!</v>
      </c>
      <c r="N802" s="228"/>
      <c r="O802" s="228"/>
      <c r="P802" s="228">
        <v>4000</v>
      </c>
      <c r="Q802" s="228" t="e">
        <v>#VALUE!</v>
      </c>
    </row>
    <row r="803" spans="1:17">
      <c r="B803" s="165" t="s">
        <v>2188</v>
      </c>
      <c r="C803" s="165">
        <v>3800</v>
      </c>
      <c r="D803" s="228"/>
      <c r="E803" s="228"/>
      <c r="F803" s="228">
        <v>0</v>
      </c>
      <c r="G803" s="228">
        <v>0</v>
      </c>
      <c r="H803" s="228"/>
      <c r="I803" s="228"/>
      <c r="J803" s="228"/>
      <c r="K803" s="228"/>
      <c r="L803" s="228"/>
      <c r="M803" s="228"/>
      <c r="N803" s="228"/>
      <c r="O803" s="228"/>
      <c r="P803" s="228">
        <v>0</v>
      </c>
      <c r="Q803" s="228">
        <v>0</v>
      </c>
    </row>
    <row r="804" spans="1:17">
      <c r="C804" s="165">
        <v>3900</v>
      </c>
      <c r="D804" s="228"/>
      <c r="E804" s="228"/>
      <c r="F804" s="228"/>
      <c r="G804" s="228"/>
      <c r="H804" s="228"/>
      <c r="I804" s="228"/>
      <c r="J804" s="228">
        <v>2400</v>
      </c>
      <c r="K804" s="228">
        <v>9360000</v>
      </c>
      <c r="L804" s="228"/>
      <c r="M804" s="228"/>
      <c r="N804" s="228"/>
      <c r="O804" s="228"/>
      <c r="P804" s="228">
        <v>2400</v>
      </c>
      <c r="Q804" s="228">
        <v>9360000</v>
      </c>
    </row>
    <row r="805" spans="1:17">
      <c r="B805" s="165" t="s">
        <v>2195</v>
      </c>
      <c r="C805" s="165">
        <v>6300</v>
      </c>
      <c r="D805" s="228"/>
      <c r="E805" s="228"/>
      <c r="F805" s="228"/>
      <c r="G805" s="228"/>
      <c r="H805" s="228"/>
      <c r="I805" s="228"/>
      <c r="J805" s="228">
        <v>200</v>
      </c>
      <c r="K805" s="228">
        <v>1260000</v>
      </c>
      <c r="L805" s="228"/>
      <c r="M805" s="228"/>
      <c r="N805" s="228"/>
      <c r="O805" s="228"/>
      <c r="P805" s="228">
        <v>200</v>
      </c>
      <c r="Q805" s="228">
        <v>1260000</v>
      </c>
    </row>
    <row r="806" spans="1:17">
      <c r="C806" s="165">
        <v>6400</v>
      </c>
      <c r="D806" s="228"/>
      <c r="E806" s="228"/>
      <c r="F806" s="228"/>
      <c r="G806" s="228"/>
      <c r="H806" s="228">
        <v>200</v>
      </c>
      <c r="I806" s="228">
        <v>1280000</v>
      </c>
      <c r="J806" s="228"/>
      <c r="K806" s="228"/>
      <c r="L806" s="228"/>
      <c r="M806" s="228"/>
      <c r="N806" s="228"/>
      <c r="O806" s="228"/>
      <c r="P806" s="228">
        <v>200</v>
      </c>
      <c r="Q806" s="228">
        <v>1280000</v>
      </c>
    </row>
    <row r="807" spans="1:17">
      <c r="C807" s="165">
        <v>6500</v>
      </c>
      <c r="D807" s="228"/>
      <c r="E807" s="228"/>
      <c r="F807" s="228"/>
      <c r="G807" s="228"/>
      <c r="H807" s="228"/>
      <c r="I807" s="228"/>
      <c r="J807" s="228"/>
      <c r="K807" s="228"/>
      <c r="L807" s="228">
        <v>200</v>
      </c>
      <c r="M807" s="228">
        <v>1300000</v>
      </c>
      <c r="N807" s="228"/>
      <c r="O807" s="228"/>
      <c r="P807" s="228">
        <v>200</v>
      </c>
      <c r="Q807" s="228">
        <v>1300000</v>
      </c>
    </row>
    <row r="808" spans="1:17">
      <c r="C808" s="165" t="s">
        <v>1812</v>
      </c>
      <c r="D808" s="228"/>
      <c r="E808" s="228"/>
      <c r="F808" s="228"/>
      <c r="G808" s="228"/>
      <c r="H808" s="228"/>
      <c r="I808" s="228"/>
      <c r="J808" s="228"/>
      <c r="K808" s="228"/>
      <c r="L808" s="228">
        <v>1000</v>
      </c>
      <c r="M808" s="228" t="e">
        <v>#VALUE!</v>
      </c>
      <c r="N808" s="228"/>
      <c r="O808" s="228"/>
      <c r="P808" s="228">
        <v>1000</v>
      </c>
      <c r="Q808" s="228" t="e">
        <v>#VALUE!</v>
      </c>
    </row>
    <row r="809" spans="1:17">
      <c r="A809" s="165" t="s">
        <v>2268</v>
      </c>
      <c r="B809" s="165"/>
      <c r="C809" s="165"/>
      <c r="D809" s="228">
        <v>6000</v>
      </c>
      <c r="E809" s="228" t="e">
        <v>#VALUE!</v>
      </c>
      <c r="F809" s="228">
        <v>800</v>
      </c>
      <c r="G809" s="228">
        <v>6880000</v>
      </c>
      <c r="H809" s="228">
        <v>64700</v>
      </c>
      <c r="I809" s="228" t="e">
        <v>#VALUE!</v>
      </c>
      <c r="J809" s="228">
        <v>51700</v>
      </c>
      <c r="K809" s="228">
        <v>339795500</v>
      </c>
      <c r="L809" s="228">
        <v>186900</v>
      </c>
      <c r="M809" s="228" t="e">
        <v>#VALUE!</v>
      </c>
      <c r="N809" s="228"/>
      <c r="O809" s="228"/>
      <c r="P809" s="228">
        <v>310100</v>
      </c>
      <c r="Q809" s="228" t="e">
        <v>#VALUE!</v>
      </c>
    </row>
    <row r="810" spans="1:17">
      <c r="A810" s="165" t="s">
        <v>66</v>
      </c>
      <c r="B810" s="165" t="s">
        <v>2039</v>
      </c>
      <c r="C810" s="165">
        <v>6300</v>
      </c>
      <c r="D810" s="228"/>
      <c r="E810" s="228"/>
      <c r="F810" s="228">
        <v>0</v>
      </c>
      <c r="G810" s="228">
        <v>0</v>
      </c>
      <c r="H810" s="228"/>
      <c r="I810" s="228"/>
      <c r="J810" s="228"/>
      <c r="K810" s="228"/>
      <c r="L810" s="228"/>
      <c r="M810" s="228"/>
      <c r="N810" s="228"/>
      <c r="O810" s="228"/>
      <c r="P810" s="228">
        <v>0</v>
      </c>
      <c r="Q810" s="228">
        <v>0</v>
      </c>
    </row>
    <row r="811" spans="1:17">
      <c r="B811" s="165" t="s">
        <v>2051</v>
      </c>
      <c r="C811" s="165">
        <v>8300</v>
      </c>
      <c r="D811" s="228"/>
      <c r="E811" s="228"/>
      <c r="F811" s="228"/>
      <c r="G811" s="228"/>
      <c r="H811" s="228"/>
      <c r="I811" s="228"/>
      <c r="J811" s="228"/>
      <c r="K811" s="228"/>
      <c r="L811" s="228">
        <v>10050</v>
      </c>
      <c r="M811" s="228">
        <v>83415000</v>
      </c>
      <c r="N811" s="228"/>
      <c r="O811" s="228"/>
      <c r="P811" s="228">
        <v>10050</v>
      </c>
      <c r="Q811" s="228">
        <v>83415000</v>
      </c>
    </row>
    <row r="812" spans="1:17">
      <c r="B812" s="165" t="s">
        <v>2008</v>
      </c>
      <c r="C812" s="165">
        <v>4600</v>
      </c>
      <c r="D812" s="228"/>
      <c r="E812" s="228"/>
      <c r="F812" s="228">
        <v>0</v>
      </c>
      <c r="G812" s="228">
        <v>0</v>
      </c>
      <c r="H812" s="228"/>
      <c r="I812" s="228"/>
      <c r="J812" s="228"/>
      <c r="K812" s="228"/>
      <c r="L812" s="228"/>
      <c r="M812" s="228"/>
      <c r="N812" s="228"/>
      <c r="O812" s="228"/>
      <c r="P812" s="228">
        <v>0</v>
      </c>
      <c r="Q812" s="228">
        <v>0</v>
      </c>
    </row>
    <row r="813" spans="1:17">
      <c r="C813" s="165">
        <v>5000</v>
      </c>
      <c r="D813" s="228">
        <v>0</v>
      </c>
      <c r="E813" s="228">
        <v>0</v>
      </c>
      <c r="F813" s="228"/>
      <c r="G813" s="228"/>
      <c r="H813" s="228"/>
      <c r="I813" s="228"/>
      <c r="J813" s="228">
        <v>10000</v>
      </c>
      <c r="K813" s="228">
        <v>50000000</v>
      </c>
      <c r="L813" s="228"/>
      <c r="M813" s="228"/>
      <c r="N813" s="228"/>
      <c r="O813" s="228"/>
      <c r="P813" s="228">
        <v>10000</v>
      </c>
      <c r="Q813" s="228">
        <v>50000000</v>
      </c>
    </row>
    <row r="814" spans="1:17">
      <c r="C814" s="165" t="s">
        <v>385</v>
      </c>
      <c r="D814" s="228">
        <v>0</v>
      </c>
      <c r="E814" s="228">
        <v>0</v>
      </c>
      <c r="F814" s="228"/>
      <c r="G814" s="228"/>
      <c r="H814" s="228"/>
      <c r="I814" s="228"/>
      <c r="J814" s="228"/>
      <c r="K814" s="228"/>
      <c r="L814" s="228"/>
      <c r="M814" s="228"/>
      <c r="N814" s="228"/>
      <c r="O814" s="228"/>
      <c r="P814" s="228">
        <v>0</v>
      </c>
      <c r="Q814" s="228">
        <v>0</v>
      </c>
    </row>
    <row r="815" spans="1:17">
      <c r="B815" s="165" t="s">
        <v>2060</v>
      </c>
      <c r="C815" s="165">
        <v>8000</v>
      </c>
      <c r="D815" s="228"/>
      <c r="E815" s="228"/>
      <c r="F815" s="228"/>
      <c r="G815" s="228"/>
      <c r="H815" s="228"/>
      <c r="I815" s="228"/>
      <c r="J815" s="228"/>
      <c r="K815" s="228"/>
      <c r="L815" s="228">
        <v>20100</v>
      </c>
      <c r="M815" s="228">
        <v>160800000</v>
      </c>
      <c r="N815" s="228"/>
      <c r="O815" s="228"/>
      <c r="P815" s="228">
        <v>20100</v>
      </c>
      <c r="Q815" s="228">
        <v>160800000</v>
      </c>
    </row>
    <row r="816" spans="1:17">
      <c r="B816" s="165" t="s">
        <v>2068</v>
      </c>
      <c r="C816" s="165">
        <v>6700</v>
      </c>
      <c r="D816" s="228"/>
      <c r="E816" s="228"/>
      <c r="F816" s="228">
        <v>0</v>
      </c>
      <c r="G816" s="228">
        <v>0</v>
      </c>
      <c r="H816" s="228"/>
      <c r="I816" s="228"/>
      <c r="J816" s="228"/>
      <c r="K816" s="228"/>
      <c r="L816" s="228"/>
      <c r="M816" s="228"/>
      <c r="N816" s="228"/>
      <c r="O816" s="228"/>
      <c r="P816" s="228">
        <v>0</v>
      </c>
      <c r="Q816" s="228">
        <v>0</v>
      </c>
    </row>
    <row r="817" spans="1:17">
      <c r="B817" s="165" t="s">
        <v>2132</v>
      </c>
      <c r="C817" s="165">
        <v>6700</v>
      </c>
      <c r="D817" s="228"/>
      <c r="E817" s="228"/>
      <c r="F817" s="228">
        <v>0</v>
      </c>
      <c r="G817" s="228">
        <v>0</v>
      </c>
      <c r="H817" s="228"/>
      <c r="I817" s="228"/>
      <c r="J817" s="228"/>
      <c r="K817" s="228"/>
      <c r="L817" s="228"/>
      <c r="M817" s="228"/>
      <c r="N817" s="228"/>
      <c r="O817" s="228"/>
      <c r="P817" s="228">
        <v>0</v>
      </c>
      <c r="Q817" s="228">
        <v>0</v>
      </c>
    </row>
    <row r="818" spans="1:17">
      <c r="B818" s="165" t="s">
        <v>1872</v>
      </c>
      <c r="C818" s="165">
        <v>6300</v>
      </c>
      <c r="D818" s="228"/>
      <c r="E818" s="228"/>
      <c r="F818" s="228">
        <v>0</v>
      </c>
      <c r="G818" s="228">
        <v>0</v>
      </c>
      <c r="H818" s="228"/>
      <c r="I818" s="228"/>
      <c r="J818" s="228"/>
      <c r="K818" s="228"/>
      <c r="L818" s="228"/>
      <c r="M818" s="228"/>
      <c r="N818" s="228"/>
      <c r="O818" s="228"/>
      <c r="P818" s="228">
        <v>0</v>
      </c>
      <c r="Q818" s="228">
        <v>0</v>
      </c>
    </row>
    <row r="819" spans="1:17">
      <c r="C819" s="165">
        <v>6528</v>
      </c>
      <c r="D819" s="228"/>
      <c r="E819" s="228"/>
      <c r="F819" s="228"/>
      <c r="G819" s="228"/>
      <c r="H819" s="228"/>
      <c r="I819" s="228"/>
      <c r="J819" s="228">
        <v>40050</v>
      </c>
      <c r="K819" s="228">
        <v>261446400</v>
      </c>
      <c r="L819" s="228"/>
      <c r="M819" s="228"/>
      <c r="N819" s="228"/>
      <c r="O819" s="228"/>
      <c r="P819" s="228">
        <v>40050</v>
      </c>
      <c r="Q819" s="228">
        <v>261446400</v>
      </c>
    </row>
    <row r="820" spans="1:17">
      <c r="C820" s="165">
        <v>6955</v>
      </c>
      <c r="D820" s="228"/>
      <c r="E820" s="228"/>
      <c r="F820" s="228"/>
      <c r="G820" s="228"/>
      <c r="H820" s="228"/>
      <c r="I820" s="228"/>
      <c r="J820" s="228"/>
      <c r="K820" s="228"/>
      <c r="L820" s="228">
        <v>30000</v>
      </c>
      <c r="M820" s="228">
        <v>208650000</v>
      </c>
      <c r="N820" s="228"/>
      <c r="O820" s="228"/>
      <c r="P820" s="228">
        <v>30000</v>
      </c>
      <c r="Q820" s="228">
        <v>208650000</v>
      </c>
    </row>
    <row r="821" spans="1:17">
      <c r="C821" s="165">
        <v>7200</v>
      </c>
      <c r="D821" s="228"/>
      <c r="E821" s="228"/>
      <c r="F821" s="228"/>
      <c r="G821" s="228"/>
      <c r="H821" s="228"/>
      <c r="I821" s="228"/>
      <c r="J821" s="228"/>
      <c r="K821" s="228"/>
      <c r="L821" s="228">
        <v>10050</v>
      </c>
      <c r="M821" s="228">
        <v>72360000</v>
      </c>
      <c r="N821" s="228"/>
      <c r="O821" s="228"/>
      <c r="P821" s="228">
        <v>10050</v>
      </c>
      <c r="Q821" s="228">
        <v>72360000</v>
      </c>
    </row>
    <row r="822" spans="1:17">
      <c r="B822" s="165" t="s">
        <v>2015</v>
      </c>
      <c r="C822" s="165">
        <v>10500</v>
      </c>
      <c r="D822" s="228"/>
      <c r="E822" s="228"/>
      <c r="F822" s="228"/>
      <c r="G822" s="228"/>
      <c r="H822" s="228"/>
      <c r="I822" s="228"/>
      <c r="J822" s="228"/>
      <c r="K822" s="228"/>
      <c r="L822" s="228">
        <v>10000</v>
      </c>
      <c r="M822" s="228">
        <v>105000000</v>
      </c>
      <c r="N822" s="228"/>
      <c r="O822" s="228"/>
      <c r="P822" s="228">
        <v>10000</v>
      </c>
      <c r="Q822" s="228">
        <v>105000000</v>
      </c>
    </row>
    <row r="823" spans="1:17">
      <c r="A823" s="165" t="s">
        <v>2269</v>
      </c>
      <c r="B823" s="165"/>
      <c r="C823" s="165"/>
      <c r="D823" s="228">
        <v>0</v>
      </c>
      <c r="E823" s="228">
        <v>0</v>
      </c>
      <c r="F823" s="228">
        <v>0</v>
      </c>
      <c r="G823" s="228">
        <v>0</v>
      </c>
      <c r="H823" s="228"/>
      <c r="I823" s="228"/>
      <c r="J823" s="228">
        <v>50050</v>
      </c>
      <c r="K823" s="228">
        <v>311446400</v>
      </c>
      <c r="L823" s="228">
        <v>80200</v>
      </c>
      <c r="M823" s="228">
        <v>630225000</v>
      </c>
      <c r="N823" s="228"/>
      <c r="O823" s="228"/>
      <c r="P823" s="228">
        <v>130250</v>
      </c>
      <c r="Q823" s="228">
        <v>941671400</v>
      </c>
    </row>
    <row r="824" spans="1:17">
      <c r="A824" s="165" t="s">
        <v>1366</v>
      </c>
      <c r="B824" s="165" t="s">
        <v>2025</v>
      </c>
      <c r="C824" s="165">
        <v>5000</v>
      </c>
      <c r="D824" s="228"/>
      <c r="E824" s="228"/>
      <c r="F824" s="228">
        <v>0</v>
      </c>
      <c r="G824" s="228">
        <v>0</v>
      </c>
      <c r="H824" s="228"/>
      <c r="I824" s="228"/>
      <c r="J824" s="228"/>
      <c r="K824" s="228"/>
      <c r="L824" s="228"/>
      <c r="M824" s="228"/>
      <c r="N824" s="228"/>
      <c r="O824" s="228"/>
      <c r="P824" s="228">
        <v>0</v>
      </c>
      <c r="Q824" s="228">
        <v>0</v>
      </c>
    </row>
    <row r="825" spans="1:17">
      <c r="B825" s="165" t="s">
        <v>2095</v>
      </c>
      <c r="C825" s="165">
        <v>8200</v>
      </c>
      <c r="D825" s="228"/>
      <c r="E825" s="228"/>
      <c r="F825" s="228">
        <v>0</v>
      </c>
      <c r="G825" s="228">
        <v>0</v>
      </c>
      <c r="H825" s="228"/>
      <c r="I825" s="228"/>
      <c r="J825" s="228"/>
      <c r="K825" s="228"/>
      <c r="L825" s="228"/>
      <c r="M825" s="228"/>
      <c r="N825" s="228"/>
      <c r="O825" s="228"/>
      <c r="P825" s="228">
        <v>0</v>
      </c>
      <c r="Q825" s="228">
        <v>0</v>
      </c>
    </row>
    <row r="826" spans="1:17">
      <c r="B826" s="165" t="s">
        <v>2104</v>
      </c>
      <c r="C826" s="165">
        <v>8000</v>
      </c>
      <c r="D826" s="228"/>
      <c r="E826" s="228"/>
      <c r="F826" s="228">
        <v>0</v>
      </c>
      <c r="G826" s="228">
        <v>0</v>
      </c>
      <c r="H826" s="228"/>
      <c r="I826" s="228"/>
      <c r="J826" s="228"/>
      <c r="K826" s="228"/>
      <c r="L826" s="228"/>
      <c r="M826" s="228"/>
      <c r="N826" s="228"/>
      <c r="O826" s="228"/>
      <c r="P826" s="228">
        <v>0</v>
      </c>
      <c r="Q826" s="228">
        <v>0</v>
      </c>
    </row>
    <row r="827" spans="1:17">
      <c r="B827" s="165" t="s">
        <v>2120</v>
      </c>
      <c r="C827" s="165">
        <v>5600</v>
      </c>
      <c r="D827" s="228"/>
      <c r="E827" s="228"/>
      <c r="F827" s="228">
        <v>0</v>
      </c>
      <c r="G827" s="228">
        <v>0</v>
      </c>
      <c r="H827" s="228"/>
      <c r="I827" s="228"/>
      <c r="J827" s="228"/>
      <c r="K827" s="228"/>
      <c r="L827" s="228"/>
      <c r="M827" s="228"/>
      <c r="N827" s="228"/>
      <c r="O827" s="228"/>
      <c r="P827" s="228">
        <v>0</v>
      </c>
      <c r="Q827" s="228">
        <v>0</v>
      </c>
    </row>
    <row r="828" spans="1:17">
      <c r="B828" s="165" t="s">
        <v>2130</v>
      </c>
      <c r="C828" s="165">
        <v>6000</v>
      </c>
      <c r="D828" s="228"/>
      <c r="E828" s="228"/>
      <c r="F828" s="228">
        <v>0</v>
      </c>
      <c r="G828" s="228">
        <v>0</v>
      </c>
      <c r="H828" s="228"/>
      <c r="I828" s="228"/>
      <c r="J828" s="228"/>
      <c r="K828" s="228"/>
      <c r="L828" s="228"/>
      <c r="M828" s="228"/>
      <c r="N828" s="228"/>
      <c r="O828" s="228"/>
      <c r="P828" s="228">
        <v>0</v>
      </c>
      <c r="Q828" s="228">
        <v>0</v>
      </c>
    </row>
    <row r="829" spans="1:17">
      <c r="B829" s="165" t="s">
        <v>2169</v>
      </c>
      <c r="C829" s="165">
        <v>5600</v>
      </c>
      <c r="D829" s="228"/>
      <c r="E829" s="228"/>
      <c r="F829" s="228">
        <v>0</v>
      </c>
      <c r="G829" s="228">
        <v>0</v>
      </c>
      <c r="H829" s="228"/>
      <c r="I829" s="228"/>
      <c r="J829" s="228"/>
      <c r="K829" s="228"/>
      <c r="L829" s="228"/>
      <c r="M829" s="228"/>
      <c r="N829" s="228"/>
      <c r="O829" s="228"/>
      <c r="P829" s="228">
        <v>0</v>
      </c>
      <c r="Q829" s="228">
        <v>0</v>
      </c>
    </row>
    <row r="830" spans="1:17">
      <c r="B830" s="165" t="s">
        <v>2188</v>
      </c>
      <c r="C830" s="165">
        <v>4800</v>
      </c>
      <c r="D830" s="228"/>
      <c r="E830" s="228"/>
      <c r="F830" s="228">
        <v>0</v>
      </c>
      <c r="G830" s="228">
        <v>0</v>
      </c>
      <c r="H830" s="228"/>
      <c r="I830" s="228"/>
      <c r="J830" s="228"/>
      <c r="K830" s="228"/>
      <c r="L830" s="228"/>
      <c r="M830" s="228"/>
      <c r="N830" s="228"/>
      <c r="O830" s="228"/>
      <c r="P830" s="228">
        <v>0</v>
      </c>
      <c r="Q830" s="228">
        <v>0</v>
      </c>
    </row>
    <row r="831" spans="1:17">
      <c r="A831" s="165" t="s">
        <v>2270</v>
      </c>
      <c r="B831" s="165"/>
      <c r="C831" s="165"/>
      <c r="D831" s="228"/>
      <c r="E831" s="228"/>
      <c r="F831" s="228">
        <v>0</v>
      </c>
      <c r="G831" s="228">
        <v>0</v>
      </c>
      <c r="H831" s="228"/>
      <c r="I831" s="228"/>
      <c r="J831" s="228"/>
      <c r="K831" s="228"/>
      <c r="L831" s="228"/>
      <c r="M831" s="228"/>
      <c r="N831" s="228"/>
      <c r="O831" s="228"/>
      <c r="P831" s="228">
        <v>0</v>
      </c>
      <c r="Q831" s="228">
        <v>0</v>
      </c>
    </row>
    <row r="832" spans="1:17">
      <c r="A832" s="165" t="s">
        <v>476</v>
      </c>
      <c r="B832" s="165" t="s">
        <v>2011</v>
      </c>
      <c r="C832" s="165">
        <v>10500</v>
      </c>
      <c r="D832" s="228"/>
      <c r="E832" s="228"/>
      <c r="F832" s="228"/>
      <c r="G832" s="228"/>
      <c r="H832" s="228"/>
      <c r="I832" s="228"/>
      <c r="J832" s="228"/>
      <c r="K832" s="228"/>
      <c r="L832" s="228">
        <v>10000</v>
      </c>
      <c r="M832" s="228">
        <v>105000000</v>
      </c>
      <c r="N832" s="228"/>
      <c r="O832" s="228"/>
      <c r="P832" s="228">
        <v>10000</v>
      </c>
      <c r="Q832" s="228">
        <v>105000000</v>
      </c>
    </row>
    <row r="833" spans="1:17">
      <c r="B833" s="165" t="s">
        <v>2144</v>
      </c>
      <c r="C833" s="165">
        <v>12500</v>
      </c>
      <c r="D833" s="228"/>
      <c r="E833" s="228"/>
      <c r="F833" s="228"/>
      <c r="G833" s="228"/>
      <c r="H833" s="228"/>
      <c r="I833" s="228"/>
      <c r="J833" s="228"/>
      <c r="K833" s="228"/>
      <c r="L833" s="228">
        <v>6000</v>
      </c>
      <c r="M833" s="228">
        <v>75000000</v>
      </c>
      <c r="N833" s="228"/>
      <c r="O833" s="228"/>
      <c r="P833" s="228">
        <v>6000</v>
      </c>
      <c r="Q833" s="228">
        <v>75000000</v>
      </c>
    </row>
    <row r="834" spans="1:17">
      <c r="A834" s="165" t="s">
        <v>2271</v>
      </c>
      <c r="B834" s="165"/>
      <c r="C834" s="165"/>
      <c r="D834" s="228"/>
      <c r="E834" s="228"/>
      <c r="F834" s="228"/>
      <c r="G834" s="228"/>
      <c r="H834" s="228"/>
      <c r="I834" s="228"/>
      <c r="J834" s="228"/>
      <c r="K834" s="228"/>
      <c r="L834" s="228">
        <v>16000</v>
      </c>
      <c r="M834" s="228">
        <v>180000000</v>
      </c>
      <c r="N834" s="228"/>
      <c r="O834" s="228"/>
      <c r="P834" s="228">
        <v>16000</v>
      </c>
      <c r="Q834" s="228">
        <v>180000000</v>
      </c>
    </row>
    <row r="835" spans="1:17">
      <c r="A835" s="165" t="s">
        <v>817</v>
      </c>
      <c r="B835" s="165" t="s">
        <v>2038</v>
      </c>
      <c r="C835" s="165">
        <v>4370</v>
      </c>
      <c r="D835" s="228"/>
      <c r="E835" s="228"/>
      <c r="F835" s="228">
        <v>0</v>
      </c>
      <c r="G835" s="228">
        <v>0</v>
      </c>
      <c r="H835" s="228"/>
      <c r="I835" s="228"/>
      <c r="J835" s="228"/>
      <c r="K835" s="228"/>
      <c r="L835" s="228"/>
      <c r="M835" s="228"/>
      <c r="N835" s="228"/>
      <c r="O835" s="228"/>
      <c r="P835" s="228">
        <v>0</v>
      </c>
      <c r="Q835" s="228">
        <v>0</v>
      </c>
    </row>
    <row r="836" spans="1:17">
      <c r="C836" s="165">
        <v>4500</v>
      </c>
      <c r="D836" s="228">
        <v>0</v>
      </c>
      <c r="E836" s="228">
        <v>0</v>
      </c>
      <c r="F836" s="228"/>
      <c r="G836" s="228"/>
      <c r="H836" s="228"/>
      <c r="I836" s="228"/>
      <c r="J836" s="228"/>
      <c r="K836" s="228"/>
      <c r="L836" s="228"/>
      <c r="M836" s="228"/>
      <c r="N836" s="228"/>
      <c r="O836" s="228"/>
      <c r="P836" s="228">
        <v>0</v>
      </c>
      <c r="Q836" s="228">
        <v>0</v>
      </c>
    </row>
    <row r="837" spans="1:17">
      <c r="B837" s="165" t="s">
        <v>2039</v>
      </c>
      <c r="C837" s="165">
        <v>6300</v>
      </c>
      <c r="D837" s="228"/>
      <c r="E837" s="228"/>
      <c r="F837" s="228">
        <v>0</v>
      </c>
      <c r="G837" s="228">
        <v>0</v>
      </c>
      <c r="H837" s="228"/>
      <c r="I837" s="228"/>
      <c r="J837" s="228"/>
      <c r="K837" s="228"/>
      <c r="L837" s="228"/>
      <c r="M837" s="228"/>
      <c r="N837" s="228"/>
      <c r="O837" s="228"/>
      <c r="P837" s="228">
        <v>0</v>
      </c>
      <c r="Q837" s="228">
        <v>0</v>
      </c>
    </row>
    <row r="838" spans="1:17">
      <c r="B838" s="165" t="s">
        <v>2059</v>
      </c>
      <c r="C838" s="165">
        <v>3700</v>
      </c>
      <c r="D838" s="228"/>
      <c r="E838" s="228"/>
      <c r="F838" s="228">
        <v>0</v>
      </c>
      <c r="G838" s="228">
        <v>0</v>
      </c>
      <c r="H838" s="228"/>
      <c r="I838" s="228"/>
      <c r="J838" s="228"/>
      <c r="K838" s="228"/>
      <c r="L838" s="228"/>
      <c r="M838" s="228"/>
      <c r="N838" s="228"/>
      <c r="O838" s="228"/>
      <c r="P838" s="228">
        <v>0</v>
      </c>
      <c r="Q838" s="228">
        <v>0</v>
      </c>
    </row>
    <row r="839" spans="1:17">
      <c r="B839" s="165" t="s">
        <v>2008</v>
      </c>
      <c r="C839" s="165">
        <v>4700</v>
      </c>
      <c r="D839" s="228"/>
      <c r="E839" s="228"/>
      <c r="F839" s="228">
        <v>0</v>
      </c>
      <c r="G839" s="228">
        <v>0</v>
      </c>
      <c r="H839" s="228"/>
      <c r="I839" s="228"/>
      <c r="J839" s="228"/>
      <c r="K839" s="228"/>
      <c r="L839" s="228"/>
      <c r="M839" s="228"/>
      <c r="N839" s="228"/>
      <c r="O839" s="228"/>
      <c r="P839" s="228">
        <v>0</v>
      </c>
      <c r="Q839" s="228">
        <v>0</v>
      </c>
    </row>
    <row r="840" spans="1:17">
      <c r="B840" s="165" t="s">
        <v>2011</v>
      </c>
      <c r="C840" s="165">
        <v>10500</v>
      </c>
      <c r="D840" s="228"/>
      <c r="E840" s="228"/>
      <c r="F840" s="228"/>
      <c r="G840" s="228"/>
      <c r="H840" s="228"/>
      <c r="I840" s="228"/>
      <c r="J840" s="228"/>
      <c r="K840" s="228"/>
      <c r="L840" s="228">
        <v>10000</v>
      </c>
      <c r="M840" s="228">
        <v>105000000</v>
      </c>
      <c r="N840" s="228"/>
      <c r="O840" s="228"/>
      <c r="P840" s="228">
        <v>10000</v>
      </c>
      <c r="Q840" s="228">
        <v>105000000</v>
      </c>
    </row>
    <row r="841" spans="1:17">
      <c r="B841" s="165" t="s">
        <v>2067</v>
      </c>
      <c r="C841" s="165">
        <v>5500</v>
      </c>
      <c r="D841" s="228">
        <v>0</v>
      </c>
      <c r="E841" s="228">
        <v>0</v>
      </c>
      <c r="F841" s="228"/>
      <c r="G841" s="228"/>
      <c r="H841" s="228"/>
      <c r="I841" s="228"/>
      <c r="J841" s="228"/>
      <c r="K841" s="228"/>
      <c r="L841" s="228"/>
      <c r="M841" s="228"/>
      <c r="N841" s="228"/>
      <c r="O841" s="228"/>
      <c r="P841" s="228">
        <v>0</v>
      </c>
      <c r="Q841" s="228">
        <v>0</v>
      </c>
    </row>
    <row r="842" spans="1:17">
      <c r="B842" s="165" t="s">
        <v>2086</v>
      </c>
      <c r="C842" s="165">
        <v>4900</v>
      </c>
      <c r="D842" s="228">
        <v>0</v>
      </c>
      <c r="E842" s="228">
        <v>0</v>
      </c>
      <c r="F842" s="228"/>
      <c r="G842" s="228"/>
      <c r="H842" s="228"/>
      <c r="I842" s="228"/>
      <c r="J842" s="228"/>
      <c r="K842" s="228"/>
      <c r="L842" s="228"/>
      <c r="M842" s="228"/>
      <c r="N842" s="228"/>
      <c r="O842" s="228"/>
      <c r="P842" s="228">
        <v>0</v>
      </c>
      <c r="Q842" s="228">
        <v>0</v>
      </c>
    </row>
    <row r="843" spans="1:17">
      <c r="B843" s="165" t="s">
        <v>2100</v>
      </c>
      <c r="C843" s="165">
        <v>5300</v>
      </c>
      <c r="D843" s="228"/>
      <c r="E843" s="228"/>
      <c r="F843" s="228">
        <v>0</v>
      </c>
      <c r="G843" s="228">
        <v>0</v>
      </c>
      <c r="H843" s="228"/>
      <c r="I843" s="228"/>
      <c r="J843" s="228"/>
      <c r="K843" s="228"/>
      <c r="L843" s="228"/>
      <c r="M843" s="228"/>
      <c r="N843" s="228"/>
      <c r="O843" s="228"/>
      <c r="P843" s="228">
        <v>0</v>
      </c>
      <c r="Q843" s="228">
        <v>0</v>
      </c>
    </row>
    <row r="844" spans="1:17">
      <c r="B844" s="165" t="s">
        <v>2009</v>
      </c>
      <c r="C844" s="165">
        <v>5000</v>
      </c>
      <c r="D844" s="228"/>
      <c r="E844" s="228"/>
      <c r="F844" s="228">
        <v>0</v>
      </c>
      <c r="G844" s="228">
        <v>0</v>
      </c>
      <c r="H844" s="228"/>
      <c r="I844" s="228"/>
      <c r="J844" s="228"/>
      <c r="K844" s="228"/>
      <c r="L844" s="228"/>
      <c r="M844" s="228"/>
      <c r="N844" s="228"/>
      <c r="O844" s="228"/>
      <c r="P844" s="228">
        <v>0</v>
      </c>
      <c r="Q844" s="228">
        <v>0</v>
      </c>
    </row>
    <row r="845" spans="1:17">
      <c r="B845" s="165" t="s">
        <v>1872</v>
      </c>
      <c r="C845" s="165">
        <v>6300</v>
      </c>
      <c r="D845" s="228"/>
      <c r="E845" s="228"/>
      <c r="F845" s="228">
        <v>0</v>
      </c>
      <c r="G845" s="228">
        <v>0</v>
      </c>
      <c r="H845" s="228"/>
      <c r="I845" s="228"/>
      <c r="J845" s="228"/>
      <c r="K845" s="228"/>
      <c r="L845" s="228"/>
      <c r="M845" s="228"/>
      <c r="N845" s="228"/>
      <c r="O845" s="228"/>
      <c r="P845" s="228">
        <v>0</v>
      </c>
      <c r="Q845" s="228">
        <v>0</v>
      </c>
    </row>
    <row r="846" spans="1:17">
      <c r="C846" s="165">
        <v>6498</v>
      </c>
      <c r="D846" s="228"/>
      <c r="E846" s="228"/>
      <c r="F846" s="228">
        <v>0</v>
      </c>
      <c r="G846" s="228">
        <v>0</v>
      </c>
      <c r="H846" s="228"/>
      <c r="I846" s="228"/>
      <c r="J846" s="228"/>
      <c r="K846" s="228"/>
      <c r="L846" s="228"/>
      <c r="M846" s="228"/>
      <c r="N846" s="228"/>
      <c r="O846" s="228"/>
      <c r="P846" s="228">
        <v>0</v>
      </c>
      <c r="Q846" s="228">
        <v>0</v>
      </c>
    </row>
    <row r="847" spans="1:17">
      <c r="B847" s="165" t="s">
        <v>2015</v>
      </c>
      <c r="C847" s="165">
        <v>10500</v>
      </c>
      <c r="D847" s="228"/>
      <c r="E847" s="228"/>
      <c r="F847" s="228"/>
      <c r="G847" s="228"/>
      <c r="H847" s="228"/>
      <c r="I847" s="228"/>
      <c r="J847" s="228"/>
      <c r="K847" s="228"/>
      <c r="L847" s="228">
        <v>10000</v>
      </c>
      <c r="M847" s="228">
        <v>105000000</v>
      </c>
      <c r="N847" s="228"/>
      <c r="O847" s="228"/>
      <c r="P847" s="228">
        <v>10000</v>
      </c>
      <c r="Q847" s="228">
        <v>105000000</v>
      </c>
    </row>
    <row r="848" spans="1:17">
      <c r="B848" s="165" t="s">
        <v>1878</v>
      </c>
      <c r="C848" s="165">
        <v>3600</v>
      </c>
      <c r="D848" s="228"/>
      <c r="E848" s="228"/>
      <c r="F848" s="228">
        <v>0</v>
      </c>
      <c r="G848" s="228">
        <v>0</v>
      </c>
      <c r="H848" s="228"/>
      <c r="I848" s="228"/>
      <c r="J848" s="228"/>
      <c r="K848" s="228"/>
      <c r="L848" s="228"/>
      <c r="M848" s="228"/>
      <c r="N848" s="228"/>
      <c r="O848" s="228"/>
      <c r="P848" s="228">
        <v>0</v>
      </c>
      <c r="Q848" s="228">
        <v>0</v>
      </c>
    </row>
    <row r="849" spans="1:17">
      <c r="B849" s="165" t="s">
        <v>2153</v>
      </c>
      <c r="C849" s="165">
        <v>5200</v>
      </c>
      <c r="D849" s="228">
        <v>0</v>
      </c>
      <c r="E849" s="228">
        <v>0</v>
      </c>
      <c r="F849" s="228"/>
      <c r="G849" s="228"/>
      <c r="H849" s="228"/>
      <c r="I849" s="228"/>
      <c r="J849" s="228"/>
      <c r="K849" s="228"/>
      <c r="L849" s="228"/>
      <c r="M849" s="228"/>
      <c r="N849" s="228"/>
      <c r="O849" s="228"/>
      <c r="P849" s="228">
        <v>0</v>
      </c>
      <c r="Q849" s="228">
        <v>0</v>
      </c>
    </row>
    <row r="850" spans="1:17">
      <c r="B850" s="165" t="s">
        <v>2169</v>
      </c>
      <c r="C850" s="165">
        <v>4600</v>
      </c>
      <c r="D850" s="228"/>
      <c r="E850" s="228"/>
      <c r="F850" s="228">
        <v>0</v>
      </c>
      <c r="G850" s="228">
        <v>0</v>
      </c>
      <c r="H850" s="228"/>
      <c r="I850" s="228"/>
      <c r="J850" s="228"/>
      <c r="K850" s="228"/>
      <c r="L850" s="228"/>
      <c r="M850" s="228"/>
      <c r="N850" s="228"/>
      <c r="O850" s="228"/>
      <c r="P850" s="228">
        <v>0</v>
      </c>
      <c r="Q850" s="228">
        <v>0</v>
      </c>
    </row>
    <row r="851" spans="1:17">
      <c r="C851" s="165">
        <v>4800</v>
      </c>
      <c r="D851" s="228"/>
      <c r="E851" s="228"/>
      <c r="F851" s="228">
        <v>0</v>
      </c>
      <c r="G851" s="228">
        <v>0</v>
      </c>
      <c r="H851" s="228"/>
      <c r="I851" s="228"/>
      <c r="J851" s="228"/>
      <c r="K851" s="228"/>
      <c r="L851" s="228"/>
      <c r="M851" s="228"/>
      <c r="N851" s="228"/>
      <c r="O851" s="228"/>
      <c r="P851" s="228">
        <v>0</v>
      </c>
      <c r="Q851" s="228">
        <v>0</v>
      </c>
    </row>
    <row r="852" spans="1:17">
      <c r="B852" s="165" t="s">
        <v>2186</v>
      </c>
      <c r="C852" s="165">
        <v>2600</v>
      </c>
      <c r="D852" s="228">
        <v>0</v>
      </c>
      <c r="E852" s="228">
        <v>0</v>
      </c>
      <c r="F852" s="228"/>
      <c r="G852" s="228"/>
      <c r="H852" s="228"/>
      <c r="I852" s="228"/>
      <c r="J852" s="228"/>
      <c r="K852" s="228"/>
      <c r="L852" s="228"/>
      <c r="M852" s="228"/>
      <c r="N852" s="228"/>
      <c r="O852" s="228"/>
      <c r="P852" s="228">
        <v>0</v>
      </c>
      <c r="Q852" s="228">
        <v>0</v>
      </c>
    </row>
    <row r="853" spans="1:17">
      <c r="B853" s="165" t="s">
        <v>2188</v>
      </c>
      <c r="C853" s="165">
        <v>3800</v>
      </c>
      <c r="D853" s="228"/>
      <c r="E853" s="228"/>
      <c r="F853" s="228">
        <v>0</v>
      </c>
      <c r="G853" s="228">
        <v>0</v>
      </c>
      <c r="H853" s="228"/>
      <c r="I853" s="228"/>
      <c r="J853" s="228"/>
      <c r="K853" s="228"/>
      <c r="L853" s="228"/>
      <c r="M853" s="228"/>
      <c r="N853" s="228"/>
      <c r="O853" s="228"/>
      <c r="P853" s="228">
        <v>0</v>
      </c>
      <c r="Q853" s="228">
        <v>0</v>
      </c>
    </row>
    <row r="854" spans="1:17">
      <c r="C854" s="165">
        <v>3900</v>
      </c>
      <c r="D854" s="228"/>
      <c r="E854" s="228"/>
      <c r="F854" s="228"/>
      <c r="G854" s="228"/>
      <c r="H854" s="228">
        <v>6900</v>
      </c>
      <c r="I854" s="228">
        <v>26910000</v>
      </c>
      <c r="J854" s="228">
        <v>3000</v>
      </c>
      <c r="K854" s="228">
        <v>11700000</v>
      </c>
      <c r="L854" s="228"/>
      <c r="M854" s="228"/>
      <c r="N854" s="228"/>
      <c r="O854" s="228"/>
      <c r="P854" s="228">
        <v>9900</v>
      </c>
      <c r="Q854" s="228">
        <v>38610000</v>
      </c>
    </row>
    <row r="855" spans="1:17">
      <c r="C855" s="165">
        <v>4000</v>
      </c>
      <c r="D855" s="228"/>
      <c r="E855" s="228"/>
      <c r="F855" s="228"/>
      <c r="G855" s="228"/>
      <c r="H855" s="228">
        <v>10200</v>
      </c>
      <c r="I855" s="228">
        <v>40800000</v>
      </c>
      <c r="J855" s="228"/>
      <c r="K855" s="228"/>
      <c r="L855" s="228">
        <v>20400</v>
      </c>
      <c r="M855" s="228">
        <v>81600000</v>
      </c>
      <c r="N855" s="228"/>
      <c r="O855" s="228"/>
      <c r="P855" s="228">
        <v>30600</v>
      </c>
      <c r="Q855" s="228">
        <v>122400000</v>
      </c>
    </row>
    <row r="856" spans="1:17">
      <c r="A856" s="165" t="s">
        <v>2272</v>
      </c>
      <c r="B856" s="165"/>
      <c r="C856" s="165"/>
      <c r="D856" s="228">
        <v>0</v>
      </c>
      <c r="E856" s="228">
        <v>0</v>
      </c>
      <c r="F856" s="228">
        <v>0</v>
      </c>
      <c r="G856" s="228">
        <v>0</v>
      </c>
      <c r="H856" s="228">
        <v>17100</v>
      </c>
      <c r="I856" s="228">
        <v>67710000</v>
      </c>
      <c r="J856" s="228">
        <v>3000</v>
      </c>
      <c r="K856" s="228">
        <v>11700000</v>
      </c>
      <c r="L856" s="228">
        <v>40400</v>
      </c>
      <c r="M856" s="228">
        <v>291600000</v>
      </c>
      <c r="N856" s="228"/>
      <c r="O856" s="228"/>
      <c r="P856" s="228">
        <v>60500</v>
      </c>
      <c r="Q856" s="228">
        <v>371010000</v>
      </c>
    </row>
    <row r="857" spans="1:17">
      <c r="A857" s="165" t="s">
        <v>130</v>
      </c>
      <c r="B857" s="165" t="s">
        <v>2008</v>
      </c>
      <c r="C857" s="165">
        <v>5000</v>
      </c>
      <c r="D857" s="228"/>
      <c r="E857" s="228"/>
      <c r="F857" s="228">
        <v>0</v>
      </c>
      <c r="G857" s="228">
        <v>0</v>
      </c>
      <c r="H857" s="228"/>
      <c r="I857" s="228"/>
      <c r="J857" s="228"/>
      <c r="K857" s="228"/>
      <c r="L857" s="228"/>
      <c r="M857" s="228"/>
      <c r="N857" s="228"/>
      <c r="O857" s="228"/>
      <c r="P857" s="228">
        <v>0</v>
      </c>
      <c r="Q857" s="228">
        <v>0</v>
      </c>
    </row>
    <row r="858" spans="1:17">
      <c r="B858" s="165" t="s">
        <v>2011</v>
      </c>
      <c r="C858" s="165">
        <v>10500</v>
      </c>
      <c r="D858" s="228"/>
      <c r="E858" s="228"/>
      <c r="F858" s="228"/>
      <c r="G858" s="228"/>
      <c r="H858" s="228"/>
      <c r="I858" s="228"/>
      <c r="J858" s="228"/>
      <c r="K858" s="228"/>
      <c r="L858" s="228">
        <v>3000</v>
      </c>
      <c r="M858" s="228">
        <v>31500000</v>
      </c>
      <c r="N858" s="228"/>
      <c r="O858" s="228"/>
      <c r="P858" s="228">
        <v>3000</v>
      </c>
      <c r="Q858" s="228">
        <v>31500000</v>
      </c>
    </row>
    <row r="859" spans="1:17">
      <c r="B859" s="165" t="s">
        <v>2067</v>
      </c>
      <c r="C859" s="165">
        <v>5500</v>
      </c>
      <c r="D859" s="228"/>
      <c r="E859" s="228"/>
      <c r="F859" s="228">
        <v>0</v>
      </c>
      <c r="G859" s="228">
        <v>0</v>
      </c>
      <c r="H859" s="228"/>
      <c r="I859" s="228"/>
      <c r="J859" s="228"/>
      <c r="K859" s="228"/>
      <c r="L859" s="228"/>
      <c r="M859" s="228"/>
      <c r="N859" s="228"/>
      <c r="O859" s="228"/>
      <c r="P859" s="228">
        <v>0</v>
      </c>
      <c r="Q859" s="228">
        <v>0</v>
      </c>
    </row>
    <row r="860" spans="1:17">
      <c r="B860" s="165" t="s">
        <v>2079</v>
      </c>
      <c r="C860" s="165">
        <v>4500</v>
      </c>
      <c r="D860" s="228"/>
      <c r="E860" s="228"/>
      <c r="F860" s="228">
        <v>0</v>
      </c>
      <c r="G860" s="228">
        <v>0</v>
      </c>
      <c r="H860" s="228"/>
      <c r="I860" s="228"/>
      <c r="J860" s="228"/>
      <c r="K860" s="228"/>
      <c r="L860" s="228"/>
      <c r="M860" s="228"/>
      <c r="N860" s="228"/>
      <c r="O860" s="228"/>
      <c r="P860" s="228">
        <v>0</v>
      </c>
      <c r="Q860" s="228">
        <v>0</v>
      </c>
    </row>
    <row r="861" spans="1:17">
      <c r="B861" s="165" t="s">
        <v>2084</v>
      </c>
      <c r="C861" s="165">
        <v>4000</v>
      </c>
      <c r="D861" s="228"/>
      <c r="E861" s="228"/>
      <c r="F861" s="228">
        <v>0</v>
      </c>
      <c r="G861" s="228">
        <v>0</v>
      </c>
      <c r="H861" s="228"/>
      <c r="I861" s="228"/>
      <c r="J861" s="228"/>
      <c r="K861" s="228"/>
      <c r="L861" s="228"/>
      <c r="M861" s="228"/>
      <c r="N861" s="228"/>
      <c r="O861" s="228"/>
      <c r="P861" s="228">
        <v>0</v>
      </c>
      <c r="Q861" s="228">
        <v>0</v>
      </c>
    </row>
    <row r="862" spans="1:17">
      <c r="B862" s="165" t="s">
        <v>2105</v>
      </c>
      <c r="C862" s="165">
        <v>10700</v>
      </c>
      <c r="D862" s="228"/>
      <c r="E862" s="228"/>
      <c r="F862" s="228"/>
      <c r="G862" s="228"/>
      <c r="H862" s="228"/>
      <c r="I862" s="228"/>
      <c r="J862" s="228"/>
      <c r="K862" s="228"/>
      <c r="L862" s="228">
        <v>5100</v>
      </c>
      <c r="M862" s="228">
        <v>54570000</v>
      </c>
      <c r="N862" s="228"/>
      <c r="O862" s="228"/>
      <c r="P862" s="228">
        <v>5100</v>
      </c>
      <c r="Q862" s="228">
        <v>54570000</v>
      </c>
    </row>
    <row r="863" spans="1:17">
      <c r="B863" s="165" t="s">
        <v>2016</v>
      </c>
      <c r="C863" s="165">
        <v>13500</v>
      </c>
      <c r="D863" s="228"/>
      <c r="E863" s="228"/>
      <c r="F863" s="228"/>
      <c r="G863" s="228"/>
      <c r="H863" s="228"/>
      <c r="I863" s="228"/>
      <c r="J863" s="228"/>
      <c r="K863" s="228"/>
      <c r="L863" s="228">
        <v>10000</v>
      </c>
      <c r="M863" s="228">
        <v>135000000</v>
      </c>
      <c r="N863" s="228"/>
      <c r="O863" s="228"/>
      <c r="P863" s="228">
        <v>10000</v>
      </c>
      <c r="Q863" s="228">
        <v>135000000</v>
      </c>
    </row>
    <row r="864" spans="1:17">
      <c r="B864" s="165" t="s">
        <v>2114</v>
      </c>
      <c r="C864" s="165">
        <v>3900</v>
      </c>
      <c r="D864" s="228"/>
      <c r="E864" s="228"/>
      <c r="F864" s="228">
        <v>0</v>
      </c>
      <c r="G864" s="228">
        <v>0</v>
      </c>
      <c r="H864" s="228"/>
      <c r="I864" s="228"/>
      <c r="J864" s="228"/>
      <c r="K864" s="228"/>
      <c r="L864" s="228"/>
      <c r="M864" s="228"/>
      <c r="N864" s="228"/>
      <c r="O864" s="228"/>
      <c r="P864" s="228">
        <v>0</v>
      </c>
      <c r="Q864" s="228">
        <v>0</v>
      </c>
    </row>
    <row r="865" spans="2:17">
      <c r="B865" s="165" t="s">
        <v>2116</v>
      </c>
      <c r="C865" s="165">
        <v>3000</v>
      </c>
      <c r="D865" s="228"/>
      <c r="E865" s="228"/>
      <c r="F865" s="228">
        <v>0</v>
      </c>
      <c r="G865" s="228">
        <v>0</v>
      </c>
      <c r="H865" s="228"/>
      <c r="I865" s="228"/>
      <c r="J865" s="228"/>
      <c r="K865" s="228"/>
      <c r="L865" s="228"/>
      <c r="M865" s="228"/>
      <c r="N865" s="228"/>
      <c r="O865" s="228"/>
      <c r="P865" s="228">
        <v>0</v>
      </c>
      <c r="Q865" s="228">
        <v>0</v>
      </c>
    </row>
    <row r="866" spans="2:17">
      <c r="B866" s="165" t="s">
        <v>2117</v>
      </c>
      <c r="C866" s="165">
        <v>7200</v>
      </c>
      <c r="D866" s="228"/>
      <c r="E866" s="228"/>
      <c r="F866" s="228"/>
      <c r="G866" s="228"/>
      <c r="H866" s="228"/>
      <c r="I866" s="228"/>
      <c r="J866" s="228"/>
      <c r="K866" s="228"/>
      <c r="L866" s="228">
        <v>5100</v>
      </c>
      <c r="M866" s="228">
        <v>36720000</v>
      </c>
      <c r="N866" s="228"/>
      <c r="O866" s="228"/>
      <c r="P866" s="228">
        <v>5100</v>
      </c>
      <c r="Q866" s="228">
        <v>36720000</v>
      </c>
    </row>
    <row r="867" spans="2:17">
      <c r="B867" s="165" t="s">
        <v>2125</v>
      </c>
      <c r="C867" s="165">
        <v>2800</v>
      </c>
      <c r="D867" s="228"/>
      <c r="E867" s="228"/>
      <c r="F867" s="228">
        <v>0</v>
      </c>
      <c r="G867" s="228">
        <v>0</v>
      </c>
      <c r="H867" s="228"/>
      <c r="I867" s="228"/>
      <c r="J867" s="228"/>
      <c r="K867" s="228"/>
      <c r="L867" s="228"/>
      <c r="M867" s="228"/>
      <c r="N867" s="228"/>
      <c r="O867" s="228"/>
      <c r="P867" s="228">
        <v>0</v>
      </c>
      <c r="Q867" s="228">
        <v>0</v>
      </c>
    </row>
    <row r="868" spans="2:17">
      <c r="C868" s="165">
        <v>3000</v>
      </c>
      <c r="D868" s="228"/>
      <c r="E868" s="228"/>
      <c r="F868" s="228"/>
      <c r="G868" s="228"/>
      <c r="H868" s="228">
        <v>4800</v>
      </c>
      <c r="I868" s="228">
        <v>14400000</v>
      </c>
      <c r="J868" s="228"/>
      <c r="K868" s="228"/>
      <c r="L868" s="228"/>
      <c r="M868" s="228"/>
      <c r="N868" s="228"/>
      <c r="O868" s="228"/>
      <c r="P868" s="228">
        <v>4800</v>
      </c>
      <c r="Q868" s="228">
        <v>14400000</v>
      </c>
    </row>
    <row r="869" spans="2:17">
      <c r="B869" s="165" t="s">
        <v>2126</v>
      </c>
      <c r="C869" s="165">
        <v>4200</v>
      </c>
      <c r="D869" s="228"/>
      <c r="E869" s="228"/>
      <c r="F869" s="228">
        <v>0</v>
      </c>
      <c r="G869" s="228">
        <v>0</v>
      </c>
      <c r="H869" s="228"/>
      <c r="I869" s="228"/>
      <c r="J869" s="228"/>
      <c r="K869" s="228"/>
      <c r="L869" s="228"/>
      <c r="M869" s="228"/>
      <c r="N869" s="228"/>
      <c r="O869" s="228"/>
      <c r="P869" s="228">
        <v>0</v>
      </c>
      <c r="Q869" s="228">
        <v>0</v>
      </c>
    </row>
    <row r="870" spans="2:17">
      <c r="B870" s="165" t="s">
        <v>2127</v>
      </c>
      <c r="C870" s="165">
        <v>6100</v>
      </c>
      <c r="D870" s="228"/>
      <c r="E870" s="228"/>
      <c r="F870" s="228"/>
      <c r="G870" s="228"/>
      <c r="H870" s="228"/>
      <c r="I870" s="228"/>
      <c r="J870" s="228"/>
      <c r="K870" s="228"/>
      <c r="L870" s="228">
        <v>3000</v>
      </c>
      <c r="M870" s="228">
        <v>18300000</v>
      </c>
      <c r="N870" s="228"/>
      <c r="O870" s="228"/>
      <c r="P870" s="228">
        <v>3000</v>
      </c>
      <c r="Q870" s="228">
        <v>18300000</v>
      </c>
    </row>
    <row r="871" spans="2:17">
      <c r="B871" s="165" t="s">
        <v>2130</v>
      </c>
      <c r="C871" s="165">
        <v>5000</v>
      </c>
      <c r="D871" s="228"/>
      <c r="E871" s="228"/>
      <c r="F871" s="228">
        <v>0</v>
      </c>
      <c r="G871" s="228">
        <v>0</v>
      </c>
      <c r="H871" s="228"/>
      <c r="I871" s="228"/>
      <c r="J871" s="228"/>
      <c r="K871" s="228"/>
      <c r="L871" s="228"/>
      <c r="M871" s="228"/>
      <c r="N871" s="228"/>
      <c r="O871" s="228"/>
      <c r="P871" s="228">
        <v>0</v>
      </c>
      <c r="Q871" s="228">
        <v>0</v>
      </c>
    </row>
    <row r="872" spans="2:17">
      <c r="C872" s="165">
        <v>5200</v>
      </c>
      <c r="D872" s="228"/>
      <c r="E872" s="228"/>
      <c r="F872" s="228">
        <v>0</v>
      </c>
      <c r="G872" s="228">
        <v>0</v>
      </c>
      <c r="H872" s="228"/>
      <c r="I872" s="228"/>
      <c r="J872" s="228"/>
      <c r="K872" s="228"/>
      <c r="L872" s="228"/>
      <c r="M872" s="228"/>
      <c r="N872" s="228"/>
      <c r="O872" s="228"/>
      <c r="P872" s="228">
        <v>0</v>
      </c>
      <c r="Q872" s="228">
        <v>0</v>
      </c>
    </row>
    <row r="873" spans="2:17">
      <c r="B873" s="165" t="s">
        <v>2132</v>
      </c>
      <c r="C873" s="165">
        <v>6700</v>
      </c>
      <c r="D873" s="228"/>
      <c r="E873" s="228"/>
      <c r="F873" s="228">
        <v>0</v>
      </c>
      <c r="G873" s="228">
        <v>0</v>
      </c>
      <c r="H873" s="228"/>
      <c r="I873" s="228"/>
      <c r="J873" s="228"/>
      <c r="K873" s="228"/>
      <c r="L873" s="228"/>
      <c r="M873" s="228"/>
      <c r="N873" s="228"/>
      <c r="O873" s="228"/>
      <c r="P873" s="228">
        <v>0</v>
      </c>
      <c r="Q873" s="228">
        <v>0</v>
      </c>
    </row>
    <row r="874" spans="2:17">
      <c r="C874" s="165">
        <v>7700</v>
      </c>
      <c r="D874" s="228"/>
      <c r="E874" s="228"/>
      <c r="F874" s="228"/>
      <c r="G874" s="228"/>
      <c r="H874" s="228">
        <v>3000</v>
      </c>
      <c r="I874" s="228">
        <v>23100000</v>
      </c>
      <c r="J874" s="228"/>
      <c r="K874" s="228"/>
      <c r="L874" s="228"/>
      <c r="M874" s="228"/>
      <c r="N874" s="228"/>
      <c r="O874" s="228"/>
      <c r="P874" s="228">
        <v>3000</v>
      </c>
      <c r="Q874" s="228">
        <v>23100000</v>
      </c>
    </row>
    <row r="875" spans="2:17">
      <c r="B875" s="165" t="s">
        <v>2136</v>
      </c>
      <c r="C875" s="165">
        <v>13000</v>
      </c>
      <c r="D875" s="228"/>
      <c r="E875" s="228"/>
      <c r="F875" s="228"/>
      <c r="G875" s="228"/>
      <c r="H875" s="228"/>
      <c r="I875" s="228"/>
      <c r="J875" s="228"/>
      <c r="K875" s="228"/>
      <c r="L875" s="228">
        <v>10000</v>
      </c>
      <c r="M875" s="228">
        <v>130000000</v>
      </c>
      <c r="N875" s="228"/>
      <c r="O875" s="228"/>
      <c r="P875" s="228">
        <v>10000</v>
      </c>
      <c r="Q875" s="228">
        <v>130000000</v>
      </c>
    </row>
    <row r="876" spans="2:17">
      <c r="B876" s="165" t="s">
        <v>2169</v>
      </c>
      <c r="C876" s="165">
        <v>5000</v>
      </c>
      <c r="D876" s="228"/>
      <c r="E876" s="228"/>
      <c r="F876" s="228"/>
      <c r="G876" s="228"/>
      <c r="H876" s="228">
        <v>4500</v>
      </c>
      <c r="I876" s="228">
        <v>22500000</v>
      </c>
      <c r="J876" s="228"/>
      <c r="K876" s="228"/>
      <c r="L876" s="228"/>
      <c r="M876" s="228"/>
      <c r="N876" s="228"/>
      <c r="O876" s="228"/>
      <c r="P876" s="228">
        <v>4500</v>
      </c>
      <c r="Q876" s="228">
        <v>22500000</v>
      </c>
    </row>
    <row r="877" spans="2:17">
      <c r="B877" s="165" t="s">
        <v>2171</v>
      </c>
      <c r="C877" s="165">
        <v>5500</v>
      </c>
      <c r="D877" s="228"/>
      <c r="E877" s="228"/>
      <c r="F877" s="228">
        <v>0</v>
      </c>
      <c r="G877" s="228">
        <v>0</v>
      </c>
      <c r="H877" s="228"/>
      <c r="I877" s="228"/>
      <c r="J877" s="228"/>
      <c r="K877" s="228"/>
      <c r="L877" s="228"/>
      <c r="M877" s="228"/>
      <c r="N877" s="228"/>
      <c r="O877" s="228"/>
      <c r="P877" s="228">
        <v>0</v>
      </c>
      <c r="Q877" s="228">
        <v>0</v>
      </c>
    </row>
    <row r="878" spans="2:17">
      <c r="B878" s="165" t="s">
        <v>2023</v>
      </c>
      <c r="C878" s="165">
        <v>10000</v>
      </c>
      <c r="D878" s="228"/>
      <c r="E878" s="228"/>
      <c r="F878" s="228"/>
      <c r="G878" s="228"/>
      <c r="H878" s="228"/>
      <c r="I878" s="228"/>
      <c r="J878" s="228"/>
      <c r="K878" s="228"/>
      <c r="L878" s="228">
        <v>10000</v>
      </c>
      <c r="M878" s="228">
        <v>100000000</v>
      </c>
      <c r="N878" s="228"/>
      <c r="O878" s="228"/>
      <c r="P878" s="228">
        <v>10000</v>
      </c>
      <c r="Q878" s="228">
        <v>100000000</v>
      </c>
    </row>
    <row r="879" spans="2:17">
      <c r="B879" s="165" t="s">
        <v>2175</v>
      </c>
      <c r="C879" s="165">
        <v>2800</v>
      </c>
      <c r="D879" s="228"/>
      <c r="E879" s="228"/>
      <c r="F879" s="228">
        <v>0</v>
      </c>
      <c r="G879" s="228">
        <v>0</v>
      </c>
      <c r="H879" s="228"/>
      <c r="I879" s="228"/>
      <c r="J879" s="228"/>
      <c r="K879" s="228"/>
      <c r="L879" s="228"/>
      <c r="M879" s="228"/>
      <c r="N879" s="228"/>
      <c r="O879" s="228"/>
      <c r="P879" s="228">
        <v>0</v>
      </c>
      <c r="Q879" s="228">
        <v>0</v>
      </c>
    </row>
    <row r="880" spans="2:17">
      <c r="B880" s="165" t="s">
        <v>2186</v>
      </c>
      <c r="C880" s="165">
        <v>2600</v>
      </c>
      <c r="D880" s="228"/>
      <c r="E880" s="228"/>
      <c r="F880" s="228">
        <v>0</v>
      </c>
      <c r="G880" s="228">
        <v>0</v>
      </c>
      <c r="H880" s="228"/>
      <c r="I880" s="228"/>
      <c r="J880" s="228"/>
      <c r="K880" s="228"/>
      <c r="L880" s="228"/>
      <c r="M880" s="228"/>
      <c r="N880" s="228"/>
      <c r="O880" s="228"/>
      <c r="P880" s="228">
        <v>0</v>
      </c>
      <c r="Q880" s="228">
        <v>0</v>
      </c>
    </row>
    <row r="881" spans="1:17">
      <c r="C881" s="165">
        <v>2900</v>
      </c>
      <c r="D881" s="228"/>
      <c r="E881" s="228"/>
      <c r="F881" s="228"/>
      <c r="G881" s="228"/>
      <c r="H881" s="228">
        <v>4000</v>
      </c>
      <c r="I881" s="228">
        <v>11600000</v>
      </c>
      <c r="J881" s="228"/>
      <c r="K881" s="228"/>
      <c r="L881" s="228"/>
      <c r="M881" s="228"/>
      <c r="N881" s="228"/>
      <c r="O881" s="228"/>
      <c r="P881" s="228">
        <v>4000</v>
      </c>
      <c r="Q881" s="228">
        <v>11600000</v>
      </c>
    </row>
    <row r="882" spans="1:17">
      <c r="B882" s="165" t="s">
        <v>2188</v>
      </c>
      <c r="C882" s="165">
        <v>3800</v>
      </c>
      <c r="D882" s="228"/>
      <c r="E882" s="228"/>
      <c r="F882" s="228">
        <v>0</v>
      </c>
      <c r="G882" s="228">
        <v>0</v>
      </c>
      <c r="H882" s="228"/>
      <c r="I882" s="228"/>
      <c r="J882" s="228"/>
      <c r="K882" s="228"/>
      <c r="L882" s="228"/>
      <c r="M882" s="228"/>
      <c r="N882" s="228"/>
      <c r="O882" s="228"/>
      <c r="P882" s="228">
        <v>0</v>
      </c>
      <c r="Q882" s="228">
        <v>0</v>
      </c>
    </row>
    <row r="883" spans="1:17">
      <c r="B883" s="165" t="s">
        <v>2191</v>
      </c>
      <c r="C883" s="165">
        <v>8400</v>
      </c>
      <c r="D883" s="228"/>
      <c r="E883" s="228"/>
      <c r="F883" s="228"/>
      <c r="G883" s="228"/>
      <c r="H883" s="228"/>
      <c r="I883" s="228"/>
      <c r="J883" s="228"/>
      <c r="K883" s="228"/>
      <c r="L883" s="228">
        <v>3000</v>
      </c>
      <c r="M883" s="228">
        <v>25200000</v>
      </c>
      <c r="N883" s="228"/>
      <c r="O883" s="228"/>
      <c r="P883" s="228">
        <v>3000</v>
      </c>
      <c r="Q883" s="228">
        <v>25200000</v>
      </c>
    </row>
    <row r="884" spans="1:17">
      <c r="A884" s="165" t="s">
        <v>2273</v>
      </c>
      <c r="B884" s="165"/>
      <c r="C884" s="165"/>
      <c r="D884" s="228"/>
      <c r="E884" s="228"/>
      <c r="F884" s="228">
        <v>0</v>
      </c>
      <c r="G884" s="228">
        <v>0</v>
      </c>
      <c r="H884" s="228">
        <v>16300</v>
      </c>
      <c r="I884" s="228">
        <v>71600000</v>
      </c>
      <c r="J884" s="228"/>
      <c r="K884" s="228"/>
      <c r="L884" s="228">
        <v>49200</v>
      </c>
      <c r="M884" s="228">
        <v>531290000</v>
      </c>
      <c r="N884" s="228"/>
      <c r="O884" s="228"/>
      <c r="P884" s="228">
        <v>65500</v>
      </c>
      <c r="Q884" s="228">
        <v>602890000</v>
      </c>
    </row>
    <row r="885" spans="1:17">
      <c r="A885" s="165" t="s">
        <v>145</v>
      </c>
      <c r="B885" s="165" t="s">
        <v>2060</v>
      </c>
      <c r="C885" s="165">
        <v>8000</v>
      </c>
      <c r="D885" s="228"/>
      <c r="E885" s="228"/>
      <c r="F885" s="228"/>
      <c r="G885" s="228"/>
      <c r="H885" s="228"/>
      <c r="I885" s="228"/>
      <c r="J885" s="228"/>
      <c r="K885" s="228"/>
      <c r="L885" s="228">
        <v>10050</v>
      </c>
      <c r="M885" s="228">
        <v>80400000</v>
      </c>
      <c r="N885" s="228"/>
      <c r="O885" s="228"/>
      <c r="P885" s="228">
        <v>10050</v>
      </c>
      <c r="Q885" s="228">
        <v>80400000</v>
      </c>
    </row>
    <row r="886" spans="1:17">
      <c r="B886" s="165" t="s">
        <v>2109</v>
      </c>
      <c r="C886" s="165">
        <v>8700</v>
      </c>
      <c r="D886" s="228"/>
      <c r="E886" s="228"/>
      <c r="F886" s="228">
        <v>0</v>
      </c>
      <c r="G886" s="228">
        <v>0</v>
      </c>
      <c r="H886" s="228"/>
      <c r="I886" s="228"/>
      <c r="J886" s="228"/>
      <c r="K886" s="228"/>
      <c r="L886" s="228"/>
      <c r="M886" s="228"/>
      <c r="N886" s="228"/>
      <c r="O886" s="228"/>
      <c r="P886" s="228">
        <v>0</v>
      </c>
      <c r="Q886" s="228">
        <v>0</v>
      </c>
    </row>
    <row r="887" spans="1:17">
      <c r="B887" s="165" t="s">
        <v>1872</v>
      </c>
      <c r="C887" s="165">
        <v>6528</v>
      </c>
      <c r="D887" s="228"/>
      <c r="E887" s="228"/>
      <c r="F887" s="228">
        <v>0</v>
      </c>
      <c r="G887" s="228">
        <v>0</v>
      </c>
      <c r="H887" s="228"/>
      <c r="I887" s="228"/>
      <c r="J887" s="228"/>
      <c r="K887" s="228"/>
      <c r="L887" s="228"/>
      <c r="M887" s="228"/>
      <c r="N887" s="228"/>
      <c r="O887" s="228"/>
      <c r="P887" s="228">
        <v>0</v>
      </c>
      <c r="Q887" s="228">
        <v>0</v>
      </c>
    </row>
    <row r="888" spans="1:17">
      <c r="C888" s="165">
        <v>7900</v>
      </c>
      <c r="D888" s="228">
        <v>0</v>
      </c>
      <c r="E888" s="228">
        <v>0</v>
      </c>
      <c r="F888" s="228">
        <v>0</v>
      </c>
      <c r="G888" s="228">
        <v>0</v>
      </c>
      <c r="H888" s="228"/>
      <c r="I888" s="228"/>
      <c r="J888" s="228"/>
      <c r="K888" s="228"/>
      <c r="L888" s="228"/>
      <c r="M888" s="228"/>
      <c r="N888" s="228"/>
      <c r="O888" s="228"/>
      <c r="P888" s="228">
        <v>0</v>
      </c>
      <c r="Q888" s="228">
        <v>0</v>
      </c>
    </row>
    <row r="889" spans="1:17">
      <c r="C889" s="165">
        <v>8000</v>
      </c>
      <c r="D889" s="228"/>
      <c r="E889" s="228"/>
      <c r="F889" s="228"/>
      <c r="G889" s="228"/>
      <c r="H889" s="228">
        <v>20100</v>
      </c>
      <c r="I889" s="228">
        <v>160800000</v>
      </c>
      <c r="J889" s="228"/>
      <c r="K889" s="228"/>
      <c r="L889" s="228"/>
      <c r="M889" s="228"/>
      <c r="N889" s="228"/>
      <c r="O889" s="228"/>
      <c r="P889" s="228">
        <v>20100</v>
      </c>
      <c r="Q889" s="228">
        <v>160800000</v>
      </c>
    </row>
    <row r="890" spans="1:17">
      <c r="B890" s="165" t="s">
        <v>2141</v>
      </c>
      <c r="C890" s="165">
        <v>9500</v>
      </c>
      <c r="D890" s="228"/>
      <c r="E890" s="228"/>
      <c r="F890" s="228"/>
      <c r="G890" s="228"/>
      <c r="H890" s="228"/>
      <c r="I890" s="228"/>
      <c r="J890" s="228"/>
      <c r="K890" s="228"/>
      <c r="L890" s="228">
        <v>20100</v>
      </c>
      <c r="M890" s="228">
        <v>190950000</v>
      </c>
      <c r="N890" s="228"/>
      <c r="O890" s="228"/>
      <c r="P890" s="228">
        <v>20100</v>
      </c>
      <c r="Q890" s="228">
        <v>190950000</v>
      </c>
    </row>
    <row r="891" spans="1:17">
      <c r="B891" s="165" t="s">
        <v>2142</v>
      </c>
      <c r="C891" s="165">
        <v>6000</v>
      </c>
      <c r="D891" s="228"/>
      <c r="E891" s="228"/>
      <c r="F891" s="228">
        <v>0</v>
      </c>
      <c r="G891" s="228">
        <v>0</v>
      </c>
      <c r="H891" s="228"/>
      <c r="I891" s="228"/>
      <c r="J891" s="228"/>
      <c r="K891" s="228"/>
      <c r="L891" s="228"/>
      <c r="M891" s="228"/>
      <c r="N891" s="228"/>
      <c r="O891" s="228"/>
      <c r="P891" s="228">
        <v>0</v>
      </c>
      <c r="Q891" s="228">
        <v>0</v>
      </c>
    </row>
    <row r="892" spans="1:17">
      <c r="B892" s="165" t="s">
        <v>2015</v>
      </c>
      <c r="C892" s="165">
        <v>10700</v>
      </c>
      <c r="D892" s="228"/>
      <c r="E892" s="228"/>
      <c r="F892" s="228"/>
      <c r="G892" s="228"/>
      <c r="H892" s="228"/>
      <c r="I892" s="228"/>
      <c r="J892" s="228"/>
      <c r="K892" s="228"/>
      <c r="L892" s="228">
        <v>30000</v>
      </c>
      <c r="M892" s="228">
        <v>321000000</v>
      </c>
      <c r="N892" s="228"/>
      <c r="O892" s="228"/>
      <c r="P892" s="228">
        <v>30000</v>
      </c>
      <c r="Q892" s="228">
        <v>321000000</v>
      </c>
    </row>
    <row r="893" spans="1:17">
      <c r="B893" s="165" t="s">
        <v>2188</v>
      </c>
      <c r="C893" s="165">
        <v>3900</v>
      </c>
      <c r="D893" s="228"/>
      <c r="E893" s="228"/>
      <c r="F893" s="228">
        <v>0</v>
      </c>
      <c r="G893" s="228">
        <v>0</v>
      </c>
      <c r="H893" s="228"/>
      <c r="I893" s="228"/>
      <c r="J893" s="228"/>
      <c r="K893" s="228"/>
      <c r="L893" s="228"/>
      <c r="M893" s="228"/>
      <c r="N893" s="228"/>
      <c r="O893" s="228"/>
      <c r="P893" s="228">
        <v>0</v>
      </c>
      <c r="Q893" s="228">
        <v>0</v>
      </c>
    </row>
    <row r="894" spans="1:17">
      <c r="C894" s="165">
        <v>3914</v>
      </c>
      <c r="D894" s="228"/>
      <c r="E894" s="228"/>
      <c r="F894" s="228">
        <v>0</v>
      </c>
      <c r="G894" s="228">
        <v>0</v>
      </c>
      <c r="H894" s="228"/>
      <c r="I894" s="228"/>
      <c r="J894" s="228"/>
      <c r="K894" s="228"/>
      <c r="L894" s="228"/>
      <c r="M894" s="228"/>
      <c r="N894" s="228"/>
      <c r="O894" s="228"/>
      <c r="P894" s="228">
        <v>0</v>
      </c>
      <c r="Q894" s="228">
        <v>0</v>
      </c>
    </row>
    <row r="895" spans="1:17">
      <c r="B895" s="165" t="s">
        <v>2190</v>
      </c>
      <c r="C895" s="165">
        <v>5000</v>
      </c>
      <c r="D895" s="228"/>
      <c r="E895" s="228"/>
      <c r="F895" s="228">
        <v>0</v>
      </c>
      <c r="G895" s="228">
        <v>0</v>
      </c>
      <c r="H895" s="228"/>
      <c r="I895" s="228"/>
      <c r="J895" s="228"/>
      <c r="K895" s="228"/>
      <c r="L895" s="228"/>
      <c r="M895" s="228"/>
      <c r="N895" s="228"/>
      <c r="O895" s="228"/>
      <c r="P895" s="228">
        <v>0</v>
      </c>
      <c r="Q895" s="228">
        <v>0</v>
      </c>
    </row>
    <row r="896" spans="1:17">
      <c r="A896" s="165" t="s">
        <v>2274</v>
      </c>
      <c r="B896" s="165"/>
      <c r="C896" s="165"/>
      <c r="D896" s="228">
        <v>0</v>
      </c>
      <c r="E896" s="228">
        <v>0</v>
      </c>
      <c r="F896" s="228">
        <v>0</v>
      </c>
      <c r="G896" s="228">
        <v>0</v>
      </c>
      <c r="H896" s="228">
        <v>20100</v>
      </c>
      <c r="I896" s="228">
        <v>160800000</v>
      </c>
      <c r="J896" s="228"/>
      <c r="K896" s="228"/>
      <c r="L896" s="228">
        <v>60150</v>
      </c>
      <c r="M896" s="228">
        <v>592350000</v>
      </c>
      <c r="N896" s="228"/>
      <c r="O896" s="228"/>
      <c r="P896" s="228">
        <v>80250</v>
      </c>
      <c r="Q896" s="228">
        <v>753150000</v>
      </c>
    </row>
    <row r="897" spans="1:17">
      <c r="A897" s="165" t="s">
        <v>158</v>
      </c>
      <c r="B897" s="165" t="s">
        <v>2038</v>
      </c>
      <c r="C897" s="165">
        <v>4400</v>
      </c>
      <c r="D897" s="228"/>
      <c r="E897" s="228"/>
      <c r="F897" s="228">
        <v>0</v>
      </c>
      <c r="G897" s="228">
        <v>0</v>
      </c>
      <c r="H897" s="228"/>
      <c r="I897" s="228"/>
      <c r="J897" s="228"/>
      <c r="K897" s="228"/>
      <c r="L897" s="228"/>
      <c r="M897" s="228"/>
      <c r="N897" s="228"/>
      <c r="O897" s="228"/>
      <c r="P897" s="228">
        <v>0</v>
      </c>
      <c r="Q897" s="228">
        <v>0</v>
      </c>
    </row>
    <row r="898" spans="1:17">
      <c r="B898" s="165" t="s">
        <v>2039</v>
      </c>
      <c r="C898" s="165">
        <v>6300</v>
      </c>
      <c r="D898" s="228"/>
      <c r="E898" s="228"/>
      <c r="F898" s="228">
        <v>0</v>
      </c>
      <c r="G898" s="228">
        <v>0</v>
      </c>
      <c r="H898" s="228"/>
      <c r="I898" s="228"/>
      <c r="J898" s="228"/>
      <c r="K898" s="228"/>
      <c r="L898" s="228"/>
      <c r="M898" s="228"/>
      <c r="N898" s="228"/>
      <c r="O898" s="228"/>
      <c r="P898" s="228">
        <v>0</v>
      </c>
      <c r="Q898" s="228">
        <v>0</v>
      </c>
    </row>
    <row r="899" spans="1:17">
      <c r="B899" s="165" t="s">
        <v>2067</v>
      </c>
      <c r="C899" s="165">
        <v>5400</v>
      </c>
      <c r="D899" s="228"/>
      <c r="E899" s="228"/>
      <c r="F899" s="228">
        <v>0</v>
      </c>
      <c r="G899" s="228">
        <v>0</v>
      </c>
      <c r="H899" s="228"/>
      <c r="I899" s="228"/>
      <c r="J899" s="228"/>
      <c r="K899" s="228"/>
      <c r="L899" s="228"/>
      <c r="M899" s="228"/>
      <c r="N899" s="228"/>
      <c r="O899" s="228"/>
      <c r="P899" s="228">
        <v>0</v>
      </c>
      <c r="Q899" s="228">
        <v>0</v>
      </c>
    </row>
    <row r="900" spans="1:17">
      <c r="B900" s="165" t="s">
        <v>2091</v>
      </c>
      <c r="C900" s="165">
        <v>5800</v>
      </c>
      <c r="D900" s="228"/>
      <c r="E900" s="228"/>
      <c r="F900" s="228"/>
      <c r="G900" s="228"/>
      <c r="H900" s="228"/>
      <c r="I900" s="228"/>
      <c r="J900" s="228">
        <v>6000</v>
      </c>
      <c r="K900" s="228">
        <v>34800000</v>
      </c>
      <c r="L900" s="228"/>
      <c r="M900" s="228"/>
      <c r="N900" s="228"/>
      <c r="O900" s="228"/>
      <c r="P900" s="228">
        <v>6000</v>
      </c>
      <c r="Q900" s="228">
        <v>34800000</v>
      </c>
    </row>
    <row r="901" spans="1:17">
      <c r="B901" s="165" t="s">
        <v>2100</v>
      </c>
      <c r="C901" s="165">
        <v>5400</v>
      </c>
      <c r="D901" s="228"/>
      <c r="E901" s="228"/>
      <c r="F901" s="228"/>
      <c r="G901" s="228"/>
      <c r="H901" s="228"/>
      <c r="I901" s="228"/>
      <c r="J901" s="228">
        <v>2000</v>
      </c>
      <c r="K901" s="228">
        <v>10800000</v>
      </c>
      <c r="L901" s="228"/>
      <c r="M901" s="228"/>
      <c r="N901" s="228"/>
      <c r="O901" s="228"/>
      <c r="P901" s="228">
        <v>2000</v>
      </c>
      <c r="Q901" s="228">
        <v>10800000</v>
      </c>
    </row>
    <row r="902" spans="1:17">
      <c r="B902" s="165" t="s">
        <v>2106</v>
      </c>
      <c r="C902" s="165">
        <v>15400</v>
      </c>
      <c r="D902" s="228">
        <v>0</v>
      </c>
      <c r="E902" s="228">
        <v>0</v>
      </c>
      <c r="F902" s="228"/>
      <c r="G902" s="228"/>
      <c r="H902" s="228"/>
      <c r="I902" s="228"/>
      <c r="J902" s="228"/>
      <c r="K902" s="228"/>
      <c r="L902" s="228"/>
      <c r="M902" s="228"/>
      <c r="N902" s="228"/>
      <c r="O902" s="228"/>
      <c r="P902" s="228">
        <v>0</v>
      </c>
      <c r="Q902" s="228">
        <v>0</v>
      </c>
    </row>
    <row r="903" spans="1:17">
      <c r="B903" s="165" t="s">
        <v>2107</v>
      </c>
      <c r="C903" s="165">
        <v>16000</v>
      </c>
      <c r="D903" s="228"/>
      <c r="E903" s="228"/>
      <c r="F903" s="228"/>
      <c r="G903" s="228"/>
      <c r="H903" s="228"/>
      <c r="I903" s="228"/>
      <c r="J903" s="228"/>
      <c r="K903" s="228"/>
      <c r="L903" s="228">
        <v>12000</v>
      </c>
      <c r="M903" s="228">
        <v>192000000</v>
      </c>
      <c r="N903" s="228"/>
      <c r="O903" s="228"/>
      <c r="P903" s="228">
        <v>12000</v>
      </c>
      <c r="Q903" s="228">
        <v>192000000</v>
      </c>
    </row>
    <row r="904" spans="1:17">
      <c r="C904" s="165">
        <v>16200</v>
      </c>
      <c r="D904" s="228"/>
      <c r="E904" s="228"/>
      <c r="F904" s="228"/>
      <c r="G904" s="228"/>
      <c r="H904" s="228"/>
      <c r="I904" s="228"/>
      <c r="J904" s="228"/>
      <c r="K904" s="228"/>
      <c r="L904" s="228">
        <v>7500</v>
      </c>
      <c r="M904" s="228">
        <v>121500000</v>
      </c>
      <c r="N904" s="228"/>
      <c r="O904" s="228"/>
      <c r="P904" s="228">
        <v>7500</v>
      </c>
      <c r="Q904" s="228">
        <v>121500000</v>
      </c>
    </row>
    <row r="905" spans="1:17">
      <c r="B905" s="165" t="s">
        <v>2125</v>
      </c>
      <c r="C905" s="165">
        <v>3000</v>
      </c>
      <c r="D905" s="228"/>
      <c r="E905" s="228"/>
      <c r="F905" s="228"/>
      <c r="G905" s="228"/>
      <c r="H905" s="228"/>
      <c r="I905" s="228"/>
      <c r="J905" s="228"/>
      <c r="K905" s="228"/>
      <c r="L905" s="228">
        <v>24000</v>
      </c>
      <c r="M905" s="228">
        <v>72000000</v>
      </c>
      <c r="N905" s="228"/>
      <c r="O905" s="228"/>
      <c r="P905" s="228">
        <v>24000</v>
      </c>
      <c r="Q905" s="228">
        <v>72000000</v>
      </c>
    </row>
    <row r="906" spans="1:17">
      <c r="B906" s="165" t="s">
        <v>2135</v>
      </c>
      <c r="C906" s="165">
        <v>13500</v>
      </c>
      <c r="D906" s="228"/>
      <c r="E906" s="228"/>
      <c r="F906" s="228"/>
      <c r="G906" s="228"/>
      <c r="H906" s="228"/>
      <c r="I906" s="228"/>
      <c r="J906" s="228"/>
      <c r="K906" s="228"/>
      <c r="L906" s="228">
        <v>10000</v>
      </c>
      <c r="M906" s="228">
        <v>135000000</v>
      </c>
      <c r="N906" s="228"/>
      <c r="O906" s="228"/>
      <c r="P906" s="228">
        <v>10000</v>
      </c>
      <c r="Q906" s="228">
        <v>135000000</v>
      </c>
    </row>
    <row r="907" spans="1:17">
      <c r="B907" s="165" t="s">
        <v>2153</v>
      </c>
      <c r="C907" s="165">
        <v>5270</v>
      </c>
      <c r="D907" s="228"/>
      <c r="E907" s="228"/>
      <c r="F907" s="228"/>
      <c r="G907" s="228"/>
      <c r="H907" s="228"/>
      <c r="I907" s="228"/>
      <c r="J907" s="228">
        <v>2000</v>
      </c>
      <c r="K907" s="228">
        <v>10540000</v>
      </c>
      <c r="L907" s="228"/>
      <c r="M907" s="228"/>
      <c r="N907" s="228"/>
      <c r="O907" s="228"/>
      <c r="P907" s="228">
        <v>2000</v>
      </c>
      <c r="Q907" s="228">
        <v>10540000</v>
      </c>
    </row>
    <row r="908" spans="1:17">
      <c r="B908" s="165" t="s">
        <v>2169</v>
      </c>
      <c r="C908" s="165">
        <v>4900</v>
      </c>
      <c r="D908" s="228"/>
      <c r="E908" s="228"/>
      <c r="F908" s="228"/>
      <c r="G908" s="228"/>
      <c r="H908" s="228">
        <v>6000</v>
      </c>
      <c r="I908" s="228">
        <v>29400000</v>
      </c>
      <c r="J908" s="228"/>
      <c r="K908" s="228"/>
      <c r="L908" s="228"/>
      <c r="M908" s="228"/>
      <c r="N908" s="228"/>
      <c r="O908" s="228"/>
      <c r="P908" s="228">
        <v>6000</v>
      </c>
      <c r="Q908" s="228">
        <v>29400000</v>
      </c>
    </row>
    <row r="909" spans="1:17">
      <c r="B909" s="165" t="s">
        <v>2194</v>
      </c>
      <c r="C909" s="165">
        <v>6000</v>
      </c>
      <c r="D909" s="228"/>
      <c r="E909" s="228"/>
      <c r="F909" s="228">
        <v>0</v>
      </c>
      <c r="G909" s="228">
        <v>0</v>
      </c>
      <c r="H909" s="228"/>
      <c r="I909" s="228"/>
      <c r="J909" s="228"/>
      <c r="K909" s="228"/>
      <c r="L909" s="228"/>
      <c r="M909" s="228"/>
      <c r="N909" s="228"/>
      <c r="O909" s="228"/>
      <c r="P909" s="228">
        <v>0</v>
      </c>
      <c r="Q909" s="228">
        <v>0</v>
      </c>
    </row>
    <row r="910" spans="1:17">
      <c r="A910" s="165" t="s">
        <v>2275</v>
      </c>
      <c r="B910" s="165"/>
      <c r="C910" s="165"/>
      <c r="D910" s="228">
        <v>0</v>
      </c>
      <c r="E910" s="228">
        <v>0</v>
      </c>
      <c r="F910" s="228">
        <v>0</v>
      </c>
      <c r="G910" s="228">
        <v>0</v>
      </c>
      <c r="H910" s="228">
        <v>6000</v>
      </c>
      <c r="I910" s="228">
        <v>29400000</v>
      </c>
      <c r="J910" s="228">
        <v>10000</v>
      </c>
      <c r="K910" s="228">
        <v>56140000</v>
      </c>
      <c r="L910" s="228">
        <v>53500</v>
      </c>
      <c r="M910" s="228">
        <v>520500000</v>
      </c>
      <c r="N910" s="228"/>
      <c r="O910" s="228"/>
      <c r="P910" s="228">
        <v>69500</v>
      </c>
      <c r="Q910" s="228">
        <v>606040000</v>
      </c>
    </row>
    <row r="911" spans="1:17">
      <c r="A911" s="165" t="s">
        <v>188</v>
      </c>
      <c r="B911" s="165" t="s">
        <v>2026</v>
      </c>
      <c r="C911" s="165">
        <v>5000</v>
      </c>
      <c r="D911" s="228"/>
      <c r="E911" s="228"/>
      <c r="F911" s="228">
        <v>0</v>
      </c>
      <c r="G911" s="228">
        <v>0</v>
      </c>
      <c r="H911" s="228"/>
      <c r="I911" s="228"/>
      <c r="J911" s="228"/>
      <c r="K911" s="228"/>
      <c r="L911" s="228"/>
      <c r="M911" s="228"/>
      <c r="N911" s="228"/>
      <c r="O911" s="228"/>
      <c r="P911" s="228">
        <v>0</v>
      </c>
      <c r="Q911" s="228">
        <v>0</v>
      </c>
    </row>
    <row r="912" spans="1:17">
      <c r="B912" s="165" t="s">
        <v>2041</v>
      </c>
      <c r="C912" s="165">
        <v>13000</v>
      </c>
      <c r="D912" s="228"/>
      <c r="E912" s="228"/>
      <c r="F912" s="228"/>
      <c r="G912" s="228"/>
      <c r="H912" s="228"/>
      <c r="I912" s="228"/>
      <c r="J912" s="228"/>
      <c r="K912" s="228"/>
      <c r="L912" s="228">
        <v>10000</v>
      </c>
      <c r="M912" s="228">
        <v>130000000</v>
      </c>
      <c r="N912" s="228"/>
      <c r="O912" s="228"/>
      <c r="P912" s="228">
        <v>10000</v>
      </c>
      <c r="Q912" s="228">
        <v>130000000</v>
      </c>
    </row>
    <row r="913" spans="2:17">
      <c r="B913" s="165" t="s">
        <v>2008</v>
      </c>
      <c r="C913" s="165">
        <v>5000</v>
      </c>
      <c r="D913" s="228"/>
      <c r="E913" s="228"/>
      <c r="F913" s="228">
        <v>0</v>
      </c>
      <c r="G913" s="228">
        <v>0</v>
      </c>
      <c r="H913" s="228"/>
      <c r="I913" s="228"/>
      <c r="J913" s="228"/>
      <c r="K913" s="228"/>
      <c r="L913" s="228"/>
      <c r="M913" s="228"/>
      <c r="N913" s="228"/>
      <c r="O913" s="228"/>
      <c r="P913" s="228">
        <v>0</v>
      </c>
      <c r="Q913" s="228">
        <v>0</v>
      </c>
    </row>
    <row r="914" spans="2:17">
      <c r="B914" s="165" t="s">
        <v>2060</v>
      </c>
      <c r="C914" s="165">
        <v>7200</v>
      </c>
      <c r="D914" s="228"/>
      <c r="E914" s="228"/>
      <c r="F914" s="228"/>
      <c r="G914" s="228"/>
      <c r="H914" s="228"/>
      <c r="I914" s="228"/>
      <c r="J914" s="228"/>
      <c r="K914" s="228"/>
      <c r="L914" s="228">
        <v>40050</v>
      </c>
      <c r="M914" s="228">
        <v>288360000</v>
      </c>
      <c r="N914" s="228"/>
      <c r="O914" s="228"/>
      <c r="P914" s="228">
        <v>40050</v>
      </c>
      <c r="Q914" s="228">
        <v>288360000</v>
      </c>
    </row>
    <row r="915" spans="2:17">
      <c r="B915" s="165" t="s">
        <v>2011</v>
      </c>
      <c r="C915" s="165">
        <v>10600</v>
      </c>
      <c r="D915" s="228"/>
      <c r="E915" s="228"/>
      <c r="F915" s="228"/>
      <c r="G915" s="228"/>
      <c r="H915" s="228"/>
      <c r="I915" s="228"/>
      <c r="J915" s="228"/>
      <c r="K915" s="228"/>
      <c r="L915" s="228">
        <v>25000</v>
      </c>
      <c r="M915" s="228">
        <v>265000000</v>
      </c>
      <c r="N915" s="228"/>
      <c r="O915" s="228"/>
      <c r="P915" s="228">
        <v>25000</v>
      </c>
      <c r="Q915" s="228">
        <v>265000000</v>
      </c>
    </row>
    <row r="916" spans="2:17">
      <c r="B916" s="165" t="s">
        <v>2063</v>
      </c>
      <c r="C916" s="165">
        <v>12500</v>
      </c>
      <c r="D916" s="228"/>
      <c r="E916" s="228"/>
      <c r="F916" s="228"/>
      <c r="G916" s="228"/>
      <c r="H916" s="228"/>
      <c r="I916" s="228"/>
      <c r="J916" s="228"/>
      <c r="K916" s="228"/>
      <c r="L916" s="228">
        <v>10000</v>
      </c>
      <c r="M916" s="228">
        <v>125000000</v>
      </c>
      <c r="N916" s="228"/>
      <c r="O916" s="228"/>
      <c r="P916" s="228">
        <v>10000</v>
      </c>
      <c r="Q916" s="228">
        <v>125000000</v>
      </c>
    </row>
    <row r="917" spans="2:17">
      <c r="B917" s="165" t="s">
        <v>2067</v>
      </c>
      <c r="C917" s="165">
        <v>5400</v>
      </c>
      <c r="D917" s="228"/>
      <c r="E917" s="228"/>
      <c r="F917" s="228">
        <v>0</v>
      </c>
      <c r="G917" s="228">
        <v>0</v>
      </c>
      <c r="H917" s="228"/>
      <c r="I917" s="228"/>
      <c r="J917" s="228"/>
      <c r="K917" s="228"/>
      <c r="L917" s="228"/>
      <c r="M917" s="228"/>
      <c r="N917" s="228"/>
      <c r="O917" s="228"/>
      <c r="P917" s="228">
        <v>0</v>
      </c>
      <c r="Q917" s="228">
        <v>0</v>
      </c>
    </row>
    <row r="918" spans="2:17">
      <c r="C918" s="165">
        <v>5500</v>
      </c>
      <c r="D918" s="228"/>
      <c r="E918" s="228"/>
      <c r="F918" s="228">
        <v>0</v>
      </c>
      <c r="G918" s="228">
        <v>0</v>
      </c>
      <c r="H918" s="228"/>
      <c r="I918" s="228"/>
      <c r="J918" s="228">
        <v>10200</v>
      </c>
      <c r="K918" s="228">
        <v>56100000</v>
      </c>
      <c r="L918" s="228"/>
      <c r="M918" s="228"/>
      <c r="N918" s="228"/>
      <c r="O918" s="228"/>
      <c r="P918" s="228">
        <v>10200</v>
      </c>
      <c r="Q918" s="228">
        <v>56100000</v>
      </c>
    </row>
    <row r="919" spans="2:17">
      <c r="C919" s="165">
        <v>5600</v>
      </c>
      <c r="D919" s="228"/>
      <c r="E919" s="228"/>
      <c r="F919" s="228"/>
      <c r="G919" s="228"/>
      <c r="H919" s="228">
        <v>9600</v>
      </c>
      <c r="I919" s="228">
        <v>53760000</v>
      </c>
      <c r="J919" s="228"/>
      <c r="K919" s="228"/>
      <c r="L919" s="228"/>
      <c r="M919" s="228"/>
      <c r="N919" s="228"/>
      <c r="O919" s="228"/>
      <c r="P919" s="228">
        <v>9600</v>
      </c>
      <c r="Q919" s="228">
        <v>53760000</v>
      </c>
    </row>
    <row r="920" spans="2:17">
      <c r="B920" s="165" t="s">
        <v>2068</v>
      </c>
      <c r="C920" s="165">
        <v>6700</v>
      </c>
      <c r="D920" s="228"/>
      <c r="E920" s="228"/>
      <c r="F920" s="228">
        <v>0</v>
      </c>
      <c r="G920" s="228">
        <v>0</v>
      </c>
      <c r="H920" s="228"/>
      <c r="I920" s="228"/>
      <c r="J920" s="228"/>
      <c r="K920" s="228"/>
      <c r="L920" s="228"/>
      <c r="M920" s="228"/>
      <c r="N920" s="228"/>
      <c r="O920" s="228"/>
      <c r="P920" s="228">
        <v>0</v>
      </c>
      <c r="Q920" s="228">
        <v>0</v>
      </c>
    </row>
    <row r="921" spans="2:17">
      <c r="B921" s="165" t="s">
        <v>2069</v>
      </c>
      <c r="C921" s="165">
        <v>14200</v>
      </c>
      <c r="D921" s="228"/>
      <c r="E921" s="228"/>
      <c r="F921" s="228"/>
      <c r="G921" s="228"/>
      <c r="H921" s="228"/>
      <c r="I921" s="228"/>
      <c r="J921" s="228"/>
      <c r="K921" s="228"/>
      <c r="L921" s="228">
        <v>15000</v>
      </c>
      <c r="M921" s="228">
        <v>213000000</v>
      </c>
      <c r="N921" s="228"/>
      <c r="O921" s="228"/>
      <c r="P921" s="228">
        <v>15000</v>
      </c>
      <c r="Q921" s="228">
        <v>213000000</v>
      </c>
    </row>
    <row r="922" spans="2:17">
      <c r="B922" s="165" t="s">
        <v>2091</v>
      </c>
      <c r="C922" s="165">
        <v>5500</v>
      </c>
      <c r="D922" s="228"/>
      <c r="E922" s="228"/>
      <c r="F922" s="228"/>
      <c r="G922" s="228"/>
      <c r="H922" s="228"/>
      <c r="I922" s="228"/>
      <c r="J922" s="228"/>
      <c r="K922" s="228"/>
      <c r="L922" s="228">
        <v>10000</v>
      </c>
      <c r="M922" s="228">
        <v>55000000</v>
      </c>
      <c r="N922" s="228"/>
      <c r="O922" s="228"/>
      <c r="P922" s="228">
        <v>10000</v>
      </c>
      <c r="Q922" s="228">
        <v>55000000</v>
      </c>
    </row>
    <row r="923" spans="2:17">
      <c r="C923" s="165">
        <v>5600</v>
      </c>
      <c r="D923" s="228"/>
      <c r="E923" s="228"/>
      <c r="F923" s="228">
        <v>0</v>
      </c>
      <c r="G923" s="228">
        <v>0</v>
      </c>
      <c r="H923" s="228"/>
      <c r="I923" s="228"/>
      <c r="J923" s="228"/>
      <c r="K923" s="228"/>
      <c r="L923" s="228"/>
      <c r="M923" s="228"/>
      <c r="N923" s="228"/>
      <c r="O923" s="228"/>
      <c r="P923" s="228">
        <v>0</v>
      </c>
      <c r="Q923" s="228">
        <v>0</v>
      </c>
    </row>
    <row r="924" spans="2:17">
      <c r="B924" s="165" t="s">
        <v>2098</v>
      </c>
      <c r="C924" s="165">
        <v>4500</v>
      </c>
      <c r="D924" s="228"/>
      <c r="E924" s="228"/>
      <c r="F924" s="228"/>
      <c r="G924" s="228"/>
      <c r="H924" s="228">
        <v>9600</v>
      </c>
      <c r="I924" s="228">
        <v>43200000</v>
      </c>
      <c r="J924" s="228"/>
      <c r="K924" s="228"/>
      <c r="L924" s="228"/>
      <c r="M924" s="228"/>
      <c r="N924" s="228"/>
      <c r="O924" s="228"/>
      <c r="P924" s="228">
        <v>9600</v>
      </c>
      <c r="Q924" s="228">
        <v>43200000</v>
      </c>
    </row>
    <row r="925" spans="2:17">
      <c r="B925" s="165" t="s">
        <v>2100</v>
      </c>
      <c r="C925" s="165">
        <v>5300</v>
      </c>
      <c r="D925" s="228"/>
      <c r="E925" s="228"/>
      <c r="F925" s="228">
        <v>0</v>
      </c>
      <c r="G925" s="228">
        <v>0</v>
      </c>
      <c r="H925" s="228"/>
      <c r="I925" s="228"/>
      <c r="J925" s="228"/>
      <c r="K925" s="228"/>
      <c r="L925" s="228"/>
      <c r="M925" s="228"/>
      <c r="N925" s="228"/>
      <c r="O925" s="228"/>
      <c r="P925" s="228">
        <v>0</v>
      </c>
      <c r="Q925" s="228">
        <v>0</v>
      </c>
    </row>
    <row r="926" spans="2:17">
      <c r="B926" s="165" t="s">
        <v>2104</v>
      </c>
      <c r="C926" s="165">
        <v>7000</v>
      </c>
      <c r="D926" s="228"/>
      <c r="E926" s="228"/>
      <c r="F926" s="228"/>
      <c r="G926" s="228"/>
      <c r="H926" s="228">
        <v>15000</v>
      </c>
      <c r="I926" s="228">
        <v>105000000</v>
      </c>
      <c r="J926" s="228"/>
      <c r="K926" s="228"/>
      <c r="L926" s="228"/>
      <c r="M926" s="228"/>
      <c r="N926" s="228"/>
      <c r="O926" s="228"/>
      <c r="P926" s="228">
        <v>15000</v>
      </c>
      <c r="Q926" s="228">
        <v>105000000</v>
      </c>
    </row>
    <row r="927" spans="2:17">
      <c r="B927" s="165" t="s">
        <v>2120</v>
      </c>
      <c r="C927" s="165">
        <v>4700</v>
      </c>
      <c r="D927" s="228"/>
      <c r="E927" s="228"/>
      <c r="F927" s="228"/>
      <c r="G927" s="228"/>
      <c r="H927" s="228"/>
      <c r="I927" s="228"/>
      <c r="J927" s="228">
        <v>8250</v>
      </c>
      <c r="K927" s="228">
        <v>38775000</v>
      </c>
      <c r="L927" s="228"/>
      <c r="M927" s="228"/>
      <c r="N927" s="228"/>
      <c r="O927" s="228"/>
      <c r="P927" s="228">
        <v>8250</v>
      </c>
      <c r="Q927" s="228">
        <v>38775000</v>
      </c>
    </row>
    <row r="928" spans="2:17">
      <c r="B928" s="165" t="s">
        <v>2122</v>
      </c>
      <c r="C928" s="165">
        <v>6200</v>
      </c>
      <c r="D928" s="228"/>
      <c r="E928" s="228"/>
      <c r="F928" s="228"/>
      <c r="G928" s="228"/>
      <c r="H928" s="228"/>
      <c r="I928" s="228"/>
      <c r="J928" s="228">
        <v>1250</v>
      </c>
      <c r="K928" s="228">
        <v>7750000</v>
      </c>
      <c r="L928" s="228"/>
      <c r="M928" s="228"/>
      <c r="N928" s="228"/>
      <c r="O928" s="228"/>
      <c r="P928" s="228">
        <v>1250</v>
      </c>
      <c r="Q928" s="228">
        <v>7750000</v>
      </c>
    </row>
    <row r="929" spans="2:17">
      <c r="B929" s="165" t="s">
        <v>2129</v>
      </c>
      <c r="C929" s="165">
        <v>5000</v>
      </c>
      <c r="D929" s="228"/>
      <c r="E929" s="228"/>
      <c r="F929" s="228"/>
      <c r="G929" s="228"/>
      <c r="H929" s="228"/>
      <c r="I929" s="228"/>
      <c r="J929" s="228">
        <v>2200</v>
      </c>
      <c r="K929" s="228">
        <v>11000000</v>
      </c>
      <c r="L929" s="228"/>
      <c r="M929" s="228"/>
      <c r="N929" s="228"/>
      <c r="O929" s="228"/>
      <c r="P929" s="228">
        <v>2200</v>
      </c>
      <c r="Q929" s="228">
        <v>11000000</v>
      </c>
    </row>
    <row r="930" spans="2:17">
      <c r="B930" s="165" t="s">
        <v>2132</v>
      </c>
      <c r="C930" s="165">
        <v>6700</v>
      </c>
      <c r="D930" s="228"/>
      <c r="E930" s="228"/>
      <c r="F930" s="228">
        <v>0</v>
      </c>
      <c r="G930" s="228">
        <v>0</v>
      </c>
      <c r="H930" s="228"/>
      <c r="I930" s="228"/>
      <c r="J930" s="228"/>
      <c r="K930" s="228"/>
      <c r="L930" s="228"/>
      <c r="M930" s="228"/>
      <c r="N930" s="228"/>
      <c r="O930" s="228"/>
      <c r="P930" s="228">
        <v>0</v>
      </c>
      <c r="Q930" s="228">
        <v>0</v>
      </c>
    </row>
    <row r="931" spans="2:17">
      <c r="C931" s="165">
        <v>7700</v>
      </c>
      <c r="D931" s="228"/>
      <c r="E931" s="228"/>
      <c r="F931" s="228"/>
      <c r="G931" s="228"/>
      <c r="H931" s="228">
        <v>20000</v>
      </c>
      <c r="I931" s="228">
        <v>154000000</v>
      </c>
      <c r="J931" s="228"/>
      <c r="K931" s="228"/>
      <c r="L931" s="228"/>
      <c r="M931" s="228"/>
      <c r="N931" s="228"/>
      <c r="O931" s="228"/>
      <c r="P931" s="228">
        <v>20000</v>
      </c>
      <c r="Q931" s="228">
        <v>154000000</v>
      </c>
    </row>
    <row r="932" spans="2:17">
      <c r="B932" s="165" t="s">
        <v>2009</v>
      </c>
      <c r="C932" s="165">
        <v>4800</v>
      </c>
      <c r="D932" s="228"/>
      <c r="E932" s="228"/>
      <c r="F932" s="228">
        <v>0</v>
      </c>
      <c r="G932" s="228">
        <v>0</v>
      </c>
      <c r="H932" s="228"/>
      <c r="I932" s="228"/>
      <c r="J932" s="228"/>
      <c r="K932" s="228"/>
      <c r="L932" s="228"/>
      <c r="M932" s="228"/>
      <c r="N932" s="228"/>
      <c r="O932" s="228"/>
      <c r="P932" s="228">
        <v>0</v>
      </c>
      <c r="Q932" s="228">
        <v>0</v>
      </c>
    </row>
    <row r="933" spans="2:17">
      <c r="C933" s="165">
        <v>5400</v>
      </c>
      <c r="D933" s="228"/>
      <c r="E933" s="228"/>
      <c r="F933" s="228">
        <v>0</v>
      </c>
      <c r="G933" s="228">
        <v>0</v>
      </c>
      <c r="H933" s="228"/>
      <c r="I933" s="228"/>
      <c r="J933" s="228"/>
      <c r="K933" s="228"/>
      <c r="L933" s="228"/>
      <c r="M933" s="228"/>
      <c r="N933" s="228"/>
      <c r="O933" s="228"/>
      <c r="P933" s="228">
        <v>0</v>
      </c>
      <c r="Q933" s="228">
        <v>0</v>
      </c>
    </row>
    <row r="934" spans="2:17">
      <c r="C934" s="165">
        <v>5500</v>
      </c>
      <c r="D934" s="228">
        <v>0</v>
      </c>
      <c r="E934" s="228">
        <v>0</v>
      </c>
      <c r="F934" s="228">
        <v>0</v>
      </c>
      <c r="G934" s="228">
        <v>0</v>
      </c>
      <c r="H934" s="228">
        <v>15000</v>
      </c>
      <c r="I934" s="228">
        <v>82500000</v>
      </c>
      <c r="J934" s="228"/>
      <c r="K934" s="228"/>
      <c r="L934" s="228"/>
      <c r="M934" s="228"/>
      <c r="N934" s="228"/>
      <c r="O934" s="228"/>
      <c r="P934" s="228">
        <v>15000</v>
      </c>
      <c r="Q934" s="228">
        <v>82500000</v>
      </c>
    </row>
    <row r="935" spans="2:17">
      <c r="C935" s="165">
        <v>5600</v>
      </c>
      <c r="D935" s="228"/>
      <c r="E935" s="228"/>
      <c r="F935" s="228"/>
      <c r="G935" s="228"/>
      <c r="H935" s="228">
        <v>10000</v>
      </c>
      <c r="I935" s="228">
        <v>56000000</v>
      </c>
      <c r="J935" s="228"/>
      <c r="K935" s="228"/>
      <c r="L935" s="228"/>
      <c r="M935" s="228"/>
      <c r="N935" s="228"/>
      <c r="O935" s="228"/>
      <c r="P935" s="228">
        <v>10000</v>
      </c>
      <c r="Q935" s="228">
        <v>56000000</v>
      </c>
    </row>
    <row r="936" spans="2:17">
      <c r="B936" s="165" t="s">
        <v>2144</v>
      </c>
      <c r="C936" s="165">
        <v>12500</v>
      </c>
      <c r="D936" s="228"/>
      <c r="E936" s="228"/>
      <c r="F936" s="228"/>
      <c r="G936" s="228"/>
      <c r="H936" s="228"/>
      <c r="I936" s="228"/>
      <c r="J936" s="228"/>
      <c r="K936" s="228"/>
      <c r="L936" s="228">
        <v>10000</v>
      </c>
      <c r="M936" s="228">
        <v>125000000</v>
      </c>
      <c r="N936" s="228"/>
      <c r="O936" s="228"/>
      <c r="P936" s="228">
        <v>10000</v>
      </c>
      <c r="Q936" s="228">
        <v>125000000</v>
      </c>
    </row>
    <row r="937" spans="2:17">
      <c r="B937" s="165" t="s">
        <v>1878</v>
      </c>
      <c r="C937" s="165">
        <v>3600</v>
      </c>
      <c r="D937" s="228"/>
      <c r="E937" s="228"/>
      <c r="F937" s="228">
        <v>0</v>
      </c>
      <c r="G937" s="228">
        <v>0</v>
      </c>
      <c r="H937" s="228"/>
      <c r="I937" s="228"/>
      <c r="J937" s="228"/>
      <c r="K937" s="228"/>
      <c r="L937" s="228"/>
      <c r="M937" s="228"/>
      <c r="N937" s="228"/>
      <c r="O937" s="228"/>
      <c r="P937" s="228">
        <v>0</v>
      </c>
      <c r="Q937" s="228">
        <v>0</v>
      </c>
    </row>
    <row r="938" spans="2:17">
      <c r="C938" s="165">
        <v>3700</v>
      </c>
      <c r="D938" s="228"/>
      <c r="E938" s="228"/>
      <c r="F938" s="228"/>
      <c r="G938" s="228"/>
      <c r="H938" s="228">
        <v>15300</v>
      </c>
      <c r="I938" s="228">
        <v>56610000</v>
      </c>
      <c r="J938" s="228"/>
      <c r="K938" s="228"/>
      <c r="L938" s="228">
        <v>9600</v>
      </c>
      <c r="M938" s="228">
        <v>35520000</v>
      </c>
      <c r="N938" s="228"/>
      <c r="O938" s="228"/>
      <c r="P938" s="228">
        <v>24900</v>
      </c>
      <c r="Q938" s="228">
        <v>92130000</v>
      </c>
    </row>
    <row r="939" spans="2:17">
      <c r="B939" s="165" t="s">
        <v>2153</v>
      </c>
      <c r="C939" s="165">
        <v>5200</v>
      </c>
      <c r="D939" s="228">
        <v>0</v>
      </c>
      <c r="E939" s="228">
        <v>0</v>
      </c>
      <c r="F939" s="228"/>
      <c r="G939" s="228"/>
      <c r="H939" s="228">
        <v>11000</v>
      </c>
      <c r="I939" s="228">
        <v>57200000</v>
      </c>
      <c r="J939" s="228"/>
      <c r="K939" s="228"/>
      <c r="L939" s="228"/>
      <c r="M939" s="228"/>
      <c r="N939" s="228"/>
      <c r="O939" s="228"/>
      <c r="P939" s="228">
        <v>11000</v>
      </c>
      <c r="Q939" s="228">
        <v>57200000</v>
      </c>
    </row>
    <row r="940" spans="2:17">
      <c r="B940" s="165" t="s">
        <v>2169</v>
      </c>
      <c r="C940" s="165">
        <v>4600</v>
      </c>
      <c r="D940" s="228"/>
      <c r="E940" s="228"/>
      <c r="F940" s="228">
        <v>0</v>
      </c>
      <c r="G940" s="228">
        <v>0</v>
      </c>
      <c r="H940" s="228"/>
      <c r="I940" s="228"/>
      <c r="J940" s="228"/>
      <c r="K940" s="228"/>
      <c r="L940" s="228"/>
      <c r="M940" s="228"/>
      <c r="N940" s="228"/>
      <c r="O940" s="228"/>
      <c r="P940" s="228">
        <v>0</v>
      </c>
      <c r="Q940" s="228">
        <v>0</v>
      </c>
    </row>
    <row r="941" spans="2:17">
      <c r="C941" s="165">
        <v>4900</v>
      </c>
      <c r="D941" s="228">
        <v>0</v>
      </c>
      <c r="E941" s="228">
        <v>0</v>
      </c>
      <c r="F941" s="228"/>
      <c r="G941" s="228"/>
      <c r="H941" s="228"/>
      <c r="I941" s="228"/>
      <c r="J941" s="228"/>
      <c r="K941" s="228"/>
      <c r="L941" s="228"/>
      <c r="M941" s="228"/>
      <c r="N941" s="228"/>
      <c r="O941" s="228"/>
      <c r="P941" s="228">
        <v>0</v>
      </c>
      <c r="Q941" s="228">
        <v>0</v>
      </c>
    </row>
    <row r="942" spans="2:17">
      <c r="B942" s="165" t="s">
        <v>2171</v>
      </c>
      <c r="C942" s="165">
        <v>5500</v>
      </c>
      <c r="D942" s="228">
        <v>0</v>
      </c>
      <c r="E942" s="228">
        <v>0</v>
      </c>
      <c r="F942" s="228">
        <v>0</v>
      </c>
      <c r="G942" s="228">
        <v>0</v>
      </c>
      <c r="H942" s="228"/>
      <c r="I942" s="228"/>
      <c r="J942" s="228"/>
      <c r="K942" s="228"/>
      <c r="L942" s="228"/>
      <c r="M942" s="228"/>
      <c r="N942" s="228"/>
      <c r="O942" s="228"/>
      <c r="P942" s="228">
        <v>0</v>
      </c>
      <c r="Q942" s="228">
        <v>0</v>
      </c>
    </row>
    <row r="943" spans="2:17">
      <c r="B943" s="165" t="s">
        <v>2172</v>
      </c>
      <c r="C943" s="165">
        <v>11000</v>
      </c>
      <c r="D943" s="228"/>
      <c r="E943" s="228"/>
      <c r="F943" s="228"/>
      <c r="G943" s="228"/>
      <c r="H943" s="228"/>
      <c r="I943" s="228"/>
      <c r="J943" s="228"/>
      <c r="K943" s="228"/>
      <c r="L943" s="228">
        <v>15000</v>
      </c>
      <c r="M943" s="228">
        <v>165000000</v>
      </c>
      <c r="N943" s="228"/>
      <c r="O943" s="228"/>
      <c r="P943" s="228">
        <v>15000</v>
      </c>
      <c r="Q943" s="228">
        <v>165000000</v>
      </c>
    </row>
    <row r="944" spans="2:17">
      <c r="B944" s="165" t="s">
        <v>2188</v>
      </c>
      <c r="C944" s="165">
        <v>3800</v>
      </c>
      <c r="D944" s="228">
        <v>0</v>
      </c>
      <c r="E944" s="228">
        <v>0</v>
      </c>
      <c r="F944" s="228">
        <v>0</v>
      </c>
      <c r="G944" s="228">
        <v>0</v>
      </c>
      <c r="H944" s="228"/>
      <c r="I944" s="228"/>
      <c r="J944" s="228"/>
      <c r="K944" s="228"/>
      <c r="L944" s="228"/>
      <c r="M944" s="228"/>
      <c r="N944" s="228"/>
      <c r="O944" s="228"/>
      <c r="P944" s="228">
        <v>0</v>
      </c>
      <c r="Q944" s="228">
        <v>0</v>
      </c>
    </row>
    <row r="945" spans="1:17">
      <c r="A945" s="165" t="s">
        <v>2276</v>
      </c>
      <c r="B945" s="165"/>
      <c r="C945" s="165"/>
      <c r="D945" s="228">
        <v>0</v>
      </c>
      <c r="E945" s="228">
        <v>0</v>
      </c>
      <c r="F945" s="228">
        <v>0</v>
      </c>
      <c r="G945" s="228">
        <v>0</v>
      </c>
      <c r="H945" s="228">
        <v>105500</v>
      </c>
      <c r="I945" s="228">
        <v>608270000</v>
      </c>
      <c r="J945" s="228">
        <v>21900</v>
      </c>
      <c r="K945" s="228">
        <v>113625000</v>
      </c>
      <c r="L945" s="228">
        <v>144650</v>
      </c>
      <c r="M945" s="228">
        <v>1401880000</v>
      </c>
      <c r="N945" s="228"/>
      <c r="O945" s="228"/>
      <c r="P945" s="228">
        <v>272050</v>
      </c>
      <c r="Q945" s="228">
        <v>2123775000</v>
      </c>
    </row>
    <row r="946" spans="1:17">
      <c r="A946" s="165" t="s">
        <v>197</v>
      </c>
      <c r="B946" s="165" t="s">
        <v>2036</v>
      </c>
      <c r="C946" s="165">
        <v>4730</v>
      </c>
      <c r="D946" s="228">
        <v>0</v>
      </c>
      <c r="E946" s="228">
        <v>0</v>
      </c>
      <c r="F946" s="228"/>
      <c r="G946" s="228"/>
      <c r="H946" s="228"/>
      <c r="I946" s="228"/>
      <c r="J946" s="228"/>
      <c r="K946" s="228"/>
      <c r="L946" s="228"/>
      <c r="M946" s="228"/>
      <c r="N946" s="228"/>
      <c r="O946" s="228"/>
      <c r="P946" s="228">
        <v>0</v>
      </c>
      <c r="Q946" s="228">
        <v>0</v>
      </c>
    </row>
    <row r="947" spans="1:17">
      <c r="B947" s="165" t="s">
        <v>2186</v>
      </c>
      <c r="C947" s="165">
        <v>2600</v>
      </c>
      <c r="D947" s="228">
        <v>0</v>
      </c>
      <c r="E947" s="228">
        <v>0</v>
      </c>
      <c r="F947" s="228"/>
      <c r="G947" s="228"/>
      <c r="H947" s="228"/>
      <c r="I947" s="228"/>
      <c r="J947" s="228"/>
      <c r="K947" s="228"/>
      <c r="L947" s="228"/>
      <c r="M947" s="228"/>
      <c r="N947" s="228"/>
      <c r="O947" s="228"/>
      <c r="P947" s="228">
        <v>0</v>
      </c>
      <c r="Q947" s="228">
        <v>0</v>
      </c>
    </row>
    <row r="948" spans="1:17">
      <c r="A948" s="165" t="s">
        <v>2277</v>
      </c>
      <c r="B948" s="165"/>
      <c r="C948" s="165"/>
      <c r="D948" s="228">
        <v>0</v>
      </c>
      <c r="E948" s="228">
        <v>0</v>
      </c>
      <c r="F948" s="228"/>
      <c r="G948" s="228"/>
      <c r="H948" s="228"/>
      <c r="I948" s="228"/>
      <c r="J948" s="228"/>
      <c r="K948" s="228"/>
      <c r="L948" s="228"/>
      <c r="M948" s="228"/>
      <c r="N948" s="228"/>
      <c r="O948" s="228"/>
      <c r="P948" s="228">
        <v>0</v>
      </c>
      <c r="Q948" s="228">
        <v>0</v>
      </c>
    </row>
    <row r="949" spans="1:17">
      <c r="A949" s="165" t="s">
        <v>1009</v>
      </c>
      <c r="B949" s="165" t="s">
        <v>2025</v>
      </c>
      <c r="C949" s="165">
        <v>4000</v>
      </c>
      <c r="D949" s="228"/>
      <c r="E949" s="228"/>
      <c r="F949" s="228">
        <v>0</v>
      </c>
      <c r="G949" s="228">
        <v>0</v>
      </c>
      <c r="H949" s="228"/>
      <c r="I949" s="228"/>
      <c r="J949" s="228"/>
      <c r="K949" s="228"/>
      <c r="L949" s="228"/>
      <c r="M949" s="228"/>
      <c r="N949" s="228"/>
      <c r="O949" s="228"/>
      <c r="P949" s="228">
        <v>0</v>
      </c>
      <c r="Q949" s="228">
        <v>0</v>
      </c>
    </row>
    <row r="950" spans="1:17">
      <c r="B950" s="165" t="s">
        <v>2029</v>
      </c>
      <c r="C950" s="165">
        <v>4200</v>
      </c>
      <c r="D950" s="228"/>
      <c r="E950" s="228"/>
      <c r="F950" s="228">
        <v>0</v>
      </c>
      <c r="G950" s="228">
        <v>0</v>
      </c>
      <c r="H950" s="228"/>
      <c r="I950" s="228"/>
      <c r="J950" s="228"/>
      <c r="K950" s="228"/>
      <c r="L950" s="228"/>
      <c r="M950" s="228"/>
      <c r="N950" s="228"/>
      <c r="O950" s="228"/>
      <c r="P950" s="228">
        <v>0</v>
      </c>
      <c r="Q950" s="228">
        <v>0</v>
      </c>
    </row>
    <row r="951" spans="1:17">
      <c r="B951" s="165" t="s">
        <v>2039</v>
      </c>
      <c r="C951" s="165">
        <v>6300</v>
      </c>
      <c r="D951" s="228"/>
      <c r="E951" s="228"/>
      <c r="F951" s="228">
        <v>0</v>
      </c>
      <c r="G951" s="228">
        <v>0</v>
      </c>
      <c r="H951" s="228"/>
      <c r="I951" s="228"/>
      <c r="J951" s="228"/>
      <c r="K951" s="228"/>
      <c r="L951" s="228"/>
      <c r="M951" s="228"/>
      <c r="N951" s="228"/>
      <c r="O951" s="228"/>
      <c r="P951" s="228">
        <v>0</v>
      </c>
      <c r="Q951" s="228">
        <v>0</v>
      </c>
    </row>
    <row r="952" spans="1:17">
      <c r="C952" s="165">
        <v>6413</v>
      </c>
      <c r="D952" s="228"/>
      <c r="E952" s="228"/>
      <c r="F952" s="228">
        <v>0</v>
      </c>
      <c r="G952" s="228">
        <v>0</v>
      </c>
      <c r="H952" s="228"/>
      <c r="I952" s="228"/>
      <c r="J952" s="228"/>
      <c r="K952" s="228"/>
      <c r="L952" s="228"/>
      <c r="M952" s="228"/>
      <c r="N952" s="228"/>
      <c r="O952" s="228"/>
      <c r="P952" s="228">
        <v>0</v>
      </c>
      <c r="Q952" s="228">
        <v>0</v>
      </c>
    </row>
    <row r="953" spans="1:17">
      <c r="B953" s="165" t="s">
        <v>2042</v>
      </c>
      <c r="C953" s="165">
        <v>10800</v>
      </c>
      <c r="D953" s="228"/>
      <c r="E953" s="228"/>
      <c r="F953" s="228"/>
      <c r="G953" s="228"/>
      <c r="H953" s="228"/>
      <c r="I953" s="228"/>
      <c r="J953" s="228"/>
      <c r="K953" s="228"/>
      <c r="L953" s="228">
        <v>10000</v>
      </c>
      <c r="M953" s="228">
        <v>108000000</v>
      </c>
      <c r="N953" s="228"/>
      <c r="O953" s="228"/>
      <c r="P953" s="228">
        <v>10000</v>
      </c>
      <c r="Q953" s="228">
        <v>108000000</v>
      </c>
    </row>
    <row r="954" spans="1:17">
      <c r="B954" s="165" t="s">
        <v>2008</v>
      </c>
      <c r="C954" s="165">
        <v>4700</v>
      </c>
      <c r="D954" s="228">
        <v>0</v>
      </c>
      <c r="E954" s="228">
        <v>0</v>
      </c>
      <c r="F954" s="228">
        <v>0</v>
      </c>
      <c r="G954" s="228">
        <v>0</v>
      </c>
      <c r="H954" s="228"/>
      <c r="I954" s="228"/>
      <c r="J954" s="228"/>
      <c r="K954" s="228"/>
      <c r="L954" s="228"/>
      <c r="M954" s="228"/>
      <c r="N954" s="228"/>
      <c r="O954" s="228"/>
      <c r="P954" s="228">
        <v>0</v>
      </c>
      <c r="Q954" s="228">
        <v>0</v>
      </c>
    </row>
    <row r="955" spans="1:17">
      <c r="B955" s="165" t="s">
        <v>2011</v>
      </c>
      <c r="C955" s="165">
        <v>10500</v>
      </c>
      <c r="D955" s="228"/>
      <c r="E955" s="228"/>
      <c r="F955" s="228"/>
      <c r="G955" s="228"/>
      <c r="H955" s="228"/>
      <c r="I955" s="228"/>
      <c r="J955" s="228"/>
      <c r="K955" s="228"/>
      <c r="L955" s="228">
        <v>10000</v>
      </c>
      <c r="M955" s="228">
        <v>105000000</v>
      </c>
      <c r="N955" s="228"/>
      <c r="O955" s="228"/>
      <c r="P955" s="228">
        <v>10000</v>
      </c>
      <c r="Q955" s="228">
        <v>105000000</v>
      </c>
    </row>
    <row r="956" spans="1:17">
      <c r="B956" s="165" t="s">
        <v>2087</v>
      </c>
      <c r="C956" s="165">
        <v>10000</v>
      </c>
      <c r="D956" s="228"/>
      <c r="E956" s="228"/>
      <c r="F956" s="228"/>
      <c r="G956" s="228"/>
      <c r="H956" s="228"/>
      <c r="I956" s="228"/>
      <c r="J956" s="228"/>
      <c r="K956" s="228"/>
      <c r="L956" s="228">
        <v>10050</v>
      </c>
      <c r="M956" s="228">
        <v>100500000</v>
      </c>
      <c r="N956" s="228"/>
      <c r="O956" s="228"/>
      <c r="P956" s="228">
        <v>10050</v>
      </c>
      <c r="Q956" s="228">
        <v>100500000</v>
      </c>
    </row>
    <row r="957" spans="1:17">
      <c r="B957" s="165" t="s">
        <v>2091</v>
      </c>
      <c r="C957" s="165">
        <v>5585</v>
      </c>
      <c r="D957" s="228"/>
      <c r="E957" s="228"/>
      <c r="F957" s="228">
        <v>0</v>
      </c>
      <c r="G957" s="228">
        <v>0</v>
      </c>
      <c r="H957" s="228"/>
      <c r="I957" s="228"/>
      <c r="J957" s="228"/>
      <c r="K957" s="228"/>
      <c r="L957" s="228"/>
      <c r="M957" s="228"/>
      <c r="N957" s="228"/>
      <c r="O957" s="228"/>
      <c r="P957" s="228">
        <v>0</v>
      </c>
      <c r="Q957" s="228">
        <v>0</v>
      </c>
    </row>
    <row r="958" spans="1:17">
      <c r="C958" s="165">
        <v>5648</v>
      </c>
      <c r="D958" s="228"/>
      <c r="E958" s="228"/>
      <c r="F958" s="228">
        <v>0</v>
      </c>
      <c r="G958" s="228">
        <v>0</v>
      </c>
      <c r="H958" s="228"/>
      <c r="I958" s="228"/>
      <c r="J958" s="228"/>
      <c r="K958" s="228"/>
      <c r="L958" s="228"/>
      <c r="M958" s="228"/>
      <c r="N958" s="228"/>
      <c r="O958" s="228"/>
      <c r="P958" s="228">
        <v>0</v>
      </c>
      <c r="Q958" s="228">
        <v>0</v>
      </c>
    </row>
    <row r="959" spans="1:17">
      <c r="B959" s="165" t="s">
        <v>2092</v>
      </c>
      <c r="C959" s="165">
        <v>10600</v>
      </c>
      <c r="D959" s="228"/>
      <c r="E959" s="228"/>
      <c r="F959" s="228"/>
      <c r="G959" s="228"/>
      <c r="H959" s="228"/>
      <c r="I959" s="228"/>
      <c r="J959" s="228"/>
      <c r="K959" s="228"/>
      <c r="L959" s="228">
        <v>7750</v>
      </c>
      <c r="M959" s="228">
        <v>82150000</v>
      </c>
      <c r="N959" s="228"/>
      <c r="O959" s="228"/>
      <c r="P959" s="228">
        <v>7750</v>
      </c>
      <c r="Q959" s="228">
        <v>82150000</v>
      </c>
    </row>
    <row r="960" spans="1:17">
      <c r="B960" s="165" t="s">
        <v>2093</v>
      </c>
      <c r="C960" s="165">
        <v>11900</v>
      </c>
      <c r="D960" s="228"/>
      <c r="E960" s="228"/>
      <c r="F960" s="228"/>
      <c r="G960" s="228"/>
      <c r="H960" s="228"/>
      <c r="I960" s="228"/>
      <c r="J960" s="228"/>
      <c r="K960" s="228"/>
      <c r="L960" s="228">
        <v>2300</v>
      </c>
      <c r="M960" s="228">
        <v>27370000</v>
      </c>
      <c r="N960" s="228"/>
      <c r="O960" s="228"/>
      <c r="P960" s="228">
        <v>2300</v>
      </c>
      <c r="Q960" s="228">
        <v>27370000</v>
      </c>
    </row>
    <row r="961" spans="2:17">
      <c r="B961" s="165" t="s">
        <v>2095</v>
      </c>
      <c r="C961" s="165">
        <v>7000</v>
      </c>
      <c r="D961" s="228"/>
      <c r="E961" s="228"/>
      <c r="F961" s="228">
        <v>0</v>
      </c>
      <c r="G961" s="228">
        <v>0</v>
      </c>
      <c r="H961" s="228">
        <v>10000</v>
      </c>
      <c r="I961" s="228">
        <v>70000000</v>
      </c>
      <c r="J961" s="228"/>
      <c r="K961" s="228"/>
      <c r="L961" s="228">
        <v>20000</v>
      </c>
      <c r="M961" s="228">
        <v>140000000</v>
      </c>
      <c r="N961" s="228"/>
      <c r="O961" s="228"/>
      <c r="P961" s="228">
        <v>30000</v>
      </c>
      <c r="Q961" s="228">
        <v>210000000</v>
      </c>
    </row>
    <row r="962" spans="2:17">
      <c r="C962" s="165">
        <v>7100</v>
      </c>
      <c r="D962" s="228"/>
      <c r="E962" s="228"/>
      <c r="F962" s="228">
        <v>0</v>
      </c>
      <c r="G962" s="228">
        <v>0</v>
      </c>
      <c r="H962" s="228"/>
      <c r="I962" s="228"/>
      <c r="J962" s="228"/>
      <c r="K962" s="228"/>
      <c r="L962" s="228"/>
      <c r="M962" s="228"/>
      <c r="N962" s="228"/>
      <c r="O962" s="228"/>
      <c r="P962" s="228">
        <v>0</v>
      </c>
      <c r="Q962" s="228">
        <v>0</v>
      </c>
    </row>
    <row r="963" spans="2:17">
      <c r="B963" s="165" t="s">
        <v>2096</v>
      </c>
      <c r="C963" s="165">
        <v>9200</v>
      </c>
      <c r="D963" s="228"/>
      <c r="E963" s="228"/>
      <c r="F963" s="228"/>
      <c r="G963" s="228"/>
      <c r="H963" s="228"/>
      <c r="I963" s="228"/>
      <c r="J963" s="228"/>
      <c r="K963" s="228"/>
      <c r="L963" s="228">
        <v>10050</v>
      </c>
      <c r="M963" s="228">
        <v>92460000</v>
      </c>
      <c r="N963" s="228"/>
      <c r="O963" s="228"/>
      <c r="P963" s="228">
        <v>10050</v>
      </c>
      <c r="Q963" s="228">
        <v>92460000</v>
      </c>
    </row>
    <row r="964" spans="2:17">
      <c r="B964" s="165" t="s">
        <v>2105</v>
      </c>
      <c r="C964" s="165">
        <v>9000</v>
      </c>
      <c r="D964" s="228"/>
      <c r="E964" s="228"/>
      <c r="F964" s="228"/>
      <c r="G964" s="228"/>
      <c r="H964" s="228"/>
      <c r="I964" s="228"/>
      <c r="J964" s="228"/>
      <c r="K964" s="228"/>
      <c r="L964" s="228">
        <v>40050</v>
      </c>
      <c r="M964" s="228">
        <v>360450000</v>
      </c>
      <c r="N964" s="228"/>
      <c r="O964" s="228"/>
      <c r="P964" s="228">
        <v>40050</v>
      </c>
      <c r="Q964" s="228">
        <v>360450000</v>
      </c>
    </row>
    <row r="965" spans="2:17">
      <c r="C965" s="165">
        <v>9100</v>
      </c>
      <c r="D965" s="228"/>
      <c r="E965" s="228"/>
      <c r="F965" s="228">
        <v>0</v>
      </c>
      <c r="G965" s="228">
        <v>0</v>
      </c>
      <c r="H965" s="228"/>
      <c r="I965" s="228"/>
      <c r="J965" s="228"/>
      <c r="K965" s="228"/>
      <c r="L965" s="228"/>
      <c r="M965" s="228"/>
      <c r="N965" s="228"/>
      <c r="O965" s="228"/>
      <c r="P965" s="228">
        <v>0</v>
      </c>
      <c r="Q965" s="228">
        <v>0</v>
      </c>
    </row>
    <row r="966" spans="2:17">
      <c r="C966" s="165">
        <v>9200</v>
      </c>
      <c r="D966" s="228"/>
      <c r="E966" s="228"/>
      <c r="F966" s="228"/>
      <c r="G966" s="228"/>
      <c r="H966" s="228">
        <v>20100</v>
      </c>
      <c r="I966" s="228">
        <v>184920000</v>
      </c>
      <c r="J966" s="228"/>
      <c r="K966" s="228"/>
      <c r="L966" s="228"/>
      <c r="M966" s="228"/>
      <c r="N966" s="228"/>
      <c r="O966" s="228"/>
      <c r="P966" s="228">
        <v>20100</v>
      </c>
      <c r="Q966" s="228">
        <v>184920000</v>
      </c>
    </row>
    <row r="967" spans="2:17">
      <c r="C967" s="165">
        <v>9700</v>
      </c>
      <c r="D967" s="228"/>
      <c r="E967" s="228"/>
      <c r="F967" s="228"/>
      <c r="G967" s="228"/>
      <c r="H967" s="228"/>
      <c r="I967" s="228"/>
      <c r="J967" s="228"/>
      <c r="K967" s="228"/>
      <c r="L967" s="228">
        <v>10050</v>
      </c>
      <c r="M967" s="228">
        <v>97485000</v>
      </c>
      <c r="N967" s="228"/>
      <c r="O967" s="228"/>
      <c r="P967" s="228">
        <v>10050</v>
      </c>
      <c r="Q967" s="228">
        <v>97485000</v>
      </c>
    </row>
    <row r="968" spans="2:17">
      <c r="B968" s="165" t="s">
        <v>2106</v>
      </c>
      <c r="C968" s="165">
        <v>15200</v>
      </c>
      <c r="D968" s="228"/>
      <c r="E968" s="228"/>
      <c r="F968" s="228"/>
      <c r="G968" s="228"/>
      <c r="H968" s="228"/>
      <c r="I968" s="228"/>
      <c r="J968" s="228"/>
      <c r="K968" s="228"/>
      <c r="L968" s="228">
        <v>10000</v>
      </c>
      <c r="M968" s="228">
        <v>152000000</v>
      </c>
      <c r="N968" s="228"/>
      <c r="O968" s="228"/>
      <c r="P968" s="228">
        <v>10000</v>
      </c>
      <c r="Q968" s="228">
        <v>152000000</v>
      </c>
    </row>
    <row r="969" spans="2:17">
      <c r="B969" s="165" t="s">
        <v>2117</v>
      </c>
      <c r="C969" s="165">
        <v>7100</v>
      </c>
      <c r="D969" s="228"/>
      <c r="E969" s="228"/>
      <c r="F969" s="228"/>
      <c r="G969" s="228"/>
      <c r="H969" s="228"/>
      <c r="I969" s="228"/>
      <c r="J969" s="228"/>
      <c r="K969" s="228"/>
      <c r="L969" s="228">
        <v>10050</v>
      </c>
      <c r="M969" s="228">
        <v>71355000</v>
      </c>
      <c r="N969" s="228"/>
      <c r="O969" s="228"/>
      <c r="P969" s="228">
        <v>10050</v>
      </c>
      <c r="Q969" s="228">
        <v>71355000</v>
      </c>
    </row>
    <row r="970" spans="2:17">
      <c r="B970" s="165" t="s">
        <v>2125</v>
      </c>
      <c r="C970" s="165">
        <v>2800</v>
      </c>
      <c r="D970" s="228"/>
      <c r="E970" s="228"/>
      <c r="F970" s="228">
        <v>0</v>
      </c>
      <c r="G970" s="228">
        <v>0</v>
      </c>
      <c r="H970" s="228"/>
      <c r="I970" s="228"/>
      <c r="J970" s="228"/>
      <c r="K970" s="228"/>
      <c r="L970" s="228"/>
      <c r="M970" s="228"/>
      <c r="N970" s="228"/>
      <c r="O970" s="228"/>
      <c r="P970" s="228">
        <v>0</v>
      </c>
      <c r="Q970" s="228">
        <v>0</v>
      </c>
    </row>
    <row r="971" spans="2:17">
      <c r="C971" s="165">
        <v>2900</v>
      </c>
      <c r="D971" s="228"/>
      <c r="E971" s="228"/>
      <c r="F971" s="228">
        <v>0</v>
      </c>
      <c r="G971" s="228">
        <v>0</v>
      </c>
      <c r="H971" s="228"/>
      <c r="I971" s="228"/>
      <c r="J971" s="228"/>
      <c r="K971" s="228"/>
      <c r="L971" s="228"/>
      <c r="M971" s="228"/>
      <c r="N971" s="228"/>
      <c r="O971" s="228"/>
      <c r="P971" s="228">
        <v>0</v>
      </c>
      <c r="Q971" s="228">
        <v>0</v>
      </c>
    </row>
    <row r="972" spans="2:17">
      <c r="B972" s="165" t="s">
        <v>1872</v>
      </c>
      <c r="C972" s="165">
        <v>6300</v>
      </c>
      <c r="D972" s="228"/>
      <c r="E972" s="228"/>
      <c r="F972" s="228">
        <v>0</v>
      </c>
      <c r="G972" s="228">
        <v>0</v>
      </c>
      <c r="H972" s="228"/>
      <c r="I972" s="228"/>
      <c r="J972" s="228"/>
      <c r="K972" s="228"/>
      <c r="L972" s="228"/>
      <c r="M972" s="228"/>
      <c r="N972" s="228"/>
      <c r="O972" s="228"/>
      <c r="P972" s="228">
        <v>0</v>
      </c>
      <c r="Q972" s="228">
        <v>0</v>
      </c>
    </row>
    <row r="973" spans="2:17">
      <c r="C973" s="165">
        <v>6498</v>
      </c>
      <c r="D973" s="228"/>
      <c r="E973" s="228"/>
      <c r="F973" s="228">
        <v>0</v>
      </c>
      <c r="G973" s="228">
        <v>0</v>
      </c>
      <c r="H973" s="228"/>
      <c r="I973" s="228"/>
      <c r="J973" s="228"/>
      <c r="K973" s="228"/>
      <c r="L973" s="228"/>
      <c r="M973" s="228"/>
      <c r="N973" s="228"/>
      <c r="O973" s="228"/>
      <c r="P973" s="228">
        <v>0</v>
      </c>
      <c r="Q973" s="228">
        <v>0</v>
      </c>
    </row>
    <row r="974" spans="2:17">
      <c r="C974" s="165">
        <v>6618</v>
      </c>
      <c r="D974" s="228">
        <v>0</v>
      </c>
      <c r="E974" s="228">
        <v>0</v>
      </c>
      <c r="F974" s="228"/>
      <c r="G974" s="228"/>
      <c r="H974" s="228"/>
      <c r="I974" s="228"/>
      <c r="J974" s="228"/>
      <c r="K974" s="228"/>
      <c r="L974" s="228"/>
      <c r="M974" s="228"/>
      <c r="N974" s="228"/>
      <c r="O974" s="228"/>
      <c r="P974" s="228">
        <v>0</v>
      </c>
      <c r="Q974" s="228">
        <v>0</v>
      </c>
    </row>
    <row r="975" spans="2:17">
      <c r="C975" s="165">
        <v>6738</v>
      </c>
      <c r="D975" s="228"/>
      <c r="E975" s="228"/>
      <c r="F975" s="228"/>
      <c r="G975" s="228"/>
      <c r="H975" s="228">
        <v>10050</v>
      </c>
      <c r="I975" s="228">
        <v>67716900</v>
      </c>
      <c r="J975" s="228"/>
      <c r="K975" s="228"/>
      <c r="L975" s="228"/>
      <c r="M975" s="228"/>
      <c r="N975" s="228"/>
      <c r="O975" s="228"/>
      <c r="P975" s="228">
        <v>10050</v>
      </c>
      <c r="Q975" s="228">
        <v>67716900</v>
      </c>
    </row>
    <row r="976" spans="2:17">
      <c r="C976" s="165">
        <v>6858</v>
      </c>
      <c r="D976" s="228"/>
      <c r="E976" s="228"/>
      <c r="F976" s="228"/>
      <c r="G976" s="228"/>
      <c r="H976" s="228"/>
      <c r="I976" s="228"/>
      <c r="J976" s="228"/>
      <c r="K976" s="228"/>
      <c r="L976" s="228">
        <v>20100</v>
      </c>
      <c r="M976" s="228">
        <v>137845800</v>
      </c>
      <c r="N976" s="228"/>
      <c r="O976" s="228"/>
      <c r="P976" s="228">
        <v>20100</v>
      </c>
      <c r="Q976" s="228">
        <v>137845800</v>
      </c>
    </row>
    <row r="977" spans="2:17">
      <c r="C977" s="165">
        <v>7200</v>
      </c>
      <c r="D977" s="228"/>
      <c r="E977" s="228"/>
      <c r="F977" s="228"/>
      <c r="G977" s="228"/>
      <c r="H977" s="228"/>
      <c r="I977" s="228"/>
      <c r="J977" s="228"/>
      <c r="K977" s="228"/>
      <c r="L977" s="228">
        <v>5100</v>
      </c>
      <c r="M977" s="228">
        <v>36720000</v>
      </c>
      <c r="N977" s="228"/>
      <c r="O977" s="228"/>
      <c r="P977" s="228">
        <v>5100</v>
      </c>
      <c r="Q977" s="228">
        <v>36720000</v>
      </c>
    </row>
    <row r="978" spans="2:17">
      <c r="B978" s="165" t="s">
        <v>2015</v>
      </c>
      <c r="C978" s="165">
        <v>10500</v>
      </c>
      <c r="D978" s="228"/>
      <c r="E978" s="228"/>
      <c r="F978" s="228"/>
      <c r="G978" s="228"/>
      <c r="H978" s="228"/>
      <c r="I978" s="228"/>
      <c r="J978" s="228"/>
      <c r="K978" s="228"/>
      <c r="L978" s="228">
        <v>5000</v>
      </c>
      <c r="M978" s="228">
        <v>52500000</v>
      </c>
      <c r="N978" s="228"/>
      <c r="O978" s="228"/>
      <c r="P978" s="228">
        <v>5000</v>
      </c>
      <c r="Q978" s="228">
        <v>52500000</v>
      </c>
    </row>
    <row r="979" spans="2:17">
      <c r="B979" s="165" t="s">
        <v>2169</v>
      </c>
      <c r="C979" s="165">
        <v>4500</v>
      </c>
      <c r="D979" s="228"/>
      <c r="E979" s="228"/>
      <c r="F979" s="228">
        <v>0</v>
      </c>
      <c r="G979" s="228">
        <v>0</v>
      </c>
      <c r="H979" s="228"/>
      <c r="I979" s="228"/>
      <c r="J979" s="228"/>
      <c r="K979" s="228"/>
      <c r="L979" s="228"/>
      <c r="M979" s="228"/>
      <c r="N979" s="228"/>
      <c r="O979" s="228"/>
      <c r="P979" s="228">
        <v>0</v>
      </c>
      <c r="Q979" s="228">
        <v>0</v>
      </c>
    </row>
    <row r="980" spans="2:17">
      <c r="C980" s="165">
        <v>4600</v>
      </c>
      <c r="D980" s="228"/>
      <c r="E980" s="228"/>
      <c r="F980" s="228">
        <v>0</v>
      </c>
      <c r="G980" s="228">
        <v>0</v>
      </c>
      <c r="H980" s="228">
        <v>10200</v>
      </c>
      <c r="I980" s="228">
        <v>46920000</v>
      </c>
      <c r="J980" s="228"/>
      <c r="K980" s="228"/>
      <c r="L980" s="228">
        <v>30000</v>
      </c>
      <c r="M980" s="228">
        <v>138000000</v>
      </c>
      <c r="N980" s="228"/>
      <c r="O980" s="228"/>
      <c r="P980" s="228">
        <v>40200</v>
      </c>
      <c r="Q980" s="228">
        <v>184920000</v>
      </c>
    </row>
    <row r="981" spans="2:17">
      <c r="C981" s="165">
        <v>4700</v>
      </c>
      <c r="D981" s="228"/>
      <c r="E981" s="228"/>
      <c r="F981" s="228"/>
      <c r="G981" s="228"/>
      <c r="H981" s="228"/>
      <c r="I981" s="228"/>
      <c r="J981" s="228">
        <v>10200</v>
      </c>
      <c r="K981" s="228">
        <v>47940000</v>
      </c>
      <c r="L981" s="228"/>
      <c r="M981" s="228"/>
      <c r="N981" s="228"/>
      <c r="O981" s="228"/>
      <c r="P981" s="228">
        <v>10200</v>
      </c>
      <c r="Q981" s="228">
        <v>47940000</v>
      </c>
    </row>
    <row r="982" spans="2:17">
      <c r="B982" s="165" t="s">
        <v>2171</v>
      </c>
      <c r="C982" s="165">
        <v>5500</v>
      </c>
      <c r="D982" s="228"/>
      <c r="E982" s="228"/>
      <c r="F982" s="228">
        <v>0</v>
      </c>
      <c r="G982" s="228">
        <v>0</v>
      </c>
      <c r="H982" s="228"/>
      <c r="I982" s="228"/>
      <c r="J982" s="228"/>
      <c r="K982" s="228"/>
      <c r="L982" s="228"/>
      <c r="M982" s="228"/>
      <c r="N982" s="228"/>
      <c r="O982" s="228"/>
      <c r="P982" s="228">
        <v>0</v>
      </c>
      <c r="Q982" s="228">
        <v>0</v>
      </c>
    </row>
    <row r="983" spans="2:17">
      <c r="B983" s="165" t="s">
        <v>2019</v>
      </c>
      <c r="C983" s="165">
        <v>9100</v>
      </c>
      <c r="D983" s="228"/>
      <c r="E983" s="228"/>
      <c r="F983" s="228"/>
      <c r="G983" s="228"/>
      <c r="H983" s="228"/>
      <c r="I983" s="228"/>
      <c r="J983" s="228"/>
      <c r="K983" s="228"/>
      <c r="L983" s="228">
        <v>10050</v>
      </c>
      <c r="M983" s="228">
        <v>91455000</v>
      </c>
      <c r="N983" s="228"/>
      <c r="O983" s="228"/>
      <c r="P983" s="228">
        <v>10050</v>
      </c>
      <c r="Q983" s="228">
        <v>91455000</v>
      </c>
    </row>
    <row r="984" spans="2:17">
      <c r="B984" s="165" t="s">
        <v>2023</v>
      </c>
      <c r="C984" s="165">
        <v>10100</v>
      </c>
      <c r="D984" s="228"/>
      <c r="E984" s="228"/>
      <c r="F984" s="228"/>
      <c r="G984" s="228"/>
      <c r="H984" s="228"/>
      <c r="I984" s="228"/>
      <c r="J984" s="228"/>
      <c r="K984" s="228"/>
      <c r="L984" s="228">
        <v>10000</v>
      </c>
      <c r="M984" s="228">
        <v>101000000</v>
      </c>
      <c r="N984" s="228"/>
      <c r="O984" s="228"/>
      <c r="P984" s="228">
        <v>10000</v>
      </c>
      <c r="Q984" s="228">
        <v>101000000</v>
      </c>
    </row>
    <row r="985" spans="2:17">
      <c r="B985" s="165" t="s">
        <v>2186</v>
      </c>
      <c r="C985" s="165">
        <v>2600</v>
      </c>
      <c r="D985" s="228"/>
      <c r="E985" s="228"/>
      <c r="F985" s="228">
        <v>0</v>
      </c>
      <c r="G985" s="228">
        <v>0</v>
      </c>
      <c r="H985" s="228"/>
      <c r="I985" s="228"/>
      <c r="J985" s="228"/>
      <c r="K985" s="228"/>
      <c r="L985" s="228"/>
      <c r="M985" s="228"/>
      <c r="N985" s="228"/>
      <c r="O985" s="228"/>
      <c r="P985" s="228">
        <v>0</v>
      </c>
      <c r="Q985" s="228">
        <v>0</v>
      </c>
    </row>
    <row r="986" spans="2:17">
      <c r="C986" s="165">
        <v>2640</v>
      </c>
      <c r="D986" s="228"/>
      <c r="E986" s="228"/>
      <c r="F986" s="228">
        <v>0</v>
      </c>
      <c r="G986" s="228">
        <v>0</v>
      </c>
      <c r="H986" s="228"/>
      <c r="I986" s="228"/>
      <c r="J986" s="228"/>
      <c r="K986" s="228"/>
      <c r="L986" s="228"/>
      <c r="M986" s="228"/>
      <c r="N986" s="228"/>
      <c r="O986" s="228"/>
      <c r="P986" s="228">
        <v>0</v>
      </c>
      <c r="Q986" s="228">
        <v>0</v>
      </c>
    </row>
    <row r="987" spans="2:17">
      <c r="C987" s="165">
        <v>2700</v>
      </c>
      <c r="D987" s="228">
        <v>0</v>
      </c>
      <c r="E987" s="228">
        <v>0</v>
      </c>
      <c r="F987" s="228"/>
      <c r="G987" s="228"/>
      <c r="H987" s="228"/>
      <c r="I987" s="228"/>
      <c r="J987" s="228"/>
      <c r="K987" s="228"/>
      <c r="L987" s="228"/>
      <c r="M987" s="228"/>
      <c r="N987" s="228"/>
      <c r="O987" s="228"/>
      <c r="P987" s="228">
        <v>0</v>
      </c>
      <c r="Q987" s="228">
        <v>0</v>
      </c>
    </row>
    <row r="988" spans="2:17">
      <c r="C988" s="165">
        <v>2900</v>
      </c>
      <c r="D988" s="228"/>
      <c r="E988" s="228"/>
      <c r="F988" s="228"/>
      <c r="G988" s="228"/>
      <c r="H988" s="228">
        <v>20000</v>
      </c>
      <c r="I988" s="228">
        <v>58000000</v>
      </c>
      <c r="J988" s="228"/>
      <c r="K988" s="228"/>
      <c r="L988" s="228"/>
      <c r="M988" s="228"/>
      <c r="N988" s="228"/>
      <c r="O988" s="228"/>
      <c r="P988" s="228">
        <v>20000</v>
      </c>
      <c r="Q988" s="228">
        <v>58000000</v>
      </c>
    </row>
    <row r="989" spans="2:17">
      <c r="B989" s="165" t="s">
        <v>2188</v>
      </c>
      <c r="C989" s="165">
        <v>3800</v>
      </c>
      <c r="D989" s="228"/>
      <c r="E989" s="228"/>
      <c r="F989" s="228">
        <v>0</v>
      </c>
      <c r="G989" s="228">
        <v>0</v>
      </c>
      <c r="H989" s="228"/>
      <c r="I989" s="228"/>
      <c r="J989" s="228"/>
      <c r="K989" s="228"/>
      <c r="L989" s="228">
        <v>80100</v>
      </c>
      <c r="M989" s="228">
        <v>304380000</v>
      </c>
      <c r="N989" s="228"/>
      <c r="O989" s="228"/>
      <c r="P989" s="228">
        <v>80100</v>
      </c>
      <c r="Q989" s="228">
        <v>304380000</v>
      </c>
    </row>
    <row r="990" spans="2:17">
      <c r="C990" s="165">
        <v>3900</v>
      </c>
      <c r="D990" s="228"/>
      <c r="E990" s="228"/>
      <c r="F990" s="228"/>
      <c r="G990" s="228"/>
      <c r="H990" s="228"/>
      <c r="I990" s="228"/>
      <c r="J990" s="228">
        <v>10200</v>
      </c>
      <c r="K990" s="228">
        <v>39780000</v>
      </c>
      <c r="L990" s="228"/>
      <c r="M990" s="228"/>
      <c r="N990" s="228"/>
      <c r="O990" s="228"/>
      <c r="P990" s="228">
        <v>10200</v>
      </c>
      <c r="Q990" s="228">
        <v>39780000</v>
      </c>
    </row>
    <row r="991" spans="2:17">
      <c r="B991" s="165" t="s">
        <v>2190</v>
      </c>
      <c r="C991" s="165">
        <v>6000</v>
      </c>
      <c r="D991" s="228"/>
      <c r="E991" s="228"/>
      <c r="F991" s="228"/>
      <c r="G991" s="228"/>
      <c r="H991" s="228"/>
      <c r="I991" s="228"/>
      <c r="J991" s="228"/>
      <c r="K991" s="228"/>
      <c r="L991" s="228">
        <v>10000</v>
      </c>
      <c r="M991" s="228">
        <v>60000000</v>
      </c>
      <c r="N991" s="228"/>
      <c r="O991" s="228"/>
      <c r="P991" s="228">
        <v>10000</v>
      </c>
      <c r="Q991" s="228">
        <v>60000000</v>
      </c>
    </row>
    <row r="992" spans="2:17">
      <c r="B992" s="165" t="s">
        <v>2199</v>
      </c>
      <c r="C992" s="165">
        <v>6700</v>
      </c>
      <c r="D992" s="228"/>
      <c r="E992" s="228"/>
      <c r="F992" s="228"/>
      <c r="G992" s="228"/>
      <c r="H992" s="228"/>
      <c r="I992" s="228"/>
      <c r="J992" s="228"/>
      <c r="K992" s="228"/>
      <c r="L992" s="228">
        <v>10000</v>
      </c>
      <c r="M992" s="228">
        <v>67000000</v>
      </c>
      <c r="N992" s="228"/>
      <c r="O992" s="228"/>
      <c r="P992" s="228">
        <v>10000</v>
      </c>
      <c r="Q992" s="228">
        <v>67000000</v>
      </c>
    </row>
    <row r="993" spans="1:17">
      <c r="C993" s="165">
        <v>6800</v>
      </c>
      <c r="D993" s="228"/>
      <c r="E993" s="228"/>
      <c r="F993" s="228"/>
      <c r="G993" s="228"/>
      <c r="H993" s="228"/>
      <c r="I993" s="228"/>
      <c r="J993" s="228"/>
      <c r="K993" s="228"/>
      <c r="L993" s="228">
        <v>10000</v>
      </c>
      <c r="M993" s="228">
        <v>68000000</v>
      </c>
      <c r="N993" s="228"/>
      <c r="O993" s="228"/>
      <c r="P993" s="228">
        <v>10000</v>
      </c>
      <c r="Q993" s="228">
        <v>68000000</v>
      </c>
    </row>
    <row r="994" spans="1:17">
      <c r="C994" s="165">
        <v>6900</v>
      </c>
      <c r="D994" s="228"/>
      <c r="E994" s="228"/>
      <c r="F994" s="228"/>
      <c r="G994" s="228"/>
      <c r="H994" s="228"/>
      <c r="I994" s="228"/>
      <c r="J994" s="228"/>
      <c r="K994" s="228"/>
      <c r="L994" s="228">
        <v>10000</v>
      </c>
      <c r="M994" s="228">
        <v>69000000</v>
      </c>
      <c r="N994" s="228"/>
      <c r="O994" s="228"/>
      <c r="P994" s="228">
        <v>10000</v>
      </c>
      <c r="Q994" s="228">
        <v>69000000</v>
      </c>
    </row>
    <row r="995" spans="1:17">
      <c r="A995" s="165" t="s">
        <v>2278</v>
      </c>
      <c r="B995" s="165"/>
      <c r="C995" s="165"/>
      <c r="D995" s="228">
        <v>0</v>
      </c>
      <c r="E995" s="228">
        <v>0</v>
      </c>
      <c r="F995" s="228">
        <v>0</v>
      </c>
      <c r="G995" s="228">
        <v>0</v>
      </c>
      <c r="H995" s="228">
        <v>70350</v>
      </c>
      <c r="I995" s="228">
        <v>427556900</v>
      </c>
      <c r="J995" s="228">
        <v>20400</v>
      </c>
      <c r="K995" s="228">
        <v>87720000</v>
      </c>
      <c r="L995" s="228">
        <v>340650</v>
      </c>
      <c r="M995" s="228">
        <v>2462670800</v>
      </c>
      <c r="N995" s="228"/>
      <c r="O995" s="228"/>
      <c r="P995" s="228">
        <v>431400</v>
      </c>
      <c r="Q995" s="228">
        <v>2977947700</v>
      </c>
    </row>
    <row r="996" spans="1:17">
      <c r="A996" s="165" t="s">
        <v>1697</v>
      </c>
      <c r="B996" s="165" t="s">
        <v>2063</v>
      </c>
      <c r="C996" s="165">
        <v>12500</v>
      </c>
      <c r="D996" s="228">
        <v>0</v>
      </c>
      <c r="E996" s="228">
        <v>0</v>
      </c>
      <c r="F996" s="228"/>
      <c r="G996" s="228"/>
      <c r="H996" s="228"/>
      <c r="I996" s="228"/>
      <c r="J996" s="228"/>
      <c r="K996" s="228"/>
      <c r="L996" s="228"/>
      <c r="M996" s="228"/>
      <c r="N996" s="228"/>
      <c r="O996" s="228"/>
      <c r="P996" s="228">
        <v>0</v>
      </c>
      <c r="Q996" s="228">
        <v>0</v>
      </c>
    </row>
    <row r="997" spans="1:17">
      <c r="B997" s="165" t="s">
        <v>2017</v>
      </c>
      <c r="C997" s="165">
        <v>16000</v>
      </c>
      <c r="D997" s="228">
        <v>0</v>
      </c>
      <c r="E997" s="228">
        <v>0</v>
      </c>
      <c r="F997" s="228"/>
      <c r="G997" s="228"/>
      <c r="H997" s="228"/>
      <c r="I997" s="228"/>
      <c r="J997" s="228"/>
      <c r="K997" s="228"/>
      <c r="L997" s="228"/>
      <c r="M997" s="228"/>
      <c r="N997" s="228"/>
      <c r="O997" s="228"/>
      <c r="P997" s="228">
        <v>0</v>
      </c>
      <c r="Q997" s="228">
        <v>0</v>
      </c>
    </row>
    <row r="998" spans="1:17">
      <c r="B998" s="165" t="s">
        <v>2144</v>
      </c>
      <c r="C998" s="165">
        <v>12500</v>
      </c>
      <c r="D998" s="228">
        <v>0</v>
      </c>
      <c r="E998" s="228">
        <v>0</v>
      </c>
      <c r="F998" s="228"/>
      <c r="G998" s="228"/>
      <c r="H998" s="228"/>
      <c r="I998" s="228"/>
      <c r="J998" s="228"/>
      <c r="K998" s="228"/>
      <c r="L998" s="228"/>
      <c r="M998" s="228"/>
      <c r="N998" s="228"/>
      <c r="O998" s="228"/>
      <c r="P998" s="228">
        <v>0</v>
      </c>
      <c r="Q998" s="228">
        <v>0</v>
      </c>
    </row>
    <row r="999" spans="1:17">
      <c r="A999" s="165" t="s">
        <v>2279</v>
      </c>
      <c r="B999" s="165"/>
      <c r="C999" s="165"/>
      <c r="D999" s="228">
        <v>0</v>
      </c>
      <c r="E999" s="228">
        <v>0</v>
      </c>
      <c r="F999" s="228"/>
      <c r="G999" s="228"/>
      <c r="H999" s="228"/>
      <c r="I999" s="228"/>
      <c r="J999" s="228"/>
      <c r="K999" s="228"/>
      <c r="L999" s="228"/>
      <c r="M999" s="228"/>
      <c r="N999" s="228"/>
      <c r="O999" s="228"/>
      <c r="P999" s="228">
        <v>0</v>
      </c>
      <c r="Q999" s="228">
        <v>0</v>
      </c>
    </row>
    <row r="1000" spans="1:17">
      <c r="A1000" s="165" t="s">
        <v>921</v>
      </c>
      <c r="B1000" s="165" t="s">
        <v>2033</v>
      </c>
      <c r="C1000" s="165">
        <v>5700</v>
      </c>
      <c r="D1000" s="228"/>
      <c r="E1000" s="228"/>
      <c r="F1000" s="228"/>
      <c r="G1000" s="228"/>
      <c r="H1000" s="228"/>
      <c r="I1000" s="228"/>
      <c r="J1000" s="228">
        <v>20000</v>
      </c>
      <c r="K1000" s="228">
        <v>114000000</v>
      </c>
      <c r="L1000" s="228"/>
      <c r="M1000" s="228"/>
      <c r="N1000" s="228"/>
      <c r="O1000" s="228"/>
      <c r="P1000" s="228">
        <v>20000</v>
      </c>
      <c r="Q1000" s="228">
        <v>114000000</v>
      </c>
    </row>
    <row r="1001" spans="1:17">
      <c r="B1001" s="165" t="s">
        <v>2043</v>
      </c>
      <c r="C1001" s="165">
        <v>11600</v>
      </c>
      <c r="D1001" s="228"/>
      <c r="E1001" s="228"/>
      <c r="F1001" s="228"/>
      <c r="G1001" s="228"/>
      <c r="H1001" s="228"/>
      <c r="I1001" s="228"/>
      <c r="J1001" s="228"/>
      <c r="K1001" s="228"/>
      <c r="L1001" s="228">
        <v>8000</v>
      </c>
      <c r="M1001" s="228">
        <v>92800000</v>
      </c>
      <c r="N1001" s="228"/>
      <c r="O1001" s="228"/>
      <c r="P1001" s="228">
        <v>8000</v>
      </c>
      <c r="Q1001" s="228">
        <v>92800000</v>
      </c>
    </row>
    <row r="1002" spans="1:17">
      <c r="B1002" s="165" t="s">
        <v>2044</v>
      </c>
      <c r="C1002" s="165">
        <v>11600</v>
      </c>
      <c r="D1002" s="228"/>
      <c r="E1002" s="228"/>
      <c r="F1002" s="228"/>
      <c r="G1002" s="228"/>
      <c r="H1002" s="228"/>
      <c r="I1002" s="228"/>
      <c r="J1002" s="228"/>
      <c r="K1002" s="228"/>
      <c r="L1002" s="228">
        <v>7225</v>
      </c>
      <c r="M1002" s="228">
        <v>83810000</v>
      </c>
      <c r="N1002" s="228"/>
      <c r="O1002" s="228"/>
      <c r="P1002" s="228">
        <v>7225</v>
      </c>
      <c r="Q1002" s="228">
        <v>83810000</v>
      </c>
    </row>
    <row r="1003" spans="1:17">
      <c r="B1003" s="165" t="s">
        <v>2058</v>
      </c>
      <c r="C1003" s="165">
        <v>12500</v>
      </c>
      <c r="D1003" s="228"/>
      <c r="E1003" s="228"/>
      <c r="F1003" s="228"/>
      <c r="G1003" s="228"/>
      <c r="H1003" s="228"/>
      <c r="I1003" s="228"/>
      <c r="J1003" s="228"/>
      <c r="K1003" s="228"/>
      <c r="L1003" s="228">
        <v>40000</v>
      </c>
      <c r="M1003" s="228">
        <v>500000000</v>
      </c>
      <c r="N1003" s="228"/>
      <c r="O1003" s="228"/>
      <c r="P1003" s="228">
        <v>40000</v>
      </c>
      <c r="Q1003" s="228">
        <v>500000000</v>
      </c>
    </row>
    <row r="1004" spans="1:17">
      <c r="B1004" s="165" t="s">
        <v>2008</v>
      </c>
      <c r="C1004" s="165">
        <v>5000</v>
      </c>
      <c r="D1004" s="228"/>
      <c r="E1004" s="228"/>
      <c r="F1004" s="228">
        <v>0</v>
      </c>
      <c r="G1004" s="228">
        <v>0</v>
      </c>
      <c r="H1004" s="228"/>
      <c r="I1004" s="228"/>
      <c r="J1004" s="228"/>
      <c r="K1004" s="228"/>
      <c r="L1004" s="228"/>
      <c r="M1004" s="228"/>
      <c r="N1004" s="228"/>
      <c r="O1004" s="228"/>
      <c r="P1004" s="228">
        <v>0</v>
      </c>
      <c r="Q1004" s="228">
        <v>0</v>
      </c>
    </row>
    <row r="1005" spans="1:17">
      <c r="B1005" s="165" t="s">
        <v>2060</v>
      </c>
      <c r="C1005" s="165">
        <v>7300</v>
      </c>
      <c r="D1005" s="228"/>
      <c r="E1005" s="228"/>
      <c r="F1005" s="228"/>
      <c r="G1005" s="228"/>
      <c r="H1005" s="228"/>
      <c r="I1005" s="228"/>
      <c r="J1005" s="228"/>
      <c r="K1005" s="228"/>
      <c r="L1005" s="228">
        <v>25050</v>
      </c>
      <c r="M1005" s="228">
        <v>182865000</v>
      </c>
      <c r="N1005" s="228"/>
      <c r="O1005" s="228"/>
      <c r="P1005" s="228">
        <v>25050</v>
      </c>
      <c r="Q1005" s="228">
        <v>182865000</v>
      </c>
    </row>
    <row r="1006" spans="1:17">
      <c r="B1006" s="165" t="s">
        <v>2011</v>
      </c>
      <c r="C1006" s="165">
        <v>10600</v>
      </c>
      <c r="D1006" s="228"/>
      <c r="E1006" s="228"/>
      <c r="F1006" s="228"/>
      <c r="G1006" s="228"/>
      <c r="H1006" s="228"/>
      <c r="I1006" s="228"/>
      <c r="J1006" s="228"/>
      <c r="K1006" s="228"/>
      <c r="L1006" s="228">
        <v>60000</v>
      </c>
      <c r="M1006" s="228">
        <v>636000000</v>
      </c>
      <c r="N1006" s="228"/>
      <c r="O1006" s="228"/>
      <c r="P1006" s="228">
        <v>60000</v>
      </c>
      <c r="Q1006" s="228">
        <v>636000000</v>
      </c>
    </row>
    <row r="1007" spans="1:17">
      <c r="B1007" s="165" t="s">
        <v>2100</v>
      </c>
      <c r="C1007" s="165">
        <v>5400</v>
      </c>
      <c r="D1007" s="228"/>
      <c r="E1007" s="228"/>
      <c r="F1007" s="228"/>
      <c r="G1007" s="228"/>
      <c r="H1007" s="228">
        <v>25000</v>
      </c>
      <c r="I1007" s="228">
        <v>135000000</v>
      </c>
      <c r="J1007" s="228"/>
      <c r="K1007" s="228"/>
      <c r="L1007" s="228"/>
      <c r="M1007" s="228"/>
      <c r="N1007" s="228"/>
      <c r="O1007" s="228"/>
      <c r="P1007" s="228">
        <v>25000</v>
      </c>
      <c r="Q1007" s="228">
        <v>135000000</v>
      </c>
    </row>
    <row r="1008" spans="1:17">
      <c r="B1008" s="165" t="s">
        <v>2009</v>
      </c>
      <c r="C1008" s="165">
        <v>4800</v>
      </c>
      <c r="D1008" s="228"/>
      <c r="E1008" s="228"/>
      <c r="F1008" s="228">
        <v>0</v>
      </c>
      <c r="G1008" s="228">
        <v>0</v>
      </c>
      <c r="H1008" s="228"/>
      <c r="I1008" s="228"/>
      <c r="J1008" s="228"/>
      <c r="K1008" s="228"/>
      <c r="L1008" s="228"/>
      <c r="M1008" s="228"/>
      <c r="N1008" s="228"/>
      <c r="O1008" s="228"/>
      <c r="P1008" s="228">
        <v>0</v>
      </c>
      <c r="Q1008" s="228">
        <v>0</v>
      </c>
    </row>
    <row r="1009" spans="1:17">
      <c r="C1009" s="165">
        <v>5500</v>
      </c>
      <c r="D1009" s="228"/>
      <c r="E1009" s="228"/>
      <c r="F1009" s="228"/>
      <c r="G1009" s="228"/>
      <c r="H1009" s="228"/>
      <c r="I1009" s="228"/>
      <c r="J1009" s="228">
        <v>5000</v>
      </c>
      <c r="K1009" s="228">
        <v>27500000</v>
      </c>
      <c r="L1009" s="228"/>
      <c r="M1009" s="228"/>
      <c r="N1009" s="228"/>
      <c r="O1009" s="228"/>
      <c r="P1009" s="228">
        <v>5000</v>
      </c>
      <c r="Q1009" s="228">
        <v>27500000</v>
      </c>
    </row>
    <row r="1010" spans="1:17">
      <c r="B1010" s="165" t="s">
        <v>2171</v>
      </c>
      <c r="C1010" s="165">
        <v>5500</v>
      </c>
      <c r="D1010" s="228"/>
      <c r="E1010" s="228"/>
      <c r="F1010" s="228">
        <v>0</v>
      </c>
      <c r="G1010" s="228">
        <v>0</v>
      </c>
      <c r="H1010" s="228"/>
      <c r="I1010" s="228"/>
      <c r="J1010" s="228"/>
      <c r="K1010" s="228"/>
      <c r="L1010" s="228"/>
      <c r="M1010" s="228"/>
      <c r="N1010" s="228"/>
      <c r="O1010" s="228"/>
      <c r="P1010" s="228">
        <v>0</v>
      </c>
      <c r="Q1010" s="228">
        <v>0</v>
      </c>
    </row>
    <row r="1011" spans="1:17">
      <c r="B1011" s="165" t="s">
        <v>2186</v>
      </c>
      <c r="C1011" s="165">
        <v>2600</v>
      </c>
      <c r="D1011" s="228"/>
      <c r="E1011" s="228"/>
      <c r="F1011" s="228">
        <v>0</v>
      </c>
      <c r="G1011" s="228">
        <v>0</v>
      </c>
      <c r="H1011" s="228"/>
      <c r="I1011" s="228"/>
      <c r="J1011" s="228"/>
      <c r="K1011" s="228"/>
      <c r="L1011" s="228"/>
      <c r="M1011" s="228"/>
      <c r="N1011" s="228"/>
      <c r="O1011" s="228"/>
      <c r="P1011" s="228">
        <v>0</v>
      </c>
      <c r="Q1011" s="228">
        <v>0</v>
      </c>
    </row>
    <row r="1012" spans="1:17">
      <c r="B1012" s="165" t="s">
        <v>2188</v>
      </c>
      <c r="C1012" s="165">
        <v>3600</v>
      </c>
      <c r="D1012" s="228"/>
      <c r="E1012" s="228"/>
      <c r="F1012" s="228">
        <v>0</v>
      </c>
      <c r="G1012" s="228">
        <v>0</v>
      </c>
      <c r="H1012" s="228"/>
      <c r="I1012" s="228"/>
      <c r="J1012" s="228"/>
      <c r="K1012" s="228"/>
      <c r="L1012" s="228"/>
      <c r="M1012" s="228"/>
      <c r="N1012" s="228"/>
      <c r="O1012" s="228"/>
      <c r="P1012" s="228">
        <v>0</v>
      </c>
      <c r="Q1012" s="228">
        <v>0</v>
      </c>
    </row>
    <row r="1013" spans="1:17">
      <c r="C1013" s="165">
        <v>3800</v>
      </c>
      <c r="D1013" s="228"/>
      <c r="E1013" s="228"/>
      <c r="F1013" s="228"/>
      <c r="G1013" s="228"/>
      <c r="H1013" s="228">
        <v>5100</v>
      </c>
      <c r="I1013" s="228">
        <v>19380000</v>
      </c>
      <c r="J1013" s="228">
        <v>9900</v>
      </c>
      <c r="K1013" s="228">
        <v>37620000</v>
      </c>
      <c r="L1013" s="228"/>
      <c r="M1013" s="228"/>
      <c r="N1013" s="228"/>
      <c r="O1013" s="228"/>
      <c r="P1013" s="228">
        <v>15000</v>
      </c>
      <c r="Q1013" s="228">
        <v>57000000</v>
      </c>
    </row>
    <row r="1014" spans="1:17">
      <c r="C1014" s="165">
        <v>3920</v>
      </c>
      <c r="D1014" s="228"/>
      <c r="E1014" s="228"/>
      <c r="F1014" s="228"/>
      <c r="G1014" s="228"/>
      <c r="H1014" s="228"/>
      <c r="I1014" s="228"/>
      <c r="J1014" s="228"/>
      <c r="K1014" s="228"/>
      <c r="L1014" s="228">
        <v>25200</v>
      </c>
      <c r="M1014" s="228">
        <v>98784000</v>
      </c>
      <c r="N1014" s="228"/>
      <c r="O1014" s="228"/>
      <c r="P1014" s="228">
        <v>25200</v>
      </c>
      <c r="Q1014" s="228">
        <v>98784000</v>
      </c>
    </row>
    <row r="1015" spans="1:17">
      <c r="C1015" s="165">
        <v>4040</v>
      </c>
      <c r="D1015" s="228"/>
      <c r="E1015" s="228"/>
      <c r="F1015" s="228"/>
      <c r="G1015" s="228"/>
      <c r="H1015" s="228"/>
      <c r="I1015" s="228"/>
      <c r="J1015" s="228"/>
      <c r="K1015" s="228"/>
      <c r="L1015" s="228">
        <v>25200</v>
      </c>
      <c r="M1015" s="228">
        <v>101808000</v>
      </c>
      <c r="N1015" s="228"/>
      <c r="O1015" s="228"/>
      <c r="P1015" s="228">
        <v>25200</v>
      </c>
      <c r="Q1015" s="228">
        <v>101808000</v>
      </c>
    </row>
    <row r="1016" spans="1:17">
      <c r="A1016" s="165" t="s">
        <v>2280</v>
      </c>
      <c r="B1016" s="165"/>
      <c r="C1016" s="165"/>
      <c r="D1016" s="228"/>
      <c r="E1016" s="228"/>
      <c r="F1016" s="228">
        <v>0</v>
      </c>
      <c r="G1016" s="228">
        <v>0</v>
      </c>
      <c r="H1016" s="228">
        <v>30100</v>
      </c>
      <c r="I1016" s="228">
        <v>154380000</v>
      </c>
      <c r="J1016" s="228">
        <v>34900</v>
      </c>
      <c r="K1016" s="228">
        <v>179120000</v>
      </c>
      <c r="L1016" s="228">
        <v>190675</v>
      </c>
      <c r="M1016" s="228">
        <v>1696067000</v>
      </c>
      <c r="N1016" s="228"/>
      <c r="O1016" s="228"/>
      <c r="P1016" s="228">
        <v>255675</v>
      </c>
      <c r="Q1016" s="228">
        <v>2029567000</v>
      </c>
    </row>
    <row r="1017" spans="1:17">
      <c r="A1017" s="165" t="s">
        <v>1030</v>
      </c>
      <c r="B1017" s="165" t="s">
        <v>2038</v>
      </c>
      <c r="C1017" s="165">
        <v>4370</v>
      </c>
      <c r="D1017" s="228"/>
      <c r="E1017" s="228"/>
      <c r="F1017" s="228">
        <v>0</v>
      </c>
      <c r="G1017" s="228">
        <v>0</v>
      </c>
      <c r="H1017" s="228"/>
      <c r="I1017" s="228"/>
      <c r="J1017" s="228"/>
      <c r="K1017" s="228"/>
      <c r="L1017" s="228"/>
      <c r="M1017" s="228"/>
      <c r="N1017" s="228"/>
      <c r="O1017" s="228"/>
      <c r="P1017" s="228">
        <v>0</v>
      </c>
      <c r="Q1017" s="228">
        <v>0</v>
      </c>
    </row>
    <row r="1018" spans="1:17">
      <c r="B1018" s="165" t="s">
        <v>2009</v>
      </c>
      <c r="C1018" s="165">
        <v>5400</v>
      </c>
      <c r="D1018" s="228"/>
      <c r="E1018" s="228"/>
      <c r="F1018" s="228">
        <v>0</v>
      </c>
      <c r="G1018" s="228">
        <v>0</v>
      </c>
      <c r="H1018" s="228"/>
      <c r="I1018" s="228"/>
      <c r="J1018" s="228"/>
      <c r="K1018" s="228"/>
      <c r="L1018" s="228"/>
      <c r="M1018" s="228"/>
      <c r="N1018" s="228"/>
      <c r="O1018" s="228"/>
      <c r="P1018" s="228">
        <v>0</v>
      </c>
      <c r="Q1018" s="228">
        <v>0</v>
      </c>
    </row>
    <row r="1019" spans="1:17">
      <c r="B1019" s="165" t="s">
        <v>2187</v>
      </c>
      <c r="C1019" s="165">
        <v>3000</v>
      </c>
      <c r="D1019" s="228"/>
      <c r="E1019" s="228"/>
      <c r="F1019" s="228">
        <v>0</v>
      </c>
      <c r="G1019" s="228">
        <v>0</v>
      </c>
      <c r="H1019" s="228"/>
      <c r="I1019" s="228"/>
      <c r="J1019" s="228"/>
      <c r="K1019" s="228"/>
      <c r="L1019" s="228"/>
      <c r="M1019" s="228"/>
      <c r="N1019" s="228"/>
      <c r="O1019" s="228"/>
      <c r="P1019" s="228">
        <v>0</v>
      </c>
      <c r="Q1019" s="228">
        <v>0</v>
      </c>
    </row>
    <row r="1020" spans="1:17">
      <c r="B1020" s="165" t="s">
        <v>2188</v>
      </c>
      <c r="C1020" s="165">
        <v>3800</v>
      </c>
      <c r="D1020" s="228"/>
      <c r="E1020" s="228"/>
      <c r="F1020" s="228">
        <v>0</v>
      </c>
      <c r="G1020" s="228">
        <v>0</v>
      </c>
      <c r="H1020" s="228"/>
      <c r="I1020" s="228"/>
      <c r="J1020" s="228"/>
      <c r="K1020" s="228"/>
      <c r="L1020" s="228"/>
      <c r="M1020" s="228"/>
      <c r="N1020" s="228"/>
      <c r="O1020" s="228"/>
      <c r="P1020" s="228">
        <v>0</v>
      </c>
      <c r="Q1020" s="228">
        <v>0</v>
      </c>
    </row>
    <row r="1021" spans="1:17">
      <c r="C1021" s="165">
        <v>3900</v>
      </c>
      <c r="D1021" s="228"/>
      <c r="E1021" s="228"/>
      <c r="F1021" s="228">
        <v>0</v>
      </c>
      <c r="G1021" s="228">
        <v>0</v>
      </c>
      <c r="H1021" s="228"/>
      <c r="I1021" s="228"/>
      <c r="J1021" s="228"/>
      <c r="K1021" s="228"/>
      <c r="L1021" s="228"/>
      <c r="M1021" s="228"/>
      <c r="N1021" s="228"/>
      <c r="O1021" s="228"/>
      <c r="P1021" s="228">
        <v>0</v>
      </c>
      <c r="Q1021" s="228">
        <v>0</v>
      </c>
    </row>
    <row r="1022" spans="1:17">
      <c r="A1022" s="165" t="s">
        <v>2281</v>
      </c>
      <c r="B1022" s="165"/>
      <c r="C1022" s="165"/>
      <c r="D1022" s="228"/>
      <c r="E1022" s="228"/>
      <c r="F1022" s="228">
        <v>0</v>
      </c>
      <c r="G1022" s="228">
        <v>0</v>
      </c>
      <c r="H1022" s="228"/>
      <c r="I1022" s="228"/>
      <c r="J1022" s="228"/>
      <c r="K1022" s="228"/>
      <c r="L1022" s="228"/>
      <c r="M1022" s="228"/>
      <c r="N1022" s="228"/>
      <c r="O1022" s="228"/>
      <c r="P1022" s="228">
        <v>0</v>
      </c>
      <c r="Q1022" s="228">
        <v>0</v>
      </c>
    </row>
    <row r="1023" spans="1:17">
      <c r="A1023" s="165" t="s">
        <v>1702</v>
      </c>
      <c r="B1023" s="165" t="s">
        <v>2036</v>
      </c>
      <c r="C1023" s="165">
        <v>4370</v>
      </c>
      <c r="D1023" s="228">
        <v>0</v>
      </c>
      <c r="E1023" s="228">
        <v>0</v>
      </c>
      <c r="F1023" s="228"/>
      <c r="G1023" s="228"/>
      <c r="H1023" s="228"/>
      <c r="I1023" s="228"/>
      <c r="J1023" s="228"/>
      <c r="K1023" s="228"/>
      <c r="L1023" s="228"/>
      <c r="M1023" s="228"/>
      <c r="N1023" s="228"/>
      <c r="O1023" s="228"/>
      <c r="P1023" s="228">
        <v>0</v>
      </c>
      <c r="Q1023" s="228">
        <v>0</v>
      </c>
    </row>
    <row r="1024" spans="1:17">
      <c r="B1024" s="165" t="s">
        <v>2037</v>
      </c>
      <c r="C1024" s="165">
        <v>4370</v>
      </c>
      <c r="D1024" s="228"/>
      <c r="E1024" s="228"/>
      <c r="F1024" s="228">
        <v>0</v>
      </c>
      <c r="G1024" s="228">
        <v>0</v>
      </c>
      <c r="H1024" s="228"/>
      <c r="I1024" s="228"/>
      <c r="J1024" s="228"/>
      <c r="K1024" s="228"/>
      <c r="L1024" s="228"/>
      <c r="M1024" s="228"/>
      <c r="N1024" s="228"/>
      <c r="O1024" s="228"/>
      <c r="P1024" s="228">
        <v>0</v>
      </c>
      <c r="Q1024" s="228">
        <v>0</v>
      </c>
    </row>
    <row r="1025" spans="1:17">
      <c r="B1025" s="165" t="s">
        <v>2038</v>
      </c>
      <c r="C1025" s="165">
        <v>4370</v>
      </c>
      <c r="D1025" s="228"/>
      <c r="E1025" s="228"/>
      <c r="F1025" s="228">
        <v>0</v>
      </c>
      <c r="G1025" s="228">
        <v>0</v>
      </c>
      <c r="H1025" s="228"/>
      <c r="I1025" s="228"/>
      <c r="J1025" s="228"/>
      <c r="K1025" s="228"/>
      <c r="L1025" s="228"/>
      <c r="M1025" s="228"/>
      <c r="N1025" s="228"/>
      <c r="O1025" s="228"/>
      <c r="P1025" s="228">
        <v>0</v>
      </c>
      <c r="Q1025" s="228">
        <v>0</v>
      </c>
    </row>
    <row r="1026" spans="1:17">
      <c r="B1026" s="165" t="s">
        <v>2053</v>
      </c>
      <c r="C1026" s="165">
        <v>8000</v>
      </c>
      <c r="D1026" s="228"/>
      <c r="E1026" s="228"/>
      <c r="F1026" s="228">
        <v>0</v>
      </c>
      <c r="G1026" s="228">
        <v>0</v>
      </c>
      <c r="H1026" s="228"/>
      <c r="I1026" s="228"/>
      <c r="J1026" s="228"/>
      <c r="K1026" s="228"/>
      <c r="L1026" s="228"/>
      <c r="M1026" s="228"/>
      <c r="N1026" s="228"/>
      <c r="O1026" s="228"/>
      <c r="P1026" s="228">
        <v>0</v>
      </c>
      <c r="Q1026" s="228">
        <v>0</v>
      </c>
    </row>
    <row r="1027" spans="1:17">
      <c r="B1027" s="165" t="s">
        <v>2060</v>
      </c>
      <c r="C1027" s="165">
        <v>8000</v>
      </c>
      <c r="D1027" s="228"/>
      <c r="E1027" s="228"/>
      <c r="F1027" s="228"/>
      <c r="G1027" s="228"/>
      <c r="H1027" s="228"/>
      <c r="I1027" s="228"/>
      <c r="J1027" s="228"/>
      <c r="K1027" s="228"/>
      <c r="L1027" s="228">
        <v>10050</v>
      </c>
      <c r="M1027" s="228">
        <v>80400000</v>
      </c>
      <c r="N1027" s="228"/>
      <c r="O1027" s="228"/>
      <c r="P1027" s="228">
        <v>10050</v>
      </c>
      <c r="Q1027" s="228">
        <v>80400000</v>
      </c>
    </row>
    <row r="1028" spans="1:17">
      <c r="B1028" s="165" t="s">
        <v>2091</v>
      </c>
      <c r="C1028" s="165">
        <v>5800</v>
      </c>
      <c r="D1028" s="228"/>
      <c r="E1028" s="228"/>
      <c r="F1028" s="228">
        <v>0</v>
      </c>
      <c r="G1028" s="228">
        <v>0</v>
      </c>
      <c r="H1028" s="228"/>
      <c r="I1028" s="228"/>
      <c r="J1028" s="228"/>
      <c r="K1028" s="228"/>
      <c r="L1028" s="228"/>
      <c r="M1028" s="228"/>
      <c r="N1028" s="228"/>
      <c r="O1028" s="228"/>
      <c r="P1028" s="228">
        <v>0</v>
      </c>
      <c r="Q1028" s="228">
        <v>0</v>
      </c>
    </row>
    <row r="1029" spans="1:17">
      <c r="B1029" s="165" t="s">
        <v>2100</v>
      </c>
      <c r="C1029" s="165">
        <v>5000</v>
      </c>
      <c r="D1029" s="228">
        <v>0</v>
      </c>
      <c r="E1029" s="228">
        <v>0</v>
      </c>
      <c r="F1029" s="228">
        <v>0</v>
      </c>
      <c r="G1029" s="228">
        <v>0</v>
      </c>
      <c r="H1029" s="228"/>
      <c r="I1029" s="228"/>
      <c r="J1029" s="228"/>
      <c r="K1029" s="228"/>
      <c r="L1029" s="228"/>
      <c r="M1029" s="228"/>
      <c r="N1029" s="228"/>
      <c r="O1029" s="228"/>
      <c r="P1029" s="228">
        <v>0</v>
      </c>
      <c r="Q1029" s="228">
        <v>0</v>
      </c>
    </row>
    <row r="1030" spans="1:17">
      <c r="B1030" s="165" t="s">
        <v>2119</v>
      </c>
      <c r="C1030" s="165">
        <v>6800</v>
      </c>
      <c r="D1030" s="228"/>
      <c r="E1030" s="228"/>
      <c r="F1030" s="228"/>
      <c r="G1030" s="228"/>
      <c r="H1030" s="228"/>
      <c r="I1030" s="228"/>
      <c r="J1030" s="228"/>
      <c r="K1030" s="228"/>
      <c r="L1030" s="228">
        <v>10000</v>
      </c>
      <c r="M1030" s="228">
        <v>68000000</v>
      </c>
      <c r="N1030" s="228"/>
      <c r="O1030" s="228"/>
      <c r="P1030" s="228">
        <v>10000</v>
      </c>
      <c r="Q1030" s="228">
        <v>68000000</v>
      </c>
    </row>
    <row r="1031" spans="1:17">
      <c r="B1031" s="165" t="s">
        <v>2009</v>
      </c>
      <c r="C1031" s="165">
        <v>5000</v>
      </c>
      <c r="D1031" s="228"/>
      <c r="E1031" s="228"/>
      <c r="F1031" s="228"/>
      <c r="G1031" s="228"/>
      <c r="H1031" s="228"/>
      <c r="I1031" s="228"/>
      <c r="J1031" s="228"/>
      <c r="K1031" s="228"/>
      <c r="L1031" s="228">
        <v>40000</v>
      </c>
      <c r="M1031" s="228">
        <v>200000000</v>
      </c>
      <c r="N1031" s="228"/>
      <c r="O1031" s="228"/>
      <c r="P1031" s="228">
        <v>40000</v>
      </c>
      <c r="Q1031" s="228">
        <v>200000000</v>
      </c>
    </row>
    <row r="1032" spans="1:17">
      <c r="C1032" s="165">
        <v>5100</v>
      </c>
      <c r="D1032" s="228"/>
      <c r="E1032" s="228"/>
      <c r="F1032" s="228">
        <v>0</v>
      </c>
      <c r="G1032" s="228">
        <v>0</v>
      </c>
      <c r="H1032" s="228"/>
      <c r="I1032" s="228"/>
      <c r="J1032" s="228"/>
      <c r="K1032" s="228"/>
      <c r="L1032" s="228"/>
      <c r="M1032" s="228"/>
      <c r="N1032" s="228"/>
      <c r="O1032" s="228"/>
      <c r="P1032" s="228">
        <v>0</v>
      </c>
      <c r="Q1032" s="228">
        <v>0</v>
      </c>
    </row>
    <row r="1033" spans="1:17">
      <c r="C1033" s="165">
        <v>5500</v>
      </c>
      <c r="D1033" s="228"/>
      <c r="E1033" s="228"/>
      <c r="F1033" s="228"/>
      <c r="G1033" s="228"/>
      <c r="H1033" s="228">
        <v>20000</v>
      </c>
      <c r="I1033" s="228">
        <v>110000000</v>
      </c>
      <c r="J1033" s="228"/>
      <c r="K1033" s="228"/>
      <c r="L1033" s="228"/>
      <c r="M1033" s="228"/>
      <c r="N1033" s="228"/>
      <c r="O1033" s="228"/>
      <c r="P1033" s="228">
        <v>20000</v>
      </c>
      <c r="Q1033" s="228">
        <v>110000000</v>
      </c>
    </row>
    <row r="1034" spans="1:17">
      <c r="B1034" s="165" t="s">
        <v>2186</v>
      </c>
      <c r="C1034" s="165">
        <v>2600</v>
      </c>
      <c r="D1034" s="228"/>
      <c r="E1034" s="228"/>
      <c r="F1034" s="228">
        <v>0</v>
      </c>
      <c r="G1034" s="228">
        <v>0</v>
      </c>
      <c r="H1034" s="228"/>
      <c r="I1034" s="228"/>
      <c r="J1034" s="228"/>
      <c r="K1034" s="228"/>
      <c r="L1034" s="228"/>
      <c r="M1034" s="228"/>
      <c r="N1034" s="228"/>
      <c r="O1034" s="228"/>
      <c r="P1034" s="228">
        <v>0</v>
      </c>
      <c r="Q1034" s="228">
        <v>0</v>
      </c>
    </row>
    <row r="1035" spans="1:17">
      <c r="C1035" s="165">
        <v>2700</v>
      </c>
      <c r="D1035" s="228">
        <v>0</v>
      </c>
      <c r="E1035" s="228">
        <v>0</v>
      </c>
      <c r="F1035" s="228"/>
      <c r="G1035" s="228"/>
      <c r="H1035" s="228"/>
      <c r="I1035" s="228"/>
      <c r="J1035" s="228"/>
      <c r="K1035" s="228"/>
      <c r="L1035" s="228"/>
      <c r="M1035" s="228"/>
      <c r="N1035" s="228"/>
      <c r="O1035" s="228"/>
      <c r="P1035" s="228">
        <v>0</v>
      </c>
      <c r="Q1035" s="228">
        <v>0</v>
      </c>
    </row>
    <row r="1036" spans="1:17">
      <c r="C1036" s="165">
        <v>2900</v>
      </c>
      <c r="D1036" s="228"/>
      <c r="E1036" s="228"/>
      <c r="F1036" s="228"/>
      <c r="G1036" s="228"/>
      <c r="H1036" s="228">
        <v>6000</v>
      </c>
      <c r="I1036" s="228">
        <v>17400000</v>
      </c>
      <c r="J1036" s="228"/>
      <c r="K1036" s="228"/>
      <c r="L1036" s="228"/>
      <c r="M1036" s="228"/>
      <c r="N1036" s="228"/>
      <c r="O1036" s="228"/>
      <c r="P1036" s="228">
        <v>6000</v>
      </c>
      <c r="Q1036" s="228">
        <v>17400000</v>
      </c>
    </row>
    <row r="1037" spans="1:17">
      <c r="B1037" s="165" t="s">
        <v>2188</v>
      </c>
      <c r="C1037" s="165">
        <v>3800</v>
      </c>
      <c r="D1037" s="228">
        <v>0</v>
      </c>
      <c r="E1037" s="228">
        <v>0</v>
      </c>
      <c r="F1037" s="228"/>
      <c r="G1037" s="228"/>
      <c r="H1037" s="228"/>
      <c r="I1037" s="228"/>
      <c r="J1037" s="228"/>
      <c r="K1037" s="228"/>
      <c r="L1037" s="228">
        <v>50100</v>
      </c>
      <c r="M1037" s="228">
        <v>190380000</v>
      </c>
      <c r="N1037" s="228"/>
      <c r="O1037" s="228"/>
      <c r="P1037" s="228">
        <v>50100</v>
      </c>
      <c r="Q1037" s="228">
        <v>190380000</v>
      </c>
    </row>
    <row r="1038" spans="1:17">
      <c r="A1038" s="165" t="s">
        <v>2282</v>
      </c>
      <c r="B1038" s="165"/>
      <c r="C1038" s="165"/>
      <c r="D1038" s="228">
        <v>0</v>
      </c>
      <c r="E1038" s="228">
        <v>0</v>
      </c>
      <c r="F1038" s="228">
        <v>0</v>
      </c>
      <c r="G1038" s="228">
        <v>0</v>
      </c>
      <c r="H1038" s="228">
        <v>26000</v>
      </c>
      <c r="I1038" s="228">
        <v>127400000</v>
      </c>
      <c r="J1038" s="228"/>
      <c r="K1038" s="228"/>
      <c r="L1038" s="228">
        <v>110150</v>
      </c>
      <c r="M1038" s="228">
        <v>538780000</v>
      </c>
      <c r="N1038" s="228"/>
      <c r="O1038" s="228"/>
      <c r="P1038" s="228">
        <v>136150</v>
      </c>
      <c r="Q1038" s="228">
        <v>666180000</v>
      </c>
    </row>
    <row r="1039" spans="1:17">
      <c r="A1039" s="165" t="s">
        <v>211</v>
      </c>
      <c r="B1039" s="165" t="s">
        <v>2125</v>
      </c>
      <c r="C1039" s="165">
        <v>3300</v>
      </c>
      <c r="D1039" s="228"/>
      <c r="E1039" s="228"/>
      <c r="F1039" s="228">
        <v>0</v>
      </c>
      <c r="G1039" s="228">
        <v>0</v>
      </c>
      <c r="H1039" s="228"/>
      <c r="I1039" s="228"/>
      <c r="J1039" s="228"/>
      <c r="K1039" s="228"/>
      <c r="L1039" s="228"/>
      <c r="M1039" s="228"/>
      <c r="N1039" s="228"/>
      <c r="O1039" s="228"/>
      <c r="P1039" s="228">
        <v>0</v>
      </c>
      <c r="Q1039" s="228">
        <v>0</v>
      </c>
    </row>
    <row r="1040" spans="1:17">
      <c r="B1040" s="165" t="s">
        <v>2176</v>
      </c>
      <c r="C1040" s="165">
        <v>4500</v>
      </c>
      <c r="D1040" s="228"/>
      <c r="E1040" s="228"/>
      <c r="F1040" s="228">
        <v>0</v>
      </c>
      <c r="G1040" s="228">
        <v>0</v>
      </c>
      <c r="H1040" s="228"/>
      <c r="I1040" s="228"/>
      <c r="J1040" s="228"/>
      <c r="K1040" s="228"/>
      <c r="L1040" s="228"/>
      <c r="M1040" s="228"/>
      <c r="N1040" s="228"/>
      <c r="O1040" s="228"/>
      <c r="P1040" s="228">
        <v>0</v>
      </c>
      <c r="Q1040" s="228">
        <v>0</v>
      </c>
    </row>
    <row r="1041" spans="1:17">
      <c r="A1041" s="165" t="s">
        <v>2283</v>
      </c>
      <c r="B1041" s="165"/>
      <c r="C1041" s="165"/>
      <c r="D1041" s="228"/>
      <c r="E1041" s="228"/>
      <c r="F1041" s="228">
        <v>0</v>
      </c>
      <c r="G1041" s="228">
        <v>0</v>
      </c>
      <c r="H1041" s="228"/>
      <c r="I1041" s="228"/>
      <c r="J1041" s="228"/>
      <c r="K1041" s="228"/>
      <c r="L1041" s="228"/>
      <c r="M1041" s="228"/>
      <c r="N1041" s="228"/>
      <c r="O1041" s="228"/>
      <c r="P1041" s="228">
        <v>0</v>
      </c>
      <c r="Q1041" s="228">
        <v>0</v>
      </c>
    </row>
    <row r="1042" spans="1:17">
      <c r="A1042" s="165" t="s">
        <v>84</v>
      </c>
      <c r="B1042" s="165" t="s">
        <v>2033</v>
      </c>
      <c r="C1042" s="165">
        <v>5500</v>
      </c>
      <c r="D1042" s="228">
        <v>0</v>
      </c>
      <c r="E1042" s="228">
        <v>0</v>
      </c>
      <c r="F1042" s="228"/>
      <c r="G1042" s="228"/>
      <c r="H1042" s="228"/>
      <c r="I1042" s="228"/>
      <c r="J1042" s="228"/>
      <c r="K1042" s="228"/>
      <c r="L1042" s="228"/>
      <c r="M1042" s="228"/>
      <c r="N1042" s="228"/>
      <c r="O1042" s="228"/>
      <c r="P1042" s="228">
        <v>0</v>
      </c>
      <c r="Q1042" s="228">
        <v>0</v>
      </c>
    </row>
    <row r="1043" spans="1:17">
      <c r="B1043" s="165" t="s">
        <v>2129</v>
      </c>
      <c r="C1043" s="165">
        <v>5000</v>
      </c>
      <c r="D1043" s="228">
        <v>0</v>
      </c>
      <c r="E1043" s="228">
        <v>0</v>
      </c>
      <c r="F1043" s="228"/>
      <c r="G1043" s="228"/>
      <c r="H1043" s="228"/>
      <c r="I1043" s="228"/>
      <c r="J1043" s="228"/>
      <c r="K1043" s="228"/>
      <c r="L1043" s="228"/>
      <c r="M1043" s="228"/>
      <c r="N1043" s="228"/>
      <c r="O1043" s="228"/>
      <c r="P1043" s="228">
        <v>0</v>
      </c>
      <c r="Q1043" s="228">
        <v>0</v>
      </c>
    </row>
    <row r="1044" spans="1:17">
      <c r="B1044" s="165" t="s">
        <v>2130</v>
      </c>
      <c r="C1044" s="165">
        <v>5000</v>
      </c>
      <c r="D1044" s="228">
        <v>0</v>
      </c>
      <c r="E1044" s="228">
        <v>0</v>
      </c>
      <c r="F1044" s="228"/>
      <c r="G1044" s="228"/>
      <c r="H1044" s="228"/>
      <c r="I1044" s="228"/>
      <c r="J1044" s="228"/>
      <c r="K1044" s="228"/>
      <c r="L1044" s="228"/>
      <c r="M1044" s="228"/>
      <c r="N1044" s="228"/>
      <c r="O1044" s="228"/>
      <c r="P1044" s="228">
        <v>0</v>
      </c>
      <c r="Q1044" s="228">
        <v>0</v>
      </c>
    </row>
    <row r="1045" spans="1:17">
      <c r="C1045" s="165">
        <v>5100</v>
      </c>
      <c r="D1045" s="228">
        <v>0</v>
      </c>
      <c r="E1045" s="228">
        <v>0</v>
      </c>
      <c r="F1045" s="228"/>
      <c r="G1045" s="228"/>
      <c r="H1045" s="228"/>
      <c r="I1045" s="228"/>
      <c r="J1045" s="228"/>
      <c r="K1045" s="228"/>
      <c r="L1045" s="228"/>
      <c r="M1045" s="228"/>
      <c r="N1045" s="228"/>
      <c r="O1045" s="228"/>
      <c r="P1045" s="228">
        <v>0</v>
      </c>
      <c r="Q1045" s="228">
        <v>0</v>
      </c>
    </row>
    <row r="1046" spans="1:17">
      <c r="B1046" s="165" t="s">
        <v>2188</v>
      </c>
      <c r="C1046" s="165">
        <v>3800</v>
      </c>
      <c r="D1046" s="228">
        <v>0</v>
      </c>
      <c r="E1046" s="228">
        <v>0</v>
      </c>
      <c r="F1046" s="228"/>
      <c r="G1046" s="228"/>
      <c r="H1046" s="228"/>
      <c r="I1046" s="228"/>
      <c r="J1046" s="228"/>
      <c r="K1046" s="228"/>
      <c r="L1046" s="228"/>
      <c r="M1046" s="228"/>
      <c r="N1046" s="228"/>
      <c r="O1046" s="228"/>
      <c r="P1046" s="228">
        <v>0</v>
      </c>
      <c r="Q1046" s="228">
        <v>0</v>
      </c>
    </row>
    <row r="1047" spans="1:17">
      <c r="C1047" s="165">
        <v>3900</v>
      </c>
      <c r="D1047" s="228">
        <v>0</v>
      </c>
      <c r="E1047" s="228">
        <v>0</v>
      </c>
      <c r="F1047" s="228"/>
      <c r="G1047" s="228"/>
      <c r="H1047" s="228"/>
      <c r="I1047" s="228"/>
      <c r="J1047" s="228"/>
      <c r="K1047" s="228"/>
      <c r="L1047" s="228"/>
      <c r="M1047" s="228"/>
      <c r="N1047" s="228"/>
      <c r="O1047" s="228"/>
      <c r="P1047" s="228">
        <v>0</v>
      </c>
      <c r="Q1047" s="228">
        <v>0</v>
      </c>
    </row>
    <row r="1048" spans="1:17">
      <c r="A1048" s="165" t="s">
        <v>2284</v>
      </c>
      <c r="B1048" s="165"/>
      <c r="C1048" s="165"/>
      <c r="D1048" s="228">
        <v>0</v>
      </c>
      <c r="E1048" s="228">
        <v>0</v>
      </c>
      <c r="F1048" s="228"/>
      <c r="G1048" s="228"/>
      <c r="H1048" s="228"/>
      <c r="I1048" s="228"/>
      <c r="J1048" s="228"/>
      <c r="K1048" s="228"/>
      <c r="L1048" s="228"/>
      <c r="M1048" s="228"/>
      <c r="N1048" s="228"/>
      <c r="O1048" s="228"/>
      <c r="P1048" s="228">
        <v>0</v>
      </c>
      <c r="Q1048" s="228">
        <v>0</v>
      </c>
    </row>
    <row r="1049" spans="1:17">
      <c r="A1049" s="165" t="s">
        <v>215</v>
      </c>
      <c r="B1049" s="165" t="s">
        <v>2116</v>
      </c>
      <c r="C1049" s="165">
        <v>3000</v>
      </c>
      <c r="D1049" s="228"/>
      <c r="E1049" s="228"/>
      <c r="F1049" s="228">
        <v>0</v>
      </c>
      <c r="G1049" s="228">
        <v>0</v>
      </c>
      <c r="H1049" s="228"/>
      <c r="I1049" s="228"/>
      <c r="J1049" s="228"/>
      <c r="K1049" s="228"/>
      <c r="L1049" s="228"/>
      <c r="M1049" s="228"/>
      <c r="N1049" s="228"/>
      <c r="O1049" s="228"/>
      <c r="P1049" s="228">
        <v>0</v>
      </c>
      <c r="Q1049" s="228">
        <v>0</v>
      </c>
    </row>
    <row r="1050" spans="1:17">
      <c r="B1050" s="165" t="s">
        <v>2125</v>
      </c>
      <c r="C1050" s="165">
        <v>2800</v>
      </c>
      <c r="D1050" s="228"/>
      <c r="E1050" s="228"/>
      <c r="F1050" s="228">
        <v>0</v>
      </c>
      <c r="G1050" s="228">
        <v>0</v>
      </c>
      <c r="H1050" s="228"/>
      <c r="I1050" s="228"/>
      <c r="J1050" s="228"/>
      <c r="K1050" s="228"/>
      <c r="L1050" s="228"/>
      <c r="M1050" s="228"/>
      <c r="N1050" s="228"/>
      <c r="O1050" s="228"/>
      <c r="P1050" s="228">
        <v>0</v>
      </c>
      <c r="Q1050" s="228">
        <v>0</v>
      </c>
    </row>
    <row r="1051" spans="1:17">
      <c r="A1051" s="165" t="s">
        <v>2285</v>
      </c>
      <c r="B1051" s="165"/>
      <c r="C1051" s="165"/>
      <c r="D1051" s="228"/>
      <c r="E1051" s="228"/>
      <c r="F1051" s="228">
        <v>0</v>
      </c>
      <c r="G1051" s="228">
        <v>0</v>
      </c>
      <c r="H1051" s="228"/>
      <c r="I1051" s="228"/>
      <c r="J1051" s="228"/>
      <c r="K1051" s="228"/>
      <c r="L1051" s="228"/>
      <c r="M1051" s="228"/>
      <c r="N1051" s="228"/>
      <c r="O1051" s="228"/>
      <c r="P1051" s="228">
        <v>0</v>
      </c>
      <c r="Q1051" s="228">
        <v>0</v>
      </c>
    </row>
    <row r="1052" spans="1:17">
      <c r="A1052" s="165" t="s">
        <v>1589</v>
      </c>
      <c r="B1052" s="165" t="s">
        <v>2011</v>
      </c>
      <c r="C1052" s="165">
        <v>10600</v>
      </c>
      <c r="D1052" s="228"/>
      <c r="E1052" s="228"/>
      <c r="F1052" s="228"/>
      <c r="G1052" s="228"/>
      <c r="H1052" s="228"/>
      <c r="I1052" s="228"/>
      <c r="J1052" s="228"/>
      <c r="K1052" s="228"/>
      <c r="L1052" s="228">
        <v>7000</v>
      </c>
      <c r="M1052" s="228">
        <v>74200000</v>
      </c>
      <c r="N1052" s="228"/>
      <c r="O1052" s="228"/>
      <c r="P1052" s="228">
        <v>7000</v>
      </c>
      <c r="Q1052" s="228">
        <v>74200000</v>
      </c>
    </row>
    <row r="1053" spans="1:17">
      <c r="B1053" s="165" t="s">
        <v>2067</v>
      </c>
      <c r="C1053" s="165">
        <v>5500</v>
      </c>
      <c r="D1053" s="228">
        <v>0</v>
      </c>
      <c r="E1053" s="228">
        <v>0</v>
      </c>
      <c r="F1053" s="228"/>
      <c r="G1053" s="228"/>
      <c r="H1053" s="228"/>
      <c r="I1053" s="228"/>
      <c r="J1053" s="228"/>
      <c r="K1053" s="228"/>
      <c r="L1053" s="228"/>
      <c r="M1053" s="228"/>
      <c r="N1053" s="228"/>
      <c r="O1053" s="228"/>
      <c r="P1053" s="228">
        <v>0</v>
      </c>
      <c r="Q1053" s="228">
        <v>0</v>
      </c>
    </row>
    <row r="1054" spans="1:17">
      <c r="C1054" s="165">
        <v>5600</v>
      </c>
      <c r="D1054" s="228">
        <v>0</v>
      </c>
      <c r="E1054" s="228">
        <v>0</v>
      </c>
      <c r="F1054" s="228"/>
      <c r="G1054" s="228"/>
      <c r="H1054" s="228"/>
      <c r="I1054" s="228"/>
      <c r="J1054" s="228"/>
      <c r="K1054" s="228"/>
      <c r="L1054" s="228"/>
      <c r="M1054" s="228"/>
      <c r="N1054" s="228"/>
      <c r="O1054" s="228"/>
      <c r="P1054" s="228">
        <v>0</v>
      </c>
      <c r="Q1054" s="228">
        <v>0</v>
      </c>
    </row>
    <row r="1055" spans="1:17">
      <c r="C1055" s="165">
        <v>5700</v>
      </c>
      <c r="D1055" s="228"/>
      <c r="E1055" s="228"/>
      <c r="F1055" s="228"/>
      <c r="G1055" s="228"/>
      <c r="H1055" s="228"/>
      <c r="I1055" s="228"/>
      <c r="J1055" s="228"/>
      <c r="K1055" s="228"/>
      <c r="L1055" s="228">
        <v>6900</v>
      </c>
      <c r="M1055" s="228">
        <v>39330000</v>
      </c>
      <c r="N1055" s="228"/>
      <c r="O1055" s="228"/>
      <c r="P1055" s="228">
        <v>6900</v>
      </c>
      <c r="Q1055" s="228">
        <v>39330000</v>
      </c>
    </row>
    <row r="1056" spans="1:17">
      <c r="B1056" s="165" t="s">
        <v>2098</v>
      </c>
      <c r="C1056" s="165">
        <v>4000</v>
      </c>
      <c r="D1056" s="228"/>
      <c r="E1056" s="228"/>
      <c r="F1056" s="228">
        <v>0</v>
      </c>
      <c r="G1056" s="228">
        <v>0</v>
      </c>
      <c r="H1056" s="228"/>
      <c r="I1056" s="228"/>
      <c r="J1056" s="228"/>
      <c r="K1056" s="228"/>
      <c r="L1056" s="228"/>
      <c r="M1056" s="228"/>
      <c r="N1056" s="228"/>
      <c r="O1056" s="228"/>
      <c r="P1056" s="228">
        <v>0</v>
      </c>
      <c r="Q1056" s="228">
        <v>0</v>
      </c>
    </row>
    <row r="1057" spans="1:17">
      <c r="B1057" s="165" t="s">
        <v>2100</v>
      </c>
      <c r="C1057" s="165">
        <v>5400</v>
      </c>
      <c r="D1057" s="228"/>
      <c r="E1057" s="228"/>
      <c r="F1057" s="228"/>
      <c r="G1057" s="228"/>
      <c r="H1057" s="228">
        <v>10000</v>
      </c>
      <c r="I1057" s="228">
        <v>54000000</v>
      </c>
      <c r="J1057" s="228"/>
      <c r="K1057" s="228"/>
      <c r="L1057" s="228"/>
      <c r="M1057" s="228"/>
      <c r="N1057" s="228"/>
      <c r="O1057" s="228"/>
      <c r="P1057" s="228">
        <v>10000</v>
      </c>
      <c r="Q1057" s="228">
        <v>54000000</v>
      </c>
    </row>
    <row r="1058" spans="1:17">
      <c r="C1058" s="165">
        <v>5500</v>
      </c>
      <c r="D1058" s="228"/>
      <c r="E1058" s="228"/>
      <c r="F1058" s="228"/>
      <c r="G1058" s="228"/>
      <c r="H1058" s="228"/>
      <c r="I1058" s="228"/>
      <c r="J1058" s="228"/>
      <c r="K1058" s="228"/>
      <c r="L1058" s="228">
        <v>5000</v>
      </c>
      <c r="M1058" s="228">
        <v>27500000</v>
      </c>
      <c r="N1058" s="228"/>
      <c r="O1058" s="228"/>
      <c r="P1058" s="228">
        <v>5000</v>
      </c>
      <c r="Q1058" s="228">
        <v>27500000</v>
      </c>
    </row>
    <row r="1059" spans="1:17">
      <c r="B1059" s="165" t="s">
        <v>2104</v>
      </c>
      <c r="C1059" s="165">
        <v>7000</v>
      </c>
      <c r="D1059" s="228"/>
      <c r="E1059" s="228"/>
      <c r="F1059" s="228">
        <v>0</v>
      </c>
      <c r="G1059" s="228">
        <v>0</v>
      </c>
      <c r="H1059" s="228"/>
      <c r="I1059" s="228"/>
      <c r="J1059" s="228"/>
      <c r="K1059" s="228"/>
      <c r="L1059" s="228"/>
      <c r="M1059" s="228"/>
      <c r="N1059" s="228"/>
      <c r="O1059" s="228"/>
      <c r="P1059" s="228">
        <v>0</v>
      </c>
      <c r="Q1059" s="228">
        <v>0</v>
      </c>
    </row>
    <row r="1060" spans="1:17">
      <c r="B1060" s="165" t="s">
        <v>2016</v>
      </c>
      <c r="C1060" s="165">
        <v>13600</v>
      </c>
      <c r="D1060" s="228"/>
      <c r="E1060" s="228"/>
      <c r="F1060" s="228"/>
      <c r="G1060" s="228"/>
      <c r="H1060" s="228"/>
      <c r="I1060" s="228"/>
      <c r="J1060" s="228"/>
      <c r="K1060" s="228"/>
      <c r="L1060" s="228">
        <v>6000</v>
      </c>
      <c r="M1060" s="228">
        <v>81600000</v>
      </c>
      <c r="N1060" s="228"/>
      <c r="O1060" s="228"/>
      <c r="P1060" s="228">
        <v>6000</v>
      </c>
      <c r="Q1060" s="228">
        <v>81600000</v>
      </c>
    </row>
    <row r="1061" spans="1:17">
      <c r="B1061" s="165" t="s">
        <v>2126</v>
      </c>
      <c r="C1061" s="165">
        <v>4400</v>
      </c>
      <c r="D1061" s="228">
        <v>0</v>
      </c>
      <c r="E1061" s="228">
        <v>0</v>
      </c>
      <c r="F1061" s="228">
        <v>0</v>
      </c>
      <c r="G1061" s="228">
        <v>0</v>
      </c>
      <c r="H1061" s="228"/>
      <c r="I1061" s="228"/>
      <c r="J1061" s="228"/>
      <c r="K1061" s="228"/>
      <c r="L1061" s="228"/>
      <c r="M1061" s="228"/>
      <c r="N1061" s="228"/>
      <c r="O1061" s="228"/>
      <c r="P1061" s="228">
        <v>0</v>
      </c>
      <c r="Q1061" s="228">
        <v>0</v>
      </c>
    </row>
    <row r="1062" spans="1:17">
      <c r="B1062" s="165" t="s">
        <v>2130</v>
      </c>
      <c r="C1062" s="165">
        <v>5100</v>
      </c>
      <c r="D1062" s="228"/>
      <c r="E1062" s="228"/>
      <c r="F1062" s="228">
        <v>0</v>
      </c>
      <c r="G1062" s="228">
        <v>0</v>
      </c>
      <c r="H1062" s="228"/>
      <c r="I1062" s="228"/>
      <c r="J1062" s="228"/>
      <c r="K1062" s="228"/>
      <c r="L1062" s="228"/>
      <c r="M1062" s="228"/>
      <c r="N1062" s="228"/>
      <c r="O1062" s="228"/>
      <c r="P1062" s="228">
        <v>0</v>
      </c>
      <c r="Q1062" s="228">
        <v>0</v>
      </c>
    </row>
    <row r="1063" spans="1:17">
      <c r="C1063" s="165">
        <v>5200</v>
      </c>
      <c r="D1063" s="228"/>
      <c r="E1063" s="228"/>
      <c r="F1063" s="228"/>
      <c r="G1063" s="228"/>
      <c r="H1063" s="228">
        <v>6000</v>
      </c>
      <c r="I1063" s="228">
        <v>31200000</v>
      </c>
      <c r="J1063" s="228"/>
      <c r="K1063" s="228"/>
      <c r="L1063" s="228">
        <v>10200</v>
      </c>
      <c r="M1063" s="228">
        <v>53040000</v>
      </c>
      <c r="N1063" s="228"/>
      <c r="O1063" s="228"/>
      <c r="P1063" s="228">
        <v>16200</v>
      </c>
      <c r="Q1063" s="228">
        <v>84240000</v>
      </c>
    </row>
    <row r="1064" spans="1:17">
      <c r="B1064" s="165" t="s">
        <v>2132</v>
      </c>
      <c r="C1064" s="165">
        <v>7800</v>
      </c>
      <c r="D1064" s="228"/>
      <c r="E1064" s="228"/>
      <c r="F1064" s="228">
        <v>0</v>
      </c>
      <c r="G1064" s="228">
        <v>0</v>
      </c>
      <c r="H1064" s="228">
        <v>25000</v>
      </c>
      <c r="I1064" s="228">
        <v>195000000</v>
      </c>
      <c r="J1064" s="228"/>
      <c r="K1064" s="228"/>
      <c r="L1064" s="228">
        <v>11000</v>
      </c>
      <c r="M1064" s="228">
        <v>85800000</v>
      </c>
      <c r="N1064" s="228"/>
      <c r="O1064" s="228"/>
      <c r="P1064" s="228">
        <v>36000</v>
      </c>
      <c r="Q1064" s="228">
        <v>280800000</v>
      </c>
    </row>
    <row r="1065" spans="1:17">
      <c r="C1065" s="165">
        <v>8100</v>
      </c>
      <c r="D1065" s="228"/>
      <c r="E1065" s="228"/>
      <c r="F1065" s="228"/>
      <c r="G1065" s="228"/>
      <c r="H1065" s="228"/>
      <c r="I1065" s="228"/>
      <c r="J1065" s="228"/>
      <c r="K1065" s="228"/>
      <c r="L1065" s="228">
        <v>20000</v>
      </c>
      <c r="M1065" s="228">
        <v>162000000</v>
      </c>
      <c r="N1065" s="228"/>
      <c r="O1065" s="228"/>
      <c r="P1065" s="228">
        <v>20000</v>
      </c>
      <c r="Q1065" s="228">
        <v>162000000</v>
      </c>
    </row>
    <row r="1066" spans="1:17">
      <c r="B1066" s="165" t="s">
        <v>2134</v>
      </c>
      <c r="C1066" s="165">
        <v>10900</v>
      </c>
      <c r="D1066" s="228"/>
      <c r="E1066" s="228"/>
      <c r="F1066" s="228"/>
      <c r="G1066" s="228"/>
      <c r="H1066" s="228"/>
      <c r="I1066" s="228"/>
      <c r="J1066" s="228"/>
      <c r="K1066" s="228"/>
      <c r="L1066" s="228">
        <v>37950</v>
      </c>
      <c r="M1066" s="228">
        <v>413655000</v>
      </c>
      <c r="N1066" s="228"/>
      <c r="O1066" s="228"/>
      <c r="P1066" s="228">
        <v>37950</v>
      </c>
      <c r="Q1066" s="228">
        <v>413655000</v>
      </c>
    </row>
    <row r="1067" spans="1:17">
      <c r="B1067" s="165" t="s">
        <v>2009</v>
      </c>
      <c r="C1067" s="165">
        <v>5800</v>
      </c>
      <c r="D1067" s="228"/>
      <c r="E1067" s="228"/>
      <c r="F1067" s="228"/>
      <c r="G1067" s="228"/>
      <c r="H1067" s="228"/>
      <c r="I1067" s="228"/>
      <c r="J1067" s="228"/>
      <c r="K1067" s="228"/>
      <c r="L1067" s="228">
        <v>5000</v>
      </c>
      <c r="M1067" s="228">
        <v>29000000</v>
      </c>
      <c r="N1067" s="228"/>
      <c r="O1067" s="228"/>
      <c r="P1067" s="228">
        <v>5000</v>
      </c>
      <c r="Q1067" s="228">
        <v>29000000</v>
      </c>
    </row>
    <row r="1068" spans="1:17">
      <c r="B1068" s="165" t="s">
        <v>2153</v>
      </c>
      <c r="C1068" s="165">
        <v>5300</v>
      </c>
      <c r="D1068" s="228"/>
      <c r="E1068" s="228"/>
      <c r="F1068" s="228"/>
      <c r="G1068" s="228"/>
      <c r="H1068" s="228">
        <v>4000</v>
      </c>
      <c r="I1068" s="228">
        <v>21200000</v>
      </c>
      <c r="J1068" s="228"/>
      <c r="K1068" s="228"/>
      <c r="L1068" s="228">
        <v>4000</v>
      </c>
      <c r="M1068" s="228">
        <v>21200000</v>
      </c>
      <c r="N1068" s="228"/>
      <c r="O1068" s="228"/>
      <c r="P1068" s="228">
        <v>8000</v>
      </c>
      <c r="Q1068" s="228">
        <v>42400000</v>
      </c>
    </row>
    <row r="1069" spans="1:17">
      <c r="B1069" s="165" t="s">
        <v>2176</v>
      </c>
      <c r="C1069" s="165">
        <v>4300</v>
      </c>
      <c r="D1069" s="228">
        <v>0</v>
      </c>
      <c r="E1069" s="228">
        <v>0</v>
      </c>
      <c r="F1069" s="228"/>
      <c r="G1069" s="228"/>
      <c r="H1069" s="228"/>
      <c r="I1069" s="228"/>
      <c r="J1069" s="228"/>
      <c r="K1069" s="228"/>
      <c r="L1069" s="228"/>
      <c r="M1069" s="228"/>
      <c r="N1069" s="228"/>
      <c r="O1069" s="228"/>
      <c r="P1069" s="228">
        <v>0</v>
      </c>
      <c r="Q1069" s="228">
        <v>0</v>
      </c>
    </row>
    <row r="1070" spans="1:17">
      <c r="B1070" s="165" t="s">
        <v>2188</v>
      </c>
      <c r="C1070" s="165">
        <v>3900</v>
      </c>
      <c r="D1070" s="228">
        <v>0</v>
      </c>
      <c r="E1070" s="228">
        <v>0</v>
      </c>
      <c r="F1070" s="228"/>
      <c r="G1070" s="228"/>
      <c r="H1070" s="228"/>
      <c r="I1070" s="228"/>
      <c r="J1070" s="228"/>
      <c r="K1070" s="228"/>
      <c r="L1070" s="228"/>
      <c r="M1070" s="228"/>
      <c r="N1070" s="228"/>
      <c r="O1070" s="228"/>
      <c r="P1070" s="228">
        <v>0</v>
      </c>
      <c r="Q1070" s="228">
        <v>0</v>
      </c>
    </row>
    <row r="1071" spans="1:17">
      <c r="A1071" s="165" t="s">
        <v>2286</v>
      </c>
      <c r="B1071" s="165"/>
      <c r="C1071" s="165"/>
      <c r="D1071" s="228">
        <v>0</v>
      </c>
      <c r="E1071" s="228">
        <v>0</v>
      </c>
      <c r="F1071" s="228">
        <v>0</v>
      </c>
      <c r="G1071" s="228">
        <v>0</v>
      </c>
      <c r="H1071" s="228">
        <v>45000</v>
      </c>
      <c r="I1071" s="228">
        <v>301400000</v>
      </c>
      <c r="J1071" s="228"/>
      <c r="K1071" s="228"/>
      <c r="L1071" s="228">
        <v>113050</v>
      </c>
      <c r="M1071" s="228">
        <v>987325000</v>
      </c>
      <c r="N1071" s="228"/>
      <c r="O1071" s="228"/>
      <c r="P1071" s="228">
        <v>158050</v>
      </c>
      <c r="Q1071" s="228">
        <v>1288725000</v>
      </c>
    </row>
    <row r="1072" spans="1:17">
      <c r="A1072" s="165" t="s">
        <v>801</v>
      </c>
      <c r="B1072" s="165" t="s">
        <v>2103</v>
      </c>
      <c r="C1072" s="165">
        <v>3600</v>
      </c>
      <c r="D1072" s="228">
        <v>0</v>
      </c>
      <c r="E1072" s="228">
        <v>0</v>
      </c>
      <c r="F1072" s="228"/>
      <c r="G1072" s="228"/>
      <c r="H1072" s="228"/>
      <c r="I1072" s="228"/>
      <c r="J1072" s="228"/>
      <c r="K1072" s="228"/>
      <c r="L1072" s="228"/>
      <c r="M1072" s="228"/>
      <c r="N1072" s="228"/>
      <c r="O1072" s="228"/>
      <c r="P1072" s="228">
        <v>0</v>
      </c>
      <c r="Q1072" s="228">
        <v>0</v>
      </c>
    </row>
    <row r="1073" spans="1:17">
      <c r="B1073" s="165" t="s">
        <v>2121</v>
      </c>
      <c r="C1073" s="165">
        <v>4800</v>
      </c>
      <c r="D1073" s="228">
        <v>0</v>
      </c>
      <c r="E1073" s="228">
        <v>0</v>
      </c>
      <c r="F1073" s="228"/>
      <c r="G1073" s="228"/>
      <c r="H1073" s="228"/>
      <c r="I1073" s="228"/>
      <c r="J1073" s="228"/>
      <c r="K1073" s="228"/>
      <c r="L1073" s="228"/>
      <c r="M1073" s="228"/>
      <c r="N1073" s="228"/>
      <c r="O1073" s="228"/>
      <c r="P1073" s="228">
        <v>0</v>
      </c>
      <c r="Q1073" s="228">
        <v>0</v>
      </c>
    </row>
    <row r="1074" spans="1:17">
      <c r="B1074" s="165" t="s">
        <v>2188</v>
      </c>
      <c r="C1074" s="165">
        <v>3800</v>
      </c>
      <c r="D1074" s="228">
        <v>0</v>
      </c>
      <c r="E1074" s="228">
        <v>0</v>
      </c>
      <c r="F1074" s="228"/>
      <c r="G1074" s="228"/>
      <c r="H1074" s="228"/>
      <c r="I1074" s="228"/>
      <c r="J1074" s="228"/>
      <c r="K1074" s="228"/>
      <c r="L1074" s="228"/>
      <c r="M1074" s="228"/>
      <c r="N1074" s="228"/>
      <c r="O1074" s="228"/>
      <c r="P1074" s="228">
        <v>0</v>
      </c>
      <c r="Q1074" s="228">
        <v>0</v>
      </c>
    </row>
    <row r="1075" spans="1:17">
      <c r="A1075" s="165" t="s">
        <v>2287</v>
      </c>
      <c r="B1075" s="165"/>
      <c r="C1075" s="165"/>
      <c r="D1075" s="228">
        <v>0</v>
      </c>
      <c r="E1075" s="228">
        <v>0</v>
      </c>
      <c r="F1075" s="228"/>
      <c r="G1075" s="228"/>
      <c r="H1075" s="228"/>
      <c r="I1075" s="228"/>
      <c r="J1075" s="228"/>
      <c r="K1075" s="228"/>
      <c r="L1075" s="228"/>
      <c r="M1075" s="228"/>
      <c r="N1075" s="228"/>
      <c r="O1075" s="228"/>
      <c r="P1075" s="228">
        <v>0</v>
      </c>
      <c r="Q1075" s="228">
        <v>0</v>
      </c>
    </row>
    <row r="1076" spans="1:17">
      <c r="A1076" s="165" t="s">
        <v>291</v>
      </c>
      <c r="B1076" s="165" t="s">
        <v>2011</v>
      </c>
      <c r="C1076" s="165">
        <v>10500</v>
      </c>
      <c r="D1076" s="228"/>
      <c r="E1076" s="228"/>
      <c r="F1076" s="228"/>
      <c r="G1076" s="228"/>
      <c r="H1076" s="228"/>
      <c r="I1076" s="228"/>
      <c r="J1076" s="228"/>
      <c r="K1076" s="228"/>
      <c r="L1076" s="228">
        <v>5000</v>
      </c>
      <c r="M1076" s="228">
        <v>52500000</v>
      </c>
      <c r="N1076" s="228"/>
      <c r="O1076" s="228"/>
      <c r="P1076" s="228">
        <v>5000</v>
      </c>
      <c r="Q1076" s="228">
        <v>52500000</v>
      </c>
    </row>
    <row r="1077" spans="1:17">
      <c r="B1077" s="165" t="s">
        <v>2129</v>
      </c>
      <c r="C1077" s="165">
        <v>5000</v>
      </c>
      <c r="D1077" s="228"/>
      <c r="E1077" s="228"/>
      <c r="F1077" s="228"/>
      <c r="G1077" s="228"/>
      <c r="H1077" s="228">
        <v>2200</v>
      </c>
      <c r="I1077" s="228">
        <v>11000000</v>
      </c>
      <c r="J1077" s="228">
        <v>825</v>
      </c>
      <c r="K1077" s="228">
        <v>4125000</v>
      </c>
      <c r="L1077" s="228"/>
      <c r="M1077" s="228"/>
      <c r="N1077" s="228"/>
      <c r="O1077" s="228"/>
      <c r="P1077" s="228">
        <v>3025</v>
      </c>
      <c r="Q1077" s="228">
        <v>15125000</v>
      </c>
    </row>
    <row r="1078" spans="1:17">
      <c r="B1078" s="165" t="s">
        <v>2130</v>
      </c>
      <c r="C1078" s="165">
        <v>5000</v>
      </c>
      <c r="D1078" s="228"/>
      <c r="E1078" s="228"/>
      <c r="F1078" s="228">
        <v>0</v>
      </c>
      <c r="G1078" s="228">
        <v>0</v>
      </c>
      <c r="H1078" s="228"/>
      <c r="I1078" s="228"/>
      <c r="J1078" s="228"/>
      <c r="K1078" s="228"/>
      <c r="L1078" s="228"/>
      <c r="M1078" s="228"/>
      <c r="N1078" s="228"/>
      <c r="O1078" s="228"/>
      <c r="P1078" s="228">
        <v>0</v>
      </c>
      <c r="Q1078" s="228">
        <v>0</v>
      </c>
    </row>
    <row r="1079" spans="1:17">
      <c r="B1079" s="165" t="s">
        <v>2009</v>
      </c>
      <c r="C1079" s="165">
        <v>5600</v>
      </c>
      <c r="D1079" s="228"/>
      <c r="E1079" s="228"/>
      <c r="F1079" s="228"/>
      <c r="G1079" s="228"/>
      <c r="H1079" s="228">
        <v>3000</v>
      </c>
      <c r="I1079" s="228">
        <v>16800000</v>
      </c>
      <c r="J1079" s="228"/>
      <c r="K1079" s="228"/>
      <c r="L1079" s="228"/>
      <c r="M1079" s="228"/>
      <c r="N1079" s="228"/>
      <c r="O1079" s="228"/>
      <c r="P1079" s="228">
        <v>3000</v>
      </c>
      <c r="Q1079" s="228">
        <v>16800000</v>
      </c>
    </row>
    <row r="1080" spans="1:17">
      <c r="B1080" s="165" t="s">
        <v>2015</v>
      </c>
      <c r="C1080" s="165">
        <v>10500</v>
      </c>
      <c r="D1080" s="228"/>
      <c r="E1080" s="228"/>
      <c r="F1080" s="228"/>
      <c r="G1080" s="228"/>
      <c r="H1080" s="228"/>
      <c r="I1080" s="228"/>
      <c r="J1080" s="228"/>
      <c r="K1080" s="228"/>
      <c r="L1080" s="228">
        <v>5000</v>
      </c>
      <c r="M1080" s="228">
        <v>52500000</v>
      </c>
      <c r="N1080" s="228"/>
      <c r="O1080" s="228"/>
      <c r="P1080" s="228">
        <v>5000</v>
      </c>
      <c r="Q1080" s="228">
        <v>52500000</v>
      </c>
    </row>
    <row r="1081" spans="1:17">
      <c r="B1081" s="165" t="s">
        <v>1878</v>
      </c>
      <c r="C1081" s="165">
        <v>3500</v>
      </c>
      <c r="D1081" s="228"/>
      <c r="E1081" s="228"/>
      <c r="F1081" s="228">
        <v>0</v>
      </c>
      <c r="G1081" s="228">
        <v>0</v>
      </c>
      <c r="H1081" s="228"/>
      <c r="I1081" s="228"/>
      <c r="J1081" s="228">
        <v>3000</v>
      </c>
      <c r="K1081" s="228">
        <v>10500000</v>
      </c>
      <c r="L1081" s="228"/>
      <c r="M1081" s="228"/>
      <c r="N1081" s="228"/>
      <c r="O1081" s="228"/>
      <c r="P1081" s="228">
        <v>3000</v>
      </c>
      <c r="Q1081" s="228">
        <v>10500000</v>
      </c>
    </row>
    <row r="1082" spans="1:17">
      <c r="C1082" s="165">
        <v>3700</v>
      </c>
      <c r="D1082" s="228"/>
      <c r="E1082" s="228"/>
      <c r="F1082" s="228"/>
      <c r="G1082" s="228"/>
      <c r="H1082" s="228">
        <v>3000</v>
      </c>
      <c r="I1082" s="228">
        <v>11100000</v>
      </c>
      <c r="J1082" s="228"/>
      <c r="K1082" s="228"/>
      <c r="L1082" s="228"/>
      <c r="M1082" s="228"/>
      <c r="N1082" s="228"/>
      <c r="O1082" s="228"/>
      <c r="P1082" s="228">
        <v>3000</v>
      </c>
      <c r="Q1082" s="228">
        <v>11100000</v>
      </c>
    </row>
    <row r="1083" spans="1:17">
      <c r="B1083" s="165" t="s">
        <v>2169</v>
      </c>
      <c r="C1083" s="165">
        <v>5000</v>
      </c>
      <c r="D1083" s="228"/>
      <c r="E1083" s="228"/>
      <c r="F1083" s="228"/>
      <c r="G1083" s="228"/>
      <c r="H1083" s="228">
        <v>3000</v>
      </c>
      <c r="I1083" s="228">
        <v>15000000</v>
      </c>
      <c r="J1083" s="228"/>
      <c r="K1083" s="228"/>
      <c r="L1083" s="228"/>
      <c r="M1083" s="228"/>
      <c r="N1083" s="228"/>
      <c r="O1083" s="228"/>
      <c r="P1083" s="228">
        <v>3000</v>
      </c>
      <c r="Q1083" s="228">
        <v>15000000</v>
      </c>
    </row>
    <row r="1084" spans="1:17">
      <c r="B1084" s="165" t="s">
        <v>2188</v>
      </c>
      <c r="C1084" s="165">
        <v>4000</v>
      </c>
      <c r="D1084" s="228"/>
      <c r="E1084" s="228"/>
      <c r="F1084" s="228"/>
      <c r="G1084" s="228"/>
      <c r="H1084" s="228">
        <v>6000</v>
      </c>
      <c r="I1084" s="228">
        <v>24000000</v>
      </c>
      <c r="J1084" s="228"/>
      <c r="K1084" s="228"/>
      <c r="L1084" s="228"/>
      <c r="M1084" s="228"/>
      <c r="N1084" s="228"/>
      <c r="O1084" s="228"/>
      <c r="P1084" s="228">
        <v>6000</v>
      </c>
      <c r="Q1084" s="228">
        <v>24000000</v>
      </c>
    </row>
    <row r="1085" spans="1:17">
      <c r="A1085" s="165" t="s">
        <v>2288</v>
      </c>
      <c r="B1085" s="165"/>
      <c r="C1085" s="165"/>
      <c r="D1085" s="228"/>
      <c r="E1085" s="228"/>
      <c r="F1085" s="228">
        <v>0</v>
      </c>
      <c r="G1085" s="228">
        <v>0</v>
      </c>
      <c r="H1085" s="228">
        <v>17200</v>
      </c>
      <c r="I1085" s="228">
        <v>77900000</v>
      </c>
      <c r="J1085" s="228">
        <v>3825</v>
      </c>
      <c r="K1085" s="228">
        <v>14625000</v>
      </c>
      <c r="L1085" s="228">
        <v>10000</v>
      </c>
      <c r="M1085" s="228">
        <v>105000000</v>
      </c>
      <c r="N1085" s="228"/>
      <c r="O1085" s="228"/>
      <c r="P1085" s="228">
        <v>31025</v>
      </c>
      <c r="Q1085" s="228">
        <v>197525000</v>
      </c>
    </row>
    <row r="1086" spans="1:17">
      <c r="A1086" s="165" t="s">
        <v>1060</v>
      </c>
      <c r="B1086" s="165" t="s">
        <v>2011</v>
      </c>
      <c r="C1086" s="165">
        <v>10500</v>
      </c>
      <c r="D1086" s="228"/>
      <c r="E1086" s="228"/>
      <c r="F1086" s="228"/>
      <c r="G1086" s="228"/>
      <c r="H1086" s="228"/>
      <c r="I1086" s="228"/>
      <c r="J1086" s="228"/>
      <c r="K1086" s="228"/>
      <c r="L1086" s="228">
        <v>2000</v>
      </c>
      <c r="M1086" s="228">
        <v>21000000</v>
      </c>
      <c r="N1086" s="228"/>
      <c r="O1086" s="228"/>
      <c r="P1086" s="228">
        <v>2000</v>
      </c>
      <c r="Q1086" s="228">
        <v>21000000</v>
      </c>
    </row>
    <row r="1087" spans="1:17">
      <c r="B1087" s="165" t="s">
        <v>2015</v>
      </c>
      <c r="C1087" s="165">
        <v>10500</v>
      </c>
      <c r="D1087" s="228"/>
      <c r="E1087" s="228"/>
      <c r="F1087" s="228"/>
      <c r="G1087" s="228"/>
      <c r="H1087" s="228"/>
      <c r="I1087" s="228"/>
      <c r="J1087" s="228"/>
      <c r="K1087" s="228"/>
      <c r="L1087" s="228">
        <v>3000</v>
      </c>
      <c r="M1087" s="228">
        <v>31500000</v>
      </c>
      <c r="N1087" s="228"/>
      <c r="O1087" s="228"/>
      <c r="P1087" s="228">
        <v>3000</v>
      </c>
      <c r="Q1087" s="228">
        <v>31500000</v>
      </c>
    </row>
    <row r="1088" spans="1:17">
      <c r="B1088" s="165" t="s">
        <v>2023</v>
      </c>
      <c r="C1088" s="165">
        <v>10800</v>
      </c>
      <c r="D1088" s="228"/>
      <c r="E1088" s="228"/>
      <c r="F1088" s="228"/>
      <c r="G1088" s="228"/>
      <c r="H1088" s="228"/>
      <c r="I1088" s="228"/>
      <c r="J1088" s="228"/>
      <c r="K1088" s="228"/>
      <c r="L1088" s="228">
        <v>5000</v>
      </c>
      <c r="M1088" s="228">
        <v>54000000</v>
      </c>
      <c r="N1088" s="228"/>
      <c r="O1088" s="228"/>
      <c r="P1088" s="228">
        <v>5000</v>
      </c>
      <c r="Q1088" s="228">
        <v>54000000</v>
      </c>
    </row>
    <row r="1089" spans="1:17">
      <c r="B1089" s="165" t="s">
        <v>2186</v>
      </c>
      <c r="C1089" s="165">
        <v>2600</v>
      </c>
      <c r="D1089" s="228"/>
      <c r="E1089" s="228"/>
      <c r="F1089" s="228">
        <v>0</v>
      </c>
      <c r="G1089" s="228">
        <v>0</v>
      </c>
      <c r="H1089" s="228"/>
      <c r="I1089" s="228"/>
      <c r="J1089" s="228"/>
      <c r="K1089" s="228"/>
      <c r="L1089" s="228"/>
      <c r="M1089" s="228"/>
      <c r="N1089" s="228"/>
      <c r="O1089" s="228"/>
      <c r="P1089" s="228">
        <v>0</v>
      </c>
      <c r="Q1089" s="228">
        <v>0</v>
      </c>
    </row>
    <row r="1090" spans="1:17">
      <c r="A1090" s="165" t="s">
        <v>2289</v>
      </c>
      <c r="B1090" s="165"/>
      <c r="C1090" s="165"/>
      <c r="D1090" s="228"/>
      <c r="E1090" s="228"/>
      <c r="F1090" s="228">
        <v>0</v>
      </c>
      <c r="G1090" s="228">
        <v>0</v>
      </c>
      <c r="H1090" s="228"/>
      <c r="I1090" s="228"/>
      <c r="J1090" s="228"/>
      <c r="K1090" s="228"/>
      <c r="L1090" s="228">
        <v>10000</v>
      </c>
      <c r="M1090" s="228">
        <v>106500000</v>
      </c>
      <c r="N1090" s="228"/>
      <c r="O1090" s="228"/>
      <c r="P1090" s="228">
        <v>10000</v>
      </c>
      <c r="Q1090" s="228">
        <v>106500000</v>
      </c>
    </row>
    <row r="1091" spans="1:17">
      <c r="A1091" s="165" t="s">
        <v>950</v>
      </c>
      <c r="B1091" s="165" t="s">
        <v>2067</v>
      </c>
      <c r="C1091" s="165">
        <v>5500</v>
      </c>
      <c r="D1091" s="228"/>
      <c r="E1091" s="228"/>
      <c r="F1091" s="228">
        <v>0</v>
      </c>
      <c r="G1091" s="228">
        <v>0</v>
      </c>
      <c r="H1091" s="228"/>
      <c r="I1091" s="228"/>
      <c r="J1091" s="228"/>
      <c r="K1091" s="228"/>
      <c r="L1091" s="228"/>
      <c r="M1091" s="228"/>
      <c r="N1091" s="228"/>
      <c r="O1091" s="228"/>
      <c r="P1091" s="228">
        <v>0</v>
      </c>
      <c r="Q1091" s="228">
        <v>0</v>
      </c>
    </row>
    <row r="1092" spans="1:17">
      <c r="B1092" s="165" t="s">
        <v>2103</v>
      </c>
      <c r="C1092" s="165">
        <v>3800</v>
      </c>
      <c r="D1092" s="228"/>
      <c r="E1092" s="228"/>
      <c r="F1092" s="228">
        <v>0</v>
      </c>
      <c r="G1092" s="228">
        <v>0</v>
      </c>
      <c r="H1092" s="228"/>
      <c r="I1092" s="228"/>
      <c r="J1092" s="228"/>
      <c r="K1092" s="228"/>
      <c r="L1092" s="228"/>
      <c r="M1092" s="228"/>
      <c r="N1092" s="228"/>
      <c r="O1092" s="228"/>
      <c r="P1092" s="228">
        <v>0</v>
      </c>
      <c r="Q1092" s="228">
        <v>0</v>
      </c>
    </row>
    <row r="1093" spans="1:17">
      <c r="B1093" s="165" t="s">
        <v>2140</v>
      </c>
      <c r="C1093" s="165">
        <v>3800</v>
      </c>
      <c r="D1093" s="228"/>
      <c r="E1093" s="228"/>
      <c r="F1093" s="228">
        <v>0</v>
      </c>
      <c r="G1093" s="228">
        <v>0</v>
      </c>
      <c r="H1093" s="228"/>
      <c r="I1093" s="228"/>
      <c r="J1093" s="228"/>
      <c r="K1093" s="228"/>
      <c r="L1093" s="228"/>
      <c r="M1093" s="228"/>
      <c r="N1093" s="228"/>
      <c r="O1093" s="228"/>
      <c r="P1093" s="228">
        <v>0</v>
      </c>
      <c r="Q1093" s="228">
        <v>0</v>
      </c>
    </row>
    <row r="1094" spans="1:17">
      <c r="A1094" s="165" t="s">
        <v>2290</v>
      </c>
      <c r="B1094" s="165"/>
      <c r="C1094" s="165"/>
      <c r="D1094" s="228"/>
      <c r="E1094" s="228"/>
      <c r="F1094" s="228">
        <v>0</v>
      </c>
      <c r="G1094" s="228">
        <v>0</v>
      </c>
      <c r="H1094" s="228"/>
      <c r="I1094" s="228"/>
      <c r="J1094" s="228"/>
      <c r="K1094" s="228"/>
      <c r="L1094" s="228"/>
      <c r="M1094" s="228"/>
      <c r="N1094" s="228"/>
      <c r="O1094" s="228"/>
      <c r="P1094" s="228">
        <v>0</v>
      </c>
      <c r="Q1094" s="228">
        <v>0</v>
      </c>
    </row>
    <row r="1095" spans="1:17">
      <c r="A1095" s="165" t="s">
        <v>1086</v>
      </c>
      <c r="B1095" s="165" t="s">
        <v>2029</v>
      </c>
      <c r="C1095" s="165">
        <v>4400</v>
      </c>
      <c r="D1095" s="228">
        <v>0</v>
      </c>
      <c r="E1095" s="228">
        <v>0</v>
      </c>
      <c r="F1095" s="228"/>
      <c r="G1095" s="228"/>
      <c r="H1095" s="228"/>
      <c r="I1095" s="228"/>
      <c r="J1095" s="228"/>
      <c r="K1095" s="228"/>
      <c r="L1095" s="228"/>
      <c r="M1095" s="228"/>
      <c r="N1095" s="228"/>
      <c r="O1095" s="228"/>
      <c r="P1095" s="228">
        <v>0</v>
      </c>
      <c r="Q1095" s="228">
        <v>0</v>
      </c>
    </row>
    <row r="1096" spans="1:17">
      <c r="B1096" s="165" t="s">
        <v>2033</v>
      </c>
      <c r="C1096" s="165">
        <v>5200</v>
      </c>
      <c r="D1096" s="228"/>
      <c r="E1096" s="228"/>
      <c r="F1096" s="228"/>
      <c r="G1096" s="228"/>
      <c r="H1096" s="228"/>
      <c r="I1096" s="228"/>
      <c r="J1096" s="228">
        <v>10000</v>
      </c>
      <c r="K1096" s="228">
        <v>52000000</v>
      </c>
      <c r="L1096" s="228"/>
      <c r="M1096" s="228"/>
      <c r="N1096" s="228"/>
      <c r="O1096" s="228"/>
      <c r="P1096" s="228">
        <v>10000</v>
      </c>
      <c r="Q1096" s="228">
        <v>52000000</v>
      </c>
    </row>
    <row r="1097" spans="1:17">
      <c r="C1097" s="165">
        <v>5500</v>
      </c>
      <c r="D1097" s="228"/>
      <c r="E1097" s="228"/>
      <c r="F1097" s="228">
        <v>0</v>
      </c>
      <c r="G1097" s="228">
        <v>0</v>
      </c>
      <c r="H1097" s="228"/>
      <c r="I1097" s="228"/>
      <c r="J1097" s="228"/>
      <c r="K1097" s="228"/>
      <c r="L1097" s="228"/>
      <c r="M1097" s="228"/>
      <c r="N1097" s="228"/>
      <c r="O1097" s="228"/>
      <c r="P1097" s="228">
        <v>0</v>
      </c>
      <c r="Q1097" s="228">
        <v>0</v>
      </c>
    </row>
    <row r="1098" spans="1:17">
      <c r="C1098" s="165">
        <v>5600</v>
      </c>
      <c r="D1098" s="228">
        <v>0</v>
      </c>
      <c r="E1098" s="228">
        <v>0</v>
      </c>
      <c r="F1098" s="228"/>
      <c r="G1098" s="228"/>
      <c r="H1098" s="228"/>
      <c r="I1098" s="228"/>
      <c r="J1098" s="228"/>
      <c r="K1098" s="228"/>
      <c r="L1098" s="228"/>
      <c r="M1098" s="228"/>
      <c r="N1098" s="228"/>
      <c r="O1098" s="228"/>
      <c r="P1098" s="228">
        <v>0</v>
      </c>
      <c r="Q1098" s="228">
        <v>0</v>
      </c>
    </row>
    <row r="1099" spans="1:17">
      <c r="C1099" s="165">
        <v>5670</v>
      </c>
      <c r="D1099" s="228">
        <v>0</v>
      </c>
      <c r="E1099" s="228">
        <v>0</v>
      </c>
      <c r="F1099" s="228"/>
      <c r="G1099" s="228"/>
      <c r="H1099" s="228"/>
      <c r="I1099" s="228"/>
      <c r="J1099" s="228"/>
      <c r="K1099" s="228"/>
      <c r="L1099" s="228"/>
      <c r="M1099" s="228"/>
      <c r="N1099" s="228"/>
      <c r="O1099" s="228"/>
      <c r="P1099" s="228">
        <v>0</v>
      </c>
      <c r="Q1099" s="228">
        <v>0</v>
      </c>
    </row>
    <row r="1100" spans="1:17">
      <c r="B1100" s="165" t="s">
        <v>2035</v>
      </c>
      <c r="C1100" s="165">
        <v>8500</v>
      </c>
      <c r="D1100" s="228"/>
      <c r="E1100" s="228"/>
      <c r="F1100" s="228"/>
      <c r="G1100" s="228"/>
      <c r="H1100" s="228"/>
      <c r="I1100" s="228"/>
      <c r="J1100" s="228"/>
      <c r="K1100" s="228"/>
      <c r="L1100" s="228">
        <v>10050</v>
      </c>
      <c r="M1100" s="228">
        <v>85425000</v>
      </c>
      <c r="N1100" s="228"/>
      <c r="O1100" s="228"/>
      <c r="P1100" s="228">
        <v>10050</v>
      </c>
      <c r="Q1100" s="228">
        <v>85425000</v>
      </c>
    </row>
    <row r="1101" spans="1:17">
      <c r="B1101" s="165" t="s">
        <v>2049</v>
      </c>
      <c r="C1101" s="165">
        <v>3500</v>
      </c>
      <c r="D1101" s="228"/>
      <c r="E1101" s="228"/>
      <c r="F1101" s="228"/>
      <c r="G1101" s="228"/>
      <c r="H1101" s="228"/>
      <c r="I1101" s="228"/>
      <c r="J1101" s="228"/>
      <c r="K1101" s="228"/>
      <c r="L1101" s="228">
        <v>5000</v>
      </c>
      <c r="M1101" s="228">
        <v>17500000</v>
      </c>
      <c r="N1101" s="228"/>
      <c r="O1101" s="228"/>
      <c r="P1101" s="228">
        <v>5000</v>
      </c>
      <c r="Q1101" s="228">
        <v>17500000</v>
      </c>
    </row>
    <row r="1102" spans="1:17">
      <c r="B1102" s="165" t="s">
        <v>2055</v>
      </c>
      <c r="C1102" s="165">
        <v>3500</v>
      </c>
      <c r="D1102" s="228"/>
      <c r="E1102" s="228"/>
      <c r="F1102" s="228"/>
      <c r="G1102" s="228"/>
      <c r="H1102" s="228"/>
      <c r="I1102" s="228"/>
      <c r="J1102" s="228"/>
      <c r="K1102" s="228"/>
      <c r="L1102" s="228">
        <v>24000</v>
      </c>
      <c r="M1102" s="228">
        <v>84000000</v>
      </c>
      <c r="N1102" s="228"/>
      <c r="O1102" s="228"/>
      <c r="P1102" s="228">
        <v>24000</v>
      </c>
      <c r="Q1102" s="228">
        <v>84000000</v>
      </c>
    </row>
    <row r="1103" spans="1:17">
      <c r="B1103" s="165" t="s">
        <v>2056</v>
      </c>
      <c r="C1103" s="165">
        <v>5200</v>
      </c>
      <c r="D1103" s="228"/>
      <c r="E1103" s="228"/>
      <c r="F1103" s="228"/>
      <c r="G1103" s="228"/>
      <c r="H1103" s="228"/>
      <c r="I1103" s="228"/>
      <c r="J1103" s="228"/>
      <c r="K1103" s="228"/>
      <c r="L1103" s="228">
        <v>4000</v>
      </c>
      <c r="M1103" s="228">
        <v>20800000</v>
      </c>
      <c r="N1103" s="228"/>
      <c r="O1103" s="228"/>
      <c r="P1103" s="228">
        <v>4000</v>
      </c>
      <c r="Q1103" s="228">
        <v>20800000</v>
      </c>
    </row>
    <row r="1104" spans="1:17">
      <c r="B1104" s="165" t="s">
        <v>2008</v>
      </c>
      <c r="C1104" s="165">
        <v>4600</v>
      </c>
      <c r="D1104" s="228"/>
      <c r="E1104" s="228"/>
      <c r="F1104" s="228">
        <v>0</v>
      </c>
      <c r="G1104" s="228">
        <v>0</v>
      </c>
      <c r="H1104" s="228"/>
      <c r="I1104" s="228"/>
      <c r="J1104" s="228"/>
      <c r="K1104" s="228"/>
      <c r="L1104" s="228"/>
      <c r="M1104" s="228"/>
      <c r="N1104" s="228"/>
      <c r="O1104" s="228"/>
      <c r="P1104" s="228">
        <v>0</v>
      </c>
      <c r="Q1104" s="228">
        <v>0</v>
      </c>
    </row>
    <row r="1105" spans="2:17">
      <c r="B1105" s="165" t="s">
        <v>2060</v>
      </c>
      <c r="C1105" s="165">
        <v>8000</v>
      </c>
      <c r="D1105" s="228"/>
      <c r="E1105" s="228"/>
      <c r="F1105" s="228"/>
      <c r="G1105" s="228"/>
      <c r="H1105" s="228"/>
      <c r="I1105" s="228"/>
      <c r="J1105" s="228"/>
      <c r="K1105" s="228"/>
      <c r="L1105" s="228">
        <v>9600</v>
      </c>
      <c r="M1105" s="228">
        <v>76800000</v>
      </c>
      <c r="N1105" s="228"/>
      <c r="O1105" s="228"/>
      <c r="P1105" s="228">
        <v>9600</v>
      </c>
      <c r="Q1105" s="228">
        <v>76800000</v>
      </c>
    </row>
    <row r="1106" spans="2:17">
      <c r="B1106" s="165" t="s">
        <v>2011</v>
      </c>
      <c r="C1106" s="165">
        <v>10500</v>
      </c>
      <c r="D1106" s="228"/>
      <c r="E1106" s="228"/>
      <c r="F1106" s="228"/>
      <c r="G1106" s="228"/>
      <c r="H1106" s="228"/>
      <c r="I1106" s="228"/>
      <c r="J1106" s="228"/>
      <c r="K1106" s="228"/>
      <c r="L1106" s="228">
        <v>5000</v>
      </c>
      <c r="M1106" s="228">
        <v>52500000</v>
      </c>
      <c r="N1106" s="228"/>
      <c r="O1106" s="228"/>
      <c r="P1106" s="228">
        <v>5000</v>
      </c>
      <c r="Q1106" s="228">
        <v>52500000</v>
      </c>
    </row>
    <row r="1107" spans="2:17">
      <c r="B1107" s="165" t="s">
        <v>2066</v>
      </c>
      <c r="C1107" s="165">
        <v>5200</v>
      </c>
      <c r="D1107" s="228"/>
      <c r="E1107" s="228"/>
      <c r="F1107" s="228"/>
      <c r="G1107" s="228"/>
      <c r="H1107" s="228"/>
      <c r="I1107" s="228"/>
      <c r="J1107" s="228"/>
      <c r="K1107" s="228"/>
      <c r="L1107" s="228">
        <v>4000</v>
      </c>
      <c r="M1107" s="228">
        <v>20800000</v>
      </c>
      <c r="N1107" s="228"/>
      <c r="O1107" s="228"/>
      <c r="P1107" s="228">
        <v>4000</v>
      </c>
      <c r="Q1107" s="228">
        <v>20800000</v>
      </c>
    </row>
    <row r="1108" spans="2:17">
      <c r="B1108" s="165" t="s">
        <v>2067</v>
      </c>
      <c r="C1108" s="165">
        <v>5400</v>
      </c>
      <c r="D1108" s="228"/>
      <c r="E1108" s="228"/>
      <c r="F1108" s="228">
        <v>0</v>
      </c>
      <c r="G1108" s="228">
        <v>0</v>
      </c>
      <c r="H1108" s="228"/>
      <c r="I1108" s="228"/>
      <c r="J1108" s="228"/>
      <c r="K1108" s="228"/>
      <c r="L1108" s="228"/>
      <c r="M1108" s="228"/>
      <c r="N1108" s="228"/>
      <c r="O1108" s="228"/>
      <c r="P1108" s="228">
        <v>0</v>
      </c>
      <c r="Q1108" s="228">
        <v>0</v>
      </c>
    </row>
    <row r="1109" spans="2:17">
      <c r="C1109" s="165">
        <v>5500</v>
      </c>
      <c r="D1109" s="228"/>
      <c r="E1109" s="228"/>
      <c r="F1109" s="228"/>
      <c r="G1109" s="228"/>
      <c r="H1109" s="228">
        <v>5100</v>
      </c>
      <c r="I1109" s="228">
        <v>28050000</v>
      </c>
      <c r="J1109" s="228"/>
      <c r="K1109" s="228"/>
      <c r="L1109" s="228">
        <v>20100</v>
      </c>
      <c r="M1109" s="228">
        <v>110550000</v>
      </c>
      <c r="N1109" s="228"/>
      <c r="O1109" s="228"/>
      <c r="P1109" s="228">
        <v>25200</v>
      </c>
      <c r="Q1109" s="228">
        <v>138600000</v>
      </c>
    </row>
    <row r="1110" spans="2:17">
      <c r="C1110" s="165">
        <v>5450</v>
      </c>
      <c r="D1110" s="228"/>
      <c r="E1110" s="228"/>
      <c r="F1110" s="228"/>
      <c r="G1110" s="228"/>
      <c r="H1110" s="228"/>
      <c r="I1110" s="228"/>
      <c r="J1110" s="228">
        <v>5100</v>
      </c>
      <c r="K1110" s="228">
        <v>27795000</v>
      </c>
      <c r="L1110" s="228"/>
      <c r="M1110" s="228"/>
      <c r="N1110" s="228"/>
      <c r="O1110" s="228"/>
      <c r="P1110" s="228">
        <v>5100</v>
      </c>
      <c r="Q1110" s="228">
        <v>27795000</v>
      </c>
    </row>
    <row r="1111" spans="2:17">
      <c r="B1111" s="165" t="s">
        <v>2069</v>
      </c>
      <c r="C1111" s="165">
        <v>14200</v>
      </c>
      <c r="D1111" s="228"/>
      <c r="E1111" s="228"/>
      <c r="F1111" s="228"/>
      <c r="G1111" s="228"/>
      <c r="H1111" s="228"/>
      <c r="I1111" s="228"/>
      <c r="J1111" s="228"/>
      <c r="K1111" s="228"/>
      <c r="L1111" s="228">
        <v>10000</v>
      </c>
      <c r="M1111" s="228">
        <v>142000000</v>
      </c>
      <c r="N1111" s="228"/>
      <c r="O1111" s="228"/>
      <c r="P1111" s="228">
        <v>10000</v>
      </c>
      <c r="Q1111" s="228">
        <v>142000000</v>
      </c>
    </row>
    <row r="1112" spans="2:17">
      <c r="B1112" s="165" t="s">
        <v>2072</v>
      </c>
      <c r="C1112" s="165" t="s">
        <v>385</v>
      </c>
      <c r="D1112" s="228"/>
      <c r="E1112" s="228"/>
      <c r="F1112" s="228"/>
      <c r="G1112" s="228"/>
      <c r="H1112" s="228"/>
      <c r="I1112" s="228"/>
      <c r="J1112" s="228"/>
      <c r="K1112" s="228"/>
      <c r="L1112" s="228">
        <v>2000</v>
      </c>
      <c r="M1112" s="228">
        <v>0</v>
      </c>
      <c r="N1112" s="228"/>
      <c r="O1112" s="228"/>
      <c r="P1112" s="228">
        <v>2000</v>
      </c>
      <c r="Q1112" s="228">
        <v>0</v>
      </c>
    </row>
    <row r="1113" spans="2:17">
      <c r="B1113" s="165" t="s">
        <v>2075</v>
      </c>
      <c r="C1113" s="165">
        <v>6100</v>
      </c>
      <c r="D1113" s="228"/>
      <c r="E1113" s="228"/>
      <c r="F1113" s="228"/>
      <c r="G1113" s="228"/>
      <c r="H1113" s="228"/>
      <c r="I1113" s="228"/>
      <c r="J1113" s="228"/>
      <c r="K1113" s="228"/>
      <c r="L1113" s="228">
        <v>2000</v>
      </c>
      <c r="M1113" s="228">
        <v>12200000</v>
      </c>
      <c r="N1113" s="228"/>
      <c r="O1113" s="228"/>
      <c r="P1113" s="228">
        <v>2000</v>
      </c>
      <c r="Q1113" s="228">
        <v>12200000</v>
      </c>
    </row>
    <row r="1114" spans="2:17">
      <c r="B1114" s="165" t="s">
        <v>2081</v>
      </c>
      <c r="C1114" s="165">
        <v>3500</v>
      </c>
      <c r="D1114" s="228"/>
      <c r="E1114" s="228"/>
      <c r="F1114" s="228"/>
      <c r="G1114" s="228"/>
      <c r="H1114" s="228"/>
      <c r="I1114" s="228"/>
      <c r="J1114" s="228"/>
      <c r="K1114" s="228"/>
      <c r="L1114" s="228">
        <v>27000</v>
      </c>
      <c r="M1114" s="228">
        <v>94500000</v>
      </c>
      <c r="N1114" s="228"/>
      <c r="O1114" s="228"/>
      <c r="P1114" s="228">
        <v>27000</v>
      </c>
      <c r="Q1114" s="228">
        <v>94500000</v>
      </c>
    </row>
    <row r="1115" spans="2:17">
      <c r="B1115" s="165" t="s">
        <v>2082</v>
      </c>
      <c r="C1115" s="165">
        <v>5200</v>
      </c>
      <c r="D1115" s="228"/>
      <c r="E1115" s="228"/>
      <c r="F1115" s="228"/>
      <c r="G1115" s="228"/>
      <c r="H1115" s="228"/>
      <c r="I1115" s="228"/>
      <c r="J1115" s="228"/>
      <c r="K1115" s="228"/>
      <c r="L1115" s="228">
        <v>4000</v>
      </c>
      <c r="M1115" s="228">
        <v>20800000</v>
      </c>
      <c r="N1115" s="228"/>
      <c r="O1115" s="228"/>
      <c r="P1115" s="228">
        <v>4000</v>
      </c>
      <c r="Q1115" s="228">
        <v>20800000</v>
      </c>
    </row>
    <row r="1116" spans="2:17">
      <c r="B1116" s="165" t="s">
        <v>2088</v>
      </c>
      <c r="C1116" s="165">
        <v>3600</v>
      </c>
      <c r="D1116" s="228"/>
      <c r="E1116" s="228"/>
      <c r="F1116" s="228"/>
      <c r="G1116" s="228"/>
      <c r="H1116" s="228"/>
      <c r="I1116" s="228"/>
      <c r="J1116" s="228"/>
      <c r="K1116" s="228"/>
      <c r="L1116" s="228">
        <v>8400</v>
      </c>
      <c r="M1116" s="228">
        <v>30240000</v>
      </c>
      <c r="N1116" s="228"/>
      <c r="O1116" s="228"/>
      <c r="P1116" s="228">
        <v>8400</v>
      </c>
      <c r="Q1116" s="228">
        <v>30240000</v>
      </c>
    </row>
    <row r="1117" spans="2:17">
      <c r="B1117" s="165" t="s">
        <v>2090</v>
      </c>
      <c r="C1117" s="165">
        <v>6800</v>
      </c>
      <c r="D1117" s="228"/>
      <c r="E1117" s="228"/>
      <c r="F1117" s="228"/>
      <c r="G1117" s="228"/>
      <c r="H1117" s="228"/>
      <c r="I1117" s="228"/>
      <c r="J1117" s="228"/>
      <c r="K1117" s="228"/>
      <c r="L1117" s="228">
        <v>3000</v>
      </c>
      <c r="M1117" s="228">
        <v>20400000</v>
      </c>
      <c r="N1117" s="228"/>
      <c r="O1117" s="228"/>
      <c r="P1117" s="228">
        <v>3000</v>
      </c>
      <c r="Q1117" s="228">
        <v>20400000</v>
      </c>
    </row>
    <row r="1118" spans="2:17">
      <c r="B1118" s="165" t="s">
        <v>2096</v>
      </c>
      <c r="C1118" s="165">
        <v>9200</v>
      </c>
      <c r="D1118" s="228">
        <v>0</v>
      </c>
      <c r="E1118" s="228">
        <v>0</v>
      </c>
      <c r="F1118" s="228"/>
      <c r="G1118" s="228"/>
      <c r="H1118" s="228"/>
      <c r="I1118" s="228"/>
      <c r="J1118" s="228"/>
      <c r="K1118" s="228"/>
      <c r="L1118" s="228">
        <v>4500</v>
      </c>
      <c r="M1118" s="228">
        <v>41400000</v>
      </c>
      <c r="N1118" s="228"/>
      <c r="O1118" s="228"/>
      <c r="P1118" s="228">
        <v>4500</v>
      </c>
      <c r="Q1118" s="228">
        <v>41400000</v>
      </c>
    </row>
    <row r="1119" spans="2:17">
      <c r="B1119" s="165" t="s">
        <v>2097</v>
      </c>
      <c r="C1119" s="165">
        <v>3500</v>
      </c>
      <c r="D1119" s="228"/>
      <c r="E1119" s="228"/>
      <c r="F1119" s="228"/>
      <c r="G1119" s="228"/>
      <c r="H1119" s="228"/>
      <c r="I1119" s="228"/>
      <c r="J1119" s="228"/>
      <c r="K1119" s="228"/>
      <c r="L1119" s="228">
        <v>24000</v>
      </c>
      <c r="M1119" s="228">
        <v>84000000</v>
      </c>
      <c r="N1119" s="228"/>
      <c r="O1119" s="228"/>
      <c r="P1119" s="228">
        <v>24000</v>
      </c>
      <c r="Q1119" s="228">
        <v>84000000</v>
      </c>
    </row>
    <row r="1120" spans="2:17">
      <c r="B1120" s="165" t="s">
        <v>2099</v>
      </c>
      <c r="C1120" s="165">
        <v>3900</v>
      </c>
      <c r="D1120" s="228"/>
      <c r="E1120" s="228"/>
      <c r="F1120" s="228">
        <v>0</v>
      </c>
      <c r="G1120" s="228">
        <v>0</v>
      </c>
      <c r="H1120" s="228"/>
      <c r="I1120" s="228"/>
      <c r="J1120" s="228"/>
      <c r="K1120" s="228"/>
      <c r="L1120" s="228"/>
      <c r="M1120" s="228"/>
      <c r="N1120" s="228"/>
      <c r="O1120" s="228"/>
      <c r="P1120" s="228">
        <v>0</v>
      </c>
      <c r="Q1120" s="228">
        <v>0</v>
      </c>
    </row>
    <row r="1121" spans="2:17">
      <c r="B1121" s="165" t="s">
        <v>2101</v>
      </c>
      <c r="C1121" s="165">
        <v>8400</v>
      </c>
      <c r="D1121" s="228"/>
      <c r="E1121" s="228"/>
      <c r="F1121" s="228"/>
      <c r="G1121" s="228"/>
      <c r="H1121" s="228"/>
      <c r="I1121" s="228"/>
      <c r="J1121" s="228"/>
      <c r="K1121" s="228"/>
      <c r="L1121" s="228">
        <v>5250</v>
      </c>
      <c r="M1121" s="228">
        <v>44100000</v>
      </c>
      <c r="N1121" s="228"/>
      <c r="O1121" s="228"/>
      <c r="P1121" s="228">
        <v>5250</v>
      </c>
      <c r="Q1121" s="228">
        <v>44100000</v>
      </c>
    </row>
    <row r="1122" spans="2:17">
      <c r="B1122" s="165" t="s">
        <v>2110</v>
      </c>
      <c r="C1122" s="165">
        <v>6000</v>
      </c>
      <c r="D1122" s="228"/>
      <c r="E1122" s="228"/>
      <c r="F1122" s="228">
        <v>0</v>
      </c>
      <c r="G1122" s="228">
        <v>0</v>
      </c>
      <c r="H1122" s="228"/>
      <c r="I1122" s="228"/>
      <c r="J1122" s="228"/>
      <c r="K1122" s="228"/>
      <c r="L1122" s="228"/>
      <c r="M1122" s="228"/>
      <c r="N1122" s="228"/>
      <c r="O1122" s="228"/>
      <c r="P1122" s="228">
        <v>0</v>
      </c>
      <c r="Q1122" s="228">
        <v>0</v>
      </c>
    </row>
    <row r="1123" spans="2:17">
      <c r="B1123" s="165" t="s">
        <v>2111</v>
      </c>
      <c r="C1123" s="165">
        <v>9500</v>
      </c>
      <c r="D1123" s="228"/>
      <c r="E1123" s="228"/>
      <c r="F1123" s="228"/>
      <c r="G1123" s="228"/>
      <c r="H1123" s="228"/>
      <c r="I1123" s="228"/>
      <c r="J1123" s="228"/>
      <c r="K1123" s="228"/>
      <c r="L1123" s="228">
        <v>5100</v>
      </c>
      <c r="M1123" s="228">
        <v>48450000</v>
      </c>
      <c r="N1123" s="228"/>
      <c r="O1123" s="228"/>
      <c r="P1123" s="228">
        <v>5100</v>
      </c>
      <c r="Q1123" s="228">
        <v>48450000</v>
      </c>
    </row>
    <row r="1124" spans="2:17">
      <c r="B1124" s="165" t="s">
        <v>2112</v>
      </c>
      <c r="C1124" s="165">
        <v>6500</v>
      </c>
      <c r="D1124" s="228"/>
      <c r="E1124" s="228"/>
      <c r="F1124" s="228"/>
      <c r="G1124" s="228"/>
      <c r="H1124" s="228"/>
      <c r="I1124" s="228"/>
      <c r="J1124" s="228"/>
      <c r="K1124" s="228"/>
      <c r="L1124" s="228">
        <v>1500</v>
      </c>
      <c r="M1124" s="228">
        <v>9750000</v>
      </c>
      <c r="N1124" s="228"/>
      <c r="O1124" s="228"/>
      <c r="P1124" s="228">
        <v>1500</v>
      </c>
      <c r="Q1124" s="228">
        <v>9750000</v>
      </c>
    </row>
    <row r="1125" spans="2:17">
      <c r="B1125" s="165" t="s">
        <v>2114</v>
      </c>
      <c r="C1125" s="165">
        <v>3800</v>
      </c>
      <c r="D1125" s="228"/>
      <c r="E1125" s="228"/>
      <c r="F1125" s="228">
        <v>0</v>
      </c>
      <c r="G1125" s="228">
        <v>0</v>
      </c>
      <c r="H1125" s="228"/>
      <c r="I1125" s="228"/>
      <c r="J1125" s="228"/>
      <c r="K1125" s="228"/>
      <c r="L1125" s="228"/>
      <c r="M1125" s="228"/>
      <c r="N1125" s="228"/>
      <c r="O1125" s="228"/>
      <c r="P1125" s="228">
        <v>0</v>
      </c>
      <c r="Q1125" s="228">
        <v>0</v>
      </c>
    </row>
    <row r="1126" spans="2:17">
      <c r="B1126" s="165" t="s">
        <v>2116</v>
      </c>
      <c r="C1126" s="165">
        <v>3000</v>
      </c>
      <c r="D1126" s="228"/>
      <c r="E1126" s="228"/>
      <c r="F1126" s="228">
        <v>0</v>
      </c>
      <c r="G1126" s="228">
        <v>0</v>
      </c>
      <c r="H1126" s="228"/>
      <c r="I1126" s="228"/>
      <c r="J1126" s="228"/>
      <c r="K1126" s="228"/>
      <c r="L1126" s="228"/>
      <c r="M1126" s="228"/>
      <c r="N1126" s="228"/>
      <c r="O1126" s="228"/>
      <c r="P1126" s="228">
        <v>0</v>
      </c>
      <c r="Q1126" s="228">
        <v>0</v>
      </c>
    </row>
    <row r="1127" spans="2:17">
      <c r="B1127" s="165" t="s">
        <v>2123</v>
      </c>
      <c r="C1127" s="165">
        <v>8500</v>
      </c>
      <c r="D1127" s="228"/>
      <c r="E1127" s="228"/>
      <c r="F1127" s="228"/>
      <c r="G1127" s="228"/>
      <c r="H1127" s="228"/>
      <c r="I1127" s="228"/>
      <c r="J1127" s="228"/>
      <c r="K1127" s="228"/>
      <c r="L1127" s="228">
        <v>1500</v>
      </c>
      <c r="M1127" s="228">
        <v>12750000</v>
      </c>
      <c r="N1127" s="228"/>
      <c r="O1127" s="228"/>
      <c r="P1127" s="228">
        <v>1500</v>
      </c>
      <c r="Q1127" s="228">
        <v>12750000</v>
      </c>
    </row>
    <row r="1128" spans="2:17">
      <c r="B1128" s="165" t="s">
        <v>2124</v>
      </c>
      <c r="C1128" s="165">
        <v>2000</v>
      </c>
      <c r="D1128" s="228"/>
      <c r="E1128" s="228"/>
      <c r="F1128" s="228">
        <v>0</v>
      </c>
      <c r="G1128" s="228">
        <v>0</v>
      </c>
      <c r="H1128" s="228"/>
      <c r="I1128" s="228"/>
      <c r="J1128" s="228"/>
      <c r="K1128" s="228"/>
      <c r="L1128" s="228"/>
      <c r="M1128" s="228"/>
      <c r="N1128" s="228"/>
      <c r="O1128" s="228"/>
      <c r="P1128" s="228">
        <v>0</v>
      </c>
      <c r="Q1128" s="228">
        <v>0</v>
      </c>
    </row>
    <row r="1129" spans="2:17">
      <c r="B1129" s="165" t="s">
        <v>2125</v>
      </c>
      <c r="C1129" s="165">
        <v>2800</v>
      </c>
      <c r="D1129" s="228"/>
      <c r="E1129" s="228"/>
      <c r="F1129" s="228">
        <v>0</v>
      </c>
      <c r="G1129" s="228">
        <v>0</v>
      </c>
      <c r="H1129" s="228"/>
      <c r="I1129" s="228"/>
      <c r="J1129" s="228"/>
      <c r="K1129" s="228"/>
      <c r="L1129" s="228"/>
      <c r="M1129" s="228"/>
      <c r="N1129" s="228"/>
      <c r="O1129" s="228"/>
      <c r="P1129" s="228">
        <v>0</v>
      </c>
      <c r="Q1129" s="228">
        <v>0</v>
      </c>
    </row>
    <row r="1130" spans="2:17">
      <c r="C1130" s="165">
        <v>2900</v>
      </c>
      <c r="D1130" s="228">
        <v>0</v>
      </c>
      <c r="E1130" s="228">
        <v>0</v>
      </c>
      <c r="F1130" s="228">
        <v>0</v>
      </c>
      <c r="G1130" s="228">
        <v>0</v>
      </c>
      <c r="H1130" s="228"/>
      <c r="I1130" s="228"/>
      <c r="J1130" s="228"/>
      <c r="K1130" s="228"/>
      <c r="L1130" s="228"/>
      <c r="M1130" s="228"/>
      <c r="N1130" s="228"/>
      <c r="O1130" s="228"/>
      <c r="P1130" s="228">
        <v>0</v>
      </c>
      <c r="Q1130" s="228">
        <v>0</v>
      </c>
    </row>
    <row r="1131" spans="2:17">
      <c r="C1131" s="165">
        <v>3000</v>
      </c>
      <c r="D1131" s="228"/>
      <c r="E1131" s="228"/>
      <c r="F1131" s="228"/>
      <c r="G1131" s="228"/>
      <c r="H1131" s="228">
        <v>5200</v>
      </c>
      <c r="I1131" s="228">
        <v>15600000</v>
      </c>
      <c r="J1131" s="228"/>
      <c r="K1131" s="228"/>
      <c r="L1131" s="228"/>
      <c r="M1131" s="228"/>
      <c r="N1131" s="228"/>
      <c r="O1131" s="228"/>
      <c r="P1131" s="228">
        <v>5200</v>
      </c>
      <c r="Q1131" s="228">
        <v>15600000</v>
      </c>
    </row>
    <row r="1132" spans="2:17">
      <c r="B1132" s="165" t="s">
        <v>2126</v>
      </c>
      <c r="C1132" s="165">
        <v>4400</v>
      </c>
      <c r="D1132" s="228"/>
      <c r="E1132" s="228"/>
      <c r="F1132" s="228">
        <v>0</v>
      </c>
      <c r="G1132" s="228">
        <v>0</v>
      </c>
      <c r="H1132" s="228"/>
      <c r="I1132" s="228"/>
      <c r="J1132" s="228"/>
      <c r="K1132" s="228"/>
      <c r="L1132" s="228"/>
      <c r="M1132" s="228"/>
      <c r="N1132" s="228"/>
      <c r="O1132" s="228"/>
      <c r="P1132" s="228">
        <v>0</v>
      </c>
      <c r="Q1132" s="228">
        <v>0</v>
      </c>
    </row>
    <row r="1133" spans="2:17">
      <c r="B1133" s="165" t="s">
        <v>2127</v>
      </c>
      <c r="C1133" s="165">
        <v>6100</v>
      </c>
      <c r="D1133" s="228"/>
      <c r="E1133" s="228"/>
      <c r="F1133" s="228"/>
      <c r="G1133" s="228"/>
      <c r="H1133" s="228"/>
      <c r="I1133" s="228"/>
      <c r="J1133" s="228"/>
      <c r="K1133" s="228"/>
      <c r="L1133" s="228">
        <v>2000</v>
      </c>
      <c r="M1133" s="228">
        <v>12200000</v>
      </c>
      <c r="N1133" s="228"/>
      <c r="O1133" s="228"/>
      <c r="P1133" s="228">
        <v>2000</v>
      </c>
      <c r="Q1133" s="228">
        <v>12200000</v>
      </c>
    </row>
    <row r="1134" spans="2:17">
      <c r="B1134" s="165" t="s">
        <v>1872</v>
      </c>
      <c r="C1134" s="165">
        <v>6300</v>
      </c>
      <c r="D1134" s="228"/>
      <c r="E1134" s="228"/>
      <c r="F1134" s="228">
        <v>0</v>
      </c>
      <c r="G1134" s="228">
        <v>0</v>
      </c>
      <c r="H1134" s="228"/>
      <c r="I1134" s="228"/>
      <c r="J1134" s="228"/>
      <c r="K1134" s="228"/>
      <c r="L1134" s="228"/>
      <c r="M1134" s="228"/>
      <c r="N1134" s="228"/>
      <c r="O1134" s="228"/>
      <c r="P1134" s="228">
        <v>0</v>
      </c>
      <c r="Q1134" s="228">
        <v>0</v>
      </c>
    </row>
    <row r="1135" spans="2:17">
      <c r="B1135" s="165" t="s">
        <v>2151</v>
      </c>
      <c r="C1135" s="165">
        <v>7600</v>
      </c>
      <c r="D1135" s="228"/>
      <c r="E1135" s="228"/>
      <c r="F1135" s="228"/>
      <c r="G1135" s="228"/>
      <c r="H1135" s="228"/>
      <c r="I1135" s="228"/>
      <c r="J1135" s="228"/>
      <c r="K1135" s="228"/>
      <c r="L1135" s="228">
        <v>3000</v>
      </c>
      <c r="M1135" s="228">
        <v>22800000</v>
      </c>
      <c r="N1135" s="228"/>
      <c r="O1135" s="228"/>
      <c r="P1135" s="228">
        <v>3000</v>
      </c>
      <c r="Q1135" s="228">
        <v>22800000</v>
      </c>
    </row>
    <row r="1136" spans="2:17">
      <c r="B1136" s="165" t="s">
        <v>1878</v>
      </c>
      <c r="C1136" s="165">
        <v>3500</v>
      </c>
      <c r="D1136" s="228">
        <v>0</v>
      </c>
      <c r="E1136" s="228">
        <v>0</v>
      </c>
      <c r="F1136" s="228"/>
      <c r="G1136" s="228"/>
      <c r="H1136" s="228"/>
      <c r="I1136" s="228"/>
      <c r="J1136" s="228"/>
      <c r="K1136" s="228"/>
      <c r="L1136" s="228"/>
      <c r="M1136" s="228"/>
      <c r="N1136" s="228"/>
      <c r="O1136" s="228"/>
      <c r="P1136" s="228">
        <v>0</v>
      </c>
      <c r="Q1136" s="228">
        <v>0</v>
      </c>
    </row>
    <row r="1137" spans="2:17">
      <c r="C1137" s="165">
        <v>3600</v>
      </c>
      <c r="D1137" s="228">
        <v>0</v>
      </c>
      <c r="E1137" s="228">
        <v>0</v>
      </c>
      <c r="F1137" s="228">
        <v>0</v>
      </c>
      <c r="G1137" s="228">
        <v>0</v>
      </c>
      <c r="H1137" s="228"/>
      <c r="I1137" s="228"/>
      <c r="J1137" s="228"/>
      <c r="K1137" s="228"/>
      <c r="L1137" s="228"/>
      <c r="M1137" s="228"/>
      <c r="N1137" s="228"/>
      <c r="O1137" s="228"/>
      <c r="P1137" s="228">
        <v>0</v>
      </c>
      <c r="Q1137" s="228">
        <v>0</v>
      </c>
    </row>
    <row r="1138" spans="2:17">
      <c r="B1138" s="165" t="s">
        <v>2154</v>
      </c>
      <c r="C1138" s="165">
        <v>7800</v>
      </c>
      <c r="D1138" s="228"/>
      <c r="E1138" s="228"/>
      <c r="F1138" s="228"/>
      <c r="G1138" s="228"/>
      <c r="H1138" s="228"/>
      <c r="I1138" s="228"/>
      <c r="J1138" s="228"/>
      <c r="K1138" s="228"/>
      <c r="L1138" s="228">
        <v>2250</v>
      </c>
      <c r="M1138" s="228">
        <v>17550000</v>
      </c>
      <c r="N1138" s="228"/>
      <c r="O1138" s="228"/>
      <c r="P1138" s="228">
        <v>2250</v>
      </c>
      <c r="Q1138" s="228">
        <v>17550000</v>
      </c>
    </row>
    <row r="1139" spans="2:17">
      <c r="B1139" s="165" t="s">
        <v>2155</v>
      </c>
      <c r="C1139" s="165">
        <v>9300</v>
      </c>
      <c r="D1139" s="228"/>
      <c r="E1139" s="228"/>
      <c r="F1139" s="228"/>
      <c r="G1139" s="228"/>
      <c r="H1139" s="228"/>
      <c r="I1139" s="228"/>
      <c r="J1139" s="228"/>
      <c r="K1139" s="228"/>
      <c r="L1139" s="228">
        <v>5000</v>
      </c>
      <c r="M1139" s="228">
        <v>46500000</v>
      </c>
      <c r="N1139" s="228"/>
      <c r="O1139" s="228"/>
      <c r="P1139" s="228">
        <v>5000</v>
      </c>
      <c r="Q1139" s="228">
        <v>46500000</v>
      </c>
    </row>
    <row r="1140" spans="2:17">
      <c r="B1140" s="165" t="s">
        <v>2159</v>
      </c>
      <c r="C1140" s="165">
        <v>3500</v>
      </c>
      <c r="D1140" s="228"/>
      <c r="E1140" s="228"/>
      <c r="F1140" s="228"/>
      <c r="G1140" s="228"/>
      <c r="H1140" s="228"/>
      <c r="I1140" s="228"/>
      <c r="J1140" s="228"/>
      <c r="K1140" s="228"/>
      <c r="L1140" s="228">
        <v>12000</v>
      </c>
      <c r="M1140" s="228">
        <v>42000000</v>
      </c>
      <c r="N1140" s="228"/>
      <c r="O1140" s="228"/>
      <c r="P1140" s="228">
        <v>12000</v>
      </c>
      <c r="Q1140" s="228">
        <v>42000000</v>
      </c>
    </row>
    <row r="1141" spans="2:17">
      <c r="B1141" s="165" t="s">
        <v>2160</v>
      </c>
      <c r="C1141" s="165">
        <v>5200</v>
      </c>
      <c r="D1141" s="228"/>
      <c r="E1141" s="228"/>
      <c r="F1141" s="228"/>
      <c r="G1141" s="228"/>
      <c r="H1141" s="228"/>
      <c r="I1141" s="228"/>
      <c r="J1141" s="228"/>
      <c r="K1141" s="228"/>
      <c r="L1141" s="228">
        <v>4000</v>
      </c>
      <c r="M1141" s="228">
        <v>20800000</v>
      </c>
      <c r="N1141" s="228"/>
      <c r="O1141" s="228"/>
      <c r="P1141" s="228">
        <v>4000</v>
      </c>
      <c r="Q1141" s="228">
        <v>20800000</v>
      </c>
    </row>
    <row r="1142" spans="2:17">
      <c r="B1142" s="165" t="s">
        <v>2165</v>
      </c>
      <c r="C1142" s="165">
        <v>3500</v>
      </c>
      <c r="D1142" s="228"/>
      <c r="E1142" s="228"/>
      <c r="F1142" s="228"/>
      <c r="G1142" s="228"/>
      <c r="H1142" s="228"/>
      <c r="I1142" s="228"/>
      <c r="J1142" s="228"/>
      <c r="K1142" s="228"/>
      <c r="L1142" s="228">
        <v>8400</v>
      </c>
      <c r="M1142" s="228">
        <v>29400000</v>
      </c>
      <c r="N1142" s="228"/>
      <c r="O1142" s="228"/>
      <c r="P1142" s="228">
        <v>8400</v>
      </c>
      <c r="Q1142" s="228">
        <v>29400000</v>
      </c>
    </row>
    <row r="1143" spans="2:17">
      <c r="B1143" s="165" t="s">
        <v>2168</v>
      </c>
      <c r="C1143" s="165">
        <v>3600</v>
      </c>
      <c r="D1143" s="228"/>
      <c r="E1143" s="228"/>
      <c r="F1143" s="228"/>
      <c r="G1143" s="228"/>
      <c r="H1143" s="228"/>
      <c r="I1143" s="228"/>
      <c r="J1143" s="228"/>
      <c r="K1143" s="228"/>
      <c r="L1143" s="228">
        <v>5000</v>
      </c>
      <c r="M1143" s="228">
        <v>18000000</v>
      </c>
      <c r="N1143" s="228"/>
      <c r="O1143" s="228"/>
      <c r="P1143" s="228">
        <v>5000</v>
      </c>
      <c r="Q1143" s="228">
        <v>18000000</v>
      </c>
    </row>
    <row r="1144" spans="2:17">
      <c r="B1144" s="165" t="s">
        <v>2169</v>
      </c>
      <c r="C1144" s="165">
        <v>4800</v>
      </c>
      <c r="D1144" s="228"/>
      <c r="E1144" s="228"/>
      <c r="F1144" s="228">
        <v>0</v>
      </c>
      <c r="G1144" s="228">
        <v>0</v>
      </c>
      <c r="H1144" s="228"/>
      <c r="I1144" s="228"/>
      <c r="J1144" s="228"/>
      <c r="K1144" s="228"/>
      <c r="L1144" s="228"/>
      <c r="M1144" s="228"/>
      <c r="N1144" s="228"/>
      <c r="O1144" s="228"/>
      <c r="P1144" s="228">
        <v>0</v>
      </c>
      <c r="Q1144" s="228">
        <v>0</v>
      </c>
    </row>
    <row r="1145" spans="2:17">
      <c r="B1145" s="165" t="s">
        <v>2171</v>
      </c>
      <c r="C1145" s="165">
        <v>6500</v>
      </c>
      <c r="D1145" s="228"/>
      <c r="E1145" s="228"/>
      <c r="F1145" s="228">
        <v>0</v>
      </c>
      <c r="G1145" s="228">
        <v>0</v>
      </c>
      <c r="H1145" s="228"/>
      <c r="I1145" s="228"/>
      <c r="J1145" s="228"/>
      <c r="K1145" s="228"/>
      <c r="L1145" s="228"/>
      <c r="M1145" s="228"/>
      <c r="N1145" s="228"/>
      <c r="O1145" s="228"/>
      <c r="P1145" s="228">
        <v>0</v>
      </c>
      <c r="Q1145" s="228">
        <v>0</v>
      </c>
    </row>
    <row r="1146" spans="2:17">
      <c r="B1146" s="165" t="s">
        <v>2019</v>
      </c>
      <c r="C1146" s="165">
        <v>9400</v>
      </c>
      <c r="D1146" s="228"/>
      <c r="E1146" s="228"/>
      <c r="F1146" s="228"/>
      <c r="G1146" s="228"/>
      <c r="H1146" s="228"/>
      <c r="I1146" s="228"/>
      <c r="J1146" s="228"/>
      <c r="K1146" s="228"/>
      <c r="L1146" s="228">
        <v>5100</v>
      </c>
      <c r="M1146" s="228">
        <v>47940000</v>
      </c>
      <c r="N1146" s="228"/>
      <c r="O1146" s="228"/>
      <c r="P1146" s="228">
        <v>5100</v>
      </c>
      <c r="Q1146" s="228">
        <v>47940000</v>
      </c>
    </row>
    <row r="1147" spans="2:17">
      <c r="B1147" s="165" t="s">
        <v>2175</v>
      </c>
      <c r="C1147" s="165">
        <v>2800</v>
      </c>
      <c r="D1147" s="228"/>
      <c r="E1147" s="228"/>
      <c r="F1147" s="228">
        <v>0</v>
      </c>
      <c r="G1147" s="228">
        <v>0</v>
      </c>
      <c r="H1147" s="228"/>
      <c r="I1147" s="228"/>
      <c r="J1147" s="228"/>
      <c r="K1147" s="228"/>
      <c r="L1147" s="228"/>
      <c r="M1147" s="228"/>
      <c r="N1147" s="228"/>
      <c r="O1147" s="228"/>
      <c r="P1147" s="228">
        <v>0</v>
      </c>
      <c r="Q1147" s="228">
        <v>0</v>
      </c>
    </row>
    <row r="1148" spans="2:17">
      <c r="B1148" s="165" t="s">
        <v>2176</v>
      </c>
      <c r="C1148" s="165">
        <v>4100</v>
      </c>
      <c r="D1148" s="228"/>
      <c r="E1148" s="228"/>
      <c r="F1148" s="228">
        <v>0</v>
      </c>
      <c r="G1148" s="228">
        <v>0</v>
      </c>
      <c r="H1148" s="228"/>
      <c r="I1148" s="228"/>
      <c r="J1148" s="228"/>
      <c r="K1148" s="228"/>
      <c r="L1148" s="228"/>
      <c r="M1148" s="228"/>
      <c r="N1148" s="228"/>
      <c r="O1148" s="228"/>
      <c r="P1148" s="228">
        <v>0</v>
      </c>
      <c r="Q1148" s="228">
        <v>0</v>
      </c>
    </row>
    <row r="1149" spans="2:17">
      <c r="C1149" s="165">
        <v>4200</v>
      </c>
      <c r="D1149" s="228"/>
      <c r="E1149" s="228"/>
      <c r="F1149" s="228">
        <v>0</v>
      </c>
      <c r="G1149" s="228">
        <v>0</v>
      </c>
      <c r="H1149" s="228"/>
      <c r="I1149" s="228"/>
      <c r="J1149" s="228"/>
      <c r="K1149" s="228"/>
      <c r="L1149" s="228"/>
      <c r="M1149" s="228"/>
      <c r="N1149" s="228"/>
      <c r="O1149" s="228"/>
      <c r="P1149" s="228">
        <v>0</v>
      </c>
      <c r="Q1149" s="228">
        <v>0</v>
      </c>
    </row>
    <row r="1150" spans="2:17">
      <c r="B1150" s="165" t="s">
        <v>2182</v>
      </c>
      <c r="C1150" s="165">
        <v>3500</v>
      </c>
      <c r="D1150" s="228"/>
      <c r="E1150" s="228"/>
      <c r="F1150" s="228"/>
      <c r="G1150" s="228"/>
      <c r="H1150" s="228"/>
      <c r="I1150" s="228"/>
      <c r="J1150" s="228"/>
      <c r="K1150" s="228"/>
      <c r="L1150" s="228">
        <v>9000</v>
      </c>
      <c r="M1150" s="228">
        <v>31500000</v>
      </c>
      <c r="N1150" s="228"/>
      <c r="O1150" s="228"/>
      <c r="P1150" s="228">
        <v>9000</v>
      </c>
      <c r="Q1150" s="228">
        <v>31500000</v>
      </c>
    </row>
    <row r="1151" spans="2:17">
      <c r="B1151" s="165" t="s">
        <v>2186</v>
      </c>
      <c r="C1151" s="165">
        <v>2600</v>
      </c>
      <c r="D1151" s="228"/>
      <c r="E1151" s="228"/>
      <c r="F1151" s="228">
        <v>0</v>
      </c>
      <c r="G1151" s="228">
        <v>0</v>
      </c>
      <c r="H1151" s="228"/>
      <c r="I1151" s="228"/>
      <c r="J1151" s="228"/>
      <c r="K1151" s="228"/>
      <c r="L1151" s="228"/>
      <c r="M1151" s="228"/>
      <c r="N1151" s="228"/>
      <c r="O1151" s="228"/>
      <c r="P1151" s="228">
        <v>0</v>
      </c>
      <c r="Q1151" s="228">
        <v>0</v>
      </c>
    </row>
    <row r="1152" spans="2:17">
      <c r="B1152" s="165" t="s">
        <v>2188</v>
      </c>
      <c r="C1152" s="165">
        <v>3800</v>
      </c>
      <c r="D1152" s="228"/>
      <c r="E1152" s="228"/>
      <c r="F1152" s="228">
        <v>0</v>
      </c>
      <c r="G1152" s="228">
        <v>0</v>
      </c>
      <c r="H1152" s="228"/>
      <c r="I1152" s="228"/>
      <c r="J1152" s="228"/>
      <c r="K1152" s="228"/>
      <c r="L1152" s="228"/>
      <c r="M1152" s="228"/>
      <c r="N1152" s="228"/>
      <c r="O1152" s="228"/>
      <c r="P1152" s="228">
        <v>0</v>
      </c>
      <c r="Q1152" s="228">
        <v>0</v>
      </c>
    </row>
    <row r="1153" spans="1:17">
      <c r="C1153" s="165">
        <v>4000</v>
      </c>
      <c r="D1153" s="228"/>
      <c r="E1153" s="228"/>
      <c r="F1153" s="228"/>
      <c r="G1153" s="228"/>
      <c r="H1153" s="228">
        <v>5100</v>
      </c>
      <c r="I1153" s="228">
        <v>20400000</v>
      </c>
      <c r="J1153" s="228"/>
      <c r="K1153" s="228"/>
      <c r="L1153" s="228"/>
      <c r="M1153" s="228"/>
      <c r="N1153" s="228"/>
      <c r="O1153" s="228"/>
      <c r="P1153" s="228">
        <v>5100</v>
      </c>
      <c r="Q1153" s="228">
        <v>20400000</v>
      </c>
    </row>
    <row r="1154" spans="1:17">
      <c r="B1154" s="165" t="s">
        <v>2190</v>
      </c>
      <c r="C1154" s="165">
        <v>5000</v>
      </c>
      <c r="D1154" s="228"/>
      <c r="E1154" s="228"/>
      <c r="F1154" s="228">
        <v>0</v>
      </c>
      <c r="G1154" s="228">
        <v>0</v>
      </c>
      <c r="H1154" s="228"/>
      <c r="I1154" s="228"/>
      <c r="J1154" s="228"/>
      <c r="K1154" s="228"/>
      <c r="L1154" s="228"/>
      <c r="M1154" s="228"/>
      <c r="N1154" s="228"/>
      <c r="O1154" s="228"/>
      <c r="P1154" s="228">
        <v>0</v>
      </c>
      <c r="Q1154" s="228">
        <v>0</v>
      </c>
    </row>
    <row r="1155" spans="1:17">
      <c r="C1155" s="165">
        <v>6400</v>
      </c>
      <c r="D1155" s="228"/>
      <c r="E1155" s="228"/>
      <c r="F1155" s="228"/>
      <c r="G1155" s="228"/>
      <c r="H1155" s="228"/>
      <c r="I1155" s="228"/>
      <c r="J1155" s="228"/>
      <c r="K1155" s="228"/>
      <c r="L1155" s="228">
        <v>3000</v>
      </c>
      <c r="M1155" s="228">
        <v>19200000</v>
      </c>
      <c r="N1155" s="228"/>
      <c r="O1155" s="228"/>
      <c r="P1155" s="228">
        <v>3000</v>
      </c>
      <c r="Q1155" s="228">
        <v>19200000</v>
      </c>
    </row>
    <row r="1156" spans="1:17">
      <c r="B1156" s="165" t="s">
        <v>2193</v>
      </c>
      <c r="C1156" s="165">
        <v>6200</v>
      </c>
      <c r="D1156" s="228"/>
      <c r="E1156" s="228"/>
      <c r="F1156" s="228"/>
      <c r="G1156" s="228"/>
      <c r="H1156" s="228"/>
      <c r="I1156" s="228"/>
      <c r="J1156" s="228"/>
      <c r="K1156" s="228"/>
      <c r="L1156" s="228">
        <v>35100</v>
      </c>
      <c r="M1156" s="228">
        <v>217620000</v>
      </c>
      <c r="N1156" s="228"/>
      <c r="O1156" s="228"/>
      <c r="P1156" s="228">
        <v>35100</v>
      </c>
      <c r="Q1156" s="228">
        <v>217620000</v>
      </c>
    </row>
    <row r="1157" spans="1:17">
      <c r="A1157" s="165" t="s">
        <v>2291</v>
      </c>
      <c r="B1157" s="165"/>
      <c r="C1157" s="165"/>
      <c r="D1157" s="228">
        <v>0</v>
      </c>
      <c r="E1157" s="228">
        <v>0</v>
      </c>
      <c r="F1157" s="228">
        <v>0</v>
      </c>
      <c r="G1157" s="228">
        <v>0</v>
      </c>
      <c r="H1157" s="228">
        <v>15400</v>
      </c>
      <c r="I1157" s="228">
        <v>64050000</v>
      </c>
      <c r="J1157" s="228">
        <v>15100</v>
      </c>
      <c r="K1157" s="228">
        <v>79795000</v>
      </c>
      <c r="L1157" s="228">
        <v>273850</v>
      </c>
      <c r="M1157" s="228">
        <v>1554475000</v>
      </c>
      <c r="N1157" s="228"/>
      <c r="O1157" s="228"/>
      <c r="P1157" s="228">
        <v>304350</v>
      </c>
      <c r="Q1157" s="228">
        <v>1698320000</v>
      </c>
    </row>
    <row r="1158" spans="1:17">
      <c r="A1158" s="165" t="s">
        <v>213</v>
      </c>
      <c r="B1158" s="165" t="s">
        <v>2008</v>
      </c>
      <c r="C1158" s="165">
        <v>6500</v>
      </c>
      <c r="D1158" s="228"/>
      <c r="E1158" s="228"/>
      <c r="F1158" s="228"/>
      <c r="G1158" s="228"/>
      <c r="H1158" s="228"/>
      <c r="I1158" s="228"/>
      <c r="J1158" s="228">
        <v>2000</v>
      </c>
      <c r="K1158" s="228">
        <v>13000000</v>
      </c>
      <c r="L1158" s="228"/>
      <c r="M1158" s="228"/>
      <c r="N1158" s="228"/>
      <c r="O1158" s="228"/>
      <c r="P1158" s="228">
        <v>2000</v>
      </c>
      <c r="Q1158" s="228">
        <v>13000000</v>
      </c>
    </row>
    <row r="1159" spans="1:17">
      <c r="B1159" s="165" t="s">
        <v>2011</v>
      </c>
      <c r="C1159" s="165">
        <v>10500</v>
      </c>
      <c r="D1159" s="228"/>
      <c r="E1159" s="228"/>
      <c r="F1159" s="228"/>
      <c r="G1159" s="228"/>
      <c r="H1159" s="228"/>
      <c r="I1159" s="228"/>
      <c r="J1159" s="228"/>
      <c r="K1159" s="228"/>
      <c r="L1159" s="228">
        <v>15000</v>
      </c>
      <c r="M1159" s="228">
        <v>157500000</v>
      </c>
      <c r="N1159" s="228"/>
      <c r="O1159" s="228"/>
      <c r="P1159" s="228">
        <v>15000</v>
      </c>
      <c r="Q1159" s="228">
        <v>157500000</v>
      </c>
    </row>
    <row r="1160" spans="1:17">
      <c r="B1160" s="165" t="s">
        <v>2067</v>
      </c>
      <c r="C1160" s="165">
        <v>5600</v>
      </c>
      <c r="D1160" s="228"/>
      <c r="E1160" s="228"/>
      <c r="F1160" s="228"/>
      <c r="G1160" s="228"/>
      <c r="H1160" s="228"/>
      <c r="I1160" s="228"/>
      <c r="J1160" s="228">
        <v>3600</v>
      </c>
      <c r="K1160" s="228">
        <v>20160000</v>
      </c>
      <c r="L1160" s="228"/>
      <c r="M1160" s="228"/>
      <c r="N1160" s="228"/>
      <c r="O1160" s="228"/>
      <c r="P1160" s="228">
        <v>3600</v>
      </c>
      <c r="Q1160" s="228">
        <v>20160000</v>
      </c>
    </row>
    <row r="1161" spans="1:17">
      <c r="B1161" s="165" t="s">
        <v>2118</v>
      </c>
      <c r="C1161" s="165">
        <v>5400</v>
      </c>
      <c r="D1161" s="228"/>
      <c r="E1161" s="228"/>
      <c r="F1161" s="228"/>
      <c r="G1161" s="228"/>
      <c r="H1161" s="228"/>
      <c r="I1161" s="228"/>
      <c r="J1161" s="228">
        <v>2100</v>
      </c>
      <c r="K1161" s="228">
        <v>11340000</v>
      </c>
      <c r="L1161" s="228"/>
      <c r="M1161" s="228"/>
      <c r="N1161" s="228"/>
      <c r="O1161" s="228"/>
      <c r="P1161" s="228">
        <v>2100</v>
      </c>
      <c r="Q1161" s="228">
        <v>11340000</v>
      </c>
    </row>
    <row r="1162" spans="1:17">
      <c r="B1162" s="165" t="s">
        <v>2130</v>
      </c>
      <c r="C1162" s="165">
        <v>4800</v>
      </c>
      <c r="D1162" s="228"/>
      <c r="E1162" s="228"/>
      <c r="F1162" s="228">
        <v>0</v>
      </c>
      <c r="G1162" s="228">
        <v>0</v>
      </c>
      <c r="H1162" s="228"/>
      <c r="I1162" s="228"/>
      <c r="J1162" s="228"/>
      <c r="K1162" s="228"/>
      <c r="L1162" s="228"/>
      <c r="M1162" s="228"/>
      <c r="N1162" s="228"/>
      <c r="O1162" s="228"/>
      <c r="P1162" s="228">
        <v>0</v>
      </c>
      <c r="Q1162" s="228">
        <v>0</v>
      </c>
    </row>
    <row r="1163" spans="1:17">
      <c r="B1163" s="165" t="s">
        <v>2009</v>
      </c>
      <c r="C1163" s="165">
        <v>5000</v>
      </c>
      <c r="D1163" s="228"/>
      <c r="E1163" s="228"/>
      <c r="F1163" s="228">
        <v>0</v>
      </c>
      <c r="G1163" s="228">
        <v>0</v>
      </c>
      <c r="H1163" s="228"/>
      <c r="I1163" s="228"/>
      <c r="J1163" s="228"/>
      <c r="K1163" s="228"/>
      <c r="L1163" s="228"/>
      <c r="M1163" s="228"/>
      <c r="N1163" s="228"/>
      <c r="O1163" s="228"/>
      <c r="P1163" s="228">
        <v>0</v>
      </c>
      <c r="Q1163" s="228">
        <v>0</v>
      </c>
    </row>
    <row r="1164" spans="1:17">
      <c r="C1164" s="165">
        <v>5500</v>
      </c>
      <c r="D1164" s="228"/>
      <c r="E1164" s="228"/>
      <c r="F1164" s="228"/>
      <c r="G1164" s="228"/>
      <c r="H1164" s="228">
        <v>4000</v>
      </c>
      <c r="I1164" s="228">
        <v>22000000</v>
      </c>
      <c r="J1164" s="228">
        <v>3000</v>
      </c>
      <c r="K1164" s="228">
        <v>16500000</v>
      </c>
      <c r="L1164" s="228"/>
      <c r="M1164" s="228"/>
      <c r="N1164" s="228"/>
      <c r="O1164" s="228"/>
      <c r="P1164" s="228">
        <v>7000</v>
      </c>
      <c r="Q1164" s="228">
        <v>38500000</v>
      </c>
    </row>
    <row r="1165" spans="1:17">
      <c r="B1165" s="165" t="s">
        <v>1872</v>
      </c>
      <c r="C1165" s="165">
        <v>6300</v>
      </c>
      <c r="D1165" s="228"/>
      <c r="E1165" s="228"/>
      <c r="F1165" s="228">
        <v>0</v>
      </c>
      <c r="G1165" s="228">
        <v>0</v>
      </c>
      <c r="H1165" s="228"/>
      <c r="I1165" s="228"/>
      <c r="J1165" s="228"/>
      <c r="K1165" s="228"/>
      <c r="L1165" s="228"/>
      <c r="M1165" s="228"/>
      <c r="N1165" s="228"/>
      <c r="O1165" s="228"/>
      <c r="P1165" s="228">
        <v>0</v>
      </c>
      <c r="Q1165" s="228">
        <v>0</v>
      </c>
    </row>
    <row r="1166" spans="1:17">
      <c r="B1166" s="165" t="s">
        <v>2144</v>
      </c>
      <c r="C1166" s="165">
        <v>12500</v>
      </c>
      <c r="D1166" s="228"/>
      <c r="E1166" s="228"/>
      <c r="F1166" s="228"/>
      <c r="G1166" s="228"/>
      <c r="H1166" s="228"/>
      <c r="I1166" s="228"/>
      <c r="J1166" s="228"/>
      <c r="K1166" s="228"/>
      <c r="L1166" s="228">
        <v>15000</v>
      </c>
      <c r="M1166" s="228">
        <v>187500000</v>
      </c>
      <c r="N1166" s="228"/>
      <c r="O1166" s="228"/>
      <c r="P1166" s="228">
        <v>15000</v>
      </c>
      <c r="Q1166" s="228">
        <v>187500000</v>
      </c>
    </row>
    <row r="1167" spans="1:17">
      <c r="B1167" s="165" t="s">
        <v>2171</v>
      </c>
      <c r="C1167" s="165">
        <v>5500</v>
      </c>
      <c r="D1167" s="228"/>
      <c r="E1167" s="228"/>
      <c r="F1167" s="228">
        <v>0</v>
      </c>
      <c r="G1167" s="228">
        <v>0</v>
      </c>
      <c r="H1167" s="228"/>
      <c r="I1167" s="228"/>
      <c r="J1167" s="228"/>
      <c r="K1167" s="228"/>
      <c r="L1167" s="228"/>
      <c r="M1167" s="228"/>
      <c r="N1167" s="228"/>
      <c r="O1167" s="228"/>
      <c r="P1167" s="228">
        <v>0</v>
      </c>
      <c r="Q1167" s="228">
        <v>0</v>
      </c>
    </row>
    <row r="1168" spans="1:17">
      <c r="B1168" s="165" t="s">
        <v>2186</v>
      </c>
      <c r="C1168" s="165">
        <v>2600</v>
      </c>
      <c r="D1168" s="228"/>
      <c r="E1168" s="228"/>
      <c r="F1168" s="228">
        <v>0</v>
      </c>
      <c r="G1168" s="228">
        <v>0</v>
      </c>
      <c r="H1168" s="228"/>
      <c r="I1168" s="228"/>
      <c r="J1168" s="228"/>
      <c r="K1168" s="228"/>
      <c r="L1168" s="228"/>
      <c r="M1168" s="228"/>
      <c r="N1168" s="228"/>
      <c r="O1168" s="228"/>
      <c r="P1168" s="228">
        <v>0</v>
      </c>
      <c r="Q1168" s="228">
        <v>0</v>
      </c>
    </row>
    <row r="1169" spans="1:17">
      <c r="C1169" s="165">
        <v>2700</v>
      </c>
      <c r="D1169" s="228"/>
      <c r="E1169" s="228"/>
      <c r="F1169" s="228">
        <v>0</v>
      </c>
      <c r="G1169" s="228">
        <v>0</v>
      </c>
      <c r="H1169" s="228"/>
      <c r="I1169" s="228"/>
      <c r="J1169" s="228"/>
      <c r="K1169" s="228"/>
      <c r="L1169" s="228"/>
      <c r="M1169" s="228"/>
      <c r="N1169" s="228"/>
      <c r="O1169" s="228"/>
      <c r="P1169" s="228">
        <v>0</v>
      </c>
      <c r="Q1169" s="228">
        <v>0</v>
      </c>
    </row>
    <row r="1170" spans="1:17">
      <c r="B1170" s="165" t="s">
        <v>2188</v>
      </c>
      <c r="C1170" s="165">
        <v>3800</v>
      </c>
      <c r="D1170" s="228"/>
      <c r="E1170" s="228"/>
      <c r="F1170" s="228">
        <v>0</v>
      </c>
      <c r="G1170" s="228">
        <v>0</v>
      </c>
      <c r="H1170" s="228"/>
      <c r="I1170" s="228"/>
      <c r="J1170" s="228"/>
      <c r="K1170" s="228"/>
      <c r="L1170" s="228"/>
      <c r="M1170" s="228"/>
      <c r="N1170" s="228"/>
      <c r="O1170" s="228"/>
      <c r="P1170" s="228">
        <v>0</v>
      </c>
      <c r="Q1170" s="228">
        <v>0</v>
      </c>
    </row>
    <row r="1171" spans="1:17">
      <c r="A1171" s="165" t="s">
        <v>2292</v>
      </c>
      <c r="B1171" s="165"/>
      <c r="C1171" s="165"/>
      <c r="D1171" s="228"/>
      <c r="E1171" s="228"/>
      <c r="F1171" s="228">
        <v>0</v>
      </c>
      <c r="G1171" s="228">
        <v>0</v>
      </c>
      <c r="H1171" s="228">
        <v>4000</v>
      </c>
      <c r="I1171" s="228">
        <v>22000000</v>
      </c>
      <c r="J1171" s="228">
        <v>10700</v>
      </c>
      <c r="K1171" s="228">
        <v>61000000</v>
      </c>
      <c r="L1171" s="228">
        <v>30000</v>
      </c>
      <c r="M1171" s="228">
        <v>345000000</v>
      </c>
      <c r="N1171" s="228"/>
      <c r="O1171" s="228"/>
      <c r="P1171" s="228">
        <v>44700</v>
      </c>
      <c r="Q1171" s="228">
        <v>428000000</v>
      </c>
    </row>
    <row r="1172" spans="1:17">
      <c r="A1172" s="165" t="s">
        <v>1037</v>
      </c>
      <c r="B1172" s="165" t="s">
        <v>2011</v>
      </c>
      <c r="C1172" s="165">
        <v>10600</v>
      </c>
      <c r="D1172" s="228">
        <v>0</v>
      </c>
      <c r="E1172" s="228">
        <v>0</v>
      </c>
      <c r="F1172" s="228"/>
      <c r="G1172" s="228"/>
      <c r="H1172" s="228"/>
      <c r="I1172" s="228"/>
      <c r="J1172" s="228"/>
      <c r="K1172" s="228"/>
      <c r="L1172" s="228"/>
      <c r="M1172" s="228"/>
      <c r="N1172" s="228"/>
      <c r="O1172" s="228"/>
      <c r="P1172" s="228">
        <v>0</v>
      </c>
      <c r="Q1172" s="228">
        <v>0</v>
      </c>
    </row>
    <row r="1173" spans="1:17">
      <c r="B1173" s="165" t="s">
        <v>2062</v>
      </c>
      <c r="C1173" s="165">
        <v>12000</v>
      </c>
      <c r="D1173" s="228"/>
      <c r="E1173" s="228"/>
      <c r="F1173" s="228"/>
      <c r="G1173" s="228"/>
      <c r="H1173" s="228"/>
      <c r="I1173" s="228"/>
      <c r="J1173" s="228"/>
      <c r="K1173" s="228"/>
      <c r="L1173" s="228">
        <v>27000</v>
      </c>
      <c r="M1173" s="228">
        <v>324000000</v>
      </c>
      <c r="N1173" s="228"/>
      <c r="O1173" s="228"/>
      <c r="P1173" s="228">
        <v>27000</v>
      </c>
      <c r="Q1173" s="228">
        <v>324000000</v>
      </c>
    </row>
    <row r="1174" spans="1:17">
      <c r="B1174" s="165" t="s">
        <v>2063</v>
      </c>
      <c r="C1174" s="165">
        <v>12500</v>
      </c>
      <c r="D1174" s="228">
        <v>0</v>
      </c>
      <c r="E1174" s="228">
        <v>0</v>
      </c>
      <c r="F1174" s="228"/>
      <c r="G1174" s="228"/>
      <c r="H1174" s="228"/>
      <c r="I1174" s="228"/>
      <c r="J1174" s="228"/>
      <c r="K1174" s="228"/>
      <c r="L1174" s="228"/>
      <c r="M1174" s="228"/>
      <c r="N1174" s="228"/>
      <c r="O1174" s="228"/>
      <c r="P1174" s="228">
        <v>0</v>
      </c>
      <c r="Q1174" s="228">
        <v>0</v>
      </c>
    </row>
    <row r="1175" spans="1:17">
      <c r="B1175" s="165" t="s">
        <v>2015</v>
      </c>
      <c r="C1175" s="165">
        <v>10700</v>
      </c>
      <c r="D1175" s="228">
        <v>0</v>
      </c>
      <c r="E1175" s="228">
        <v>0</v>
      </c>
      <c r="F1175" s="228"/>
      <c r="G1175" s="228"/>
      <c r="H1175" s="228"/>
      <c r="I1175" s="228"/>
      <c r="J1175" s="228"/>
      <c r="K1175" s="228"/>
      <c r="L1175" s="228"/>
      <c r="M1175" s="228"/>
      <c r="N1175" s="228"/>
      <c r="O1175" s="228"/>
      <c r="P1175" s="228">
        <v>0</v>
      </c>
      <c r="Q1175" s="228">
        <v>0</v>
      </c>
    </row>
    <row r="1176" spans="1:17">
      <c r="B1176" s="165" t="s">
        <v>2143</v>
      </c>
      <c r="C1176" s="165">
        <v>12500</v>
      </c>
      <c r="D1176" s="228"/>
      <c r="E1176" s="228"/>
      <c r="F1176" s="228"/>
      <c r="G1176" s="228"/>
      <c r="H1176" s="228"/>
      <c r="I1176" s="228"/>
      <c r="J1176" s="228"/>
      <c r="K1176" s="228"/>
      <c r="L1176" s="228">
        <v>5000</v>
      </c>
      <c r="M1176" s="228">
        <v>62500000</v>
      </c>
      <c r="N1176" s="228"/>
      <c r="O1176" s="228"/>
      <c r="P1176" s="228">
        <v>5000</v>
      </c>
      <c r="Q1176" s="228">
        <v>62500000</v>
      </c>
    </row>
    <row r="1177" spans="1:17">
      <c r="B1177" s="165" t="s">
        <v>2144</v>
      </c>
      <c r="C1177" s="165">
        <v>12500</v>
      </c>
      <c r="D1177" s="228">
        <v>0</v>
      </c>
      <c r="E1177" s="228">
        <v>0</v>
      </c>
      <c r="F1177" s="228"/>
      <c r="G1177" s="228"/>
      <c r="H1177" s="228"/>
      <c r="I1177" s="228"/>
      <c r="J1177" s="228"/>
      <c r="K1177" s="228"/>
      <c r="L1177" s="228"/>
      <c r="M1177" s="228"/>
      <c r="N1177" s="228"/>
      <c r="O1177" s="228"/>
      <c r="P1177" s="228">
        <v>0</v>
      </c>
      <c r="Q1177" s="228">
        <v>0</v>
      </c>
    </row>
    <row r="1178" spans="1:17">
      <c r="B1178" s="165" t="s">
        <v>2145</v>
      </c>
      <c r="C1178" s="165">
        <v>13000</v>
      </c>
      <c r="D1178" s="228"/>
      <c r="E1178" s="228"/>
      <c r="F1178" s="228"/>
      <c r="G1178" s="228"/>
      <c r="H1178" s="228"/>
      <c r="I1178" s="228"/>
      <c r="J1178" s="228"/>
      <c r="K1178" s="228"/>
      <c r="L1178" s="228">
        <v>5000</v>
      </c>
      <c r="M1178" s="228">
        <v>65000000</v>
      </c>
      <c r="N1178" s="228"/>
      <c r="O1178" s="228"/>
      <c r="P1178" s="228">
        <v>5000</v>
      </c>
      <c r="Q1178" s="228">
        <v>65000000</v>
      </c>
    </row>
    <row r="1179" spans="1:17">
      <c r="A1179" s="165" t="s">
        <v>2293</v>
      </c>
      <c r="B1179" s="165"/>
      <c r="C1179" s="165"/>
      <c r="D1179" s="228">
        <v>0</v>
      </c>
      <c r="E1179" s="228">
        <v>0</v>
      </c>
      <c r="F1179" s="228"/>
      <c r="G1179" s="228"/>
      <c r="H1179" s="228"/>
      <c r="I1179" s="228"/>
      <c r="J1179" s="228"/>
      <c r="K1179" s="228"/>
      <c r="L1179" s="228">
        <v>37000</v>
      </c>
      <c r="M1179" s="228">
        <v>451500000</v>
      </c>
      <c r="N1179" s="228"/>
      <c r="O1179" s="228"/>
      <c r="P1179" s="228">
        <v>37000</v>
      </c>
      <c r="Q1179" s="228">
        <v>451500000</v>
      </c>
    </row>
    <row r="1180" spans="1:17">
      <c r="A1180" s="165" t="s">
        <v>1370</v>
      </c>
      <c r="B1180" s="165" t="s">
        <v>2029</v>
      </c>
      <c r="C1180" s="165">
        <v>4500</v>
      </c>
      <c r="D1180" s="228"/>
      <c r="E1180" s="228"/>
      <c r="F1180" s="228">
        <v>0</v>
      </c>
      <c r="G1180" s="228">
        <v>0</v>
      </c>
      <c r="H1180" s="228"/>
      <c r="I1180" s="228"/>
      <c r="J1180" s="228"/>
      <c r="K1180" s="228"/>
      <c r="L1180" s="228"/>
      <c r="M1180" s="228"/>
      <c r="N1180" s="228"/>
      <c r="O1180" s="228"/>
      <c r="P1180" s="228">
        <v>0</v>
      </c>
      <c r="Q1180" s="228">
        <v>0</v>
      </c>
    </row>
    <row r="1181" spans="1:17">
      <c r="B1181" s="165" t="s">
        <v>2114</v>
      </c>
      <c r="C1181" s="165">
        <v>4000</v>
      </c>
      <c r="D1181" s="228"/>
      <c r="E1181" s="228"/>
      <c r="F1181" s="228">
        <v>0</v>
      </c>
      <c r="G1181" s="228">
        <v>0</v>
      </c>
      <c r="H1181" s="228"/>
      <c r="I1181" s="228"/>
      <c r="J1181" s="228"/>
      <c r="K1181" s="228"/>
      <c r="L1181" s="228"/>
      <c r="M1181" s="228"/>
      <c r="N1181" s="228"/>
      <c r="O1181" s="228"/>
      <c r="P1181" s="228">
        <v>0</v>
      </c>
      <c r="Q1181" s="228">
        <v>0</v>
      </c>
    </row>
    <row r="1182" spans="1:17">
      <c r="B1182" s="165" t="s">
        <v>2125</v>
      </c>
      <c r="C1182" s="165">
        <v>2900</v>
      </c>
      <c r="D1182" s="228"/>
      <c r="E1182" s="228"/>
      <c r="F1182" s="228">
        <v>0</v>
      </c>
      <c r="G1182" s="228">
        <v>0</v>
      </c>
      <c r="H1182" s="228"/>
      <c r="I1182" s="228"/>
      <c r="J1182" s="228"/>
      <c r="K1182" s="228"/>
      <c r="L1182" s="228"/>
      <c r="M1182" s="228"/>
      <c r="N1182" s="228"/>
      <c r="O1182" s="228"/>
      <c r="P1182" s="228">
        <v>0</v>
      </c>
      <c r="Q1182" s="228">
        <v>0</v>
      </c>
    </row>
    <row r="1183" spans="1:17">
      <c r="B1183" s="165" t="s">
        <v>2129</v>
      </c>
      <c r="C1183" s="165">
        <v>5000</v>
      </c>
      <c r="D1183" s="228"/>
      <c r="E1183" s="228"/>
      <c r="F1183" s="228">
        <v>0</v>
      </c>
      <c r="G1183" s="228">
        <v>0</v>
      </c>
      <c r="H1183" s="228"/>
      <c r="I1183" s="228"/>
      <c r="J1183" s="228"/>
      <c r="K1183" s="228"/>
      <c r="L1183" s="228"/>
      <c r="M1183" s="228"/>
      <c r="N1183" s="228"/>
      <c r="O1183" s="228"/>
      <c r="P1183" s="228">
        <v>0</v>
      </c>
      <c r="Q1183" s="228">
        <v>0</v>
      </c>
    </row>
    <row r="1184" spans="1:17">
      <c r="B1184" s="165" t="s">
        <v>2130</v>
      </c>
      <c r="C1184" s="165">
        <v>5200</v>
      </c>
      <c r="D1184" s="228">
        <v>0</v>
      </c>
      <c r="E1184" s="228">
        <v>0</v>
      </c>
      <c r="F1184" s="228"/>
      <c r="G1184" s="228"/>
      <c r="H1184" s="228"/>
      <c r="I1184" s="228"/>
      <c r="J1184" s="228"/>
      <c r="K1184" s="228"/>
      <c r="L1184" s="228"/>
      <c r="M1184" s="228"/>
      <c r="N1184" s="228"/>
      <c r="O1184" s="228"/>
      <c r="P1184" s="228">
        <v>0</v>
      </c>
      <c r="Q1184" s="228">
        <v>0</v>
      </c>
    </row>
    <row r="1185" spans="1:17">
      <c r="B1185" s="165" t="s">
        <v>2132</v>
      </c>
      <c r="C1185" s="165">
        <v>7800</v>
      </c>
      <c r="D1185" s="228"/>
      <c r="E1185" s="228"/>
      <c r="F1185" s="228">
        <v>0</v>
      </c>
      <c r="G1185" s="228">
        <v>0</v>
      </c>
      <c r="H1185" s="228"/>
      <c r="I1185" s="228"/>
      <c r="J1185" s="228"/>
      <c r="K1185" s="228"/>
      <c r="L1185" s="228"/>
      <c r="M1185" s="228"/>
      <c r="N1185" s="228"/>
      <c r="O1185" s="228"/>
      <c r="P1185" s="228">
        <v>0</v>
      </c>
      <c r="Q1185" s="228">
        <v>0</v>
      </c>
    </row>
    <row r="1186" spans="1:17">
      <c r="B1186" s="165" t="s">
        <v>2135</v>
      </c>
      <c r="C1186" s="165">
        <v>13500</v>
      </c>
      <c r="D1186" s="228"/>
      <c r="E1186" s="228"/>
      <c r="F1186" s="228"/>
      <c r="G1186" s="228"/>
      <c r="H1186" s="228"/>
      <c r="I1186" s="228"/>
      <c r="J1186" s="228"/>
      <c r="K1186" s="228"/>
      <c r="L1186" s="228">
        <v>3000</v>
      </c>
      <c r="M1186" s="228">
        <v>40500000</v>
      </c>
      <c r="N1186" s="228"/>
      <c r="O1186" s="228"/>
      <c r="P1186" s="228">
        <v>3000</v>
      </c>
      <c r="Q1186" s="228">
        <v>40500000</v>
      </c>
    </row>
    <row r="1187" spans="1:17">
      <c r="A1187" s="165" t="s">
        <v>2294</v>
      </c>
      <c r="B1187" s="165"/>
      <c r="C1187" s="165"/>
      <c r="D1187" s="228">
        <v>0</v>
      </c>
      <c r="E1187" s="228">
        <v>0</v>
      </c>
      <c r="F1187" s="228">
        <v>0</v>
      </c>
      <c r="G1187" s="228">
        <v>0</v>
      </c>
      <c r="H1187" s="228"/>
      <c r="I1187" s="228"/>
      <c r="J1187" s="228"/>
      <c r="K1187" s="228"/>
      <c r="L1187" s="228">
        <v>3000</v>
      </c>
      <c r="M1187" s="228">
        <v>40500000</v>
      </c>
      <c r="N1187" s="228"/>
      <c r="O1187" s="228"/>
      <c r="P1187" s="228">
        <v>3000</v>
      </c>
      <c r="Q1187" s="228">
        <v>40500000</v>
      </c>
    </row>
    <row r="1188" spans="1:17">
      <c r="A1188" s="165" t="s">
        <v>1500</v>
      </c>
      <c r="B1188" s="165" t="s">
        <v>2067</v>
      </c>
      <c r="C1188" s="165">
        <v>5500</v>
      </c>
      <c r="D1188" s="228"/>
      <c r="E1188" s="228"/>
      <c r="F1188" s="228">
        <v>0</v>
      </c>
      <c r="G1188" s="228">
        <v>0</v>
      </c>
      <c r="H1188" s="228"/>
      <c r="I1188" s="228"/>
      <c r="J1188" s="228"/>
      <c r="K1188" s="228"/>
      <c r="L1188" s="228"/>
      <c r="M1188" s="228"/>
      <c r="N1188" s="228"/>
      <c r="O1188" s="228"/>
      <c r="P1188" s="228">
        <v>0</v>
      </c>
      <c r="Q1188" s="228">
        <v>0</v>
      </c>
    </row>
    <row r="1189" spans="1:17">
      <c r="A1189" s="165" t="s">
        <v>2295</v>
      </c>
      <c r="B1189" s="165"/>
      <c r="C1189" s="165"/>
      <c r="D1189" s="228"/>
      <c r="E1189" s="228"/>
      <c r="F1189" s="228">
        <v>0</v>
      </c>
      <c r="G1189" s="228">
        <v>0</v>
      </c>
      <c r="H1189" s="228"/>
      <c r="I1189" s="228"/>
      <c r="J1189" s="228"/>
      <c r="K1189" s="228"/>
      <c r="L1189" s="228"/>
      <c r="M1189" s="228"/>
      <c r="N1189" s="228"/>
      <c r="O1189" s="228"/>
      <c r="P1189" s="228">
        <v>0</v>
      </c>
      <c r="Q1189" s="228">
        <v>0</v>
      </c>
    </row>
    <row r="1190" spans="1:17">
      <c r="A1190" s="165" t="s">
        <v>229</v>
      </c>
      <c r="B1190" s="165" t="s">
        <v>2190</v>
      </c>
      <c r="C1190" s="165">
        <v>5000</v>
      </c>
      <c r="D1190" s="228"/>
      <c r="E1190" s="228"/>
      <c r="F1190" s="228">
        <v>0</v>
      </c>
      <c r="G1190" s="228">
        <v>0</v>
      </c>
      <c r="H1190" s="228"/>
      <c r="I1190" s="228"/>
      <c r="J1190" s="228"/>
      <c r="K1190" s="228"/>
      <c r="L1190" s="228"/>
      <c r="M1190" s="228"/>
      <c r="N1190" s="228"/>
      <c r="O1190" s="228"/>
      <c r="P1190" s="228">
        <v>0</v>
      </c>
      <c r="Q1190" s="228">
        <v>0</v>
      </c>
    </row>
    <row r="1191" spans="1:17">
      <c r="A1191" s="165" t="s">
        <v>2296</v>
      </c>
      <c r="B1191" s="165"/>
      <c r="C1191" s="165"/>
      <c r="D1191" s="228"/>
      <c r="E1191" s="228"/>
      <c r="F1191" s="228">
        <v>0</v>
      </c>
      <c r="G1191" s="228">
        <v>0</v>
      </c>
      <c r="H1191" s="228"/>
      <c r="I1191" s="228"/>
      <c r="J1191" s="228"/>
      <c r="K1191" s="228"/>
      <c r="L1191" s="228"/>
      <c r="M1191" s="228"/>
      <c r="N1191" s="228"/>
      <c r="O1191" s="228"/>
      <c r="P1191" s="228">
        <v>0</v>
      </c>
      <c r="Q1191" s="228">
        <v>0</v>
      </c>
    </row>
    <row r="1192" spans="1:17">
      <c r="A1192" s="165" t="s">
        <v>1142</v>
      </c>
      <c r="B1192" s="165" t="s">
        <v>2033</v>
      </c>
      <c r="C1192" s="165">
        <v>5500</v>
      </c>
      <c r="D1192" s="228"/>
      <c r="E1192" s="228"/>
      <c r="F1192" s="228"/>
      <c r="G1192" s="228"/>
      <c r="H1192" s="228"/>
      <c r="I1192" s="228"/>
      <c r="J1192" s="228">
        <v>6000</v>
      </c>
      <c r="K1192" s="228">
        <v>33000000</v>
      </c>
      <c r="L1192" s="228"/>
      <c r="M1192" s="228"/>
      <c r="N1192" s="228"/>
      <c r="O1192" s="228"/>
      <c r="P1192" s="228">
        <v>6000</v>
      </c>
      <c r="Q1192" s="228">
        <v>33000000</v>
      </c>
    </row>
    <row r="1193" spans="1:17">
      <c r="C1193" s="165">
        <v>5600</v>
      </c>
      <c r="D1193" s="228">
        <v>0</v>
      </c>
      <c r="E1193" s="228">
        <v>0</v>
      </c>
      <c r="F1193" s="228"/>
      <c r="G1193" s="228"/>
      <c r="H1193" s="228"/>
      <c r="I1193" s="228"/>
      <c r="J1193" s="228"/>
      <c r="K1193" s="228"/>
      <c r="L1193" s="228"/>
      <c r="M1193" s="228"/>
      <c r="N1193" s="228"/>
      <c r="O1193" s="228"/>
      <c r="P1193" s="228">
        <v>0</v>
      </c>
      <c r="Q1193" s="228">
        <v>0</v>
      </c>
    </row>
    <row r="1194" spans="1:17">
      <c r="B1194" s="165" t="s">
        <v>2035</v>
      </c>
      <c r="C1194" s="165">
        <v>8500</v>
      </c>
      <c r="D1194" s="228"/>
      <c r="E1194" s="228"/>
      <c r="F1194" s="228"/>
      <c r="G1194" s="228"/>
      <c r="H1194" s="228"/>
      <c r="I1194" s="228"/>
      <c r="J1194" s="228"/>
      <c r="K1194" s="228"/>
      <c r="L1194" s="228">
        <v>10200</v>
      </c>
      <c r="M1194" s="228">
        <v>86700000</v>
      </c>
      <c r="N1194" s="228"/>
      <c r="O1194" s="228"/>
      <c r="P1194" s="228">
        <v>10200</v>
      </c>
      <c r="Q1194" s="228">
        <v>86700000</v>
      </c>
    </row>
    <row r="1195" spans="1:17">
      <c r="B1195" s="165" t="s">
        <v>2038</v>
      </c>
      <c r="C1195" s="165">
        <v>4500</v>
      </c>
      <c r="D1195" s="228"/>
      <c r="E1195" s="228"/>
      <c r="F1195" s="228">
        <v>0</v>
      </c>
      <c r="G1195" s="228">
        <v>0</v>
      </c>
      <c r="H1195" s="228"/>
      <c r="I1195" s="228"/>
      <c r="J1195" s="228"/>
      <c r="K1195" s="228"/>
      <c r="L1195" s="228"/>
      <c r="M1195" s="228"/>
      <c r="N1195" s="228"/>
      <c r="O1195" s="228"/>
      <c r="P1195" s="228">
        <v>0</v>
      </c>
      <c r="Q1195" s="228">
        <v>0</v>
      </c>
    </row>
    <row r="1196" spans="1:17">
      <c r="B1196" s="165" t="s">
        <v>2039</v>
      </c>
      <c r="C1196" s="165">
        <v>6300</v>
      </c>
      <c r="D1196" s="228"/>
      <c r="E1196" s="228"/>
      <c r="F1196" s="228">
        <v>0</v>
      </c>
      <c r="G1196" s="228">
        <v>0</v>
      </c>
      <c r="H1196" s="228"/>
      <c r="I1196" s="228"/>
      <c r="J1196" s="228"/>
      <c r="K1196" s="228"/>
      <c r="L1196" s="228"/>
      <c r="M1196" s="228"/>
      <c r="N1196" s="228"/>
      <c r="O1196" s="228"/>
      <c r="P1196" s="228">
        <v>0</v>
      </c>
      <c r="Q1196" s="228">
        <v>0</v>
      </c>
    </row>
    <row r="1197" spans="1:17">
      <c r="B1197" s="165" t="s">
        <v>2008</v>
      </c>
      <c r="C1197" s="165">
        <v>4700</v>
      </c>
      <c r="D1197" s="228"/>
      <c r="E1197" s="228"/>
      <c r="F1197" s="228">
        <v>0</v>
      </c>
      <c r="G1197" s="228">
        <v>0</v>
      </c>
      <c r="H1197" s="228"/>
      <c r="I1197" s="228"/>
      <c r="J1197" s="228"/>
      <c r="K1197" s="228"/>
      <c r="L1197" s="228"/>
      <c r="M1197" s="228"/>
      <c r="N1197" s="228"/>
      <c r="O1197" s="228"/>
      <c r="P1197" s="228">
        <v>0</v>
      </c>
      <c r="Q1197" s="228">
        <v>0</v>
      </c>
    </row>
    <row r="1198" spans="1:17">
      <c r="C1198" s="165">
        <v>5000</v>
      </c>
      <c r="D1198" s="228"/>
      <c r="E1198" s="228"/>
      <c r="F1198" s="228">
        <v>0</v>
      </c>
      <c r="G1198" s="228">
        <v>0</v>
      </c>
      <c r="H1198" s="228"/>
      <c r="I1198" s="228"/>
      <c r="J1198" s="228"/>
      <c r="K1198" s="228"/>
      <c r="L1198" s="228"/>
      <c r="M1198" s="228"/>
      <c r="N1198" s="228"/>
      <c r="O1198" s="228"/>
      <c r="P1198" s="228">
        <v>0</v>
      </c>
      <c r="Q1198" s="228">
        <v>0</v>
      </c>
    </row>
    <row r="1199" spans="1:17">
      <c r="B1199" s="165" t="s">
        <v>2011</v>
      </c>
      <c r="C1199" s="165">
        <v>10500</v>
      </c>
      <c r="D1199" s="228"/>
      <c r="E1199" s="228"/>
      <c r="F1199" s="228"/>
      <c r="G1199" s="228"/>
      <c r="H1199" s="228"/>
      <c r="I1199" s="228"/>
      <c r="J1199" s="228"/>
      <c r="K1199" s="228"/>
      <c r="L1199" s="228">
        <v>20000</v>
      </c>
      <c r="M1199" s="228">
        <v>210000000</v>
      </c>
      <c r="N1199" s="228"/>
      <c r="O1199" s="228"/>
      <c r="P1199" s="228">
        <v>20000</v>
      </c>
      <c r="Q1199" s="228">
        <v>210000000</v>
      </c>
    </row>
    <row r="1200" spans="1:17">
      <c r="B1200" s="165" t="s">
        <v>2067</v>
      </c>
      <c r="C1200" s="165">
        <v>5300</v>
      </c>
      <c r="D1200" s="228"/>
      <c r="E1200" s="228"/>
      <c r="F1200" s="228">
        <v>0</v>
      </c>
      <c r="G1200" s="228">
        <v>0</v>
      </c>
      <c r="H1200" s="228"/>
      <c r="I1200" s="228"/>
      <c r="J1200" s="228"/>
      <c r="K1200" s="228"/>
      <c r="L1200" s="228"/>
      <c r="M1200" s="228"/>
      <c r="N1200" s="228"/>
      <c r="O1200" s="228"/>
      <c r="P1200" s="228">
        <v>0</v>
      </c>
      <c r="Q1200" s="228">
        <v>0</v>
      </c>
    </row>
    <row r="1201" spans="1:17">
      <c r="C1201" s="165">
        <v>5350</v>
      </c>
      <c r="D1201" s="228"/>
      <c r="E1201" s="228"/>
      <c r="F1201" s="228"/>
      <c r="G1201" s="228"/>
      <c r="H1201" s="228"/>
      <c r="I1201" s="228"/>
      <c r="J1201" s="228">
        <v>4200</v>
      </c>
      <c r="K1201" s="228">
        <v>22470000</v>
      </c>
      <c r="L1201" s="228"/>
      <c r="M1201" s="228"/>
      <c r="N1201" s="228"/>
      <c r="O1201" s="228"/>
      <c r="P1201" s="228">
        <v>4200</v>
      </c>
      <c r="Q1201" s="228">
        <v>22470000</v>
      </c>
    </row>
    <row r="1202" spans="1:17">
      <c r="C1202" s="165">
        <v>5500</v>
      </c>
      <c r="D1202" s="228"/>
      <c r="E1202" s="228"/>
      <c r="F1202" s="228"/>
      <c r="G1202" s="228"/>
      <c r="H1202" s="228">
        <v>10200</v>
      </c>
      <c r="I1202" s="228">
        <v>56100000</v>
      </c>
      <c r="J1202" s="228"/>
      <c r="K1202" s="228"/>
      <c r="L1202" s="228">
        <v>10200</v>
      </c>
      <c r="M1202" s="228">
        <v>56100000</v>
      </c>
      <c r="N1202" s="228"/>
      <c r="O1202" s="228"/>
      <c r="P1202" s="228">
        <v>20400</v>
      </c>
      <c r="Q1202" s="228">
        <v>112200000</v>
      </c>
    </row>
    <row r="1203" spans="1:17">
      <c r="B1203" s="165" t="s">
        <v>2096</v>
      </c>
      <c r="C1203" s="165">
        <v>9200</v>
      </c>
      <c r="D1203" s="228"/>
      <c r="E1203" s="228"/>
      <c r="F1203" s="228"/>
      <c r="G1203" s="228"/>
      <c r="H1203" s="228"/>
      <c r="I1203" s="228"/>
      <c r="J1203" s="228"/>
      <c r="K1203" s="228"/>
      <c r="L1203" s="228">
        <v>5100</v>
      </c>
      <c r="M1203" s="228">
        <v>46920000</v>
      </c>
      <c r="N1203" s="228"/>
      <c r="O1203" s="228"/>
      <c r="P1203" s="228">
        <v>5100</v>
      </c>
      <c r="Q1203" s="228">
        <v>46920000</v>
      </c>
    </row>
    <row r="1204" spans="1:17">
      <c r="B1204" s="165" t="s">
        <v>2110</v>
      </c>
      <c r="C1204" s="165">
        <v>6000</v>
      </c>
      <c r="D1204" s="228"/>
      <c r="E1204" s="228"/>
      <c r="F1204" s="228">
        <v>0</v>
      </c>
      <c r="G1204" s="228">
        <v>0</v>
      </c>
      <c r="H1204" s="228"/>
      <c r="I1204" s="228"/>
      <c r="J1204" s="228"/>
      <c r="K1204" s="228"/>
      <c r="L1204" s="228"/>
      <c r="M1204" s="228"/>
      <c r="N1204" s="228"/>
      <c r="O1204" s="228"/>
      <c r="P1204" s="228">
        <v>0</v>
      </c>
      <c r="Q1204" s="228">
        <v>0</v>
      </c>
    </row>
    <row r="1205" spans="1:17">
      <c r="B1205" s="165" t="s">
        <v>2009</v>
      </c>
      <c r="C1205" s="165">
        <v>5100</v>
      </c>
      <c r="D1205" s="228"/>
      <c r="E1205" s="228"/>
      <c r="F1205" s="228">
        <v>0</v>
      </c>
      <c r="G1205" s="228">
        <v>0</v>
      </c>
      <c r="H1205" s="228"/>
      <c r="I1205" s="228"/>
      <c r="J1205" s="228"/>
      <c r="K1205" s="228"/>
      <c r="L1205" s="228"/>
      <c r="M1205" s="228"/>
      <c r="N1205" s="228"/>
      <c r="O1205" s="228"/>
      <c r="P1205" s="228">
        <v>0</v>
      </c>
      <c r="Q1205" s="228">
        <v>0</v>
      </c>
    </row>
    <row r="1206" spans="1:17">
      <c r="C1206" s="165">
        <v>5500</v>
      </c>
      <c r="D1206" s="228"/>
      <c r="E1206" s="228"/>
      <c r="F1206" s="228"/>
      <c r="G1206" s="228"/>
      <c r="H1206" s="228"/>
      <c r="I1206" s="228"/>
      <c r="J1206" s="228">
        <v>12000</v>
      </c>
      <c r="K1206" s="228">
        <v>66000000</v>
      </c>
      <c r="L1206" s="228"/>
      <c r="M1206" s="228"/>
      <c r="N1206" s="228"/>
      <c r="O1206" s="228"/>
      <c r="P1206" s="228">
        <v>12000</v>
      </c>
      <c r="Q1206" s="228">
        <v>66000000</v>
      </c>
    </row>
    <row r="1207" spans="1:17">
      <c r="B1207" s="165" t="s">
        <v>1872</v>
      </c>
      <c r="C1207" s="165">
        <v>6300</v>
      </c>
      <c r="D1207" s="228"/>
      <c r="E1207" s="228"/>
      <c r="F1207" s="228">
        <v>0</v>
      </c>
      <c r="G1207" s="228">
        <v>0</v>
      </c>
      <c r="H1207" s="228"/>
      <c r="I1207" s="228"/>
      <c r="J1207" s="228"/>
      <c r="K1207" s="228"/>
      <c r="L1207" s="228"/>
      <c r="M1207" s="228"/>
      <c r="N1207" s="228"/>
      <c r="O1207" s="228"/>
      <c r="P1207" s="228">
        <v>0</v>
      </c>
      <c r="Q1207" s="228">
        <v>0</v>
      </c>
    </row>
    <row r="1208" spans="1:17">
      <c r="B1208" s="165" t="s">
        <v>2015</v>
      </c>
      <c r="C1208" s="165">
        <v>10700</v>
      </c>
      <c r="D1208" s="228"/>
      <c r="E1208" s="228"/>
      <c r="F1208" s="228"/>
      <c r="G1208" s="228"/>
      <c r="H1208" s="228"/>
      <c r="I1208" s="228"/>
      <c r="J1208" s="228"/>
      <c r="K1208" s="228"/>
      <c r="L1208" s="228">
        <v>20000</v>
      </c>
      <c r="M1208" s="228">
        <v>214000000</v>
      </c>
      <c r="N1208" s="228"/>
      <c r="O1208" s="228"/>
      <c r="P1208" s="228">
        <v>20000</v>
      </c>
      <c r="Q1208" s="228">
        <v>214000000</v>
      </c>
    </row>
    <row r="1209" spans="1:17">
      <c r="B1209" s="165" t="s">
        <v>2194</v>
      </c>
      <c r="C1209" s="165">
        <v>5500</v>
      </c>
      <c r="D1209" s="228">
        <v>0</v>
      </c>
      <c r="E1209" s="228">
        <v>0</v>
      </c>
      <c r="F1209" s="228">
        <v>0</v>
      </c>
      <c r="G1209" s="228">
        <v>0</v>
      </c>
      <c r="H1209" s="228"/>
      <c r="I1209" s="228"/>
      <c r="J1209" s="228"/>
      <c r="K1209" s="228"/>
      <c r="L1209" s="228"/>
      <c r="M1209" s="228"/>
      <c r="N1209" s="228"/>
      <c r="O1209" s="228"/>
      <c r="P1209" s="228">
        <v>0</v>
      </c>
      <c r="Q1209" s="228">
        <v>0</v>
      </c>
    </row>
    <row r="1210" spans="1:17">
      <c r="A1210" s="165" t="s">
        <v>2297</v>
      </c>
      <c r="B1210" s="165"/>
      <c r="C1210" s="165"/>
      <c r="D1210" s="228">
        <v>0</v>
      </c>
      <c r="E1210" s="228">
        <v>0</v>
      </c>
      <c r="F1210" s="228">
        <v>0</v>
      </c>
      <c r="G1210" s="228">
        <v>0</v>
      </c>
      <c r="H1210" s="228">
        <v>10200</v>
      </c>
      <c r="I1210" s="228">
        <v>56100000</v>
      </c>
      <c r="J1210" s="228">
        <v>22200</v>
      </c>
      <c r="K1210" s="228">
        <v>121470000</v>
      </c>
      <c r="L1210" s="228">
        <v>65500</v>
      </c>
      <c r="M1210" s="228">
        <v>613720000</v>
      </c>
      <c r="N1210" s="228"/>
      <c r="O1210" s="228"/>
      <c r="P1210" s="228">
        <v>97900</v>
      </c>
      <c r="Q1210" s="228">
        <v>791290000</v>
      </c>
    </row>
    <row r="1211" spans="1:17">
      <c r="A1211" s="165" t="s">
        <v>1155</v>
      </c>
      <c r="B1211" s="165" t="s">
        <v>2033</v>
      </c>
      <c r="C1211" s="165">
        <v>5000</v>
      </c>
      <c r="D1211" s="228"/>
      <c r="E1211" s="228"/>
      <c r="F1211" s="228">
        <v>0</v>
      </c>
      <c r="G1211" s="228">
        <v>0</v>
      </c>
      <c r="H1211" s="228"/>
      <c r="I1211" s="228"/>
      <c r="J1211" s="228"/>
      <c r="K1211" s="228"/>
      <c r="L1211" s="228"/>
      <c r="M1211" s="228"/>
      <c r="N1211" s="228"/>
      <c r="O1211" s="228"/>
      <c r="P1211" s="228">
        <v>0</v>
      </c>
      <c r="Q1211" s="228">
        <v>0</v>
      </c>
    </row>
    <row r="1212" spans="1:17">
      <c r="C1212" s="165">
        <v>5500</v>
      </c>
      <c r="D1212" s="228">
        <v>0</v>
      </c>
      <c r="E1212" s="228">
        <v>0</v>
      </c>
      <c r="F1212" s="228"/>
      <c r="G1212" s="228"/>
      <c r="H1212" s="228"/>
      <c r="I1212" s="228"/>
      <c r="J1212" s="228"/>
      <c r="K1212" s="228"/>
      <c r="L1212" s="228"/>
      <c r="M1212" s="228"/>
      <c r="N1212" s="228"/>
      <c r="O1212" s="228"/>
      <c r="P1212" s="228">
        <v>0</v>
      </c>
      <c r="Q1212" s="228">
        <v>0</v>
      </c>
    </row>
    <row r="1213" spans="1:17">
      <c r="B1213" s="165" t="s">
        <v>2009</v>
      </c>
      <c r="C1213" s="165">
        <v>4800</v>
      </c>
      <c r="D1213" s="228"/>
      <c r="E1213" s="228"/>
      <c r="F1213" s="228">
        <v>0</v>
      </c>
      <c r="G1213" s="228">
        <v>0</v>
      </c>
      <c r="H1213" s="228"/>
      <c r="I1213" s="228"/>
      <c r="J1213" s="228"/>
      <c r="K1213" s="228"/>
      <c r="L1213" s="228"/>
      <c r="M1213" s="228"/>
      <c r="N1213" s="228"/>
      <c r="O1213" s="228"/>
      <c r="P1213" s="228">
        <v>0</v>
      </c>
      <c r="Q1213" s="228">
        <v>0</v>
      </c>
    </row>
    <row r="1214" spans="1:17">
      <c r="C1214" s="165">
        <v>5100</v>
      </c>
      <c r="D1214" s="228"/>
      <c r="E1214" s="228"/>
      <c r="F1214" s="228">
        <v>0</v>
      </c>
      <c r="G1214" s="228">
        <v>0</v>
      </c>
      <c r="H1214" s="228"/>
      <c r="I1214" s="228"/>
      <c r="J1214" s="228"/>
      <c r="K1214" s="228"/>
      <c r="L1214" s="228"/>
      <c r="M1214" s="228"/>
      <c r="N1214" s="228"/>
      <c r="O1214" s="228"/>
      <c r="P1214" s="228">
        <v>0</v>
      </c>
      <c r="Q1214" s="228">
        <v>0</v>
      </c>
    </row>
    <row r="1215" spans="1:17">
      <c r="B1215" s="165" t="s">
        <v>1878</v>
      </c>
      <c r="C1215" s="165">
        <v>3600</v>
      </c>
      <c r="D1215" s="228"/>
      <c r="E1215" s="228"/>
      <c r="F1215" s="228">
        <v>0</v>
      </c>
      <c r="G1215" s="228">
        <v>0</v>
      </c>
      <c r="H1215" s="228"/>
      <c r="I1215" s="228"/>
      <c r="J1215" s="228"/>
      <c r="K1215" s="228"/>
      <c r="L1215" s="228"/>
      <c r="M1215" s="228"/>
      <c r="N1215" s="228"/>
      <c r="O1215" s="228"/>
      <c r="P1215" s="228">
        <v>0</v>
      </c>
      <c r="Q1215" s="228">
        <v>0</v>
      </c>
    </row>
    <row r="1216" spans="1:17">
      <c r="B1216" s="165" t="s">
        <v>2169</v>
      </c>
      <c r="C1216" s="165">
        <v>4385</v>
      </c>
      <c r="D1216" s="228"/>
      <c r="E1216" s="228"/>
      <c r="F1216" s="228">
        <v>0</v>
      </c>
      <c r="G1216" s="228">
        <v>0</v>
      </c>
      <c r="H1216" s="228"/>
      <c r="I1216" s="228"/>
      <c r="J1216" s="228"/>
      <c r="K1216" s="228"/>
      <c r="L1216" s="228"/>
      <c r="M1216" s="228"/>
      <c r="N1216" s="228"/>
      <c r="O1216" s="228"/>
      <c r="P1216" s="228">
        <v>0</v>
      </c>
      <c r="Q1216" s="228">
        <v>0</v>
      </c>
    </row>
    <row r="1217" spans="1:17">
      <c r="A1217" s="165" t="s">
        <v>2298</v>
      </c>
      <c r="B1217" s="165"/>
      <c r="C1217" s="165"/>
      <c r="D1217" s="228">
        <v>0</v>
      </c>
      <c r="E1217" s="228">
        <v>0</v>
      </c>
      <c r="F1217" s="228">
        <v>0</v>
      </c>
      <c r="G1217" s="228">
        <v>0</v>
      </c>
      <c r="H1217" s="228"/>
      <c r="I1217" s="228"/>
      <c r="J1217" s="228"/>
      <c r="K1217" s="228"/>
      <c r="L1217" s="228"/>
      <c r="M1217" s="228"/>
      <c r="N1217" s="228"/>
      <c r="O1217" s="228"/>
      <c r="P1217" s="228">
        <v>0</v>
      </c>
      <c r="Q1217" s="228">
        <v>0</v>
      </c>
    </row>
    <row r="1218" spans="1:17">
      <c r="A1218" s="165" t="s">
        <v>239</v>
      </c>
      <c r="B1218" s="165" t="s">
        <v>2060</v>
      </c>
      <c r="C1218" s="165">
        <v>8000</v>
      </c>
      <c r="D1218" s="228"/>
      <c r="E1218" s="228"/>
      <c r="F1218" s="228"/>
      <c r="G1218" s="228"/>
      <c r="H1218" s="228"/>
      <c r="I1218" s="228"/>
      <c r="J1218" s="228"/>
      <c r="K1218" s="228"/>
      <c r="L1218" s="228">
        <v>5100</v>
      </c>
      <c r="M1218" s="228">
        <v>40800000</v>
      </c>
      <c r="N1218" s="228"/>
      <c r="O1218" s="228"/>
      <c r="P1218" s="228">
        <v>5100</v>
      </c>
      <c r="Q1218" s="228">
        <v>40800000</v>
      </c>
    </row>
    <row r="1219" spans="1:17">
      <c r="B1219" s="165" t="s">
        <v>2098</v>
      </c>
      <c r="C1219" s="165">
        <v>4000</v>
      </c>
      <c r="D1219" s="228">
        <v>0</v>
      </c>
      <c r="E1219" s="228">
        <v>0</v>
      </c>
      <c r="F1219" s="228"/>
      <c r="G1219" s="228"/>
      <c r="H1219" s="228"/>
      <c r="I1219" s="228"/>
      <c r="J1219" s="228"/>
      <c r="K1219" s="228"/>
      <c r="L1219" s="228"/>
      <c r="M1219" s="228"/>
      <c r="N1219" s="228"/>
      <c r="O1219" s="228"/>
      <c r="P1219" s="228">
        <v>0</v>
      </c>
      <c r="Q1219" s="228">
        <v>0</v>
      </c>
    </row>
    <row r="1220" spans="1:17">
      <c r="B1220" s="165" t="s">
        <v>2129</v>
      </c>
      <c r="C1220" s="165">
        <v>5000</v>
      </c>
      <c r="D1220" s="228"/>
      <c r="E1220" s="228"/>
      <c r="F1220" s="228">
        <v>0</v>
      </c>
      <c r="G1220" s="228">
        <v>0</v>
      </c>
      <c r="H1220" s="228"/>
      <c r="I1220" s="228"/>
      <c r="J1220" s="228"/>
      <c r="K1220" s="228"/>
      <c r="L1220" s="228"/>
      <c r="M1220" s="228"/>
      <c r="N1220" s="228"/>
      <c r="O1220" s="228"/>
      <c r="P1220" s="228">
        <v>0</v>
      </c>
      <c r="Q1220" s="228">
        <v>0</v>
      </c>
    </row>
    <row r="1221" spans="1:17">
      <c r="B1221" s="165" t="s">
        <v>2140</v>
      </c>
      <c r="C1221" s="165">
        <v>3600</v>
      </c>
      <c r="D1221" s="228"/>
      <c r="E1221" s="228"/>
      <c r="F1221" s="228"/>
      <c r="G1221" s="228"/>
      <c r="H1221" s="228"/>
      <c r="I1221" s="228"/>
      <c r="J1221" s="228">
        <v>9900</v>
      </c>
      <c r="K1221" s="228">
        <v>35640000</v>
      </c>
      <c r="L1221" s="228"/>
      <c r="M1221" s="228"/>
      <c r="N1221" s="228"/>
      <c r="O1221" s="228"/>
      <c r="P1221" s="228">
        <v>9900</v>
      </c>
      <c r="Q1221" s="228">
        <v>35640000</v>
      </c>
    </row>
    <row r="1222" spans="1:17">
      <c r="B1222" s="165" t="s">
        <v>2009</v>
      </c>
      <c r="C1222" s="165">
        <v>4800</v>
      </c>
      <c r="D1222" s="228"/>
      <c r="E1222" s="228"/>
      <c r="F1222" s="228">
        <v>0</v>
      </c>
      <c r="G1222" s="228">
        <v>0</v>
      </c>
      <c r="H1222" s="228"/>
      <c r="I1222" s="228"/>
      <c r="J1222" s="228"/>
      <c r="K1222" s="228"/>
      <c r="L1222" s="228"/>
      <c r="M1222" s="228"/>
      <c r="N1222" s="228"/>
      <c r="O1222" s="228"/>
      <c r="P1222" s="228">
        <v>0</v>
      </c>
      <c r="Q1222" s="228">
        <v>0</v>
      </c>
    </row>
    <row r="1223" spans="1:17">
      <c r="B1223" s="165" t="s">
        <v>1872</v>
      </c>
      <c r="C1223" s="165">
        <v>8500</v>
      </c>
      <c r="D1223" s="228"/>
      <c r="E1223" s="228"/>
      <c r="F1223" s="228"/>
      <c r="G1223" s="228"/>
      <c r="H1223" s="228"/>
      <c r="I1223" s="228"/>
      <c r="J1223" s="228"/>
      <c r="K1223" s="228"/>
      <c r="L1223" s="228">
        <v>5100</v>
      </c>
      <c r="M1223" s="228">
        <v>43350000</v>
      </c>
      <c r="N1223" s="228"/>
      <c r="O1223" s="228"/>
      <c r="P1223" s="228">
        <v>5100</v>
      </c>
      <c r="Q1223" s="228">
        <v>43350000</v>
      </c>
    </row>
    <row r="1224" spans="1:17">
      <c r="B1224" s="165" t="s">
        <v>1878</v>
      </c>
      <c r="C1224" s="165">
        <v>3500</v>
      </c>
      <c r="D1224" s="228"/>
      <c r="E1224" s="228"/>
      <c r="F1224" s="228">
        <v>0</v>
      </c>
      <c r="G1224" s="228">
        <v>0</v>
      </c>
      <c r="H1224" s="228"/>
      <c r="I1224" s="228"/>
      <c r="J1224" s="228"/>
      <c r="K1224" s="228"/>
      <c r="L1224" s="228"/>
      <c r="M1224" s="228"/>
      <c r="N1224" s="228"/>
      <c r="O1224" s="228"/>
      <c r="P1224" s="228">
        <v>0</v>
      </c>
      <c r="Q1224" s="228">
        <v>0</v>
      </c>
    </row>
    <row r="1225" spans="1:17">
      <c r="B1225" s="165" t="s">
        <v>2186</v>
      </c>
      <c r="C1225" s="165">
        <v>2600</v>
      </c>
      <c r="D1225" s="228"/>
      <c r="E1225" s="228"/>
      <c r="F1225" s="228">
        <v>0</v>
      </c>
      <c r="G1225" s="228">
        <v>0</v>
      </c>
      <c r="H1225" s="228"/>
      <c r="I1225" s="228"/>
      <c r="J1225" s="228"/>
      <c r="K1225" s="228"/>
      <c r="L1225" s="228"/>
      <c r="M1225" s="228"/>
      <c r="N1225" s="228"/>
      <c r="O1225" s="228"/>
      <c r="P1225" s="228">
        <v>0</v>
      </c>
      <c r="Q1225" s="228">
        <v>0</v>
      </c>
    </row>
    <row r="1226" spans="1:17">
      <c r="C1226" s="165">
        <v>2700</v>
      </c>
      <c r="D1226" s="228"/>
      <c r="E1226" s="228"/>
      <c r="F1226" s="228"/>
      <c r="G1226" s="228"/>
      <c r="H1226" s="228"/>
      <c r="I1226" s="228"/>
      <c r="J1226" s="228">
        <v>4800</v>
      </c>
      <c r="K1226" s="228">
        <v>12960000</v>
      </c>
      <c r="L1226" s="228"/>
      <c r="M1226" s="228"/>
      <c r="N1226" s="228"/>
      <c r="O1226" s="228"/>
      <c r="P1226" s="228">
        <v>4800</v>
      </c>
      <c r="Q1226" s="228">
        <v>12960000</v>
      </c>
    </row>
    <row r="1227" spans="1:17">
      <c r="B1227" s="165" t="s">
        <v>2188</v>
      </c>
      <c r="C1227" s="165">
        <v>3800</v>
      </c>
      <c r="D1227" s="228"/>
      <c r="E1227" s="228"/>
      <c r="F1227" s="228">
        <v>0</v>
      </c>
      <c r="G1227" s="228">
        <v>0</v>
      </c>
      <c r="H1227" s="228"/>
      <c r="I1227" s="228"/>
      <c r="J1227" s="228"/>
      <c r="K1227" s="228"/>
      <c r="L1227" s="228"/>
      <c r="M1227" s="228"/>
      <c r="N1227" s="228"/>
      <c r="O1227" s="228"/>
      <c r="P1227" s="228">
        <v>0</v>
      </c>
      <c r="Q1227" s="228">
        <v>0</v>
      </c>
    </row>
    <row r="1228" spans="1:17">
      <c r="C1228" s="165">
        <v>3900</v>
      </c>
      <c r="D1228" s="228"/>
      <c r="E1228" s="228"/>
      <c r="F1228" s="228"/>
      <c r="G1228" s="228"/>
      <c r="H1228" s="228">
        <v>5100</v>
      </c>
      <c r="I1228" s="228">
        <v>19890000</v>
      </c>
      <c r="J1228" s="228"/>
      <c r="K1228" s="228"/>
      <c r="L1228" s="228"/>
      <c r="M1228" s="228"/>
      <c r="N1228" s="228"/>
      <c r="O1228" s="228"/>
      <c r="P1228" s="228">
        <v>5100</v>
      </c>
      <c r="Q1228" s="228">
        <v>19890000</v>
      </c>
    </row>
    <row r="1229" spans="1:17">
      <c r="A1229" s="165" t="s">
        <v>2299</v>
      </c>
      <c r="B1229" s="165"/>
      <c r="C1229" s="165"/>
      <c r="D1229" s="228">
        <v>0</v>
      </c>
      <c r="E1229" s="228">
        <v>0</v>
      </c>
      <c r="F1229" s="228">
        <v>0</v>
      </c>
      <c r="G1229" s="228">
        <v>0</v>
      </c>
      <c r="H1229" s="228">
        <v>5100</v>
      </c>
      <c r="I1229" s="228">
        <v>19890000</v>
      </c>
      <c r="J1229" s="228">
        <v>14700</v>
      </c>
      <c r="K1229" s="228">
        <v>48600000</v>
      </c>
      <c r="L1229" s="228">
        <v>10200</v>
      </c>
      <c r="M1229" s="228">
        <v>84150000</v>
      </c>
      <c r="N1229" s="228"/>
      <c r="O1229" s="228"/>
      <c r="P1229" s="228">
        <v>30000</v>
      </c>
      <c r="Q1229" s="228">
        <v>152640000</v>
      </c>
    </row>
    <row r="1230" spans="1:17">
      <c r="A1230" s="165" t="s">
        <v>1209</v>
      </c>
      <c r="B1230" s="165" t="s">
        <v>2091</v>
      </c>
      <c r="C1230" s="165">
        <v>5500</v>
      </c>
      <c r="D1230" s="228"/>
      <c r="E1230" s="228"/>
      <c r="F1230" s="228">
        <v>0</v>
      </c>
      <c r="G1230" s="228">
        <v>0</v>
      </c>
      <c r="H1230" s="228"/>
      <c r="I1230" s="228"/>
      <c r="J1230" s="228"/>
      <c r="K1230" s="228"/>
      <c r="L1230" s="228"/>
      <c r="M1230" s="228"/>
      <c r="N1230" s="228"/>
      <c r="O1230" s="228"/>
      <c r="P1230" s="228">
        <v>0</v>
      </c>
      <c r="Q1230" s="228">
        <v>0</v>
      </c>
    </row>
    <row r="1231" spans="1:17">
      <c r="B1231" s="165" t="s">
        <v>2093</v>
      </c>
      <c r="C1231" s="165">
        <v>11400</v>
      </c>
      <c r="D1231" s="228"/>
      <c r="E1231" s="228"/>
      <c r="F1231" s="228"/>
      <c r="G1231" s="228"/>
      <c r="H1231" s="228"/>
      <c r="I1231" s="228"/>
      <c r="J1231" s="228"/>
      <c r="K1231" s="228"/>
      <c r="L1231" s="228">
        <v>20000</v>
      </c>
      <c r="M1231" s="228">
        <v>228000000</v>
      </c>
      <c r="N1231" s="228"/>
      <c r="O1231" s="228"/>
      <c r="P1231" s="228">
        <v>20000</v>
      </c>
      <c r="Q1231" s="228">
        <v>228000000</v>
      </c>
    </row>
    <row r="1232" spans="1:17">
      <c r="B1232" s="165" t="s">
        <v>2175</v>
      </c>
      <c r="C1232" s="165">
        <v>2800</v>
      </c>
      <c r="D1232" s="228"/>
      <c r="E1232" s="228"/>
      <c r="F1232" s="228">
        <v>0</v>
      </c>
      <c r="G1232" s="228">
        <v>0</v>
      </c>
      <c r="H1232" s="228"/>
      <c r="I1232" s="228"/>
      <c r="J1232" s="228"/>
      <c r="K1232" s="228"/>
      <c r="L1232" s="228"/>
      <c r="M1232" s="228"/>
      <c r="N1232" s="228"/>
      <c r="O1232" s="228"/>
      <c r="P1232" s="228">
        <v>0</v>
      </c>
      <c r="Q1232" s="228">
        <v>0</v>
      </c>
    </row>
    <row r="1233" spans="1:17">
      <c r="B1233" s="165" t="s">
        <v>2186</v>
      </c>
      <c r="C1233" s="165">
        <v>2600</v>
      </c>
      <c r="D1233" s="228"/>
      <c r="E1233" s="228"/>
      <c r="F1233" s="228">
        <v>0</v>
      </c>
      <c r="G1233" s="228">
        <v>0</v>
      </c>
      <c r="H1233" s="228"/>
      <c r="I1233" s="228"/>
      <c r="J1233" s="228"/>
      <c r="K1233" s="228"/>
      <c r="L1233" s="228"/>
      <c r="M1233" s="228"/>
      <c r="N1233" s="228"/>
      <c r="O1233" s="228"/>
      <c r="P1233" s="228">
        <v>0</v>
      </c>
      <c r="Q1233" s="228">
        <v>0</v>
      </c>
    </row>
    <row r="1234" spans="1:17">
      <c r="B1234" s="165" t="s">
        <v>2187</v>
      </c>
      <c r="C1234" s="165" t="s">
        <v>385</v>
      </c>
      <c r="D1234" s="228"/>
      <c r="E1234" s="228"/>
      <c r="F1234" s="228">
        <v>0</v>
      </c>
      <c r="G1234" s="228">
        <v>0</v>
      </c>
      <c r="H1234" s="228"/>
      <c r="I1234" s="228"/>
      <c r="J1234" s="228"/>
      <c r="K1234" s="228"/>
      <c r="L1234" s="228"/>
      <c r="M1234" s="228"/>
      <c r="N1234" s="228"/>
      <c r="O1234" s="228"/>
      <c r="P1234" s="228">
        <v>0</v>
      </c>
      <c r="Q1234" s="228">
        <v>0</v>
      </c>
    </row>
    <row r="1235" spans="1:17">
      <c r="B1235" s="165" t="s">
        <v>2188</v>
      </c>
      <c r="C1235" s="165">
        <v>3600</v>
      </c>
      <c r="D1235" s="228"/>
      <c r="E1235" s="228"/>
      <c r="F1235" s="228">
        <v>0</v>
      </c>
      <c r="G1235" s="228">
        <v>0</v>
      </c>
      <c r="H1235" s="228"/>
      <c r="I1235" s="228"/>
      <c r="J1235" s="228"/>
      <c r="K1235" s="228"/>
      <c r="L1235" s="228"/>
      <c r="M1235" s="228"/>
      <c r="N1235" s="228"/>
      <c r="O1235" s="228"/>
      <c r="P1235" s="228">
        <v>0</v>
      </c>
      <c r="Q1235" s="228">
        <v>0</v>
      </c>
    </row>
    <row r="1236" spans="1:17">
      <c r="C1236" s="165">
        <v>3900</v>
      </c>
      <c r="D1236" s="228"/>
      <c r="E1236" s="228"/>
      <c r="F1236" s="228"/>
      <c r="G1236" s="228"/>
      <c r="H1236" s="228">
        <v>30000</v>
      </c>
      <c r="I1236" s="228">
        <v>117000000</v>
      </c>
      <c r="J1236" s="228"/>
      <c r="K1236" s="228"/>
      <c r="L1236" s="228"/>
      <c r="M1236" s="228"/>
      <c r="N1236" s="228"/>
      <c r="O1236" s="228"/>
      <c r="P1236" s="228">
        <v>30000</v>
      </c>
      <c r="Q1236" s="228">
        <v>117000000</v>
      </c>
    </row>
    <row r="1237" spans="1:17">
      <c r="A1237" s="165" t="s">
        <v>2300</v>
      </c>
      <c r="B1237" s="165"/>
      <c r="C1237" s="165"/>
      <c r="D1237" s="228"/>
      <c r="E1237" s="228"/>
      <c r="F1237" s="228">
        <v>0</v>
      </c>
      <c r="G1237" s="228">
        <v>0</v>
      </c>
      <c r="H1237" s="228">
        <v>30000</v>
      </c>
      <c r="I1237" s="228">
        <v>117000000</v>
      </c>
      <c r="J1237" s="228"/>
      <c r="K1237" s="228"/>
      <c r="L1237" s="228">
        <v>20000</v>
      </c>
      <c r="M1237" s="228">
        <v>228000000</v>
      </c>
      <c r="N1237" s="228"/>
      <c r="O1237" s="228"/>
      <c r="P1237" s="228">
        <v>50000</v>
      </c>
      <c r="Q1237" s="228">
        <v>345000000</v>
      </c>
    </row>
    <row r="1238" spans="1:17">
      <c r="A1238" s="165" t="s">
        <v>278</v>
      </c>
      <c r="B1238" s="165" t="s">
        <v>2057</v>
      </c>
      <c r="C1238" s="165">
        <v>6800</v>
      </c>
      <c r="D1238" s="228"/>
      <c r="E1238" s="228"/>
      <c r="F1238" s="228">
        <v>0</v>
      </c>
      <c r="G1238" s="228">
        <v>0</v>
      </c>
      <c r="H1238" s="228"/>
      <c r="I1238" s="228"/>
      <c r="J1238" s="228"/>
      <c r="K1238" s="228"/>
      <c r="L1238" s="228"/>
      <c r="M1238" s="228"/>
      <c r="N1238" s="228"/>
      <c r="O1238" s="228"/>
      <c r="P1238" s="228">
        <v>0</v>
      </c>
      <c r="Q1238" s="228">
        <v>0</v>
      </c>
    </row>
    <row r="1239" spans="1:17">
      <c r="C1239" s="165">
        <v>6885</v>
      </c>
      <c r="D1239" s="228"/>
      <c r="E1239" s="228"/>
      <c r="F1239" s="228">
        <v>0</v>
      </c>
      <c r="G1239" s="228">
        <v>0</v>
      </c>
      <c r="H1239" s="228"/>
      <c r="I1239" s="228"/>
      <c r="J1239" s="228"/>
      <c r="K1239" s="228"/>
      <c r="L1239" s="228"/>
      <c r="M1239" s="228"/>
      <c r="N1239" s="228"/>
      <c r="O1239" s="228"/>
      <c r="P1239" s="228">
        <v>0</v>
      </c>
      <c r="Q1239" s="228">
        <v>0</v>
      </c>
    </row>
    <row r="1240" spans="1:17">
      <c r="B1240" s="165" t="s">
        <v>2008</v>
      </c>
      <c r="C1240" s="165">
        <v>6400</v>
      </c>
      <c r="D1240" s="228"/>
      <c r="E1240" s="228"/>
      <c r="F1240" s="228">
        <v>0</v>
      </c>
      <c r="G1240" s="228">
        <v>0</v>
      </c>
      <c r="H1240" s="228"/>
      <c r="I1240" s="228"/>
      <c r="J1240" s="228"/>
      <c r="K1240" s="228"/>
      <c r="L1240" s="228"/>
      <c r="M1240" s="228"/>
      <c r="N1240" s="228"/>
      <c r="O1240" s="228"/>
      <c r="P1240" s="228">
        <v>0</v>
      </c>
      <c r="Q1240" s="228">
        <v>0</v>
      </c>
    </row>
    <row r="1241" spans="1:17">
      <c r="B1241" s="165" t="s">
        <v>2060</v>
      </c>
      <c r="C1241" s="165">
        <v>7600</v>
      </c>
      <c r="D1241" s="228"/>
      <c r="E1241" s="228"/>
      <c r="F1241" s="228"/>
      <c r="G1241" s="228"/>
      <c r="H1241" s="228">
        <v>10050</v>
      </c>
      <c r="I1241" s="228">
        <v>76380000</v>
      </c>
      <c r="J1241" s="228"/>
      <c r="K1241" s="228"/>
      <c r="L1241" s="228"/>
      <c r="M1241" s="228"/>
      <c r="N1241" s="228"/>
      <c r="O1241" s="228"/>
      <c r="P1241" s="228">
        <v>10050</v>
      </c>
      <c r="Q1241" s="228">
        <v>76380000</v>
      </c>
    </row>
    <row r="1242" spans="1:17">
      <c r="C1242" s="165">
        <v>7700</v>
      </c>
      <c r="D1242" s="228">
        <v>0</v>
      </c>
      <c r="E1242" s="228">
        <v>0</v>
      </c>
      <c r="F1242" s="228"/>
      <c r="G1242" s="228"/>
      <c r="H1242" s="228"/>
      <c r="I1242" s="228"/>
      <c r="J1242" s="228"/>
      <c r="K1242" s="228"/>
      <c r="L1242" s="228"/>
      <c r="M1242" s="228"/>
      <c r="N1242" s="228"/>
      <c r="O1242" s="228"/>
      <c r="P1242" s="228">
        <v>0</v>
      </c>
      <c r="Q1242" s="228">
        <v>0</v>
      </c>
    </row>
    <row r="1243" spans="1:17">
      <c r="C1243" s="165" t="s">
        <v>1502</v>
      </c>
      <c r="D1243" s="228">
        <v>0</v>
      </c>
      <c r="E1243" s="228" t="e">
        <v>#VALUE!</v>
      </c>
      <c r="F1243" s="228"/>
      <c r="G1243" s="228"/>
      <c r="H1243" s="228"/>
      <c r="I1243" s="228"/>
      <c r="J1243" s="228"/>
      <c r="K1243" s="228"/>
      <c r="L1243" s="228"/>
      <c r="M1243" s="228"/>
      <c r="N1243" s="228"/>
      <c r="O1243" s="228"/>
      <c r="P1243" s="228">
        <v>0</v>
      </c>
      <c r="Q1243" s="228" t="e">
        <v>#VALUE!</v>
      </c>
    </row>
    <row r="1244" spans="1:17">
      <c r="B1244" s="165" t="s">
        <v>2011</v>
      </c>
      <c r="C1244" s="165">
        <v>10600</v>
      </c>
      <c r="D1244" s="228"/>
      <c r="E1244" s="228"/>
      <c r="F1244" s="228"/>
      <c r="G1244" s="228"/>
      <c r="H1244" s="228"/>
      <c r="I1244" s="228"/>
      <c r="J1244" s="228"/>
      <c r="K1244" s="228"/>
      <c r="L1244" s="228">
        <v>10000</v>
      </c>
      <c r="M1244" s="228">
        <v>106000000</v>
      </c>
      <c r="N1244" s="228"/>
      <c r="O1244" s="228"/>
      <c r="P1244" s="228">
        <v>10000</v>
      </c>
      <c r="Q1244" s="228">
        <v>106000000</v>
      </c>
    </row>
    <row r="1245" spans="1:17">
      <c r="B1245" s="165" t="s">
        <v>2009</v>
      </c>
      <c r="C1245" s="165">
        <v>5300</v>
      </c>
      <c r="D1245" s="228"/>
      <c r="E1245" s="228"/>
      <c r="F1245" s="228">
        <v>0</v>
      </c>
      <c r="G1245" s="228">
        <v>0</v>
      </c>
      <c r="H1245" s="228"/>
      <c r="I1245" s="228"/>
      <c r="J1245" s="228"/>
      <c r="K1245" s="228"/>
      <c r="L1245" s="228"/>
      <c r="M1245" s="228"/>
      <c r="N1245" s="228"/>
      <c r="O1245" s="228"/>
      <c r="P1245" s="228">
        <v>0</v>
      </c>
      <c r="Q1245" s="228">
        <v>0</v>
      </c>
    </row>
    <row r="1246" spans="1:17">
      <c r="C1246" s="165">
        <v>5500</v>
      </c>
      <c r="D1246" s="228"/>
      <c r="E1246" s="228"/>
      <c r="F1246" s="228"/>
      <c r="G1246" s="228"/>
      <c r="H1246" s="228">
        <v>10000</v>
      </c>
      <c r="I1246" s="228">
        <v>55000000</v>
      </c>
      <c r="J1246" s="228"/>
      <c r="K1246" s="228"/>
      <c r="L1246" s="228"/>
      <c r="M1246" s="228"/>
      <c r="N1246" s="228"/>
      <c r="O1246" s="228"/>
      <c r="P1246" s="228">
        <v>10000</v>
      </c>
      <c r="Q1246" s="228">
        <v>55000000</v>
      </c>
    </row>
    <row r="1247" spans="1:17">
      <c r="C1247" s="165">
        <v>5700</v>
      </c>
      <c r="D1247" s="228"/>
      <c r="E1247" s="228"/>
      <c r="F1247" s="228"/>
      <c r="G1247" s="228"/>
      <c r="H1247" s="228"/>
      <c r="I1247" s="228"/>
      <c r="J1247" s="228"/>
      <c r="K1247" s="228"/>
      <c r="L1247" s="228">
        <v>10000</v>
      </c>
      <c r="M1247" s="228">
        <v>57000000</v>
      </c>
      <c r="N1247" s="228"/>
      <c r="O1247" s="228"/>
      <c r="P1247" s="228">
        <v>10000</v>
      </c>
      <c r="Q1247" s="228">
        <v>57000000</v>
      </c>
    </row>
    <row r="1248" spans="1:17">
      <c r="C1248" s="165">
        <v>5800</v>
      </c>
      <c r="D1248" s="228"/>
      <c r="E1248" s="228"/>
      <c r="F1248" s="228"/>
      <c r="G1248" s="228"/>
      <c r="H1248" s="228"/>
      <c r="I1248" s="228"/>
      <c r="J1248" s="228"/>
      <c r="K1248" s="228"/>
      <c r="L1248" s="228">
        <v>10000</v>
      </c>
      <c r="M1248" s="228">
        <v>58000000</v>
      </c>
      <c r="N1248" s="228"/>
      <c r="O1248" s="228"/>
      <c r="P1248" s="228">
        <v>10000</v>
      </c>
      <c r="Q1248" s="228">
        <v>58000000</v>
      </c>
    </row>
    <row r="1249" spans="1:17">
      <c r="C1249" s="165" t="s">
        <v>385</v>
      </c>
      <c r="D1249" s="228">
        <v>0</v>
      </c>
      <c r="E1249" s="228">
        <v>0</v>
      </c>
      <c r="F1249" s="228"/>
      <c r="G1249" s="228"/>
      <c r="H1249" s="228"/>
      <c r="I1249" s="228"/>
      <c r="J1249" s="228"/>
      <c r="K1249" s="228"/>
      <c r="L1249" s="228"/>
      <c r="M1249" s="228"/>
      <c r="N1249" s="228"/>
      <c r="O1249" s="228"/>
      <c r="P1249" s="228">
        <v>0</v>
      </c>
      <c r="Q1249" s="228">
        <v>0</v>
      </c>
    </row>
    <row r="1250" spans="1:17">
      <c r="B1250" s="165" t="s">
        <v>2171</v>
      </c>
      <c r="C1250" s="165">
        <v>5500</v>
      </c>
      <c r="D1250" s="228">
        <v>0</v>
      </c>
      <c r="E1250" s="228">
        <v>0</v>
      </c>
      <c r="F1250" s="228">
        <v>0</v>
      </c>
      <c r="G1250" s="228">
        <v>0</v>
      </c>
      <c r="H1250" s="228"/>
      <c r="I1250" s="228"/>
      <c r="J1250" s="228"/>
      <c r="K1250" s="228"/>
      <c r="L1250" s="228"/>
      <c r="M1250" s="228"/>
      <c r="N1250" s="228"/>
      <c r="O1250" s="228"/>
      <c r="P1250" s="228">
        <v>0</v>
      </c>
      <c r="Q1250" s="228">
        <v>0</v>
      </c>
    </row>
    <row r="1251" spans="1:17">
      <c r="B1251" s="165" t="s">
        <v>2188</v>
      </c>
      <c r="C1251" s="165">
        <v>4000</v>
      </c>
      <c r="D1251" s="228"/>
      <c r="E1251" s="228"/>
      <c r="F1251" s="228"/>
      <c r="G1251" s="228"/>
      <c r="H1251" s="228">
        <v>10200</v>
      </c>
      <c r="I1251" s="228">
        <v>40800000</v>
      </c>
      <c r="J1251" s="228"/>
      <c r="K1251" s="228"/>
      <c r="L1251" s="228"/>
      <c r="M1251" s="228"/>
      <c r="N1251" s="228"/>
      <c r="O1251" s="228"/>
      <c r="P1251" s="228">
        <v>10200</v>
      </c>
      <c r="Q1251" s="228">
        <v>40800000</v>
      </c>
    </row>
    <row r="1252" spans="1:17">
      <c r="C1252" s="165">
        <v>4100</v>
      </c>
      <c r="D1252" s="228"/>
      <c r="E1252" s="228"/>
      <c r="F1252" s="228"/>
      <c r="G1252" s="228"/>
      <c r="H1252" s="228"/>
      <c r="I1252" s="228"/>
      <c r="J1252" s="228"/>
      <c r="K1252" s="228"/>
      <c r="L1252" s="228">
        <v>10200</v>
      </c>
      <c r="M1252" s="228">
        <v>41820000</v>
      </c>
      <c r="N1252" s="228"/>
      <c r="O1252" s="228"/>
      <c r="P1252" s="228">
        <v>10200</v>
      </c>
      <c r="Q1252" s="228">
        <v>41820000</v>
      </c>
    </row>
    <row r="1253" spans="1:17">
      <c r="A1253" s="165" t="s">
        <v>2301</v>
      </c>
      <c r="B1253" s="165"/>
      <c r="C1253" s="165"/>
      <c r="D1253" s="228">
        <v>0</v>
      </c>
      <c r="E1253" s="228" t="e">
        <v>#VALUE!</v>
      </c>
      <c r="F1253" s="228">
        <v>0</v>
      </c>
      <c r="G1253" s="228">
        <v>0</v>
      </c>
      <c r="H1253" s="228">
        <v>30250</v>
      </c>
      <c r="I1253" s="228">
        <v>172180000</v>
      </c>
      <c r="J1253" s="228"/>
      <c r="K1253" s="228"/>
      <c r="L1253" s="228">
        <v>40200</v>
      </c>
      <c r="M1253" s="228">
        <v>262820000</v>
      </c>
      <c r="N1253" s="228"/>
      <c r="O1253" s="228"/>
      <c r="P1253" s="228">
        <v>70450</v>
      </c>
      <c r="Q1253" s="228" t="e">
        <v>#VALUE!</v>
      </c>
    </row>
    <row r="1254" spans="1:17">
      <c r="A1254" s="165" t="s">
        <v>646</v>
      </c>
      <c r="B1254" s="165" t="s">
        <v>2060</v>
      </c>
      <c r="C1254" s="165">
        <v>7200</v>
      </c>
      <c r="D1254" s="228"/>
      <c r="E1254" s="228"/>
      <c r="F1254" s="228"/>
      <c r="G1254" s="228"/>
      <c r="H1254" s="228"/>
      <c r="I1254" s="228"/>
      <c r="J1254" s="228"/>
      <c r="K1254" s="228"/>
      <c r="L1254" s="228">
        <v>6000</v>
      </c>
      <c r="M1254" s="228">
        <v>43200000</v>
      </c>
      <c r="N1254" s="228"/>
      <c r="O1254" s="228"/>
      <c r="P1254" s="228">
        <v>6000</v>
      </c>
      <c r="Q1254" s="228">
        <v>43200000</v>
      </c>
    </row>
    <row r="1255" spans="1:17">
      <c r="B1255" s="165" t="s">
        <v>2197</v>
      </c>
      <c r="C1255" s="165">
        <v>8255</v>
      </c>
      <c r="D1255" s="228"/>
      <c r="E1255" s="228"/>
      <c r="F1255" s="228"/>
      <c r="G1255" s="228"/>
      <c r="H1255" s="228"/>
      <c r="I1255" s="228"/>
      <c r="J1255" s="228"/>
      <c r="K1255" s="228"/>
      <c r="L1255" s="228">
        <v>1200</v>
      </c>
      <c r="M1255" s="228">
        <v>9906000</v>
      </c>
      <c r="N1255" s="228"/>
      <c r="O1255" s="228"/>
      <c r="P1255" s="228">
        <v>1200</v>
      </c>
      <c r="Q1255" s="228">
        <v>9906000</v>
      </c>
    </row>
    <row r="1256" spans="1:17">
      <c r="B1256" s="165" t="s">
        <v>2198</v>
      </c>
      <c r="C1256" s="165">
        <v>11900</v>
      </c>
      <c r="D1256" s="228"/>
      <c r="E1256" s="228"/>
      <c r="F1256" s="228"/>
      <c r="G1256" s="228"/>
      <c r="H1256" s="228"/>
      <c r="I1256" s="228"/>
      <c r="J1256" s="228"/>
      <c r="K1256" s="228"/>
      <c r="L1256" s="228">
        <v>600</v>
      </c>
      <c r="M1256" s="228">
        <v>7140000</v>
      </c>
      <c r="N1256" s="228"/>
      <c r="O1256" s="228"/>
      <c r="P1256" s="228">
        <v>600</v>
      </c>
      <c r="Q1256" s="228">
        <v>7140000</v>
      </c>
    </row>
    <row r="1257" spans="1:17">
      <c r="A1257" s="165" t="s">
        <v>2302</v>
      </c>
      <c r="B1257" s="165"/>
      <c r="C1257" s="165"/>
      <c r="D1257" s="228"/>
      <c r="E1257" s="228"/>
      <c r="F1257" s="228"/>
      <c r="G1257" s="228"/>
      <c r="H1257" s="228"/>
      <c r="I1257" s="228"/>
      <c r="J1257" s="228"/>
      <c r="K1257" s="228"/>
      <c r="L1257" s="228">
        <v>7800</v>
      </c>
      <c r="M1257" s="228">
        <v>60246000</v>
      </c>
      <c r="N1257" s="228"/>
      <c r="O1257" s="228"/>
      <c r="P1257" s="228">
        <v>7800</v>
      </c>
      <c r="Q1257" s="228">
        <v>60246000</v>
      </c>
    </row>
    <row r="1258" spans="1:17">
      <c r="A1258" s="165" t="s">
        <v>1613</v>
      </c>
      <c r="B1258" s="165" t="s">
        <v>2186</v>
      </c>
      <c r="C1258" s="165">
        <v>2700</v>
      </c>
      <c r="D1258" s="228"/>
      <c r="E1258" s="228"/>
      <c r="F1258" s="228">
        <v>0</v>
      </c>
      <c r="G1258" s="228">
        <v>0</v>
      </c>
      <c r="H1258" s="228"/>
      <c r="I1258" s="228"/>
      <c r="J1258" s="228"/>
      <c r="K1258" s="228"/>
      <c r="L1258" s="228"/>
      <c r="M1258" s="228"/>
      <c r="N1258" s="228"/>
      <c r="O1258" s="228"/>
      <c r="P1258" s="228">
        <v>0</v>
      </c>
      <c r="Q1258" s="228">
        <v>0</v>
      </c>
    </row>
    <row r="1259" spans="1:17">
      <c r="A1259" s="165" t="s">
        <v>2303</v>
      </c>
      <c r="B1259" s="165"/>
      <c r="C1259" s="165"/>
      <c r="D1259" s="228"/>
      <c r="E1259" s="228"/>
      <c r="F1259" s="228">
        <v>0</v>
      </c>
      <c r="G1259" s="228">
        <v>0</v>
      </c>
      <c r="H1259" s="228"/>
      <c r="I1259" s="228"/>
      <c r="J1259" s="228"/>
      <c r="K1259" s="228"/>
      <c r="L1259" s="228"/>
      <c r="M1259" s="228"/>
      <c r="N1259" s="228"/>
      <c r="O1259" s="228"/>
      <c r="P1259" s="228">
        <v>0</v>
      </c>
      <c r="Q1259" s="228">
        <v>0</v>
      </c>
    </row>
    <row r="1260" spans="1:17">
      <c r="A1260" s="165" t="s">
        <v>462</v>
      </c>
      <c r="B1260" s="165" t="s">
        <v>2161</v>
      </c>
      <c r="C1260" s="165" t="s">
        <v>385</v>
      </c>
      <c r="D1260" s="228"/>
      <c r="E1260" s="228"/>
      <c r="F1260" s="228">
        <v>0</v>
      </c>
      <c r="G1260" s="228">
        <v>0</v>
      </c>
      <c r="H1260" s="228"/>
      <c r="I1260" s="228"/>
      <c r="J1260" s="228"/>
      <c r="K1260" s="228"/>
      <c r="L1260" s="228"/>
      <c r="M1260" s="228"/>
      <c r="N1260" s="228"/>
      <c r="O1260" s="228"/>
      <c r="P1260" s="228">
        <v>0</v>
      </c>
      <c r="Q1260" s="228">
        <v>0</v>
      </c>
    </row>
    <row r="1261" spans="1:17">
      <c r="B1261" s="165" t="s">
        <v>2163</v>
      </c>
      <c r="C1261" s="165" t="s">
        <v>385</v>
      </c>
      <c r="D1261" s="228"/>
      <c r="E1261" s="228"/>
      <c r="F1261" s="228">
        <v>0</v>
      </c>
      <c r="G1261" s="228">
        <v>0</v>
      </c>
      <c r="H1261" s="228"/>
      <c r="I1261" s="228"/>
      <c r="J1261" s="228"/>
      <c r="K1261" s="228"/>
      <c r="L1261" s="228"/>
      <c r="M1261" s="228"/>
      <c r="N1261" s="228"/>
      <c r="O1261" s="228"/>
      <c r="P1261" s="228">
        <v>0</v>
      </c>
      <c r="Q1261" s="228">
        <v>0</v>
      </c>
    </row>
    <row r="1262" spans="1:17">
      <c r="B1262" s="165" t="s">
        <v>2187</v>
      </c>
      <c r="C1262" s="165" t="s">
        <v>385</v>
      </c>
      <c r="D1262" s="228">
        <v>15000</v>
      </c>
      <c r="E1262" s="228">
        <v>0</v>
      </c>
      <c r="F1262" s="228"/>
      <c r="G1262" s="228"/>
      <c r="H1262" s="228"/>
      <c r="I1262" s="228"/>
      <c r="J1262" s="228"/>
      <c r="K1262" s="228"/>
      <c r="L1262" s="228"/>
      <c r="M1262" s="228"/>
      <c r="N1262" s="228"/>
      <c r="O1262" s="228"/>
      <c r="P1262" s="228">
        <v>15000</v>
      </c>
      <c r="Q1262" s="228">
        <v>0</v>
      </c>
    </row>
    <row r="1263" spans="1:17">
      <c r="B1263" s="165" t="s">
        <v>2189</v>
      </c>
      <c r="C1263" s="165">
        <v>3500</v>
      </c>
      <c r="D1263" s="228">
        <v>0</v>
      </c>
      <c r="E1263" s="228">
        <v>0</v>
      </c>
      <c r="F1263" s="228"/>
      <c r="G1263" s="228"/>
      <c r="H1263" s="228"/>
      <c r="I1263" s="228"/>
      <c r="J1263" s="228"/>
      <c r="K1263" s="228"/>
      <c r="L1263" s="228"/>
      <c r="M1263" s="228"/>
      <c r="N1263" s="228"/>
      <c r="O1263" s="228"/>
      <c r="P1263" s="228">
        <v>0</v>
      </c>
      <c r="Q1263" s="228">
        <v>0</v>
      </c>
    </row>
    <row r="1264" spans="1:17">
      <c r="A1264" s="165" t="s">
        <v>2304</v>
      </c>
      <c r="B1264" s="165"/>
      <c r="C1264" s="165"/>
      <c r="D1264" s="228">
        <v>15000</v>
      </c>
      <c r="E1264" s="228">
        <v>0</v>
      </c>
      <c r="F1264" s="228">
        <v>0</v>
      </c>
      <c r="G1264" s="228">
        <v>0</v>
      </c>
      <c r="H1264" s="228"/>
      <c r="I1264" s="228"/>
      <c r="J1264" s="228"/>
      <c r="K1264" s="228"/>
      <c r="L1264" s="228"/>
      <c r="M1264" s="228"/>
      <c r="N1264" s="228"/>
      <c r="O1264" s="228"/>
      <c r="P1264" s="228">
        <v>15000</v>
      </c>
      <c r="Q1264" s="228">
        <v>0</v>
      </c>
    </row>
    <row r="1265" spans="1:17">
      <c r="A1265" s="165" t="s">
        <v>193</v>
      </c>
      <c r="B1265" s="165" t="s">
        <v>2104</v>
      </c>
      <c r="C1265" s="165">
        <v>7000</v>
      </c>
      <c r="D1265" s="228"/>
      <c r="E1265" s="228"/>
      <c r="F1265" s="228"/>
      <c r="G1265" s="228"/>
      <c r="H1265" s="228">
        <v>5000</v>
      </c>
      <c r="I1265" s="228">
        <v>35000000</v>
      </c>
      <c r="J1265" s="228">
        <v>3600</v>
      </c>
      <c r="K1265" s="228">
        <v>25200000</v>
      </c>
      <c r="L1265" s="228"/>
      <c r="M1265" s="228"/>
      <c r="N1265" s="228"/>
      <c r="O1265" s="228"/>
      <c r="P1265" s="228">
        <v>8600</v>
      </c>
      <c r="Q1265" s="228">
        <v>60200000</v>
      </c>
    </row>
    <row r="1266" spans="1:17">
      <c r="B1266" s="165" t="s">
        <v>2188</v>
      </c>
      <c r="C1266" s="165">
        <v>3800</v>
      </c>
      <c r="D1266" s="228"/>
      <c r="E1266" s="228"/>
      <c r="F1266" s="228">
        <v>0</v>
      </c>
      <c r="G1266" s="228">
        <v>0</v>
      </c>
      <c r="H1266" s="228"/>
      <c r="I1266" s="228"/>
      <c r="J1266" s="228"/>
      <c r="K1266" s="228"/>
      <c r="L1266" s="228"/>
      <c r="M1266" s="228"/>
      <c r="N1266" s="228"/>
      <c r="O1266" s="228"/>
      <c r="P1266" s="228">
        <v>0</v>
      </c>
      <c r="Q1266" s="228">
        <v>0</v>
      </c>
    </row>
    <row r="1267" spans="1:17">
      <c r="C1267" s="165">
        <v>3900</v>
      </c>
      <c r="D1267" s="228"/>
      <c r="E1267" s="228"/>
      <c r="F1267" s="228">
        <v>0</v>
      </c>
      <c r="G1267" s="228">
        <v>0</v>
      </c>
      <c r="H1267" s="228"/>
      <c r="I1267" s="228"/>
      <c r="J1267" s="228"/>
      <c r="K1267" s="228"/>
      <c r="L1267" s="228"/>
      <c r="M1267" s="228"/>
      <c r="N1267" s="228"/>
      <c r="O1267" s="228"/>
      <c r="P1267" s="228">
        <v>0</v>
      </c>
      <c r="Q1267" s="228">
        <v>0</v>
      </c>
    </row>
    <row r="1268" spans="1:17">
      <c r="C1268" s="165">
        <v>4000</v>
      </c>
      <c r="D1268" s="228">
        <v>5100</v>
      </c>
      <c r="E1268" s="228">
        <v>20400000</v>
      </c>
      <c r="F1268" s="228"/>
      <c r="G1268" s="228"/>
      <c r="H1268" s="228"/>
      <c r="I1268" s="228"/>
      <c r="J1268" s="228"/>
      <c r="K1268" s="228"/>
      <c r="L1268" s="228"/>
      <c r="M1268" s="228"/>
      <c r="N1268" s="228"/>
      <c r="O1268" s="228"/>
      <c r="P1268" s="228">
        <v>5100</v>
      </c>
      <c r="Q1268" s="228">
        <v>20400000</v>
      </c>
    </row>
    <row r="1269" spans="1:17">
      <c r="B1269" s="165" t="s">
        <v>2190</v>
      </c>
      <c r="C1269" s="165">
        <v>5300</v>
      </c>
      <c r="D1269" s="228"/>
      <c r="E1269" s="228"/>
      <c r="F1269" s="228"/>
      <c r="G1269" s="228"/>
      <c r="H1269" s="228">
        <v>4800</v>
      </c>
      <c r="I1269" s="228">
        <v>25440000</v>
      </c>
      <c r="J1269" s="228"/>
      <c r="K1269" s="228"/>
      <c r="L1269" s="228"/>
      <c r="M1269" s="228"/>
      <c r="N1269" s="228"/>
      <c r="O1269" s="228"/>
      <c r="P1269" s="228">
        <v>4800</v>
      </c>
      <c r="Q1269" s="228">
        <v>25440000</v>
      </c>
    </row>
    <row r="1270" spans="1:17">
      <c r="B1270" s="165" t="s">
        <v>2194</v>
      </c>
      <c r="C1270" s="165">
        <v>6000</v>
      </c>
      <c r="D1270" s="228">
        <v>0</v>
      </c>
      <c r="E1270" s="228">
        <v>0</v>
      </c>
      <c r="F1270" s="228"/>
      <c r="G1270" s="228"/>
      <c r="H1270" s="228"/>
      <c r="I1270" s="228"/>
      <c r="J1270" s="228"/>
      <c r="K1270" s="228"/>
      <c r="L1270" s="228"/>
      <c r="M1270" s="228"/>
      <c r="N1270" s="228"/>
      <c r="O1270" s="228"/>
      <c r="P1270" s="228">
        <v>0</v>
      </c>
      <c r="Q1270" s="228">
        <v>0</v>
      </c>
    </row>
    <row r="1271" spans="1:17">
      <c r="A1271" s="165" t="s">
        <v>2305</v>
      </c>
      <c r="B1271" s="165"/>
      <c r="C1271" s="165"/>
      <c r="D1271" s="228">
        <v>5100</v>
      </c>
      <c r="E1271" s="228">
        <v>20400000</v>
      </c>
      <c r="F1271" s="228">
        <v>0</v>
      </c>
      <c r="G1271" s="228">
        <v>0</v>
      </c>
      <c r="H1271" s="228">
        <v>9800</v>
      </c>
      <c r="I1271" s="228">
        <v>60440000</v>
      </c>
      <c r="J1271" s="228">
        <v>3600</v>
      </c>
      <c r="K1271" s="228">
        <v>25200000</v>
      </c>
      <c r="L1271" s="228"/>
      <c r="M1271" s="228"/>
      <c r="N1271" s="228"/>
      <c r="O1271" s="228"/>
      <c r="P1271" s="228">
        <v>18500</v>
      </c>
      <c r="Q1271" s="228">
        <v>106040000</v>
      </c>
    </row>
    <row r="1272" spans="1:17">
      <c r="A1272" s="165" t="s">
        <v>195</v>
      </c>
      <c r="B1272" s="165" t="s">
        <v>2033</v>
      </c>
      <c r="C1272" s="165">
        <v>5400</v>
      </c>
      <c r="D1272" s="228"/>
      <c r="E1272" s="228"/>
      <c r="F1272" s="228"/>
      <c r="G1272" s="228"/>
      <c r="H1272" s="228"/>
      <c r="I1272" s="228"/>
      <c r="J1272" s="228">
        <v>4000</v>
      </c>
      <c r="K1272" s="228">
        <v>21600000</v>
      </c>
      <c r="L1272" s="228"/>
      <c r="M1272" s="228"/>
      <c r="N1272" s="228"/>
      <c r="O1272" s="228"/>
      <c r="P1272" s="228">
        <v>4000</v>
      </c>
      <c r="Q1272" s="228">
        <v>21600000</v>
      </c>
    </row>
    <row r="1273" spans="1:17">
      <c r="B1273" s="165" t="s">
        <v>2036</v>
      </c>
      <c r="C1273" s="165">
        <v>4500</v>
      </c>
      <c r="D1273" s="228"/>
      <c r="E1273" s="228"/>
      <c r="F1273" s="228">
        <v>0</v>
      </c>
      <c r="G1273" s="228">
        <v>0</v>
      </c>
      <c r="H1273" s="228"/>
      <c r="I1273" s="228"/>
      <c r="J1273" s="228"/>
      <c r="K1273" s="228"/>
      <c r="L1273" s="228"/>
      <c r="M1273" s="228"/>
      <c r="N1273" s="228"/>
      <c r="O1273" s="228"/>
      <c r="P1273" s="228">
        <v>0</v>
      </c>
      <c r="Q1273" s="228">
        <v>0</v>
      </c>
    </row>
    <row r="1274" spans="1:17">
      <c r="B1274" s="165" t="s">
        <v>2050</v>
      </c>
      <c r="C1274" s="165">
        <v>6000</v>
      </c>
      <c r="D1274" s="228"/>
      <c r="E1274" s="228"/>
      <c r="F1274" s="228">
        <v>0</v>
      </c>
      <c r="G1274" s="228">
        <v>0</v>
      </c>
      <c r="H1274" s="228"/>
      <c r="I1274" s="228"/>
      <c r="J1274" s="228"/>
      <c r="K1274" s="228"/>
      <c r="L1274" s="228"/>
      <c r="M1274" s="228"/>
      <c r="N1274" s="228"/>
      <c r="O1274" s="228"/>
      <c r="P1274" s="228">
        <v>0</v>
      </c>
      <c r="Q1274" s="228">
        <v>0</v>
      </c>
    </row>
    <row r="1275" spans="1:17">
      <c r="B1275" s="165" t="s">
        <v>2061</v>
      </c>
      <c r="C1275" s="165">
        <v>9600</v>
      </c>
      <c r="D1275" s="228"/>
      <c r="E1275" s="228"/>
      <c r="F1275" s="228"/>
      <c r="G1275" s="228"/>
      <c r="H1275" s="228"/>
      <c r="I1275" s="228"/>
      <c r="J1275" s="228"/>
      <c r="K1275" s="228"/>
      <c r="L1275" s="228">
        <v>8100</v>
      </c>
      <c r="M1275" s="228">
        <v>77760000</v>
      </c>
      <c r="N1275" s="228"/>
      <c r="O1275" s="228"/>
      <c r="P1275" s="228">
        <v>8100</v>
      </c>
      <c r="Q1275" s="228">
        <v>77760000</v>
      </c>
    </row>
    <row r="1276" spans="1:17">
      <c r="B1276" s="165" t="s">
        <v>2090</v>
      </c>
      <c r="C1276" s="165">
        <v>5600</v>
      </c>
      <c r="D1276" s="228"/>
      <c r="E1276" s="228"/>
      <c r="F1276" s="228">
        <v>0</v>
      </c>
      <c r="G1276" s="228">
        <v>0</v>
      </c>
      <c r="H1276" s="228"/>
      <c r="I1276" s="228"/>
      <c r="J1276" s="228"/>
      <c r="K1276" s="228"/>
      <c r="L1276" s="228"/>
      <c r="M1276" s="228"/>
      <c r="N1276" s="228"/>
      <c r="O1276" s="228"/>
      <c r="P1276" s="228">
        <v>0</v>
      </c>
      <c r="Q1276" s="228">
        <v>0</v>
      </c>
    </row>
    <row r="1277" spans="1:17">
      <c r="B1277" s="165" t="s">
        <v>2130</v>
      </c>
      <c r="C1277" s="165">
        <v>5000</v>
      </c>
      <c r="D1277" s="228"/>
      <c r="E1277" s="228"/>
      <c r="F1277" s="228"/>
      <c r="G1277" s="228"/>
      <c r="H1277" s="228"/>
      <c r="I1277" s="228"/>
      <c r="J1277" s="228">
        <v>9000</v>
      </c>
      <c r="K1277" s="228">
        <v>45000000</v>
      </c>
      <c r="L1277" s="228"/>
      <c r="M1277" s="228"/>
      <c r="N1277" s="228"/>
      <c r="O1277" s="228"/>
      <c r="P1277" s="228">
        <v>9000</v>
      </c>
      <c r="Q1277" s="228">
        <v>45000000</v>
      </c>
    </row>
    <row r="1278" spans="1:17">
      <c r="B1278" s="165" t="s">
        <v>2133</v>
      </c>
      <c r="C1278" s="165">
        <v>11500</v>
      </c>
      <c r="D1278" s="228"/>
      <c r="E1278" s="228"/>
      <c r="F1278" s="228"/>
      <c r="G1278" s="228"/>
      <c r="H1278" s="228"/>
      <c r="I1278" s="228"/>
      <c r="J1278" s="228"/>
      <c r="K1278" s="228"/>
      <c r="L1278" s="228">
        <v>5100</v>
      </c>
      <c r="M1278" s="228">
        <v>58650000</v>
      </c>
      <c r="N1278" s="228"/>
      <c r="O1278" s="228"/>
      <c r="P1278" s="228">
        <v>5100</v>
      </c>
      <c r="Q1278" s="228">
        <v>58650000</v>
      </c>
    </row>
    <row r="1279" spans="1:17">
      <c r="B1279" s="165" t="s">
        <v>2009</v>
      </c>
      <c r="C1279" s="165">
        <v>4900</v>
      </c>
      <c r="D1279" s="228"/>
      <c r="E1279" s="228"/>
      <c r="F1279" s="228">
        <v>0</v>
      </c>
      <c r="G1279" s="228">
        <v>0</v>
      </c>
      <c r="H1279" s="228"/>
      <c r="I1279" s="228"/>
      <c r="J1279" s="228"/>
      <c r="K1279" s="228"/>
      <c r="L1279" s="228"/>
      <c r="M1279" s="228"/>
      <c r="N1279" s="228"/>
      <c r="O1279" s="228"/>
      <c r="P1279" s="228">
        <v>0</v>
      </c>
      <c r="Q1279" s="228">
        <v>0</v>
      </c>
    </row>
    <row r="1280" spans="1:17">
      <c r="A1280" s="165" t="s">
        <v>2306</v>
      </c>
      <c r="B1280" s="165"/>
      <c r="C1280" s="165"/>
      <c r="D1280" s="228"/>
      <c r="E1280" s="228"/>
      <c r="F1280" s="228">
        <v>0</v>
      </c>
      <c r="G1280" s="228">
        <v>0</v>
      </c>
      <c r="H1280" s="228"/>
      <c r="I1280" s="228"/>
      <c r="J1280" s="228">
        <v>13000</v>
      </c>
      <c r="K1280" s="228">
        <v>66600000</v>
      </c>
      <c r="L1280" s="228">
        <v>13200</v>
      </c>
      <c r="M1280" s="228">
        <v>136410000</v>
      </c>
      <c r="N1280" s="228"/>
      <c r="O1280" s="228"/>
      <c r="P1280" s="228">
        <v>26200</v>
      </c>
      <c r="Q1280" s="228">
        <v>203010000</v>
      </c>
    </row>
    <row r="1281" spans="1:17">
      <c r="A1281" s="165" t="s">
        <v>1188</v>
      </c>
      <c r="B1281" s="165" t="s">
        <v>2028</v>
      </c>
      <c r="C1281" s="165">
        <v>4500</v>
      </c>
      <c r="D1281" s="228">
        <v>0</v>
      </c>
      <c r="E1281" s="228">
        <v>0</v>
      </c>
      <c r="F1281" s="228"/>
      <c r="G1281" s="228"/>
      <c r="H1281" s="228"/>
      <c r="I1281" s="228"/>
      <c r="J1281" s="228"/>
      <c r="K1281" s="228"/>
      <c r="L1281" s="228"/>
      <c r="M1281" s="228"/>
      <c r="N1281" s="228"/>
      <c r="O1281" s="228"/>
      <c r="P1281" s="228">
        <v>0</v>
      </c>
      <c r="Q1281" s="228">
        <v>0</v>
      </c>
    </row>
    <row r="1282" spans="1:17">
      <c r="B1282" s="165" t="s">
        <v>2008</v>
      </c>
      <c r="C1282" s="165">
        <v>5090</v>
      </c>
      <c r="D1282" s="228"/>
      <c r="E1282" s="228"/>
      <c r="F1282" s="228">
        <v>0</v>
      </c>
      <c r="G1282" s="228">
        <v>0</v>
      </c>
      <c r="H1282" s="228"/>
      <c r="I1282" s="228"/>
      <c r="J1282" s="228"/>
      <c r="K1282" s="228"/>
      <c r="L1282" s="228"/>
      <c r="M1282" s="228"/>
      <c r="N1282" s="228"/>
      <c r="O1282" s="228"/>
      <c r="P1282" s="228">
        <v>0</v>
      </c>
      <c r="Q1282" s="228">
        <v>0</v>
      </c>
    </row>
    <row r="1283" spans="1:17">
      <c r="B1283" s="165" t="s">
        <v>2060</v>
      </c>
      <c r="C1283" s="165">
        <v>7500</v>
      </c>
      <c r="D1283" s="228"/>
      <c r="E1283" s="228"/>
      <c r="F1283" s="228"/>
      <c r="G1283" s="228"/>
      <c r="H1283" s="228">
        <v>3000</v>
      </c>
      <c r="I1283" s="228">
        <v>22500000</v>
      </c>
      <c r="J1283" s="228"/>
      <c r="K1283" s="228"/>
      <c r="L1283" s="228"/>
      <c r="M1283" s="228"/>
      <c r="N1283" s="228"/>
      <c r="O1283" s="228"/>
      <c r="P1283" s="228">
        <v>3000</v>
      </c>
      <c r="Q1283" s="228">
        <v>22500000</v>
      </c>
    </row>
    <row r="1284" spans="1:17">
      <c r="C1284" s="165">
        <v>7700</v>
      </c>
      <c r="D1284" s="228"/>
      <c r="E1284" s="228"/>
      <c r="F1284" s="228"/>
      <c r="G1284" s="228"/>
      <c r="H1284" s="228"/>
      <c r="I1284" s="228"/>
      <c r="J1284" s="228"/>
      <c r="K1284" s="228"/>
      <c r="L1284" s="228">
        <v>3000</v>
      </c>
      <c r="M1284" s="228">
        <v>23100000</v>
      </c>
      <c r="N1284" s="228"/>
      <c r="O1284" s="228"/>
      <c r="P1284" s="228">
        <v>3000</v>
      </c>
      <c r="Q1284" s="228">
        <v>23100000</v>
      </c>
    </row>
    <row r="1285" spans="1:17">
      <c r="C1285" s="165">
        <v>7800</v>
      </c>
      <c r="D1285" s="228"/>
      <c r="E1285" s="228"/>
      <c r="F1285" s="228"/>
      <c r="G1285" s="228"/>
      <c r="H1285" s="228"/>
      <c r="I1285" s="228"/>
      <c r="J1285" s="228"/>
      <c r="K1285" s="228"/>
      <c r="L1285" s="228">
        <v>3000</v>
      </c>
      <c r="M1285" s="228">
        <v>23400000</v>
      </c>
      <c r="N1285" s="228"/>
      <c r="O1285" s="228"/>
      <c r="P1285" s="228">
        <v>3000</v>
      </c>
      <c r="Q1285" s="228">
        <v>23400000</v>
      </c>
    </row>
    <row r="1286" spans="1:17">
      <c r="B1286" s="165" t="s">
        <v>2016</v>
      </c>
      <c r="C1286" s="165">
        <v>13600</v>
      </c>
      <c r="D1286" s="228"/>
      <c r="E1286" s="228"/>
      <c r="F1286" s="228"/>
      <c r="G1286" s="228"/>
      <c r="H1286" s="228"/>
      <c r="I1286" s="228"/>
      <c r="J1286" s="228"/>
      <c r="K1286" s="228"/>
      <c r="L1286" s="228">
        <v>8000</v>
      </c>
      <c r="M1286" s="228">
        <v>108800000</v>
      </c>
      <c r="N1286" s="228"/>
      <c r="O1286" s="228"/>
      <c r="P1286" s="228">
        <v>8000</v>
      </c>
      <c r="Q1286" s="228">
        <v>108800000</v>
      </c>
    </row>
    <row r="1287" spans="1:17">
      <c r="B1287" s="165" t="s">
        <v>2118</v>
      </c>
      <c r="C1287" s="165">
        <v>5400</v>
      </c>
      <c r="D1287" s="228"/>
      <c r="E1287" s="228"/>
      <c r="F1287" s="228"/>
      <c r="G1287" s="228"/>
      <c r="H1287" s="228"/>
      <c r="I1287" s="228"/>
      <c r="J1287" s="228">
        <v>3000</v>
      </c>
      <c r="K1287" s="228">
        <v>16200000</v>
      </c>
      <c r="L1287" s="228"/>
      <c r="M1287" s="228"/>
      <c r="N1287" s="228"/>
      <c r="O1287" s="228"/>
      <c r="P1287" s="228">
        <v>3000</v>
      </c>
      <c r="Q1287" s="228">
        <v>16200000</v>
      </c>
    </row>
    <row r="1288" spans="1:17">
      <c r="B1288" s="165" t="s">
        <v>2122</v>
      </c>
      <c r="C1288" s="165">
        <v>6200</v>
      </c>
      <c r="D1288" s="228"/>
      <c r="E1288" s="228"/>
      <c r="F1288" s="228"/>
      <c r="G1288" s="228"/>
      <c r="H1288" s="228"/>
      <c r="I1288" s="228"/>
      <c r="J1288" s="228">
        <v>4025</v>
      </c>
      <c r="K1288" s="228">
        <v>24955000</v>
      </c>
      <c r="L1288" s="228"/>
      <c r="M1288" s="228"/>
      <c r="N1288" s="228"/>
      <c r="O1288" s="228"/>
      <c r="P1288" s="228">
        <v>4025</v>
      </c>
      <c r="Q1288" s="228">
        <v>24955000</v>
      </c>
    </row>
    <row r="1289" spans="1:17">
      <c r="B1289" s="165" t="s">
        <v>2140</v>
      </c>
      <c r="C1289" s="165">
        <v>3800</v>
      </c>
      <c r="D1289" s="228"/>
      <c r="E1289" s="228"/>
      <c r="F1289" s="228"/>
      <c r="G1289" s="228"/>
      <c r="H1289" s="228"/>
      <c r="I1289" s="228"/>
      <c r="J1289" s="228">
        <v>3000</v>
      </c>
      <c r="K1289" s="228">
        <v>11400000</v>
      </c>
      <c r="L1289" s="228"/>
      <c r="M1289" s="228"/>
      <c r="N1289" s="228"/>
      <c r="O1289" s="228"/>
      <c r="P1289" s="228">
        <v>3000</v>
      </c>
      <c r="Q1289" s="228">
        <v>11400000</v>
      </c>
    </row>
    <row r="1290" spans="1:17">
      <c r="B1290" s="165" t="s">
        <v>1872</v>
      </c>
      <c r="C1290" s="165">
        <v>8000</v>
      </c>
      <c r="D1290" s="228"/>
      <c r="E1290" s="228"/>
      <c r="F1290" s="228"/>
      <c r="G1290" s="228"/>
      <c r="H1290" s="228">
        <v>8100</v>
      </c>
      <c r="I1290" s="228">
        <v>64800000</v>
      </c>
      <c r="J1290" s="228"/>
      <c r="K1290" s="228"/>
      <c r="L1290" s="228"/>
      <c r="M1290" s="228"/>
      <c r="N1290" s="228"/>
      <c r="O1290" s="228"/>
      <c r="P1290" s="228">
        <v>8100</v>
      </c>
      <c r="Q1290" s="228">
        <v>64800000</v>
      </c>
    </row>
    <row r="1291" spans="1:17">
      <c r="C1291" s="165">
        <v>8200</v>
      </c>
      <c r="D1291" s="228"/>
      <c r="E1291" s="228"/>
      <c r="F1291" s="228"/>
      <c r="G1291" s="228"/>
      <c r="H1291" s="228"/>
      <c r="I1291" s="228"/>
      <c r="J1291" s="228"/>
      <c r="K1291" s="228"/>
      <c r="L1291" s="228">
        <v>6000</v>
      </c>
      <c r="M1291" s="228">
        <v>49200000</v>
      </c>
      <c r="N1291" s="228"/>
      <c r="O1291" s="228"/>
      <c r="P1291" s="228">
        <v>6000</v>
      </c>
      <c r="Q1291" s="228">
        <v>49200000</v>
      </c>
    </row>
    <row r="1292" spans="1:17">
      <c r="C1292" s="165">
        <v>8300</v>
      </c>
      <c r="D1292" s="228"/>
      <c r="E1292" s="228"/>
      <c r="F1292" s="228"/>
      <c r="G1292" s="228"/>
      <c r="H1292" s="228"/>
      <c r="I1292" s="228"/>
      <c r="J1292" s="228"/>
      <c r="K1292" s="228"/>
      <c r="L1292" s="228">
        <v>3000</v>
      </c>
      <c r="M1292" s="228">
        <v>24900000</v>
      </c>
      <c r="N1292" s="228"/>
      <c r="O1292" s="228"/>
      <c r="P1292" s="228">
        <v>3000</v>
      </c>
      <c r="Q1292" s="228">
        <v>24900000</v>
      </c>
    </row>
    <row r="1293" spans="1:17">
      <c r="B1293" s="165" t="s">
        <v>2015</v>
      </c>
      <c r="C1293" s="165">
        <v>10700</v>
      </c>
      <c r="D1293" s="228"/>
      <c r="E1293" s="228"/>
      <c r="F1293" s="228"/>
      <c r="G1293" s="228"/>
      <c r="H1293" s="228"/>
      <c r="I1293" s="228"/>
      <c r="J1293" s="228"/>
      <c r="K1293" s="228"/>
      <c r="L1293" s="228">
        <v>8000</v>
      </c>
      <c r="M1293" s="228">
        <v>85600000</v>
      </c>
      <c r="N1293" s="228"/>
      <c r="O1293" s="228"/>
      <c r="P1293" s="228">
        <v>8000</v>
      </c>
      <c r="Q1293" s="228">
        <v>85600000</v>
      </c>
    </row>
    <row r="1294" spans="1:17">
      <c r="B1294" s="165" t="s">
        <v>2171</v>
      </c>
      <c r="C1294" s="165">
        <v>5590</v>
      </c>
      <c r="D1294" s="228"/>
      <c r="E1294" s="228"/>
      <c r="F1294" s="228">
        <v>0</v>
      </c>
      <c r="G1294" s="228">
        <v>0</v>
      </c>
      <c r="H1294" s="228"/>
      <c r="I1294" s="228"/>
      <c r="J1294" s="228"/>
      <c r="K1294" s="228"/>
      <c r="L1294" s="228"/>
      <c r="M1294" s="228"/>
      <c r="N1294" s="228"/>
      <c r="O1294" s="228"/>
      <c r="P1294" s="228">
        <v>0</v>
      </c>
      <c r="Q1294" s="228">
        <v>0</v>
      </c>
    </row>
    <row r="1295" spans="1:17">
      <c r="B1295" s="165" t="s">
        <v>2019</v>
      </c>
      <c r="C1295" s="165">
        <v>8900</v>
      </c>
      <c r="D1295" s="228"/>
      <c r="E1295" s="228"/>
      <c r="F1295" s="228"/>
      <c r="G1295" s="228"/>
      <c r="H1295" s="228">
        <v>3000</v>
      </c>
      <c r="I1295" s="228">
        <v>26700000</v>
      </c>
      <c r="J1295" s="228"/>
      <c r="K1295" s="228"/>
      <c r="L1295" s="228"/>
      <c r="M1295" s="228"/>
      <c r="N1295" s="228"/>
      <c r="O1295" s="228"/>
      <c r="P1295" s="228">
        <v>3000</v>
      </c>
      <c r="Q1295" s="228">
        <v>26700000</v>
      </c>
    </row>
    <row r="1296" spans="1:17">
      <c r="C1296" s="165">
        <v>9100</v>
      </c>
      <c r="D1296" s="228"/>
      <c r="E1296" s="228"/>
      <c r="F1296" s="228"/>
      <c r="G1296" s="228"/>
      <c r="H1296" s="228"/>
      <c r="I1296" s="228"/>
      <c r="J1296" s="228"/>
      <c r="K1296" s="228"/>
      <c r="L1296" s="228">
        <v>6000</v>
      </c>
      <c r="M1296" s="228">
        <v>54600000</v>
      </c>
      <c r="N1296" s="228"/>
      <c r="O1296" s="228"/>
      <c r="P1296" s="228">
        <v>6000</v>
      </c>
      <c r="Q1296" s="228">
        <v>54600000</v>
      </c>
    </row>
    <row r="1297" spans="1:17">
      <c r="C1297" s="165">
        <v>9200</v>
      </c>
      <c r="D1297" s="228"/>
      <c r="E1297" s="228"/>
      <c r="F1297" s="228"/>
      <c r="G1297" s="228"/>
      <c r="H1297" s="228"/>
      <c r="I1297" s="228"/>
      <c r="J1297" s="228"/>
      <c r="K1297" s="228"/>
      <c r="L1297" s="228">
        <v>3000</v>
      </c>
      <c r="M1297" s="228">
        <v>27600000</v>
      </c>
      <c r="N1297" s="228"/>
      <c r="O1297" s="228"/>
      <c r="P1297" s="228">
        <v>3000</v>
      </c>
      <c r="Q1297" s="228">
        <v>27600000</v>
      </c>
    </row>
    <row r="1298" spans="1:17">
      <c r="B1298" s="165" t="s">
        <v>2023</v>
      </c>
      <c r="C1298" s="165">
        <v>11000</v>
      </c>
      <c r="D1298" s="228"/>
      <c r="E1298" s="228"/>
      <c r="F1298" s="228"/>
      <c r="G1298" s="228"/>
      <c r="H1298" s="228"/>
      <c r="I1298" s="228"/>
      <c r="J1298" s="228"/>
      <c r="K1298" s="228"/>
      <c r="L1298" s="228">
        <v>10000</v>
      </c>
      <c r="M1298" s="228">
        <v>110000000</v>
      </c>
      <c r="N1298" s="228"/>
      <c r="O1298" s="228"/>
      <c r="P1298" s="228">
        <v>10000</v>
      </c>
      <c r="Q1298" s="228">
        <v>110000000</v>
      </c>
    </row>
    <row r="1299" spans="1:17">
      <c r="B1299" s="165" t="s">
        <v>2176</v>
      </c>
      <c r="C1299" s="165">
        <v>4160</v>
      </c>
      <c r="D1299" s="228">
        <v>0</v>
      </c>
      <c r="E1299" s="228">
        <v>0</v>
      </c>
      <c r="F1299" s="228"/>
      <c r="G1299" s="228"/>
      <c r="H1299" s="228"/>
      <c r="I1299" s="228"/>
      <c r="J1299" s="228"/>
      <c r="K1299" s="228"/>
      <c r="L1299" s="228"/>
      <c r="M1299" s="228"/>
      <c r="N1299" s="228"/>
      <c r="O1299" s="228"/>
      <c r="P1299" s="228">
        <v>0</v>
      </c>
      <c r="Q1299" s="228">
        <v>0</v>
      </c>
    </row>
    <row r="1300" spans="1:17">
      <c r="C1300" s="165">
        <v>4300</v>
      </c>
      <c r="D1300" s="228"/>
      <c r="E1300" s="228"/>
      <c r="F1300" s="228">
        <v>0</v>
      </c>
      <c r="G1300" s="228">
        <v>0</v>
      </c>
      <c r="H1300" s="228"/>
      <c r="I1300" s="228"/>
      <c r="J1300" s="228"/>
      <c r="K1300" s="228"/>
      <c r="L1300" s="228"/>
      <c r="M1300" s="228"/>
      <c r="N1300" s="228"/>
      <c r="O1300" s="228"/>
      <c r="P1300" s="228">
        <v>0</v>
      </c>
      <c r="Q1300" s="228">
        <v>0</v>
      </c>
    </row>
    <row r="1301" spans="1:17">
      <c r="B1301" s="165" t="s">
        <v>2177</v>
      </c>
      <c r="C1301" s="165">
        <v>5900</v>
      </c>
      <c r="D1301" s="228"/>
      <c r="E1301" s="228"/>
      <c r="F1301" s="228"/>
      <c r="G1301" s="228"/>
      <c r="H1301" s="228">
        <v>2000</v>
      </c>
      <c r="I1301" s="228">
        <v>11800000</v>
      </c>
      <c r="J1301" s="228"/>
      <c r="K1301" s="228"/>
      <c r="L1301" s="228"/>
      <c r="M1301" s="228"/>
      <c r="N1301" s="228"/>
      <c r="O1301" s="228"/>
      <c r="P1301" s="228">
        <v>2000</v>
      </c>
      <c r="Q1301" s="228">
        <v>11800000</v>
      </c>
    </row>
    <row r="1302" spans="1:17">
      <c r="C1302" s="165">
        <v>6100</v>
      </c>
      <c r="D1302" s="228"/>
      <c r="E1302" s="228"/>
      <c r="F1302" s="228"/>
      <c r="G1302" s="228"/>
      <c r="H1302" s="228"/>
      <c r="I1302" s="228"/>
      <c r="J1302" s="228"/>
      <c r="K1302" s="228"/>
      <c r="L1302" s="228">
        <v>4000</v>
      </c>
      <c r="M1302" s="228">
        <v>24400000</v>
      </c>
      <c r="N1302" s="228"/>
      <c r="O1302" s="228"/>
      <c r="P1302" s="228">
        <v>4000</v>
      </c>
      <c r="Q1302" s="228">
        <v>24400000</v>
      </c>
    </row>
    <row r="1303" spans="1:17">
      <c r="C1303" s="165">
        <v>6200</v>
      </c>
      <c r="D1303" s="228"/>
      <c r="E1303" s="228"/>
      <c r="F1303" s="228"/>
      <c r="G1303" s="228"/>
      <c r="H1303" s="228"/>
      <c r="I1303" s="228"/>
      <c r="J1303" s="228"/>
      <c r="K1303" s="228"/>
      <c r="L1303" s="228">
        <v>2000</v>
      </c>
      <c r="M1303" s="228">
        <v>12400000</v>
      </c>
      <c r="N1303" s="228"/>
      <c r="O1303" s="228"/>
      <c r="P1303" s="228">
        <v>2000</v>
      </c>
      <c r="Q1303" s="228">
        <v>12400000</v>
      </c>
    </row>
    <row r="1304" spans="1:17">
      <c r="B1304" s="165" t="s">
        <v>2188</v>
      </c>
      <c r="C1304" s="165">
        <v>3900</v>
      </c>
      <c r="D1304" s="228"/>
      <c r="E1304" s="228"/>
      <c r="F1304" s="228"/>
      <c r="G1304" s="228"/>
      <c r="H1304" s="228">
        <v>5100</v>
      </c>
      <c r="I1304" s="228">
        <v>19890000</v>
      </c>
      <c r="J1304" s="228"/>
      <c r="K1304" s="228"/>
      <c r="L1304" s="228"/>
      <c r="M1304" s="228"/>
      <c r="N1304" s="228"/>
      <c r="O1304" s="228"/>
      <c r="P1304" s="228">
        <v>5100</v>
      </c>
      <c r="Q1304" s="228">
        <v>19890000</v>
      </c>
    </row>
    <row r="1305" spans="1:17">
      <c r="C1305" s="165">
        <v>4000</v>
      </c>
      <c r="D1305" s="228"/>
      <c r="E1305" s="228"/>
      <c r="F1305" s="228"/>
      <c r="G1305" s="228"/>
      <c r="H1305" s="228"/>
      <c r="I1305" s="228"/>
      <c r="J1305" s="228"/>
      <c r="K1305" s="228"/>
      <c r="L1305" s="228">
        <v>4200</v>
      </c>
      <c r="M1305" s="228">
        <v>16800000</v>
      </c>
      <c r="N1305" s="228"/>
      <c r="O1305" s="228"/>
      <c r="P1305" s="228">
        <v>4200</v>
      </c>
      <c r="Q1305" s="228">
        <v>16800000</v>
      </c>
    </row>
    <row r="1306" spans="1:17">
      <c r="C1306" s="165">
        <v>4100</v>
      </c>
      <c r="D1306" s="228"/>
      <c r="E1306" s="228"/>
      <c r="F1306" s="228"/>
      <c r="G1306" s="228"/>
      <c r="H1306" s="228"/>
      <c r="I1306" s="228"/>
      <c r="J1306" s="228"/>
      <c r="K1306" s="228"/>
      <c r="L1306" s="228">
        <v>2100</v>
      </c>
      <c r="M1306" s="228">
        <v>8610000</v>
      </c>
      <c r="N1306" s="228"/>
      <c r="O1306" s="228"/>
      <c r="P1306" s="228">
        <v>2100</v>
      </c>
      <c r="Q1306" s="228">
        <v>8610000</v>
      </c>
    </row>
    <row r="1307" spans="1:17">
      <c r="A1307" s="165" t="s">
        <v>2307</v>
      </c>
      <c r="B1307" s="165"/>
      <c r="C1307" s="165"/>
      <c r="D1307" s="228">
        <v>0</v>
      </c>
      <c r="E1307" s="228">
        <v>0</v>
      </c>
      <c r="F1307" s="228">
        <v>0</v>
      </c>
      <c r="G1307" s="228">
        <v>0</v>
      </c>
      <c r="H1307" s="228">
        <v>21200</v>
      </c>
      <c r="I1307" s="228">
        <v>145690000</v>
      </c>
      <c r="J1307" s="228">
        <v>10025</v>
      </c>
      <c r="K1307" s="228">
        <v>52555000</v>
      </c>
      <c r="L1307" s="228">
        <v>62300</v>
      </c>
      <c r="M1307" s="228">
        <v>569410000</v>
      </c>
      <c r="N1307" s="228"/>
      <c r="O1307" s="228"/>
      <c r="P1307" s="228">
        <v>93525</v>
      </c>
      <c r="Q1307" s="228">
        <v>767655000</v>
      </c>
    </row>
    <row r="1308" spans="1:17">
      <c r="A1308" s="165" t="s">
        <v>842</v>
      </c>
      <c r="B1308" s="165" t="s">
        <v>2104</v>
      </c>
      <c r="C1308" s="165">
        <v>6700</v>
      </c>
      <c r="D1308" s="228"/>
      <c r="E1308" s="228"/>
      <c r="F1308" s="228">
        <v>0</v>
      </c>
      <c r="G1308" s="228">
        <v>0</v>
      </c>
      <c r="H1308" s="228"/>
      <c r="I1308" s="228"/>
      <c r="J1308" s="228"/>
      <c r="K1308" s="228"/>
      <c r="L1308" s="228"/>
      <c r="M1308" s="228"/>
      <c r="N1308" s="228"/>
      <c r="O1308" s="228"/>
      <c r="P1308" s="228">
        <v>0</v>
      </c>
      <c r="Q1308" s="228">
        <v>0</v>
      </c>
    </row>
    <row r="1309" spans="1:17">
      <c r="C1309" s="165">
        <v>6785</v>
      </c>
      <c r="D1309" s="228"/>
      <c r="E1309" s="228"/>
      <c r="F1309" s="228">
        <v>0</v>
      </c>
      <c r="G1309" s="228">
        <v>0</v>
      </c>
      <c r="H1309" s="228"/>
      <c r="I1309" s="228"/>
      <c r="J1309" s="228"/>
      <c r="K1309" s="228"/>
      <c r="L1309" s="228"/>
      <c r="M1309" s="228"/>
      <c r="N1309" s="228"/>
      <c r="O1309" s="228"/>
      <c r="P1309" s="228">
        <v>0</v>
      </c>
      <c r="Q1309" s="228">
        <v>0</v>
      </c>
    </row>
    <row r="1310" spans="1:17">
      <c r="C1310" s="165">
        <v>6830</v>
      </c>
      <c r="D1310" s="228"/>
      <c r="E1310" s="228"/>
      <c r="F1310" s="228">
        <v>0</v>
      </c>
      <c r="G1310" s="228">
        <v>0</v>
      </c>
      <c r="H1310" s="228"/>
      <c r="I1310" s="228"/>
      <c r="J1310" s="228"/>
      <c r="K1310" s="228"/>
      <c r="L1310" s="228"/>
      <c r="M1310" s="228"/>
      <c r="N1310" s="228"/>
      <c r="O1310" s="228"/>
      <c r="P1310" s="228">
        <v>0</v>
      </c>
      <c r="Q1310" s="228">
        <v>0</v>
      </c>
    </row>
    <row r="1311" spans="1:17">
      <c r="C1311" s="165">
        <v>6915</v>
      </c>
      <c r="D1311" s="228"/>
      <c r="E1311" s="228"/>
      <c r="F1311" s="228"/>
      <c r="G1311" s="228"/>
      <c r="H1311" s="228">
        <v>20000</v>
      </c>
      <c r="I1311" s="228">
        <v>138300000</v>
      </c>
      <c r="J1311" s="228"/>
      <c r="K1311" s="228"/>
      <c r="L1311" s="228"/>
      <c r="M1311" s="228"/>
      <c r="N1311" s="228"/>
      <c r="O1311" s="228"/>
      <c r="P1311" s="228">
        <v>20000</v>
      </c>
      <c r="Q1311" s="228">
        <v>138300000</v>
      </c>
    </row>
    <row r="1312" spans="1:17">
      <c r="C1312" s="165" t="s">
        <v>385</v>
      </c>
      <c r="D1312" s="228"/>
      <c r="E1312" s="228"/>
      <c r="F1312" s="228"/>
      <c r="G1312" s="228"/>
      <c r="H1312" s="228"/>
      <c r="I1312" s="228"/>
      <c r="J1312" s="228"/>
      <c r="K1312" s="228"/>
      <c r="L1312" s="228">
        <v>40000</v>
      </c>
      <c r="M1312" s="228">
        <v>0</v>
      </c>
      <c r="N1312" s="228"/>
      <c r="O1312" s="228"/>
      <c r="P1312" s="228">
        <v>40000</v>
      </c>
      <c r="Q1312" s="228">
        <v>0</v>
      </c>
    </row>
    <row r="1313" spans="1:17">
      <c r="B1313" s="165" t="s">
        <v>2106</v>
      </c>
      <c r="C1313" s="165">
        <v>15400</v>
      </c>
      <c r="D1313" s="228"/>
      <c r="E1313" s="228"/>
      <c r="F1313" s="228"/>
      <c r="G1313" s="228"/>
      <c r="H1313" s="228"/>
      <c r="I1313" s="228"/>
      <c r="J1313" s="228"/>
      <c r="K1313" s="228"/>
      <c r="L1313" s="228">
        <v>24300</v>
      </c>
      <c r="M1313" s="228">
        <v>374220000</v>
      </c>
      <c r="N1313" s="228"/>
      <c r="O1313" s="228"/>
      <c r="P1313" s="228">
        <v>24300</v>
      </c>
      <c r="Q1313" s="228">
        <v>374220000</v>
      </c>
    </row>
    <row r="1314" spans="1:17">
      <c r="B1314" s="165" t="s">
        <v>2107</v>
      </c>
      <c r="C1314" s="165">
        <v>16200</v>
      </c>
      <c r="D1314" s="228"/>
      <c r="E1314" s="228"/>
      <c r="F1314" s="228"/>
      <c r="G1314" s="228"/>
      <c r="H1314" s="228"/>
      <c r="I1314" s="228"/>
      <c r="J1314" s="228"/>
      <c r="K1314" s="228"/>
      <c r="L1314" s="228">
        <v>15635</v>
      </c>
      <c r="M1314" s="228">
        <v>253287000</v>
      </c>
      <c r="N1314" s="228"/>
      <c r="O1314" s="228"/>
      <c r="P1314" s="228">
        <v>15635</v>
      </c>
      <c r="Q1314" s="228">
        <v>253287000</v>
      </c>
    </row>
    <row r="1315" spans="1:17">
      <c r="B1315" s="165" t="s">
        <v>2108</v>
      </c>
      <c r="C1315" s="165">
        <v>6700</v>
      </c>
      <c r="D1315" s="228"/>
      <c r="E1315" s="228"/>
      <c r="F1315" s="228">
        <v>0</v>
      </c>
      <c r="G1315" s="228">
        <v>0</v>
      </c>
      <c r="H1315" s="228"/>
      <c r="I1315" s="228"/>
      <c r="J1315" s="228"/>
      <c r="K1315" s="228"/>
      <c r="L1315" s="228"/>
      <c r="M1315" s="228"/>
      <c r="N1315" s="228"/>
      <c r="O1315" s="228"/>
      <c r="P1315" s="228">
        <v>0</v>
      </c>
      <c r="Q1315" s="228">
        <v>0</v>
      </c>
    </row>
    <row r="1316" spans="1:17">
      <c r="B1316" s="165" t="s">
        <v>2018</v>
      </c>
      <c r="C1316" s="165">
        <v>15400</v>
      </c>
      <c r="D1316" s="228"/>
      <c r="E1316" s="228"/>
      <c r="F1316" s="228"/>
      <c r="G1316" s="228"/>
      <c r="H1316" s="228"/>
      <c r="I1316" s="228"/>
      <c r="J1316" s="228"/>
      <c r="K1316" s="228"/>
      <c r="L1316" s="228">
        <v>15040</v>
      </c>
      <c r="M1316" s="228">
        <v>231616000</v>
      </c>
      <c r="N1316" s="228"/>
      <c r="O1316" s="228"/>
      <c r="P1316" s="228">
        <v>15040</v>
      </c>
      <c r="Q1316" s="228">
        <v>231616000</v>
      </c>
    </row>
    <row r="1317" spans="1:17">
      <c r="B1317" s="165" t="s">
        <v>2023</v>
      </c>
      <c r="C1317" s="165">
        <v>11000</v>
      </c>
      <c r="D1317" s="228"/>
      <c r="E1317" s="228"/>
      <c r="F1317" s="228"/>
      <c r="G1317" s="228"/>
      <c r="H1317" s="228"/>
      <c r="I1317" s="228"/>
      <c r="J1317" s="228"/>
      <c r="K1317" s="228"/>
      <c r="L1317" s="228">
        <v>15000</v>
      </c>
      <c r="M1317" s="228">
        <v>165000000</v>
      </c>
      <c r="N1317" s="228"/>
      <c r="O1317" s="228"/>
      <c r="P1317" s="228">
        <v>15000</v>
      </c>
      <c r="Q1317" s="228">
        <v>165000000</v>
      </c>
    </row>
    <row r="1318" spans="1:17">
      <c r="B1318" s="165" t="s">
        <v>2188</v>
      </c>
      <c r="C1318" s="165">
        <v>3600</v>
      </c>
      <c r="D1318" s="228">
        <v>0</v>
      </c>
      <c r="E1318" s="228">
        <v>0</v>
      </c>
      <c r="F1318" s="228"/>
      <c r="G1318" s="228"/>
      <c r="H1318" s="228"/>
      <c r="I1318" s="228"/>
      <c r="J1318" s="228"/>
      <c r="K1318" s="228"/>
      <c r="L1318" s="228"/>
      <c r="M1318" s="228"/>
      <c r="N1318" s="228"/>
      <c r="O1318" s="228"/>
      <c r="P1318" s="228">
        <v>0</v>
      </c>
      <c r="Q1318" s="228">
        <v>0</v>
      </c>
    </row>
    <row r="1319" spans="1:17">
      <c r="A1319" s="165" t="s">
        <v>2308</v>
      </c>
      <c r="B1319" s="165"/>
      <c r="C1319" s="165"/>
      <c r="D1319" s="228">
        <v>0</v>
      </c>
      <c r="E1319" s="228">
        <v>0</v>
      </c>
      <c r="F1319" s="228">
        <v>0</v>
      </c>
      <c r="G1319" s="228">
        <v>0</v>
      </c>
      <c r="H1319" s="228">
        <v>20000</v>
      </c>
      <c r="I1319" s="228">
        <v>138300000</v>
      </c>
      <c r="J1319" s="228"/>
      <c r="K1319" s="228"/>
      <c r="L1319" s="228">
        <v>109975</v>
      </c>
      <c r="M1319" s="228">
        <v>1024123000</v>
      </c>
      <c r="N1319" s="228"/>
      <c r="O1319" s="228"/>
      <c r="P1319" s="228">
        <v>129975</v>
      </c>
      <c r="Q1319" s="228">
        <v>1162423000</v>
      </c>
    </row>
    <row r="1320" spans="1:17">
      <c r="A1320" s="165" t="s">
        <v>1245</v>
      </c>
      <c r="B1320" s="165" t="s">
        <v>2032</v>
      </c>
      <c r="C1320" s="165">
        <v>8063</v>
      </c>
      <c r="D1320" s="228"/>
      <c r="E1320" s="228"/>
      <c r="F1320" s="228">
        <v>0</v>
      </c>
      <c r="G1320" s="228">
        <v>0</v>
      </c>
      <c r="H1320" s="228"/>
      <c r="I1320" s="228"/>
      <c r="J1320" s="228"/>
      <c r="K1320" s="228"/>
      <c r="L1320" s="228"/>
      <c r="M1320" s="228"/>
      <c r="N1320" s="228"/>
      <c r="O1320" s="228"/>
      <c r="P1320" s="228">
        <v>0</v>
      </c>
      <c r="Q1320" s="228">
        <v>0</v>
      </c>
    </row>
    <row r="1321" spans="1:17">
      <c r="C1321" s="165">
        <v>8088</v>
      </c>
      <c r="D1321" s="228"/>
      <c r="E1321" s="228"/>
      <c r="F1321" s="228"/>
      <c r="G1321" s="228"/>
      <c r="H1321" s="228"/>
      <c r="I1321" s="228"/>
      <c r="J1321" s="228">
        <v>1200</v>
      </c>
      <c r="K1321" s="228">
        <v>9705600</v>
      </c>
      <c r="L1321" s="228"/>
      <c r="M1321" s="228"/>
      <c r="N1321" s="228"/>
      <c r="O1321" s="228"/>
      <c r="P1321" s="228">
        <v>1200</v>
      </c>
      <c r="Q1321" s="228">
        <v>9705600</v>
      </c>
    </row>
    <row r="1322" spans="1:17">
      <c r="B1322" s="165" t="s">
        <v>2033</v>
      </c>
      <c r="C1322" s="165">
        <v>5300</v>
      </c>
      <c r="D1322" s="228">
        <v>0</v>
      </c>
      <c r="E1322" s="228">
        <v>0</v>
      </c>
      <c r="F1322" s="228">
        <v>0</v>
      </c>
      <c r="G1322" s="228">
        <v>0</v>
      </c>
      <c r="H1322" s="228"/>
      <c r="I1322" s="228"/>
      <c r="J1322" s="228"/>
      <c r="K1322" s="228"/>
      <c r="L1322" s="228"/>
      <c r="M1322" s="228"/>
      <c r="N1322" s="228"/>
      <c r="O1322" s="228"/>
      <c r="P1322" s="228">
        <v>0</v>
      </c>
      <c r="Q1322" s="228">
        <v>0</v>
      </c>
    </row>
    <row r="1323" spans="1:17">
      <c r="C1323" s="165">
        <v>5400</v>
      </c>
      <c r="D1323" s="228"/>
      <c r="E1323" s="228"/>
      <c r="F1323" s="228"/>
      <c r="G1323" s="228"/>
      <c r="H1323" s="228"/>
      <c r="I1323" s="228"/>
      <c r="J1323" s="228">
        <v>14000</v>
      </c>
      <c r="K1323" s="228">
        <v>75600000</v>
      </c>
      <c r="L1323" s="228"/>
      <c r="M1323" s="228"/>
      <c r="N1323" s="228"/>
      <c r="O1323" s="228"/>
      <c r="P1323" s="228">
        <v>14000</v>
      </c>
      <c r="Q1323" s="228">
        <v>75600000</v>
      </c>
    </row>
    <row r="1324" spans="1:17">
      <c r="B1324" s="165" t="s">
        <v>2034</v>
      </c>
      <c r="C1324" s="165">
        <v>10500</v>
      </c>
      <c r="D1324" s="228">
        <v>0</v>
      </c>
      <c r="E1324" s="228">
        <v>0</v>
      </c>
      <c r="F1324" s="228"/>
      <c r="G1324" s="228"/>
      <c r="H1324" s="228"/>
      <c r="I1324" s="228"/>
      <c r="J1324" s="228"/>
      <c r="K1324" s="228"/>
      <c r="L1324" s="228"/>
      <c r="M1324" s="228"/>
      <c r="N1324" s="228"/>
      <c r="O1324" s="228"/>
      <c r="P1324" s="228">
        <v>0</v>
      </c>
      <c r="Q1324" s="228">
        <v>0</v>
      </c>
    </row>
    <row r="1325" spans="1:17">
      <c r="B1325" s="165" t="s">
        <v>2039</v>
      </c>
      <c r="C1325" s="165">
        <v>6300</v>
      </c>
      <c r="D1325" s="228"/>
      <c r="E1325" s="228"/>
      <c r="F1325" s="228">
        <v>0</v>
      </c>
      <c r="G1325" s="228">
        <v>0</v>
      </c>
      <c r="H1325" s="228"/>
      <c r="I1325" s="228"/>
      <c r="J1325" s="228"/>
      <c r="K1325" s="228"/>
      <c r="L1325" s="228"/>
      <c r="M1325" s="228"/>
      <c r="N1325" s="228"/>
      <c r="O1325" s="228"/>
      <c r="P1325" s="228">
        <v>0</v>
      </c>
      <c r="Q1325" s="228">
        <v>0</v>
      </c>
    </row>
    <row r="1326" spans="1:17">
      <c r="B1326" s="165" t="s">
        <v>2050</v>
      </c>
      <c r="C1326" s="165">
        <v>6300</v>
      </c>
      <c r="D1326" s="228"/>
      <c r="E1326" s="228"/>
      <c r="F1326" s="228">
        <v>0</v>
      </c>
      <c r="G1326" s="228">
        <v>0</v>
      </c>
      <c r="H1326" s="228"/>
      <c r="I1326" s="228"/>
      <c r="J1326" s="228"/>
      <c r="K1326" s="228"/>
      <c r="L1326" s="228"/>
      <c r="M1326" s="228"/>
      <c r="N1326" s="228"/>
      <c r="O1326" s="228"/>
      <c r="P1326" s="228">
        <v>0</v>
      </c>
      <c r="Q1326" s="228">
        <v>0</v>
      </c>
    </row>
    <row r="1327" spans="1:17">
      <c r="B1327" s="165" t="s">
        <v>2052</v>
      </c>
      <c r="C1327" s="165">
        <v>8000</v>
      </c>
      <c r="D1327" s="228"/>
      <c r="E1327" s="228"/>
      <c r="F1327" s="228">
        <v>0</v>
      </c>
      <c r="G1327" s="228">
        <v>0</v>
      </c>
      <c r="H1327" s="228"/>
      <c r="I1327" s="228"/>
      <c r="J1327" s="228"/>
      <c r="K1327" s="228"/>
      <c r="L1327" s="228"/>
      <c r="M1327" s="228"/>
      <c r="N1327" s="228"/>
      <c r="O1327" s="228"/>
      <c r="P1327" s="228">
        <v>0</v>
      </c>
      <c r="Q1327" s="228">
        <v>0</v>
      </c>
    </row>
    <row r="1328" spans="1:17">
      <c r="B1328" s="165" t="s">
        <v>2054</v>
      </c>
      <c r="C1328" s="165">
        <v>8088</v>
      </c>
      <c r="D1328" s="228"/>
      <c r="E1328" s="228"/>
      <c r="F1328" s="228"/>
      <c r="G1328" s="228"/>
      <c r="H1328" s="228"/>
      <c r="I1328" s="228"/>
      <c r="J1328" s="228">
        <v>800</v>
      </c>
      <c r="K1328" s="228">
        <v>6470400</v>
      </c>
      <c r="L1328" s="228"/>
      <c r="M1328" s="228"/>
      <c r="N1328" s="228"/>
      <c r="O1328" s="228"/>
      <c r="P1328" s="228">
        <v>800</v>
      </c>
      <c r="Q1328" s="228">
        <v>6470400</v>
      </c>
    </row>
    <row r="1329" spans="2:17">
      <c r="B1329" s="165" t="s">
        <v>2071</v>
      </c>
      <c r="C1329" s="165">
        <v>8088</v>
      </c>
      <c r="D1329" s="228"/>
      <c r="E1329" s="228"/>
      <c r="F1329" s="228"/>
      <c r="G1329" s="228"/>
      <c r="H1329" s="228"/>
      <c r="I1329" s="228"/>
      <c r="J1329" s="228">
        <v>1200</v>
      </c>
      <c r="K1329" s="228">
        <v>9705600</v>
      </c>
      <c r="L1329" s="228"/>
      <c r="M1329" s="228"/>
      <c r="N1329" s="228"/>
      <c r="O1329" s="228"/>
      <c r="P1329" s="228">
        <v>1200</v>
      </c>
      <c r="Q1329" s="228">
        <v>9705600</v>
      </c>
    </row>
    <row r="1330" spans="2:17">
      <c r="B1330" s="165" t="s">
        <v>2079</v>
      </c>
      <c r="C1330" s="165">
        <v>4500</v>
      </c>
      <c r="D1330" s="228"/>
      <c r="E1330" s="228"/>
      <c r="F1330" s="228"/>
      <c r="G1330" s="228"/>
      <c r="H1330" s="228"/>
      <c r="I1330" s="228"/>
      <c r="J1330" s="228">
        <v>3200</v>
      </c>
      <c r="K1330" s="228">
        <v>14400000</v>
      </c>
      <c r="L1330" s="228"/>
      <c r="M1330" s="228"/>
      <c r="N1330" s="228"/>
      <c r="O1330" s="228"/>
      <c r="P1330" s="228">
        <v>3200</v>
      </c>
      <c r="Q1330" s="228">
        <v>14400000</v>
      </c>
    </row>
    <row r="1331" spans="2:17">
      <c r="B1331" s="165" t="s">
        <v>2086</v>
      </c>
      <c r="C1331" s="165">
        <v>4700</v>
      </c>
      <c r="D1331" s="228"/>
      <c r="E1331" s="228"/>
      <c r="F1331" s="228">
        <v>0</v>
      </c>
      <c r="G1331" s="228">
        <v>0</v>
      </c>
      <c r="H1331" s="228"/>
      <c r="I1331" s="228"/>
      <c r="J1331" s="228"/>
      <c r="K1331" s="228"/>
      <c r="L1331" s="228"/>
      <c r="M1331" s="228"/>
      <c r="N1331" s="228"/>
      <c r="O1331" s="228"/>
      <c r="P1331" s="228">
        <v>0</v>
      </c>
      <c r="Q1331" s="228">
        <v>0</v>
      </c>
    </row>
    <row r="1332" spans="2:17">
      <c r="B1332" s="165" t="s">
        <v>2098</v>
      </c>
      <c r="C1332" s="165">
        <v>4000</v>
      </c>
      <c r="D1332" s="228"/>
      <c r="E1332" s="228"/>
      <c r="F1332" s="228"/>
      <c r="G1332" s="228"/>
      <c r="H1332" s="228"/>
      <c r="I1332" s="228"/>
      <c r="J1332" s="228">
        <v>5700</v>
      </c>
      <c r="K1332" s="228">
        <v>22800000</v>
      </c>
      <c r="L1332" s="228"/>
      <c r="M1332" s="228"/>
      <c r="N1332" s="228"/>
      <c r="O1332" s="228"/>
      <c r="P1332" s="228">
        <v>5700</v>
      </c>
      <c r="Q1332" s="228">
        <v>22800000</v>
      </c>
    </row>
    <row r="1333" spans="2:17">
      <c r="B1333" s="165" t="s">
        <v>2100</v>
      </c>
      <c r="C1333" s="165">
        <v>5000</v>
      </c>
      <c r="D1333" s="228"/>
      <c r="E1333" s="228"/>
      <c r="F1333" s="228">
        <v>0</v>
      </c>
      <c r="G1333" s="228">
        <v>0</v>
      </c>
      <c r="H1333" s="228"/>
      <c r="I1333" s="228"/>
      <c r="J1333" s="228"/>
      <c r="K1333" s="228"/>
      <c r="L1333" s="228"/>
      <c r="M1333" s="228"/>
      <c r="N1333" s="228"/>
      <c r="O1333" s="228"/>
      <c r="P1333" s="228">
        <v>0</v>
      </c>
      <c r="Q1333" s="228">
        <v>0</v>
      </c>
    </row>
    <row r="1334" spans="2:17">
      <c r="B1334" s="165" t="s">
        <v>2115</v>
      </c>
      <c r="C1334" s="165">
        <v>8000</v>
      </c>
      <c r="D1334" s="228"/>
      <c r="E1334" s="228"/>
      <c r="F1334" s="228">
        <v>0</v>
      </c>
      <c r="G1334" s="228">
        <v>0</v>
      </c>
      <c r="H1334" s="228"/>
      <c r="I1334" s="228"/>
      <c r="J1334" s="228"/>
      <c r="K1334" s="228"/>
      <c r="L1334" s="228"/>
      <c r="M1334" s="228"/>
      <c r="N1334" s="228"/>
      <c r="O1334" s="228"/>
      <c r="P1334" s="228">
        <v>0</v>
      </c>
      <c r="Q1334" s="228">
        <v>0</v>
      </c>
    </row>
    <row r="1335" spans="2:17">
      <c r="C1335" s="165">
        <v>8063</v>
      </c>
      <c r="D1335" s="228"/>
      <c r="E1335" s="228"/>
      <c r="F1335" s="228">
        <v>0</v>
      </c>
      <c r="G1335" s="228">
        <v>0</v>
      </c>
      <c r="H1335" s="228"/>
      <c r="I1335" s="228"/>
      <c r="J1335" s="228"/>
      <c r="K1335" s="228"/>
      <c r="L1335" s="228"/>
      <c r="M1335" s="228"/>
      <c r="N1335" s="228"/>
      <c r="O1335" s="228"/>
      <c r="P1335" s="228">
        <v>0</v>
      </c>
      <c r="Q1335" s="228">
        <v>0</v>
      </c>
    </row>
    <row r="1336" spans="2:17">
      <c r="C1336" s="165">
        <v>8088</v>
      </c>
      <c r="D1336" s="228"/>
      <c r="E1336" s="228"/>
      <c r="F1336" s="228">
        <v>0</v>
      </c>
      <c r="G1336" s="228">
        <v>0</v>
      </c>
      <c r="H1336" s="228">
        <v>2800</v>
      </c>
      <c r="I1336" s="228">
        <v>22646400</v>
      </c>
      <c r="J1336" s="228"/>
      <c r="K1336" s="228"/>
      <c r="L1336" s="228"/>
      <c r="M1336" s="228"/>
      <c r="N1336" s="228"/>
      <c r="O1336" s="228"/>
      <c r="P1336" s="228">
        <v>2800</v>
      </c>
      <c r="Q1336" s="228">
        <v>22646400</v>
      </c>
    </row>
    <row r="1337" spans="2:17">
      <c r="C1337" s="165">
        <v>8200</v>
      </c>
      <c r="D1337" s="228"/>
      <c r="E1337" s="228"/>
      <c r="F1337" s="228"/>
      <c r="G1337" s="228"/>
      <c r="H1337" s="228">
        <v>4000</v>
      </c>
      <c r="I1337" s="228">
        <v>32800000</v>
      </c>
      <c r="J1337" s="228"/>
      <c r="K1337" s="228"/>
      <c r="L1337" s="228"/>
      <c r="M1337" s="228"/>
      <c r="N1337" s="228"/>
      <c r="O1337" s="228"/>
      <c r="P1337" s="228">
        <v>4000</v>
      </c>
      <c r="Q1337" s="228">
        <v>32800000</v>
      </c>
    </row>
    <row r="1338" spans="2:17">
      <c r="B1338" s="165" t="s">
        <v>2022</v>
      </c>
      <c r="C1338" s="165">
        <v>8063</v>
      </c>
      <c r="D1338" s="228"/>
      <c r="E1338" s="228"/>
      <c r="F1338" s="228">
        <v>0</v>
      </c>
      <c r="G1338" s="228">
        <v>0</v>
      </c>
      <c r="H1338" s="228"/>
      <c r="I1338" s="228"/>
      <c r="J1338" s="228"/>
      <c r="K1338" s="228"/>
      <c r="L1338" s="228"/>
      <c r="M1338" s="228"/>
      <c r="N1338" s="228"/>
      <c r="O1338" s="228"/>
      <c r="P1338" s="228">
        <v>0</v>
      </c>
      <c r="Q1338" s="228">
        <v>0</v>
      </c>
    </row>
    <row r="1339" spans="2:17">
      <c r="C1339" s="165">
        <v>8200</v>
      </c>
      <c r="D1339" s="228"/>
      <c r="E1339" s="228"/>
      <c r="F1339" s="228"/>
      <c r="G1339" s="228"/>
      <c r="H1339" s="228">
        <v>4000</v>
      </c>
      <c r="I1339" s="228">
        <v>32800000</v>
      </c>
      <c r="J1339" s="228"/>
      <c r="K1339" s="228"/>
      <c r="L1339" s="228"/>
      <c r="M1339" s="228"/>
      <c r="N1339" s="228"/>
      <c r="O1339" s="228"/>
      <c r="P1339" s="228">
        <v>4000</v>
      </c>
      <c r="Q1339" s="228">
        <v>32800000</v>
      </c>
    </row>
    <row r="1340" spans="2:17">
      <c r="B1340" s="165" t="s">
        <v>2128</v>
      </c>
      <c r="C1340" s="165">
        <v>4100</v>
      </c>
      <c r="D1340" s="228"/>
      <c r="E1340" s="228"/>
      <c r="F1340" s="228"/>
      <c r="G1340" s="228"/>
      <c r="H1340" s="228"/>
      <c r="I1340" s="228"/>
      <c r="J1340" s="228">
        <v>1800</v>
      </c>
      <c r="K1340" s="228">
        <v>7380000</v>
      </c>
      <c r="L1340" s="228"/>
      <c r="M1340" s="228"/>
      <c r="N1340" s="228"/>
      <c r="O1340" s="228"/>
      <c r="P1340" s="228">
        <v>1800</v>
      </c>
      <c r="Q1340" s="228">
        <v>7380000</v>
      </c>
    </row>
    <row r="1341" spans="2:17">
      <c r="B1341" s="165" t="s">
        <v>2148</v>
      </c>
      <c r="C1341" s="165">
        <v>7200</v>
      </c>
      <c r="D1341" s="228"/>
      <c r="E1341" s="228"/>
      <c r="F1341" s="228"/>
      <c r="G1341" s="228"/>
      <c r="H1341" s="228"/>
      <c r="I1341" s="228"/>
      <c r="J1341" s="228">
        <v>600</v>
      </c>
      <c r="K1341" s="228">
        <v>4320000</v>
      </c>
      <c r="L1341" s="228"/>
      <c r="M1341" s="228"/>
      <c r="N1341" s="228"/>
      <c r="O1341" s="228"/>
      <c r="P1341" s="228">
        <v>600</v>
      </c>
      <c r="Q1341" s="228">
        <v>4320000</v>
      </c>
    </row>
    <row r="1342" spans="2:17">
      <c r="B1342" s="165" t="s">
        <v>2149</v>
      </c>
      <c r="C1342" s="165">
        <v>10900</v>
      </c>
      <c r="D1342" s="228"/>
      <c r="E1342" s="228"/>
      <c r="F1342" s="228"/>
      <c r="G1342" s="228"/>
      <c r="H1342" s="228"/>
      <c r="I1342" s="228"/>
      <c r="J1342" s="228"/>
      <c r="K1342" s="228"/>
      <c r="L1342" s="228">
        <v>10000</v>
      </c>
      <c r="M1342" s="228">
        <v>109000000</v>
      </c>
      <c r="N1342" s="228"/>
      <c r="O1342" s="228"/>
      <c r="P1342" s="228">
        <v>10000</v>
      </c>
      <c r="Q1342" s="228">
        <v>109000000</v>
      </c>
    </row>
    <row r="1343" spans="2:17">
      <c r="B1343" s="165" t="s">
        <v>2169</v>
      </c>
      <c r="C1343" s="165">
        <v>4600</v>
      </c>
      <c r="D1343" s="228"/>
      <c r="E1343" s="228"/>
      <c r="F1343" s="228">
        <v>0</v>
      </c>
      <c r="G1343" s="228">
        <v>0</v>
      </c>
      <c r="H1343" s="228"/>
      <c r="I1343" s="228"/>
      <c r="J1343" s="228"/>
      <c r="K1343" s="228"/>
      <c r="L1343" s="228"/>
      <c r="M1343" s="228"/>
      <c r="N1343" s="228"/>
      <c r="O1343" s="228"/>
      <c r="P1343" s="228">
        <v>0</v>
      </c>
      <c r="Q1343" s="228">
        <v>0</v>
      </c>
    </row>
    <row r="1344" spans="2:17">
      <c r="C1344" s="165">
        <v>4700</v>
      </c>
      <c r="D1344" s="228"/>
      <c r="E1344" s="228"/>
      <c r="F1344" s="228">
        <v>0</v>
      </c>
      <c r="G1344" s="228">
        <v>0</v>
      </c>
      <c r="H1344" s="228"/>
      <c r="I1344" s="228"/>
      <c r="J1344" s="228"/>
      <c r="K1344" s="228"/>
      <c r="L1344" s="228"/>
      <c r="M1344" s="228"/>
      <c r="N1344" s="228"/>
      <c r="O1344" s="228"/>
      <c r="P1344" s="228">
        <v>0</v>
      </c>
      <c r="Q1344" s="228">
        <v>0</v>
      </c>
    </row>
    <row r="1345" spans="1:17">
      <c r="C1345" s="165">
        <v>4800</v>
      </c>
      <c r="D1345" s="228">
        <v>0</v>
      </c>
      <c r="E1345" s="228">
        <v>0</v>
      </c>
      <c r="F1345" s="228"/>
      <c r="G1345" s="228"/>
      <c r="H1345" s="228">
        <v>9900</v>
      </c>
      <c r="I1345" s="228">
        <v>47520000</v>
      </c>
      <c r="J1345" s="228"/>
      <c r="K1345" s="228"/>
      <c r="L1345" s="228"/>
      <c r="M1345" s="228"/>
      <c r="N1345" s="228"/>
      <c r="O1345" s="228"/>
      <c r="P1345" s="228">
        <v>9900</v>
      </c>
      <c r="Q1345" s="228">
        <v>47520000</v>
      </c>
    </row>
    <row r="1346" spans="1:17">
      <c r="C1346" s="165">
        <v>5000</v>
      </c>
      <c r="D1346" s="228"/>
      <c r="E1346" s="228"/>
      <c r="F1346" s="228"/>
      <c r="G1346" s="228"/>
      <c r="H1346" s="228">
        <v>10200</v>
      </c>
      <c r="I1346" s="228">
        <v>51000000</v>
      </c>
      <c r="J1346" s="228"/>
      <c r="K1346" s="228"/>
      <c r="L1346" s="228">
        <v>30000</v>
      </c>
      <c r="M1346" s="228">
        <v>150000000</v>
      </c>
      <c r="N1346" s="228"/>
      <c r="O1346" s="228"/>
      <c r="P1346" s="228">
        <v>40200</v>
      </c>
      <c r="Q1346" s="228">
        <v>201000000</v>
      </c>
    </row>
    <row r="1347" spans="1:17">
      <c r="B1347" s="165" t="s">
        <v>2170</v>
      </c>
      <c r="C1347" s="165">
        <v>9200</v>
      </c>
      <c r="D1347" s="228"/>
      <c r="E1347" s="228"/>
      <c r="F1347" s="228"/>
      <c r="G1347" s="228"/>
      <c r="H1347" s="228"/>
      <c r="I1347" s="228"/>
      <c r="J1347" s="228"/>
      <c r="K1347" s="228"/>
      <c r="L1347" s="228">
        <v>20000</v>
      </c>
      <c r="M1347" s="228">
        <v>184000000</v>
      </c>
      <c r="N1347" s="228"/>
      <c r="O1347" s="228"/>
      <c r="P1347" s="228">
        <v>20000</v>
      </c>
      <c r="Q1347" s="228">
        <v>184000000</v>
      </c>
    </row>
    <row r="1348" spans="1:17">
      <c r="B1348" s="165" t="s">
        <v>2173</v>
      </c>
      <c r="C1348" s="165">
        <v>8088</v>
      </c>
      <c r="D1348" s="228"/>
      <c r="E1348" s="228"/>
      <c r="F1348" s="228">
        <v>0</v>
      </c>
      <c r="G1348" s="228">
        <v>0</v>
      </c>
      <c r="H1348" s="228"/>
      <c r="I1348" s="228"/>
      <c r="J1348" s="228"/>
      <c r="K1348" s="228"/>
      <c r="L1348" s="228"/>
      <c r="M1348" s="228"/>
      <c r="N1348" s="228"/>
      <c r="O1348" s="228"/>
      <c r="P1348" s="228">
        <v>0</v>
      </c>
      <c r="Q1348" s="228">
        <v>0</v>
      </c>
    </row>
    <row r="1349" spans="1:17">
      <c r="B1349" s="165" t="s">
        <v>2178</v>
      </c>
      <c r="C1349" s="165">
        <v>8000</v>
      </c>
      <c r="D1349" s="228"/>
      <c r="E1349" s="228"/>
      <c r="F1349" s="228">
        <v>0</v>
      </c>
      <c r="G1349" s="228">
        <v>0</v>
      </c>
      <c r="H1349" s="228"/>
      <c r="I1349" s="228"/>
      <c r="J1349" s="228"/>
      <c r="K1349" s="228"/>
      <c r="L1349" s="228"/>
      <c r="M1349" s="228"/>
      <c r="N1349" s="228"/>
      <c r="O1349" s="228"/>
      <c r="P1349" s="228">
        <v>0</v>
      </c>
      <c r="Q1349" s="228">
        <v>0</v>
      </c>
    </row>
    <row r="1350" spans="1:17">
      <c r="C1350" s="165">
        <v>8063</v>
      </c>
      <c r="D1350" s="228"/>
      <c r="E1350" s="228"/>
      <c r="F1350" s="228">
        <v>0</v>
      </c>
      <c r="G1350" s="228">
        <v>0</v>
      </c>
      <c r="H1350" s="228"/>
      <c r="I1350" s="228"/>
      <c r="J1350" s="228"/>
      <c r="K1350" s="228"/>
      <c r="L1350" s="228"/>
      <c r="M1350" s="228"/>
      <c r="N1350" s="228"/>
      <c r="O1350" s="228"/>
      <c r="P1350" s="228">
        <v>0</v>
      </c>
      <c r="Q1350" s="228">
        <v>0</v>
      </c>
    </row>
    <row r="1351" spans="1:17">
      <c r="C1351" s="165">
        <v>8088</v>
      </c>
      <c r="D1351" s="228"/>
      <c r="E1351" s="228"/>
      <c r="F1351" s="228">
        <v>0</v>
      </c>
      <c r="G1351" s="228">
        <v>0</v>
      </c>
      <c r="H1351" s="228"/>
      <c r="I1351" s="228"/>
      <c r="J1351" s="228"/>
      <c r="K1351" s="228"/>
      <c r="L1351" s="228"/>
      <c r="M1351" s="228"/>
      <c r="N1351" s="228"/>
      <c r="O1351" s="228"/>
      <c r="P1351" s="228">
        <v>0</v>
      </c>
      <c r="Q1351" s="228">
        <v>0</v>
      </c>
    </row>
    <row r="1352" spans="1:17">
      <c r="C1352" s="165">
        <v>8200</v>
      </c>
      <c r="D1352" s="228"/>
      <c r="E1352" s="228"/>
      <c r="F1352" s="228"/>
      <c r="G1352" s="228"/>
      <c r="H1352" s="228">
        <v>4000</v>
      </c>
      <c r="I1352" s="228">
        <v>32800000</v>
      </c>
      <c r="J1352" s="228"/>
      <c r="K1352" s="228"/>
      <c r="L1352" s="228"/>
      <c r="M1352" s="228"/>
      <c r="N1352" s="228"/>
      <c r="O1352" s="228"/>
      <c r="P1352" s="228">
        <v>4000</v>
      </c>
      <c r="Q1352" s="228">
        <v>32800000</v>
      </c>
    </row>
    <row r="1353" spans="1:17">
      <c r="B1353" s="165" t="s">
        <v>2186</v>
      </c>
      <c r="C1353" s="165">
        <v>2600</v>
      </c>
      <c r="D1353" s="228"/>
      <c r="E1353" s="228"/>
      <c r="F1353" s="228">
        <v>0</v>
      </c>
      <c r="G1353" s="228">
        <v>0</v>
      </c>
      <c r="H1353" s="228"/>
      <c r="I1353" s="228"/>
      <c r="J1353" s="228"/>
      <c r="K1353" s="228"/>
      <c r="L1353" s="228"/>
      <c r="M1353" s="228"/>
      <c r="N1353" s="228"/>
      <c r="O1353" s="228"/>
      <c r="P1353" s="228">
        <v>0</v>
      </c>
      <c r="Q1353" s="228">
        <v>0</v>
      </c>
    </row>
    <row r="1354" spans="1:17">
      <c r="C1354" s="165">
        <v>2700</v>
      </c>
      <c r="D1354" s="228">
        <v>0</v>
      </c>
      <c r="E1354" s="228">
        <v>0</v>
      </c>
      <c r="F1354" s="228">
        <v>0</v>
      </c>
      <c r="G1354" s="228">
        <v>0</v>
      </c>
      <c r="H1354" s="228"/>
      <c r="I1354" s="228"/>
      <c r="J1354" s="228">
        <v>2000</v>
      </c>
      <c r="K1354" s="228">
        <v>5400000</v>
      </c>
      <c r="L1354" s="228"/>
      <c r="M1354" s="228"/>
      <c r="N1354" s="228"/>
      <c r="O1354" s="228"/>
      <c r="P1354" s="228">
        <v>2000</v>
      </c>
      <c r="Q1354" s="228">
        <v>5400000</v>
      </c>
    </row>
    <row r="1355" spans="1:17">
      <c r="C1355" s="165">
        <v>2800</v>
      </c>
      <c r="D1355" s="228"/>
      <c r="E1355" s="228"/>
      <c r="F1355" s="228"/>
      <c r="G1355" s="228"/>
      <c r="H1355" s="228"/>
      <c r="I1355" s="228"/>
      <c r="J1355" s="228"/>
      <c r="K1355" s="228"/>
      <c r="L1355" s="228">
        <v>14000</v>
      </c>
      <c r="M1355" s="228">
        <v>39200000</v>
      </c>
      <c r="N1355" s="228"/>
      <c r="O1355" s="228"/>
      <c r="P1355" s="228">
        <v>14000</v>
      </c>
      <c r="Q1355" s="228">
        <v>39200000</v>
      </c>
    </row>
    <row r="1356" spans="1:17">
      <c r="B1356" s="165" t="s">
        <v>2189</v>
      </c>
      <c r="C1356" s="165">
        <v>3800</v>
      </c>
      <c r="D1356" s="228"/>
      <c r="E1356" s="228"/>
      <c r="F1356" s="228">
        <v>0</v>
      </c>
      <c r="G1356" s="228">
        <v>0</v>
      </c>
      <c r="H1356" s="228"/>
      <c r="I1356" s="228"/>
      <c r="J1356" s="228"/>
      <c r="K1356" s="228"/>
      <c r="L1356" s="228"/>
      <c r="M1356" s="228"/>
      <c r="N1356" s="228"/>
      <c r="O1356" s="228"/>
      <c r="P1356" s="228">
        <v>0</v>
      </c>
      <c r="Q1356" s="228">
        <v>0</v>
      </c>
    </row>
    <row r="1357" spans="1:17">
      <c r="A1357" s="165" t="s">
        <v>2309</v>
      </c>
      <c r="B1357" s="165"/>
      <c r="C1357" s="165"/>
      <c r="D1357" s="228">
        <v>0</v>
      </c>
      <c r="E1357" s="228">
        <v>0</v>
      </c>
      <c r="F1357" s="228">
        <v>0</v>
      </c>
      <c r="G1357" s="228">
        <v>0</v>
      </c>
      <c r="H1357" s="228">
        <v>34900</v>
      </c>
      <c r="I1357" s="228">
        <v>219566400</v>
      </c>
      <c r="J1357" s="228">
        <v>30500</v>
      </c>
      <c r="K1357" s="228">
        <v>155781600</v>
      </c>
      <c r="L1357" s="228">
        <v>74000</v>
      </c>
      <c r="M1357" s="228">
        <v>482200000</v>
      </c>
      <c r="N1357" s="228"/>
      <c r="O1357" s="228"/>
      <c r="P1357" s="228">
        <v>139400</v>
      </c>
      <c r="Q1357" s="228">
        <v>857548000</v>
      </c>
    </row>
    <row r="1358" spans="1:17">
      <c r="A1358" s="165" t="s">
        <v>507</v>
      </c>
      <c r="B1358" s="165" t="s">
        <v>2169</v>
      </c>
      <c r="C1358" s="165">
        <v>4800</v>
      </c>
      <c r="D1358" s="228"/>
      <c r="E1358" s="228"/>
      <c r="F1358" s="228">
        <v>0</v>
      </c>
      <c r="G1358" s="228">
        <v>0</v>
      </c>
      <c r="H1358" s="228"/>
      <c r="I1358" s="228"/>
      <c r="J1358" s="228"/>
      <c r="K1358" s="228"/>
      <c r="L1358" s="228"/>
      <c r="M1358" s="228"/>
      <c r="N1358" s="228"/>
      <c r="O1358" s="228"/>
      <c r="P1358" s="228">
        <v>0</v>
      </c>
      <c r="Q1358" s="228">
        <v>0</v>
      </c>
    </row>
    <row r="1359" spans="1:17">
      <c r="B1359" s="165" t="s">
        <v>2188</v>
      </c>
      <c r="C1359" s="165">
        <v>4000</v>
      </c>
      <c r="D1359" s="228"/>
      <c r="E1359" s="228"/>
      <c r="F1359" s="228">
        <v>0</v>
      </c>
      <c r="G1359" s="228">
        <v>0</v>
      </c>
      <c r="H1359" s="228"/>
      <c r="I1359" s="228"/>
      <c r="J1359" s="228"/>
      <c r="K1359" s="228"/>
      <c r="L1359" s="228"/>
      <c r="M1359" s="228"/>
      <c r="N1359" s="228"/>
      <c r="O1359" s="228"/>
      <c r="P1359" s="228">
        <v>0</v>
      </c>
      <c r="Q1359" s="228">
        <v>0</v>
      </c>
    </row>
    <row r="1360" spans="1:17">
      <c r="A1360" s="165" t="s">
        <v>2310</v>
      </c>
      <c r="B1360" s="165"/>
      <c r="C1360" s="165"/>
      <c r="D1360" s="228"/>
      <c r="E1360" s="228"/>
      <c r="F1360" s="228">
        <v>0</v>
      </c>
      <c r="G1360" s="228">
        <v>0</v>
      </c>
      <c r="H1360" s="228"/>
      <c r="I1360" s="228"/>
      <c r="J1360" s="228"/>
      <c r="K1360" s="228"/>
      <c r="L1360" s="228"/>
      <c r="M1360" s="228"/>
      <c r="N1360" s="228"/>
      <c r="O1360" s="228"/>
      <c r="P1360" s="228">
        <v>0</v>
      </c>
      <c r="Q1360" s="228">
        <v>0</v>
      </c>
    </row>
    <row r="1361" spans="1:17">
      <c r="A1361" s="165" t="s">
        <v>276</v>
      </c>
      <c r="B1361" s="165" t="s">
        <v>2008</v>
      </c>
      <c r="C1361" s="165">
        <v>4600</v>
      </c>
      <c r="D1361" s="228"/>
      <c r="E1361" s="228"/>
      <c r="F1361" s="228">
        <v>0</v>
      </c>
      <c r="G1361" s="228">
        <v>0</v>
      </c>
      <c r="H1361" s="228"/>
      <c r="I1361" s="228"/>
      <c r="J1361" s="228"/>
      <c r="K1361" s="228"/>
      <c r="L1361" s="228"/>
      <c r="M1361" s="228"/>
      <c r="N1361" s="228"/>
      <c r="O1361" s="228"/>
      <c r="P1361" s="228">
        <v>0</v>
      </c>
      <c r="Q1361" s="228">
        <v>0</v>
      </c>
    </row>
    <row r="1362" spans="1:17">
      <c r="B1362" s="165" t="s">
        <v>2063</v>
      </c>
      <c r="C1362" s="165">
        <v>12500</v>
      </c>
      <c r="D1362" s="228"/>
      <c r="E1362" s="228"/>
      <c r="F1362" s="228"/>
      <c r="G1362" s="228"/>
      <c r="H1362" s="228"/>
      <c r="I1362" s="228"/>
      <c r="J1362" s="228"/>
      <c r="K1362" s="228"/>
      <c r="L1362" s="228">
        <v>10000</v>
      </c>
      <c r="M1362" s="228">
        <v>125000000</v>
      </c>
      <c r="N1362" s="228"/>
      <c r="O1362" s="228"/>
      <c r="P1362" s="228">
        <v>10000</v>
      </c>
      <c r="Q1362" s="228">
        <v>125000000</v>
      </c>
    </row>
    <row r="1363" spans="1:17">
      <c r="B1363" s="165" t="s">
        <v>2137</v>
      </c>
      <c r="C1363" s="165">
        <v>14200</v>
      </c>
      <c r="D1363" s="228"/>
      <c r="E1363" s="228"/>
      <c r="F1363" s="228"/>
      <c r="G1363" s="228"/>
      <c r="H1363" s="228"/>
      <c r="I1363" s="228"/>
      <c r="J1363" s="228"/>
      <c r="K1363" s="228"/>
      <c r="L1363" s="228">
        <v>6000</v>
      </c>
      <c r="M1363" s="228">
        <v>85200000</v>
      </c>
      <c r="N1363" s="228"/>
      <c r="O1363" s="228"/>
      <c r="P1363" s="228">
        <v>6000</v>
      </c>
      <c r="Q1363" s="228">
        <v>85200000</v>
      </c>
    </row>
    <row r="1364" spans="1:17">
      <c r="B1364" s="165" t="s">
        <v>2144</v>
      </c>
      <c r="C1364" s="165">
        <v>12500</v>
      </c>
      <c r="D1364" s="228"/>
      <c r="E1364" s="228"/>
      <c r="F1364" s="228"/>
      <c r="G1364" s="228"/>
      <c r="H1364" s="228"/>
      <c r="I1364" s="228"/>
      <c r="J1364" s="228"/>
      <c r="K1364" s="228"/>
      <c r="L1364" s="228">
        <v>6000</v>
      </c>
      <c r="M1364" s="228">
        <v>75000000</v>
      </c>
      <c r="N1364" s="228"/>
      <c r="O1364" s="228"/>
      <c r="P1364" s="228">
        <v>6000</v>
      </c>
      <c r="Q1364" s="228">
        <v>75000000</v>
      </c>
    </row>
    <row r="1365" spans="1:17">
      <c r="A1365" s="165" t="s">
        <v>2311</v>
      </c>
      <c r="B1365" s="165"/>
      <c r="C1365" s="165"/>
      <c r="D1365" s="228"/>
      <c r="E1365" s="228"/>
      <c r="F1365" s="228">
        <v>0</v>
      </c>
      <c r="G1365" s="228">
        <v>0</v>
      </c>
      <c r="H1365" s="228"/>
      <c r="I1365" s="228"/>
      <c r="J1365" s="228"/>
      <c r="K1365" s="228"/>
      <c r="L1365" s="228">
        <v>22000</v>
      </c>
      <c r="M1365" s="228">
        <v>285200000</v>
      </c>
      <c r="N1365" s="228"/>
      <c r="O1365" s="228"/>
      <c r="P1365" s="228">
        <v>22000</v>
      </c>
      <c r="Q1365" s="228">
        <v>285200000</v>
      </c>
    </row>
    <row r="1366" spans="1:17">
      <c r="A1366" s="165" t="s">
        <v>100</v>
      </c>
      <c r="B1366" s="165" t="s">
        <v>2038</v>
      </c>
      <c r="C1366" s="165">
        <v>4500</v>
      </c>
      <c r="D1366" s="228"/>
      <c r="E1366" s="228"/>
      <c r="F1366" s="228">
        <v>0</v>
      </c>
      <c r="G1366" s="228">
        <v>0</v>
      </c>
      <c r="H1366" s="228"/>
      <c r="I1366" s="228"/>
      <c r="J1366" s="228"/>
      <c r="K1366" s="228"/>
      <c r="L1366" s="228"/>
      <c r="M1366" s="228"/>
      <c r="N1366" s="228"/>
      <c r="O1366" s="228"/>
      <c r="P1366" s="228">
        <v>0</v>
      </c>
      <c r="Q1366" s="228">
        <v>0</v>
      </c>
    </row>
    <row r="1367" spans="1:17">
      <c r="B1367" s="165" t="s">
        <v>2008</v>
      </c>
      <c r="C1367" s="165">
        <v>6300</v>
      </c>
      <c r="D1367" s="228"/>
      <c r="E1367" s="228"/>
      <c r="F1367" s="228">
        <v>0</v>
      </c>
      <c r="G1367" s="228">
        <v>0</v>
      </c>
      <c r="H1367" s="228"/>
      <c r="I1367" s="228"/>
      <c r="J1367" s="228"/>
      <c r="K1367" s="228"/>
      <c r="L1367" s="228"/>
      <c r="M1367" s="228"/>
      <c r="N1367" s="228"/>
      <c r="O1367" s="228"/>
      <c r="P1367" s="228">
        <v>0</v>
      </c>
      <c r="Q1367" s="228">
        <v>0</v>
      </c>
    </row>
    <row r="1368" spans="1:17">
      <c r="B1368" s="165" t="s">
        <v>2011</v>
      </c>
      <c r="C1368" s="165">
        <v>10500</v>
      </c>
      <c r="D1368" s="228"/>
      <c r="E1368" s="228"/>
      <c r="F1368" s="228"/>
      <c r="G1368" s="228"/>
      <c r="H1368" s="228"/>
      <c r="I1368" s="228"/>
      <c r="J1368" s="228"/>
      <c r="K1368" s="228"/>
      <c r="L1368" s="228">
        <v>15000</v>
      </c>
      <c r="M1368" s="228">
        <v>157500000</v>
      </c>
      <c r="N1368" s="228"/>
      <c r="O1368" s="228"/>
      <c r="P1368" s="228">
        <v>15000</v>
      </c>
      <c r="Q1368" s="228">
        <v>157500000</v>
      </c>
    </row>
    <row r="1369" spans="1:17">
      <c r="B1369" s="165" t="s">
        <v>1872</v>
      </c>
      <c r="C1369" s="165">
        <v>6500</v>
      </c>
      <c r="D1369" s="228"/>
      <c r="E1369" s="228"/>
      <c r="F1369" s="228">
        <v>0</v>
      </c>
      <c r="G1369" s="228">
        <v>0</v>
      </c>
      <c r="H1369" s="228"/>
      <c r="I1369" s="228"/>
      <c r="J1369" s="228"/>
      <c r="K1369" s="228"/>
      <c r="L1369" s="228"/>
      <c r="M1369" s="228"/>
      <c r="N1369" s="228"/>
      <c r="O1369" s="228"/>
      <c r="P1369" s="228">
        <v>0</v>
      </c>
      <c r="Q1369" s="228">
        <v>0</v>
      </c>
    </row>
    <row r="1370" spans="1:17">
      <c r="B1370" s="165" t="s">
        <v>2015</v>
      </c>
      <c r="C1370" s="165">
        <v>10500</v>
      </c>
      <c r="D1370" s="228"/>
      <c r="E1370" s="228"/>
      <c r="F1370" s="228"/>
      <c r="G1370" s="228"/>
      <c r="H1370" s="228"/>
      <c r="I1370" s="228"/>
      <c r="J1370" s="228"/>
      <c r="K1370" s="228"/>
      <c r="L1370" s="228">
        <v>15000</v>
      </c>
      <c r="M1370" s="228">
        <v>157500000</v>
      </c>
      <c r="N1370" s="228"/>
      <c r="O1370" s="228"/>
      <c r="P1370" s="228">
        <v>15000</v>
      </c>
      <c r="Q1370" s="228">
        <v>157500000</v>
      </c>
    </row>
    <row r="1371" spans="1:17">
      <c r="B1371" s="165" t="s">
        <v>2187</v>
      </c>
      <c r="C1371" s="165">
        <v>3000</v>
      </c>
      <c r="D1371" s="228"/>
      <c r="E1371" s="228"/>
      <c r="F1371" s="228">
        <v>0</v>
      </c>
      <c r="G1371" s="228">
        <v>0</v>
      </c>
      <c r="H1371" s="228"/>
      <c r="I1371" s="228"/>
      <c r="J1371" s="228"/>
      <c r="K1371" s="228"/>
      <c r="L1371" s="228"/>
      <c r="M1371" s="228"/>
      <c r="N1371" s="228"/>
      <c r="O1371" s="228"/>
      <c r="P1371" s="228">
        <v>0</v>
      </c>
      <c r="Q1371" s="228">
        <v>0</v>
      </c>
    </row>
    <row r="1372" spans="1:17">
      <c r="B1372" s="165" t="s">
        <v>2188</v>
      </c>
      <c r="C1372" s="165">
        <v>3800</v>
      </c>
      <c r="D1372" s="228"/>
      <c r="E1372" s="228"/>
      <c r="F1372" s="228">
        <v>0</v>
      </c>
      <c r="G1372" s="228">
        <v>0</v>
      </c>
      <c r="H1372" s="228"/>
      <c r="I1372" s="228"/>
      <c r="J1372" s="228"/>
      <c r="K1372" s="228"/>
      <c r="L1372" s="228"/>
      <c r="M1372" s="228"/>
      <c r="N1372" s="228"/>
      <c r="O1372" s="228"/>
      <c r="P1372" s="228">
        <v>0</v>
      </c>
      <c r="Q1372" s="228">
        <v>0</v>
      </c>
    </row>
    <row r="1373" spans="1:17">
      <c r="C1373" s="165">
        <v>4000</v>
      </c>
      <c r="D1373" s="228"/>
      <c r="E1373" s="228"/>
      <c r="F1373" s="228"/>
      <c r="G1373" s="228"/>
      <c r="H1373" s="228">
        <v>11400</v>
      </c>
      <c r="I1373" s="228">
        <v>45600000</v>
      </c>
      <c r="J1373" s="228"/>
      <c r="K1373" s="228"/>
      <c r="L1373" s="228"/>
      <c r="M1373" s="228"/>
      <c r="N1373" s="228"/>
      <c r="O1373" s="228"/>
      <c r="P1373" s="228">
        <v>11400</v>
      </c>
      <c r="Q1373" s="228">
        <v>45600000</v>
      </c>
    </row>
    <row r="1374" spans="1:17">
      <c r="A1374" s="165" t="s">
        <v>2312</v>
      </c>
      <c r="B1374" s="165"/>
      <c r="C1374" s="165"/>
      <c r="D1374" s="228"/>
      <c r="E1374" s="228"/>
      <c r="F1374" s="228">
        <v>0</v>
      </c>
      <c r="G1374" s="228">
        <v>0</v>
      </c>
      <c r="H1374" s="228">
        <v>11400</v>
      </c>
      <c r="I1374" s="228">
        <v>45600000</v>
      </c>
      <c r="J1374" s="228"/>
      <c r="K1374" s="228"/>
      <c r="L1374" s="228">
        <v>30000</v>
      </c>
      <c r="M1374" s="228">
        <v>315000000</v>
      </c>
      <c r="N1374" s="228"/>
      <c r="O1374" s="228"/>
      <c r="P1374" s="228">
        <v>41400</v>
      </c>
      <c r="Q1374" s="228">
        <v>360600000</v>
      </c>
    </row>
    <row r="1375" spans="1:17">
      <c r="A1375" s="165" t="s">
        <v>184</v>
      </c>
      <c r="B1375" s="165" t="s">
        <v>2011</v>
      </c>
      <c r="C1375" s="165">
        <v>10500</v>
      </c>
      <c r="D1375" s="228"/>
      <c r="E1375" s="228"/>
      <c r="F1375" s="228"/>
      <c r="G1375" s="228"/>
      <c r="H1375" s="228"/>
      <c r="I1375" s="228"/>
      <c r="J1375" s="228"/>
      <c r="K1375" s="228"/>
      <c r="L1375" s="228">
        <v>5000</v>
      </c>
      <c r="M1375" s="228">
        <v>52500000</v>
      </c>
      <c r="N1375" s="228"/>
      <c r="O1375" s="228"/>
      <c r="P1375" s="228">
        <v>5000</v>
      </c>
      <c r="Q1375" s="228">
        <v>52500000</v>
      </c>
    </row>
    <row r="1376" spans="1:17">
      <c r="B1376" s="165" t="s">
        <v>2069</v>
      </c>
      <c r="C1376" s="165">
        <v>14200</v>
      </c>
      <c r="D1376" s="228"/>
      <c r="E1376" s="228"/>
      <c r="F1376" s="228"/>
      <c r="G1376" s="228"/>
      <c r="H1376" s="228"/>
      <c r="I1376" s="228"/>
      <c r="J1376" s="228"/>
      <c r="K1376" s="228"/>
      <c r="L1376" s="228">
        <v>10000</v>
      </c>
      <c r="M1376" s="228">
        <v>142000000</v>
      </c>
      <c r="N1376" s="228"/>
      <c r="O1376" s="228"/>
      <c r="P1376" s="228">
        <v>10000</v>
      </c>
      <c r="Q1376" s="228">
        <v>142000000</v>
      </c>
    </row>
    <row r="1377" spans="1:17">
      <c r="B1377" s="165" t="s">
        <v>2107</v>
      </c>
      <c r="C1377" s="165">
        <v>16000</v>
      </c>
      <c r="D1377" s="228"/>
      <c r="E1377" s="228"/>
      <c r="F1377" s="228"/>
      <c r="G1377" s="228"/>
      <c r="H1377" s="228"/>
      <c r="I1377" s="228"/>
      <c r="J1377" s="228"/>
      <c r="K1377" s="228"/>
      <c r="L1377" s="228">
        <v>15000</v>
      </c>
      <c r="M1377" s="228">
        <v>240000000</v>
      </c>
      <c r="N1377" s="228"/>
      <c r="O1377" s="228"/>
      <c r="P1377" s="228">
        <v>15000</v>
      </c>
      <c r="Q1377" s="228">
        <v>240000000</v>
      </c>
    </row>
    <row r="1378" spans="1:17">
      <c r="B1378" s="165" t="s">
        <v>2161</v>
      </c>
      <c r="C1378" s="165">
        <v>5000</v>
      </c>
      <c r="D1378" s="228"/>
      <c r="E1378" s="228"/>
      <c r="F1378" s="228">
        <v>0</v>
      </c>
      <c r="G1378" s="228">
        <v>0</v>
      </c>
      <c r="H1378" s="228"/>
      <c r="I1378" s="228"/>
      <c r="J1378" s="228"/>
      <c r="K1378" s="228"/>
      <c r="L1378" s="228"/>
      <c r="M1378" s="228"/>
      <c r="N1378" s="228"/>
      <c r="O1378" s="228"/>
      <c r="P1378" s="228">
        <v>0</v>
      </c>
      <c r="Q1378" s="228">
        <v>0</v>
      </c>
    </row>
    <row r="1379" spans="1:17">
      <c r="B1379" s="165" t="s">
        <v>2163</v>
      </c>
      <c r="C1379" s="165">
        <v>5500</v>
      </c>
      <c r="D1379" s="228"/>
      <c r="E1379" s="228"/>
      <c r="F1379" s="228">
        <v>0</v>
      </c>
      <c r="G1379" s="228">
        <v>0</v>
      </c>
      <c r="H1379" s="228"/>
      <c r="I1379" s="228"/>
      <c r="J1379" s="228"/>
      <c r="K1379" s="228"/>
      <c r="L1379" s="228"/>
      <c r="M1379" s="228"/>
      <c r="N1379" s="228"/>
      <c r="O1379" s="228"/>
      <c r="P1379" s="228">
        <v>0</v>
      </c>
      <c r="Q1379" s="228">
        <v>0</v>
      </c>
    </row>
    <row r="1380" spans="1:17">
      <c r="B1380" s="165" t="s">
        <v>2176</v>
      </c>
      <c r="C1380" s="165">
        <v>4200</v>
      </c>
      <c r="D1380" s="228">
        <v>0</v>
      </c>
      <c r="E1380" s="228">
        <v>0</v>
      </c>
      <c r="F1380" s="228"/>
      <c r="G1380" s="228"/>
      <c r="H1380" s="228"/>
      <c r="I1380" s="228"/>
      <c r="J1380" s="228"/>
      <c r="K1380" s="228"/>
      <c r="L1380" s="228"/>
      <c r="M1380" s="228"/>
      <c r="N1380" s="228"/>
      <c r="O1380" s="228"/>
      <c r="P1380" s="228">
        <v>0</v>
      </c>
      <c r="Q1380" s="228">
        <v>0</v>
      </c>
    </row>
    <row r="1381" spans="1:17">
      <c r="B1381" s="165" t="s">
        <v>2188</v>
      </c>
      <c r="C1381" s="165">
        <v>3800</v>
      </c>
      <c r="D1381" s="228">
        <v>0</v>
      </c>
      <c r="E1381" s="228">
        <v>0</v>
      </c>
      <c r="F1381" s="228"/>
      <c r="G1381" s="228"/>
      <c r="H1381" s="228"/>
      <c r="I1381" s="228"/>
      <c r="J1381" s="228"/>
      <c r="K1381" s="228"/>
      <c r="L1381" s="228"/>
      <c r="M1381" s="228"/>
      <c r="N1381" s="228"/>
      <c r="O1381" s="228"/>
      <c r="P1381" s="228">
        <v>0</v>
      </c>
      <c r="Q1381" s="228">
        <v>0</v>
      </c>
    </row>
    <row r="1382" spans="1:17">
      <c r="B1382" s="165" t="s">
        <v>2190</v>
      </c>
      <c r="C1382" s="165">
        <v>5000</v>
      </c>
      <c r="D1382" s="228"/>
      <c r="E1382" s="228"/>
      <c r="F1382" s="228">
        <v>0</v>
      </c>
      <c r="G1382" s="228">
        <v>0</v>
      </c>
      <c r="H1382" s="228"/>
      <c r="I1382" s="228"/>
      <c r="J1382" s="228"/>
      <c r="K1382" s="228"/>
      <c r="L1382" s="228"/>
      <c r="M1382" s="228"/>
      <c r="N1382" s="228"/>
      <c r="O1382" s="228"/>
      <c r="P1382" s="228">
        <v>0</v>
      </c>
      <c r="Q1382" s="228">
        <v>0</v>
      </c>
    </row>
    <row r="1383" spans="1:17">
      <c r="A1383" s="165" t="s">
        <v>2313</v>
      </c>
      <c r="B1383" s="165"/>
      <c r="C1383" s="165"/>
      <c r="D1383" s="228">
        <v>0</v>
      </c>
      <c r="E1383" s="228">
        <v>0</v>
      </c>
      <c r="F1383" s="228">
        <v>0</v>
      </c>
      <c r="G1383" s="228">
        <v>0</v>
      </c>
      <c r="H1383" s="228"/>
      <c r="I1383" s="228"/>
      <c r="J1383" s="228"/>
      <c r="K1383" s="228"/>
      <c r="L1383" s="228">
        <v>30000</v>
      </c>
      <c r="M1383" s="228">
        <v>434500000</v>
      </c>
      <c r="N1383" s="228"/>
      <c r="O1383" s="228"/>
      <c r="P1383" s="228">
        <v>30000</v>
      </c>
      <c r="Q1383" s="228">
        <v>434500000</v>
      </c>
    </row>
    <row r="1384" spans="1:17">
      <c r="A1384" s="165" t="s">
        <v>477</v>
      </c>
      <c r="B1384" s="165" t="s">
        <v>2060</v>
      </c>
      <c r="C1384" s="165">
        <v>7200</v>
      </c>
      <c r="D1384" s="228"/>
      <c r="E1384" s="228"/>
      <c r="F1384" s="228"/>
      <c r="G1384" s="228"/>
      <c r="H1384" s="228"/>
      <c r="I1384" s="228"/>
      <c r="J1384" s="228"/>
      <c r="K1384" s="228"/>
      <c r="L1384" s="228">
        <v>2100</v>
      </c>
      <c r="M1384" s="228">
        <v>15120000</v>
      </c>
      <c r="N1384" s="228"/>
      <c r="O1384" s="228"/>
      <c r="P1384" s="228">
        <v>2100</v>
      </c>
      <c r="Q1384" s="228">
        <v>15120000</v>
      </c>
    </row>
    <row r="1385" spans="1:17">
      <c r="B1385" s="165" t="s">
        <v>2011</v>
      </c>
      <c r="C1385" s="165">
        <v>10500</v>
      </c>
      <c r="D1385" s="228"/>
      <c r="E1385" s="228"/>
      <c r="F1385" s="228"/>
      <c r="G1385" s="228"/>
      <c r="H1385" s="228"/>
      <c r="I1385" s="228"/>
      <c r="J1385" s="228"/>
      <c r="K1385" s="228"/>
      <c r="L1385" s="228">
        <v>9000</v>
      </c>
      <c r="M1385" s="228">
        <v>94500000</v>
      </c>
      <c r="N1385" s="228"/>
      <c r="O1385" s="228"/>
      <c r="P1385" s="228">
        <v>9000</v>
      </c>
      <c r="Q1385" s="228">
        <v>94500000</v>
      </c>
    </row>
    <row r="1386" spans="1:17">
      <c r="B1386" s="165" t="s">
        <v>2144</v>
      </c>
      <c r="C1386" s="165">
        <v>12500</v>
      </c>
      <c r="D1386" s="228"/>
      <c r="E1386" s="228"/>
      <c r="F1386" s="228"/>
      <c r="G1386" s="228"/>
      <c r="H1386" s="228"/>
      <c r="I1386" s="228"/>
      <c r="J1386" s="228"/>
      <c r="K1386" s="228"/>
      <c r="L1386" s="228">
        <v>6000</v>
      </c>
      <c r="M1386" s="228">
        <v>75000000</v>
      </c>
      <c r="N1386" s="228"/>
      <c r="O1386" s="228"/>
      <c r="P1386" s="228">
        <v>6000</v>
      </c>
      <c r="Q1386" s="228">
        <v>75000000</v>
      </c>
    </row>
    <row r="1387" spans="1:17">
      <c r="A1387" s="165" t="s">
        <v>2314</v>
      </c>
      <c r="B1387" s="165"/>
      <c r="C1387" s="165"/>
      <c r="D1387" s="228"/>
      <c r="E1387" s="228"/>
      <c r="F1387" s="228"/>
      <c r="G1387" s="228"/>
      <c r="H1387" s="228"/>
      <c r="I1387" s="228"/>
      <c r="J1387" s="228"/>
      <c r="K1387" s="228"/>
      <c r="L1387" s="228">
        <v>17100</v>
      </c>
      <c r="M1387" s="228">
        <v>184620000</v>
      </c>
      <c r="N1387" s="228"/>
      <c r="O1387" s="228"/>
      <c r="P1387" s="228">
        <v>17100</v>
      </c>
      <c r="Q1387" s="228">
        <v>184620000</v>
      </c>
    </row>
    <row r="1388" spans="1:17">
      <c r="A1388" s="165" t="s">
        <v>216</v>
      </c>
      <c r="B1388" s="165" t="s">
        <v>2033</v>
      </c>
      <c r="C1388" s="165">
        <v>5700</v>
      </c>
      <c r="D1388" s="228"/>
      <c r="E1388" s="228"/>
      <c r="F1388" s="228">
        <v>0</v>
      </c>
      <c r="G1388" s="228">
        <v>0</v>
      </c>
      <c r="H1388" s="228"/>
      <c r="I1388" s="228"/>
      <c r="J1388" s="228"/>
      <c r="K1388" s="228"/>
      <c r="L1388" s="228"/>
      <c r="M1388" s="228"/>
      <c r="N1388" s="228"/>
      <c r="O1388" s="228"/>
      <c r="P1388" s="228">
        <v>0</v>
      </c>
      <c r="Q1388" s="228">
        <v>0</v>
      </c>
    </row>
    <row r="1389" spans="1:17">
      <c r="B1389" s="165" t="s">
        <v>2008</v>
      </c>
      <c r="C1389" s="165">
        <v>4700</v>
      </c>
      <c r="D1389" s="228"/>
      <c r="E1389" s="228"/>
      <c r="F1389" s="228">
        <v>0</v>
      </c>
      <c r="G1389" s="228">
        <v>0</v>
      </c>
      <c r="H1389" s="228"/>
      <c r="I1389" s="228"/>
      <c r="J1389" s="228"/>
      <c r="K1389" s="228"/>
      <c r="L1389" s="228"/>
      <c r="M1389" s="228"/>
      <c r="N1389" s="228"/>
      <c r="O1389" s="228"/>
      <c r="P1389" s="228">
        <v>0</v>
      </c>
      <c r="Q1389" s="228">
        <v>0</v>
      </c>
    </row>
    <row r="1390" spans="1:17">
      <c r="C1390" s="165">
        <v>5000</v>
      </c>
      <c r="D1390" s="228"/>
      <c r="E1390" s="228"/>
      <c r="F1390" s="228">
        <v>0</v>
      </c>
      <c r="G1390" s="228">
        <v>0</v>
      </c>
      <c r="H1390" s="228"/>
      <c r="I1390" s="228"/>
      <c r="J1390" s="228">
        <v>5000</v>
      </c>
      <c r="K1390" s="228">
        <v>25000000</v>
      </c>
      <c r="L1390" s="228"/>
      <c r="M1390" s="228"/>
      <c r="N1390" s="228"/>
      <c r="O1390" s="228"/>
      <c r="P1390" s="228">
        <v>5000</v>
      </c>
      <c r="Q1390" s="228">
        <v>25000000</v>
      </c>
    </row>
    <row r="1391" spans="1:17">
      <c r="C1391" s="165">
        <v>5170</v>
      </c>
      <c r="D1391" s="228"/>
      <c r="E1391" s="228"/>
      <c r="F1391" s="228"/>
      <c r="G1391" s="228"/>
      <c r="H1391" s="228"/>
      <c r="I1391" s="228"/>
      <c r="J1391" s="228">
        <v>4000</v>
      </c>
      <c r="K1391" s="228">
        <v>20680000</v>
      </c>
      <c r="L1391" s="228"/>
      <c r="M1391" s="228"/>
      <c r="N1391" s="228"/>
      <c r="O1391" s="228"/>
      <c r="P1391" s="228">
        <v>4000</v>
      </c>
      <c r="Q1391" s="228">
        <v>20680000</v>
      </c>
    </row>
    <row r="1392" spans="1:17">
      <c r="B1392" s="165" t="s">
        <v>2060</v>
      </c>
      <c r="C1392" s="165">
        <v>7200</v>
      </c>
      <c r="D1392" s="228"/>
      <c r="E1392" s="228"/>
      <c r="F1392" s="228"/>
      <c r="G1392" s="228"/>
      <c r="H1392" s="228"/>
      <c r="I1392" s="228"/>
      <c r="J1392" s="228"/>
      <c r="K1392" s="228"/>
      <c r="L1392" s="228">
        <v>5100</v>
      </c>
      <c r="M1392" s="228">
        <v>36720000</v>
      </c>
      <c r="N1392" s="228"/>
      <c r="O1392" s="228"/>
      <c r="P1392" s="228">
        <v>5100</v>
      </c>
      <c r="Q1392" s="228">
        <v>36720000</v>
      </c>
    </row>
    <row r="1393" spans="1:17">
      <c r="B1393" s="165" t="s">
        <v>2011</v>
      </c>
      <c r="C1393" s="165">
        <v>10500</v>
      </c>
      <c r="D1393" s="228"/>
      <c r="E1393" s="228"/>
      <c r="F1393" s="228"/>
      <c r="G1393" s="228"/>
      <c r="H1393" s="228"/>
      <c r="I1393" s="228"/>
      <c r="J1393" s="228"/>
      <c r="K1393" s="228"/>
      <c r="L1393" s="228">
        <v>8000</v>
      </c>
      <c r="M1393" s="228">
        <v>84000000</v>
      </c>
      <c r="N1393" s="228"/>
      <c r="O1393" s="228"/>
      <c r="P1393" s="228">
        <v>8000</v>
      </c>
      <c r="Q1393" s="228">
        <v>84000000</v>
      </c>
    </row>
    <row r="1394" spans="1:17">
      <c r="B1394" s="165" t="s">
        <v>2063</v>
      </c>
      <c r="C1394" s="165">
        <v>12500</v>
      </c>
      <c r="D1394" s="228"/>
      <c r="E1394" s="228"/>
      <c r="F1394" s="228"/>
      <c r="G1394" s="228"/>
      <c r="H1394" s="228"/>
      <c r="I1394" s="228"/>
      <c r="J1394" s="228"/>
      <c r="K1394" s="228"/>
      <c r="L1394" s="228">
        <v>5000</v>
      </c>
      <c r="M1394" s="228">
        <v>62500000</v>
      </c>
      <c r="N1394" s="228"/>
      <c r="O1394" s="228"/>
      <c r="P1394" s="228">
        <v>5000</v>
      </c>
      <c r="Q1394" s="228">
        <v>62500000</v>
      </c>
    </row>
    <row r="1395" spans="1:17">
      <c r="B1395" s="165" t="s">
        <v>2129</v>
      </c>
      <c r="C1395" s="165">
        <v>5000</v>
      </c>
      <c r="D1395" s="228"/>
      <c r="E1395" s="228"/>
      <c r="F1395" s="228">
        <v>0</v>
      </c>
      <c r="G1395" s="228">
        <v>0</v>
      </c>
      <c r="H1395" s="228"/>
      <c r="I1395" s="228"/>
      <c r="J1395" s="228"/>
      <c r="K1395" s="228"/>
      <c r="L1395" s="228"/>
      <c r="M1395" s="228"/>
      <c r="N1395" s="228"/>
      <c r="O1395" s="228"/>
      <c r="P1395" s="228">
        <v>0</v>
      </c>
      <c r="Q1395" s="228">
        <v>0</v>
      </c>
    </row>
    <row r="1396" spans="1:17">
      <c r="B1396" s="165" t="s">
        <v>2130</v>
      </c>
      <c r="C1396" s="165">
        <v>5000</v>
      </c>
      <c r="D1396" s="228"/>
      <c r="E1396" s="228"/>
      <c r="F1396" s="228">
        <v>0</v>
      </c>
      <c r="G1396" s="228">
        <v>0</v>
      </c>
      <c r="H1396" s="228"/>
      <c r="I1396" s="228"/>
      <c r="J1396" s="228"/>
      <c r="K1396" s="228"/>
      <c r="L1396" s="228"/>
      <c r="M1396" s="228"/>
      <c r="N1396" s="228"/>
      <c r="O1396" s="228"/>
      <c r="P1396" s="228">
        <v>0</v>
      </c>
      <c r="Q1396" s="228">
        <v>0</v>
      </c>
    </row>
    <row r="1397" spans="1:17">
      <c r="B1397" s="165" t="s">
        <v>2131</v>
      </c>
      <c r="C1397" s="165">
        <v>5000</v>
      </c>
      <c r="D1397" s="228"/>
      <c r="E1397" s="228"/>
      <c r="F1397" s="228">
        <v>0</v>
      </c>
      <c r="G1397" s="228">
        <v>0</v>
      </c>
      <c r="H1397" s="228"/>
      <c r="I1397" s="228"/>
      <c r="J1397" s="228"/>
      <c r="K1397" s="228"/>
      <c r="L1397" s="228"/>
      <c r="M1397" s="228"/>
      <c r="N1397" s="228"/>
      <c r="O1397" s="228"/>
      <c r="P1397" s="228">
        <v>0</v>
      </c>
      <c r="Q1397" s="228">
        <v>0</v>
      </c>
    </row>
    <row r="1398" spans="1:17">
      <c r="B1398" s="165" t="s">
        <v>2136</v>
      </c>
      <c r="C1398" s="165">
        <v>13000</v>
      </c>
      <c r="D1398" s="228"/>
      <c r="E1398" s="228"/>
      <c r="F1398" s="228"/>
      <c r="G1398" s="228"/>
      <c r="H1398" s="228"/>
      <c r="I1398" s="228"/>
      <c r="J1398" s="228"/>
      <c r="K1398" s="228"/>
      <c r="L1398" s="228">
        <v>3000</v>
      </c>
      <c r="M1398" s="228">
        <v>39000000</v>
      </c>
      <c r="N1398" s="228"/>
      <c r="O1398" s="228"/>
      <c r="P1398" s="228">
        <v>3000</v>
      </c>
      <c r="Q1398" s="228">
        <v>39000000</v>
      </c>
    </row>
    <row r="1399" spans="1:17">
      <c r="B1399" s="165" t="s">
        <v>2009</v>
      </c>
      <c r="C1399" s="165">
        <v>4800</v>
      </c>
      <c r="D1399" s="228"/>
      <c r="E1399" s="228"/>
      <c r="F1399" s="228">
        <v>0</v>
      </c>
      <c r="G1399" s="228">
        <v>0</v>
      </c>
      <c r="H1399" s="228">
        <v>5000</v>
      </c>
      <c r="I1399" s="228">
        <v>24000000</v>
      </c>
      <c r="J1399" s="228"/>
      <c r="K1399" s="228"/>
      <c r="L1399" s="228"/>
      <c r="M1399" s="228"/>
      <c r="N1399" s="228"/>
      <c r="O1399" s="228"/>
      <c r="P1399" s="228">
        <v>5000</v>
      </c>
      <c r="Q1399" s="228">
        <v>24000000</v>
      </c>
    </row>
    <row r="1400" spans="1:17">
      <c r="C1400" s="165">
        <v>4970</v>
      </c>
      <c r="D1400" s="228"/>
      <c r="E1400" s="228"/>
      <c r="F1400" s="228"/>
      <c r="G1400" s="228"/>
      <c r="H1400" s="228"/>
      <c r="I1400" s="228"/>
      <c r="J1400" s="228">
        <v>4000</v>
      </c>
      <c r="K1400" s="228">
        <v>19880000</v>
      </c>
      <c r="L1400" s="228"/>
      <c r="M1400" s="228"/>
      <c r="N1400" s="228"/>
      <c r="O1400" s="228"/>
      <c r="P1400" s="228">
        <v>4000</v>
      </c>
      <c r="Q1400" s="228">
        <v>19880000</v>
      </c>
    </row>
    <row r="1401" spans="1:17">
      <c r="C1401" s="165">
        <v>5400</v>
      </c>
      <c r="D1401" s="228"/>
      <c r="E1401" s="228"/>
      <c r="F1401" s="228">
        <v>0</v>
      </c>
      <c r="G1401" s="228">
        <v>0</v>
      </c>
      <c r="H1401" s="228"/>
      <c r="I1401" s="228"/>
      <c r="J1401" s="228"/>
      <c r="K1401" s="228"/>
      <c r="L1401" s="228"/>
      <c r="M1401" s="228"/>
      <c r="N1401" s="228"/>
      <c r="O1401" s="228"/>
      <c r="P1401" s="228">
        <v>0</v>
      </c>
      <c r="Q1401" s="228">
        <v>0</v>
      </c>
    </row>
    <row r="1402" spans="1:17">
      <c r="B1402" s="165" t="s">
        <v>1872</v>
      </c>
      <c r="C1402" s="165">
        <v>7200</v>
      </c>
      <c r="D1402" s="228"/>
      <c r="E1402" s="228"/>
      <c r="F1402" s="228"/>
      <c r="G1402" s="228"/>
      <c r="H1402" s="228"/>
      <c r="I1402" s="228"/>
      <c r="J1402" s="228"/>
      <c r="K1402" s="228"/>
      <c r="L1402" s="228">
        <v>5100</v>
      </c>
      <c r="M1402" s="228">
        <v>36720000</v>
      </c>
      <c r="N1402" s="228"/>
      <c r="O1402" s="228"/>
      <c r="P1402" s="228">
        <v>5100</v>
      </c>
      <c r="Q1402" s="228">
        <v>36720000</v>
      </c>
    </row>
    <row r="1403" spans="1:17">
      <c r="B1403" s="165" t="s">
        <v>2144</v>
      </c>
      <c r="C1403" s="165">
        <v>12500</v>
      </c>
      <c r="D1403" s="228"/>
      <c r="E1403" s="228"/>
      <c r="F1403" s="228"/>
      <c r="G1403" s="228"/>
      <c r="H1403" s="228"/>
      <c r="I1403" s="228"/>
      <c r="J1403" s="228"/>
      <c r="K1403" s="228"/>
      <c r="L1403" s="228">
        <v>5000</v>
      </c>
      <c r="M1403" s="228">
        <v>62500000</v>
      </c>
      <c r="N1403" s="228"/>
      <c r="O1403" s="228"/>
      <c r="P1403" s="228">
        <v>5000</v>
      </c>
      <c r="Q1403" s="228">
        <v>62500000</v>
      </c>
    </row>
    <row r="1404" spans="1:17">
      <c r="B1404" s="165" t="s">
        <v>2188</v>
      </c>
      <c r="C1404" s="165">
        <v>3800</v>
      </c>
      <c r="D1404" s="228"/>
      <c r="E1404" s="228"/>
      <c r="F1404" s="228">
        <v>0</v>
      </c>
      <c r="G1404" s="228">
        <v>0</v>
      </c>
      <c r="H1404" s="228"/>
      <c r="I1404" s="228"/>
      <c r="J1404" s="228"/>
      <c r="K1404" s="228"/>
      <c r="L1404" s="228"/>
      <c r="M1404" s="228"/>
      <c r="N1404" s="228"/>
      <c r="O1404" s="228"/>
      <c r="P1404" s="228">
        <v>0</v>
      </c>
      <c r="Q1404" s="228">
        <v>0</v>
      </c>
    </row>
    <row r="1405" spans="1:17">
      <c r="A1405" s="165" t="s">
        <v>2315</v>
      </c>
      <c r="B1405" s="165"/>
      <c r="C1405" s="165"/>
      <c r="D1405" s="228"/>
      <c r="E1405" s="228"/>
      <c r="F1405" s="228">
        <v>0</v>
      </c>
      <c r="G1405" s="228">
        <v>0</v>
      </c>
      <c r="H1405" s="228">
        <v>5000</v>
      </c>
      <c r="I1405" s="228">
        <v>24000000</v>
      </c>
      <c r="J1405" s="228">
        <v>13000</v>
      </c>
      <c r="K1405" s="228">
        <v>65560000</v>
      </c>
      <c r="L1405" s="228">
        <v>31200</v>
      </c>
      <c r="M1405" s="228">
        <v>321440000</v>
      </c>
      <c r="N1405" s="228"/>
      <c r="O1405" s="228"/>
      <c r="P1405" s="228">
        <v>49200</v>
      </c>
      <c r="Q1405" s="228">
        <v>411000000</v>
      </c>
    </row>
    <row r="1406" spans="1:17">
      <c r="A1406" s="165" t="s">
        <v>1163</v>
      </c>
      <c r="B1406" s="165" t="s">
        <v>2032</v>
      </c>
      <c r="C1406" s="165">
        <v>8500</v>
      </c>
      <c r="D1406" s="228">
        <v>0</v>
      </c>
      <c r="E1406" s="228">
        <v>0</v>
      </c>
      <c r="F1406" s="228"/>
      <c r="G1406" s="228"/>
      <c r="H1406" s="228"/>
      <c r="I1406" s="228"/>
      <c r="J1406" s="228"/>
      <c r="K1406" s="228"/>
      <c r="L1406" s="228"/>
      <c r="M1406" s="228"/>
      <c r="N1406" s="228"/>
      <c r="O1406" s="228"/>
      <c r="P1406" s="228">
        <v>0</v>
      </c>
      <c r="Q1406" s="228">
        <v>0</v>
      </c>
    </row>
    <row r="1407" spans="1:17">
      <c r="B1407" s="165" t="s">
        <v>2033</v>
      </c>
      <c r="C1407" s="165">
        <v>5500</v>
      </c>
      <c r="D1407" s="228">
        <v>0</v>
      </c>
      <c r="E1407" s="228">
        <v>0</v>
      </c>
      <c r="F1407" s="228"/>
      <c r="G1407" s="228"/>
      <c r="H1407" s="228"/>
      <c r="I1407" s="228"/>
      <c r="J1407" s="228"/>
      <c r="K1407" s="228"/>
      <c r="L1407" s="228"/>
      <c r="M1407" s="228"/>
      <c r="N1407" s="228"/>
      <c r="O1407" s="228"/>
      <c r="P1407" s="228">
        <v>0</v>
      </c>
      <c r="Q1407" s="228">
        <v>0</v>
      </c>
    </row>
    <row r="1408" spans="1:17">
      <c r="B1408" s="165" t="s">
        <v>2045</v>
      </c>
      <c r="C1408" s="165">
        <v>3000</v>
      </c>
      <c r="D1408" s="228"/>
      <c r="E1408" s="228"/>
      <c r="F1408" s="228"/>
      <c r="G1408" s="228"/>
      <c r="H1408" s="228">
        <v>20000</v>
      </c>
      <c r="I1408" s="228">
        <v>60000000</v>
      </c>
      <c r="J1408" s="228"/>
      <c r="K1408" s="228"/>
      <c r="L1408" s="228"/>
      <c r="M1408" s="228"/>
      <c r="N1408" s="228"/>
      <c r="O1408" s="228"/>
      <c r="P1408" s="228">
        <v>20000</v>
      </c>
      <c r="Q1408" s="228">
        <v>60000000</v>
      </c>
    </row>
    <row r="1409" spans="1:17">
      <c r="B1409" s="165" t="s">
        <v>2046</v>
      </c>
      <c r="C1409" s="165">
        <v>4500</v>
      </c>
      <c r="D1409" s="228"/>
      <c r="E1409" s="228"/>
      <c r="F1409" s="228"/>
      <c r="G1409" s="228"/>
      <c r="H1409" s="228">
        <v>30000</v>
      </c>
      <c r="I1409" s="228">
        <v>135000000</v>
      </c>
      <c r="J1409" s="228"/>
      <c r="K1409" s="228"/>
      <c r="L1409" s="228"/>
      <c r="M1409" s="228"/>
      <c r="N1409" s="228"/>
      <c r="O1409" s="228"/>
      <c r="P1409" s="228">
        <v>30000</v>
      </c>
      <c r="Q1409" s="228">
        <v>135000000</v>
      </c>
    </row>
    <row r="1410" spans="1:17">
      <c r="B1410" s="165" t="s">
        <v>2011</v>
      </c>
      <c r="C1410" s="165">
        <v>10600</v>
      </c>
      <c r="D1410" s="228"/>
      <c r="E1410" s="228"/>
      <c r="F1410" s="228"/>
      <c r="G1410" s="228"/>
      <c r="H1410" s="228"/>
      <c r="I1410" s="228"/>
      <c r="J1410" s="228"/>
      <c r="K1410" s="228"/>
      <c r="L1410" s="228">
        <v>50000</v>
      </c>
      <c r="M1410" s="228">
        <v>530000000</v>
      </c>
      <c r="N1410" s="228"/>
      <c r="O1410" s="228"/>
      <c r="P1410" s="228">
        <v>50000</v>
      </c>
      <c r="Q1410" s="228">
        <v>530000000</v>
      </c>
    </row>
    <row r="1411" spans="1:17">
      <c r="B1411" s="165" t="s">
        <v>2073</v>
      </c>
      <c r="C1411" s="165">
        <v>8500</v>
      </c>
      <c r="D1411" s="228"/>
      <c r="E1411" s="228"/>
      <c r="F1411" s="228"/>
      <c r="G1411" s="228"/>
      <c r="H1411" s="228"/>
      <c r="I1411" s="228"/>
      <c r="J1411" s="228">
        <v>4800</v>
      </c>
      <c r="K1411" s="228">
        <v>40800000</v>
      </c>
      <c r="L1411" s="228"/>
      <c r="M1411" s="228"/>
      <c r="N1411" s="228"/>
      <c r="O1411" s="228"/>
      <c r="P1411" s="228">
        <v>4800</v>
      </c>
      <c r="Q1411" s="228">
        <v>40800000</v>
      </c>
    </row>
    <row r="1412" spans="1:17">
      <c r="B1412" s="165" t="s">
        <v>2016</v>
      </c>
      <c r="C1412" s="165">
        <v>13500</v>
      </c>
      <c r="D1412" s="228"/>
      <c r="E1412" s="228"/>
      <c r="F1412" s="228"/>
      <c r="G1412" s="228"/>
      <c r="H1412" s="228"/>
      <c r="I1412" s="228"/>
      <c r="J1412" s="228"/>
      <c r="K1412" s="228"/>
      <c r="L1412" s="228">
        <v>40000</v>
      </c>
      <c r="M1412" s="228">
        <v>540000000</v>
      </c>
      <c r="N1412" s="228"/>
      <c r="O1412" s="228"/>
      <c r="P1412" s="228">
        <v>40000</v>
      </c>
      <c r="Q1412" s="228">
        <v>540000000</v>
      </c>
    </row>
    <row r="1413" spans="1:17">
      <c r="B1413" s="165" t="s">
        <v>2124</v>
      </c>
      <c r="C1413" s="165">
        <v>2000</v>
      </c>
      <c r="D1413" s="228">
        <v>0</v>
      </c>
      <c r="E1413" s="228">
        <v>0</v>
      </c>
      <c r="F1413" s="228"/>
      <c r="G1413" s="228"/>
      <c r="H1413" s="228"/>
      <c r="I1413" s="228"/>
      <c r="J1413" s="228"/>
      <c r="K1413" s="228"/>
      <c r="L1413" s="228"/>
      <c r="M1413" s="228"/>
      <c r="N1413" s="228"/>
      <c r="O1413" s="228"/>
      <c r="P1413" s="228">
        <v>0</v>
      </c>
      <c r="Q1413" s="228">
        <v>0</v>
      </c>
    </row>
    <row r="1414" spans="1:17">
      <c r="B1414" s="165" t="s">
        <v>2130</v>
      </c>
      <c r="C1414" s="165">
        <v>4800</v>
      </c>
      <c r="D1414" s="228">
        <v>0</v>
      </c>
      <c r="E1414" s="228">
        <v>0</v>
      </c>
      <c r="F1414" s="228"/>
      <c r="G1414" s="228"/>
      <c r="H1414" s="228"/>
      <c r="I1414" s="228"/>
      <c r="J1414" s="228"/>
      <c r="K1414" s="228"/>
      <c r="L1414" s="228"/>
      <c r="M1414" s="228"/>
      <c r="N1414" s="228"/>
      <c r="O1414" s="228"/>
      <c r="P1414" s="228">
        <v>0</v>
      </c>
      <c r="Q1414" s="228">
        <v>0</v>
      </c>
    </row>
    <row r="1415" spans="1:17">
      <c r="C1415" s="165">
        <v>5200</v>
      </c>
      <c r="D1415" s="228">
        <v>0</v>
      </c>
      <c r="E1415" s="228">
        <v>0</v>
      </c>
      <c r="F1415" s="228"/>
      <c r="G1415" s="228"/>
      <c r="H1415" s="228"/>
      <c r="I1415" s="228"/>
      <c r="J1415" s="228"/>
      <c r="K1415" s="228"/>
      <c r="L1415" s="228"/>
      <c r="M1415" s="228"/>
      <c r="N1415" s="228"/>
      <c r="O1415" s="228"/>
      <c r="P1415" s="228">
        <v>0</v>
      </c>
      <c r="Q1415" s="228">
        <v>0</v>
      </c>
    </row>
    <row r="1416" spans="1:17">
      <c r="B1416" s="165" t="s">
        <v>2132</v>
      </c>
      <c r="C1416" s="165">
        <v>6700</v>
      </c>
      <c r="D1416" s="228">
        <v>0</v>
      </c>
      <c r="E1416" s="228">
        <v>0</v>
      </c>
      <c r="F1416" s="228"/>
      <c r="G1416" s="228"/>
      <c r="H1416" s="228"/>
      <c r="I1416" s="228"/>
      <c r="J1416" s="228"/>
      <c r="K1416" s="228"/>
      <c r="L1416" s="228"/>
      <c r="M1416" s="228"/>
      <c r="N1416" s="228"/>
      <c r="O1416" s="228"/>
      <c r="P1416" s="228">
        <v>0</v>
      </c>
      <c r="Q1416" s="228">
        <v>0</v>
      </c>
    </row>
    <row r="1417" spans="1:17">
      <c r="B1417" s="165" t="s">
        <v>2015</v>
      </c>
      <c r="C1417" s="165">
        <v>10700</v>
      </c>
      <c r="D1417" s="228"/>
      <c r="E1417" s="228"/>
      <c r="F1417" s="228"/>
      <c r="G1417" s="228"/>
      <c r="H1417" s="228"/>
      <c r="I1417" s="228"/>
      <c r="J1417" s="228"/>
      <c r="K1417" s="228"/>
      <c r="L1417" s="228">
        <v>50000</v>
      </c>
      <c r="M1417" s="228">
        <v>535000000</v>
      </c>
      <c r="N1417" s="228"/>
      <c r="O1417" s="228"/>
      <c r="P1417" s="228">
        <v>50000</v>
      </c>
      <c r="Q1417" s="228">
        <v>535000000</v>
      </c>
    </row>
    <row r="1418" spans="1:17">
      <c r="B1418" s="165" t="s">
        <v>2171</v>
      </c>
      <c r="C1418" s="165">
        <v>5500</v>
      </c>
      <c r="D1418" s="228"/>
      <c r="E1418" s="228"/>
      <c r="F1418" s="228"/>
      <c r="G1418" s="228"/>
      <c r="H1418" s="228"/>
      <c r="I1418" s="228"/>
      <c r="J1418" s="228">
        <v>10000</v>
      </c>
      <c r="K1418" s="228">
        <v>55000000</v>
      </c>
      <c r="L1418" s="228"/>
      <c r="M1418" s="228"/>
      <c r="N1418" s="228"/>
      <c r="O1418" s="228"/>
      <c r="P1418" s="228">
        <v>10000</v>
      </c>
      <c r="Q1418" s="228">
        <v>55000000</v>
      </c>
    </row>
    <row r="1419" spans="1:17">
      <c r="A1419" s="165" t="s">
        <v>2316</v>
      </c>
      <c r="B1419" s="165"/>
      <c r="C1419" s="165"/>
      <c r="D1419" s="228">
        <v>0</v>
      </c>
      <c r="E1419" s="228">
        <v>0</v>
      </c>
      <c r="F1419" s="228"/>
      <c r="G1419" s="228"/>
      <c r="H1419" s="228">
        <v>50000</v>
      </c>
      <c r="I1419" s="228">
        <v>195000000</v>
      </c>
      <c r="J1419" s="228">
        <v>14800</v>
      </c>
      <c r="K1419" s="228">
        <v>95800000</v>
      </c>
      <c r="L1419" s="228">
        <v>140000</v>
      </c>
      <c r="M1419" s="228">
        <v>1605000000</v>
      </c>
      <c r="N1419" s="228"/>
      <c r="O1419" s="228"/>
      <c r="P1419" s="228">
        <v>204800</v>
      </c>
      <c r="Q1419" s="228">
        <v>1895800000</v>
      </c>
    </row>
    <row r="1420" spans="1:17">
      <c r="A1420" s="165" t="s">
        <v>1066</v>
      </c>
      <c r="B1420" s="165" t="s">
        <v>2008</v>
      </c>
      <c r="C1420" s="165">
        <v>4600</v>
      </c>
      <c r="D1420" s="228"/>
      <c r="E1420" s="228"/>
      <c r="F1420" s="228">
        <v>0</v>
      </c>
      <c r="G1420" s="228">
        <v>0</v>
      </c>
      <c r="H1420" s="228"/>
      <c r="I1420" s="228"/>
      <c r="J1420" s="228"/>
      <c r="K1420" s="228"/>
      <c r="L1420" s="228"/>
      <c r="M1420" s="228"/>
      <c r="N1420" s="228"/>
      <c r="O1420" s="228"/>
      <c r="P1420" s="228">
        <v>0</v>
      </c>
      <c r="Q1420" s="228">
        <v>0</v>
      </c>
    </row>
    <row r="1421" spans="1:17">
      <c r="C1421" s="165">
        <v>4700</v>
      </c>
      <c r="D1421" s="228">
        <v>0</v>
      </c>
      <c r="E1421" s="228">
        <v>0</v>
      </c>
      <c r="F1421" s="228"/>
      <c r="G1421" s="228"/>
      <c r="H1421" s="228"/>
      <c r="I1421" s="228"/>
      <c r="J1421" s="228"/>
      <c r="K1421" s="228"/>
      <c r="L1421" s="228"/>
      <c r="M1421" s="228"/>
      <c r="N1421" s="228"/>
      <c r="O1421" s="228"/>
      <c r="P1421" s="228">
        <v>0</v>
      </c>
      <c r="Q1421" s="228">
        <v>0</v>
      </c>
    </row>
    <row r="1422" spans="1:17">
      <c r="B1422" s="165" t="s">
        <v>2067</v>
      </c>
      <c r="C1422" s="165">
        <v>5300</v>
      </c>
      <c r="D1422" s="228"/>
      <c r="E1422" s="228"/>
      <c r="F1422" s="228">
        <v>0</v>
      </c>
      <c r="G1422" s="228">
        <v>0</v>
      </c>
      <c r="H1422" s="228"/>
      <c r="I1422" s="228"/>
      <c r="J1422" s="228"/>
      <c r="K1422" s="228"/>
      <c r="L1422" s="228"/>
      <c r="M1422" s="228"/>
      <c r="N1422" s="228"/>
      <c r="O1422" s="228"/>
      <c r="P1422" s="228">
        <v>0</v>
      </c>
      <c r="Q1422" s="228">
        <v>0</v>
      </c>
    </row>
    <row r="1423" spans="1:17">
      <c r="B1423" s="165" t="s">
        <v>2094</v>
      </c>
      <c r="C1423" s="165">
        <v>4800</v>
      </c>
      <c r="D1423" s="228"/>
      <c r="E1423" s="228"/>
      <c r="F1423" s="228">
        <v>0</v>
      </c>
      <c r="G1423" s="228">
        <v>0</v>
      </c>
      <c r="H1423" s="228"/>
      <c r="I1423" s="228"/>
      <c r="J1423" s="228"/>
      <c r="K1423" s="228"/>
      <c r="L1423" s="228"/>
      <c r="M1423" s="228"/>
      <c r="N1423" s="228"/>
      <c r="O1423" s="228"/>
      <c r="P1423" s="228">
        <v>0</v>
      </c>
      <c r="Q1423" s="228">
        <v>0</v>
      </c>
    </row>
    <row r="1424" spans="1:17">
      <c r="B1424" s="165" t="s">
        <v>2110</v>
      </c>
      <c r="C1424" s="165">
        <v>6000</v>
      </c>
      <c r="D1424" s="228"/>
      <c r="E1424" s="228"/>
      <c r="F1424" s="228">
        <v>0</v>
      </c>
      <c r="G1424" s="228">
        <v>0</v>
      </c>
      <c r="H1424" s="228"/>
      <c r="I1424" s="228"/>
      <c r="J1424" s="228"/>
      <c r="K1424" s="228"/>
      <c r="L1424" s="228"/>
      <c r="M1424" s="228"/>
      <c r="N1424" s="228"/>
      <c r="O1424" s="228"/>
      <c r="P1424" s="228">
        <v>0</v>
      </c>
      <c r="Q1424" s="228">
        <v>0</v>
      </c>
    </row>
    <row r="1425" spans="1:17">
      <c r="B1425" s="165" t="s">
        <v>2124</v>
      </c>
      <c r="C1425" s="165">
        <v>2000</v>
      </c>
      <c r="D1425" s="228"/>
      <c r="E1425" s="228"/>
      <c r="F1425" s="228">
        <v>0</v>
      </c>
      <c r="G1425" s="228">
        <v>0</v>
      </c>
      <c r="H1425" s="228"/>
      <c r="I1425" s="228"/>
      <c r="J1425" s="228"/>
      <c r="K1425" s="228"/>
      <c r="L1425" s="228"/>
      <c r="M1425" s="228"/>
      <c r="N1425" s="228"/>
      <c r="O1425" s="228"/>
      <c r="P1425" s="228">
        <v>0</v>
      </c>
      <c r="Q1425" s="228">
        <v>0</v>
      </c>
    </row>
    <row r="1426" spans="1:17">
      <c r="B1426" s="165" t="s">
        <v>2140</v>
      </c>
      <c r="C1426" s="165">
        <v>3800</v>
      </c>
      <c r="D1426" s="228">
        <v>0</v>
      </c>
      <c r="E1426" s="228">
        <v>0</v>
      </c>
      <c r="F1426" s="228">
        <v>0</v>
      </c>
      <c r="G1426" s="228">
        <v>0</v>
      </c>
      <c r="H1426" s="228"/>
      <c r="I1426" s="228"/>
      <c r="J1426" s="228"/>
      <c r="K1426" s="228"/>
      <c r="L1426" s="228"/>
      <c r="M1426" s="228"/>
      <c r="N1426" s="228"/>
      <c r="O1426" s="228"/>
      <c r="P1426" s="228">
        <v>0</v>
      </c>
      <c r="Q1426" s="228">
        <v>0</v>
      </c>
    </row>
    <row r="1427" spans="1:17">
      <c r="B1427" s="165" t="s">
        <v>1872</v>
      </c>
      <c r="C1427" s="165">
        <v>6300</v>
      </c>
      <c r="D1427" s="228"/>
      <c r="E1427" s="228"/>
      <c r="F1427" s="228">
        <v>0</v>
      </c>
      <c r="G1427" s="228">
        <v>0</v>
      </c>
      <c r="H1427" s="228"/>
      <c r="I1427" s="228"/>
      <c r="J1427" s="228"/>
      <c r="K1427" s="228"/>
      <c r="L1427" s="228"/>
      <c r="M1427" s="228"/>
      <c r="N1427" s="228"/>
      <c r="O1427" s="228"/>
      <c r="P1427" s="228">
        <v>0</v>
      </c>
      <c r="Q1427" s="228">
        <v>0</v>
      </c>
    </row>
    <row r="1428" spans="1:17">
      <c r="B1428" s="165" t="s">
        <v>2171</v>
      </c>
      <c r="C1428" s="165">
        <v>5500</v>
      </c>
      <c r="D1428" s="228"/>
      <c r="E1428" s="228"/>
      <c r="F1428" s="228">
        <v>0</v>
      </c>
      <c r="G1428" s="228">
        <v>0</v>
      </c>
      <c r="H1428" s="228"/>
      <c r="I1428" s="228"/>
      <c r="J1428" s="228"/>
      <c r="K1428" s="228"/>
      <c r="L1428" s="228"/>
      <c r="M1428" s="228"/>
      <c r="N1428" s="228"/>
      <c r="O1428" s="228"/>
      <c r="P1428" s="228">
        <v>0</v>
      </c>
      <c r="Q1428" s="228">
        <v>0</v>
      </c>
    </row>
    <row r="1429" spans="1:17">
      <c r="B1429" s="165" t="s">
        <v>2189</v>
      </c>
      <c r="C1429" s="165">
        <v>3750</v>
      </c>
      <c r="D1429" s="228"/>
      <c r="E1429" s="228"/>
      <c r="F1429" s="228">
        <v>0</v>
      </c>
      <c r="G1429" s="228">
        <v>0</v>
      </c>
      <c r="H1429" s="228"/>
      <c r="I1429" s="228"/>
      <c r="J1429" s="228"/>
      <c r="K1429" s="228"/>
      <c r="L1429" s="228"/>
      <c r="M1429" s="228"/>
      <c r="N1429" s="228"/>
      <c r="O1429" s="228"/>
      <c r="P1429" s="228">
        <v>0</v>
      </c>
      <c r="Q1429" s="228">
        <v>0</v>
      </c>
    </row>
    <row r="1430" spans="1:17">
      <c r="A1430" s="165" t="s">
        <v>2317</v>
      </c>
      <c r="B1430" s="165"/>
      <c r="C1430" s="165"/>
      <c r="D1430" s="228">
        <v>0</v>
      </c>
      <c r="E1430" s="228">
        <v>0</v>
      </c>
      <c r="F1430" s="228">
        <v>0</v>
      </c>
      <c r="G1430" s="228">
        <v>0</v>
      </c>
      <c r="H1430" s="228"/>
      <c r="I1430" s="228"/>
      <c r="J1430" s="228"/>
      <c r="K1430" s="228"/>
      <c r="L1430" s="228"/>
      <c r="M1430" s="228"/>
      <c r="N1430" s="228"/>
      <c r="O1430" s="228"/>
      <c r="P1430" s="228">
        <v>0</v>
      </c>
      <c r="Q1430" s="228">
        <v>0</v>
      </c>
    </row>
    <row r="1431" spans="1:17">
      <c r="A1431" s="165" t="s">
        <v>396</v>
      </c>
      <c r="B1431" s="165" t="s">
        <v>2169</v>
      </c>
      <c r="C1431" s="165">
        <v>4600</v>
      </c>
      <c r="D1431" s="228">
        <v>0</v>
      </c>
      <c r="E1431" s="228">
        <v>0</v>
      </c>
      <c r="F1431" s="228"/>
      <c r="G1431" s="228"/>
      <c r="H1431" s="228"/>
      <c r="I1431" s="228"/>
      <c r="J1431" s="228"/>
      <c r="K1431" s="228"/>
      <c r="L1431" s="228"/>
      <c r="M1431" s="228"/>
      <c r="N1431" s="228"/>
      <c r="O1431" s="228"/>
      <c r="P1431" s="228">
        <v>0</v>
      </c>
      <c r="Q1431" s="228">
        <v>0</v>
      </c>
    </row>
    <row r="1432" spans="1:17">
      <c r="B1432" s="165" t="s">
        <v>2171</v>
      </c>
      <c r="C1432" s="165">
        <v>6900</v>
      </c>
      <c r="D1432" s="228"/>
      <c r="E1432" s="228"/>
      <c r="F1432" s="228">
        <v>0</v>
      </c>
      <c r="G1432" s="228">
        <v>0</v>
      </c>
      <c r="H1432" s="228"/>
      <c r="I1432" s="228"/>
      <c r="J1432" s="228"/>
      <c r="K1432" s="228"/>
      <c r="L1432" s="228"/>
      <c r="M1432" s="228"/>
      <c r="N1432" s="228"/>
      <c r="O1432" s="228"/>
      <c r="P1432" s="228">
        <v>0</v>
      </c>
      <c r="Q1432" s="228">
        <v>0</v>
      </c>
    </row>
    <row r="1433" spans="1:17">
      <c r="C1433" s="165">
        <v>7000</v>
      </c>
      <c r="D1433" s="228"/>
      <c r="E1433" s="228"/>
      <c r="F1433" s="228"/>
      <c r="G1433" s="228"/>
      <c r="H1433" s="228">
        <v>10000</v>
      </c>
      <c r="I1433" s="228">
        <v>70000000</v>
      </c>
      <c r="J1433" s="228"/>
      <c r="K1433" s="228"/>
      <c r="L1433" s="228"/>
      <c r="M1433" s="228"/>
      <c r="N1433" s="228"/>
      <c r="O1433" s="228"/>
      <c r="P1433" s="228">
        <v>10000</v>
      </c>
      <c r="Q1433" s="228">
        <v>70000000</v>
      </c>
    </row>
    <row r="1434" spans="1:17">
      <c r="C1434" s="165">
        <v>7300</v>
      </c>
      <c r="D1434" s="228"/>
      <c r="E1434" s="228"/>
      <c r="F1434" s="228"/>
      <c r="G1434" s="228"/>
      <c r="H1434" s="228"/>
      <c r="I1434" s="228"/>
      <c r="J1434" s="228"/>
      <c r="K1434" s="228"/>
      <c r="L1434" s="228">
        <v>20000</v>
      </c>
      <c r="M1434" s="228">
        <v>146000000</v>
      </c>
      <c r="N1434" s="228"/>
      <c r="O1434" s="228"/>
      <c r="P1434" s="228">
        <v>20000</v>
      </c>
      <c r="Q1434" s="228">
        <v>146000000</v>
      </c>
    </row>
    <row r="1435" spans="1:17">
      <c r="A1435" s="165" t="s">
        <v>2318</v>
      </c>
      <c r="B1435" s="165"/>
      <c r="C1435" s="165"/>
      <c r="D1435" s="228">
        <v>0</v>
      </c>
      <c r="E1435" s="228">
        <v>0</v>
      </c>
      <c r="F1435" s="228">
        <v>0</v>
      </c>
      <c r="G1435" s="228">
        <v>0</v>
      </c>
      <c r="H1435" s="228">
        <v>10000</v>
      </c>
      <c r="I1435" s="228">
        <v>70000000</v>
      </c>
      <c r="J1435" s="228"/>
      <c r="K1435" s="228"/>
      <c r="L1435" s="228">
        <v>20000</v>
      </c>
      <c r="M1435" s="228">
        <v>146000000</v>
      </c>
      <c r="N1435" s="228"/>
      <c r="O1435" s="228"/>
      <c r="P1435" s="228">
        <v>30000</v>
      </c>
      <c r="Q1435" s="228">
        <v>216000000</v>
      </c>
    </row>
    <row r="1436" spans="1:17">
      <c r="A1436" s="165" t="s">
        <v>264</v>
      </c>
      <c r="B1436" s="165" t="s">
        <v>2115</v>
      </c>
      <c r="C1436" s="165">
        <v>8600</v>
      </c>
      <c r="D1436" s="228"/>
      <c r="E1436" s="228"/>
      <c r="F1436" s="228"/>
      <c r="G1436" s="228"/>
      <c r="H1436" s="228">
        <v>1200</v>
      </c>
      <c r="I1436" s="228">
        <v>10320000</v>
      </c>
      <c r="J1436" s="228"/>
      <c r="K1436" s="228"/>
      <c r="L1436" s="228"/>
      <c r="M1436" s="228"/>
      <c r="N1436" s="228"/>
      <c r="O1436" s="228"/>
      <c r="P1436" s="228">
        <v>1200</v>
      </c>
      <c r="Q1436" s="228">
        <v>10320000</v>
      </c>
    </row>
    <row r="1437" spans="1:17">
      <c r="B1437" s="165" t="s">
        <v>2009</v>
      </c>
      <c r="C1437" s="165">
        <v>5000</v>
      </c>
      <c r="D1437" s="228"/>
      <c r="E1437" s="228"/>
      <c r="F1437" s="228">
        <v>0</v>
      </c>
      <c r="G1437" s="228">
        <v>0</v>
      </c>
      <c r="H1437" s="228"/>
      <c r="I1437" s="228"/>
      <c r="J1437" s="228"/>
      <c r="K1437" s="228"/>
      <c r="L1437" s="228"/>
      <c r="M1437" s="228"/>
      <c r="N1437" s="228"/>
      <c r="O1437" s="228"/>
      <c r="P1437" s="228">
        <v>0</v>
      </c>
      <c r="Q1437" s="228">
        <v>0</v>
      </c>
    </row>
    <row r="1438" spans="1:17">
      <c r="C1438" s="165">
        <v>5100</v>
      </c>
      <c r="D1438" s="228"/>
      <c r="E1438" s="228"/>
      <c r="F1438" s="228">
        <v>0</v>
      </c>
      <c r="G1438" s="228">
        <v>0</v>
      </c>
      <c r="H1438" s="228"/>
      <c r="I1438" s="228"/>
      <c r="J1438" s="228"/>
      <c r="K1438" s="228"/>
      <c r="L1438" s="228"/>
      <c r="M1438" s="228"/>
      <c r="N1438" s="228"/>
      <c r="O1438" s="228"/>
      <c r="P1438" s="228">
        <v>0</v>
      </c>
      <c r="Q1438" s="228">
        <v>0</v>
      </c>
    </row>
    <row r="1439" spans="1:17">
      <c r="B1439" s="165" t="s">
        <v>2169</v>
      </c>
      <c r="C1439" s="165">
        <v>4600</v>
      </c>
      <c r="D1439" s="228"/>
      <c r="E1439" s="228"/>
      <c r="F1439" s="228">
        <v>0</v>
      </c>
      <c r="G1439" s="228">
        <v>0</v>
      </c>
      <c r="H1439" s="228"/>
      <c r="I1439" s="228"/>
      <c r="J1439" s="228"/>
      <c r="K1439" s="228"/>
      <c r="L1439" s="228"/>
      <c r="M1439" s="228"/>
      <c r="N1439" s="228"/>
      <c r="O1439" s="228"/>
      <c r="P1439" s="228">
        <v>0</v>
      </c>
      <c r="Q1439" s="228">
        <v>0</v>
      </c>
    </row>
    <row r="1440" spans="1:17">
      <c r="C1440" s="165">
        <v>5000</v>
      </c>
      <c r="D1440" s="228"/>
      <c r="E1440" s="228"/>
      <c r="F1440" s="228"/>
      <c r="G1440" s="228"/>
      <c r="H1440" s="228"/>
      <c r="I1440" s="228"/>
      <c r="J1440" s="228"/>
      <c r="K1440" s="228"/>
      <c r="L1440" s="228">
        <v>40200</v>
      </c>
      <c r="M1440" s="228">
        <v>201000000</v>
      </c>
      <c r="N1440" s="228"/>
      <c r="O1440" s="228"/>
      <c r="P1440" s="228">
        <v>40200</v>
      </c>
      <c r="Q1440" s="228">
        <v>201000000</v>
      </c>
    </row>
    <row r="1441" spans="1:17">
      <c r="A1441" s="165" t="s">
        <v>2319</v>
      </c>
      <c r="B1441" s="165"/>
      <c r="C1441" s="165"/>
      <c r="D1441" s="228"/>
      <c r="E1441" s="228"/>
      <c r="F1441" s="228">
        <v>0</v>
      </c>
      <c r="G1441" s="228">
        <v>0</v>
      </c>
      <c r="H1441" s="228">
        <v>1200</v>
      </c>
      <c r="I1441" s="228">
        <v>10320000</v>
      </c>
      <c r="J1441" s="228"/>
      <c r="K1441" s="228"/>
      <c r="L1441" s="228">
        <v>40200</v>
      </c>
      <c r="M1441" s="228">
        <v>201000000</v>
      </c>
      <c r="N1441" s="228"/>
      <c r="O1441" s="228"/>
      <c r="P1441" s="228">
        <v>41400</v>
      </c>
      <c r="Q1441" s="228">
        <v>211320000</v>
      </c>
    </row>
    <row r="1442" spans="1:17">
      <c r="A1442" s="165" t="s">
        <v>268</v>
      </c>
      <c r="B1442" s="165" t="s">
        <v>2011</v>
      </c>
      <c r="C1442" s="165">
        <v>10600</v>
      </c>
      <c r="D1442" s="228"/>
      <c r="E1442" s="228"/>
      <c r="F1442" s="228"/>
      <c r="G1442" s="228"/>
      <c r="H1442" s="228"/>
      <c r="I1442" s="228"/>
      <c r="J1442" s="228"/>
      <c r="K1442" s="228"/>
      <c r="L1442" s="228">
        <v>17000</v>
      </c>
      <c r="M1442" s="228">
        <v>180200000</v>
      </c>
      <c r="N1442" s="228"/>
      <c r="O1442" s="228"/>
      <c r="P1442" s="228">
        <v>17000</v>
      </c>
      <c r="Q1442" s="228">
        <v>180200000</v>
      </c>
    </row>
    <row r="1443" spans="1:17">
      <c r="B1443" s="165" t="s">
        <v>2009</v>
      </c>
      <c r="C1443" s="165">
        <v>4900</v>
      </c>
      <c r="D1443" s="228"/>
      <c r="E1443" s="228"/>
      <c r="F1443" s="228">
        <v>0</v>
      </c>
      <c r="G1443" s="228">
        <v>0</v>
      </c>
      <c r="H1443" s="228"/>
      <c r="I1443" s="228"/>
      <c r="J1443" s="228"/>
      <c r="K1443" s="228"/>
      <c r="L1443" s="228"/>
      <c r="M1443" s="228"/>
      <c r="N1443" s="228"/>
      <c r="O1443" s="228"/>
      <c r="P1443" s="228">
        <v>0</v>
      </c>
      <c r="Q1443" s="228">
        <v>0</v>
      </c>
    </row>
    <row r="1444" spans="1:17">
      <c r="C1444" s="165">
        <v>5000</v>
      </c>
      <c r="D1444" s="228"/>
      <c r="E1444" s="228"/>
      <c r="F1444" s="228">
        <v>0</v>
      </c>
      <c r="G1444" s="228">
        <v>0</v>
      </c>
      <c r="H1444" s="228"/>
      <c r="I1444" s="228"/>
      <c r="J1444" s="228"/>
      <c r="K1444" s="228"/>
      <c r="L1444" s="228"/>
      <c r="M1444" s="228"/>
      <c r="N1444" s="228"/>
      <c r="O1444" s="228"/>
      <c r="P1444" s="228">
        <v>0</v>
      </c>
      <c r="Q1444" s="228">
        <v>0</v>
      </c>
    </row>
    <row r="1445" spans="1:17">
      <c r="C1445" s="165">
        <v>5600</v>
      </c>
      <c r="D1445" s="228"/>
      <c r="E1445" s="228"/>
      <c r="F1445" s="228"/>
      <c r="G1445" s="228"/>
      <c r="H1445" s="228">
        <v>7000</v>
      </c>
      <c r="I1445" s="228">
        <v>39200000</v>
      </c>
      <c r="J1445" s="228"/>
      <c r="K1445" s="228"/>
      <c r="L1445" s="228"/>
      <c r="M1445" s="228"/>
      <c r="N1445" s="228"/>
      <c r="O1445" s="228"/>
      <c r="P1445" s="228">
        <v>7000</v>
      </c>
      <c r="Q1445" s="228">
        <v>39200000</v>
      </c>
    </row>
    <row r="1446" spans="1:17">
      <c r="B1446" s="165" t="s">
        <v>2015</v>
      </c>
      <c r="C1446" s="165">
        <v>10700</v>
      </c>
      <c r="D1446" s="228"/>
      <c r="E1446" s="228"/>
      <c r="F1446" s="228"/>
      <c r="G1446" s="228"/>
      <c r="H1446" s="228"/>
      <c r="I1446" s="228"/>
      <c r="J1446" s="228"/>
      <c r="K1446" s="228"/>
      <c r="L1446" s="228">
        <v>7000</v>
      </c>
      <c r="M1446" s="228">
        <v>74900000</v>
      </c>
      <c r="N1446" s="228"/>
      <c r="O1446" s="228"/>
      <c r="P1446" s="228">
        <v>7000</v>
      </c>
      <c r="Q1446" s="228">
        <v>74900000</v>
      </c>
    </row>
    <row r="1447" spans="1:17">
      <c r="A1447" s="165" t="s">
        <v>2320</v>
      </c>
      <c r="B1447" s="165"/>
      <c r="C1447" s="165"/>
      <c r="D1447" s="228"/>
      <c r="E1447" s="228"/>
      <c r="F1447" s="228">
        <v>0</v>
      </c>
      <c r="G1447" s="228">
        <v>0</v>
      </c>
      <c r="H1447" s="228">
        <v>7000</v>
      </c>
      <c r="I1447" s="228">
        <v>39200000</v>
      </c>
      <c r="J1447" s="228"/>
      <c r="K1447" s="228"/>
      <c r="L1447" s="228">
        <v>24000</v>
      </c>
      <c r="M1447" s="228">
        <v>255100000</v>
      </c>
      <c r="N1447" s="228"/>
      <c r="O1447" s="228"/>
      <c r="P1447" s="228">
        <v>31000</v>
      </c>
      <c r="Q1447" s="228">
        <v>294300000</v>
      </c>
    </row>
    <row r="1448" spans="1:17">
      <c r="A1448" s="165" t="s">
        <v>1026</v>
      </c>
      <c r="B1448" s="165" t="s">
        <v>2039</v>
      </c>
      <c r="C1448" s="165">
        <v>6300</v>
      </c>
      <c r="D1448" s="228"/>
      <c r="E1448" s="228"/>
      <c r="F1448" s="228">
        <v>0</v>
      </c>
      <c r="G1448" s="228">
        <v>0</v>
      </c>
      <c r="H1448" s="228"/>
      <c r="I1448" s="228"/>
      <c r="J1448" s="228"/>
      <c r="K1448" s="228"/>
      <c r="L1448" s="228"/>
      <c r="M1448" s="228"/>
      <c r="N1448" s="228"/>
      <c r="O1448" s="228"/>
      <c r="P1448" s="228">
        <v>0</v>
      </c>
      <c r="Q1448" s="228">
        <v>0</v>
      </c>
    </row>
    <row r="1449" spans="1:17">
      <c r="B1449" s="165" t="s">
        <v>2008</v>
      </c>
      <c r="C1449" s="165">
        <v>4600</v>
      </c>
      <c r="D1449" s="228"/>
      <c r="E1449" s="228"/>
      <c r="F1449" s="228">
        <v>0</v>
      </c>
      <c r="G1449" s="228">
        <v>0</v>
      </c>
      <c r="H1449" s="228"/>
      <c r="I1449" s="228"/>
      <c r="J1449" s="228"/>
      <c r="K1449" s="228"/>
      <c r="L1449" s="228"/>
      <c r="M1449" s="228"/>
      <c r="N1449" s="228"/>
      <c r="O1449" s="228"/>
      <c r="P1449" s="228">
        <v>0</v>
      </c>
      <c r="Q1449" s="228">
        <v>0</v>
      </c>
    </row>
    <row r="1450" spans="1:17">
      <c r="C1450" s="165">
        <v>4700</v>
      </c>
      <c r="D1450" s="228">
        <v>0</v>
      </c>
      <c r="E1450" s="228">
        <v>0</v>
      </c>
      <c r="F1450" s="228">
        <v>0</v>
      </c>
      <c r="G1450" s="228">
        <v>0</v>
      </c>
      <c r="H1450" s="228"/>
      <c r="I1450" s="228"/>
      <c r="J1450" s="228"/>
      <c r="K1450" s="228"/>
      <c r="L1450" s="228"/>
      <c r="M1450" s="228"/>
      <c r="N1450" s="228"/>
      <c r="O1450" s="228"/>
      <c r="P1450" s="228">
        <v>0</v>
      </c>
      <c r="Q1450" s="228">
        <v>0</v>
      </c>
    </row>
    <row r="1451" spans="1:17">
      <c r="B1451" s="165" t="s">
        <v>2094</v>
      </c>
      <c r="C1451" s="165">
        <v>4800</v>
      </c>
      <c r="D1451" s="228"/>
      <c r="E1451" s="228"/>
      <c r="F1451" s="228">
        <v>0</v>
      </c>
      <c r="G1451" s="228">
        <v>0</v>
      </c>
      <c r="H1451" s="228"/>
      <c r="I1451" s="228"/>
      <c r="J1451" s="228"/>
      <c r="K1451" s="228"/>
      <c r="L1451" s="228"/>
      <c r="M1451" s="228"/>
      <c r="N1451" s="228"/>
      <c r="O1451" s="228"/>
      <c r="P1451" s="228">
        <v>0</v>
      </c>
      <c r="Q1451" s="228">
        <v>0</v>
      </c>
    </row>
    <row r="1452" spans="1:17">
      <c r="B1452" s="165" t="s">
        <v>2016</v>
      </c>
      <c r="C1452" s="165">
        <v>13500</v>
      </c>
      <c r="D1452" s="228"/>
      <c r="E1452" s="228"/>
      <c r="F1452" s="228"/>
      <c r="G1452" s="228"/>
      <c r="H1452" s="228"/>
      <c r="I1452" s="228"/>
      <c r="J1452" s="228"/>
      <c r="K1452" s="228"/>
      <c r="L1452" s="228">
        <v>5000</v>
      </c>
      <c r="M1452" s="228">
        <v>67500000</v>
      </c>
      <c r="N1452" s="228"/>
      <c r="O1452" s="228"/>
      <c r="P1452" s="228">
        <v>5000</v>
      </c>
      <c r="Q1452" s="228">
        <v>67500000</v>
      </c>
    </row>
    <row r="1453" spans="1:17">
      <c r="B1453" s="165" t="s">
        <v>2106</v>
      </c>
      <c r="C1453" s="165">
        <v>15200</v>
      </c>
      <c r="D1453" s="228"/>
      <c r="E1453" s="228"/>
      <c r="F1453" s="228"/>
      <c r="G1453" s="228"/>
      <c r="H1453" s="228"/>
      <c r="I1453" s="228"/>
      <c r="J1453" s="228"/>
      <c r="K1453" s="228"/>
      <c r="L1453" s="228">
        <v>10000</v>
      </c>
      <c r="M1453" s="228">
        <v>152000000</v>
      </c>
      <c r="N1453" s="228"/>
      <c r="O1453" s="228"/>
      <c r="P1453" s="228">
        <v>10000</v>
      </c>
      <c r="Q1453" s="228">
        <v>152000000</v>
      </c>
    </row>
    <row r="1454" spans="1:17">
      <c r="B1454" s="165" t="s">
        <v>2108</v>
      </c>
      <c r="C1454" s="165">
        <v>6000</v>
      </c>
      <c r="D1454" s="228"/>
      <c r="E1454" s="228"/>
      <c r="F1454" s="228">
        <v>0</v>
      </c>
      <c r="G1454" s="228">
        <v>0</v>
      </c>
      <c r="H1454" s="228"/>
      <c r="I1454" s="228"/>
      <c r="J1454" s="228"/>
      <c r="K1454" s="228"/>
      <c r="L1454" s="228"/>
      <c r="M1454" s="228"/>
      <c r="N1454" s="228"/>
      <c r="O1454" s="228"/>
      <c r="P1454" s="228">
        <v>0</v>
      </c>
      <c r="Q1454" s="228">
        <v>0</v>
      </c>
    </row>
    <row r="1455" spans="1:17">
      <c r="B1455" s="165" t="s">
        <v>2147</v>
      </c>
      <c r="C1455" s="165">
        <v>5000</v>
      </c>
      <c r="D1455" s="228"/>
      <c r="E1455" s="228"/>
      <c r="F1455" s="228">
        <v>0</v>
      </c>
      <c r="G1455" s="228">
        <v>0</v>
      </c>
      <c r="H1455" s="228"/>
      <c r="I1455" s="228"/>
      <c r="J1455" s="228"/>
      <c r="K1455" s="228"/>
      <c r="L1455" s="228"/>
      <c r="M1455" s="228"/>
      <c r="N1455" s="228"/>
      <c r="O1455" s="228"/>
      <c r="P1455" s="228">
        <v>0</v>
      </c>
      <c r="Q1455" s="228">
        <v>0</v>
      </c>
    </row>
    <row r="1456" spans="1:17">
      <c r="B1456" s="165" t="s">
        <v>2148</v>
      </c>
      <c r="C1456" s="165">
        <v>6600</v>
      </c>
      <c r="D1456" s="228"/>
      <c r="E1456" s="228"/>
      <c r="F1456" s="228"/>
      <c r="G1456" s="228"/>
      <c r="H1456" s="228"/>
      <c r="I1456" s="228"/>
      <c r="J1456" s="228"/>
      <c r="K1456" s="228"/>
      <c r="L1456" s="228">
        <v>20100</v>
      </c>
      <c r="M1456" s="228">
        <v>132660000</v>
      </c>
      <c r="N1456" s="228"/>
      <c r="O1456" s="228"/>
      <c r="P1456" s="228">
        <v>20100</v>
      </c>
      <c r="Q1456" s="228">
        <v>132660000</v>
      </c>
    </row>
    <row r="1457" spans="1:17">
      <c r="B1457" s="165" t="s">
        <v>2149</v>
      </c>
      <c r="C1457" s="165">
        <v>10600</v>
      </c>
      <c r="D1457" s="228"/>
      <c r="E1457" s="228"/>
      <c r="F1457" s="228"/>
      <c r="G1457" s="228"/>
      <c r="H1457" s="228"/>
      <c r="I1457" s="228"/>
      <c r="J1457" s="228"/>
      <c r="K1457" s="228"/>
      <c r="L1457" s="228">
        <v>5000</v>
      </c>
      <c r="M1457" s="228">
        <v>53000000</v>
      </c>
      <c r="N1457" s="228"/>
      <c r="O1457" s="228"/>
      <c r="P1457" s="228">
        <v>5000</v>
      </c>
      <c r="Q1457" s="228">
        <v>53000000</v>
      </c>
    </row>
    <row r="1458" spans="1:17">
      <c r="B1458" s="165" t="s">
        <v>2169</v>
      </c>
      <c r="C1458" s="165">
        <v>4495</v>
      </c>
      <c r="D1458" s="228"/>
      <c r="E1458" s="228"/>
      <c r="F1458" s="228">
        <v>0</v>
      </c>
      <c r="G1458" s="228">
        <v>0</v>
      </c>
      <c r="H1458" s="228"/>
      <c r="I1458" s="228"/>
      <c r="J1458" s="228"/>
      <c r="K1458" s="228"/>
      <c r="L1458" s="228"/>
      <c r="M1458" s="228"/>
      <c r="N1458" s="228"/>
      <c r="O1458" s="228"/>
      <c r="P1458" s="228">
        <v>0</v>
      </c>
      <c r="Q1458" s="228">
        <v>0</v>
      </c>
    </row>
    <row r="1459" spans="1:17">
      <c r="C1459" s="165">
        <v>4500</v>
      </c>
      <c r="D1459" s="228"/>
      <c r="E1459" s="228"/>
      <c r="F1459" s="228">
        <v>0</v>
      </c>
      <c r="G1459" s="228">
        <v>0</v>
      </c>
      <c r="H1459" s="228"/>
      <c r="I1459" s="228"/>
      <c r="J1459" s="228"/>
      <c r="K1459" s="228"/>
      <c r="L1459" s="228"/>
      <c r="M1459" s="228"/>
      <c r="N1459" s="228"/>
      <c r="O1459" s="228"/>
      <c r="P1459" s="228">
        <v>0</v>
      </c>
      <c r="Q1459" s="228">
        <v>0</v>
      </c>
    </row>
    <row r="1460" spans="1:17">
      <c r="B1460" s="165" t="s">
        <v>2186</v>
      </c>
      <c r="C1460" s="165">
        <v>2600</v>
      </c>
      <c r="D1460" s="228"/>
      <c r="E1460" s="228"/>
      <c r="F1460" s="228">
        <v>0</v>
      </c>
      <c r="G1460" s="228">
        <v>0</v>
      </c>
      <c r="H1460" s="228"/>
      <c r="I1460" s="228"/>
      <c r="J1460" s="228"/>
      <c r="K1460" s="228"/>
      <c r="L1460" s="228"/>
      <c r="M1460" s="228"/>
      <c r="N1460" s="228"/>
      <c r="O1460" s="228"/>
      <c r="P1460" s="228">
        <v>0</v>
      </c>
      <c r="Q1460" s="228">
        <v>0</v>
      </c>
    </row>
    <row r="1461" spans="1:17">
      <c r="B1461" s="165" t="s">
        <v>2187</v>
      </c>
      <c r="C1461" s="165">
        <v>3000</v>
      </c>
      <c r="D1461" s="228"/>
      <c r="E1461" s="228"/>
      <c r="F1461" s="228">
        <v>0</v>
      </c>
      <c r="G1461" s="228">
        <v>0</v>
      </c>
      <c r="H1461" s="228"/>
      <c r="I1461" s="228"/>
      <c r="J1461" s="228"/>
      <c r="K1461" s="228"/>
      <c r="L1461" s="228"/>
      <c r="M1461" s="228"/>
      <c r="N1461" s="228"/>
      <c r="O1461" s="228"/>
      <c r="P1461" s="228">
        <v>0</v>
      </c>
      <c r="Q1461" s="228">
        <v>0</v>
      </c>
    </row>
    <row r="1462" spans="1:17">
      <c r="A1462" s="165" t="s">
        <v>2321</v>
      </c>
      <c r="B1462" s="165"/>
      <c r="C1462" s="165"/>
      <c r="D1462" s="228">
        <v>0</v>
      </c>
      <c r="E1462" s="228">
        <v>0</v>
      </c>
      <c r="F1462" s="228">
        <v>0</v>
      </c>
      <c r="G1462" s="228">
        <v>0</v>
      </c>
      <c r="H1462" s="228"/>
      <c r="I1462" s="228"/>
      <c r="J1462" s="228"/>
      <c r="K1462" s="228"/>
      <c r="L1462" s="228">
        <v>40100</v>
      </c>
      <c r="M1462" s="228">
        <v>405160000</v>
      </c>
      <c r="N1462" s="228"/>
      <c r="O1462" s="228"/>
      <c r="P1462" s="228">
        <v>40100</v>
      </c>
      <c r="Q1462" s="228">
        <v>405160000</v>
      </c>
    </row>
    <row r="1463" spans="1:17">
      <c r="A1463" s="165" t="s">
        <v>1594</v>
      </c>
      <c r="B1463" s="165" t="s">
        <v>2016</v>
      </c>
      <c r="C1463" s="165">
        <v>13600</v>
      </c>
      <c r="D1463" s="228"/>
      <c r="E1463" s="228"/>
      <c r="F1463" s="228"/>
      <c r="G1463" s="228"/>
      <c r="H1463" s="228"/>
      <c r="I1463" s="228"/>
      <c r="J1463" s="228"/>
      <c r="K1463" s="228"/>
      <c r="L1463" s="228">
        <v>5000</v>
      </c>
      <c r="M1463" s="228">
        <v>68000000</v>
      </c>
      <c r="N1463" s="228"/>
      <c r="O1463" s="228"/>
      <c r="P1463" s="228">
        <v>5000</v>
      </c>
      <c r="Q1463" s="228">
        <v>68000000</v>
      </c>
    </row>
    <row r="1464" spans="1:17">
      <c r="B1464" s="165" t="s">
        <v>2023</v>
      </c>
      <c r="C1464" s="165">
        <v>11000</v>
      </c>
      <c r="D1464" s="228"/>
      <c r="E1464" s="228"/>
      <c r="F1464" s="228"/>
      <c r="G1464" s="228"/>
      <c r="H1464" s="228"/>
      <c r="I1464" s="228"/>
      <c r="J1464" s="228"/>
      <c r="K1464" s="228"/>
      <c r="L1464" s="228">
        <v>3000</v>
      </c>
      <c r="M1464" s="228">
        <v>33000000</v>
      </c>
      <c r="N1464" s="228"/>
      <c r="O1464" s="228"/>
      <c r="P1464" s="228">
        <v>3000</v>
      </c>
      <c r="Q1464" s="228">
        <v>33000000</v>
      </c>
    </row>
    <row r="1465" spans="1:17">
      <c r="A1465" s="165" t="s">
        <v>2322</v>
      </c>
      <c r="B1465" s="165"/>
      <c r="C1465" s="165"/>
      <c r="D1465" s="228"/>
      <c r="E1465" s="228"/>
      <c r="F1465" s="228"/>
      <c r="G1465" s="228"/>
      <c r="H1465" s="228"/>
      <c r="I1465" s="228"/>
      <c r="J1465" s="228"/>
      <c r="K1465" s="228"/>
      <c r="L1465" s="228">
        <v>8000</v>
      </c>
      <c r="M1465" s="228">
        <v>101000000</v>
      </c>
      <c r="N1465" s="228"/>
      <c r="O1465" s="228"/>
      <c r="P1465" s="228">
        <v>8000</v>
      </c>
      <c r="Q1465" s="228">
        <v>101000000</v>
      </c>
    </row>
    <row r="1466" spans="1:17">
      <c r="A1466" s="165" t="s">
        <v>1354</v>
      </c>
      <c r="B1466" s="165" t="s">
        <v>2016</v>
      </c>
      <c r="C1466" s="165">
        <v>13600</v>
      </c>
      <c r="D1466" s="228"/>
      <c r="E1466" s="228"/>
      <c r="F1466" s="228"/>
      <c r="G1466" s="228"/>
      <c r="H1466" s="228"/>
      <c r="I1466" s="228"/>
      <c r="J1466" s="228"/>
      <c r="K1466" s="228"/>
      <c r="L1466" s="228">
        <v>15000</v>
      </c>
      <c r="M1466" s="228">
        <v>204000000</v>
      </c>
      <c r="N1466" s="228"/>
      <c r="O1466" s="228"/>
      <c r="P1466" s="228">
        <v>15000</v>
      </c>
      <c r="Q1466" s="228">
        <v>204000000</v>
      </c>
    </row>
    <row r="1467" spans="1:17">
      <c r="A1467" s="165" t="s">
        <v>2323</v>
      </c>
      <c r="B1467" s="165"/>
      <c r="C1467" s="165"/>
      <c r="D1467" s="228"/>
      <c r="E1467" s="228"/>
      <c r="F1467" s="228"/>
      <c r="G1467" s="228"/>
      <c r="H1467" s="228"/>
      <c r="I1467" s="228"/>
      <c r="J1467" s="228"/>
      <c r="K1467" s="228"/>
      <c r="L1467" s="228">
        <v>15000</v>
      </c>
      <c r="M1467" s="228">
        <v>204000000</v>
      </c>
      <c r="N1467" s="228"/>
      <c r="O1467" s="228"/>
      <c r="P1467" s="228">
        <v>15000</v>
      </c>
      <c r="Q1467" s="228">
        <v>204000000</v>
      </c>
    </row>
    <row r="1468" spans="1:17">
      <c r="A1468" s="165" t="s">
        <v>810</v>
      </c>
      <c r="B1468" s="165" t="s">
        <v>2039</v>
      </c>
      <c r="C1468" s="165">
        <v>6000</v>
      </c>
      <c r="D1468" s="228"/>
      <c r="E1468" s="228"/>
      <c r="F1468" s="228">
        <v>0</v>
      </c>
      <c r="G1468" s="228">
        <v>0</v>
      </c>
      <c r="H1468" s="228"/>
      <c r="I1468" s="228"/>
      <c r="J1468" s="228"/>
      <c r="K1468" s="228"/>
      <c r="L1468" s="228"/>
      <c r="M1468" s="228"/>
      <c r="N1468" s="228"/>
      <c r="O1468" s="228"/>
      <c r="P1468" s="228">
        <v>0</v>
      </c>
      <c r="Q1468" s="228">
        <v>0</v>
      </c>
    </row>
    <row r="1469" spans="1:17">
      <c r="B1469" s="165" t="s">
        <v>2008</v>
      </c>
      <c r="C1469" s="165">
        <v>4600</v>
      </c>
      <c r="D1469" s="228"/>
      <c r="E1469" s="228"/>
      <c r="F1469" s="228">
        <v>0</v>
      </c>
      <c r="G1469" s="228">
        <v>0</v>
      </c>
      <c r="H1469" s="228"/>
      <c r="I1469" s="228"/>
      <c r="J1469" s="228"/>
      <c r="K1469" s="228"/>
      <c r="L1469" s="228"/>
      <c r="M1469" s="228"/>
      <c r="N1469" s="228"/>
      <c r="O1469" s="228"/>
      <c r="P1469" s="228">
        <v>0</v>
      </c>
      <c r="Q1469" s="228">
        <v>0</v>
      </c>
    </row>
    <row r="1470" spans="1:17">
      <c r="B1470" s="165" t="s">
        <v>2087</v>
      </c>
      <c r="C1470" s="165">
        <v>10000</v>
      </c>
      <c r="D1470" s="228"/>
      <c r="E1470" s="228"/>
      <c r="F1470" s="228"/>
      <c r="G1470" s="228"/>
      <c r="H1470" s="228"/>
      <c r="I1470" s="228"/>
      <c r="J1470" s="228"/>
      <c r="K1470" s="228"/>
      <c r="L1470" s="228">
        <v>30000</v>
      </c>
      <c r="M1470" s="228">
        <v>300000000</v>
      </c>
      <c r="N1470" s="228"/>
      <c r="O1470" s="228"/>
      <c r="P1470" s="228">
        <v>30000</v>
      </c>
      <c r="Q1470" s="228">
        <v>300000000</v>
      </c>
    </row>
    <row r="1471" spans="1:17">
      <c r="B1471" s="165" t="s">
        <v>2104</v>
      </c>
      <c r="C1471" s="165">
        <v>6700</v>
      </c>
      <c r="D1471" s="228"/>
      <c r="E1471" s="228"/>
      <c r="F1471" s="228">
        <v>0</v>
      </c>
      <c r="G1471" s="228">
        <v>0</v>
      </c>
      <c r="H1471" s="228"/>
      <c r="I1471" s="228"/>
      <c r="J1471" s="228"/>
      <c r="K1471" s="228"/>
      <c r="L1471" s="228"/>
      <c r="M1471" s="228"/>
      <c r="N1471" s="228"/>
      <c r="O1471" s="228"/>
      <c r="P1471" s="228">
        <v>0</v>
      </c>
      <c r="Q1471" s="228">
        <v>0</v>
      </c>
    </row>
    <row r="1472" spans="1:17">
      <c r="B1472" s="165" t="s">
        <v>2016</v>
      </c>
      <c r="C1472" s="165">
        <v>13500</v>
      </c>
      <c r="D1472" s="228"/>
      <c r="E1472" s="228"/>
      <c r="F1472" s="228"/>
      <c r="G1472" s="228"/>
      <c r="H1472" s="228"/>
      <c r="I1472" s="228"/>
      <c r="J1472" s="228"/>
      <c r="K1472" s="228"/>
      <c r="L1472" s="228">
        <v>30000</v>
      </c>
      <c r="M1472" s="228">
        <v>405000000</v>
      </c>
      <c r="N1472" s="228"/>
      <c r="O1472" s="228"/>
      <c r="P1472" s="228">
        <v>30000</v>
      </c>
      <c r="Q1472" s="228">
        <v>405000000</v>
      </c>
    </row>
    <row r="1473" spans="1:17">
      <c r="B1473" s="165" t="s">
        <v>2009</v>
      </c>
      <c r="C1473" s="165">
        <v>5500</v>
      </c>
      <c r="D1473" s="228"/>
      <c r="E1473" s="228"/>
      <c r="F1473" s="228"/>
      <c r="G1473" s="228"/>
      <c r="H1473" s="228"/>
      <c r="I1473" s="228"/>
      <c r="J1473" s="228">
        <v>20000</v>
      </c>
      <c r="K1473" s="228">
        <v>110000000</v>
      </c>
      <c r="L1473" s="228"/>
      <c r="M1473" s="228"/>
      <c r="N1473" s="228"/>
      <c r="O1473" s="228"/>
      <c r="P1473" s="228">
        <v>20000</v>
      </c>
      <c r="Q1473" s="228">
        <v>110000000</v>
      </c>
    </row>
    <row r="1474" spans="1:17">
      <c r="B1474" s="165" t="s">
        <v>1872</v>
      </c>
      <c r="C1474" s="165">
        <v>6100</v>
      </c>
      <c r="D1474" s="228"/>
      <c r="E1474" s="228"/>
      <c r="F1474" s="228">
        <v>0</v>
      </c>
      <c r="G1474" s="228">
        <v>0</v>
      </c>
      <c r="H1474" s="228"/>
      <c r="I1474" s="228"/>
      <c r="J1474" s="228"/>
      <c r="K1474" s="228"/>
      <c r="L1474" s="228"/>
      <c r="M1474" s="228"/>
      <c r="N1474" s="228"/>
      <c r="O1474" s="228"/>
      <c r="P1474" s="228">
        <v>0</v>
      </c>
      <c r="Q1474" s="228">
        <v>0</v>
      </c>
    </row>
    <row r="1475" spans="1:17">
      <c r="C1475" s="165">
        <v>6300</v>
      </c>
      <c r="D1475" s="228"/>
      <c r="E1475" s="228"/>
      <c r="F1475" s="228">
        <v>0</v>
      </c>
      <c r="G1475" s="228">
        <v>0</v>
      </c>
      <c r="H1475" s="228"/>
      <c r="I1475" s="228"/>
      <c r="J1475" s="228"/>
      <c r="K1475" s="228"/>
      <c r="L1475" s="228"/>
      <c r="M1475" s="228"/>
      <c r="N1475" s="228"/>
      <c r="O1475" s="228"/>
      <c r="P1475" s="228">
        <v>0</v>
      </c>
      <c r="Q1475" s="228">
        <v>0</v>
      </c>
    </row>
    <row r="1476" spans="1:17">
      <c r="C1476" s="165">
        <v>7500</v>
      </c>
      <c r="D1476" s="228"/>
      <c r="E1476" s="228"/>
      <c r="F1476" s="228"/>
      <c r="G1476" s="228"/>
      <c r="H1476" s="228">
        <v>50100</v>
      </c>
      <c r="I1476" s="228">
        <v>375750000</v>
      </c>
      <c r="J1476" s="228"/>
      <c r="K1476" s="228"/>
      <c r="L1476" s="228"/>
      <c r="M1476" s="228"/>
      <c r="N1476" s="228"/>
      <c r="O1476" s="228"/>
      <c r="P1476" s="228">
        <v>50100</v>
      </c>
      <c r="Q1476" s="228">
        <v>375750000</v>
      </c>
    </row>
    <row r="1477" spans="1:17">
      <c r="C1477" s="165">
        <v>6613</v>
      </c>
      <c r="D1477" s="228"/>
      <c r="E1477" s="228"/>
      <c r="F1477" s="228"/>
      <c r="G1477" s="228"/>
      <c r="H1477" s="228"/>
      <c r="I1477" s="228"/>
      <c r="J1477" s="228">
        <v>19950</v>
      </c>
      <c r="K1477" s="228">
        <v>131929350</v>
      </c>
      <c r="L1477" s="228"/>
      <c r="M1477" s="228"/>
      <c r="N1477" s="228"/>
      <c r="O1477" s="228"/>
      <c r="P1477" s="228">
        <v>19950</v>
      </c>
      <c r="Q1477" s="228">
        <v>131929350</v>
      </c>
    </row>
    <row r="1478" spans="1:17">
      <c r="B1478" s="165" t="s">
        <v>2186</v>
      </c>
      <c r="C1478" s="165">
        <v>2600</v>
      </c>
      <c r="D1478" s="228"/>
      <c r="E1478" s="228"/>
      <c r="F1478" s="228">
        <v>0</v>
      </c>
      <c r="G1478" s="228">
        <v>0</v>
      </c>
      <c r="H1478" s="228"/>
      <c r="I1478" s="228"/>
      <c r="J1478" s="228"/>
      <c r="K1478" s="228"/>
      <c r="L1478" s="228"/>
      <c r="M1478" s="228"/>
      <c r="N1478" s="228"/>
      <c r="O1478" s="228"/>
      <c r="P1478" s="228">
        <v>0</v>
      </c>
      <c r="Q1478" s="228">
        <v>0</v>
      </c>
    </row>
    <row r="1479" spans="1:17">
      <c r="C1479" s="165">
        <v>2700</v>
      </c>
      <c r="D1479" s="228"/>
      <c r="E1479" s="228"/>
      <c r="F1479" s="228">
        <v>0</v>
      </c>
      <c r="G1479" s="228">
        <v>0</v>
      </c>
      <c r="H1479" s="228"/>
      <c r="I1479" s="228"/>
      <c r="J1479" s="228"/>
      <c r="K1479" s="228"/>
      <c r="L1479" s="228"/>
      <c r="M1479" s="228"/>
      <c r="N1479" s="228"/>
      <c r="O1479" s="228"/>
      <c r="P1479" s="228">
        <v>0</v>
      </c>
      <c r="Q1479" s="228">
        <v>0</v>
      </c>
    </row>
    <row r="1480" spans="1:17">
      <c r="B1480" s="165" t="s">
        <v>2194</v>
      </c>
      <c r="C1480" s="165">
        <v>5500</v>
      </c>
      <c r="D1480" s="228"/>
      <c r="E1480" s="228"/>
      <c r="F1480" s="228">
        <v>0</v>
      </c>
      <c r="G1480" s="228">
        <v>0</v>
      </c>
      <c r="H1480" s="228"/>
      <c r="I1480" s="228"/>
      <c r="J1480" s="228"/>
      <c r="K1480" s="228"/>
      <c r="L1480" s="228"/>
      <c r="M1480" s="228"/>
      <c r="N1480" s="228"/>
      <c r="O1480" s="228"/>
      <c r="P1480" s="228">
        <v>0</v>
      </c>
      <c r="Q1480" s="228">
        <v>0</v>
      </c>
    </row>
    <row r="1481" spans="1:17">
      <c r="A1481" s="165" t="s">
        <v>2324</v>
      </c>
      <c r="B1481" s="165"/>
      <c r="C1481" s="165"/>
      <c r="D1481" s="228"/>
      <c r="E1481" s="228"/>
      <c r="F1481" s="228">
        <v>0</v>
      </c>
      <c r="G1481" s="228">
        <v>0</v>
      </c>
      <c r="H1481" s="228">
        <v>50100</v>
      </c>
      <c r="I1481" s="228">
        <v>375750000</v>
      </c>
      <c r="J1481" s="228">
        <v>39950</v>
      </c>
      <c r="K1481" s="228">
        <v>241929350</v>
      </c>
      <c r="L1481" s="228">
        <v>60000</v>
      </c>
      <c r="M1481" s="228">
        <v>705000000</v>
      </c>
      <c r="N1481" s="228"/>
      <c r="O1481" s="228"/>
      <c r="P1481" s="228">
        <v>150050</v>
      </c>
      <c r="Q1481" s="228">
        <v>1322679350</v>
      </c>
    </row>
    <row r="1482" spans="1:17">
      <c r="A1482" s="165" t="s">
        <v>1431</v>
      </c>
      <c r="B1482" s="165" t="s">
        <v>2036</v>
      </c>
      <c r="C1482" s="165">
        <v>4500</v>
      </c>
      <c r="D1482" s="228"/>
      <c r="E1482" s="228"/>
      <c r="F1482" s="228">
        <v>0</v>
      </c>
      <c r="G1482" s="228">
        <v>0</v>
      </c>
      <c r="H1482" s="228"/>
      <c r="I1482" s="228"/>
      <c r="J1482" s="228"/>
      <c r="K1482" s="228"/>
      <c r="L1482" s="228"/>
      <c r="M1482" s="228"/>
      <c r="N1482" s="228"/>
      <c r="O1482" s="228"/>
      <c r="P1482" s="228">
        <v>0</v>
      </c>
      <c r="Q1482" s="228">
        <v>0</v>
      </c>
    </row>
    <row r="1483" spans="1:17">
      <c r="B1483" s="165" t="s">
        <v>2011</v>
      </c>
      <c r="C1483" s="165">
        <v>10600</v>
      </c>
      <c r="D1483" s="228"/>
      <c r="E1483" s="228"/>
      <c r="F1483" s="228"/>
      <c r="G1483" s="228"/>
      <c r="H1483" s="228"/>
      <c r="I1483" s="228"/>
      <c r="J1483" s="228"/>
      <c r="K1483" s="228"/>
      <c r="L1483" s="228">
        <v>9000</v>
      </c>
      <c r="M1483" s="228">
        <v>95400000</v>
      </c>
      <c r="N1483" s="228"/>
      <c r="O1483" s="228"/>
      <c r="P1483" s="228">
        <v>9000</v>
      </c>
      <c r="Q1483" s="228">
        <v>95400000</v>
      </c>
    </row>
    <row r="1484" spans="1:17">
      <c r="B1484" s="165" t="s">
        <v>2065</v>
      </c>
      <c r="C1484" s="165">
        <v>15200</v>
      </c>
      <c r="D1484" s="228"/>
      <c r="E1484" s="228"/>
      <c r="F1484" s="228"/>
      <c r="G1484" s="228"/>
      <c r="H1484" s="228"/>
      <c r="I1484" s="228"/>
      <c r="J1484" s="228"/>
      <c r="K1484" s="228"/>
      <c r="L1484" s="228">
        <v>6000</v>
      </c>
      <c r="M1484" s="228">
        <v>91200000</v>
      </c>
      <c r="N1484" s="228"/>
      <c r="O1484" s="228"/>
      <c r="P1484" s="228">
        <v>6000</v>
      </c>
      <c r="Q1484" s="228">
        <v>91200000</v>
      </c>
    </row>
    <row r="1485" spans="1:17">
      <c r="B1485" s="165" t="s">
        <v>2087</v>
      </c>
      <c r="C1485" s="165">
        <v>10000</v>
      </c>
      <c r="D1485" s="228"/>
      <c r="E1485" s="228"/>
      <c r="F1485" s="228"/>
      <c r="G1485" s="228"/>
      <c r="H1485" s="228"/>
      <c r="I1485" s="228"/>
      <c r="J1485" s="228"/>
      <c r="K1485" s="228"/>
      <c r="L1485" s="228">
        <v>5100</v>
      </c>
      <c r="M1485" s="228">
        <v>51000000</v>
      </c>
      <c r="N1485" s="228"/>
      <c r="O1485" s="228"/>
      <c r="P1485" s="228">
        <v>5100</v>
      </c>
      <c r="Q1485" s="228">
        <v>51000000</v>
      </c>
    </row>
    <row r="1486" spans="1:17">
      <c r="B1486" s="165" t="s">
        <v>2016</v>
      </c>
      <c r="C1486" s="165">
        <v>15800</v>
      </c>
      <c r="D1486" s="228"/>
      <c r="E1486" s="228"/>
      <c r="F1486" s="228"/>
      <c r="G1486" s="228"/>
      <c r="H1486" s="228"/>
      <c r="I1486" s="228"/>
      <c r="J1486" s="228"/>
      <c r="K1486" s="228"/>
      <c r="L1486" s="228">
        <v>3000</v>
      </c>
      <c r="M1486" s="228">
        <v>47400000</v>
      </c>
      <c r="N1486" s="228"/>
      <c r="O1486" s="228"/>
      <c r="P1486" s="228">
        <v>3000</v>
      </c>
      <c r="Q1486" s="228">
        <v>47400000</v>
      </c>
    </row>
    <row r="1487" spans="1:17">
      <c r="B1487" s="165" t="s">
        <v>2106</v>
      </c>
      <c r="C1487" s="165">
        <v>15400</v>
      </c>
      <c r="D1487" s="228"/>
      <c r="E1487" s="228"/>
      <c r="F1487" s="228"/>
      <c r="G1487" s="228"/>
      <c r="H1487" s="228"/>
      <c r="I1487" s="228"/>
      <c r="J1487" s="228"/>
      <c r="K1487" s="228"/>
      <c r="L1487" s="228">
        <v>5000</v>
      </c>
      <c r="M1487" s="228">
        <v>77000000</v>
      </c>
      <c r="N1487" s="228"/>
      <c r="O1487" s="228"/>
      <c r="P1487" s="228">
        <v>5000</v>
      </c>
      <c r="Q1487" s="228">
        <v>77000000</v>
      </c>
    </row>
    <row r="1488" spans="1:17">
      <c r="B1488" s="165" t="s">
        <v>2136</v>
      </c>
      <c r="C1488" s="165">
        <v>13800</v>
      </c>
      <c r="D1488" s="228"/>
      <c r="E1488" s="228"/>
      <c r="F1488" s="228"/>
      <c r="G1488" s="228"/>
      <c r="H1488" s="228"/>
      <c r="I1488" s="228"/>
      <c r="J1488" s="228"/>
      <c r="K1488" s="228"/>
      <c r="L1488" s="228">
        <v>10000</v>
      </c>
      <c r="M1488" s="228">
        <v>138000000</v>
      </c>
      <c r="N1488" s="228"/>
      <c r="O1488" s="228"/>
      <c r="P1488" s="228">
        <v>10000</v>
      </c>
      <c r="Q1488" s="228">
        <v>138000000</v>
      </c>
    </row>
    <row r="1489" spans="1:17">
      <c r="A1489" s="165" t="s">
        <v>2325</v>
      </c>
      <c r="B1489" s="165"/>
      <c r="C1489" s="165"/>
      <c r="D1489" s="228"/>
      <c r="E1489" s="228"/>
      <c r="F1489" s="228">
        <v>0</v>
      </c>
      <c r="G1489" s="228">
        <v>0</v>
      </c>
      <c r="H1489" s="228"/>
      <c r="I1489" s="228"/>
      <c r="J1489" s="228"/>
      <c r="K1489" s="228"/>
      <c r="L1489" s="228">
        <v>38100</v>
      </c>
      <c r="M1489" s="228">
        <v>500000000</v>
      </c>
      <c r="N1489" s="228"/>
      <c r="O1489" s="228"/>
      <c r="P1489" s="228">
        <v>38100</v>
      </c>
      <c r="Q1489" s="228">
        <v>500000000</v>
      </c>
    </row>
    <row r="1490" spans="1:17">
      <c r="A1490" s="165" t="s">
        <v>173</v>
      </c>
      <c r="B1490" s="165" t="s">
        <v>2027</v>
      </c>
      <c r="C1490" s="165">
        <v>2800</v>
      </c>
      <c r="D1490" s="228">
        <v>0</v>
      </c>
      <c r="E1490" s="228">
        <v>0</v>
      </c>
      <c r="F1490" s="228"/>
      <c r="G1490" s="228"/>
      <c r="H1490" s="228"/>
      <c r="I1490" s="228"/>
      <c r="J1490" s="228"/>
      <c r="K1490" s="228"/>
      <c r="L1490" s="228"/>
      <c r="M1490" s="228"/>
      <c r="N1490" s="228"/>
      <c r="O1490" s="228"/>
      <c r="P1490" s="228">
        <v>0</v>
      </c>
      <c r="Q1490" s="228">
        <v>0</v>
      </c>
    </row>
    <row r="1491" spans="1:17">
      <c r="B1491" s="165" t="s">
        <v>2029</v>
      </c>
      <c r="C1491" s="165">
        <v>4500</v>
      </c>
      <c r="D1491" s="228"/>
      <c r="E1491" s="228"/>
      <c r="F1491" s="228">
        <v>0</v>
      </c>
      <c r="G1491" s="228">
        <v>0</v>
      </c>
      <c r="H1491" s="228"/>
      <c r="I1491" s="228"/>
      <c r="J1491" s="228"/>
      <c r="K1491" s="228"/>
      <c r="L1491" s="228"/>
      <c r="M1491" s="228"/>
      <c r="N1491" s="228"/>
      <c r="O1491" s="228"/>
      <c r="P1491" s="228">
        <v>0</v>
      </c>
      <c r="Q1491" s="228">
        <v>0</v>
      </c>
    </row>
    <row r="1492" spans="1:17">
      <c r="B1492" s="165" t="s">
        <v>2080</v>
      </c>
      <c r="C1492" s="165">
        <v>3200</v>
      </c>
      <c r="D1492" s="228"/>
      <c r="E1492" s="228"/>
      <c r="F1492" s="228"/>
      <c r="G1492" s="228"/>
      <c r="H1492" s="228">
        <v>2000</v>
      </c>
      <c r="I1492" s="228">
        <v>6400000</v>
      </c>
      <c r="J1492" s="228"/>
      <c r="K1492" s="228"/>
      <c r="L1492" s="228"/>
      <c r="M1492" s="228"/>
      <c r="N1492" s="228"/>
      <c r="O1492" s="228"/>
      <c r="P1492" s="228">
        <v>2000</v>
      </c>
      <c r="Q1492" s="228">
        <v>6400000</v>
      </c>
    </row>
    <row r="1493" spans="1:17">
      <c r="B1493" s="165" t="s">
        <v>2114</v>
      </c>
      <c r="C1493" s="165">
        <v>3900</v>
      </c>
      <c r="D1493" s="228"/>
      <c r="E1493" s="228"/>
      <c r="F1493" s="228">
        <v>0</v>
      </c>
      <c r="G1493" s="228">
        <v>0</v>
      </c>
      <c r="H1493" s="228"/>
      <c r="I1493" s="228"/>
      <c r="J1493" s="228"/>
      <c r="K1493" s="228"/>
      <c r="L1493" s="228"/>
      <c r="M1493" s="228"/>
      <c r="N1493" s="228"/>
      <c r="O1493" s="228"/>
      <c r="P1493" s="228">
        <v>0</v>
      </c>
      <c r="Q1493" s="228">
        <v>0</v>
      </c>
    </row>
    <row r="1494" spans="1:17">
      <c r="C1494" s="165">
        <v>4000</v>
      </c>
      <c r="D1494" s="228"/>
      <c r="E1494" s="228"/>
      <c r="F1494" s="228">
        <v>0</v>
      </c>
      <c r="G1494" s="228">
        <v>0</v>
      </c>
      <c r="H1494" s="228"/>
      <c r="I1494" s="228"/>
      <c r="J1494" s="228"/>
      <c r="K1494" s="228"/>
      <c r="L1494" s="228"/>
      <c r="M1494" s="228"/>
      <c r="N1494" s="228"/>
      <c r="O1494" s="228"/>
      <c r="P1494" s="228">
        <v>0</v>
      </c>
      <c r="Q1494" s="228">
        <v>0</v>
      </c>
    </row>
    <row r="1495" spans="1:17">
      <c r="C1495" s="165">
        <v>4100</v>
      </c>
      <c r="D1495" s="228"/>
      <c r="E1495" s="228"/>
      <c r="F1495" s="228"/>
      <c r="G1495" s="228"/>
      <c r="H1495" s="228"/>
      <c r="I1495" s="228"/>
      <c r="J1495" s="228">
        <v>600</v>
      </c>
      <c r="K1495" s="228">
        <v>2460000</v>
      </c>
      <c r="L1495" s="228"/>
      <c r="M1495" s="228"/>
      <c r="N1495" s="228"/>
      <c r="O1495" s="228"/>
      <c r="P1495" s="228">
        <v>600</v>
      </c>
      <c r="Q1495" s="228">
        <v>2460000</v>
      </c>
    </row>
    <row r="1496" spans="1:17">
      <c r="B1496" s="165" t="s">
        <v>2116</v>
      </c>
      <c r="C1496" s="165">
        <v>3000</v>
      </c>
      <c r="D1496" s="228"/>
      <c r="E1496" s="228"/>
      <c r="F1496" s="228">
        <v>0</v>
      </c>
      <c r="G1496" s="228">
        <v>0</v>
      </c>
      <c r="H1496" s="228"/>
      <c r="I1496" s="228"/>
      <c r="J1496" s="228"/>
      <c r="K1496" s="228"/>
      <c r="L1496" s="228"/>
      <c r="M1496" s="228"/>
      <c r="N1496" s="228"/>
      <c r="O1496" s="228"/>
      <c r="P1496" s="228">
        <v>0</v>
      </c>
      <c r="Q1496" s="228">
        <v>0</v>
      </c>
    </row>
    <row r="1497" spans="1:17">
      <c r="C1497" s="165">
        <v>3200</v>
      </c>
      <c r="D1497" s="228"/>
      <c r="E1497" s="228"/>
      <c r="F1497" s="228">
        <v>0</v>
      </c>
      <c r="G1497" s="228">
        <v>0</v>
      </c>
      <c r="H1497" s="228"/>
      <c r="I1497" s="228"/>
      <c r="J1497" s="228"/>
      <c r="K1497" s="228"/>
      <c r="L1497" s="228"/>
      <c r="M1497" s="228"/>
      <c r="N1497" s="228"/>
      <c r="O1497" s="228"/>
      <c r="P1497" s="228">
        <v>0</v>
      </c>
      <c r="Q1497" s="228">
        <v>0</v>
      </c>
    </row>
    <row r="1498" spans="1:17">
      <c r="C1498" s="165">
        <v>3300</v>
      </c>
      <c r="D1498" s="228"/>
      <c r="E1498" s="228"/>
      <c r="F1498" s="228"/>
      <c r="G1498" s="228"/>
      <c r="H1498" s="228"/>
      <c r="I1498" s="228"/>
      <c r="J1498" s="228">
        <v>2000</v>
      </c>
      <c r="K1498" s="228">
        <v>6600000</v>
      </c>
      <c r="L1498" s="228"/>
      <c r="M1498" s="228"/>
      <c r="N1498" s="228"/>
      <c r="O1498" s="228"/>
      <c r="P1498" s="228">
        <v>2000</v>
      </c>
      <c r="Q1498" s="228">
        <v>6600000</v>
      </c>
    </row>
    <row r="1499" spans="1:17">
      <c r="B1499" s="165" t="s">
        <v>2125</v>
      </c>
      <c r="C1499" s="165">
        <v>2800</v>
      </c>
      <c r="D1499" s="228"/>
      <c r="E1499" s="228"/>
      <c r="F1499" s="228">
        <v>0</v>
      </c>
      <c r="G1499" s="228">
        <v>0</v>
      </c>
      <c r="H1499" s="228"/>
      <c r="I1499" s="228"/>
      <c r="J1499" s="228"/>
      <c r="K1499" s="228"/>
      <c r="L1499" s="228"/>
      <c r="M1499" s="228"/>
      <c r="N1499" s="228"/>
      <c r="O1499" s="228"/>
      <c r="P1499" s="228">
        <v>0</v>
      </c>
      <c r="Q1499" s="228">
        <v>0</v>
      </c>
    </row>
    <row r="1500" spans="1:17">
      <c r="C1500" s="165">
        <v>2900</v>
      </c>
      <c r="D1500" s="228">
        <v>0</v>
      </c>
      <c r="E1500" s="228">
        <v>0</v>
      </c>
      <c r="F1500" s="228">
        <v>0</v>
      </c>
      <c r="G1500" s="228">
        <v>0</v>
      </c>
      <c r="H1500" s="228"/>
      <c r="I1500" s="228"/>
      <c r="J1500" s="228">
        <v>2800</v>
      </c>
      <c r="K1500" s="228">
        <v>8120000</v>
      </c>
      <c r="L1500" s="228"/>
      <c r="M1500" s="228"/>
      <c r="N1500" s="228"/>
      <c r="O1500" s="228"/>
      <c r="P1500" s="228">
        <v>2800</v>
      </c>
      <c r="Q1500" s="228">
        <v>8120000</v>
      </c>
    </row>
    <row r="1501" spans="1:17">
      <c r="C1501" s="165">
        <v>3000</v>
      </c>
      <c r="D1501" s="228"/>
      <c r="E1501" s="228"/>
      <c r="F1501" s="228"/>
      <c r="G1501" s="228"/>
      <c r="H1501" s="228">
        <v>6000</v>
      </c>
      <c r="I1501" s="228">
        <v>18000000</v>
      </c>
      <c r="J1501" s="228"/>
      <c r="K1501" s="228"/>
      <c r="L1501" s="228"/>
      <c r="M1501" s="228"/>
      <c r="N1501" s="228"/>
      <c r="O1501" s="228"/>
      <c r="P1501" s="228">
        <v>6000</v>
      </c>
      <c r="Q1501" s="228">
        <v>18000000</v>
      </c>
    </row>
    <row r="1502" spans="1:17">
      <c r="B1502" s="165" t="s">
        <v>2175</v>
      </c>
      <c r="C1502" s="165">
        <v>2800</v>
      </c>
      <c r="D1502" s="228"/>
      <c r="E1502" s="228"/>
      <c r="F1502" s="228">
        <v>0</v>
      </c>
      <c r="G1502" s="228">
        <v>0</v>
      </c>
      <c r="H1502" s="228"/>
      <c r="I1502" s="228"/>
      <c r="J1502" s="228"/>
      <c r="K1502" s="228"/>
      <c r="L1502" s="228"/>
      <c r="M1502" s="228"/>
      <c r="N1502" s="228"/>
      <c r="O1502" s="228"/>
      <c r="P1502" s="228">
        <v>0</v>
      </c>
      <c r="Q1502" s="228">
        <v>0</v>
      </c>
    </row>
    <row r="1503" spans="1:17">
      <c r="B1503" s="165" t="s">
        <v>2176</v>
      </c>
      <c r="C1503" s="165">
        <v>4100</v>
      </c>
      <c r="D1503" s="228"/>
      <c r="E1503" s="228"/>
      <c r="F1503" s="228">
        <v>0</v>
      </c>
      <c r="G1503" s="228">
        <v>0</v>
      </c>
      <c r="H1503" s="228"/>
      <c r="I1503" s="228"/>
      <c r="J1503" s="228"/>
      <c r="K1503" s="228"/>
      <c r="L1503" s="228"/>
      <c r="M1503" s="228"/>
      <c r="N1503" s="228"/>
      <c r="O1503" s="228"/>
      <c r="P1503" s="228">
        <v>0</v>
      </c>
      <c r="Q1503" s="228">
        <v>0</v>
      </c>
    </row>
    <row r="1504" spans="1:17">
      <c r="C1504" s="165">
        <v>4200</v>
      </c>
      <c r="D1504" s="228"/>
      <c r="E1504" s="228"/>
      <c r="F1504" s="228">
        <v>0</v>
      </c>
      <c r="G1504" s="228">
        <v>0</v>
      </c>
      <c r="H1504" s="228"/>
      <c r="I1504" s="228"/>
      <c r="J1504" s="228"/>
      <c r="K1504" s="228"/>
      <c r="L1504" s="228"/>
      <c r="M1504" s="228"/>
      <c r="N1504" s="228"/>
      <c r="O1504" s="228"/>
      <c r="P1504" s="228">
        <v>0</v>
      </c>
      <c r="Q1504" s="228">
        <v>0</v>
      </c>
    </row>
    <row r="1505" spans="1:17">
      <c r="A1505" s="165" t="s">
        <v>2326</v>
      </c>
      <c r="B1505" s="165"/>
      <c r="C1505" s="165"/>
      <c r="D1505" s="228">
        <v>0</v>
      </c>
      <c r="E1505" s="228">
        <v>0</v>
      </c>
      <c r="F1505" s="228">
        <v>0</v>
      </c>
      <c r="G1505" s="228">
        <v>0</v>
      </c>
      <c r="H1505" s="228">
        <v>8000</v>
      </c>
      <c r="I1505" s="228">
        <v>24400000</v>
      </c>
      <c r="J1505" s="228">
        <v>5400</v>
      </c>
      <c r="K1505" s="228">
        <v>17180000</v>
      </c>
      <c r="L1505" s="228"/>
      <c r="M1505" s="228"/>
      <c r="N1505" s="228"/>
      <c r="O1505" s="228"/>
      <c r="P1505" s="228">
        <v>13400</v>
      </c>
      <c r="Q1505" s="228">
        <v>41580000</v>
      </c>
    </row>
    <row r="1506" spans="1:17">
      <c r="A1506" s="165" t="s">
        <v>1804</v>
      </c>
      <c r="B1506" s="165" t="s">
        <v>2067</v>
      </c>
      <c r="C1506" s="165">
        <v>5400</v>
      </c>
      <c r="D1506" s="228"/>
      <c r="E1506" s="228"/>
      <c r="F1506" s="228">
        <v>0</v>
      </c>
      <c r="G1506" s="228">
        <v>0</v>
      </c>
      <c r="H1506" s="228"/>
      <c r="I1506" s="228"/>
      <c r="J1506" s="228"/>
      <c r="K1506" s="228"/>
      <c r="L1506" s="228"/>
      <c r="M1506" s="228"/>
      <c r="N1506" s="228"/>
      <c r="O1506" s="228"/>
      <c r="P1506" s="228">
        <v>0</v>
      </c>
      <c r="Q1506" s="228">
        <v>0</v>
      </c>
    </row>
    <row r="1507" spans="1:17">
      <c r="B1507" s="165" t="s">
        <v>2086</v>
      </c>
      <c r="C1507" s="165">
        <v>5500</v>
      </c>
      <c r="D1507" s="228"/>
      <c r="E1507" s="228"/>
      <c r="F1507" s="228">
        <v>0</v>
      </c>
      <c r="G1507" s="228">
        <v>0</v>
      </c>
      <c r="H1507" s="228"/>
      <c r="I1507" s="228"/>
      <c r="J1507" s="228"/>
      <c r="K1507" s="228"/>
      <c r="L1507" s="228"/>
      <c r="M1507" s="228"/>
      <c r="N1507" s="228"/>
      <c r="O1507" s="228"/>
      <c r="P1507" s="228">
        <v>0</v>
      </c>
      <c r="Q1507" s="228">
        <v>0</v>
      </c>
    </row>
    <row r="1508" spans="1:17">
      <c r="B1508" s="165" t="s">
        <v>2009</v>
      </c>
      <c r="C1508" s="165">
        <v>5500</v>
      </c>
      <c r="D1508" s="228"/>
      <c r="E1508" s="228"/>
      <c r="F1508" s="228"/>
      <c r="G1508" s="228"/>
      <c r="H1508" s="228"/>
      <c r="I1508" s="228"/>
      <c r="J1508" s="228">
        <v>3000</v>
      </c>
      <c r="K1508" s="228">
        <v>16500000</v>
      </c>
      <c r="L1508" s="228"/>
      <c r="M1508" s="228"/>
      <c r="N1508" s="228"/>
      <c r="O1508" s="228"/>
      <c r="P1508" s="228">
        <v>3000</v>
      </c>
      <c r="Q1508" s="228">
        <v>16500000</v>
      </c>
    </row>
    <row r="1509" spans="1:17">
      <c r="B1509" s="165" t="s">
        <v>2169</v>
      </c>
      <c r="C1509" s="165">
        <v>4800</v>
      </c>
      <c r="D1509" s="228"/>
      <c r="E1509" s="228"/>
      <c r="F1509" s="228">
        <v>0</v>
      </c>
      <c r="G1509" s="228">
        <v>0</v>
      </c>
      <c r="H1509" s="228"/>
      <c r="I1509" s="228"/>
      <c r="J1509" s="228"/>
      <c r="K1509" s="228"/>
      <c r="L1509" s="228"/>
      <c r="M1509" s="228"/>
      <c r="N1509" s="228"/>
      <c r="O1509" s="228"/>
      <c r="P1509" s="228">
        <v>0</v>
      </c>
      <c r="Q1509" s="228">
        <v>0</v>
      </c>
    </row>
    <row r="1510" spans="1:17">
      <c r="A1510" s="165" t="s">
        <v>2327</v>
      </c>
      <c r="B1510" s="165"/>
      <c r="C1510" s="165"/>
      <c r="D1510" s="228"/>
      <c r="E1510" s="228"/>
      <c r="F1510" s="228">
        <v>0</v>
      </c>
      <c r="G1510" s="228">
        <v>0</v>
      </c>
      <c r="H1510" s="228"/>
      <c r="I1510" s="228"/>
      <c r="J1510" s="228">
        <v>3000</v>
      </c>
      <c r="K1510" s="228">
        <v>16500000</v>
      </c>
      <c r="L1510" s="228"/>
      <c r="M1510" s="228"/>
      <c r="N1510" s="228"/>
      <c r="O1510" s="228"/>
      <c r="P1510" s="228">
        <v>3000</v>
      </c>
      <c r="Q1510" s="228">
        <v>16500000</v>
      </c>
    </row>
    <row r="1511" spans="1:17">
      <c r="A1511" s="165" t="s">
        <v>969</v>
      </c>
      <c r="B1511" s="165" t="s">
        <v>1878</v>
      </c>
      <c r="C1511" s="165">
        <v>3500</v>
      </c>
      <c r="D1511" s="228"/>
      <c r="E1511" s="228"/>
      <c r="F1511" s="228">
        <v>0</v>
      </c>
      <c r="G1511" s="228">
        <v>0</v>
      </c>
      <c r="H1511" s="228"/>
      <c r="I1511" s="228"/>
      <c r="J1511" s="228"/>
      <c r="K1511" s="228"/>
      <c r="L1511" s="228"/>
      <c r="M1511" s="228"/>
      <c r="N1511" s="228"/>
      <c r="O1511" s="228"/>
      <c r="P1511" s="228">
        <v>0</v>
      </c>
      <c r="Q1511" s="228">
        <v>0</v>
      </c>
    </row>
    <row r="1512" spans="1:17">
      <c r="B1512" s="165" t="s">
        <v>2169</v>
      </c>
      <c r="C1512" s="165">
        <v>4600</v>
      </c>
      <c r="D1512" s="228">
        <v>-2100</v>
      </c>
      <c r="E1512" s="228">
        <v>-9660000</v>
      </c>
      <c r="F1512" s="228">
        <v>0</v>
      </c>
      <c r="G1512" s="228">
        <v>0</v>
      </c>
      <c r="H1512" s="228"/>
      <c r="I1512" s="228"/>
      <c r="J1512" s="228"/>
      <c r="K1512" s="228"/>
      <c r="L1512" s="228"/>
      <c r="M1512" s="228"/>
      <c r="N1512" s="228"/>
      <c r="O1512" s="228"/>
      <c r="P1512" s="228">
        <v>-2100</v>
      </c>
      <c r="Q1512" s="228">
        <v>-9660000</v>
      </c>
    </row>
    <row r="1513" spans="1:17">
      <c r="B1513" s="165" t="s">
        <v>2188</v>
      </c>
      <c r="C1513" s="165">
        <v>4000</v>
      </c>
      <c r="D1513" s="228"/>
      <c r="E1513" s="228"/>
      <c r="F1513" s="228">
        <v>0</v>
      </c>
      <c r="G1513" s="228">
        <v>0</v>
      </c>
      <c r="H1513" s="228"/>
      <c r="I1513" s="228"/>
      <c r="J1513" s="228"/>
      <c r="K1513" s="228"/>
      <c r="L1513" s="228"/>
      <c r="M1513" s="228"/>
      <c r="N1513" s="228"/>
      <c r="O1513" s="228"/>
      <c r="P1513" s="228">
        <v>0</v>
      </c>
      <c r="Q1513" s="228">
        <v>0</v>
      </c>
    </row>
    <row r="1514" spans="1:17">
      <c r="B1514" s="165" t="s">
        <v>2190</v>
      </c>
      <c r="C1514" s="165">
        <v>5000</v>
      </c>
      <c r="D1514" s="228"/>
      <c r="E1514" s="228"/>
      <c r="F1514" s="228">
        <v>0</v>
      </c>
      <c r="G1514" s="228">
        <v>0</v>
      </c>
      <c r="H1514" s="228"/>
      <c r="I1514" s="228"/>
      <c r="J1514" s="228"/>
      <c r="K1514" s="228"/>
      <c r="L1514" s="228"/>
      <c r="M1514" s="228"/>
      <c r="N1514" s="228"/>
      <c r="O1514" s="228"/>
      <c r="P1514" s="228">
        <v>0</v>
      </c>
      <c r="Q1514" s="228">
        <v>0</v>
      </c>
    </row>
    <row r="1515" spans="1:17">
      <c r="A1515" s="165" t="s">
        <v>2328</v>
      </c>
      <c r="B1515" s="165"/>
      <c r="C1515" s="165"/>
      <c r="D1515" s="228">
        <v>-2100</v>
      </c>
      <c r="E1515" s="228">
        <v>-9660000</v>
      </c>
      <c r="F1515" s="228">
        <v>0</v>
      </c>
      <c r="G1515" s="228">
        <v>0</v>
      </c>
      <c r="H1515" s="228"/>
      <c r="I1515" s="228"/>
      <c r="J1515" s="228"/>
      <c r="K1515" s="228"/>
      <c r="L1515" s="228"/>
      <c r="M1515" s="228"/>
      <c r="N1515" s="228"/>
      <c r="O1515" s="228"/>
      <c r="P1515" s="228">
        <v>-2100</v>
      </c>
      <c r="Q1515" s="228">
        <v>-9660000</v>
      </c>
    </row>
    <row r="1516" spans="1:17">
      <c r="A1516" s="165" t="s">
        <v>987</v>
      </c>
      <c r="B1516" s="165" t="s">
        <v>2025</v>
      </c>
      <c r="C1516" s="165">
        <v>4200</v>
      </c>
      <c r="D1516" s="228"/>
      <c r="E1516" s="228"/>
      <c r="F1516" s="228">
        <v>0</v>
      </c>
      <c r="G1516" s="228">
        <v>0</v>
      </c>
      <c r="H1516" s="228"/>
      <c r="I1516" s="228"/>
      <c r="J1516" s="228"/>
      <c r="K1516" s="228"/>
      <c r="L1516" s="228"/>
      <c r="M1516" s="228"/>
      <c r="N1516" s="228"/>
      <c r="O1516" s="228"/>
      <c r="P1516" s="228">
        <v>0</v>
      </c>
      <c r="Q1516" s="228">
        <v>0</v>
      </c>
    </row>
    <row r="1517" spans="1:17">
      <c r="B1517" s="165" t="s">
        <v>2011</v>
      </c>
      <c r="C1517" s="165">
        <v>10600</v>
      </c>
      <c r="D1517" s="228"/>
      <c r="E1517" s="228"/>
      <c r="F1517" s="228"/>
      <c r="G1517" s="228"/>
      <c r="H1517" s="228"/>
      <c r="I1517" s="228"/>
      <c r="J1517" s="228"/>
      <c r="K1517" s="228"/>
      <c r="L1517" s="228">
        <v>5000</v>
      </c>
      <c r="M1517" s="228">
        <v>53000000</v>
      </c>
      <c r="N1517" s="228"/>
      <c r="O1517" s="228"/>
      <c r="P1517" s="228">
        <v>5000</v>
      </c>
      <c r="Q1517" s="228">
        <v>53000000</v>
      </c>
    </row>
    <row r="1518" spans="1:17">
      <c r="B1518" s="165" t="s">
        <v>2067</v>
      </c>
      <c r="C1518" s="165">
        <v>5500</v>
      </c>
      <c r="D1518" s="228"/>
      <c r="E1518" s="228"/>
      <c r="F1518" s="228">
        <v>0</v>
      </c>
      <c r="G1518" s="228">
        <v>0</v>
      </c>
      <c r="H1518" s="228"/>
      <c r="I1518" s="228"/>
      <c r="J1518" s="228"/>
      <c r="K1518" s="228"/>
      <c r="L1518" s="228"/>
      <c r="M1518" s="228"/>
      <c r="N1518" s="228"/>
      <c r="O1518" s="228"/>
      <c r="P1518" s="228">
        <v>0</v>
      </c>
      <c r="Q1518" s="228">
        <v>0</v>
      </c>
    </row>
    <row r="1519" spans="1:17">
      <c r="B1519" s="165" t="s">
        <v>2016</v>
      </c>
      <c r="C1519" s="165">
        <v>13600</v>
      </c>
      <c r="D1519" s="228"/>
      <c r="E1519" s="228"/>
      <c r="F1519" s="228"/>
      <c r="G1519" s="228"/>
      <c r="H1519" s="228"/>
      <c r="I1519" s="228"/>
      <c r="J1519" s="228"/>
      <c r="K1519" s="228"/>
      <c r="L1519" s="228">
        <v>2375</v>
      </c>
      <c r="M1519" s="228">
        <v>32300000</v>
      </c>
      <c r="N1519" s="228"/>
      <c r="O1519" s="228"/>
      <c r="P1519" s="228">
        <v>2375</v>
      </c>
      <c r="Q1519" s="228">
        <v>32300000</v>
      </c>
    </row>
    <row r="1520" spans="1:17">
      <c r="B1520" s="165" t="s">
        <v>2017</v>
      </c>
      <c r="C1520" s="165">
        <v>16200</v>
      </c>
      <c r="D1520" s="228"/>
      <c r="E1520" s="228"/>
      <c r="F1520" s="228"/>
      <c r="G1520" s="228"/>
      <c r="H1520" s="228"/>
      <c r="I1520" s="228"/>
      <c r="J1520" s="228"/>
      <c r="K1520" s="228"/>
      <c r="L1520" s="228">
        <v>2800</v>
      </c>
      <c r="M1520" s="228">
        <v>45360000</v>
      </c>
      <c r="N1520" s="228"/>
      <c r="O1520" s="228"/>
      <c r="P1520" s="228">
        <v>2800</v>
      </c>
      <c r="Q1520" s="228">
        <v>45360000</v>
      </c>
    </row>
    <row r="1521" spans="1:17">
      <c r="B1521" s="165" t="s">
        <v>2140</v>
      </c>
      <c r="C1521" s="165">
        <v>3800</v>
      </c>
      <c r="D1521" s="228"/>
      <c r="E1521" s="228"/>
      <c r="F1521" s="228">
        <v>0</v>
      </c>
      <c r="G1521" s="228">
        <v>0</v>
      </c>
      <c r="H1521" s="228"/>
      <c r="I1521" s="228"/>
      <c r="J1521" s="228"/>
      <c r="K1521" s="228"/>
      <c r="L1521" s="228"/>
      <c r="M1521" s="228"/>
      <c r="N1521" s="228"/>
      <c r="O1521" s="228"/>
      <c r="P1521" s="228">
        <v>0</v>
      </c>
      <c r="Q1521" s="228">
        <v>0</v>
      </c>
    </row>
    <row r="1522" spans="1:17">
      <c r="C1522" s="165">
        <v>3900</v>
      </c>
      <c r="D1522" s="228"/>
      <c r="E1522" s="228"/>
      <c r="F1522" s="228"/>
      <c r="G1522" s="228"/>
      <c r="H1522" s="228">
        <v>10200</v>
      </c>
      <c r="I1522" s="228">
        <v>39780000</v>
      </c>
      <c r="J1522" s="228"/>
      <c r="K1522" s="228"/>
      <c r="L1522" s="228">
        <v>10200</v>
      </c>
      <c r="M1522" s="228">
        <v>39780000</v>
      </c>
      <c r="N1522" s="228"/>
      <c r="O1522" s="228"/>
      <c r="P1522" s="228">
        <v>20400</v>
      </c>
      <c r="Q1522" s="228">
        <v>79560000</v>
      </c>
    </row>
    <row r="1523" spans="1:17">
      <c r="B1523" s="165" t="s">
        <v>2015</v>
      </c>
      <c r="C1523" s="165">
        <v>10700</v>
      </c>
      <c r="D1523" s="228"/>
      <c r="E1523" s="228"/>
      <c r="F1523" s="228"/>
      <c r="G1523" s="228"/>
      <c r="H1523" s="228"/>
      <c r="I1523" s="228"/>
      <c r="J1523" s="228"/>
      <c r="K1523" s="228"/>
      <c r="L1523" s="228">
        <v>5000</v>
      </c>
      <c r="M1523" s="228">
        <v>53500000</v>
      </c>
      <c r="N1523" s="228"/>
      <c r="O1523" s="228"/>
      <c r="P1523" s="228">
        <v>5000</v>
      </c>
      <c r="Q1523" s="228">
        <v>53500000</v>
      </c>
    </row>
    <row r="1524" spans="1:17">
      <c r="B1524" s="165" t="s">
        <v>2018</v>
      </c>
      <c r="C1524" s="165">
        <v>15300</v>
      </c>
      <c r="D1524" s="228"/>
      <c r="E1524" s="228"/>
      <c r="F1524" s="228"/>
      <c r="G1524" s="228"/>
      <c r="H1524" s="228"/>
      <c r="I1524" s="228"/>
      <c r="J1524" s="228"/>
      <c r="K1524" s="228"/>
      <c r="L1524" s="228">
        <v>5040</v>
      </c>
      <c r="M1524" s="228">
        <v>77112000</v>
      </c>
      <c r="N1524" s="228"/>
      <c r="O1524" s="228"/>
      <c r="P1524" s="228">
        <v>5040</v>
      </c>
      <c r="Q1524" s="228">
        <v>77112000</v>
      </c>
    </row>
    <row r="1525" spans="1:17">
      <c r="B1525" s="165" t="s">
        <v>2019</v>
      </c>
      <c r="C1525" s="165">
        <v>9400</v>
      </c>
      <c r="D1525" s="228"/>
      <c r="E1525" s="228"/>
      <c r="F1525" s="228"/>
      <c r="G1525" s="228"/>
      <c r="H1525" s="228"/>
      <c r="I1525" s="228"/>
      <c r="J1525" s="228"/>
      <c r="K1525" s="228"/>
      <c r="L1525" s="228">
        <v>10200</v>
      </c>
      <c r="M1525" s="228">
        <v>95880000</v>
      </c>
      <c r="N1525" s="228"/>
      <c r="O1525" s="228"/>
      <c r="P1525" s="228">
        <v>10200</v>
      </c>
      <c r="Q1525" s="228">
        <v>95880000</v>
      </c>
    </row>
    <row r="1526" spans="1:17">
      <c r="B1526" s="165" t="s">
        <v>2186</v>
      </c>
      <c r="C1526" s="165">
        <v>2800</v>
      </c>
      <c r="D1526" s="228"/>
      <c r="E1526" s="228"/>
      <c r="F1526" s="228">
        <v>0</v>
      </c>
      <c r="G1526" s="228">
        <v>0</v>
      </c>
      <c r="H1526" s="228"/>
      <c r="I1526" s="228"/>
      <c r="J1526" s="228"/>
      <c r="K1526" s="228"/>
      <c r="L1526" s="228"/>
      <c r="M1526" s="228"/>
      <c r="N1526" s="228"/>
      <c r="O1526" s="228"/>
      <c r="P1526" s="228">
        <v>0</v>
      </c>
      <c r="Q1526" s="228">
        <v>0</v>
      </c>
    </row>
    <row r="1527" spans="1:17">
      <c r="B1527" s="165" t="s">
        <v>2188</v>
      </c>
      <c r="C1527" s="165">
        <v>3900</v>
      </c>
      <c r="D1527" s="228"/>
      <c r="E1527" s="228"/>
      <c r="F1527" s="228">
        <v>0</v>
      </c>
      <c r="G1527" s="228">
        <v>0</v>
      </c>
      <c r="H1527" s="228"/>
      <c r="I1527" s="228"/>
      <c r="J1527" s="228"/>
      <c r="K1527" s="228"/>
      <c r="L1527" s="228"/>
      <c r="M1527" s="228"/>
      <c r="N1527" s="228"/>
      <c r="O1527" s="228"/>
      <c r="P1527" s="228">
        <v>0</v>
      </c>
      <c r="Q1527" s="228">
        <v>0</v>
      </c>
    </row>
    <row r="1528" spans="1:17">
      <c r="C1528" s="165">
        <v>4000</v>
      </c>
      <c r="D1528" s="228"/>
      <c r="E1528" s="228"/>
      <c r="F1528" s="228"/>
      <c r="G1528" s="228"/>
      <c r="H1528" s="228">
        <v>5100</v>
      </c>
      <c r="I1528" s="228">
        <v>20400000</v>
      </c>
      <c r="J1528" s="228"/>
      <c r="K1528" s="228"/>
      <c r="L1528" s="228">
        <v>5100</v>
      </c>
      <c r="M1528" s="228">
        <v>20400000</v>
      </c>
      <c r="N1528" s="228"/>
      <c r="O1528" s="228"/>
      <c r="P1528" s="228">
        <v>10200</v>
      </c>
      <c r="Q1528" s="228">
        <v>40800000</v>
      </c>
    </row>
    <row r="1529" spans="1:17">
      <c r="A1529" s="165" t="s">
        <v>2329</v>
      </c>
      <c r="B1529" s="165"/>
      <c r="C1529" s="165"/>
      <c r="D1529" s="228"/>
      <c r="E1529" s="228"/>
      <c r="F1529" s="228">
        <v>0</v>
      </c>
      <c r="G1529" s="228">
        <v>0</v>
      </c>
      <c r="H1529" s="228">
        <v>15300</v>
      </c>
      <c r="I1529" s="228">
        <v>60180000</v>
      </c>
      <c r="J1529" s="228"/>
      <c r="K1529" s="228"/>
      <c r="L1529" s="228">
        <v>45715</v>
      </c>
      <c r="M1529" s="228">
        <v>417332000</v>
      </c>
      <c r="N1529" s="228"/>
      <c r="O1529" s="228"/>
      <c r="P1529" s="228">
        <v>61015</v>
      </c>
      <c r="Q1529" s="228">
        <v>477512000</v>
      </c>
    </row>
    <row r="1530" spans="1:17">
      <c r="A1530" s="165" t="s">
        <v>208</v>
      </c>
      <c r="B1530" s="165" t="s">
        <v>2036</v>
      </c>
      <c r="C1530" s="165">
        <v>4370</v>
      </c>
      <c r="D1530" s="228">
        <v>0</v>
      </c>
      <c r="E1530" s="228">
        <v>0</v>
      </c>
      <c r="F1530" s="228"/>
      <c r="G1530" s="228"/>
      <c r="H1530" s="228"/>
      <c r="I1530" s="228"/>
      <c r="J1530" s="228"/>
      <c r="K1530" s="228"/>
      <c r="L1530" s="228"/>
      <c r="M1530" s="228"/>
      <c r="N1530" s="228"/>
      <c r="O1530" s="228"/>
      <c r="P1530" s="228">
        <v>0</v>
      </c>
      <c r="Q1530" s="228">
        <v>0</v>
      </c>
    </row>
    <row r="1531" spans="1:17">
      <c r="B1531" s="165" t="s">
        <v>2038</v>
      </c>
      <c r="C1531" s="165">
        <v>4370</v>
      </c>
      <c r="D1531" s="228"/>
      <c r="E1531" s="228"/>
      <c r="F1531" s="228">
        <v>0</v>
      </c>
      <c r="G1531" s="228">
        <v>0</v>
      </c>
      <c r="H1531" s="228"/>
      <c r="I1531" s="228"/>
      <c r="J1531" s="228"/>
      <c r="K1531" s="228"/>
      <c r="L1531" s="228"/>
      <c r="M1531" s="228"/>
      <c r="N1531" s="228"/>
      <c r="O1531" s="228"/>
      <c r="P1531" s="228">
        <v>0</v>
      </c>
      <c r="Q1531" s="228">
        <v>0</v>
      </c>
    </row>
    <row r="1532" spans="1:17">
      <c r="B1532" s="165" t="s">
        <v>2039</v>
      </c>
      <c r="C1532" s="165">
        <v>6300</v>
      </c>
      <c r="D1532" s="228">
        <v>0</v>
      </c>
      <c r="E1532" s="228">
        <v>0</v>
      </c>
      <c r="F1532" s="228"/>
      <c r="G1532" s="228"/>
      <c r="H1532" s="228"/>
      <c r="I1532" s="228"/>
      <c r="J1532" s="228"/>
      <c r="K1532" s="228"/>
      <c r="L1532" s="228"/>
      <c r="M1532" s="228"/>
      <c r="N1532" s="228"/>
      <c r="O1532" s="228"/>
      <c r="P1532" s="228">
        <v>0</v>
      </c>
      <c r="Q1532" s="228">
        <v>0</v>
      </c>
    </row>
    <row r="1533" spans="1:17">
      <c r="B1533" s="165" t="s">
        <v>2067</v>
      </c>
      <c r="C1533" s="165">
        <v>5500</v>
      </c>
      <c r="D1533" s="228"/>
      <c r="E1533" s="228"/>
      <c r="F1533" s="228">
        <v>0</v>
      </c>
      <c r="G1533" s="228">
        <v>0</v>
      </c>
      <c r="H1533" s="228"/>
      <c r="I1533" s="228"/>
      <c r="J1533" s="228"/>
      <c r="K1533" s="228"/>
      <c r="L1533" s="228"/>
      <c r="M1533" s="228"/>
      <c r="N1533" s="228"/>
      <c r="O1533" s="228"/>
      <c r="P1533" s="228">
        <v>0</v>
      </c>
      <c r="Q1533" s="228">
        <v>0</v>
      </c>
    </row>
    <row r="1534" spans="1:17">
      <c r="B1534" s="165" t="s">
        <v>2009</v>
      </c>
      <c r="C1534" s="165">
        <v>5000</v>
      </c>
      <c r="D1534" s="228">
        <v>0</v>
      </c>
      <c r="E1534" s="228">
        <v>0</v>
      </c>
      <c r="F1534" s="228"/>
      <c r="G1534" s="228"/>
      <c r="H1534" s="228"/>
      <c r="I1534" s="228"/>
      <c r="J1534" s="228"/>
      <c r="K1534" s="228"/>
      <c r="L1534" s="228"/>
      <c r="M1534" s="228"/>
      <c r="N1534" s="228"/>
      <c r="O1534" s="228"/>
      <c r="P1534" s="228">
        <v>0</v>
      </c>
      <c r="Q1534" s="228">
        <v>0</v>
      </c>
    </row>
    <row r="1535" spans="1:17">
      <c r="B1535" s="165" t="s">
        <v>2169</v>
      </c>
      <c r="C1535" s="165">
        <v>4600</v>
      </c>
      <c r="D1535" s="228">
        <v>0</v>
      </c>
      <c r="E1535" s="228">
        <v>0</v>
      </c>
      <c r="F1535" s="228">
        <v>0</v>
      </c>
      <c r="G1535" s="228">
        <v>0</v>
      </c>
      <c r="H1535" s="228"/>
      <c r="I1535" s="228"/>
      <c r="J1535" s="228"/>
      <c r="K1535" s="228"/>
      <c r="L1535" s="228"/>
      <c r="M1535" s="228"/>
      <c r="N1535" s="228"/>
      <c r="O1535" s="228"/>
      <c r="P1535" s="228">
        <v>0</v>
      </c>
      <c r="Q1535" s="228">
        <v>0</v>
      </c>
    </row>
    <row r="1536" spans="1:17">
      <c r="A1536" s="165" t="s">
        <v>2330</v>
      </c>
      <c r="B1536" s="165"/>
      <c r="C1536" s="165"/>
      <c r="D1536" s="228">
        <v>0</v>
      </c>
      <c r="E1536" s="228">
        <v>0</v>
      </c>
      <c r="F1536" s="228">
        <v>0</v>
      </c>
      <c r="G1536" s="228">
        <v>0</v>
      </c>
      <c r="H1536" s="228"/>
      <c r="I1536" s="228"/>
      <c r="J1536" s="228"/>
      <c r="K1536" s="228"/>
      <c r="L1536" s="228"/>
      <c r="M1536" s="228"/>
      <c r="N1536" s="228"/>
      <c r="O1536" s="228"/>
      <c r="P1536" s="228">
        <v>0</v>
      </c>
      <c r="Q1536" s="228">
        <v>0</v>
      </c>
    </row>
    <row r="1537" spans="1:17">
      <c r="A1537" s="165" t="s">
        <v>605</v>
      </c>
      <c r="B1537" s="165" t="s">
        <v>2067</v>
      </c>
      <c r="C1537" s="165">
        <v>5500</v>
      </c>
      <c r="D1537" s="228"/>
      <c r="E1537" s="228"/>
      <c r="F1537" s="228">
        <v>0</v>
      </c>
      <c r="G1537" s="228">
        <v>0</v>
      </c>
      <c r="H1537" s="228"/>
      <c r="I1537" s="228"/>
      <c r="J1537" s="228"/>
      <c r="K1537" s="228"/>
      <c r="L1537" s="228"/>
      <c r="M1537" s="228"/>
      <c r="N1537" s="228"/>
      <c r="O1537" s="228"/>
      <c r="P1537" s="228">
        <v>0</v>
      </c>
      <c r="Q1537" s="228">
        <v>0</v>
      </c>
    </row>
    <row r="1538" spans="1:17">
      <c r="B1538" s="165" t="s">
        <v>2020</v>
      </c>
      <c r="C1538" s="165">
        <v>12100</v>
      </c>
      <c r="D1538" s="228"/>
      <c r="E1538" s="228"/>
      <c r="F1538" s="228"/>
      <c r="G1538" s="228"/>
      <c r="H1538" s="228"/>
      <c r="I1538" s="228"/>
      <c r="J1538" s="228"/>
      <c r="K1538" s="228"/>
      <c r="L1538" s="228">
        <v>2100</v>
      </c>
      <c r="M1538" s="228">
        <v>25410000</v>
      </c>
      <c r="N1538" s="228"/>
      <c r="O1538" s="228"/>
      <c r="P1538" s="228">
        <v>2100</v>
      </c>
      <c r="Q1538" s="228">
        <v>25410000</v>
      </c>
    </row>
    <row r="1539" spans="1:17">
      <c r="B1539" s="165" t="s">
        <v>2118</v>
      </c>
      <c r="C1539" s="165">
        <v>5000</v>
      </c>
      <c r="D1539" s="228"/>
      <c r="E1539" s="228"/>
      <c r="F1539" s="228">
        <v>0</v>
      </c>
      <c r="G1539" s="228">
        <v>0</v>
      </c>
      <c r="H1539" s="228"/>
      <c r="I1539" s="228"/>
      <c r="J1539" s="228"/>
      <c r="K1539" s="228"/>
      <c r="L1539" s="228"/>
      <c r="M1539" s="228"/>
      <c r="N1539" s="228"/>
      <c r="O1539" s="228"/>
      <c r="P1539" s="228">
        <v>0</v>
      </c>
      <c r="Q1539" s="228">
        <v>0</v>
      </c>
    </row>
    <row r="1540" spans="1:17">
      <c r="B1540" s="165" t="s">
        <v>2021</v>
      </c>
      <c r="C1540" s="165">
        <v>10200</v>
      </c>
      <c r="D1540" s="228"/>
      <c r="E1540" s="228"/>
      <c r="F1540" s="228"/>
      <c r="G1540" s="228"/>
      <c r="H1540" s="228"/>
      <c r="I1540" s="228"/>
      <c r="J1540" s="228"/>
      <c r="K1540" s="228"/>
      <c r="L1540" s="228">
        <v>2100</v>
      </c>
      <c r="M1540" s="228">
        <v>21420000</v>
      </c>
      <c r="N1540" s="228"/>
      <c r="O1540" s="228"/>
      <c r="P1540" s="228">
        <v>2100</v>
      </c>
      <c r="Q1540" s="228">
        <v>21420000</v>
      </c>
    </row>
    <row r="1541" spans="1:17">
      <c r="B1541" s="165" t="s">
        <v>2022</v>
      </c>
      <c r="C1541" s="165">
        <v>8800</v>
      </c>
      <c r="D1541" s="228"/>
      <c r="E1541" s="228"/>
      <c r="F1541" s="228"/>
      <c r="G1541" s="228"/>
      <c r="H1541" s="228"/>
      <c r="I1541" s="228"/>
      <c r="J1541" s="228"/>
      <c r="K1541" s="228"/>
      <c r="L1541" s="228">
        <v>3200</v>
      </c>
      <c r="M1541" s="228">
        <v>28160000</v>
      </c>
      <c r="N1541" s="228"/>
      <c r="O1541" s="228"/>
      <c r="P1541" s="228">
        <v>3200</v>
      </c>
      <c r="Q1541" s="228">
        <v>28160000</v>
      </c>
    </row>
    <row r="1542" spans="1:17">
      <c r="B1542" s="165" t="s">
        <v>2015</v>
      </c>
      <c r="C1542" s="165">
        <v>10500</v>
      </c>
      <c r="D1542" s="228"/>
      <c r="E1542" s="228"/>
      <c r="F1542" s="228"/>
      <c r="G1542" s="228"/>
      <c r="H1542" s="228"/>
      <c r="I1542" s="228"/>
      <c r="J1542" s="228"/>
      <c r="K1542" s="228"/>
      <c r="L1542" s="228">
        <v>2000</v>
      </c>
      <c r="M1542" s="228">
        <v>21000000</v>
      </c>
      <c r="N1542" s="228"/>
      <c r="O1542" s="228"/>
      <c r="P1542" s="228">
        <v>2000</v>
      </c>
      <c r="Q1542" s="228">
        <v>21000000</v>
      </c>
    </row>
    <row r="1543" spans="1:17">
      <c r="B1543" s="165" t="s">
        <v>2023</v>
      </c>
      <c r="C1543" s="165">
        <v>10800</v>
      </c>
      <c r="D1543" s="228"/>
      <c r="E1543" s="228"/>
      <c r="F1543" s="228"/>
      <c r="G1543" s="228"/>
      <c r="H1543" s="228"/>
      <c r="I1543" s="228"/>
      <c r="J1543" s="228"/>
      <c r="K1543" s="228"/>
      <c r="L1543" s="228">
        <v>2500</v>
      </c>
      <c r="M1543" s="228">
        <v>27000000</v>
      </c>
      <c r="N1543" s="228"/>
      <c r="O1543" s="228"/>
      <c r="P1543" s="228">
        <v>2500</v>
      </c>
      <c r="Q1543" s="228">
        <v>27000000</v>
      </c>
    </row>
    <row r="1544" spans="1:17">
      <c r="B1544" s="165" t="s">
        <v>2178</v>
      </c>
      <c r="C1544" s="165">
        <v>8500</v>
      </c>
      <c r="D1544" s="228"/>
      <c r="E1544" s="228"/>
      <c r="F1544" s="228">
        <v>0</v>
      </c>
      <c r="G1544" s="228">
        <v>0</v>
      </c>
      <c r="H1544" s="228"/>
      <c r="I1544" s="228"/>
      <c r="J1544" s="228"/>
      <c r="K1544" s="228"/>
      <c r="L1544" s="228"/>
      <c r="M1544" s="228"/>
      <c r="N1544" s="228"/>
      <c r="O1544" s="228"/>
      <c r="P1544" s="228">
        <v>0</v>
      </c>
      <c r="Q1544" s="228">
        <v>0</v>
      </c>
    </row>
    <row r="1545" spans="1:17">
      <c r="A1545" s="165" t="s">
        <v>2331</v>
      </c>
      <c r="B1545" s="165"/>
      <c r="C1545" s="165"/>
      <c r="D1545" s="228"/>
      <c r="E1545" s="228"/>
      <c r="F1545" s="228">
        <v>0</v>
      </c>
      <c r="G1545" s="228">
        <v>0</v>
      </c>
      <c r="H1545" s="228"/>
      <c r="I1545" s="228"/>
      <c r="J1545" s="228"/>
      <c r="K1545" s="228"/>
      <c r="L1545" s="228">
        <v>11900</v>
      </c>
      <c r="M1545" s="228">
        <v>122990000</v>
      </c>
      <c r="N1545" s="228"/>
      <c r="O1545" s="228"/>
      <c r="P1545" s="228">
        <v>11900</v>
      </c>
      <c r="Q1545" s="228">
        <v>122990000</v>
      </c>
    </row>
    <row r="1546" spans="1:17">
      <c r="A1546" s="165" t="s">
        <v>814</v>
      </c>
      <c r="B1546" s="165" t="s">
        <v>2011</v>
      </c>
      <c r="C1546" s="165">
        <v>10500</v>
      </c>
      <c r="D1546" s="228"/>
      <c r="E1546" s="228"/>
      <c r="F1546" s="228"/>
      <c r="G1546" s="228"/>
      <c r="H1546" s="228"/>
      <c r="I1546" s="228"/>
      <c r="J1546" s="228"/>
      <c r="K1546" s="228"/>
      <c r="L1546" s="228">
        <v>10000</v>
      </c>
      <c r="M1546" s="228">
        <v>105000000</v>
      </c>
      <c r="N1546" s="228"/>
      <c r="O1546" s="228"/>
      <c r="P1546" s="228">
        <v>10000</v>
      </c>
      <c r="Q1546" s="228">
        <v>105000000</v>
      </c>
    </row>
    <row r="1547" spans="1:17">
      <c r="B1547" s="165" t="s">
        <v>2098</v>
      </c>
      <c r="C1547" s="165">
        <v>4000</v>
      </c>
      <c r="D1547" s="228"/>
      <c r="E1547" s="228"/>
      <c r="F1547" s="228">
        <v>0</v>
      </c>
      <c r="G1547" s="228">
        <v>0</v>
      </c>
      <c r="H1547" s="228">
        <v>10200</v>
      </c>
      <c r="I1547" s="228">
        <v>40800000</v>
      </c>
      <c r="J1547" s="228">
        <v>4800</v>
      </c>
      <c r="K1547" s="228">
        <v>19200000</v>
      </c>
      <c r="L1547" s="228">
        <v>30000</v>
      </c>
      <c r="M1547" s="228">
        <v>120000000</v>
      </c>
      <c r="N1547" s="228"/>
      <c r="O1547" s="228"/>
      <c r="P1547" s="228">
        <v>45000</v>
      </c>
      <c r="Q1547" s="228">
        <v>180000000</v>
      </c>
    </row>
    <row r="1548" spans="1:17">
      <c r="B1548" s="165" t="s">
        <v>2099</v>
      </c>
      <c r="C1548" s="165">
        <v>3900</v>
      </c>
      <c r="D1548" s="228">
        <v>0</v>
      </c>
      <c r="E1548" s="228">
        <v>0</v>
      </c>
      <c r="F1548" s="228">
        <v>0</v>
      </c>
      <c r="G1548" s="228">
        <v>0</v>
      </c>
      <c r="H1548" s="228"/>
      <c r="I1548" s="228"/>
      <c r="J1548" s="228"/>
      <c r="K1548" s="228"/>
      <c r="L1548" s="228"/>
      <c r="M1548" s="228"/>
      <c r="N1548" s="228"/>
      <c r="O1548" s="228"/>
      <c r="P1548" s="228">
        <v>0</v>
      </c>
      <c r="Q1548" s="228">
        <v>0</v>
      </c>
    </row>
    <row r="1549" spans="1:17">
      <c r="B1549" s="165" t="s">
        <v>2100</v>
      </c>
      <c r="C1549" s="165">
        <v>5000</v>
      </c>
      <c r="D1549" s="228"/>
      <c r="E1549" s="228"/>
      <c r="F1549" s="228"/>
      <c r="G1549" s="228"/>
      <c r="H1549" s="228"/>
      <c r="I1549" s="228"/>
      <c r="J1549" s="228"/>
      <c r="K1549" s="228"/>
      <c r="L1549" s="228">
        <v>20600</v>
      </c>
      <c r="M1549" s="228">
        <v>103000000</v>
      </c>
      <c r="N1549" s="228"/>
      <c r="O1549" s="228"/>
      <c r="P1549" s="228">
        <v>20600</v>
      </c>
      <c r="Q1549" s="228">
        <v>103000000</v>
      </c>
    </row>
    <row r="1550" spans="1:17">
      <c r="C1550" s="165">
        <v>5300</v>
      </c>
      <c r="D1550" s="228">
        <v>0</v>
      </c>
      <c r="E1550" s="228">
        <v>0</v>
      </c>
      <c r="F1550" s="228"/>
      <c r="G1550" s="228"/>
      <c r="H1550" s="228"/>
      <c r="I1550" s="228"/>
      <c r="J1550" s="228"/>
      <c r="K1550" s="228"/>
      <c r="L1550" s="228"/>
      <c r="M1550" s="228"/>
      <c r="N1550" s="228"/>
      <c r="O1550" s="228"/>
      <c r="P1550" s="228">
        <v>0</v>
      </c>
      <c r="Q1550" s="228">
        <v>0</v>
      </c>
    </row>
    <row r="1551" spans="1:17">
      <c r="B1551" s="165" t="s">
        <v>2102</v>
      </c>
      <c r="C1551" s="165">
        <v>9500</v>
      </c>
      <c r="D1551" s="228"/>
      <c r="E1551" s="228"/>
      <c r="F1551" s="228"/>
      <c r="G1551" s="228"/>
      <c r="H1551" s="228"/>
      <c r="I1551" s="228"/>
      <c r="J1551" s="228"/>
      <c r="K1551" s="228"/>
      <c r="L1551" s="228">
        <v>15000</v>
      </c>
      <c r="M1551" s="228">
        <v>142500000</v>
      </c>
      <c r="N1551" s="228"/>
      <c r="O1551" s="228"/>
      <c r="P1551" s="228">
        <v>15000</v>
      </c>
      <c r="Q1551" s="228">
        <v>142500000</v>
      </c>
    </row>
    <row r="1552" spans="1:17">
      <c r="B1552" s="165" t="s">
        <v>2132</v>
      </c>
      <c r="C1552" s="165">
        <v>6700</v>
      </c>
      <c r="D1552" s="228"/>
      <c r="E1552" s="228"/>
      <c r="F1552" s="228"/>
      <c r="G1552" s="228"/>
      <c r="H1552" s="228"/>
      <c r="I1552" s="228"/>
      <c r="J1552" s="228">
        <v>10000</v>
      </c>
      <c r="K1552" s="228">
        <v>67000000</v>
      </c>
      <c r="L1552" s="228"/>
      <c r="M1552" s="228"/>
      <c r="N1552" s="228"/>
      <c r="O1552" s="228"/>
      <c r="P1552" s="228">
        <v>10000</v>
      </c>
      <c r="Q1552" s="228">
        <v>67000000</v>
      </c>
    </row>
    <row r="1553" spans="1:17">
      <c r="B1553" s="165" t="s">
        <v>2015</v>
      </c>
      <c r="C1553" s="165">
        <v>10700</v>
      </c>
      <c r="D1553" s="228"/>
      <c r="E1553" s="228"/>
      <c r="F1553" s="228"/>
      <c r="G1553" s="228"/>
      <c r="H1553" s="228"/>
      <c r="I1553" s="228"/>
      <c r="J1553" s="228"/>
      <c r="K1553" s="228"/>
      <c r="L1553" s="228">
        <v>5000</v>
      </c>
      <c r="M1553" s="228">
        <v>53500000</v>
      </c>
      <c r="N1553" s="228"/>
      <c r="O1553" s="228"/>
      <c r="P1553" s="228">
        <v>5000</v>
      </c>
      <c r="Q1553" s="228">
        <v>53500000</v>
      </c>
    </row>
    <row r="1554" spans="1:17">
      <c r="B1554" s="165" t="s">
        <v>2150</v>
      </c>
      <c r="C1554" s="165">
        <v>5500</v>
      </c>
      <c r="D1554" s="228"/>
      <c r="E1554" s="228"/>
      <c r="F1554" s="228">
        <v>0</v>
      </c>
      <c r="G1554" s="228">
        <v>0</v>
      </c>
      <c r="H1554" s="228"/>
      <c r="I1554" s="228"/>
      <c r="J1554" s="228"/>
      <c r="K1554" s="228"/>
      <c r="L1554" s="228"/>
      <c r="M1554" s="228"/>
      <c r="N1554" s="228"/>
      <c r="O1554" s="228"/>
      <c r="P1554" s="228">
        <v>0</v>
      </c>
      <c r="Q1554" s="228">
        <v>0</v>
      </c>
    </row>
    <row r="1555" spans="1:17">
      <c r="B1555" s="165" t="s">
        <v>2178</v>
      </c>
      <c r="C1555" s="165">
        <v>8000</v>
      </c>
      <c r="D1555" s="228">
        <v>0</v>
      </c>
      <c r="E1555" s="228">
        <v>0</v>
      </c>
      <c r="F1555" s="228">
        <v>0</v>
      </c>
      <c r="G1555" s="228">
        <v>0</v>
      </c>
      <c r="H1555" s="228"/>
      <c r="I1555" s="228"/>
      <c r="J1555" s="228"/>
      <c r="K1555" s="228"/>
      <c r="L1555" s="228"/>
      <c r="M1555" s="228"/>
      <c r="N1555" s="228"/>
      <c r="O1555" s="228"/>
      <c r="P1555" s="228">
        <v>0</v>
      </c>
      <c r="Q1555" s="228">
        <v>0</v>
      </c>
    </row>
    <row r="1556" spans="1:17">
      <c r="B1556" s="165" t="s">
        <v>2186</v>
      </c>
      <c r="C1556" s="165">
        <v>2600</v>
      </c>
      <c r="D1556" s="228"/>
      <c r="E1556" s="228"/>
      <c r="F1556" s="228">
        <v>0</v>
      </c>
      <c r="G1556" s="228">
        <v>0</v>
      </c>
      <c r="H1556" s="228"/>
      <c r="I1556" s="228"/>
      <c r="J1556" s="228"/>
      <c r="K1556" s="228"/>
      <c r="L1556" s="228"/>
      <c r="M1556" s="228"/>
      <c r="N1556" s="228"/>
      <c r="O1556" s="228"/>
      <c r="P1556" s="228">
        <v>0</v>
      </c>
      <c r="Q1556" s="228">
        <v>0</v>
      </c>
    </row>
    <row r="1557" spans="1:17">
      <c r="C1557" s="165">
        <v>2700</v>
      </c>
      <c r="D1557" s="228"/>
      <c r="E1557" s="228"/>
      <c r="F1557" s="228">
        <v>0</v>
      </c>
      <c r="G1557" s="228">
        <v>0</v>
      </c>
      <c r="H1557" s="228"/>
      <c r="I1557" s="228"/>
      <c r="J1557" s="228"/>
      <c r="K1557" s="228"/>
      <c r="L1557" s="228"/>
      <c r="M1557" s="228"/>
      <c r="N1557" s="228"/>
      <c r="O1557" s="228"/>
      <c r="P1557" s="228">
        <v>0</v>
      </c>
      <c r="Q1557" s="228">
        <v>0</v>
      </c>
    </row>
    <row r="1558" spans="1:17">
      <c r="C1558" s="165">
        <v>2750</v>
      </c>
      <c r="D1558" s="228">
        <v>0</v>
      </c>
      <c r="E1558" s="228">
        <v>0</v>
      </c>
      <c r="F1558" s="228"/>
      <c r="G1558" s="228"/>
      <c r="H1558" s="228"/>
      <c r="I1558" s="228"/>
      <c r="J1558" s="228"/>
      <c r="K1558" s="228"/>
      <c r="L1558" s="228"/>
      <c r="M1558" s="228"/>
      <c r="N1558" s="228"/>
      <c r="O1558" s="228"/>
      <c r="P1558" s="228">
        <v>0</v>
      </c>
      <c r="Q1558" s="228">
        <v>0</v>
      </c>
    </row>
    <row r="1559" spans="1:17">
      <c r="B1559" s="165" t="s">
        <v>2188</v>
      </c>
      <c r="C1559" s="165">
        <v>3800</v>
      </c>
      <c r="D1559" s="228">
        <v>0</v>
      </c>
      <c r="E1559" s="228">
        <v>0</v>
      </c>
      <c r="F1559" s="228"/>
      <c r="G1559" s="228"/>
      <c r="H1559" s="228"/>
      <c r="I1559" s="228"/>
      <c r="J1559" s="228"/>
      <c r="K1559" s="228"/>
      <c r="L1559" s="228"/>
      <c r="M1559" s="228"/>
      <c r="N1559" s="228"/>
      <c r="O1559" s="228"/>
      <c r="P1559" s="228">
        <v>0</v>
      </c>
      <c r="Q1559" s="228">
        <v>0</v>
      </c>
    </row>
    <row r="1560" spans="1:17">
      <c r="C1560" s="165">
        <v>3900</v>
      </c>
      <c r="D1560" s="228"/>
      <c r="E1560" s="228"/>
      <c r="F1560" s="228">
        <v>0</v>
      </c>
      <c r="G1560" s="228">
        <v>0</v>
      </c>
      <c r="H1560" s="228">
        <v>15000</v>
      </c>
      <c r="I1560" s="228">
        <v>58500000</v>
      </c>
      <c r="J1560" s="228"/>
      <c r="K1560" s="228"/>
      <c r="L1560" s="228"/>
      <c r="M1560" s="228"/>
      <c r="N1560" s="228"/>
      <c r="O1560" s="228"/>
      <c r="P1560" s="228">
        <v>15000</v>
      </c>
      <c r="Q1560" s="228">
        <v>58500000</v>
      </c>
    </row>
    <row r="1561" spans="1:17">
      <c r="C1561" s="165">
        <v>4000</v>
      </c>
      <c r="D1561" s="228"/>
      <c r="E1561" s="228"/>
      <c r="F1561" s="228"/>
      <c r="G1561" s="228"/>
      <c r="H1561" s="228">
        <v>20100</v>
      </c>
      <c r="I1561" s="228">
        <v>80400000</v>
      </c>
      <c r="J1561" s="228"/>
      <c r="K1561" s="228"/>
      <c r="L1561" s="228"/>
      <c r="M1561" s="228"/>
      <c r="N1561" s="228"/>
      <c r="O1561" s="228"/>
      <c r="P1561" s="228">
        <v>20100</v>
      </c>
      <c r="Q1561" s="228">
        <v>80400000</v>
      </c>
    </row>
    <row r="1562" spans="1:17">
      <c r="A1562" s="165" t="s">
        <v>2332</v>
      </c>
      <c r="B1562" s="165"/>
      <c r="C1562" s="165"/>
      <c r="D1562" s="228">
        <v>0</v>
      </c>
      <c r="E1562" s="228">
        <v>0</v>
      </c>
      <c r="F1562" s="228">
        <v>0</v>
      </c>
      <c r="G1562" s="228">
        <v>0</v>
      </c>
      <c r="H1562" s="228">
        <v>45300</v>
      </c>
      <c r="I1562" s="228">
        <v>179700000</v>
      </c>
      <c r="J1562" s="228">
        <v>14800</v>
      </c>
      <c r="K1562" s="228">
        <v>86200000</v>
      </c>
      <c r="L1562" s="228">
        <v>80600</v>
      </c>
      <c r="M1562" s="228">
        <v>524000000</v>
      </c>
      <c r="N1562" s="228"/>
      <c r="O1562" s="228"/>
      <c r="P1562" s="228">
        <v>140700</v>
      </c>
      <c r="Q1562" s="228">
        <v>789900000</v>
      </c>
    </row>
    <row r="1563" spans="1:17">
      <c r="A1563" s="165" t="s">
        <v>247</v>
      </c>
      <c r="B1563" s="165" t="s">
        <v>2176</v>
      </c>
      <c r="C1563" s="165">
        <v>4100</v>
      </c>
      <c r="D1563" s="228"/>
      <c r="E1563" s="228"/>
      <c r="F1563" s="228">
        <v>0</v>
      </c>
      <c r="G1563" s="228">
        <v>0</v>
      </c>
      <c r="H1563" s="228"/>
      <c r="I1563" s="228"/>
      <c r="J1563" s="228"/>
      <c r="K1563" s="228"/>
      <c r="L1563" s="228"/>
      <c r="M1563" s="228"/>
      <c r="N1563" s="228"/>
      <c r="O1563" s="228"/>
      <c r="P1563" s="228">
        <v>0</v>
      </c>
      <c r="Q1563" s="228">
        <v>0</v>
      </c>
    </row>
    <row r="1564" spans="1:17">
      <c r="B1564" s="165" t="s">
        <v>2188</v>
      </c>
      <c r="C1564" s="165">
        <v>3800</v>
      </c>
      <c r="D1564" s="228"/>
      <c r="E1564" s="228"/>
      <c r="F1564" s="228">
        <v>0</v>
      </c>
      <c r="G1564" s="228">
        <v>0</v>
      </c>
      <c r="H1564" s="228"/>
      <c r="I1564" s="228"/>
      <c r="J1564" s="228"/>
      <c r="K1564" s="228"/>
      <c r="L1564" s="228"/>
      <c r="M1564" s="228"/>
      <c r="N1564" s="228"/>
      <c r="O1564" s="228"/>
      <c r="P1564" s="228">
        <v>0</v>
      </c>
      <c r="Q1564" s="228">
        <v>0</v>
      </c>
    </row>
    <row r="1565" spans="1:17">
      <c r="A1565" s="165" t="s">
        <v>2333</v>
      </c>
      <c r="B1565" s="165"/>
      <c r="C1565" s="165"/>
      <c r="D1565" s="228"/>
      <c r="E1565" s="228"/>
      <c r="F1565" s="228">
        <v>0</v>
      </c>
      <c r="G1565" s="228">
        <v>0</v>
      </c>
      <c r="H1565" s="228"/>
      <c r="I1565" s="228"/>
      <c r="J1565" s="228"/>
      <c r="K1565" s="228"/>
      <c r="L1565" s="228"/>
      <c r="M1565" s="228"/>
      <c r="N1565" s="228"/>
      <c r="O1565" s="228"/>
      <c r="P1565" s="228">
        <v>0</v>
      </c>
      <c r="Q1565" s="228">
        <v>0</v>
      </c>
    </row>
    <row r="1566" spans="1:17">
      <c r="A1566" s="165" t="s">
        <v>1493</v>
      </c>
      <c r="B1566" s="165" t="s">
        <v>2064</v>
      </c>
      <c r="C1566" s="165">
        <v>15200</v>
      </c>
      <c r="D1566" s="228"/>
      <c r="E1566" s="228"/>
      <c r="F1566" s="228"/>
      <c r="G1566" s="228"/>
      <c r="H1566" s="228"/>
      <c r="I1566" s="228"/>
      <c r="J1566" s="228"/>
      <c r="K1566" s="228"/>
      <c r="L1566" s="228">
        <v>10000</v>
      </c>
      <c r="M1566" s="228">
        <v>152000000</v>
      </c>
      <c r="N1566" s="228"/>
      <c r="O1566" s="228"/>
      <c r="P1566" s="228">
        <v>10000</v>
      </c>
      <c r="Q1566" s="228">
        <v>152000000</v>
      </c>
    </row>
    <row r="1567" spans="1:17">
      <c r="B1567" s="165" t="s">
        <v>2129</v>
      </c>
      <c r="C1567" s="165">
        <v>5000</v>
      </c>
      <c r="D1567" s="228"/>
      <c r="E1567" s="228"/>
      <c r="F1567" s="228">
        <v>0</v>
      </c>
      <c r="G1567" s="228">
        <v>0</v>
      </c>
      <c r="H1567" s="228"/>
      <c r="I1567" s="228"/>
      <c r="J1567" s="228"/>
      <c r="K1567" s="228"/>
      <c r="L1567" s="228"/>
      <c r="M1567" s="228"/>
      <c r="N1567" s="228"/>
      <c r="O1567" s="228"/>
      <c r="P1567" s="228">
        <v>0</v>
      </c>
      <c r="Q1567" s="228">
        <v>0</v>
      </c>
    </row>
    <row r="1568" spans="1:17">
      <c r="B1568" s="165" t="s">
        <v>2015</v>
      </c>
      <c r="C1568" s="165">
        <v>10700</v>
      </c>
      <c r="D1568" s="228"/>
      <c r="E1568" s="228"/>
      <c r="F1568" s="228"/>
      <c r="G1568" s="228"/>
      <c r="H1568" s="228"/>
      <c r="I1568" s="228"/>
      <c r="J1568" s="228"/>
      <c r="K1568" s="228"/>
      <c r="L1568" s="228">
        <v>10000</v>
      </c>
      <c r="M1568" s="228">
        <v>107000000</v>
      </c>
      <c r="N1568" s="228"/>
      <c r="O1568" s="228"/>
      <c r="P1568" s="228">
        <v>10000</v>
      </c>
      <c r="Q1568" s="228">
        <v>107000000</v>
      </c>
    </row>
    <row r="1569" spans="1:17">
      <c r="A1569" s="165" t="s">
        <v>2334</v>
      </c>
      <c r="B1569" s="165"/>
      <c r="C1569" s="165"/>
      <c r="D1569" s="228"/>
      <c r="E1569" s="228"/>
      <c r="F1569" s="228">
        <v>0</v>
      </c>
      <c r="G1569" s="228">
        <v>0</v>
      </c>
      <c r="H1569" s="228"/>
      <c r="I1569" s="228"/>
      <c r="J1569" s="228"/>
      <c r="K1569" s="228"/>
      <c r="L1569" s="228">
        <v>20000</v>
      </c>
      <c r="M1569" s="228">
        <v>259000000</v>
      </c>
      <c r="N1569" s="228"/>
      <c r="O1569" s="228"/>
      <c r="P1569" s="228">
        <v>20000</v>
      </c>
      <c r="Q1569" s="228">
        <v>259000000</v>
      </c>
    </row>
    <row r="1570" spans="1:17">
      <c r="A1570" s="165" t="s">
        <v>251</v>
      </c>
      <c r="B1570" s="165" t="s">
        <v>2039</v>
      </c>
      <c r="C1570" s="165">
        <v>6300</v>
      </c>
      <c r="D1570" s="228"/>
      <c r="E1570" s="228"/>
      <c r="F1570" s="228">
        <v>0</v>
      </c>
      <c r="G1570" s="228">
        <v>0</v>
      </c>
      <c r="H1570" s="228"/>
      <c r="I1570" s="228"/>
      <c r="J1570" s="228"/>
      <c r="K1570" s="228"/>
      <c r="L1570" s="228"/>
      <c r="M1570" s="228"/>
      <c r="N1570" s="228"/>
      <c r="O1570" s="228"/>
      <c r="P1570" s="228">
        <v>0</v>
      </c>
      <c r="Q1570" s="228">
        <v>0</v>
      </c>
    </row>
    <row r="1571" spans="1:17">
      <c r="B1571" s="165" t="s">
        <v>2008</v>
      </c>
      <c r="C1571" s="165">
        <v>5000</v>
      </c>
      <c r="D1571" s="228"/>
      <c r="E1571" s="228"/>
      <c r="F1571" s="228">
        <v>0</v>
      </c>
      <c r="G1571" s="228">
        <v>0</v>
      </c>
      <c r="H1571" s="228"/>
      <c r="I1571" s="228"/>
      <c r="J1571" s="228"/>
      <c r="K1571" s="228"/>
      <c r="L1571" s="228"/>
      <c r="M1571" s="228"/>
      <c r="N1571" s="228"/>
      <c r="O1571" s="228"/>
      <c r="P1571" s="228">
        <v>0</v>
      </c>
      <c r="Q1571" s="228">
        <v>0</v>
      </c>
    </row>
    <row r="1572" spans="1:17">
      <c r="B1572" s="165" t="s">
        <v>2011</v>
      </c>
      <c r="C1572" s="165">
        <v>12000</v>
      </c>
      <c r="D1572" s="228"/>
      <c r="E1572" s="228"/>
      <c r="F1572" s="228"/>
      <c r="G1572" s="228"/>
      <c r="H1572" s="228"/>
      <c r="I1572" s="228"/>
      <c r="J1572" s="228"/>
      <c r="K1572" s="228"/>
      <c r="L1572" s="228">
        <v>5000</v>
      </c>
      <c r="M1572" s="228">
        <v>60000000</v>
      </c>
      <c r="N1572" s="228"/>
      <c r="O1572" s="228"/>
      <c r="P1572" s="228">
        <v>5000</v>
      </c>
      <c r="Q1572" s="228">
        <v>60000000</v>
      </c>
    </row>
    <row r="1573" spans="1:17">
      <c r="B1573" s="165" t="s">
        <v>2063</v>
      </c>
      <c r="C1573" s="165">
        <v>12500</v>
      </c>
      <c r="D1573" s="228"/>
      <c r="E1573" s="228"/>
      <c r="F1573" s="228"/>
      <c r="G1573" s="228"/>
      <c r="H1573" s="228"/>
      <c r="I1573" s="228"/>
      <c r="J1573" s="228"/>
      <c r="K1573" s="228"/>
      <c r="L1573" s="228">
        <v>5000</v>
      </c>
      <c r="M1573" s="228">
        <v>62500000</v>
      </c>
      <c r="N1573" s="228"/>
      <c r="O1573" s="228"/>
      <c r="P1573" s="228">
        <v>5000</v>
      </c>
      <c r="Q1573" s="228">
        <v>62500000</v>
      </c>
    </row>
    <row r="1574" spans="1:17">
      <c r="B1574" s="165" t="s">
        <v>2064</v>
      </c>
      <c r="C1574" s="165">
        <v>15200</v>
      </c>
      <c r="D1574" s="228"/>
      <c r="E1574" s="228"/>
      <c r="F1574" s="228"/>
      <c r="G1574" s="228"/>
      <c r="H1574" s="228"/>
      <c r="I1574" s="228"/>
      <c r="J1574" s="228"/>
      <c r="K1574" s="228"/>
      <c r="L1574" s="228">
        <v>5040</v>
      </c>
      <c r="M1574" s="228">
        <v>76608000</v>
      </c>
      <c r="N1574" s="228"/>
      <c r="O1574" s="228"/>
      <c r="P1574" s="228">
        <v>5040</v>
      </c>
      <c r="Q1574" s="228">
        <v>76608000</v>
      </c>
    </row>
    <row r="1575" spans="1:17">
      <c r="B1575" s="165" t="s">
        <v>2106</v>
      </c>
      <c r="C1575" s="165">
        <v>15400</v>
      </c>
      <c r="D1575" s="228"/>
      <c r="E1575" s="228"/>
      <c r="F1575" s="228"/>
      <c r="G1575" s="228"/>
      <c r="H1575" s="228"/>
      <c r="I1575" s="228"/>
      <c r="J1575" s="228"/>
      <c r="K1575" s="228"/>
      <c r="L1575" s="228">
        <v>7500</v>
      </c>
      <c r="M1575" s="228">
        <v>115500000</v>
      </c>
      <c r="N1575" s="228"/>
      <c r="O1575" s="228"/>
      <c r="P1575" s="228">
        <v>7500</v>
      </c>
      <c r="Q1575" s="228">
        <v>115500000</v>
      </c>
    </row>
    <row r="1576" spans="1:17">
      <c r="B1576" s="165" t="s">
        <v>2107</v>
      </c>
      <c r="C1576" s="165">
        <v>16200</v>
      </c>
      <c r="D1576" s="228"/>
      <c r="E1576" s="228"/>
      <c r="F1576" s="228"/>
      <c r="G1576" s="228"/>
      <c r="H1576" s="228"/>
      <c r="I1576" s="228"/>
      <c r="J1576" s="228"/>
      <c r="K1576" s="228"/>
      <c r="L1576" s="228">
        <v>7500</v>
      </c>
      <c r="M1576" s="228">
        <v>121500000</v>
      </c>
      <c r="N1576" s="228"/>
      <c r="O1576" s="228"/>
      <c r="P1576" s="228">
        <v>7500</v>
      </c>
      <c r="Q1576" s="228">
        <v>121500000</v>
      </c>
    </row>
    <row r="1577" spans="1:17">
      <c r="B1577" s="165" t="s">
        <v>2110</v>
      </c>
      <c r="C1577" s="165">
        <v>6400</v>
      </c>
      <c r="D1577" s="228"/>
      <c r="E1577" s="228"/>
      <c r="F1577" s="228"/>
      <c r="G1577" s="228"/>
      <c r="H1577" s="228">
        <v>3000</v>
      </c>
      <c r="I1577" s="228">
        <v>19200000</v>
      </c>
      <c r="J1577" s="228"/>
      <c r="K1577" s="228"/>
      <c r="L1577" s="228"/>
      <c r="M1577" s="228"/>
      <c r="N1577" s="228"/>
      <c r="O1577" s="228"/>
      <c r="P1577" s="228">
        <v>3000</v>
      </c>
      <c r="Q1577" s="228">
        <v>19200000</v>
      </c>
    </row>
    <row r="1578" spans="1:17">
      <c r="B1578" s="165" t="s">
        <v>2132</v>
      </c>
      <c r="C1578" s="165">
        <v>6700</v>
      </c>
      <c r="D1578" s="228"/>
      <c r="E1578" s="228"/>
      <c r="F1578" s="228">
        <v>0</v>
      </c>
      <c r="G1578" s="228">
        <v>0</v>
      </c>
      <c r="H1578" s="228"/>
      <c r="I1578" s="228"/>
      <c r="J1578" s="228"/>
      <c r="K1578" s="228"/>
      <c r="L1578" s="228"/>
      <c r="M1578" s="228"/>
      <c r="N1578" s="228"/>
      <c r="O1578" s="228"/>
      <c r="P1578" s="228">
        <v>0</v>
      </c>
      <c r="Q1578" s="228">
        <v>0</v>
      </c>
    </row>
    <row r="1579" spans="1:17">
      <c r="B1579" s="165" t="s">
        <v>2009</v>
      </c>
      <c r="C1579" s="165">
        <v>5400</v>
      </c>
      <c r="D1579" s="228"/>
      <c r="E1579" s="228"/>
      <c r="F1579" s="228">
        <v>30000</v>
      </c>
      <c r="G1579" s="228">
        <v>162000000</v>
      </c>
      <c r="H1579" s="228"/>
      <c r="I1579" s="228"/>
      <c r="J1579" s="228"/>
      <c r="K1579" s="228"/>
      <c r="L1579" s="228"/>
      <c r="M1579" s="228"/>
      <c r="N1579" s="228"/>
      <c r="O1579" s="228"/>
      <c r="P1579" s="228">
        <v>30000</v>
      </c>
      <c r="Q1579" s="228">
        <v>162000000</v>
      </c>
    </row>
    <row r="1580" spans="1:17">
      <c r="C1580" s="165">
        <v>5500</v>
      </c>
      <c r="D1580" s="228"/>
      <c r="E1580" s="228"/>
      <c r="F1580" s="228"/>
      <c r="G1580" s="228"/>
      <c r="H1580" s="228">
        <v>100000</v>
      </c>
      <c r="I1580" s="228">
        <v>550000000</v>
      </c>
      <c r="J1580" s="228"/>
      <c r="K1580" s="228"/>
      <c r="L1580" s="228"/>
      <c r="M1580" s="228"/>
      <c r="N1580" s="228"/>
      <c r="O1580" s="228"/>
      <c r="P1580" s="228">
        <v>100000</v>
      </c>
      <c r="Q1580" s="228">
        <v>550000000</v>
      </c>
    </row>
    <row r="1581" spans="1:17">
      <c r="B1581" s="165" t="s">
        <v>1872</v>
      </c>
      <c r="C1581" s="165">
        <v>6300</v>
      </c>
      <c r="D1581" s="228"/>
      <c r="E1581" s="228"/>
      <c r="F1581" s="228">
        <v>0</v>
      </c>
      <c r="G1581" s="228">
        <v>0</v>
      </c>
      <c r="H1581" s="228"/>
      <c r="I1581" s="228"/>
      <c r="J1581" s="228"/>
      <c r="K1581" s="228"/>
      <c r="L1581" s="228"/>
      <c r="M1581" s="228"/>
      <c r="N1581" s="228"/>
      <c r="O1581" s="228"/>
      <c r="P1581" s="228">
        <v>0</v>
      </c>
      <c r="Q1581" s="228">
        <v>0</v>
      </c>
    </row>
    <row r="1582" spans="1:17">
      <c r="B1582" s="165" t="s">
        <v>2144</v>
      </c>
      <c r="C1582" s="165">
        <v>13500</v>
      </c>
      <c r="D1582" s="228"/>
      <c r="E1582" s="228"/>
      <c r="F1582" s="228"/>
      <c r="G1582" s="228"/>
      <c r="H1582" s="228"/>
      <c r="I1582" s="228"/>
      <c r="J1582" s="228"/>
      <c r="K1582" s="228"/>
      <c r="L1582" s="228">
        <v>18000</v>
      </c>
      <c r="M1582" s="228">
        <v>243000000</v>
      </c>
      <c r="N1582" s="228"/>
      <c r="O1582" s="228"/>
      <c r="P1582" s="228">
        <v>18000</v>
      </c>
      <c r="Q1582" s="228">
        <v>243000000</v>
      </c>
    </row>
    <row r="1583" spans="1:17">
      <c r="C1583" s="165">
        <v>13700</v>
      </c>
      <c r="D1583" s="228"/>
      <c r="E1583" s="228"/>
      <c r="F1583" s="228"/>
      <c r="G1583" s="228"/>
      <c r="H1583" s="228"/>
      <c r="I1583" s="228"/>
      <c r="J1583" s="228"/>
      <c r="K1583" s="228"/>
      <c r="L1583" s="228">
        <v>10000</v>
      </c>
      <c r="M1583" s="228">
        <v>137000000</v>
      </c>
      <c r="N1583" s="228"/>
      <c r="O1583" s="228"/>
      <c r="P1583" s="228">
        <v>10000</v>
      </c>
      <c r="Q1583" s="228">
        <v>137000000</v>
      </c>
    </row>
    <row r="1584" spans="1:17">
      <c r="B1584" s="165" t="s">
        <v>2018</v>
      </c>
      <c r="C1584" s="165">
        <v>15300</v>
      </c>
      <c r="D1584" s="228"/>
      <c r="E1584" s="228"/>
      <c r="F1584" s="228"/>
      <c r="G1584" s="228"/>
      <c r="H1584" s="228"/>
      <c r="I1584" s="228"/>
      <c r="J1584" s="228"/>
      <c r="K1584" s="228"/>
      <c r="L1584" s="228">
        <v>7040</v>
      </c>
      <c r="M1584" s="228">
        <v>107712000</v>
      </c>
      <c r="N1584" s="228"/>
      <c r="O1584" s="228"/>
      <c r="P1584" s="228">
        <v>7040</v>
      </c>
      <c r="Q1584" s="228">
        <v>107712000</v>
      </c>
    </row>
    <row r="1585" spans="1:17">
      <c r="B1585" s="165" t="s">
        <v>2153</v>
      </c>
      <c r="C1585" s="165">
        <v>5000</v>
      </c>
      <c r="D1585" s="228"/>
      <c r="E1585" s="228"/>
      <c r="F1585" s="228">
        <v>0</v>
      </c>
      <c r="G1585" s="228">
        <v>0</v>
      </c>
      <c r="H1585" s="228"/>
      <c r="I1585" s="228"/>
      <c r="J1585" s="228"/>
      <c r="K1585" s="228"/>
      <c r="L1585" s="228"/>
      <c r="M1585" s="228"/>
      <c r="N1585" s="228"/>
      <c r="O1585" s="228"/>
      <c r="P1585" s="228">
        <v>0</v>
      </c>
      <c r="Q1585" s="228">
        <v>0</v>
      </c>
    </row>
    <row r="1586" spans="1:17">
      <c r="A1586" s="165" t="s">
        <v>2335</v>
      </c>
      <c r="B1586" s="165"/>
      <c r="C1586" s="165"/>
      <c r="D1586" s="228"/>
      <c r="E1586" s="228"/>
      <c r="F1586" s="228">
        <v>30000</v>
      </c>
      <c r="G1586" s="228">
        <v>162000000</v>
      </c>
      <c r="H1586" s="228">
        <v>103000</v>
      </c>
      <c r="I1586" s="228">
        <v>569200000</v>
      </c>
      <c r="J1586" s="228"/>
      <c r="K1586" s="228"/>
      <c r="L1586" s="228">
        <v>65080</v>
      </c>
      <c r="M1586" s="228">
        <v>923820000</v>
      </c>
      <c r="N1586" s="228"/>
      <c r="O1586" s="228"/>
      <c r="P1586" s="228">
        <v>198080</v>
      </c>
      <c r="Q1586" s="228">
        <v>1655020000</v>
      </c>
    </row>
    <row r="1587" spans="1:17">
      <c r="A1587" s="165" t="s">
        <v>201</v>
      </c>
      <c r="B1587" s="165" t="s">
        <v>2124</v>
      </c>
      <c r="C1587" s="165">
        <v>2000</v>
      </c>
      <c r="D1587" s="228"/>
      <c r="E1587" s="228"/>
      <c r="F1587" s="228">
        <v>0</v>
      </c>
      <c r="G1587" s="228">
        <v>0</v>
      </c>
      <c r="H1587" s="228"/>
      <c r="I1587" s="228"/>
      <c r="J1587" s="228"/>
      <c r="K1587" s="228"/>
      <c r="L1587" s="228"/>
      <c r="M1587" s="228"/>
      <c r="N1587" s="228"/>
      <c r="O1587" s="228"/>
      <c r="P1587" s="228">
        <v>0</v>
      </c>
      <c r="Q1587" s="228">
        <v>0</v>
      </c>
    </row>
    <row r="1588" spans="1:17">
      <c r="B1588" s="165" t="s">
        <v>2125</v>
      </c>
      <c r="C1588" s="165">
        <v>2800</v>
      </c>
      <c r="D1588" s="228"/>
      <c r="E1588" s="228"/>
      <c r="F1588" s="228">
        <v>0</v>
      </c>
      <c r="G1588" s="228">
        <v>0</v>
      </c>
      <c r="H1588" s="228"/>
      <c r="I1588" s="228"/>
      <c r="J1588" s="228"/>
      <c r="K1588" s="228"/>
      <c r="L1588" s="228"/>
      <c r="M1588" s="228"/>
      <c r="N1588" s="228"/>
      <c r="O1588" s="228"/>
      <c r="P1588" s="228">
        <v>0</v>
      </c>
      <c r="Q1588" s="228">
        <v>0</v>
      </c>
    </row>
    <row r="1589" spans="1:17">
      <c r="C1589" s="165">
        <v>2900</v>
      </c>
      <c r="D1589" s="228"/>
      <c r="E1589" s="228"/>
      <c r="F1589" s="228">
        <v>0</v>
      </c>
      <c r="G1589" s="228">
        <v>0</v>
      </c>
      <c r="H1589" s="228"/>
      <c r="I1589" s="228"/>
      <c r="J1589" s="228"/>
      <c r="K1589" s="228"/>
      <c r="L1589" s="228"/>
      <c r="M1589" s="228"/>
      <c r="N1589" s="228"/>
      <c r="O1589" s="228"/>
      <c r="P1589" s="228">
        <v>0</v>
      </c>
      <c r="Q1589" s="228">
        <v>0</v>
      </c>
    </row>
    <row r="1590" spans="1:17">
      <c r="C1590" s="165">
        <v>3000</v>
      </c>
      <c r="D1590" s="228"/>
      <c r="E1590" s="228"/>
      <c r="F1590" s="228"/>
      <c r="G1590" s="228"/>
      <c r="H1590" s="228"/>
      <c r="I1590" s="228"/>
      <c r="J1590" s="228">
        <v>4000</v>
      </c>
      <c r="K1590" s="228">
        <v>12000000</v>
      </c>
      <c r="L1590" s="228">
        <v>6000</v>
      </c>
      <c r="M1590" s="228">
        <v>18000000</v>
      </c>
      <c r="N1590" s="228"/>
      <c r="O1590" s="228"/>
      <c r="P1590" s="228">
        <v>10000</v>
      </c>
      <c r="Q1590" s="228">
        <v>30000000</v>
      </c>
    </row>
    <row r="1591" spans="1:17">
      <c r="C1591" s="165">
        <v>3100</v>
      </c>
      <c r="D1591" s="228"/>
      <c r="E1591" s="228"/>
      <c r="F1591" s="228"/>
      <c r="G1591" s="228"/>
      <c r="H1591" s="228"/>
      <c r="I1591" s="228"/>
      <c r="J1591" s="228"/>
      <c r="K1591" s="228"/>
      <c r="L1591" s="228">
        <v>14400</v>
      </c>
      <c r="M1591" s="228">
        <v>44640000</v>
      </c>
      <c r="N1591" s="228"/>
      <c r="O1591" s="228"/>
      <c r="P1591" s="228">
        <v>14400</v>
      </c>
      <c r="Q1591" s="228">
        <v>44640000</v>
      </c>
    </row>
    <row r="1592" spans="1:17">
      <c r="B1592" s="165" t="s">
        <v>2126</v>
      </c>
      <c r="C1592" s="165">
        <v>4600</v>
      </c>
      <c r="D1592" s="228"/>
      <c r="E1592" s="228"/>
      <c r="F1592" s="228"/>
      <c r="G1592" s="228"/>
      <c r="H1592" s="228"/>
      <c r="I1592" s="228"/>
      <c r="J1592" s="228"/>
      <c r="K1592" s="228"/>
      <c r="L1592" s="228">
        <v>1200</v>
      </c>
      <c r="M1592" s="228">
        <v>5520000</v>
      </c>
      <c r="N1592" s="228"/>
      <c r="O1592" s="228"/>
      <c r="P1592" s="228">
        <v>1200</v>
      </c>
      <c r="Q1592" s="228">
        <v>5520000</v>
      </c>
    </row>
    <row r="1593" spans="1:17">
      <c r="B1593" s="165" t="s">
        <v>2127</v>
      </c>
      <c r="C1593" s="165">
        <v>6300</v>
      </c>
      <c r="D1593" s="228"/>
      <c r="E1593" s="228"/>
      <c r="F1593" s="228"/>
      <c r="G1593" s="228"/>
      <c r="H1593" s="228"/>
      <c r="I1593" s="228"/>
      <c r="J1593" s="228"/>
      <c r="K1593" s="228"/>
      <c r="L1593" s="228">
        <v>2000</v>
      </c>
      <c r="M1593" s="228">
        <v>12600000</v>
      </c>
      <c r="N1593" s="228"/>
      <c r="O1593" s="228"/>
      <c r="P1593" s="228">
        <v>2000</v>
      </c>
      <c r="Q1593" s="228">
        <v>12600000</v>
      </c>
    </row>
    <row r="1594" spans="1:17">
      <c r="B1594" s="165" t="s">
        <v>2009</v>
      </c>
      <c r="C1594" s="165">
        <v>5500</v>
      </c>
      <c r="D1594" s="228"/>
      <c r="E1594" s="228"/>
      <c r="F1594" s="228">
        <v>0</v>
      </c>
      <c r="G1594" s="228">
        <v>0</v>
      </c>
      <c r="H1594" s="228"/>
      <c r="I1594" s="228"/>
      <c r="J1594" s="228"/>
      <c r="K1594" s="228"/>
      <c r="L1594" s="228"/>
      <c r="M1594" s="228"/>
      <c r="N1594" s="228"/>
      <c r="O1594" s="228"/>
      <c r="P1594" s="228">
        <v>0</v>
      </c>
      <c r="Q1594" s="228">
        <v>0</v>
      </c>
    </row>
    <row r="1595" spans="1:17">
      <c r="C1595" s="165">
        <v>5600</v>
      </c>
      <c r="D1595" s="228"/>
      <c r="E1595" s="228"/>
      <c r="F1595" s="228"/>
      <c r="G1595" s="228"/>
      <c r="H1595" s="228">
        <v>2400</v>
      </c>
      <c r="I1595" s="228">
        <v>13440000</v>
      </c>
      <c r="J1595" s="228"/>
      <c r="K1595" s="228"/>
      <c r="L1595" s="228"/>
      <c r="M1595" s="228"/>
      <c r="N1595" s="228"/>
      <c r="O1595" s="228"/>
      <c r="P1595" s="228">
        <v>2400</v>
      </c>
      <c r="Q1595" s="228">
        <v>13440000</v>
      </c>
    </row>
    <row r="1596" spans="1:17">
      <c r="B1596" s="165" t="s">
        <v>2015</v>
      </c>
      <c r="C1596" s="165">
        <v>10700</v>
      </c>
      <c r="D1596" s="228"/>
      <c r="E1596" s="228"/>
      <c r="F1596" s="228"/>
      <c r="G1596" s="228"/>
      <c r="H1596" s="228"/>
      <c r="I1596" s="228"/>
      <c r="J1596" s="228"/>
      <c r="K1596" s="228"/>
      <c r="L1596" s="228">
        <v>3000</v>
      </c>
      <c r="M1596" s="228">
        <v>32100000</v>
      </c>
      <c r="N1596" s="228"/>
      <c r="O1596" s="228"/>
      <c r="P1596" s="228">
        <v>3000</v>
      </c>
      <c r="Q1596" s="228">
        <v>32100000</v>
      </c>
    </row>
    <row r="1597" spans="1:17">
      <c r="B1597" s="165" t="s">
        <v>2176</v>
      </c>
      <c r="C1597" s="165">
        <v>4100</v>
      </c>
      <c r="D1597" s="228"/>
      <c r="E1597" s="228"/>
      <c r="F1597" s="228">
        <v>0</v>
      </c>
      <c r="G1597" s="228">
        <v>0</v>
      </c>
      <c r="H1597" s="228"/>
      <c r="I1597" s="228"/>
      <c r="J1597" s="228"/>
      <c r="K1597" s="228"/>
      <c r="L1597" s="228"/>
      <c r="M1597" s="228"/>
      <c r="N1597" s="228"/>
      <c r="O1597" s="228"/>
      <c r="P1597" s="228">
        <v>0</v>
      </c>
      <c r="Q1597" s="228">
        <v>0</v>
      </c>
    </row>
    <row r="1598" spans="1:17">
      <c r="B1598" s="165" t="s">
        <v>2177</v>
      </c>
      <c r="C1598" s="165">
        <v>6200</v>
      </c>
      <c r="D1598" s="228"/>
      <c r="E1598" s="228"/>
      <c r="F1598" s="228"/>
      <c r="G1598" s="228"/>
      <c r="H1598" s="228"/>
      <c r="I1598" s="228"/>
      <c r="J1598" s="228"/>
      <c r="K1598" s="228"/>
      <c r="L1598" s="228">
        <v>3000</v>
      </c>
      <c r="M1598" s="228">
        <v>18600000</v>
      </c>
      <c r="N1598" s="228"/>
      <c r="O1598" s="228"/>
      <c r="P1598" s="228">
        <v>3000</v>
      </c>
      <c r="Q1598" s="228">
        <v>18600000</v>
      </c>
    </row>
    <row r="1599" spans="1:17">
      <c r="B1599" s="165" t="s">
        <v>2190</v>
      </c>
      <c r="C1599" s="165">
        <v>5500</v>
      </c>
      <c r="D1599" s="228"/>
      <c r="E1599" s="228"/>
      <c r="F1599" s="228"/>
      <c r="G1599" s="228"/>
      <c r="H1599" s="228"/>
      <c r="I1599" s="228"/>
      <c r="J1599" s="228"/>
      <c r="K1599" s="228"/>
      <c r="L1599" s="228">
        <v>2000</v>
      </c>
      <c r="M1599" s="228">
        <v>11000000</v>
      </c>
      <c r="N1599" s="228"/>
      <c r="O1599" s="228"/>
      <c r="P1599" s="228">
        <v>2000</v>
      </c>
      <c r="Q1599" s="228">
        <v>11000000</v>
      </c>
    </row>
    <row r="1600" spans="1:17">
      <c r="A1600" s="165" t="s">
        <v>2336</v>
      </c>
      <c r="B1600" s="165"/>
      <c r="C1600" s="165"/>
      <c r="D1600" s="228"/>
      <c r="E1600" s="228"/>
      <c r="F1600" s="228">
        <v>0</v>
      </c>
      <c r="G1600" s="228">
        <v>0</v>
      </c>
      <c r="H1600" s="228">
        <v>2400</v>
      </c>
      <c r="I1600" s="228">
        <v>13440000</v>
      </c>
      <c r="J1600" s="228">
        <v>4000</v>
      </c>
      <c r="K1600" s="228">
        <v>12000000</v>
      </c>
      <c r="L1600" s="228">
        <v>31600</v>
      </c>
      <c r="M1600" s="228">
        <v>142460000</v>
      </c>
      <c r="N1600" s="228"/>
      <c r="O1600" s="228"/>
      <c r="P1600" s="228">
        <v>38000</v>
      </c>
      <c r="Q1600" s="228">
        <v>167900000</v>
      </c>
    </row>
    <row r="1601" spans="1:17">
      <c r="A1601" s="165" t="s">
        <v>91</v>
      </c>
      <c r="B1601" s="165" t="s">
        <v>2121</v>
      </c>
      <c r="C1601" s="165">
        <v>4800</v>
      </c>
      <c r="D1601" s="228">
        <v>0</v>
      </c>
      <c r="E1601" s="228">
        <v>0</v>
      </c>
      <c r="F1601" s="228"/>
      <c r="G1601" s="228"/>
      <c r="H1601" s="228"/>
      <c r="I1601" s="228"/>
      <c r="J1601" s="228"/>
      <c r="K1601" s="228"/>
      <c r="L1601" s="228"/>
      <c r="M1601" s="228"/>
      <c r="N1601" s="228"/>
      <c r="O1601" s="228"/>
      <c r="P1601" s="228">
        <v>0</v>
      </c>
      <c r="Q1601" s="228">
        <v>0</v>
      </c>
    </row>
    <row r="1602" spans="1:17">
      <c r="B1602" s="165" t="s">
        <v>2169</v>
      </c>
      <c r="C1602" s="165">
        <v>4600</v>
      </c>
      <c r="D1602" s="228">
        <v>0</v>
      </c>
      <c r="E1602" s="228">
        <v>0</v>
      </c>
      <c r="F1602" s="228"/>
      <c r="G1602" s="228"/>
      <c r="H1602" s="228"/>
      <c r="I1602" s="228"/>
      <c r="J1602" s="228"/>
      <c r="K1602" s="228"/>
      <c r="L1602" s="228"/>
      <c r="M1602" s="228"/>
      <c r="N1602" s="228"/>
      <c r="O1602" s="228"/>
      <c r="P1602" s="228">
        <v>0</v>
      </c>
      <c r="Q1602" s="228">
        <v>0</v>
      </c>
    </row>
    <row r="1603" spans="1:17">
      <c r="B1603" s="165" t="s">
        <v>2186</v>
      </c>
      <c r="C1603" s="165">
        <v>2700</v>
      </c>
      <c r="D1603" s="228">
        <v>0</v>
      </c>
      <c r="E1603" s="228">
        <v>0</v>
      </c>
      <c r="F1603" s="228"/>
      <c r="G1603" s="228"/>
      <c r="H1603" s="228"/>
      <c r="I1603" s="228"/>
      <c r="J1603" s="228"/>
      <c r="K1603" s="228"/>
      <c r="L1603" s="228"/>
      <c r="M1603" s="228"/>
      <c r="N1603" s="228"/>
      <c r="O1603" s="228"/>
      <c r="P1603" s="228">
        <v>0</v>
      </c>
      <c r="Q1603" s="228">
        <v>0</v>
      </c>
    </row>
    <row r="1604" spans="1:17">
      <c r="B1604" s="165" t="s">
        <v>2188</v>
      </c>
      <c r="C1604" s="165">
        <v>3800</v>
      </c>
      <c r="D1604" s="228">
        <v>0</v>
      </c>
      <c r="E1604" s="228">
        <v>0</v>
      </c>
      <c r="F1604" s="228"/>
      <c r="G1604" s="228"/>
      <c r="H1604" s="228"/>
      <c r="I1604" s="228"/>
      <c r="J1604" s="228"/>
      <c r="K1604" s="228"/>
      <c r="L1604" s="228"/>
      <c r="M1604" s="228"/>
      <c r="N1604" s="228"/>
      <c r="O1604" s="228"/>
      <c r="P1604" s="228">
        <v>0</v>
      </c>
      <c r="Q1604" s="228">
        <v>0</v>
      </c>
    </row>
    <row r="1605" spans="1:17">
      <c r="A1605" s="165" t="s">
        <v>2337</v>
      </c>
      <c r="B1605" s="165"/>
      <c r="C1605" s="165"/>
      <c r="D1605" s="228">
        <v>0</v>
      </c>
      <c r="E1605" s="228">
        <v>0</v>
      </c>
      <c r="F1605" s="228"/>
      <c r="G1605" s="228"/>
      <c r="H1605" s="228"/>
      <c r="I1605" s="228"/>
      <c r="J1605" s="228"/>
      <c r="K1605" s="228"/>
      <c r="L1605" s="228"/>
      <c r="M1605" s="228"/>
      <c r="N1605" s="228"/>
      <c r="O1605" s="228"/>
      <c r="P1605" s="228">
        <v>0</v>
      </c>
      <c r="Q1605" s="228">
        <v>0</v>
      </c>
    </row>
    <row r="1606" spans="1:17">
      <c r="A1606" s="165" t="s">
        <v>103</v>
      </c>
      <c r="B1606" s="165" t="s">
        <v>2039</v>
      </c>
      <c r="C1606" s="165">
        <v>6300</v>
      </c>
      <c r="D1606" s="228"/>
      <c r="E1606" s="228"/>
      <c r="F1606" s="228">
        <v>0</v>
      </c>
      <c r="G1606" s="228">
        <v>0</v>
      </c>
      <c r="H1606" s="228"/>
      <c r="I1606" s="228"/>
      <c r="J1606" s="228"/>
      <c r="K1606" s="228"/>
      <c r="L1606" s="228"/>
      <c r="M1606" s="228"/>
      <c r="N1606" s="228"/>
      <c r="O1606" s="228"/>
      <c r="P1606" s="228">
        <v>0</v>
      </c>
      <c r="Q1606" s="228">
        <v>0</v>
      </c>
    </row>
    <row r="1607" spans="1:17">
      <c r="C1607" s="165">
        <v>6800</v>
      </c>
      <c r="D1607" s="228"/>
      <c r="E1607" s="228"/>
      <c r="F1607" s="228">
        <v>0</v>
      </c>
      <c r="G1607" s="228">
        <v>0</v>
      </c>
      <c r="H1607" s="228"/>
      <c r="I1607" s="228"/>
      <c r="J1607" s="228"/>
      <c r="K1607" s="228"/>
      <c r="L1607" s="228"/>
      <c r="M1607" s="228"/>
      <c r="N1607" s="228"/>
      <c r="O1607" s="228"/>
      <c r="P1607" s="228">
        <v>0</v>
      </c>
      <c r="Q1607" s="228">
        <v>0</v>
      </c>
    </row>
    <row r="1608" spans="1:17">
      <c r="C1608" s="165">
        <v>6900</v>
      </c>
      <c r="D1608" s="228"/>
      <c r="E1608" s="228"/>
      <c r="F1608" s="228">
        <v>0</v>
      </c>
      <c r="G1608" s="228">
        <v>0</v>
      </c>
      <c r="H1608" s="228"/>
      <c r="I1608" s="228"/>
      <c r="J1608" s="228"/>
      <c r="K1608" s="228"/>
      <c r="L1608" s="228"/>
      <c r="M1608" s="228"/>
      <c r="N1608" s="228"/>
      <c r="O1608" s="228"/>
      <c r="P1608" s="228">
        <v>0</v>
      </c>
      <c r="Q1608" s="228">
        <v>0</v>
      </c>
    </row>
    <row r="1609" spans="1:17">
      <c r="C1609" s="165">
        <v>7000</v>
      </c>
      <c r="D1609" s="228"/>
      <c r="E1609" s="228"/>
      <c r="F1609" s="228"/>
      <c r="G1609" s="228"/>
      <c r="H1609" s="228">
        <v>30000</v>
      </c>
      <c r="I1609" s="228">
        <v>210000000</v>
      </c>
      <c r="J1609" s="228"/>
      <c r="K1609" s="228"/>
      <c r="L1609" s="228"/>
      <c r="M1609" s="228"/>
      <c r="N1609" s="228"/>
      <c r="O1609" s="228"/>
      <c r="P1609" s="228">
        <v>30000</v>
      </c>
      <c r="Q1609" s="228">
        <v>210000000</v>
      </c>
    </row>
    <row r="1610" spans="1:17">
      <c r="B1610" s="165" t="s">
        <v>2042</v>
      </c>
      <c r="C1610" s="165">
        <v>10800</v>
      </c>
      <c r="D1610" s="228"/>
      <c r="E1610" s="228"/>
      <c r="F1610" s="228"/>
      <c r="G1610" s="228"/>
      <c r="H1610" s="228"/>
      <c r="I1610" s="228"/>
      <c r="J1610" s="228"/>
      <c r="K1610" s="228"/>
      <c r="L1610" s="228">
        <v>30000</v>
      </c>
      <c r="M1610" s="228">
        <v>324000000</v>
      </c>
      <c r="N1610" s="228"/>
      <c r="O1610" s="228"/>
      <c r="P1610" s="228">
        <v>30000</v>
      </c>
      <c r="Q1610" s="228">
        <v>324000000</v>
      </c>
    </row>
    <row r="1611" spans="1:17">
      <c r="C1611" s="165">
        <v>11000</v>
      </c>
      <c r="D1611" s="228"/>
      <c r="E1611" s="228"/>
      <c r="F1611" s="228"/>
      <c r="G1611" s="228"/>
      <c r="H1611" s="228"/>
      <c r="I1611" s="228"/>
      <c r="J1611" s="228"/>
      <c r="K1611" s="228"/>
      <c r="L1611" s="228">
        <v>10000</v>
      </c>
      <c r="M1611" s="228">
        <v>110000000</v>
      </c>
      <c r="N1611" s="228"/>
      <c r="O1611" s="228"/>
      <c r="P1611" s="228">
        <v>10000</v>
      </c>
      <c r="Q1611" s="228">
        <v>110000000</v>
      </c>
    </row>
    <row r="1612" spans="1:17">
      <c r="B1612" s="165" t="s">
        <v>2100</v>
      </c>
      <c r="C1612" s="165">
        <v>5400</v>
      </c>
      <c r="D1612" s="228"/>
      <c r="E1612" s="228"/>
      <c r="F1612" s="228">
        <v>0</v>
      </c>
      <c r="G1612" s="228">
        <v>0</v>
      </c>
      <c r="H1612" s="228"/>
      <c r="I1612" s="228"/>
      <c r="J1612" s="228"/>
      <c r="K1612" s="228"/>
      <c r="L1612" s="228"/>
      <c r="M1612" s="228"/>
      <c r="N1612" s="228"/>
      <c r="O1612" s="228"/>
      <c r="P1612" s="228">
        <v>0</v>
      </c>
      <c r="Q1612" s="228">
        <v>0</v>
      </c>
    </row>
    <row r="1613" spans="1:17">
      <c r="B1613" s="165" t="s">
        <v>2104</v>
      </c>
      <c r="C1613" s="165">
        <v>0</v>
      </c>
      <c r="D1613" s="228"/>
      <c r="E1613" s="228"/>
      <c r="F1613" s="228"/>
      <c r="G1613" s="228"/>
      <c r="H1613" s="228"/>
      <c r="I1613" s="228"/>
      <c r="J1613" s="228"/>
      <c r="K1613" s="228"/>
      <c r="L1613" s="228">
        <v>70000</v>
      </c>
      <c r="M1613" s="228">
        <v>0</v>
      </c>
      <c r="N1613" s="228"/>
      <c r="O1613" s="228"/>
      <c r="P1613" s="228">
        <v>70000</v>
      </c>
      <c r="Q1613" s="228">
        <v>0</v>
      </c>
    </row>
    <row r="1614" spans="1:17">
      <c r="C1614" s="165">
        <v>6700</v>
      </c>
      <c r="D1614" s="228"/>
      <c r="E1614" s="228"/>
      <c r="F1614" s="228">
        <v>0</v>
      </c>
      <c r="G1614" s="228">
        <v>0</v>
      </c>
      <c r="H1614" s="228"/>
      <c r="I1614" s="228"/>
      <c r="J1614" s="228"/>
      <c r="K1614" s="228"/>
      <c r="L1614" s="228"/>
      <c r="M1614" s="228"/>
      <c r="N1614" s="228"/>
      <c r="O1614" s="228"/>
      <c r="P1614" s="228">
        <v>0</v>
      </c>
      <c r="Q1614" s="228">
        <v>0</v>
      </c>
    </row>
    <row r="1615" spans="1:17">
      <c r="C1615" s="165">
        <v>6900</v>
      </c>
      <c r="D1615" s="228"/>
      <c r="E1615" s="228"/>
      <c r="F1615" s="228">
        <v>0</v>
      </c>
      <c r="G1615" s="228">
        <v>0</v>
      </c>
      <c r="H1615" s="228"/>
      <c r="I1615" s="228"/>
      <c r="J1615" s="228"/>
      <c r="K1615" s="228"/>
      <c r="L1615" s="228"/>
      <c r="M1615" s="228"/>
      <c r="N1615" s="228"/>
      <c r="O1615" s="228"/>
      <c r="P1615" s="228">
        <v>0</v>
      </c>
      <c r="Q1615" s="228">
        <v>0</v>
      </c>
    </row>
    <row r="1616" spans="1:17">
      <c r="C1616" s="165">
        <v>7000</v>
      </c>
      <c r="D1616" s="228"/>
      <c r="E1616" s="228"/>
      <c r="F1616" s="228"/>
      <c r="G1616" s="228"/>
      <c r="H1616" s="228">
        <v>50000</v>
      </c>
      <c r="I1616" s="228">
        <v>350000000</v>
      </c>
      <c r="J1616" s="228"/>
      <c r="K1616" s="228"/>
      <c r="L1616" s="228"/>
      <c r="M1616" s="228"/>
      <c r="N1616" s="228"/>
      <c r="O1616" s="228"/>
      <c r="P1616" s="228">
        <v>50000</v>
      </c>
      <c r="Q1616" s="228">
        <v>350000000</v>
      </c>
    </row>
    <row r="1617" spans="2:17">
      <c r="C1617" s="165">
        <v>7200</v>
      </c>
      <c r="D1617" s="228"/>
      <c r="E1617" s="228"/>
      <c r="F1617" s="228"/>
      <c r="G1617" s="228"/>
      <c r="H1617" s="228"/>
      <c r="I1617" s="228"/>
      <c r="J1617" s="228"/>
      <c r="K1617" s="228"/>
      <c r="L1617" s="228">
        <v>30000</v>
      </c>
      <c r="M1617" s="228">
        <v>216000000</v>
      </c>
      <c r="N1617" s="228"/>
      <c r="O1617" s="228"/>
      <c r="P1617" s="228">
        <v>30000</v>
      </c>
      <c r="Q1617" s="228">
        <v>216000000</v>
      </c>
    </row>
    <row r="1618" spans="2:17">
      <c r="B1618" s="165" t="s">
        <v>2016</v>
      </c>
      <c r="C1618" s="165">
        <v>13500</v>
      </c>
      <c r="D1618" s="228"/>
      <c r="E1618" s="228"/>
      <c r="F1618" s="228"/>
      <c r="G1618" s="228"/>
      <c r="H1618" s="228"/>
      <c r="I1618" s="228"/>
      <c r="J1618" s="228"/>
      <c r="K1618" s="228"/>
      <c r="L1618" s="228">
        <v>40000</v>
      </c>
      <c r="M1618" s="228">
        <v>540000000</v>
      </c>
      <c r="N1618" s="228"/>
      <c r="O1618" s="228"/>
      <c r="P1618" s="228">
        <v>40000</v>
      </c>
      <c r="Q1618" s="228">
        <v>540000000</v>
      </c>
    </row>
    <row r="1619" spans="2:17">
      <c r="B1619" s="165" t="s">
        <v>2106</v>
      </c>
      <c r="C1619" s="165">
        <v>15200</v>
      </c>
      <c r="D1619" s="228"/>
      <c r="E1619" s="228"/>
      <c r="F1619" s="228"/>
      <c r="G1619" s="228"/>
      <c r="H1619" s="228"/>
      <c r="I1619" s="228"/>
      <c r="J1619" s="228"/>
      <c r="K1619" s="228"/>
      <c r="L1619" s="228">
        <v>20000</v>
      </c>
      <c r="M1619" s="228">
        <v>304000000</v>
      </c>
      <c r="N1619" s="228"/>
      <c r="O1619" s="228"/>
      <c r="P1619" s="228">
        <v>20000</v>
      </c>
      <c r="Q1619" s="228">
        <v>304000000</v>
      </c>
    </row>
    <row r="1620" spans="2:17">
      <c r="B1620" s="165" t="s">
        <v>2108</v>
      </c>
      <c r="C1620" s="165">
        <v>6000</v>
      </c>
      <c r="D1620" s="228"/>
      <c r="E1620" s="228"/>
      <c r="F1620" s="228">
        <v>0</v>
      </c>
      <c r="G1620" s="228">
        <v>0</v>
      </c>
      <c r="H1620" s="228"/>
      <c r="I1620" s="228"/>
      <c r="J1620" s="228"/>
      <c r="K1620" s="228"/>
      <c r="L1620" s="228"/>
      <c r="M1620" s="228"/>
      <c r="N1620" s="228"/>
      <c r="O1620" s="228"/>
      <c r="P1620" s="228">
        <v>0</v>
      </c>
      <c r="Q1620" s="228">
        <v>0</v>
      </c>
    </row>
    <row r="1621" spans="2:17">
      <c r="B1621" s="165" t="s">
        <v>2122</v>
      </c>
      <c r="C1621" s="165">
        <v>6200</v>
      </c>
      <c r="D1621" s="228"/>
      <c r="E1621" s="228"/>
      <c r="F1621" s="228">
        <v>0</v>
      </c>
      <c r="G1621" s="228">
        <v>0</v>
      </c>
      <c r="H1621" s="228"/>
      <c r="I1621" s="228"/>
      <c r="J1621" s="228"/>
      <c r="K1621" s="228"/>
      <c r="L1621" s="228"/>
      <c r="M1621" s="228"/>
      <c r="N1621" s="228"/>
      <c r="O1621" s="228"/>
      <c r="P1621" s="228">
        <v>0</v>
      </c>
      <c r="Q1621" s="228">
        <v>0</v>
      </c>
    </row>
    <row r="1622" spans="2:17">
      <c r="B1622" s="165" t="s">
        <v>2132</v>
      </c>
      <c r="C1622" s="165">
        <v>6500</v>
      </c>
      <c r="D1622" s="228"/>
      <c r="E1622" s="228"/>
      <c r="F1622" s="228">
        <v>0</v>
      </c>
      <c r="G1622" s="228">
        <v>0</v>
      </c>
      <c r="H1622" s="228"/>
      <c r="I1622" s="228"/>
      <c r="J1622" s="228"/>
      <c r="K1622" s="228"/>
      <c r="L1622" s="228"/>
      <c r="M1622" s="228"/>
      <c r="N1622" s="228"/>
      <c r="O1622" s="228"/>
      <c r="P1622" s="228">
        <v>0</v>
      </c>
      <c r="Q1622" s="228">
        <v>0</v>
      </c>
    </row>
    <row r="1623" spans="2:17">
      <c r="C1623" s="165">
        <v>6700</v>
      </c>
      <c r="D1623" s="228"/>
      <c r="E1623" s="228"/>
      <c r="F1623" s="228">
        <v>0</v>
      </c>
      <c r="G1623" s="228">
        <v>0</v>
      </c>
      <c r="H1623" s="228"/>
      <c r="I1623" s="228"/>
      <c r="J1623" s="228"/>
      <c r="K1623" s="228"/>
      <c r="L1623" s="228"/>
      <c r="M1623" s="228"/>
      <c r="N1623" s="228"/>
      <c r="O1623" s="228"/>
      <c r="P1623" s="228">
        <v>0</v>
      </c>
      <c r="Q1623" s="228">
        <v>0</v>
      </c>
    </row>
    <row r="1624" spans="2:17">
      <c r="B1624" s="165" t="s">
        <v>2136</v>
      </c>
      <c r="C1624" s="165">
        <v>13000</v>
      </c>
      <c r="D1624" s="228"/>
      <c r="E1624" s="228"/>
      <c r="F1624" s="228"/>
      <c r="G1624" s="228"/>
      <c r="H1624" s="228"/>
      <c r="I1624" s="228"/>
      <c r="J1624" s="228"/>
      <c r="K1624" s="228"/>
      <c r="L1624" s="228">
        <v>20000</v>
      </c>
      <c r="M1624" s="228">
        <v>260000000</v>
      </c>
      <c r="N1624" s="228"/>
      <c r="O1624" s="228"/>
      <c r="P1624" s="228">
        <v>20000</v>
      </c>
      <c r="Q1624" s="228">
        <v>260000000</v>
      </c>
    </row>
    <row r="1625" spans="2:17">
      <c r="C1625" s="165">
        <v>13500</v>
      </c>
      <c r="D1625" s="228"/>
      <c r="E1625" s="228"/>
      <c r="F1625" s="228"/>
      <c r="G1625" s="228"/>
      <c r="H1625" s="228"/>
      <c r="I1625" s="228"/>
      <c r="J1625" s="228"/>
      <c r="K1625" s="228"/>
      <c r="L1625" s="228">
        <v>10000</v>
      </c>
      <c r="M1625" s="228">
        <v>135000000</v>
      </c>
      <c r="N1625" s="228"/>
      <c r="O1625" s="228"/>
      <c r="P1625" s="228">
        <v>10000</v>
      </c>
      <c r="Q1625" s="228">
        <v>135000000</v>
      </c>
    </row>
    <row r="1626" spans="2:17">
      <c r="B1626" s="165" t="s">
        <v>2169</v>
      </c>
      <c r="C1626" s="165">
        <v>4800</v>
      </c>
      <c r="D1626" s="228"/>
      <c r="E1626" s="228"/>
      <c r="F1626" s="228">
        <v>0</v>
      </c>
      <c r="G1626" s="228">
        <v>0</v>
      </c>
      <c r="H1626" s="228"/>
      <c r="I1626" s="228"/>
      <c r="J1626" s="228"/>
      <c r="K1626" s="228"/>
      <c r="L1626" s="228"/>
      <c r="M1626" s="228"/>
      <c r="N1626" s="228"/>
      <c r="O1626" s="228"/>
      <c r="P1626" s="228">
        <v>0</v>
      </c>
      <c r="Q1626" s="228">
        <v>0</v>
      </c>
    </row>
    <row r="1627" spans="2:17">
      <c r="B1627" s="165" t="s">
        <v>2171</v>
      </c>
      <c r="C1627" s="165">
        <v>5500</v>
      </c>
      <c r="D1627" s="228"/>
      <c r="E1627" s="228"/>
      <c r="F1627" s="228">
        <v>0</v>
      </c>
      <c r="G1627" s="228">
        <v>0</v>
      </c>
      <c r="H1627" s="228"/>
      <c r="I1627" s="228"/>
      <c r="J1627" s="228"/>
      <c r="K1627" s="228"/>
      <c r="L1627" s="228"/>
      <c r="M1627" s="228"/>
      <c r="N1627" s="228"/>
      <c r="O1627" s="228"/>
      <c r="P1627" s="228">
        <v>0</v>
      </c>
      <c r="Q1627" s="228">
        <v>0</v>
      </c>
    </row>
    <row r="1628" spans="2:17">
      <c r="C1628" s="165">
        <v>7100</v>
      </c>
      <c r="D1628" s="228"/>
      <c r="E1628" s="228"/>
      <c r="F1628" s="228"/>
      <c r="G1628" s="228"/>
      <c r="H1628" s="228">
        <v>20000</v>
      </c>
      <c r="I1628" s="228">
        <v>142000000</v>
      </c>
      <c r="J1628" s="228"/>
      <c r="K1628" s="228"/>
      <c r="L1628" s="228"/>
      <c r="M1628" s="228"/>
      <c r="N1628" s="228"/>
      <c r="O1628" s="228"/>
      <c r="P1628" s="228">
        <v>20000</v>
      </c>
      <c r="Q1628" s="228">
        <v>142000000</v>
      </c>
    </row>
    <row r="1629" spans="2:17">
      <c r="C1629" s="165">
        <v>7200</v>
      </c>
      <c r="D1629" s="228"/>
      <c r="E1629" s="228"/>
      <c r="F1629" s="228"/>
      <c r="G1629" s="228"/>
      <c r="H1629" s="228"/>
      <c r="I1629" s="228"/>
      <c r="J1629" s="228"/>
      <c r="K1629" s="228"/>
      <c r="L1629" s="228">
        <v>22600</v>
      </c>
      <c r="M1629" s="228">
        <v>162720000</v>
      </c>
      <c r="N1629" s="228"/>
      <c r="O1629" s="228"/>
      <c r="P1629" s="228">
        <v>22600</v>
      </c>
      <c r="Q1629" s="228">
        <v>162720000</v>
      </c>
    </row>
    <row r="1630" spans="2:17">
      <c r="B1630" s="165" t="s">
        <v>2023</v>
      </c>
      <c r="C1630" s="165">
        <v>10100</v>
      </c>
      <c r="D1630" s="228"/>
      <c r="E1630" s="228"/>
      <c r="F1630" s="228"/>
      <c r="G1630" s="228"/>
      <c r="H1630" s="228"/>
      <c r="I1630" s="228"/>
      <c r="J1630" s="228"/>
      <c r="K1630" s="228"/>
      <c r="L1630" s="228">
        <v>20000</v>
      </c>
      <c r="M1630" s="228">
        <v>202000000</v>
      </c>
      <c r="N1630" s="228"/>
      <c r="O1630" s="228"/>
      <c r="P1630" s="228">
        <v>20000</v>
      </c>
      <c r="Q1630" s="228">
        <v>202000000</v>
      </c>
    </row>
    <row r="1631" spans="2:17">
      <c r="B1631" s="165" t="s">
        <v>2188</v>
      </c>
      <c r="C1631" s="165">
        <v>3800</v>
      </c>
      <c r="D1631" s="228">
        <v>0</v>
      </c>
      <c r="E1631" s="228">
        <v>0</v>
      </c>
      <c r="F1631" s="228"/>
      <c r="G1631" s="228"/>
      <c r="H1631" s="228"/>
      <c r="I1631" s="228"/>
      <c r="J1631" s="228"/>
      <c r="K1631" s="228"/>
      <c r="L1631" s="228"/>
      <c r="M1631" s="228"/>
      <c r="N1631" s="228"/>
      <c r="O1631" s="228"/>
      <c r="P1631" s="228">
        <v>0</v>
      </c>
      <c r="Q1631" s="228">
        <v>0</v>
      </c>
    </row>
    <row r="1632" spans="2:17">
      <c r="B1632" s="165" t="s">
        <v>2190</v>
      </c>
      <c r="C1632" s="165">
        <v>5000</v>
      </c>
      <c r="D1632" s="228"/>
      <c r="E1632" s="228"/>
      <c r="F1632" s="228">
        <v>0</v>
      </c>
      <c r="G1632" s="228">
        <v>0</v>
      </c>
      <c r="H1632" s="228"/>
      <c r="I1632" s="228"/>
      <c r="J1632" s="228"/>
      <c r="K1632" s="228"/>
      <c r="L1632" s="228"/>
      <c r="M1632" s="228"/>
      <c r="N1632" s="228"/>
      <c r="O1632" s="228"/>
      <c r="P1632" s="228">
        <v>0</v>
      </c>
      <c r="Q1632" s="228">
        <v>0</v>
      </c>
    </row>
    <row r="1633" spans="1:17">
      <c r="A1633" s="165" t="s">
        <v>2338</v>
      </c>
      <c r="B1633" s="165"/>
      <c r="C1633" s="165"/>
      <c r="D1633" s="228">
        <v>0</v>
      </c>
      <c r="E1633" s="228">
        <v>0</v>
      </c>
      <c r="F1633" s="228">
        <v>0</v>
      </c>
      <c r="G1633" s="228">
        <v>0</v>
      </c>
      <c r="H1633" s="228">
        <v>100000</v>
      </c>
      <c r="I1633" s="228">
        <v>702000000</v>
      </c>
      <c r="J1633" s="228"/>
      <c r="K1633" s="228"/>
      <c r="L1633" s="228">
        <v>272600</v>
      </c>
      <c r="M1633" s="228">
        <v>2253720000</v>
      </c>
      <c r="N1633" s="228"/>
      <c r="O1633" s="228"/>
      <c r="P1633" s="228">
        <v>372600</v>
      </c>
      <c r="Q1633" s="228">
        <v>2955720000</v>
      </c>
    </row>
    <row r="1634" spans="1:17">
      <c r="A1634" s="165" t="s">
        <v>1788</v>
      </c>
      <c r="B1634" s="165" t="s">
        <v>2027</v>
      </c>
      <c r="C1634" s="165">
        <v>2800</v>
      </c>
      <c r="D1634" s="228"/>
      <c r="E1634" s="228"/>
      <c r="F1634" s="228">
        <v>0</v>
      </c>
      <c r="G1634" s="228">
        <v>0</v>
      </c>
      <c r="H1634" s="228"/>
      <c r="I1634" s="228"/>
      <c r="J1634" s="228"/>
      <c r="K1634" s="228"/>
      <c r="L1634" s="228"/>
      <c r="M1634" s="228"/>
      <c r="N1634" s="228"/>
      <c r="O1634" s="228"/>
      <c r="P1634" s="228">
        <v>0</v>
      </c>
      <c r="Q1634" s="228">
        <v>0</v>
      </c>
    </row>
    <row r="1635" spans="1:17">
      <c r="B1635" s="165" t="s">
        <v>2028</v>
      </c>
      <c r="C1635" s="165">
        <v>4200</v>
      </c>
      <c r="D1635" s="228"/>
      <c r="E1635" s="228"/>
      <c r="F1635" s="228">
        <v>0</v>
      </c>
      <c r="G1635" s="228">
        <v>0</v>
      </c>
      <c r="H1635" s="228"/>
      <c r="I1635" s="228"/>
      <c r="J1635" s="228"/>
      <c r="K1635" s="228"/>
      <c r="L1635" s="228"/>
      <c r="M1635" s="228"/>
      <c r="N1635" s="228"/>
      <c r="O1635" s="228"/>
      <c r="P1635" s="228">
        <v>0</v>
      </c>
      <c r="Q1635" s="228">
        <v>0</v>
      </c>
    </row>
    <row r="1636" spans="1:17">
      <c r="B1636" s="165" t="s">
        <v>2029</v>
      </c>
      <c r="C1636" s="165">
        <v>4500</v>
      </c>
      <c r="D1636" s="228">
        <v>0</v>
      </c>
      <c r="E1636" s="228">
        <v>0</v>
      </c>
      <c r="F1636" s="228"/>
      <c r="G1636" s="228"/>
      <c r="H1636" s="228"/>
      <c r="I1636" s="228"/>
      <c r="J1636" s="228"/>
      <c r="K1636" s="228"/>
      <c r="L1636" s="228"/>
      <c r="M1636" s="228"/>
      <c r="N1636" s="228"/>
      <c r="O1636" s="228"/>
      <c r="P1636" s="228">
        <v>0</v>
      </c>
      <c r="Q1636" s="228">
        <v>0</v>
      </c>
    </row>
    <row r="1637" spans="1:17">
      <c r="B1637" s="165" t="s">
        <v>2107</v>
      </c>
      <c r="C1637" s="165">
        <v>16000</v>
      </c>
      <c r="D1637" s="228"/>
      <c r="E1637" s="228"/>
      <c r="F1637" s="228"/>
      <c r="G1637" s="228"/>
      <c r="H1637" s="228"/>
      <c r="I1637" s="228"/>
      <c r="J1637" s="228"/>
      <c r="K1637" s="228"/>
      <c r="L1637" s="228">
        <v>2025</v>
      </c>
      <c r="M1637" s="228">
        <v>32400000</v>
      </c>
      <c r="N1637" s="228"/>
      <c r="O1637" s="228"/>
      <c r="P1637" s="228">
        <v>2025</v>
      </c>
      <c r="Q1637" s="228">
        <v>32400000</v>
      </c>
    </row>
    <row r="1638" spans="1:17">
      <c r="B1638" s="165" t="s">
        <v>2116</v>
      </c>
      <c r="C1638" s="165">
        <v>3000</v>
      </c>
      <c r="D1638" s="228"/>
      <c r="E1638" s="228"/>
      <c r="F1638" s="228">
        <v>0</v>
      </c>
      <c r="G1638" s="228">
        <v>0</v>
      </c>
      <c r="H1638" s="228"/>
      <c r="I1638" s="228"/>
      <c r="J1638" s="228"/>
      <c r="K1638" s="228"/>
      <c r="L1638" s="228"/>
      <c r="M1638" s="228"/>
      <c r="N1638" s="228"/>
      <c r="O1638" s="228"/>
      <c r="P1638" s="228">
        <v>0</v>
      </c>
      <c r="Q1638" s="228">
        <v>0</v>
      </c>
    </row>
    <row r="1639" spans="1:17">
      <c r="C1639" s="165">
        <v>3200</v>
      </c>
      <c r="D1639" s="228"/>
      <c r="E1639" s="228"/>
      <c r="F1639" s="228"/>
      <c r="G1639" s="228"/>
      <c r="H1639" s="228"/>
      <c r="I1639" s="228"/>
      <c r="J1639" s="228">
        <v>6000</v>
      </c>
      <c r="K1639" s="228">
        <v>19200000</v>
      </c>
      <c r="L1639" s="228"/>
      <c r="M1639" s="228"/>
      <c r="N1639" s="228"/>
      <c r="O1639" s="228"/>
      <c r="P1639" s="228">
        <v>6000</v>
      </c>
      <c r="Q1639" s="228">
        <v>19200000</v>
      </c>
    </row>
    <row r="1640" spans="1:17">
      <c r="B1640" s="165" t="s">
        <v>2124</v>
      </c>
      <c r="C1640" s="165">
        <v>2000</v>
      </c>
      <c r="D1640" s="228"/>
      <c r="E1640" s="228"/>
      <c r="F1640" s="228">
        <v>0</v>
      </c>
      <c r="G1640" s="228">
        <v>0</v>
      </c>
      <c r="H1640" s="228"/>
      <c r="I1640" s="228"/>
      <c r="J1640" s="228"/>
      <c r="K1640" s="228"/>
      <c r="L1640" s="228"/>
      <c r="M1640" s="228"/>
      <c r="N1640" s="228"/>
      <c r="O1640" s="228"/>
      <c r="P1640" s="228">
        <v>0</v>
      </c>
      <c r="Q1640" s="228">
        <v>0</v>
      </c>
    </row>
    <row r="1641" spans="1:17">
      <c r="B1641" s="165" t="s">
        <v>2125</v>
      </c>
      <c r="C1641" s="165">
        <v>2900</v>
      </c>
      <c r="D1641" s="228"/>
      <c r="E1641" s="228"/>
      <c r="F1641" s="228">
        <v>0</v>
      </c>
      <c r="G1641" s="228">
        <v>0</v>
      </c>
      <c r="H1641" s="228"/>
      <c r="I1641" s="228"/>
      <c r="J1641" s="228"/>
      <c r="K1641" s="228"/>
      <c r="L1641" s="228"/>
      <c r="M1641" s="228"/>
      <c r="N1641" s="228"/>
      <c r="O1641" s="228"/>
      <c r="P1641" s="228">
        <v>0</v>
      </c>
      <c r="Q1641" s="228">
        <v>0</v>
      </c>
    </row>
    <row r="1642" spans="1:17">
      <c r="B1642" s="165" t="s">
        <v>2144</v>
      </c>
      <c r="C1642" s="165">
        <v>12500</v>
      </c>
      <c r="D1642" s="228"/>
      <c r="E1642" s="228"/>
      <c r="F1642" s="228"/>
      <c r="G1642" s="228"/>
      <c r="H1642" s="228"/>
      <c r="I1642" s="228"/>
      <c r="J1642" s="228"/>
      <c r="K1642" s="228"/>
      <c r="L1642" s="228">
        <v>7000</v>
      </c>
      <c r="M1642" s="228">
        <v>87500000</v>
      </c>
      <c r="N1642" s="228"/>
      <c r="O1642" s="228"/>
      <c r="P1642" s="228">
        <v>7000</v>
      </c>
      <c r="Q1642" s="228">
        <v>87500000</v>
      </c>
    </row>
    <row r="1643" spans="1:17">
      <c r="B1643" s="165" t="s">
        <v>2176</v>
      </c>
      <c r="C1643" s="165">
        <v>4200</v>
      </c>
      <c r="D1643" s="228"/>
      <c r="E1643" s="228"/>
      <c r="F1643" s="228">
        <v>0</v>
      </c>
      <c r="G1643" s="228">
        <v>0</v>
      </c>
      <c r="H1643" s="228"/>
      <c r="I1643" s="228"/>
      <c r="J1643" s="228"/>
      <c r="K1643" s="228"/>
      <c r="L1643" s="228"/>
      <c r="M1643" s="228"/>
      <c r="N1643" s="228"/>
      <c r="O1643" s="228"/>
      <c r="P1643" s="228">
        <v>0</v>
      </c>
      <c r="Q1643" s="228">
        <v>0</v>
      </c>
    </row>
    <row r="1644" spans="1:17">
      <c r="B1644" s="165" t="s">
        <v>2177</v>
      </c>
      <c r="C1644" s="165">
        <v>6100</v>
      </c>
      <c r="D1644" s="228"/>
      <c r="E1644" s="228"/>
      <c r="F1644" s="228"/>
      <c r="G1644" s="228"/>
      <c r="H1644" s="228"/>
      <c r="I1644" s="228"/>
      <c r="J1644" s="228"/>
      <c r="K1644" s="228"/>
      <c r="L1644" s="228">
        <v>5000</v>
      </c>
      <c r="M1644" s="228">
        <v>30500000</v>
      </c>
      <c r="N1644" s="228"/>
      <c r="O1644" s="228"/>
      <c r="P1644" s="228">
        <v>5000</v>
      </c>
      <c r="Q1644" s="228">
        <v>30500000</v>
      </c>
    </row>
    <row r="1645" spans="1:17">
      <c r="A1645" s="165" t="s">
        <v>2339</v>
      </c>
      <c r="B1645" s="165"/>
      <c r="C1645" s="165"/>
      <c r="D1645" s="228">
        <v>0</v>
      </c>
      <c r="E1645" s="228">
        <v>0</v>
      </c>
      <c r="F1645" s="228">
        <v>0</v>
      </c>
      <c r="G1645" s="228">
        <v>0</v>
      </c>
      <c r="H1645" s="228"/>
      <c r="I1645" s="228"/>
      <c r="J1645" s="228">
        <v>6000</v>
      </c>
      <c r="K1645" s="228">
        <v>19200000</v>
      </c>
      <c r="L1645" s="228">
        <v>14025</v>
      </c>
      <c r="M1645" s="228">
        <v>150400000</v>
      </c>
      <c r="N1645" s="228"/>
      <c r="O1645" s="228"/>
      <c r="P1645" s="228">
        <v>20025</v>
      </c>
      <c r="Q1645" s="228">
        <v>169600000</v>
      </c>
    </row>
    <row r="1646" spans="1:17">
      <c r="A1646" s="165" t="s">
        <v>116</v>
      </c>
      <c r="B1646" s="165" t="s">
        <v>2008</v>
      </c>
      <c r="C1646" s="165">
        <v>5000</v>
      </c>
      <c r="D1646" s="228"/>
      <c r="E1646" s="228"/>
      <c r="F1646" s="228">
        <v>0</v>
      </c>
      <c r="G1646" s="228">
        <v>0</v>
      </c>
      <c r="H1646" s="228"/>
      <c r="I1646" s="228"/>
      <c r="J1646" s="228"/>
      <c r="K1646" s="228"/>
      <c r="L1646" s="228"/>
      <c r="M1646" s="228"/>
      <c r="N1646" s="228"/>
      <c r="O1646" s="228"/>
      <c r="P1646" s="228">
        <v>0</v>
      </c>
      <c r="Q1646" s="228">
        <v>0</v>
      </c>
    </row>
    <row r="1647" spans="1:17">
      <c r="B1647" s="165" t="s">
        <v>2060</v>
      </c>
      <c r="C1647" s="165">
        <v>8000</v>
      </c>
      <c r="D1647" s="228"/>
      <c r="E1647" s="228"/>
      <c r="F1647" s="228"/>
      <c r="G1647" s="228"/>
      <c r="H1647" s="228"/>
      <c r="I1647" s="228"/>
      <c r="J1647" s="228"/>
      <c r="K1647" s="228"/>
      <c r="L1647" s="228">
        <v>3000</v>
      </c>
      <c r="M1647" s="228">
        <v>24000000</v>
      </c>
      <c r="N1647" s="228"/>
      <c r="O1647" s="228"/>
      <c r="P1647" s="228">
        <v>3000</v>
      </c>
      <c r="Q1647" s="228">
        <v>24000000</v>
      </c>
    </row>
    <row r="1648" spans="1:17">
      <c r="B1648" s="165" t="s">
        <v>2076</v>
      </c>
      <c r="C1648" s="165">
        <v>5700</v>
      </c>
      <c r="D1648" s="228"/>
      <c r="E1648" s="228"/>
      <c r="F1648" s="228">
        <v>0</v>
      </c>
      <c r="G1648" s="228">
        <v>0</v>
      </c>
      <c r="H1648" s="228"/>
      <c r="I1648" s="228"/>
      <c r="J1648" s="228"/>
      <c r="K1648" s="228"/>
      <c r="L1648" s="228"/>
      <c r="M1648" s="228"/>
      <c r="N1648" s="228"/>
      <c r="O1648" s="228"/>
      <c r="P1648" s="228">
        <v>0</v>
      </c>
      <c r="Q1648" s="228">
        <v>0</v>
      </c>
    </row>
    <row r="1649" spans="1:17">
      <c r="B1649" s="165" t="s">
        <v>2009</v>
      </c>
      <c r="C1649" s="165">
        <v>4800</v>
      </c>
      <c r="D1649" s="228"/>
      <c r="E1649" s="228"/>
      <c r="F1649" s="228">
        <v>0</v>
      </c>
      <c r="G1649" s="228">
        <v>0</v>
      </c>
      <c r="H1649" s="228"/>
      <c r="I1649" s="228"/>
      <c r="J1649" s="228"/>
      <c r="K1649" s="228"/>
      <c r="L1649" s="228"/>
      <c r="M1649" s="228"/>
      <c r="N1649" s="228"/>
      <c r="O1649" s="228"/>
      <c r="P1649" s="228">
        <v>0</v>
      </c>
      <c r="Q1649" s="228">
        <v>0</v>
      </c>
    </row>
    <row r="1650" spans="1:17">
      <c r="C1650" s="165">
        <v>5000</v>
      </c>
      <c r="D1650" s="228"/>
      <c r="E1650" s="228"/>
      <c r="F1650" s="228">
        <v>0</v>
      </c>
      <c r="G1650" s="228">
        <v>0</v>
      </c>
      <c r="H1650" s="228"/>
      <c r="I1650" s="228"/>
      <c r="J1650" s="228"/>
      <c r="K1650" s="228"/>
      <c r="L1650" s="228"/>
      <c r="M1650" s="228"/>
      <c r="N1650" s="228"/>
      <c r="O1650" s="228"/>
      <c r="P1650" s="228">
        <v>0</v>
      </c>
      <c r="Q1650" s="228">
        <v>0</v>
      </c>
    </row>
    <row r="1651" spans="1:17">
      <c r="C1651" s="165">
        <v>5800</v>
      </c>
      <c r="D1651" s="228"/>
      <c r="E1651" s="228"/>
      <c r="F1651" s="228"/>
      <c r="G1651" s="228"/>
      <c r="H1651" s="228"/>
      <c r="I1651" s="228"/>
      <c r="J1651" s="228"/>
      <c r="K1651" s="228"/>
      <c r="L1651" s="228">
        <v>7000</v>
      </c>
      <c r="M1651" s="228">
        <v>40600000</v>
      </c>
      <c r="N1651" s="228"/>
      <c r="O1651" s="228"/>
      <c r="P1651" s="228">
        <v>7000</v>
      </c>
      <c r="Q1651" s="228">
        <v>40600000</v>
      </c>
    </row>
    <row r="1652" spans="1:17">
      <c r="B1652" s="165" t="s">
        <v>1878</v>
      </c>
      <c r="C1652" s="165">
        <v>3600</v>
      </c>
      <c r="D1652" s="228"/>
      <c r="E1652" s="228"/>
      <c r="F1652" s="228">
        <v>0</v>
      </c>
      <c r="G1652" s="228">
        <v>0</v>
      </c>
      <c r="H1652" s="228"/>
      <c r="I1652" s="228"/>
      <c r="J1652" s="228"/>
      <c r="K1652" s="228"/>
      <c r="L1652" s="228"/>
      <c r="M1652" s="228"/>
      <c r="N1652" s="228"/>
      <c r="O1652" s="228"/>
      <c r="P1652" s="228">
        <v>0</v>
      </c>
      <c r="Q1652" s="228">
        <v>0</v>
      </c>
    </row>
    <row r="1653" spans="1:17">
      <c r="A1653" s="165" t="s">
        <v>2340</v>
      </c>
      <c r="B1653" s="165"/>
      <c r="C1653" s="165"/>
      <c r="D1653" s="228"/>
      <c r="E1653" s="228"/>
      <c r="F1653" s="228">
        <v>0</v>
      </c>
      <c r="G1653" s="228">
        <v>0</v>
      </c>
      <c r="H1653" s="228"/>
      <c r="I1653" s="228"/>
      <c r="J1653" s="228"/>
      <c r="K1653" s="228"/>
      <c r="L1653" s="228">
        <v>10000</v>
      </c>
      <c r="M1653" s="228">
        <v>64600000</v>
      </c>
      <c r="N1653" s="228"/>
      <c r="O1653" s="228"/>
      <c r="P1653" s="228">
        <v>10000</v>
      </c>
      <c r="Q1653" s="228">
        <v>64600000</v>
      </c>
    </row>
    <row r="1654" spans="1:17">
      <c r="A1654" s="165" t="s">
        <v>1587</v>
      </c>
      <c r="B1654" s="165" t="s">
        <v>2029</v>
      </c>
      <c r="C1654" s="165">
        <v>4500</v>
      </c>
      <c r="D1654" s="228"/>
      <c r="E1654" s="228"/>
      <c r="F1654" s="228"/>
      <c r="G1654" s="228"/>
      <c r="H1654" s="228">
        <v>10200</v>
      </c>
      <c r="I1654" s="228">
        <v>45900000</v>
      </c>
      <c r="J1654" s="228"/>
      <c r="K1654" s="228"/>
      <c r="L1654" s="228"/>
      <c r="M1654" s="228"/>
      <c r="N1654" s="228"/>
      <c r="O1654" s="228"/>
      <c r="P1654" s="228">
        <v>10200</v>
      </c>
      <c r="Q1654" s="228">
        <v>45900000</v>
      </c>
    </row>
    <row r="1655" spans="1:17">
      <c r="C1655" s="165">
        <v>4600</v>
      </c>
      <c r="D1655" s="228"/>
      <c r="E1655" s="228"/>
      <c r="F1655" s="228"/>
      <c r="G1655" s="228"/>
      <c r="H1655" s="228"/>
      <c r="I1655" s="228"/>
      <c r="J1655" s="228"/>
      <c r="K1655" s="228"/>
      <c r="L1655" s="228">
        <v>8100</v>
      </c>
      <c r="M1655" s="228">
        <v>37260000</v>
      </c>
      <c r="N1655" s="228"/>
      <c r="O1655" s="228"/>
      <c r="P1655" s="228">
        <v>8100</v>
      </c>
      <c r="Q1655" s="228">
        <v>37260000</v>
      </c>
    </row>
    <row r="1656" spans="1:17">
      <c r="B1656" s="165" t="s">
        <v>2033</v>
      </c>
      <c r="C1656" s="165">
        <v>5400</v>
      </c>
      <c r="D1656" s="228"/>
      <c r="E1656" s="228"/>
      <c r="F1656" s="228">
        <v>0</v>
      </c>
      <c r="G1656" s="228">
        <v>0</v>
      </c>
      <c r="H1656" s="228"/>
      <c r="I1656" s="228"/>
      <c r="J1656" s="228"/>
      <c r="K1656" s="228"/>
      <c r="L1656" s="228"/>
      <c r="M1656" s="228"/>
      <c r="N1656" s="228"/>
      <c r="O1656" s="228"/>
      <c r="P1656" s="228">
        <v>0</v>
      </c>
      <c r="Q1656" s="228">
        <v>0</v>
      </c>
    </row>
    <row r="1657" spans="1:17">
      <c r="B1657" s="165" t="s">
        <v>2074</v>
      </c>
      <c r="C1657" s="165">
        <v>4400</v>
      </c>
      <c r="D1657" s="228"/>
      <c r="E1657" s="228"/>
      <c r="F1657" s="228"/>
      <c r="G1657" s="228"/>
      <c r="H1657" s="228"/>
      <c r="I1657" s="228"/>
      <c r="J1657" s="228"/>
      <c r="K1657" s="228"/>
      <c r="L1657" s="228">
        <v>2100</v>
      </c>
      <c r="M1657" s="228">
        <v>9240000</v>
      </c>
      <c r="N1657" s="228"/>
      <c r="O1657" s="228"/>
      <c r="P1657" s="228">
        <v>2100</v>
      </c>
      <c r="Q1657" s="228">
        <v>9240000</v>
      </c>
    </row>
    <row r="1658" spans="1:17">
      <c r="B1658" s="165" t="s">
        <v>2114</v>
      </c>
      <c r="C1658" s="165">
        <v>4100</v>
      </c>
      <c r="D1658" s="228"/>
      <c r="E1658" s="228"/>
      <c r="F1658" s="228"/>
      <c r="G1658" s="228"/>
      <c r="H1658" s="228">
        <v>10200</v>
      </c>
      <c r="I1658" s="228">
        <v>41820000</v>
      </c>
      <c r="J1658" s="228"/>
      <c r="K1658" s="228"/>
      <c r="L1658" s="228"/>
      <c r="M1658" s="228"/>
      <c r="N1658" s="228"/>
      <c r="O1658" s="228"/>
      <c r="P1658" s="228">
        <v>10200</v>
      </c>
      <c r="Q1658" s="228">
        <v>41820000</v>
      </c>
    </row>
    <row r="1659" spans="1:17">
      <c r="B1659" s="165" t="s">
        <v>2134</v>
      </c>
      <c r="C1659" s="165">
        <v>10900</v>
      </c>
      <c r="D1659" s="228"/>
      <c r="E1659" s="228"/>
      <c r="F1659" s="228"/>
      <c r="G1659" s="228"/>
      <c r="H1659" s="228"/>
      <c r="I1659" s="228"/>
      <c r="J1659" s="228"/>
      <c r="K1659" s="228"/>
      <c r="L1659" s="228">
        <v>10050</v>
      </c>
      <c r="M1659" s="228">
        <v>109545000</v>
      </c>
      <c r="N1659" s="228"/>
      <c r="O1659" s="228"/>
      <c r="P1659" s="228">
        <v>10050</v>
      </c>
      <c r="Q1659" s="228">
        <v>109545000</v>
      </c>
    </row>
    <row r="1660" spans="1:17">
      <c r="B1660" s="165" t="s">
        <v>2154</v>
      </c>
      <c r="C1660" s="165">
        <v>7700</v>
      </c>
      <c r="D1660" s="228"/>
      <c r="E1660" s="228"/>
      <c r="F1660" s="228"/>
      <c r="G1660" s="228"/>
      <c r="H1660" s="228"/>
      <c r="I1660" s="228"/>
      <c r="J1660" s="228"/>
      <c r="K1660" s="228"/>
      <c r="L1660" s="228">
        <v>10050</v>
      </c>
      <c r="M1660" s="228">
        <v>77385000</v>
      </c>
      <c r="N1660" s="228"/>
      <c r="O1660" s="228"/>
      <c r="P1660" s="228">
        <v>10050</v>
      </c>
      <c r="Q1660" s="228">
        <v>77385000</v>
      </c>
    </row>
    <row r="1661" spans="1:17">
      <c r="A1661" s="165" t="s">
        <v>2341</v>
      </c>
      <c r="B1661" s="165"/>
      <c r="C1661" s="165"/>
      <c r="D1661" s="228"/>
      <c r="E1661" s="228"/>
      <c r="F1661" s="228">
        <v>0</v>
      </c>
      <c r="G1661" s="228">
        <v>0</v>
      </c>
      <c r="H1661" s="228">
        <v>20400</v>
      </c>
      <c r="I1661" s="228">
        <v>87720000</v>
      </c>
      <c r="J1661" s="228"/>
      <c r="K1661" s="228"/>
      <c r="L1661" s="228">
        <v>30300</v>
      </c>
      <c r="M1661" s="228">
        <v>233430000</v>
      </c>
      <c r="N1661" s="228"/>
      <c r="O1661" s="228"/>
      <c r="P1661" s="228">
        <v>50700</v>
      </c>
      <c r="Q1661" s="228">
        <v>321150000</v>
      </c>
    </row>
    <row r="1662" spans="1:17">
      <c r="A1662" s="165" t="s">
        <v>224</v>
      </c>
      <c r="B1662" s="165" t="s">
        <v>2027</v>
      </c>
      <c r="C1662" s="165">
        <v>2800</v>
      </c>
      <c r="D1662" s="228"/>
      <c r="E1662" s="228"/>
      <c r="F1662" s="228">
        <v>0</v>
      </c>
      <c r="G1662" s="228">
        <v>0</v>
      </c>
      <c r="H1662" s="228"/>
      <c r="I1662" s="228"/>
      <c r="J1662" s="228"/>
      <c r="K1662" s="228"/>
      <c r="L1662" s="228"/>
      <c r="M1662" s="228"/>
      <c r="N1662" s="228"/>
      <c r="O1662" s="228"/>
      <c r="P1662" s="228">
        <v>0</v>
      </c>
      <c r="Q1662" s="228">
        <v>0</v>
      </c>
    </row>
    <row r="1663" spans="1:17">
      <c r="B1663" s="165" t="s">
        <v>2116</v>
      </c>
      <c r="C1663" s="165">
        <v>3000</v>
      </c>
      <c r="D1663" s="228"/>
      <c r="E1663" s="228"/>
      <c r="F1663" s="228">
        <v>0</v>
      </c>
      <c r="G1663" s="228">
        <v>0</v>
      </c>
      <c r="H1663" s="228"/>
      <c r="I1663" s="228"/>
      <c r="J1663" s="228"/>
      <c r="K1663" s="228"/>
      <c r="L1663" s="228"/>
      <c r="M1663" s="228"/>
      <c r="N1663" s="228"/>
      <c r="O1663" s="228"/>
      <c r="P1663" s="228">
        <v>0</v>
      </c>
      <c r="Q1663" s="228">
        <v>0</v>
      </c>
    </row>
    <row r="1664" spans="1:17">
      <c r="B1664" s="165" t="s">
        <v>2124</v>
      </c>
      <c r="C1664" s="165">
        <v>2000</v>
      </c>
      <c r="D1664" s="228"/>
      <c r="E1664" s="228"/>
      <c r="F1664" s="228">
        <v>0</v>
      </c>
      <c r="G1664" s="228">
        <v>0</v>
      </c>
      <c r="H1664" s="228"/>
      <c r="I1664" s="228"/>
      <c r="J1664" s="228"/>
      <c r="K1664" s="228"/>
      <c r="L1664" s="228"/>
      <c r="M1664" s="228"/>
      <c r="N1664" s="228"/>
      <c r="O1664" s="228"/>
      <c r="P1664" s="228">
        <v>0</v>
      </c>
      <c r="Q1664" s="228">
        <v>0</v>
      </c>
    </row>
    <row r="1665" spans="1:17">
      <c r="B1665" s="165" t="s">
        <v>2125</v>
      </c>
      <c r="C1665" s="165">
        <v>2800</v>
      </c>
      <c r="D1665" s="228"/>
      <c r="E1665" s="228"/>
      <c r="F1665" s="228">
        <v>0</v>
      </c>
      <c r="G1665" s="228">
        <v>0</v>
      </c>
      <c r="H1665" s="228"/>
      <c r="I1665" s="228"/>
      <c r="J1665" s="228"/>
      <c r="K1665" s="228"/>
      <c r="L1665" s="228"/>
      <c r="M1665" s="228"/>
      <c r="N1665" s="228"/>
      <c r="O1665" s="228"/>
      <c r="P1665" s="228">
        <v>0</v>
      </c>
      <c r="Q1665" s="228">
        <v>0</v>
      </c>
    </row>
    <row r="1666" spans="1:17">
      <c r="B1666" s="165" t="s">
        <v>2161</v>
      </c>
      <c r="C1666" s="165">
        <v>5000</v>
      </c>
      <c r="D1666" s="228"/>
      <c r="E1666" s="228"/>
      <c r="F1666" s="228">
        <v>0</v>
      </c>
      <c r="G1666" s="228">
        <v>0</v>
      </c>
      <c r="H1666" s="228"/>
      <c r="I1666" s="228"/>
      <c r="J1666" s="228"/>
      <c r="K1666" s="228"/>
      <c r="L1666" s="228"/>
      <c r="M1666" s="228"/>
      <c r="N1666" s="228"/>
      <c r="O1666" s="228"/>
      <c r="P1666" s="228">
        <v>0</v>
      </c>
      <c r="Q1666" s="228">
        <v>0</v>
      </c>
    </row>
    <row r="1667" spans="1:17">
      <c r="B1667" s="165" t="s">
        <v>2177</v>
      </c>
      <c r="C1667" s="165">
        <v>6100</v>
      </c>
      <c r="D1667" s="228"/>
      <c r="E1667" s="228"/>
      <c r="F1667" s="228"/>
      <c r="G1667" s="228"/>
      <c r="H1667" s="228"/>
      <c r="I1667" s="228"/>
      <c r="J1667" s="228"/>
      <c r="K1667" s="228"/>
      <c r="L1667" s="228">
        <v>1000</v>
      </c>
      <c r="M1667" s="228">
        <v>6100000</v>
      </c>
      <c r="N1667" s="228"/>
      <c r="O1667" s="228"/>
      <c r="P1667" s="228">
        <v>1000</v>
      </c>
      <c r="Q1667" s="228">
        <v>6100000</v>
      </c>
    </row>
    <row r="1668" spans="1:17">
      <c r="B1668" s="165" t="s">
        <v>2186</v>
      </c>
      <c r="C1668" s="165">
        <v>2600</v>
      </c>
      <c r="D1668" s="228"/>
      <c r="E1668" s="228"/>
      <c r="F1668" s="228">
        <v>0</v>
      </c>
      <c r="G1668" s="228">
        <v>0</v>
      </c>
      <c r="H1668" s="228"/>
      <c r="I1668" s="228"/>
      <c r="J1668" s="228"/>
      <c r="K1668" s="228"/>
      <c r="L1668" s="228"/>
      <c r="M1668" s="228"/>
      <c r="N1668" s="228"/>
      <c r="O1668" s="228"/>
      <c r="P1668" s="228">
        <v>0</v>
      </c>
      <c r="Q1668" s="228">
        <v>0</v>
      </c>
    </row>
    <row r="1669" spans="1:17">
      <c r="A1669" s="165" t="s">
        <v>2342</v>
      </c>
      <c r="B1669" s="165"/>
      <c r="C1669" s="165"/>
      <c r="D1669" s="228"/>
      <c r="E1669" s="228"/>
      <c r="F1669" s="228">
        <v>0</v>
      </c>
      <c r="G1669" s="228">
        <v>0</v>
      </c>
      <c r="H1669" s="228"/>
      <c r="I1669" s="228"/>
      <c r="J1669" s="228"/>
      <c r="K1669" s="228"/>
      <c r="L1669" s="228">
        <v>1000</v>
      </c>
      <c r="M1669" s="228">
        <v>6100000</v>
      </c>
      <c r="N1669" s="228"/>
      <c r="O1669" s="228"/>
      <c r="P1669" s="228">
        <v>1000</v>
      </c>
      <c r="Q1669" s="228">
        <v>6100000</v>
      </c>
    </row>
    <row r="1670" spans="1:17">
      <c r="A1670" s="165" t="s">
        <v>260</v>
      </c>
      <c r="B1670" s="165" t="s">
        <v>2008</v>
      </c>
      <c r="C1670" s="165">
        <v>4700</v>
      </c>
      <c r="D1670" s="228">
        <v>0</v>
      </c>
      <c r="E1670" s="228">
        <v>0</v>
      </c>
      <c r="F1670" s="228"/>
      <c r="G1670" s="228"/>
      <c r="H1670" s="228"/>
      <c r="I1670" s="228"/>
      <c r="J1670" s="228"/>
      <c r="K1670" s="228"/>
      <c r="L1670" s="228"/>
      <c r="M1670" s="228"/>
      <c r="N1670" s="228"/>
      <c r="O1670" s="228"/>
      <c r="P1670" s="228">
        <v>0</v>
      </c>
      <c r="Q1670" s="228">
        <v>0</v>
      </c>
    </row>
    <row r="1671" spans="1:17">
      <c r="B1671" s="165" t="s">
        <v>2011</v>
      </c>
      <c r="C1671" s="165">
        <v>10600</v>
      </c>
      <c r="D1671" s="228"/>
      <c r="E1671" s="228"/>
      <c r="F1671" s="228"/>
      <c r="G1671" s="228"/>
      <c r="H1671" s="228"/>
      <c r="I1671" s="228"/>
      <c r="J1671" s="228"/>
      <c r="K1671" s="228"/>
      <c r="L1671" s="228">
        <v>10000</v>
      </c>
      <c r="M1671" s="228">
        <v>106000000</v>
      </c>
      <c r="N1671" s="228"/>
      <c r="O1671" s="228"/>
      <c r="P1671" s="228">
        <v>10000</v>
      </c>
      <c r="Q1671" s="228">
        <v>106000000</v>
      </c>
    </row>
    <row r="1672" spans="1:17">
      <c r="B1672" s="165" t="s">
        <v>2015</v>
      </c>
      <c r="C1672" s="165">
        <v>10700</v>
      </c>
      <c r="D1672" s="228"/>
      <c r="E1672" s="228"/>
      <c r="F1672" s="228"/>
      <c r="G1672" s="228"/>
      <c r="H1672" s="228"/>
      <c r="I1672" s="228"/>
      <c r="J1672" s="228"/>
      <c r="K1672" s="228"/>
      <c r="L1672" s="228">
        <v>10000</v>
      </c>
      <c r="M1672" s="228">
        <v>107000000</v>
      </c>
      <c r="N1672" s="228"/>
      <c r="O1672" s="228"/>
      <c r="P1672" s="228">
        <v>10000</v>
      </c>
      <c r="Q1672" s="228">
        <v>107000000</v>
      </c>
    </row>
    <row r="1673" spans="1:17">
      <c r="A1673" s="165" t="s">
        <v>2343</v>
      </c>
      <c r="B1673" s="165"/>
      <c r="C1673" s="165"/>
      <c r="D1673" s="228">
        <v>0</v>
      </c>
      <c r="E1673" s="228">
        <v>0</v>
      </c>
      <c r="F1673" s="228"/>
      <c r="G1673" s="228"/>
      <c r="H1673" s="228"/>
      <c r="I1673" s="228"/>
      <c r="J1673" s="228"/>
      <c r="K1673" s="228"/>
      <c r="L1673" s="228">
        <v>20000</v>
      </c>
      <c r="M1673" s="228">
        <v>213000000</v>
      </c>
      <c r="N1673" s="228"/>
      <c r="O1673" s="228"/>
      <c r="P1673" s="228">
        <v>20000</v>
      </c>
      <c r="Q1673" s="228">
        <v>213000000</v>
      </c>
    </row>
    <row r="1674" spans="1:17">
      <c r="A1674" s="165" t="s">
        <v>1403</v>
      </c>
      <c r="B1674" s="165" t="s">
        <v>2106</v>
      </c>
      <c r="C1674" s="165">
        <v>15400</v>
      </c>
      <c r="D1674" s="228"/>
      <c r="E1674" s="228"/>
      <c r="F1674" s="228"/>
      <c r="G1674" s="228"/>
      <c r="H1674" s="228"/>
      <c r="I1674" s="228"/>
      <c r="J1674" s="228"/>
      <c r="K1674" s="228"/>
      <c r="L1674" s="228">
        <v>20000</v>
      </c>
      <c r="M1674" s="228">
        <v>308000000</v>
      </c>
      <c r="N1674" s="228"/>
      <c r="O1674" s="228"/>
      <c r="P1674" s="228">
        <v>20000</v>
      </c>
      <c r="Q1674" s="228">
        <v>308000000</v>
      </c>
    </row>
    <row r="1675" spans="1:17">
      <c r="B1675" s="165" t="s">
        <v>2023</v>
      </c>
      <c r="C1675" s="165">
        <v>12300</v>
      </c>
      <c r="D1675" s="228"/>
      <c r="E1675" s="228"/>
      <c r="F1675" s="228"/>
      <c r="G1675" s="228"/>
      <c r="H1675" s="228"/>
      <c r="I1675" s="228"/>
      <c r="J1675" s="228"/>
      <c r="K1675" s="228"/>
      <c r="L1675" s="228">
        <v>20000</v>
      </c>
      <c r="M1675" s="228">
        <v>246000000</v>
      </c>
      <c r="N1675" s="228"/>
      <c r="O1675" s="228"/>
      <c r="P1675" s="228">
        <v>20000</v>
      </c>
      <c r="Q1675" s="228">
        <v>246000000</v>
      </c>
    </row>
    <row r="1676" spans="1:17">
      <c r="A1676" s="165" t="s">
        <v>2344</v>
      </c>
      <c r="B1676" s="165"/>
      <c r="C1676" s="165"/>
      <c r="D1676" s="228"/>
      <c r="E1676" s="228"/>
      <c r="F1676" s="228"/>
      <c r="G1676" s="228"/>
      <c r="H1676" s="228"/>
      <c r="I1676" s="228"/>
      <c r="J1676" s="228"/>
      <c r="K1676" s="228"/>
      <c r="L1676" s="228">
        <v>40000</v>
      </c>
      <c r="M1676" s="228">
        <v>554000000</v>
      </c>
      <c r="N1676" s="228"/>
      <c r="O1676" s="228"/>
      <c r="P1676" s="228">
        <v>40000</v>
      </c>
      <c r="Q1676" s="228">
        <v>554000000</v>
      </c>
    </row>
    <row r="1677" spans="1:17">
      <c r="A1677" s="165" t="s">
        <v>1491</v>
      </c>
      <c r="B1677" s="165" t="s">
        <v>2028</v>
      </c>
      <c r="C1677" s="165">
        <v>4500</v>
      </c>
      <c r="D1677" s="228">
        <v>0</v>
      </c>
      <c r="E1677" s="228">
        <v>0</v>
      </c>
      <c r="F1677" s="228"/>
      <c r="G1677" s="228"/>
      <c r="H1677" s="228"/>
      <c r="I1677" s="228"/>
      <c r="J1677" s="228"/>
      <c r="K1677" s="228"/>
      <c r="L1677" s="228"/>
      <c r="M1677" s="228"/>
      <c r="N1677" s="228"/>
      <c r="O1677" s="228"/>
      <c r="P1677" s="228">
        <v>0</v>
      </c>
      <c r="Q1677" s="228">
        <v>0</v>
      </c>
    </row>
    <row r="1678" spans="1:17">
      <c r="B1678" s="165" t="s">
        <v>2029</v>
      </c>
      <c r="C1678" s="165">
        <v>4500</v>
      </c>
      <c r="D1678" s="228"/>
      <c r="E1678" s="228"/>
      <c r="F1678" s="228">
        <v>0</v>
      </c>
      <c r="G1678" s="228">
        <v>0</v>
      </c>
      <c r="H1678" s="228"/>
      <c r="I1678" s="228"/>
      <c r="J1678" s="228"/>
      <c r="K1678" s="228"/>
      <c r="L1678" s="228"/>
      <c r="M1678" s="228"/>
      <c r="N1678" s="228"/>
      <c r="O1678" s="228"/>
      <c r="P1678" s="228">
        <v>0</v>
      </c>
      <c r="Q1678" s="228">
        <v>0</v>
      </c>
    </row>
    <row r="1679" spans="1:17">
      <c r="B1679" s="165" t="s">
        <v>2125</v>
      </c>
      <c r="C1679" s="165">
        <v>2900</v>
      </c>
      <c r="D1679" s="228">
        <v>0</v>
      </c>
      <c r="E1679" s="228">
        <v>0</v>
      </c>
      <c r="F1679" s="228">
        <v>0</v>
      </c>
      <c r="G1679" s="228">
        <v>0</v>
      </c>
      <c r="H1679" s="228"/>
      <c r="I1679" s="228"/>
      <c r="J1679" s="228"/>
      <c r="K1679" s="228"/>
      <c r="L1679" s="228"/>
      <c r="M1679" s="228"/>
      <c r="N1679" s="228"/>
      <c r="O1679" s="228"/>
      <c r="P1679" s="228">
        <v>0</v>
      </c>
      <c r="Q1679" s="228">
        <v>0</v>
      </c>
    </row>
    <row r="1680" spans="1:17">
      <c r="A1680" s="165" t="s">
        <v>2345</v>
      </c>
      <c r="B1680" s="165"/>
      <c r="C1680" s="165"/>
      <c r="D1680" s="228">
        <v>0</v>
      </c>
      <c r="E1680" s="228">
        <v>0</v>
      </c>
      <c r="F1680" s="228">
        <v>0</v>
      </c>
      <c r="G1680" s="228">
        <v>0</v>
      </c>
      <c r="H1680" s="228"/>
      <c r="I1680" s="228"/>
      <c r="J1680" s="228"/>
      <c r="K1680" s="228"/>
      <c r="L1680" s="228"/>
      <c r="M1680" s="228"/>
      <c r="N1680" s="228"/>
      <c r="O1680" s="228"/>
      <c r="P1680" s="228">
        <v>0</v>
      </c>
      <c r="Q1680" s="228">
        <v>0</v>
      </c>
    </row>
    <row r="1681" spans="1:17">
      <c r="A1681" s="165" t="s">
        <v>156</v>
      </c>
      <c r="B1681" s="165" t="s">
        <v>2114</v>
      </c>
      <c r="C1681" s="165">
        <v>3800</v>
      </c>
      <c r="D1681" s="228"/>
      <c r="E1681" s="228"/>
      <c r="F1681" s="228">
        <v>0</v>
      </c>
      <c r="G1681" s="228">
        <v>0</v>
      </c>
      <c r="H1681" s="228"/>
      <c r="I1681" s="228"/>
      <c r="J1681" s="228"/>
      <c r="K1681" s="228"/>
      <c r="L1681" s="228"/>
      <c r="M1681" s="228"/>
      <c r="N1681" s="228"/>
      <c r="O1681" s="228"/>
      <c r="P1681" s="228">
        <v>0</v>
      </c>
      <c r="Q1681" s="228">
        <v>0</v>
      </c>
    </row>
    <row r="1682" spans="1:17">
      <c r="B1682" s="165" t="s">
        <v>2186</v>
      </c>
      <c r="C1682" s="165">
        <v>2600</v>
      </c>
      <c r="D1682" s="228"/>
      <c r="E1682" s="228"/>
      <c r="F1682" s="228">
        <v>0</v>
      </c>
      <c r="G1682" s="228">
        <v>0</v>
      </c>
      <c r="H1682" s="228"/>
      <c r="I1682" s="228"/>
      <c r="J1682" s="228"/>
      <c r="K1682" s="228"/>
      <c r="L1682" s="228"/>
      <c r="M1682" s="228"/>
      <c r="N1682" s="228"/>
      <c r="O1682" s="228"/>
      <c r="P1682" s="228">
        <v>0</v>
      </c>
      <c r="Q1682" s="228">
        <v>0</v>
      </c>
    </row>
    <row r="1683" spans="1:17">
      <c r="A1683" s="165" t="s">
        <v>2346</v>
      </c>
      <c r="B1683" s="165"/>
      <c r="C1683" s="165"/>
      <c r="D1683" s="228"/>
      <c r="E1683" s="228"/>
      <c r="F1683" s="228">
        <v>0</v>
      </c>
      <c r="G1683" s="228">
        <v>0</v>
      </c>
      <c r="H1683" s="228"/>
      <c r="I1683" s="228"/>
      <c r="J1683" s="228"/>
      <c r="K1683" s="228"/>
      <c r="L1683" s="228"/>
      <c r="M1683" s="228"/>
      <c r="N1683" s="228"/>
      <c r="O1683" s="228"/>
      <c r="P1683" s="228">
        <v>0</v>
      </c>
      <c r="Q1683" s="228">
        <v>0</v>
      </c>
    </row>
    <row r="1684" spans="1:17">
      <c r="A1684" s="165" t="s">
        <v>234</v>
      </c>
      <c r="B1684" s="165" t="s">
        <v>2033</v>
      </c>
      <c r="C1684" s="165">
        <v>5400</v>
      </c>
      <c r="D1684" s="228"/>
      <c r="E1684" s="228"/>
      <c r="F1684" s="228">
        <v>0</v>
      </c>
      <c r="G1684" s="228">
        <v>0</v>
      </c>
      <c r="H1684" s="228"/>
      <c r="I1684" s="228"/>
      <c r="J1684" s="228"/>
      <c r="K1684" s="228"/>
      <c r="L1684" s="228"/>
      <c r="M1684" s="228"/>
      <c r="N1684" s="228"/>
      <c r="O1684" s="228"/>
      <c r="P1684" s="228">
        <v>0</v>
      </c>
      <c r="Q1684" s="228">
        <v>0</v>
      </c>
    </row>
    <row r="1685" spans="1:17">
      <c r="B1685" s="165" t="s">
        <v>2011</v>
      </c>
      <c r="C1685" s="165">
        <v>10600</v>
      </c>
      <c r="D1685" s="228"/>
      <c r="E1685" s="228"/>
      <c r="F1685" s="228"/>
      <c r="G1685" s="228"/>
      <c r="H1685" s="228"/>
      <c r="I1685" s="228"/>
      <c r="J1685" s="228"/>
      <c r="K1685" s="228"/>
      <c r="L1685" s="228">
        <v>10000</v>
      </c>
      <c r="M1685" s="228">
        <v>106000000</v>
      </c>
      <c r="N1685" s="228"/>
      <c r="O1685" s="228"/>
      <c r="P1685" s="228">
        <v>10000</v>
      </c>
      <c r="Q1685" s="228">
        <v>106000000</v>
      </c>
    </row>
    <row r="1686" spans="1:17">
      <c r="B1686" s="165" t="s">
        <v>2073</v>
      </c>
      <c r="C1686" s="165">
        <v>4700</v>
      </c>
      <c r="D1686" s="228"/>
      <c r="E1686" s="228"/>
      <c r="F1686" s="228">
        <v>0</v>
      </c>
      <c r="G1686" s="228">
        <v>0</v>
      </c>
      <c r="H1686" s="228"/>
      <c r="I1686" s="228"/>
      <c r="J1686" s="228"/>
      <c r="K1686" s="228"/>
      <c r="L1686" s="228"/>
      <c r="M1686" s="228"/>
      <c r="N1686" s="228"/>
      <c r="O1686" s="228"/>
      <c r="P1686" s="228">
        <v>0</v>
      </c>
      <c r="Q1686" s="228">
        <v>0</v>
      </c>
    </row>
    <row r="1687" spans="1:17">
      <c r="B1687" s="165" t="s">
        <v>2074</v>
      </c>
      <c r="C1687" s="165">
        <v>4200</v>
      </c>
      <c r="D1687" s="228"/>
      <c r="E1687" s="228"/>
      <c r="F1687" s="228">
        <v>0</v>
      </c>
      <c r="G1687" s="228">
        <v>0</v>
      </c>
      <c r="H1687" s="228"/>
      <c r="I1687" s="228"/>
      <c r="J1687" s="228"/>
      <c r="K1687" s="228"/>
      <c r="L1687" s="228"/>
      <c r="M1687" s="228"/>
      <c r="N1687" s="228"/>
      <c r="O1687" s="228"/>
      <c r="P1687" s="228">
        <v>0</v>
      </c>
      <c r="Q1687" s="228">
        <v>0</v>
      </c>
    </row>
    <row r="1688" spans="1:17">
      <c r="C1688" s="165">
        <v>4400</v>
      </c>
      <c r="D1688" s="228">
        <v>0</v>
      </c>
      <c r="E1688" s="228">
        <v>0</v>
      </c>
      <c r="F1688" s="228"/>
      <c r="G1688" s="228"/>
      <c r="H1688" s="228"/>
      <c r="I1688" s="228"/>
      <c r="J1688" s="228"/>
      <c r="K1688" s="228"/>
      <c r="L1688" s="228"/>
      <c r="M1688" s="228"/>
      <c r="N1688" s="228"/>
      <c r="O1688" s="228"/>
      <c r="P1688" s="228">
        <v>0</v>
      </c>
      <c r="Q1688" s="228">
        <v>0</v>
      </c>
    </row>
    <row r="1689" spans="1:17">
      <c r="B1689" s="165" t="s">
        <v>2106</v>
      </c>
      <c r="C1689" s="165">
        <v>15400</v>
      </c>
      <c r="D1689" s="228"/>
      <c r="E1689" s="228"/>
      <c r="F1689" s="228"/>
      <c r="G1689" s="228"/>
      <c r="H1689" s="228"/>
      <c r="I1689" s="228"/>
      <c r="J1689" s="228"/>
      <c r="K1689" s="228"/>
      <c r="L1689" s="228">
        <v>5000</v>
      </c>
      <c r="M1689" s="228">
        <v>77000000</v>
      </c>
      <c r="N1689" s="228"/>
      <c r="O1689" s="228"/>
      <c r="P1689" s="228">
        <v>5000</v>
      </c>
      <c r="Q1689" s="228">
        <v>77000000</v>
      </c>
    </row>
    <row r="1690" spans="1:17">
      <c r="B1690" s="165" t="s">
        <v>2114</v>
      </c>
      <c r="C1690" s="165">
        <v>3800</v>
      </c>
      <c r="D1690" s="228"/>
      <c r="E1690" s="228"/>
      <c r="F1690" s="228">
        <v>0</v>
      </c>
      <c r="G1690" s="228">
        <v>0</v>
      </c>
      <c r="H1690" s="228"/>
      <c r="I1690" s="228"/>
      <c r="J1690" s="228"/>
      <c r="K1690" s="228"/>
      <c r="L1690" s="228"/>
      <c r="M1690" s="228"/>
      <c r="N1690" s="228"/>
      <c r="O1690" s="228"/>
      <c r="P1690" s="228">
        <v>0</v>
      </c>
      <c r="Q1690" s="228">
        <v>0</v>
      </c>
    </row>
    <row r="1691" spans="1:17">
      <c r="C1691" s="165">
        <v>4100</v>
      </c>
      <c r="D1691" s="228">
        <v>0</v>
      </c>
      <c r="E1691" s="228">
        <v>0</v>
      </c>
      <c r="F1691" s="228"/>
      <c r="G1691" s="228"/>
      <c r="H1691" s="228"/>
      <c r="I1691" s="228"/>
      <c r="J1691" s="228"/>
      <c r="K1691" s="228"/>
      <c r="L1691" s="228"/>
      <c r="M1691" s="228"/>
      <c r="N1691" s="228"/>
      <c r="O1691" s="228"/>
      <c r="P1691" s="228">
        <v>0</v>
      </c>
      <c r="Q1691" s="228">
        <v>0</v>
      </c>
    </row>
    <row r="1692" spans="1:17">
      <c r="B1692" s="165" t="s">
        <v>2125</v>
      </c>
      <c r="C1692" s="165">
        <v>2800</v>
      </c>
      <c r="D1692" s="228"/>
      <c r="E1692" s="228"/>
      <c r="F1692" s="228">
        <v>0</v>
      </c>
      <c r="G1692" s="228">
        <v>0</v>
      </c>
      <c r="H1692" s="228"/>
      <c r="I1692" s="228"/>
      <c r="J1692" s="228"/>
      <c r="K1692" s="228"/>
      <c r="L1692" s="228"/>
      <c r="M1692" s="228"/>
      <c r="N1692" s="228"/>
      <c r="O1692" s="228"/>
      <c r="P1692" s="228">
        <v>0</v>
      </c>
      <c r="Q1692" s="228">
        <v>0</v>
      </c>
    </row>
    <row r="1693" spans="1:17">
      <c r="B1693" s="165" t="s">
        <v>2132</v>
      </c>
      <c r="C1693" s="165">
        <v>7700</v>
      </c>
      <c r="D1693" s="228"/>
      <c r="E1693" s="228"/>
      <c r="F1693" s="228">
        <v>0</v>
      </c>
      <c r="G1693" s="228">
        <v>0</v>
      </c>
      <c r="H1693" s="228"/>
      <c r="I1693" s="228"/>
      <c r="J1693" s="228"/>
      <c r="K1693" s="228"/>
      <c r="L1693" s="228"/>
      <c r="M1693" s="228"/>
      <c r="N1693" s="228"/>
      <c r="O1693" s="228"/>
      <c r="P1693" s="228">
        <v>0</v>
      </c>
      <c r="Q1693" s="228">
        <v>0</v>
      </c>
    </row>
    <row r="1694" spans="1:17">
      <c r="B1694" s="165" t="s">
        <v>2134</v>
      </c>
      <c r="C1694" s="165">
        <v>10800</v>
      </c>
      <c r="D1694" s="228"/>
      <c r="E1694" s="228"/>
      <c r="F1694" s="228"/>
      <c r="G1694" s="228"/>
      <c r="H1694" s="228"/>
      <c r="I1694" s="228"/>
      <c r="J1694" s="228"/>
      <c r="K1694" s="228"/>
      <c r="L1694" s="228">
        <v>5100</v>
      </c>
      <c r="M1694" s="228">
        <v>55080000</v>
      </c>
      <c r="N1694" s="228"/>
      <c r="O1694" s="228"/>
      <c r="P1694" s="228">
        <v>5100</v>
      </c>
      <c r="Q1694" s="228">
        <v>55080000</v>
      </c>
    </row>
    <row r="1695" spans="1:17">
      <c r="B1695" s="165" t="s">
        <v>2176</v>
      </c>
      <c r="C1695" s="165">
        <v>4100</v>
      </c>
      <c r="D1695" s="228"/>
      <c r="E1695" s="228"/>
      <c r="F1695" s="228">
        <v>0</v>
      </c>
      <c r="G1695" s="228">
        <v>0</v>
      </c>
      <c r="H1695" s="228"/>
      <c r="I1695" s="228"/>
      <c r="J1695" s="228"/>
      <c r="K1695" s="228"/>
      <c r="L1695" s="228"/>
      <c r="M1695" s="228"/>
      <c r="N1695" s="228"/>
      <c r="O1695" s="228"/>
      <c r="P1695" s="228">
        <v>0</v>
      </c>
      <c r="Q1695" s="228">
        <v>0</v>
      </c>
    </row>
    <row r="1696" spans="1:17">
      <c r="B1696" s="165" t="s">
        <v>2177</v>
      </c>
      <c r="C1696" s="165">
        <v>6200</v>
      </c>
      <c r="D1696" s="228"/>
      <c r="E1696" s="228"/>
      <c r="F1696" s="228"/>
      <c r="G1696" s="228"/>
      <c r="H1696" s="228"/>
      <c r="I1696" s="228"/>
      <c r="J1696" s="228"/>
      <c r="K1696" s="228"/>
      <c r="L1696" s="228">
        <v>5000</v>
      </c>
      <c r="M1696" s="228">
        <v>31000000</v>
      </c>
      <c r="N1696" s="228"/>
      <c r="O1696" s="228"/>
      <c r="P1696" s="228">
        <v>5000</v>
      </c>
      <c r="Q1696" s="228">
        <v>31000000</v>
      </c>
    </row>
    <row r="1697" spans="1:17">
      <c r="A1697" s="165" t="s">
        <v>2347</v>
      </c>
      <c r="B1697" s="165"/>
      <c r="C1697" s="165"/>
      <c r="D1697" s="228">
        <v>0</v>
      </c>
      <c r="E1697" s="228">
        <v>0</v>
      </c>
      <c r="F1697" s="228">
        <v>0</v>
      </c>
      <c r="G1697" s="228">
        <v>0</v>
      </c>
      <c r="H1697" s="228"/>
      <c r="I1697" s="228"/>
      <c r="J1697" s="228"/>
      <c r="K1697" s="228"/>
      <c r="L1697" s="228">
        <v>25100</v>
      </c>
      <c r="M1697" s="228">
        <v>269080000</v>
      </c>
      <c r="N1697" s="228"/>
      <c r="O1697" s="228"/>
      <c r="P1697" s="228">
        <v>25100</v>
      </c>
      <c r="Q1697" s="228">
        <v>269080000</v>
      </c>
    </row>
    <row r="1698" spans="1:17">
      <c r="A1698" s="165" t="s">
        <v>1864</v>
      </c>
      <c r="B1698" s="165" t="s">
        <v>2061</v>
      </c>
      <c r="C1698" s="165">
        <v>9600</v>
      </c>
      <c r="D1698" s="228"/>
      <c r="E1698" s="228"/>
      <c r="F1698" s="228"/>
      <c r="G1698" s="228"/>
      <c r="H1698" s="228"/>
      <c r="I1698" s="228"/>
      <c r="J1698" s="228"/>
      <c r="K1698" s="228"/>
      <c r="L1698" s="228">
        <v>1200</v>
      </c>
      <c r="M1698" s="228">
        <v>11520000</v>
      </c>
      <c r="N1698" s="228"/>
      <c r="O1698" s="228"/>
      <c r="P1698" s="228">
        <v>1200</v>
      </c>
      <c r="Q1698" s="228">
        <v>11520000</v>
      </c>
    </row>
    <row r="1699" spans="1:17">
      <c r="B1699" s="165" t="s">
        <v>2177</v>
      </c>
      <c r="C1699" s="165">
        <v>6200</v>
      </c>
      <c r="D1699" s="228"/>
      <c r="E1699" s="228"/>
      <c r="F1699" s="228"/>
      <c r="G1699" s="228"/>
      <c r="H1699" s="228"/>
      <c r="I1699" s="228"/>
      <c r="J1699" s="228"/>
      <c r="K1699" s="228"/>
      <c r="L1699" s="228">
        <v>1600</v>
      </c>
      <c r="M1699" s="228">
        <v>9920000</v>
      </c>
      <c r="N1699" s="228"/>
      <c r="O1699" s="228"/>
      <c r="P1699" s="228">
        <v>1600</v>
      </c>
      <c r="Q1699" s="228">
        <v>9920000</v>
      </c>
    </row>
    <row r="1700" spans="1:17">
      <c r="A1700" s="165" t="s">
        <v>2348</v>
      </c>
      <c r="B1700" s="165"/>
      <c r="C1700" s="165"/>
      <c r="D1700" s="228"/>
      <c r="E1700" s="228"/>
      <c r="F1700" s="228"/>
      <c r="G1700" s="228"/>
      <c r="H1700" s="228"/>
      <c r="I1700" s="228"/>
      <c r="J1700" s="228"/>
      <c r="K1700" s="228"/>
      <c r="L1700" s="228">
        <v>2800</v>
      </c>
      <c r="M1700" s="228">
        <v>21440000</v>
      </c>
      <c r="N1700" s="228"/>
      <c r="O1700" s="228"/>
      <c r="P1700" s="228">
        <v>2800</v>
      </c>
      <c r="Q1700" s="228">
        <v>21440000</v>
      </c>
    </row>
    <row r="1701" spans="1:17">
      <c r="A1701" s="165" t="s">
        <v>1868</v>
      </c>
      <c r="B1701" s="165" t="s">
        <v>2008</v>
      </c>
      <c r="C1701" s="165" t="s">
        <v>385</v>
      </c>
      <c r="D1701" s="228"/>
      <c r="E1701" s="228"/>
      <c r="F1701" s="228"/>
      <c r="G1701" s="228"/>
      <c r="H1701" s="228"/>
      <c r="I1701" s="228"/>
      <c r="J1701" s="228">
        <v>5000</v>
      </c>
      <c r="K1701" s="228">
        <v>0</v>
      </c>
      <c r="L1701" s="228"/>
      <c r="M1701" s="228"/>
      <c r="N1701" s="228"/>
      <c r="O1701" s="228"/>
      <c r="P1701" s="228">
        <v>5000</v>
      </c>
      <c r="Q1701" s="228">
        <v>0</v>
      </c>
    </row>
    <row r="1702" spans="1:17">
      <c r="B1702" s="165" t="s">
        <v>2009</v>
      </c>
      <c r="C1702" s="165" t="s">
        <v>385</v>
      </c>
      <c r="D1702" s="228"/>
      <c r="E1702" s="228"/>
      <c r="F1702" s="228"/>
      <c r="G1702" s="228"/>
      <c r="H1702" s="228"/>
      <c r="I1702" s="228"/>
      <c r="J1702" s="228">
        <v>6000</v>
      </c>
      <c r="K1702" s="228">
        <v>0</v>
      </c>
      <c r="L1702" s="228"/>
      <c r="M1702" s="228"/>
      <c r="N1702" s="228"/>
      <c r="O1702" s="228"/>
      <c r="P1702" s="228">
        <v>6000</v>
      </c>
      <c r="Q1702" s="228">
        <v>0</v>
      </c>
    </row>
    <row r="1703" spans="1:17">
      <c r="B1703" s="165" t="s">
        <v>1872</v>
      </c>
      <c r="C1703" s="165" t="s">
        <v>385</v>
      </c>
      <c r="D1703" s="228"/>
      <c r="E1703" s="228"/>
      <c r="F1703" s="228"/>
      <c r="G1703" s="228"/>
      <c r="H1703" s="228"/>
      <c r="I1703" s="228"/>
      <c r="J1703" s="228">
        <v>1350</v>
      </c>
      <c r="K1703" s="228">
        <v>0</v>
      </c>
      <c r="L1703" s="228"/>
      <c r="M1703" s="228"/>
      <c r="N1703" s="228"/>
      <c r="O1703" s="228"/>
      <c r="P1703" s="228">
        <v>1350</v>
      </c>
      <c r="Q1703" s="228">
        <v>0</v>
      </c>
    </row>
    <row r="1704" spans="1:17">
      <c r="A1704" s="165" t="s">
        <v>1873</v>
      </c>
      <c r="B1704" s="165"/>
      <c r="C1704" s="165"/>
      <c r="D1704" s="228"/>
      <c r="E1704" s="228"/>
      <c r="F1704" s="228"/>
      <c r="G1704" s="228"/>
      <c r="H1704" s="228"/>
      <c r="I1704" s="228"/>
      <c r="J1704" s="228">
        <v>12350</v>
      </c>
      <c r="K1704" s="228">
        <v>0</v>
      </c>
      <c r="L1704" s="228"/>
      <c r="M1704" s="228"/>
      <c r="N1704" s="228"/>
      <c r="O1704" s="228"/>
      <c r="P1704" s="228">
        <v>12350</v>
      </c>
      <c r="Q1704" s="228">
        <v>0</v>
      </c>
    </row>
    <row r="1705" spans="1:17">
      <c r="A1705" s="165" t="s">
        <v>385</v>
      </c>
      <c r="B1705" s="165" t="s">
        <v>385</v>
      </c>
      <c r="C1705" s="165" t="s">
        <v>385</v>
      </c>
      <c r="D1705" s="228"/>
      <c r="E1705" s="228"/>
      <c r="F1705" s="228"/>
      <c r="G1705" s="228"/>
      <c r="H1705" s="228"/>
      <c r="I1705" s="228"/>
      <c r="J1705" s="228"/>
      <c r="K1705" s="228"/>
      <c r="L1705" s="228"/>
      <c r="M1705" s="228"/>
      <c r="N1705" s="228">
        <v>0</v>
      </c>
      <c r="O1705" s="228">
        <v>0</v>
      </c>
      <c r="P1705" s="228">
        <v>0</v>
      </c>
      <c r="Q1705" s="228">
        <v>0</v>
      </c>
    </row>
    <row r="1706" spans="1:17">
      <c r="A1706" s="165" t="s">
        <v>2349</v>
      </c>
      <c r="B1706" s="165"/>
      <c r="C1706" s="165"/>
      <c r="D1706" s="228"/>
      <c r="E1706" s="228"/>
      <c r="F1706" s="228"/>
      <c r="G1706" s="228"/>
      <c r="H1706" s="228"/>
      <c r="I1706" s="228"/>
      <c r="J1706" s="228"/>
      <c r="K1706" s="228"/>
      <c r="L1706" s="228"/>
      <c r="M1706" s="228"/>
      <c r="N1706" s="228">
        <v>0</v>
      </c>
      <c r="O1706" s="228">
        <v>0</v>
      </c>
      <c r="P1706" s="228">
        <v>0</v>
      </c>
      <c r="Q1706" s="228">
        <v>0</v>
      </c>
    </row>
    <row r="1707" spans="1:17">
      <c r="A1707" s="165" t="s">
        <v>1880</v>
      </c>
      <c r="B1707" s="165" t="s">
        <v>2098</v>
      </c>
      <c r="C1707" s="165">
        <v>4000</v>
      </c>
      <c r="D1707" s="228"/>
      <c r="E1707" s="228"/>
      <c r="F1707" s="228">
        <v>0</v>
      </c>
      <c r="G1707" s="228">
        <v>0</v>
      </c>
      <c r="H1707" s="228"/>
      <c r="I1707" s="228"/>
      <c r="J1707" s="228"/>
      <c r="K1707" s="228"/>
      <c r="L1707" s="228"/>
      <c r="M1707" s="228"/>
      <c r="N1707" s="228"/>
      <c r="O1707" s="228"/>
      <c r="P1707" s="228">
        <v>0</v>
      </c>
      <c r="Q1707" s="228">
        <v>0</v>
      </c>
    </row>
    <row r="1708" spans="1:17">
      <c r="B1708" s="165" t="s">
        <v>2186</v>
      </c>
      <c r="C1708" s="165">
        <v>2800</v>
      </c>
      <c r="D1708" s="228">
        <v>0</v>
      </c>
      <c r="E1708" s="228">
        <v>0</v>
      </c>
      <c r="F1708" s="228">
        <v>0</v>
      </c>
      <c r="G1708" s="228">
        <v>0</v>
      </c>
      <c r="H1708" s="228"/>
      <c r="I1708" s="228"/>
      <c r="J1708" s="228"/>
      <c r="K1708" s="228"/>
      <c r="L1708" s="228"/>
      <c r="M1708" s="228"/>
      <c r="N1708" s="228"/>
      <c r="O1708" s="228"/>
      <c r="P1708" s="228">
        <v>0</v>
      </c>
      <c r="Q1708" s="228">
        <v>0</v>
      </c>
    </row>
    <row r="1709" spans="1:17">
      <c r="A1709" s="165" t="s">
        <v>2350</v>
      </c>
      <c r="B1709" s="165"/>
      <c r="C1709" s="165"/>
      <c r="D1709" s="228">
        <v>0</v>
      </c>
      <c r="E1709" s="228">
        <v>0</v>
      </c>
      <c r="F1709" s="228">
        <v>0</v>
      </c>
      <c r="G1709" s="228">
        <v>0</v>
      </c>
      <c r="H1709" s="228"/>
      <c r="I1709" s="228"/>
      <c r="J1709" s="228"/>
      <c r="K1709" s="228"/>
      <c r="L1709" s="228"/>
      <c r="M1709" s="228"/>
      <c r="N1709" s="228"/>
      <c r="O1709" s="228"/>
      <c r="P1709" s="228">
        <v>0</v>
      </c>
      <c r="Q1709" s="228">
        <v>0</v>
      </c>
    </row>
    <row r="1710" spans="1:17">
      <c r="A1710" s="165" t="s">
        <v>1883</v>
      </c>
      <c r="B1710" s="165" t="s">
        <v>2033</v>
      </c>
      <c r="C1710" s="165">
        <v>5400</v>
      </c>
      <c r="D1710" s="228"/>
      <c r="E1710" s="228"/>
      <c r="F1710" s="228">
        <v>3000</v>
      </c>
      <c r="G1710" s="228">
        <v>16200000</v>
      </c>
      <c r="H1710" s="228"/>
      <c r="I1710" s="228"/>
      <c r="J1710" s="228"/>
      <c r="K1710" s="228"/>
      <c r="L1710" s="228"/>
      <c r="M1710" s="228"/>
      <c r="N1710" s="228"/>
      <c r="O1710" s="228"/>
      <c r="P1710" s="228">
        <v>3000</v>
      </c>
      <c r="Q1710" s="228">
        <v>16200000</v>
      </c>
    </row>
    <row r="1711" spans="1:17">
      <c r="B1711" s="165" t="s">
        <v>2125</v>
      </c>
      <c r="C1711" s="165">
        <v>3000</v>
      </c>
      <c r="D1711" s="228"/>
      <c r="E1711" s="228"/>
      <c r="F1711" s="228"/>
      <c r="G1711" s="228"/>
      <c r="H1711" s="228">
        <v>10000</v>
      </c>
      <c r="I1711" s="228">
        <v>30000000</v>
      </c>
      <c r="J1711" s="228"/>
      <c r="K1711" s="228"/>
      <c r="L1711" s="228"/>
      <c r="M1711" s="228"/>
      <c r="N1711" s="228"/>
      <c r="O1711" s="228"/>
      <c r="P1711" s="228">
        <v>10000</v>
      </c>
      <c r="Q1711" s="228">
        <v>30000000</v>
      </c>
    </row>
    <row r="1712" spans="1:17">
      <c r="B1712" s="165" t="s">
        <v>2200</v>
      </c>
      <c r="C1712" s="165">
        <v>4500</v>
      </c>
      <c r="D1712" s="228"/>
      <c r="E1712" s="228"/>
      <c r="F1712" s="228"/>
      <c r="G1712" s="228"/>
      <c r="H1712" s="228"/>
      <c r="I1712" s="228"/>
      <c r="J1712" s="228"/>
      <c r="K1712" s="228"/>
      <c r="L1712" s="228">
        <v>5100</v>
      </c>
      <c r="M1712" s="228">
        <v>22950000</v>
      </c>
      <c r="N1712" s="228"/>
      <c r="O1712" s="228"/>
      <c r="P1712" s="228">
        <v>5100</v>
      </c>
      <c r="Q1712" s="228">
        <v>22950000</v>
      </c>
    </row>
    <row r="1713" spans="1:17">
      <c r="A1713" s="165" t="s">
        <v>2351</v>
      </c>
      <c r="B1713" s="165"/>
      <c r="C1713" s="165"/>
      <c r="D1713" s="228"/>
      <c r="E1713" s="228"/>
      <c r="F1713" s="228">
        <v>3000</v>
      </c>
      <c r="G1713" s="228">
        <v>16200000</v>
      </c>
      <c r="H1713" s="228">
        <v>10000</v>
      </c>
      <c r="I1713" s="228">
        <v>30000000</v>
      </c>
      <c r="J1713" s="228"/>
      <c r="K1713" s="228"/>
      <c r="L1713" s="228">
        <v>5100</v>
      </c>
      <c r="M1713" s="228">
        <v>22950000</v>
      </c>
      <c r="N1713" s="228"/>
      <c r="O1713" s="228"/>
      <c r="P1713" s="228">
        <v>18100</v>
      </c>
      <c r="Q1713" s="228">
        <v>69150000</v>
      </c>
    </row>
    <row r="1714" spans="1:17">
      <c r="A1714" s="165" t="s">
        <v>1874</v>
      </c>
      <c r="B1714" s="165" t="s">
        <v>2079</v>
      </c>
      <c r="C1714" s="165" t="s">
        <v>385</v>
      </c>
      <c r="D1714" s="228"/>
      <c r="E1714" s="228"/>
      <c r="F1714" s="228"/>
      <c r="G1714" s="228"/>
      <c r="H1714" s="228"/>
      <c r="I1714" s="228"/>
      <c r="J1714" s="228">
        <v>15200</v>
      </c>
      <c r="K1714" s="228">
        <v>0</v>
      </c>
      <c r="L1714" s="228"/>
      <c r="M1714" s="228"/>
      <c r="N1714" s="228"/>
      <c r="O1714" s="228"/>
      <c r="P1714" s="228">
        <v>15200</v>
      </c>
      <c r="Q1714" s="228">
        <v>0</v>
      </c>
    </row>
    <row r="1715" spans="1:17">
      <c r="A1715" s="165" t="s">
        <v>2352</v>
      </c>
      <c r="B1715" s="165"/>
      <c r="C1715" s="165"/>
      <c r="D1715" s="228"/>
      <c r="E1715" s="228"/>
      <c r="F1715" s="228"/>
      <c r="G1715" s="228"/>
      <c r="H1715" s="228"/>
      <c r="I1715" s="228"/>
      <c r="J1715" s="228">
        <v>15200</v>
      </c>
      <c r="K1715" s="228">
        <v>0</v>
      </c>
      <c r="L1715" s="228"/>
      <c r="M1715" s="228"/>
      <c r="N1715" s="228"/>
      <c r="O1715" s="228"/>
      <c r="P1715" s="228">
        <v>15200</v>
      </c>
      <c r="Q1715" s="228">
        <v>0</v>
      </c>
    </row>
    <row r="1716" spans="1:17">
      <c r="A1716" s="165" t="s">
        <v>1886</v>
      </c>
      <c r="B1716" s="165" t="s">
        <v>2011</v>
      </c>
      <c r="C1716" s="165">
        <v>10600</v>
      </c>
      <c r="D1716" s="228"/>
      <c r="E1716" s="228"/>
      <c r="F1716" s="228"/>
      <c r="G1716" s="228"/>
      <c r="H1716" s="228"/>
      <c r="I1716" s="228"/>
      <c r="J1716" s="228"/>
      <c r="K1716" s="228"/>
      <c r="L1716" s="228">
        <v>1500</v>
      </c>
      <c r="M1716" s="228">
        <v>15900000</v>
      </c>
      <c r="N1716" s="228"/>
      <c r="O1716" s="228"/>
      <c r="P1716" s="228">
        <v>1500</v>
      </c>
      <c r="Q1716" s="228">
        <v>15900000</v>
      </c>
    </row>
    <row r="1717" spans="1:17">
      <c r="B1717" s="165" t="s">
        <v>2015</v>
      </c>
      <c r="C1717" s="165">
        <v>10700</v>
      </c>
      <c r="D1717" s="228"/>
      <c r="E1717" s="228"/>
      <c r="F1717" s="228"/>
      <c r="G1717" s="228"/>
      <c r="H1717" s="228"/>
      <c r="I1717" s="228"/>
      <c r="J1717" s="228"/>
      <c r="K1717" s="228"/>
      <c r="L1717" s="228">
        <v>3500</v>
      </c>
      <c r="M1717" s="228">
        <v>37450000</v>
      </c>
      <c r="N1717" s="228"/>
      <c r="O1717" s="228"/>
      <c r="P1717" s="228">
        <v>3500</v>
      </c>
      <c r="Q1717" s="228">
        <v>37450000</v>
      </c>
    </row>
    <row r="1718" spans="1:17">
      <c r="A1718" s="165" t="s">
        <v>2353</v>
      </c>
      <c r="B1718" s="165"/>
      <c r="C1718" s="165"/>
      <c r="D1718" s="228"/>
      <c r="E1718" s="228"/>
      <c r="F1718" s="228"/>
      <c r="G1718" s="228"/>
      <c r="H1718" s="228"/>
      <c r="I1718" s="228"/>
      <c r="J1718" s="228"/>
      <c r="K1718" s="228"/>
      <c r="L1718" s="228">
        <v>5000</v>
      </c>
      <c r="M1718" s="228">
        <v>53350000</v>
      </c>
      <c r="N1718" s="228"/>
      <c r="O1718" s="228"/>
      <c r="P1718" s="228">
        <v>5000</v>
      </c>
      <c r="Q1718" s="228">
        <v>53350000</v>
      </c>
    </row>
    <row r="1719" spans="1:17">
      <c r="A1719" s="165" t="s">
        <v>789</v>
      </c>
      <c r="B1719" s="165" t="s">
        <v>2062</v>
      </c>
      <c r="C1719" s="165">
        <v>12000</v>
      </c>
      <c r="D1719" s="228"/>
      <c r="E1719" s="228"/>
      <c r="F1719" s="228"/>
      <c r="G1719" s="228"/>
      <c r="H1719" s="228"/>
      <c r="I1719" s="228"/>
      <c r="J1719" s="228"/>
      <c r="K1719" s="228"/>
      <c r="L1719" s="228">
        <v>11000</v>
      </c>
      <c r="M1719" s="228">
        <v>132000000</v>
      </c>
      <c r="N1719" s="228"/>
      <c r="O1719" s="228"/>
      <c r="P1719" s="228">
        <v>11000</v>
      </c>
      <c r="Q1719" s="228">
        <v>132000000</v>
      </c>
    </row>
    <row r="1720" spans="1:17">
      <c r="B1720" s="165" t="s">
        <v>2143</v>
      </c>
      <c r="C1720" s="165">
        <v>12500</v>
      </c>
      <c r="D1720" s="228"/>
      <c r="E1720" s="228"/>
      <c r="F1720" s="228"/>
      <c r="G1720" s="228"/>
      <c r="H1720" s="228"/>
      <c r="I1720" s="228"/>
      <c r="J1720" s="228"/>
      <c r="K1720" s="228"/>
      <c r="L1720" s="228">
        <v>6000</v>
      </c>
      <c r="M1720" s="228">
        <v>75000000</v>
      </c>
      <c r="N1720" s="228"/>
      <c r="O1720" s="228"/>
      <c r="P1720" s="228">
        <v>6000</v>
      </c>
      <c r="Q1720" s="228">
        <v>75000000</v>
      </c>
    </row>
    <row r="1721" spans="1:17">
      <c r="B1721" s="165" t="s">
        <v>2183</v>
      </c>
      <c r="C1721" s="165">
        <v>7000</v>
      </c>
      <c r="D1721" s="228"/>
      <c r="E1721" s="228"/>
      <c r="F1721" s="228"/>
      <c r="G1721" s="228"/>
      <c r="H1721" s="228"/>
      <c r="I1721" s="228"/>
      <c r="J1721" s="228"/>
      <c r="K1721" s="228"/>
      <c r="L1721" s="228">
        <v>2000</v>
      </c>
      <c r="M1721" s="228">
        <v>14000000</v>
      </c>
      <c r="N1721" s="228"/>
      <c r="O1721" s="228"/>
      <c r="P1721" s="228">
        <v>2000</v>
      </c>
      <c r="Q1721" s="228">
        <v>14000000</v>
      </c>
    </row>
    <row r="1722" spans="1:17">
      <c r="A1722" s="165" t="s">
        <v>2354</v>
      </c>
      <c r="B1722" s="165"/>
      <c r="C1722" s="165"/>
      <c r="D1722" s="228"/>
      <c r="E1722" s="228"/>
      <c r="F1722" s="228"/>
      <c r="G1722" s="228"/>
      <c r="H1722" s="228"/>
      <c r="I1722" s="228"/>
      <c r="J1722" s="228"/>
      <c r="K1722" s="228"/>
      <c r="L1722" s="228">
        <v>19000</v>
      </c>
      <c r="M1722" s="228">
        <v>221000000</v>
      </c>
      <c r="N1722" s="228"/>
      <c r="O1722" s="228"/>
      <c r="P1722" s="228">
        <v>19000</v>
      </c>
      <c r="Q1722" s="228">
        <v>221000000</v>
      </c>
    </row>
    <row r="1723" spans="1:17">
      <c r="A1723" s="165" t="s">
        <v>2004</v>
      </c>
      <c r="B1723" s="165" t="s">
        <v>2017</v>
      </c>
      <c r="C1723" s="165">
        <v>16200</v>
      </c>
      <c r="D1723" s="228"/>
      <c r="E1723" s="228"/>
      <c r="F1723" s="228"/>
      <c r="G1723" s="228"/>
      <c r="H1723" s="228"/>
      <c r="I1723" s="228"/>
      <c r="J1723" s="228"/>
      <c r="K1723" s="228"/>
      <c r="L1723" s="228">
        <v>400</v>
      </c>
      <c r="M1723" s="228">
        <v>6480000</v>
      </c>
      <c r="N1723" s="228"/>
      <c r="O1723" s="228"/>
      <c r="P1723" s="228">
        <v>400</v>
      </c>
      <c r="Q1723" s="228">
        <v>6480000</v>
      </c>
    </row>
    <row r="1724" spans="1:17">
      <c r="B1724" s="165" t="s">
        <v>2146</v>
      </c>
      <c r="C1724" s="165">
        <v>15300</v>
      </c>
      <c r="D1724" s="228"/>
      <c r="E1724" s="228"/>
      <c r="F1724" s="228"/>
      <c r="G1724" s="228"/>
      <c r="H1724" s="228"/>
      <c r="I1724" s="228"/>
      <c r="J1724" s="228"/>
      <c r="K1724" s="228"/>
      <c r="L1724" s="228">
        <v>825</v>
      </c>
      <c r="M1724" s="228">
        <v>12622500</v>
      </c>
      <c r="N1724" s="228"/>
      <c r="O1724" s="228"/>
      <c r="P1724" s="228">
        <v>825</v>
      </c>
      <c r="Q1724" s="228">
        <v>12622500</v>
      </c>
    </row>
    <row r="1725" spans="1:17">
      <c r="A1725" s="165" t="s">
        <v>2355</v>
      </c>
      <c r="B1725" s="165"/>
      <c r="C1725" s="165"/>
      <c r="D1725" s="228"/>
      <c r="E1725" s="228"/>
      <c r="F1725" s="228"/>
      <c r="G1725" s="228"/>
      <c r="H1725" s="228"/>
      <c r="I1725" s="228"/>
      <c r="J1725" s="228"/>
      <c r="K1725" s="228"/>
      <c r="L1725" s="228">
        <v>1225</v>
      </c>
      <c r="M1725" s="228">
        <v>19102500</v>
      </c>
      <c r="N1725" s="228"/>
      <c r="O1725" s="228"/>
      <c r="P1725" s="228">
        <v>1225</v>
      </c>
      <c r="Q1725" s="228">
        <v>19102500</v>
      </c>
    </row>
    <row r="1726" spans="1:17">
      <c r="A1726" s="165" t="s">
        <v>2000</v>
      </c>
      <c r="B1726" s="165" t="s">
        <v>2033</v>
      </c>
      <c r="C1726" s="165">
        <v>5500</v>
      </c>
      <c r="D1726" s="228"/>
      <c r="E1726" s="228"/>
      <c r="F1726" s="228">
        <v>0</v>
      </c>
      <c r="G1726" s="228">
        <v>0</v>
      </c>
      <c r="H1726" s="228"/>
      <c r="I1726" s="228"/>
      <c r="J1726" s="228"/>
      <c r="K1726" s="228"/>
      <c r="L1726" s="228"/>
      <c r="M1726" s="228"/>
      <c r="N1726" s="228"/>
      <c r="O1726" s="228"/>
      <c r="P1726" s="228">
        <v>0</v>
      </c>
      <c r="Q1726" s="228">
        <v>0</v>
      </c>
    </row>
    <row r="1727" spans="1:17">
      <c r="A1727" s="165" t="s">
        <v>2356</v>
      </c>
      <c r="B1727" s="165"/>
      <c r="C1727" s="165"/>
      <c r="D1727" s="228"/>
      <c r="E1727" s="228"/>
      <c r="F1727" s="228">
        <v>0</v>
      </c>
      <c r="G1727" s="228">
        <v>0</v>
      </c>
      <c r="H1727" s="228"/>
      <c r="I1727" s="228"/>
      <c r="J1727" s="228"/>
      <c r="K1727" s="228"/>
      <c r="L1727" s="228"/>
      <c r="M1727" s="228"/>
      <c r="N1727" s="228"/>
      <c r="O1727" s="228"/>
      <c r="P1727" s="228">
        <v>0</v>
      </c>
      <c r="Q1727" s="228">
        <v>0</v>
      </c>
    </row>
    <row r="1728" spans="1:17">
      <c r="A1728" s="165" t="s">
        <v>1857</v>
      </c>
      <c r="C1728"/>
      <c r="D1728" s="228">
        <v>57200</v>
      </c>
      <c r="E1728" s="228" t="e">
        <v>#VALUE!</v>
      </c>
      <c r="F1728" s="228">
        <v>83775</v>
      </c>
      <c r="G1728" s="228">
        <v>448870000</v>
      </c>
      <c r="H1728" s="228">
        <v>1744250</v>
      </c>
      <c r="I1728" s="228" t="e">
        <v>#VALUE!</v>
      </c>
      <c r="J1728" s="228">
        <v>676050</v>
      </c>
      <c r="K1728" s="228">
        <v>3498813250</v>
      </c>
      <c r="L1728" s="228">
        <v>5638275</v>
      </c>
      <c r="M1728" s="228" t="e">
        <v>#VALUE!</v>
      </c>
      <c r="N1728" s="228">
        <v>0</v>
      </c>
      <c r="O1728" s="228">
        <v>0</v>
      </c>
      <c r="P1728" s="228">
        <v>8199550</v>
      </c>
      <c r="Q1728" s="228" t="e">
        <v>#VALUE!</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Q2551"/>
  <sheetViews>
    <sheetView topLeftCell="A250" workbookViewId="0">
      <selection activeCell="D16" sqref="D16"/>
    </sheetView>
  </sheetViews>
  <sheetFormatPr defaultRowHeight="15"/>
  <cols>
    <col min="1" max="1" width="25.28515625" style="165" customWidth="1"/>
    <col min="2" max="2" width="26.7109375" style="165" customWidth="1"/>
    <col min="3" max="3" width="26.28515625" style="15" bestFit="1" customWidth="1"/>
    <col min="4" max="15" width="24.7109375" style="15" bestFit="1" customWidth="1"/>
    <col min="16" max="16" width="26" style="165" bestFit="1" customWidth="1"/>
    <col min="17" max="17" width="29.85546875" style="165" bestFit="1" customWidth="1"/>
    <col min="18" max="16384" width="9.140625" style="165"/>
  </cols>
  <sheetData>
    <row r="3" spans="1:17">
      <c r="A3"/>
      <c r="B3"/>
      <c r="C3"/>
      <c r="D3" s="81" t="s">
        <v>13</v>
      </c>
      <c r="E3" s="81" t="s">
        <v>384</v>
      </c>
      <c r="F3"/>
      <c r="G3"/>
      <c r="H3"/>
      <c r="I3"/>
      <c r="J3"/>
      <c r="K3"/>
      <c r="L3"/>
      <c r="M3"/>
      <c r="N3"/>
      <c r="O3"/>
      <c r="P3"/>
      <c r="Q3"/>
    </row>
    <row r="4" spans="1:17">
      <c r="A4"/>
      <c r="B4"/>
      <c r="C4"/>
      <c r="D4" s="165" t="s">
        <v>71</v>
      </c>
      <c r="E4"/>
      <c r="F4" s="165" t="s">
        <v>44</v>
      </c>
      <c r="G4"/>
      <c r="H4" s="165" t="s">
        <v>31</v>
      </c>
      <c r="I4"/>
      <c r="J4" s="165" t="s">
        <v>63</v>
      </c>
      <c r="K4"/>
      <c r="L4" s="165" t="s">
        <v>29</v>
      </c>
      <c r="M4"/>
      <c r="N4" s="165" t="s">
        <v>385</v>
      </c>
      <c r="O4"/>
      <c r="P4" s="165" t="s">
        <v>1859</v>
      </c>
      <c r="Q4" s="165" t="s">
        <v>1860</v>
      </c>
    </row>
    <row r="5" spans="1:17">
      <c r="A5" s="81" t="s">
        <v>6</v>
      </c>
      <c r="B5" s="81" t="s">
        <v>5</v>
      </c>
      <c r="C5" s="81" t="s">
        <v>12</v>
      </c>
      <c r="D5" s="165" t="s">
        <v>1858</v>
      </c>
      <c r="E5" s="165" t="s">
        <v>1861</v>
      </c>
      <c r="F5" s="165" t="s">
        <v>1858</v>
      </c>
      <c r="G5" s="165" t="s">
        <v>1861</v>
      </c>
      <c r="H5" s="165" t="s">
        <v>1858</v>
      </c>
      <c r="I5" s="165" t="s">
        <v>1861</v>
      </c>
      <c r="J5" s="165" t="s">
        <v>1858</v>
      </c>
      <c r="K5" s="165" t="s">
        <v>1861</v>
      </c>
      <c r="L5" s="165" t="s">
        <v>1858</v>
      </c>
      <c r="M5" s="165" t="s">
        <v>1861</v>
      </c>
      <c r="N5" s="165" t="s">
        <v>1858</v>
      </c>
      <c r="O5" s="165" t="s">
        <v>1861</v>
      </c>
      <c r="P5"/>
      <c r="Q5"/>
    </row>
    <row r="6" spans="1:17">
      <c r="A6" s="165" t="s">
        <v>2025</v>
      </c>
      <c r="B6" s="165" t="s">
        <v>1241</v>
      </c>
      <c r="C6" s="165">
        <v>4000</v>
      </c>
      <c r="D6" s="228"/>
      <c r="E6" s="228"/>
      <c r="F6" s="228">
        <v>0</v>
      </c>
      <c r="G6" s="228">
        <v>0</v>
      </c>
      <c r="H6" s="228"/>
      <c r="I6" s="228"/>
      <c r="J6" s="228"/>
      <c r="K6" s="228"/>
      <c r="L6" s="228"/>
      <c r="M6" s="228"/>
      <c r="N6" s="228"/>
      <c r="O6" s="228"/>
      <c r="P6" s="228">
        <v>0</v>
      </c>
      <c r="Q6" s="228">
        <v>0</v>
      </c>
    </row>
    <row r="7" spans="1:17">
      <c r="A7"/>
      <c r="B7" s="165" t="s">
        <v>911</v>
      </c>
      <c r="C7" s="165">
        <v>4000</v>
      </c>
      <c r="D7" s="228"/>
      <c r="E7" s="228"/>
      <c r="F7" s="228"/>
      <c r="G7" s="228"/>
      <c r="H7" s="228"/>
      <c r="I7" s="228"/>
      <c r="J7" s="228">
        <v>3900</v>
      </c>
      <c r="K7" s="228">
        <v>15600000</v>
      </c>
      <c r="L7" s="228"/>
      <c r="M7" s="228"/>
      <c r="N7" s="228"/>
      <c r="O7" s="228"/>
      <c r="P7" s="228">
        <v>3900</v>
      </c>
      <c r="Q7" s="228">
        <v>15600000</v>
      </c>
    </row>
    <row r="8" spans="1:17">
      <c r="A8"/>
      <c r="B8" s="165" t="s">
        <v>226</v>
      </c>
      <c r="C8" s="165">
        <v>4000</v>
      </c>
      <c r="D8" s="228"/>
      <c r="E8" s="228"/>
      <c r="F8" s="228">
        <v>0</v>
      </c>
      <c r="G8" s="228">
        <v>0</v>
      </c>
      <c r="H8" s="228"/>
      <c r="I8" s="228"/>
      <c r="J8" s="228"/>
      <c r="K8" s="228"/>
      <c r="L8" s="228"/>
      <c r="M8" s="228"/>
      <c r="N8" s="228"/>
      <c r="O8" s="228"/>
      <c r="P8" s="228">
        <v>0</v>
      </c>
      <c r="Q8" s="228">
        <v>0</v>
      </c>
    </row>
    <row r="9" spans="1:17">
      <c r="A9"/>
      <c r="B9" s="165" t="s">
        <v>1564</v>
      </c>
      <c r="C9" s="165">
        <v>4000</v>
      </c>
      <c r="D9" s="228"/>
      <c r="E9" s="228"/>
      <c r="F9" s="228">
        <v>0</v>
      </c>
      <c r="G9" s="228">
        <v>0</v>
      </c>
      <c r="H9" s="228"/>
      <c r="I9" s="228"/>
      <c r="J9" s="228"/>
      <c r="K9" s="228"/>
      <c r="L9" s="228"/>
      <c r="M9" s="228"/>
      <c r="N9" s="228"/>
      <c r="O9" s="228"/>
      <c r="P9" s="228">
        <v>0</v>
      </c>
      <c r="Q9" s="228">
        <v>0</v>
      </c>
    </row>
    <row r="10" spans="1:17">
      <c r="A10"/>
      <c r="B10" s="165" t="s">
        <v>1411</v>
      </c>
      <c r="C10" s="165">
        <v>4000</v>
      </c>
      <c r="D10" s="228"/>
      <c r="E10" s="228"/>
      <c r="F10" s="228">
        <v>0</v>
      </c>
      <c r="G10" s="228">
        <v>0</v>
      </c>
      <c r="H10" s="228"/>
      <c r="I10" s="228"/>
      <c r="J10" s="228"/>
      <c r="K10" s="228"/>
      <c r="L10" s="228"/>
      <c r="M10" s="228"/>
      <c r="N10" s="228"/>
      <c r="O10" s="228"/>
      <c r="P10" s="228">
        <v>0</v>
      </c>
      <c r="Q10" s="228">
        <v>0</v>
      </c>
    </row>
    <row r="11" spans="1:17">
      <c r="A11"/>
      <c r="B11" s="165" t="s">
        <v>1366</v>
      </c>
      <c r="C11" s="165">
        <v>5000</v>
      </c>
      <c r="D11" s="228"/>
      <c r="E11" s="228"/>
      <c r="F11" s="228">
        <v>0</v>
      </c>
      <c r="G11" s="228">
        <v>0</v>
      </c>
      <c r="H11" s="228"/>
      <c r="I11" s="228"/>
      <c r="J11" s="228"/>
      <c r="K11" s="228"/>
      <c r="L11" s="228"/>
      <c r="M11" s="228"/>
      <c r="N11" s="228"/>
      <c r="O11" s="228"/>
      <c r="P11" s="228">
        <v>0</v>
      </c>
      <c r="Q11" s="228">
        <v>0</v>
      </c>
    </row>
    <row r="12" spans="1:17">
      <c r="A12"/>
      <c r="B12" s="165" t="s">
        <v>1009</v>
      </c>
      <c r="C12" s="165">
        <v>4000</v>
      </c>
      <c r="D12" s="228"/>
      <c r="E12" s="228"/>
      <c r="F12" s="228">
        <v>0</v>
      </c>
      <c r="G12" s="228">
        <v>0</v>
      </c>
      <c r="H12" s="228"/>
      <c r="I12" s="228"/>
      <c r="J12" s="228"/>
      <c r="K12" s="228"/>
      <c r="L12" s="228"/>
      <c r="M12" s="228"/>
      <c r="N12" s="228"/>
      <c r="O12" s="228"/>
      <c r="P12" s="228">
        <v>0</v>
      </c>
      <c r="Q12" s="228">
        <v>0</v>
      </c>
    </row>
    <row r="13" spans="1:17">
      <c r="A13"/>
      <c r="B13" s="165" t="s">
        <v>987</v>
      </c>
      <c r="C13" s="165">
        <v>4200</v>
      </c>
      <c r="D13" s="228"/>
      <c r="E13" s="228"/>
      <c r="F13" s="228">
        <v>0</v>
      </c>
      <c r="G13" s="228">
        <v>0</v>
      </c>
      <c r="H13" s="228"/>
      <c r="I13" s="228"/>
      <c r="J13" s="228"/>
      <c r="K13" s="228"/>
      <c r="L13" s="228"/>
      <c r="M13" s="228"/>
      <c r="N13" s="228"/>
      <c r="O13" s="228"/>
      <c r="P13" s="228">
        <v>0</v>
      </c>
      <c r="Q13" s="228">
        <v>0</v>
      </c>
    </row>
    <row r="14" spans="1:17">
      <c r="A14" s="165" t="s">
        <v>2026</v>
      </c>
      <c r="B14" s="165" t="s">
        <v>188</v>
      </c>
      <c r="C14" s="165">
        <v>5000</v>
      </c>
      <c r="D14" s="228"/>
      <c r="E14" s="228"/>
      <c r="F14" s="228">
        <v>0</v>
      </c>
      <c r="G14" s="228">
        <v>0</v>
      </c>
      <c r="H14" s="228"/>
      <c r="I14" s="228"/>
      <c r="J14" s="228"/>
      <c r="K14" s="228"/>
      <c r="L14" s="228"/>
      <c r="M14" s="228"/>
      <c r="N14" s="228"/>
      <c r="O14" s="228"/>
      <c r="P14" s="228">
        <v>0</v>
      </c>
      <c r="Q14" s="228">
        <v>0</v>
      </c>
    </row>
    <row r="15" spans="1:17">
      <c r="A15" s="165" t="s">
        <v>2027</v>
      </c>
      <c r="B15" s="165" t="s">
        <v>1241</v>
      </c>
      <c r="C15" s="165">
        <v>2800</v>
      </c>
      <c r="D15" s="228"/>
      <c r="E15" s="228"/>
      <c r="F15" s="228">
        <v>0</v>
      </c>
      <c r="G15" s="228">
        <v>0</v>
      </c>
      <c r="H15" s="228"/>
      <c r="I15" s="228"/>
      <c r="J15" s="228"/>
      <c r="K15" s="228"/>
      <c r="L15" s="228"/>
      <c r="M15" s="228"/>
      <c r="N15" s="228"/>
      <c r="O15" s="228"/>
      <c r="P15" s="228">
        <v>0</v>
      </c>
      <c r="Q15" s="228">
        <v>0</v>
      </c>
    </row>
    <row r="16" spans="1:17">
      <c r="A16"/>
      <c r="B16" s="165" t="s">
        <v>111</v>
      </c>
      <c r="C16" s="165">
        <v>2800</v>
      </c>
      <c r="D16" s="228"/>
      <c r="E16" s="228"/>
      <c r="F16" s="228">
        <v>0</v>
      </c>
      <c r="G16" s="228">
        <v>0</v>
      </c>
      <c r="H16" s="228"/>
      <c r="I16" s="228"/>
      <c r="J16" s="228"/>
      <c r="K16" s="228"/>
      <c r="L16" s="228"/>
      <c r="M16" s="228"/>
      <c r="N16" s="228"/>
      <c r="O16" s="228"/>
      <c r="P16" s="228">
        <v>0</v>
      </c>
      <c r="Q16" s="228">
        <v>0</v>
      </c>
    </row>
    <row r="17" spans="1:17">
      <c r="A17"/>
      <c r="B17" s="165" t="s">
        <v>270</v>
      </c>
      <c r="C17" s="165">
        <v>2800</v>
      </c>
      <c r="D17" s="228">
        <v>0</v>
      </c>
      <c r="E17" s="228">
        <v>0</v>
      </c>
      <c r="F17" s="228">
        <v>0</v>
      </c>
      <c r="G17" s="228">
        <v>0</v>
      </c>
      <c r="H17" s="228"/>
      <c r="I17" s="228"/>
      <c r="J17" s="228"/>
      <c r="K17" s="228"/>
      <c r="L17" s="228"/>
      <c r="M17" s="228"/>
      <c r="N17" s="228"/>
      <c r="O17" s="228"/>
      <c r="P17" s="228">
        <v>0</v>
      </c>
      <c r="Q17" s="228">
        <v>0</v>
      </c>
    </row>
    <row r="18" spans="1:17">
      <c r="A18"/>
      <c r="B18" s="165" t="s">
        <v>173</v>
      </c>
      <c r="C18" s="165">
        <v>2800</v>
      </c>
      <c r="D18" s="228">
        <v>0</v>
      </c>
      <c r="E18" s="228">
        <v>0</v>
      </c>
      <c r="F18" s="228"/>
      <c r="G18" s="228"/>
      <c r="H18" s="228"/>
      <c r="I18" s="228"/>
      <c r="J18" s="228"/>
      <c r="K18" s="228"/>
      <c r="L18" s="228"/>
      <c r="M18" s="228"/>
      <c r="N18" s="228"/>
      <c r="O18" s="228"/>
      <c r="P18" s="228">
        <v>0</v>
      </c>
      <c r="Q18" s="228">
        <v>0</v>
      </c>
    </row>
    <row r="19" spans="1:17">
      <c r="A19"/>
      <c r="B19" s="165" t="s">
        <v>1788</v>
      </c>
      <c r="C19" s="165">
        <v>2800</v>
      </c>
      <c r="D19" s="228"/>
      <c r="E19" s="228"/>
      <c r="F19" s="228">
        <v>0</v>
      </c>
      <c r="G19" s="228">
        <v>0</v>
      </c>
      <c r="H19" s="228"/>
      <c r="I19" s="228"/>
      <c r="J19" s="228"/>
      <c r="K19" s="228"/>
      <c r="L19" s="228"/>
      <c r="M19" s="228"/>
      <c r="N19" s="228"/>
      <c r="O19" s="228"/>
      <c r="P19" s="228">
        <v>0</v>
      </c>
      <c r="Q19" s="228">
        <v>0</v>
      </c>
    </row>
    <row r="20" spans="1:17">
      <c r="A20"/>
      <c r="B20" s="165" t="s">
        <v>224</v>
      </c>
      <c r="C20" s="165">
        <v>2800</v>
      </c>
      <c r="D20" s="228"/>
      <c r="E20" s="228"/>
      <c r="F20" s="228">
        <v>0</v>
      </c>
      <c r="G20" s="228">
        <v>0</v>
      </c>
      <c r="H20" s="228"/>
      <c r="I20" s="228"/>
      <c r="J20" s="228"/>
      <c r="K20" s="228"/>
      <c r="L20" s="228"/>
      <c r="M20" s="228"/>
      <c r="N20" s="228"/>
      <c r="O20" s="228"/>
      <c r="P20" s="228">
        <v>0</v>
      </c>
      <c r="Q20" s="228">
        <v>0</v>
      </c>
    </row>
    <row r="21" spans="1:17">
      <c r="A21" s="165" t="s">
        <v>2028</v>
      </c>
      <c r="B21" s="165" t="s">
        <v>1241</v>
      </c>
      <c r="C21" s="165">
        <v>4200</v>
      </c>
      <c r="D21" s="228"/>
      <c r="E21" s="228"/>
      <c r="F21" s="228">
        <v>0</v>
      </c>
      <c r="G21" s="228">
        <v>0</v>
      </c>
      <c r="H21" s="228"/>
      <c r="I21" s="228"/>
      <c r="J21" s="228"/>
      <c r="K21" s="228"/>
      <c r="L21" s="228"/>
      <c r="M21" s="228"/>
      <c r="N21" s="228"/>
      <c r="O21" s="228"/>
      <c r="P21" s="228">
        <v>0</v>
      </c>
      <c r="Q21" s="228">
        <v>0</v>
      </c>
    </row>
    <row r="22" spans="1:17">
      <c r="A22"/>
      <c r="B22"/>
      <c r="C22" s="165">
        <v>4400</v>
      </c>
      <c r="D22" s="228"/>
      <c r="E22" s="228"/>
      <c r="F22" s="228">
        <v>0</v>
      </c>
      <c r="G22" s="228">
        <v>0</v>
      </c>
      <c r="H22" s="228">
        <v>8800</v>
      </c>
      <c r="I22" s="228">
        <v>38720000</v>
      </c>
      <c r="J22" s="228"/>
      <c r="K22" s="228"/>
      <c r="L22" s="228"/>
      <c r="M22" s="228"/>
      <c r="N22" s="228"/>
      <c r="O22" s="228"/>
      <c r="P22" s="228">
        <v>8800</v>
      </c>
      <c r="Q22" s="228">
        <v>38720000</v>
      </c>
    </row>
    <row r="23" spans="1:17">
      <c r="A23"/>
      <c r="B23" s="165" t="s">
        <v>111</v>
      </c>
      <c r="C23" s="165">
        <v>4480</v>
      </c>
      <c r="D23" s="228"/>
      <c r="E23" s="228"/>
      <c r="F23" s="228"/>
      <c r="G23" s="228"/>
      <c r="H23" s="228">
        <v>18700</v>
      </c>
      <c r="I23" s="228">
        <v>83776000</v>
      </c>
      <c r="J23" s="228"/>
      <c r="K23" s="228"/>
      <c r="L23" s="228"/>
      <c r="M23" s="228"/>
      <c r="N23" s="228"/>
      <c r="O23" s="228"/>
      <c r="P23" s="228">
        <v>18700</v>
      </c>
      <c r="Q23" s="228">
        <v>83776000</v>
      </c>
    </row>
    <row r="24" spans="1:17">
      <c r="A24"/>
      <c r="B24" s="165" t="s">
        <v>1188</v>
      </c>
      <c r="C24" s="165">
        <v>4500</v>
      </c>
      <c r="D24" s="228">
        <v>0</v>
      </c>
      <c r="E24" s="228">
        <v>0</v>
      </c>
      <c r="F24" s="228"/>
      <c r="G24" s="228"/>
      <c r="H24" s="228"/>
      <c r="I24" s="228"/>
      <c r="J24" s="228"/>
      <c r="K24" s="228"/>
      <c r="L24" s="228"/>
      <c r="M24" s="228"/>
      <c r="N24" s="228"/>
      <c r="O24" s="228"/>
      <c r="P24" s="228">
        <v>0</v>
      </c>
      <c r="Q24" s="228">
        <v>0</v>
      </c>
    </row>
    <row r="25" spans="1:17">
      <c r="A25"/>
      <c r="B25" s="165" t="s">
        <v>1788</v>
      </c>
      <c r="C25" s="165">
        <v>4200</v>
      </c>
      <c r="D25" s="228"/>
      <c r="E25" s="228"/>
      <c r="F25" s="228">
        <v>0</v>
      </c>
      <c r="G25" s="228">
        <v>0</v>
      </c>
      <c r="H25" s="228"/>
      <c r="I25" s="228"/>
      <c r="J25" s="228"/>
      <c r="K25" s="228"/>
      <c r="L25" s="228"/>
      <c r="M25" s="228"/>
      <c r="N25" s="228"/>
      <c r="O25" s="228"/>
      <c r="P25" s="228">
        <v>0</v>
      </c>
      <c r="Q25" s="228">
        <v>0</v>
      </c>
    </row>
    <row r="26" spans="1:17">
      <c r="A26"/>
      <c r="B26" s="165" t="s">
        <v>1491</v>
      </c>
      <c r="C26" s="165">
        <v>4500</v>
      </c>
      <c r="D26" s="228">
        <v>0</v>
      </c>
      <c r="E26" s="228">
        <v>0</v>
      </c>
      <c r="F26" s="228"/>
      <c r="G26" s="228"/>
      <c r="H26" s="228"/>
      <c r="I26" s="228"/>
      <c r="J26" s="228"/>
      <c r="K26" s="228"/>
      <c r="L26" s="228"/>
      <c r="M26" s="228"/>
      <c r="N26" s="228"/>
      <c r="O26" s="228"/>
      <c r="P26" s="228">
        <v>0</v>
      </c>
      <c r="Q26" s="228">
        <v>0</v>
      </c>
    </row>
    <row r="27" spans="1:17">
      <c r="A27" s="165" t="s">
        <v>2029</v>
      </c>
      <c r="B27" s="165" t="s">
        <v>1241</v>
      </c>
      <c r="C27" s="165">
        <v>4200</v>
      </c>
      <c r="D27" s="228"/>
      <c r="E27" s="228"/>
      <c r="F27" s="228">
        <v>0</v>
      </c>
      <c r="G27" s="228">
        <v>0</v>
      </c>
      <c r="H27" s="228"/>
      <c r="I27" s="228"/>
      <c r="J27" s="228"/>
      <c r="K27" s="228"/>
      <c r="L27" s="228"/>
      <c r="M27" s="228"/>
      <c r="N27" s="228"/>
      <c r="O27" s="228"/>
      <c r="P27" s="228">
        <v>0</v>
      </c>
      <c r="Q27" s="228">
        <v>0</v>
      </c>
    </row>
    <row r="28" spans="1:17">
      <c r="A28"/>
      <c r="B28"/>
      <c r="C28" s="165">
        <v>4400</v>
      </c>
      <c r="D28" s="228"/>
      <c r="E28" s="228"/>
      <c r="F28" s="228">
        <v>0</v>
      </c>
      <c r="G28" s="228">
        <v>0</v>
      </c>
      <c r="H28" s="228"/>
      <c r="I28" s="228"/>
      <c r="J28" s="228"/>
      <c r="K28" s="228"/>
      <c r="L28" s="228"/>
      <c r="M28" s="228"/>
      <c r="N28" s="228"/>
      <c r="O28" s="228"/>
      <c r="P28" s="228">
        <v>0</v>
      </c>
      <c r="Q28" s="228">
        <v>0</v>
      </c>
    </row>
    <row r="29" spans="1:17">
      <c r="A29"/>
      <c r="B29"/>
      <c r="C29" s="165">
        <v>4600</v>
      </c>
      <c r="D29" s="228"/>
      <c r="E29" s="228"/>
      <c r="F29" s="228"/>
      <c r="G29" s="228"/>
      <c r="H29" s="228">
        <v>80100</v>
      </c>
      <c r="I29" s="228">
        <v>368460000</v>
      </c>
      <c r="J29" s="228"/>
      <c r="K29" s="228"/>
      <c r="L29" s="228"/>
      <c r="M29" s="228"/>
      <c r="N29" s="228"/>
      <c r="O29" s="228"/>
      <c r="P29" s="228">
        <v>80100</v>
      </c>
      <c r="Q29" s="228">
        <v>368460000</v>
      </c>
    </row>
    <row r="30" spans="1:17">
      <c r="A30"/>
      <c r="B30" s="165" t="s">
        <v>111</v>
      </c>
      <c r="C30" s="165">
        <v>4480</v>
      </c>
      <c r="D30" s="228"/>
      <c r="E30" s="228"/>
      <c r="F30" s="228"/>
      <c r="G30" s="228"/>
      <c r="H30" s="228"/>
      <c r="I30" s="228"/>
      <c r="J30" s="228">
        <v>1200</v>
      </c>
      <c r="K30" s="228">
        <v>5376000</v>
      </c>
      <c r="L30" s="228"/>
      <c r="M30" s="228"/>
      <c r="N30" s="228"/>
      <c r="O30" s="228"/>
      <c r="P30" s="228">
        <v>1200</v>
      </c>
      <c r="Q30" s="228">
        <v>5376000</v>
      </c>
    </row>
    <row r="31" spans="1:17">
      <c r="A31"/>
      <c r="B31"/>
      <c r="C31" s="165">
        <v>4540</v>
      </c>
      <c r="D31" s="228"/>
      <c r="E31" s="228"/>
      <c r="F31" s="228"/>
      <c r="G31" s="228"/>
      <c r="H31" s="228">
        <v>15300</v>
      </c>
      <c r="I31" s="228">
        <v>69462000</v>
      </c>
      <c r="J31" s="228"/>
      <c r="K31" s="228"/>
      <c r="L31" s="228"/>
      <c r="M31" s="228"/>
      <c r="N31" s="228"/>
      <c r="O31" s="228"/>
      <c r="P31" s="228">
        <v>15300</v>
      </c>
      <c r="Q31" s="228">
        <v>69462000</v>
      </c>
    </row>
    <row r="32" spans="1:17">
      <c r="A32"/>
      <c r="B32" s="165" t="s">
        <v>1619</v>
      </c>
      <c r="C32" s="165">
        <v>4600</v>
      </c>
      <c r="D32" s="228">
        <v>0</v>
      </c>
      <c r="E32" s="228">
        <v>0</v>
      </c>
      <c r="F32" s="228"/>
      <c r="G32" s="228"/>
      <c r="H32" s="228"/>
      <c r="I32" s="228"/>
      <c r="J32" s="228"/>
      <c r="K32" s="228"/>
      <c r="L32" s="228"/>
      <c r="M32" s="228"/>
      <c r="N32" s="228"/>
      <c r="O32" s="228"/>
      <c r="P32" s="228">
        <v>0</v>
      </c>
      <c r="Q32" s="228">
        <v>0</v>
      </c>
    </row>
    <row r="33" spans="1:17">
      <c r="A33"/>
      <c r="B33" s="165" t="s">
        <v>148</v>
      </c>
      <c r="C33" s="165">
        <v>4600</v>
      </c>
      <c r="D33" s="228"/>
      <c r="E33" s="228"/>
      <c r="F33" s="228"/>
      <c r="G33" s="228"/>
      <c r="H33" s="228">
        <v>2700</v>
      </c>
      <c r="I33" s="228">
        <v>12420000</v>
      </c>
      <c r="J33" s="228"/>
      <c r="K33" s="228"/>
      <c r="L33" s="228"/>
      <c r="M33" s="228"/>
      <c r="N33" s="228"/>
      <c r="O33" s="228"/>
      <c r="P33" s="228">
        <v>2700</v>
      </c>
      <c r="Q33" s="228">
        <v>12420000</v>
      </c>
    </row>
    <row r="34" spans="1:17">
      <c r="A34"/>
      <c r="B34" s="165" t="s">
        <v>465</v>
      </c>
      <c r="C34" s="165">
        <v>4430</v>
      </c>
      <c r="D34" s="228"/>
      <c r="E34" s="228"/>
      <c r="F34" s="228"/>
      <c r="G34" s="228"/>
      <c r="H34" s="228"/>
      <c r="I34" s="228"/>
      <c r="J34" s="228">
        <v>16800</v>
      </c>
      <c r="K34" s="228">
        <v>74424000</v>
      </c>
      <c r="L34" s="228"/>
      <c r="M34" s="228"/>
      <c r="N34" s="228"/>
      <c r="O34" s="228"/>
      <c r="P34" s="228">
        <v>16800</v>
      </c>
      <c r="Q34" s="228">
        <v>74424000</v>
      </c>
    </row>
    <row r="35" spans="1:17">
      <c r="A35"/>
      <c r="B35"/>
      <c r="C35" s="165">
        <v>4600</v>
      </c>
      <c r="D35" s="228"/>
      <c r="E35" s="228"/>
      <c r="F35" s="228"/>
      <c r="G35" s="228"/>
      <c r="H35" s="228">
        <v>20700</v>
      </c>
      <c r="I35" s="228">
        <v>95220000</v>
      </c>
      <c r="J35" s="228"/>
      <c r="K35" s="228"/>
      <c r="L35" s="228"/>
      <c r="M35" s="228"/>
      <c r="N35" s="228"/>
      <c r="O35" s="228"/>
      <c r="P35" s="228">
        <v>20700</v>
      </c>
      <c r="Q35" s="228">
        <v>95220000</v>
      </c>
    </row>
    <row r="36" spans="1:17">
      <c r="A36"/>
      <c r="B36" s="165" t="s">
        <v>1009</v>
      </c>
      <c r="C36" s="165">
        <v>4200</v>
      </c>
      <c r="D36" s="228"/>
      <c r="E36" s="228"/>
      <c r="F36" s="228">
        <v>0</v>
      </c>
      <c r="G36" s="228">
        <v>0</v>
      </c>
      <c r="H36" s="228"/>
      <c r="I36" s="228"/>
      <c r="J36" s="228"/>
      <c r="K36" s="228"/>
      <c r="L36" s="228"/>
      <c r="M36" s="228"/>
      <c r="N36" s="228"/>
      <c r="O36" s="228"/>
      <c r="P36" s="228">
        <v>0</v>
      </c>
      <c r="Q36" s="228">
        <v>0</v>
      </c>
    </row>
    <row r="37" spans="1:17">
      <c r="A37"/>
      <c r="B37" s="165" t="s">
        <v>1086</v>
      </c>
      <c r="C37" s="165">
        <v>4400</v>
      </c>
      <c r="D37" s="228">
        <v>0</v>
      </c>
      <c r="E37" s="228">
        <v>0</v>
      </c>
      <c r="F37" s="228"/>
      <c r="G37" s="228"/>
      <c r="H37" s="228"/>
      <c r="I37" s="228"/>
      <c r="J37" s="228"/>
      <c r="K37" s="228"/>
      <c r="L37" s="228"/>
      <c r="M37" s="228"/>
      <c r="N37" s="228"/>
      <c r="O37" s="228"/>
      <c r="P37" s="228">
        <v>0</v>
      </c>
      <c r="Q37" s="228">
        <v>0</v>
      </c>
    </row>
    <row r="38" spans="1:17">
      <c r="A38"/>
      <c r="B38" s="165" t="s">
        <v>1370</v>
      </c>
      <c r="C38" s="165">
        <v>4500</v>
      </c>
      <c r="D38" s="228"/>
      <c r="E38" s="228"/>
      <c r="F38" s="228">
        <v>0</v>
      </c>
      <c r="G38" s="228">
        <v>0</v>
      </c>
      <c r="H38" s="228"/>
      <c r="I38" s="228"/>
      <c r="J38" s="228"/>
      <c r="K38" s="228"/>
      <c r="L38" s="228"/>
      <c r="M38" s="228"/>
      <c r="N38" s="228"/>
      <c r="O38" s="228"/>
      <c r="P38" s="228">
        <v>0</v>
      </c>
      <c r="Q38" s="228">
        <v>0</v>
      </c>
    </row>
    <row r="39" spans="1:17">
      <c r="A39"/>
      <c r="B39" s="165" t="s">
        <v>173</v>
      </c>
      <c r="C39" s="165">
        <v>4500</v>
      </c>
      <c r="D39" s="228"/>
      <c r="E39" s="228"/>
      <c r="F39" s="228">
        <v>0</v>
      </c>
      <c r="G39" s="228">
        <v>0</v>
      </c>
      <c r="H39" s="228"/>
      <c r="I39" s="228"/>
      <c r="J39" s="228"/>
      <c r="K39" s="228"/>
      <c r="L39" s="228"/>
      <c r="M39" s="228"/>
      <c r="N39" s="228"/>
      <c r="O39" s="228"/>
      <c r="P39" s="228">
        <v>0</v>
      </c>
      <c r="Q39" s="228">
        <v>0</v>
      </c>
    </row>
    <row r="40" spans="1:17">
      <c r="A40"/>
      <c r="B40" s="165" t="s">
        <v>1788</v>
      </c>
      <c r="C40" s="165">
        <v>4500</v>
      </c>
      <c r="D40" s="228">
        <v>0</v>
      </c>
      <c r="E40" s="228">
        <v>0</v>
      </c>
      <c r="F40" s="228"/>
      <c r="G40" s="228"/>
      <c r="H40" s="228"/>
      <c r="I40" s="228"/>
      <c r="J40" s="228"/>
      <c r="K40" s="228"/>
      <c r="L40" s="228"/>
      <c r="M40" s="228"/>
      <c r="N40" s="228"/>
      <c r="O40" s="228"/>
      <c r="P40" s="228">
        <v>0</v>
      </c>
      <c r="Q40" s="228">
        <v>0</v>
      </c>
    </row>
    <row r="41" spans="1:17">
      <c r="A41"/>
      <c r="B41" s="165" t="s">
        <v>1587</v>
      </c>
      <c r="C41" s="165">
        <v>4500</v>
      </c>
      <c r="D41" s="228"/>
      <c r="E41" s="228"/>
      <c r="F41" s="228"/>
      <c r="G41" s="228"/>
      <c r="H41" s="228">
        <v>10200</v>
      </c>
      <c r="I41" s="228">
        <v>45900000</v>
      </c>
      <c r="J41" s="228"/>
      <c r="K41" s="228"/>
      <c r="L41" s="228"/>
      <c r="M41" s="228"/>
      <c r="N41" s="228"/>
      <c r="O41" s="228"/>
      <c r="P41" s="228">
        <v>10200</v>
      </c>
      <c r="Q41" s="228">
        <v>45900000</v>
      </c>
    </row>
    <row r="42" spans="1:17">
      <c r="A42"/>
      <c r="B42"/>
      <c r="C42" s="165">
        <v>4600</v>
      </c>
      <c r="D42" s="228"/>
      <c r="E42" s="228"/>
      <c r="F42" s="228"/>
      <c r="G42" s="228"/>
      <c r="H42" s="228"/>
      <c r="I42" s="228"/>
      <c r="J42" s="228"/>
      <c r="K42" s="228"/>
      <c r="L42" s="228">
        <v>8100</v>
      </c>
      <c r="M42" s="228">
        <v>37260000</v>
      </c>
      <c r="N42" s="228"/>
      <c r="O42" s="228"/>
      <c r="P42" s="228">
        <v>8100</v>
      </c>
      <c r="Q42" s="228">
        <v>37260000</v>
      </c>
    </row>
    <row r="43" spans="1:17">
      <c r="A43"/>
      <c r="B43" s="165" t="s">
        <v>1491</v>
      </c>
      <c r="C43" s="165">
        <v>4500</v>
      </c>
      <c r="D43" s="228"/>
      <c r="E43" s="228"/>
      <c r="F43" s="228">
        <v>0</v>
      </c>
      <c r="G43" s="228">
        <v>0</v>
      </c>
      <c r="H43" s="228"/>
      <c r="I43" s="228"/>
      <c r="J43" s="228"/>
      <c r="K43" s="228"/>
      <c r="L43" s="228"/>
      <c r="M43" s="228"/>
      <c r="N43" s="228"/>
      <c r="O43" s="228"/>
      <c r="P43" s="228">
        <v>0</v>
      </c>
      <c r="Q43" s="228">
        <v>0</v>
      </c>
    </row>
    <row r="44" spans="1:17">
      <c r="A44" s="165" t="s">
        <v>2030</v>
      </c>
      <c r="B44" s="165" t="s">
        <v>465</v>
      </c>
      <c r="C44" s="165">
        <v>4800</v>
      </c>
      <c r="D44" s="228"/>
      <c r="E44" s="228"/>
      <c r="F44" s="228"/>
      <c r="G44" s="228"/>
      <c r="H44" s="228"/>
      <c r="I44" s="228"/>
      <c r="J44" s="228"/>
      <c r="K44" s="228"/>
      <c r="L44" s="228">
        <v>14900</v>
      </c>
      <c r="M44" s="228">
        <v>71520000</v>
      </c>
      <c r="N44" s="228"/>
      <c r="O44" s="228"/>
      <c r="P44" s="228">
        <v>14900</v>
      </c>
      <c r="Q44" s="228">
        <v>71520000</v>
      </c>
    </row>
    <row r="45" spans="1:17">
      <c r="A45" s="165" t="s">
        <v>2031</v>
      </c>
      <c r="B45" s="165" t="s">
        <v>465</v>
      </c>
      <c r="C45" s="165">
        <v>6400</v>
      </c>
      <c r="D45" s="228"/>
      <c r="E45" s="228"/>
      <c r="F45" s="228"/>
      <c r="G45" s="228"/>
      <c r="H45" s="228"/>
      <c r="I45" s="228"/>
      <c r="J45" s="228"/>
      <c r="K45" s="228"/>
      <c r="L45" s="228">
        <v>10200</v>
      </c>
      <c r="M45" s="228">
        <v>65280000</v>
      </c>
      <c r="N45" s="228"/>
      <c r="O45" s="228"/>
      <c r="P45" s="228">
        <v>10200</v>
      </c>
      <c r="Q45" s="228">
        <v>65280000</v>
      </c>
    </row>
    <row r="46" spans="1:17">
      <c r="A46" s="165" t="s">
        <v>2032</v>
      </c>
      <c r="B46" s="165" t="s">
        <v>1245</v>
      </c>
      <c r="C46" s="165">
        <v>8063</v>
      </c>
      <c r="D46" s="228"/>
      <c r="E46" s="228"/>
      <c r="F46" s="228">
        <v>0</v>
      </c>
      <c r="G46" s="228">
        <v>0</v>
      </c>
      <c r="H46" s="228"/>
      <c r="I46" s="228"/>
      <c r="J46" s="228"/>
      <c r="K46" s="228"/>
      <c r="L46" s="228"/>
      <c r="M46" s="228"/>
      <c r="N46" s="228"/>
      <c r="O46" s="228"/>
      <c r="P46" s="228">
        <v>0</v>
      </c>
      <c r="Q46" s="228">
        <v>0</v>
      </c>
    </row>
    <row r="47" spans="1:17">
      <c r="A47"/>
      <c r="B47"/>
      <c r="C47" s="165">
        <v>8088</v>
      </c>
      <c r="D47" s="228"/>
      <c r="E47" s="228"/>
      <c r="F47" s="228"/>
      <c r="G47" s="228"/>
      <c r="H47" s="228"/>
      <c r="I47" s="228"/>
      <c r="J47" s="228">
        <v>1200</v>
      </c>
      <c r="K47" s="228">
        <v>9705600</v>
      </c>
      <c r="L47" s="228"/>
      <c r="M47" s="228"/>
      <c r="N47" s="228"/>
      <c r="O47" s="228"/>
      <c r="P47" s="228">
        <v>1200</v>
      </c>
      <c r="Q47" s="228">
        <v>9705600</v>
      </c>
    </row>
    <row r="48" spans="1:17">
      <c r="A48"/>
      <c r="B48" s="165" t="s">
        <v>1163</v>
      </c>
      <c r="C48" s="165">
        <v>8500</v>
      </c>
      <c r="D48" s="228">
        <v>0</v>
      </c>
      <c r="E48" s="228">
        <v>0</v>
      </c>
      <c r="F48" s="228"/>
      <c r="G48" s="228"/>
      <c r="H48" s="228"/>
      <c r="I48" s="228"/>
      <c r="J48" s="228"/>
      <c r="K48" s="228"/>
      <c r="L48" s="228"/>
      <c r="M48" s="228"/>
      <c r="N48" s="228"/>
      <c r="O48" s="228"/>
      <c r="P48" s="228">
        <v>0</v>
      </c>
      <c r="Q48" s="228">
        <v>0</v>
      </c>
    </row>
    <row r="49" spans="1:17">
      <c r="A49" s="165" t="s">
        <v>2033</v>
      </c>
      <c r="B49" s="165" t="s">
        <v>168</v>
      </c>
      <c r="C49" s="165">
        <v>5500</v>
      </c>
      <c r="D49" s="228">
        <v>0</v>
      </c>
      <c r="E49" s="228">
        <v>0</v>
      </c>
      <c r="F49" s="228"/>
      <c r="G49" s="228"/>
      <c r="H49" s="228"/>
      <c r="I49" s="228"/>
      <c r="J49" s="228"/>
      <c r="K49" s="228"/>
      <c r="L49" s="228"/>
      <c r="M49" s="228"/>
      <c r="N49" s="228"/>
      <c r="O49" s="228"/>
      <c r="P49" s="228">
        <v>0</v>
      </c>
      <c r="Q49" s="228">
        <v>0</v>
      </c>
    </row>
    <row r="50" spans="1:17">
      <c r="A50"/>
      <c r="B50" s="165" t="s">
        <v>911</v>
      </c>
      <c r="C50" s="165">
        <v>5500</v>
      </c>
      <c r="D50" s="228"/>
      <c r="E50" s="228"/>
      <c r="F50" s="228">
        <v>5000</v>
      </c>
      <c r="G50" s="228">
        <v>27500000</v>
      </c>
      <c r="H50" s="228"/>
      <c r="I50" s="228"/>
      <c r="J50" s="228"/>
      <c r="K50" s="228"/>
      <c r="L50" s="228"/>
      <c r="M50" s="228"/>
      <c r="N50" s="228"/>
      <c r="O50" s="228"/>
      <c r="P50" s="228">
        <v>5000</v>
      </c>
      <c r="Q50" s="228">
        <v>27500000</v>
      </c>
    </row>
    <row r="51" spans="1:17">
      <c r="A51"/>
      <c r="B51" s="165" t="s">
        <v>1483</v>
      </c>
      <c r="C51" s="165">
        <v>5700</v>
      </c>
      <c r="D51" s="228">
        <v>0</v>
      </c>
      <c r="E51" s="228">
        <v>0</v>
      </c>
      <c r="F51" s="228"/>
      <c r="G51" s="228"/>
      <c r="H51" s="228"/>
      <c r="I51" s="228"/>
      <c r="J51" s="228"/>
      <c r="K51" s="228"/>
      <c r="L51" s="228"/>
      <c r="M51" s="228"/>
      <c r="N51" s="228"/>
      <c r="O51" s="228"/>
      <c r="P51" s="228">
        <v>0</v>
      </c>
      <c r="Q51" s="228">
        <v>0</v>
      </c>
    </row>
    <row r="52" spans="1:17">
      <c r="A52"/>
      <c r="B52"/>
      <c r="C52" s="165">
        <v>5800</v>
      </c>
      <c r="D52" s="228">
        <v>0</v>
      </c>
      <c r="E52" s="228">
        <v>0</v>
      </c>
      <c r="F52" s="228"/>
      <c r="G52" s="228"/>
      <c r="H52" s="228"/>
      <c r="I52" s="228"/>
      <c r="J52" s="228"/>
      <c r="K52" s="228"/>
      <c r="L52" s="228"/>
      <c r="M52" s="228"/>
      <c r="N52" s="228"/>
      <c r="O52" s="228"/>
      <c r="P52" s="228">
        <v>0</v>
      </c>
      <c r="Q52" s="228">
        <v>0</v>
      </c>
    </row>
    <row r="53" spans="1:17">
      <c r="A53"/>
      <c r="B53" s="165" t="s">
        <v>710</v>
      </c>
      <c r="C53" s="165">
        <v>5600</v>
      </c>
      <c r="D53" s="228"/>
      <c r="E53" s="228"/>
      <c r="F53" s="228">
        <v>0</v>
      </c>
      <c r="G53" s="228">
        <v>0</v>
      </c>
      <c r="H53" s="228"/>
      <c r="I53" s="228"/>
      <c r="J53" s="228"/>
      <c r="K53" s="228"/>
      <c r="L53" s="228"/>
      <c r="M53" s="228"/>
      <c r="N53" s="228"/>
      <c r="O53" s="228"/>
      <c r="P53" s="228">
        <v>0</v>
      </c>
      <c r="Q53" s="228">
        <v>0</v>
      </c>
    </row>
    <row r="54" spans="1:17">
      <c r="A54"/>
      <c r="B54" s="165" t="s">
        <v>282</v>
      </c>
      <c r="C54" s="165">
        <v>5800</v>
      </c>
      <c r="D54" s="228"/>
      <c r="E54" s="228"/>
      <c r="F54" s="228">
        <v>0</v>
      </c>
      <c r="G54" s="228">
        <v>0</v>
      </c>
      <c r="H54" s="228"/>
      <c r="I54" s="228"/>
      <c r="J54" s="228"/>
      <c r="K54" s="228"/>
      <c r="L54" s="228"/>
      <c r="M54" s="228"/>
      <c r="N54" s="228"/>
      <c r="O54" s="228"/>
      <c r="P54" s="228">
        <v>0</v>
      </c>
      <c r="Q54" s="228">
        <v>0</v>
      </c>
    </row>
    <row r="55" spans="1:17">
      <c r="A55"/>
      <c r="B55" s="165" t="s">
        <v>288</v>
      </c>
      <c r="C55" s="165">
        <v>5500</v>
      </c>
      <c r="D55" s="228"/>
      <c r="E55" s="228"/>
      <c r="F55" s="228">
        <v>0</v>
      </c>
      <c r="G55" s="228">
        <v>0</v>
      </c>
      <c r="H55" s="228"/>
      <c r="I55" s="228"/>
      <c r="J55" s="228"/>
      <c r="K55" s="228"/>
      <c r="L55" s="228"/>
      <c r="M55" s="228"/>
      <c r="N55" s="228"/>
      <c r="O55" s="228"/>
      <c r="P55" s="228">
        <v>0</v>
      </c>
      <c r="Q55" s="228">
        <v>0</v>
      </c>
    </row>
    <row r="56" spans="1:17">
      <c r="A56"/>
      <c r="B56" s="165" t="s">
        <v>1237</v>
      </c>
      <c r="C56" s="165">
        <v>5500</v>
      </c>
      <c r="D56" s="228">
        <v>0</v>
      </c>
      <c r="E56" s="228">
        <v>0</v>
      </c>
      <c r="F56" s="228"/>
      <c r="G56" s="228"/>
      <c r="H56" s="228"/>
      <c r="I56" s="228"/>
      <c r="J56" s="228"/>
      <c r="K56" s="228"/>
      <c r="L56" s="228"/>
      <c r="M56" s="228"/>
      <c r="N56" s="228"/>
      <c r="O56" s="228"/>
      <c r="P56" s="228">
        <v>0</v>
      </c>
      <c r="Q56" s="228">
        <v>0</v>
      </c>
    </row>
    <row r="57" spans="1:17">
      <c r="A57"/>
      <c r="B57"/>
      <c r="C57" s="165">
        <v>5600</v>
      </c>
      <c r="D57" s="228"/>
      <c r="E57" s="228"/>
      <c r="F57" s="228"/>
      <c r="G57" s="228"/>
      <c r="H57" s="228"/>
      <c r="I57" s="228"/>
      <c r="J57" s="228"/>
      <c r="K57" s="228"/>
      <c r="L57" s="228">
        <v>5000</v>
      </c>
      <c r="M57" s="228">
        <v>28000000</v>
      </c>
      <c r="N57" s="228"/>
      <c r="O57" s="228"/>
      <c r="P57" s="228">
        <v>5000</v>
      </c>
      <c r="Q57" s="228">
        <v>28000000</v>
      </c>
    </row>
    <row r="58" spans="1:17">
      <c r="A58"/>
      <c r="B58"/>
      <c r="C58" s="165">
        <v>5800</v>
      </c>
      <c r="D58" s="228"/>
      <c r="E58" s="228"/>
      <c r="F58" s="228">
        <v>0</v>
      </c>
      <c r="G58" s="228">
        <v>0</v>
      </c>
      <c r="H58" s="228"/>
      <c r="I58" s="228"/>
      <c r="J58" s="228"/>
      <c r="K58" s="228"/>
      <c r="L58" s="228"/>
      <c r="M58" s="228"/>
      <c r="N58" s="228"/>
      <c r="O58" s="228"/>
      <c r="P58" s="228">
        <v>0</v>
      </c>
      <c r="Q58" s="228">
        <v>0</v>
      </c>
    </row>
    <row r="59" spans="1:17">
      <c r="A59"/>
      <c r="B59" s="165" t="s">
        <v>182</v>
      </c>
      <c r="C59" s="165">
        <v>5500</v>
      </c>
      <c r="D59" s="228"/>
      <c r="E59" s="228"/>
      <c r="F59" s="228">
        <v>0</v>
      </c>
      <c r="G59" s="228">
        <v>0</v>
      </c>
      <c r="H59" s="228"/>
      <c r="I59" s="228"/>
      <c r="J59" s="228"/>
      <c r="K59" s="228"/>
      <c r="L59" s="228"/>
      <c r="M59" s="228"/>
      <c r="N59" s="228"/>
      <c r="O59" s="228"/>
      <c r="P59" s="228">
        <v>0</v>
      </c>
      <c r="Q59" s="228">
        <v>0</v>
      </c>
    </row>
    <row r="60" spans="1:17">
      <c r="A60"/>
      <c r="B60" s="165" t="s">
        <v>921</v>
      </c>
      <c r="C60" s="165">
        <v>5700</v>
      </c>
      <c r="D60" s="228"/>
      <c r="E60" s="228"/>
      <c r="F60" s="228"/>
      <c r="G60" s="228"/>
      <c r="H60" s="228"/>
      <c r="I60" s="228"/>
      <c r="J60" s="228">
        <v>20000</v>
      </c>
      <c r="K60" s="228">
        <v>114000000</v>
      </c>
      <c r="L60" s="228"/>
      <c r="M60" s="228"/>
      <c r="N60" s="228"/>
      <c r="O60" s="228"/>
      <c r="P60" s="228">
        <v>20000</v>
      </c>
      <c r="Q60" s="228">
        <v>114000000</v>
      </c>
    </row>
    <row r="61" spans="1:17">
      <c r="A61"/>
      <c r="B61" s="165" t="s">
        <v>84</v>
      </c>
      <c r="C61" s="165">
        <v>5500</v>
      </c>
      <c r="D61" s="228">
        <v>0</v>
      </c>
      <c r="E61" s="228">
        <v>0</v>
      </c>
      <c r="F61" s="228"/>
      <c r="G61" s="228"/>
      <c r="H61" s="228"/>
      <c r="I61" s="228"/>
      <c r="J61" s="228"/>
      <c r="K61" s="228"/>
      <c r="L61" s="228"/>
      <c r="M61" s="228"/>
      <c r="N61" s="228"/>
      <c r="O61" s="228"/>
      <c r="P61" s="228">
        <v>0</v>
      </c>
      <c r="Q61" s="228">
        <v>0</v>
      </c>
    </row>
    <row r="62" spans="1:17">
      <c r="A62"/>
      <c r="B62" s="165" t="s">
        <v>1086</v>
      </c>
      <c r="C62" s="165">
        <v>5200</v>
      </c>
      <c r="D62" s="228"/>
      <c r="E62" s="228"/>
      <c r="F62" s="228"/>
      <c r="G62" s="228"/>
      <c r="H62" s="228"/>
      <c r="I62" s="228"/>
      <c r="J62" s="228">
        <v>10000</v>
      </c>
      <c r="K62" s="228">
        <v>52000000</v>
      </c>
      <c r="L62" s="228"/>
      <c r="M62" s="228"/>
      <c r="N62" s="228"/>
      <c r="O62" s="228"/>
      <c r="P62" s="228">
        <v>10000</v>
      </c>
      <c r="Q62" s="228">
        <v>52000000</v>
      </c>
    </row>
    <row r="63" spans="1:17">
      <c r="A63"/>
      <c r="B63"/>
      <c r="C63" s="165">
        <v>5500</v>
      </c>
      <c r="D63" s="228"/>
      <c r="E63" s="228"/>
      <c r="F63" s="228">
        <v>0</v>
      </c>
      <c r="G63" s="228">
        <v>0</v>
      </c>
      <c r="H63" s="228"/>
      <c r="I63" s="228"/>
      <c r="J63" s="228"/>
      <c r="K63" s="228"/>
      <c r="L63" s="228"/>
      <c r="M63" s="228"/>
      <c r="N63" s="228"/>
      <c r="O63" s="228"/>
      <c r="P63" s="228">
        <v>0</v>
      </c>
      <c r="Q63" s="228">
        <v>0</v>
      </c>
    </row>
    <row r="64" spans="1:17">
      <c r="A64"/>
      <c r="B64"/>
      <c r="C64" s="165">
        <v>5600</v>
      </c>
      <c r="D64" s="228">
        <v>0</v>
      </c>
      <c r="E64" s="228">
        <v>0</v>
      </c>
      <c r="F64" s="228"/>
      <c r="G64" s="228"/>
      <c r="H64" s="228"/>
      <c r="I64" s="228"/>
      <c r="J64" s="228"/>
      <c r="K64" s="228"/>
      <c r="L64" s="228"/>
      <c r="M64" s="228"/>
      <c r="N64" s="228"/>
      <c r="O64" s="228"/>
      <c r="P64" s="228">
        <v>0</v>
      </c>
      <c r="Q64" s="228">
        <v>0</v>
      </c>
    </row>
    <row r="65" spans="1:17">
      <c r="A65"/>
      <c r="B65"/>
      <c r="C65" s="165">
        <v>5670</v>
      </c>
      <c r="D65" s="228">
        <v>0</v>
      </c>
      <c r="E65" s="228">
        <v>0</v>
      </c>
      <c r="F65" s="228"/>
      <c r="G65" s="228"/>
      <c r="H65" s="228"/>
      <c r="I65" s="228"/>
      <c r="J65" s="228"/>
      <c r="K65" s="228"/>
      <c r="L65" s="228"/>
      <c r="M65" s="228"/>
      <c r="N65" s="228"/>
      <c r="O65" s="228"/>
      <c r="P65" s="228">
        <v>0</v>
      </c>
      <c r="Q65" s="228">
        <v>0</v>
      </c>
    </row>
    <row r="66" spans="1:17">
      <c r="A66"/>
      <c r="B66" s="165" t="s">
        <v>1142</v>
      </c>
      <c r="C66" s="165">
        <v>5500</v>
      </c>
      <c r="D66" s="228"/>
      <c r="E66" s="228"/>
      <c r="F66" s="228"/>
      <c r="G66" s="228"/>
      <c r="H66" s="228"/>
      <c r="I66" s="228"/>
      <c r="J66" s="228">
        <v>6000</v>
      </c>
      <c r="K66" s="228">
        <v>33000000</v>
      </c>
      <c r="L66" s="228"/>
      <c r="M66" s="228"/>
      <c r="N66" s="228"/>
      <c r="O66" s="228"/>
      <c r="P66" s="228">
        <v>6000</v>
      </c>
      <c r="Q66" s="228">
        <v>33000000</v>
      </c>
    </row>
    <row r="67" spans="1:17">
      <c r="A67"/>
      <c r="B67"/>
      <c r="C67" s="165">
        <v>5600</v>
      </c>
      <c r="D67" s="228">
        <v>0</v>
      </c>
      <c r="E67" s="228">
        <v>0</v>
      </c>
      <c r="F67" s="228"/>
      <c r="G67" s="228"/>
      <c r="H67" s="228"/>
      <c r="I67" s="228"/>
      <c r="J67" s="228"/>
      <c r="K67" s="228"/>
      <c r="L67" s="228"/>
      <c r="M67" s="228"/>
      <c r="N67" s="228"/>
      <c r="O67" s="228"/>
      <c r="P67" s="228">
        <v>0</v>
      </c>
      <c r="Q67" s="228">
        <v>0</v>
      </c>
    </row>
    <row r="68" spans="1:17">
      <c r="A68"/>
      <c r="B68" s="165" t="s">
        <v>1155</v>
      </c>
      <c r="C68" s="165">
        <v>5000</v>
      </c>
      <c r="D68" s="228"/>
      <c r="E68" s="228"/>
      <c r="F68" s="228">
        <v>0</v>
      </c>
      <c r="G68" s="228">
        <v>0</v>
      </c>
      <c r="H68" s="228"/>
      <c r="I68" s="228"/>
      <c r="J68" s="228"/>
      <c r="K68" s="228"/>
      <c r="L68" s="228"/>
      <c r="M68" s="228"/>
      <c r="N68" s="228"/>
      <c r="O68" s="228"/>
      <c r="P68" s="228">
        <v>0</v>
      </c>
      <c r="Q68" s="228">
        <v>0</v>
      </c>
    </row>
    <row r="69" spans="1:17">
      <c r="A69"/>
      <c r="B69"/>
      <c r="C69" s="165">
        <v>5500</v>
      </c>
      <c r="D69" s="228">
        <v>0</v>
      </c>
      <c r="E69" s="228">
        <v>0</v>
      </c>
      <c r="F69" s="228"/>
      <c r="G69" s="228"/>
      <c r="H69" s="228"/>
      <c r="I69" s="228"/>
      <c r="J69" s="228"/>
      <c r="K69" s="228"/>
      <c r="L69" s="228"/>
      <c r="M69" s="228"/>
      <c r="N69" s="228"/>
      <c r="O69" s="228"/>
      <c r="P69" s="228">
        <v>0</v>
      </c>
      <c r="Q69" s="228">
        <v>0</v>
      </c>
    </row>
    <row r="70" spans="1:17">
      <c r="A70"/>
      <c r="B70" s="165" t="s">
        <v>195</v>
      </c>
      <c r="C70" s="165">
        <v>5400</v>
      </c>
      <c r="D70" s="228"/>
      <c r="E70" s="228"/>
      <c r="F70" s="228"/>
      <c r="G70" s="228"/>
      <c r="H70" s="228"/>
      <c r="I70" s="228"/>
      <c r="J70" s="228">
        <v>4000</v>
      </c>
      <c r="K70" s="228">
        <v>21600000</v>
      </c>
      <c r="L70" s="228"/>
      <c r="M70" s="228"/>
      <c r="N70" s="228"/>
      <c r="O70" s="228"/>
      <c r="P70" s="228">
        <v>4000</v>
      </c>
      <c r="Q70" s="228">
        <v>21600000</v>
      </c>
    </row>
    <row r="71" spans="1:17">
      <c r="A71"/>
      <c r="B71" s="165" t="s">
        <v>1245</v>
      </c>
      <c r="C71" s="165">
        <v>5300</v>
      </c>
      <c r="D71" s="228">
        <v>0</v>
      </c>
      <c r="E71" s="228">
        <v>0</v>
      </c>
      <c r="F71" s="228">
        <v>0</v>
      </c>
      <c r="G71" s="228">
        <v>0</v>
      </c>
      <c r="H71" s="228"/>
      <c r="I71" s="228"/>
      <c r="J71" s="228"/>
      <c r="K71" s="228"/>
      <c r="L71" s="228"/>
      <c r="M71" s="228"/>
      <c r="N71" s="228"/>
      <c r="O71" s="228"/>
      <c r="P71" s="228">
        <v>0</v>
      </c>
      <c r="Q71" s="228">
        <v>0</v>
      </c>
    </row>
    <row r="72" spans="1:17">
      <c r="A72"/>
      <c r="B72"/>
      <c r="C72" s="165">
        <v>5400</v>
      </c>
      <c r="D72" s="228"/>
      <c r="E72" s="228"/>
      <c r="F72" s="228"/>
      <c r="G72" s="228"/>
      <c r="H72" s="228"/>
      <c r="I72" s="228"/>
      <c r="J72" s="228">
        <v>14000</v>
      </c>
      <c r="K72" s="228">
        <v>75600000</v>
      </c>
      <c r="L72" s="228"/>
      <c r="M72" s="228"/>
      <c r="N72" s="228"/>
      <c r="O72" s="228"/>
      <c r="P72" s="228">
        <v>14000</v>
      </c>
      <c r="Q72" s="228">
        <v>75600000</v>
      </c>
    </row>
    <row r="73" spans="1:17">
      <c r="A73"/>
      <c r="B73" s="165" t="s">
        <v>216</v>
      </c>
      <c r="C73" s="165">
        <v>5700</v>
      </c>
      <c r="D73" s="228"/>
      <c r="E73" s="228"/>
      <c r="F73" s="228">
        <v>0</v>
      </c>
      <c r="G73" s="228">
        <v>0</v>
      </c>
      <c r="H73" s="228"/>
      <c r="I73" s="228"/>
      <c r="J73" s="228"/>
      <c r="K73" s="228"/>
      <c r="L73" s="228"/>
      <c r="M73" s="228"/>
      <c r="N73" s="228"/>
      <c r="O73" s="228"/>
      <c r="P73" s="228">
        <v>0</v>
      </c>
      <c r="Q73" s="228">
        <v>0</v>
      </c>
    </row>
    <row r="74" spans="1:17">
      <c r="A74"/>
      <c r="B74" s="165" t="s">
        <v>1163</v>
      </c>
      <c r="C74" s="165">
        <v>5500</v>
      </c>
      <c r="D74" s="228">
        <v>0</v>
      </c>
      <c r="E74" s="228">
        <v>0</v>
      </c>
      <c r="F74" s="228"/>
      <c r="G74" s="228"/>
      <c r="H74" s="228"/>
      <c r="I74" s="228"/>
      <c r="J74" s="228"/>
      <c r="K74" s="228"/>
      <c r="L74" s="228"/>
      <c r="M74" s="228"/>
      <c r="N74" s="228"/>
      <c r="O74" s="228"/>
      <c r="P74" s="228">
        <v>0</v>
      </c>
      <c r="Q74" s="228">
        <v>0</v>
      </c>
    </row>
    <row r="75" spans="1:17">
      <c r="A75"/>
      <c r="B75" s="165" t="s">
        <v>1587</v>
      </c>
      <c r="C75" s="165">
        <v>5400</v>
      </c>
      <c r="D75" s="228"/>
      <c r="E75" s="228"/>
      <c r="F75" s="228">
        <v>0</v>
      </c>
      <c r="G75" s="228">
        <v>0</v>
      </c>
      <c r="H75" s="228"/>
      <c r="I75" s="228"/>
      <c r="J75" s="228"/>
      <c r="K75" s="228"/>
      <c r="L75" s="228"/>
      <c r="M75" s="228"/>
      <c r="N75" s="228"/>
      <c r="O75" s="228"/>
      <c r="P75" s="228">
        <v>0</v>
      </c>
      <c r="Q75" s="228">
        <v>0</v>
      </c>
    </row>
    <row r="76" spans="1:17">
      <c r="A76"/>
      <c r="B76" s="165" t="s">
        <v>234</v>
      </c>
      <c r="C76" s="165">
        <v>5400</v>
      </c>
      <c r="D76" s="228"/>
      <c r="E76" s="228"/>
      <c r="F76" s="228">
        <v>0</v>
      </c>
      <c r="G76" s="228">
        <v>0</v>
      </c>
      <c r="H76" s="228"/>
      <c r="I76" s="228"/>
      <c r="J76" s="228"/>
      <c r="K76" s="228"/>
      <c r="L76" s="228"/>
      <c r="M76" s="228"/>
      <c r="N76" s="228"/>
      <c r="O76" s="228"/>
      <c r="P76" s="228">
        <v>0</v>
      </c>
      <c r="Q76" s="228">
        <v>0</v>
      </c>
    </row>
    <row r="77" spans="1:17">
      <c r="A77"/>
      <c r="B77" s="165" t="s">
        <v>1883</v>
      </c>
      <c r="C77" s="165">
        <v>5400</v>
      </c>
      <c r="D77" s="228"/>
      <c r="E77" s="228"/>
      <c r="F77" s="228">
        <v>3000</v>
      </c>
      <c r="G77" s="228">
        <v>16200000</v>
      </c>
      <c r="H77" s="228"/>
      <c r="I77" s="228"/>
      <c r="J77" s="228"/>
      <c r="K77" s="228"/>
      <c r="L77" s="228"/>
      <c r="M77" s="228"/>
      <c r="N77" s="228"/>
      <c r="O77" s="228"/>
      <c r="P77" s="228">
        <v>3000</v>
      </c>
      <c r="Q77" s="228">
        <v>16200000</v>
      </c>
    </row>
    <row r="78" spans="1:17">
      <c r="A78"/>
      <c r="B78" s="165" t="s">
        <v>2000</v>
      </c>
      <c r="C78" s="165">
        <v>5500</v>
      </c>
      <c r="D78" s="228"/>
      <c r="E78" s="228"/>
      <c r="F78" s="228">
        <v>0</v>
      </c>
      <c r="G78" s="228">
        <v>0</v>
      </c>
      <c r="H78" s="228"/>
      <c r="I78" s="228"/>
      <c r="J78" s="228"/>
      <c r="K78" s="228"/>
      <c r="L78" s="228"/>
      <c r="M78" s="228"/>
      <c r="N78" s="228"/>
      <c r="O78" s="228"/>
      <c r="P78" s="228">
        <v>0</v>
      </c>
      <c r="Q78" s="228">
        <v>0</v>
      </c>
    </row>
    <row r="79" spans="1:17">
      <c r="A79" s="165" t="s">
        <v>2034</v>
      </c>
      <c r="B79" s="165" t="s">
        <v>1245</v>
      </c>
      <c r="C79" s="165">
        <v>10500</v>
      </c>
      <c r="D79" s="228">
        <v>0</v>
      </c>
      <c r="E79" s="228">
        <v>0</v>
      </c>
      <c r="F79" s="228"/>
      <c r="G79" s="228"/>
      <c r="H79" s="228"/>
      <c r="I79" s="228"/>
      <c r="J79" s="228"/>
      <c r="K79" s="228"/>
      <c r="L79" s="228"/>
      <c r="M79" s="228"/>
      <c r="N79" s="228"/>
      <c r="O79" s="228"/>
      <c r="P79" s="228">
        <v>0</v>
      </c>
      <c r="Q79" s="228">
        <v>0</v>
      </c>
    </row>
    <row r="80" spans="1:17">
      <c r="A80" s="165" t="s">
        <v>2035</v>
      </c>
      <c r="B80" s="165" t="s">
        <v>111</v>
      </c>
      <c r="C80" s="165">
        <v>8500</v>
      </c>
      <c r="D80" s="228"/>
      <c r="E80" s="228"/>
      <c r="F80" s="228"/>
      <c r="G80" s="228"/>
      <c r="H80" s="228"/>
      <c r="I80" s="228"/>
      <c r="J80" s="228"/>
      <c r="K80" s="228"/>
      <c r="L80" s="228">
        <v>2100</v>
      </c>
      <c r="M80" s="228">
        <v>17850000</v>
      </c>
      <c r="N80" s="228"/>
      <c r="O80" s="228"/>
      <c r="P80" s="228">
        <v>2100</v>
      </c>
      <c r="Q80" s="228">
        <v>17850000</v>
      </c>
    </row>
    <row r="81" spans="1:17">
      <c r="A81"/>
      <c r="B81" s="165" t="s">
        <v>911</v>
      </c>
      <c r="C81" s="165">
        <v>8500</v>
      </c>
      <c r="D81" s="228">
        <v>0</v>
      </c>
      <c r="E81" s="228">
        <v>0</v>
      </c>
      <c r="F81" s="228"/>
      <c r="G81" s="228"/>
      <c r="H81" s="228"/>
      <c r="I81" s="228"/>
      <c r="J81" s="228"/>
      <c r="K81" s="228"/>
      <c r="L81" s="228"/>
      <c r="M81" s="228"/>
      <c r="N81" s="228"/>
      <c r="O81" s="228"/>
      <c r="P81" s="228">
        <v>0</v>
      </c>
      <c r="Q81" s="228">
        <v>0</v>
      </c>
    </row>
    <row r="82" spans="1:17">
      <c r="A82"/>
      <c r="B82" s="165" t="s">
        <v>1086</v>
      </c>
      <c r="C82" s="165">
        <v>8500</v>
      </c>
      <c r="D82" s="228"/>
      <c r="E82" s="228"/>
      <c r="F82" s="228"/>
      <c r="G82" s="228"/>
      <c r="H82" s="228"/>
      <c r="I82" s="228"/>
      <c r="J82" s="228"/>
      <c r="K82" s="228"/>
      <c r="L82" s="228">
        <v>10050</v>
      </c>
      <c r="M82" s="228">
        <v>85425000</v>
      </c>
      <c r="N82" s="228"/>
      <c r="O82" s="228"/>
      <c r="P82" s="228">
        <v>10050</v>
      </c>
      <c r="Q82" s="228">
        <v>85425000</v>
      </c>
    </row>
    <row r="83" spans="1:17">
      <c r="A83"/>
      <c r="B83" s="165" t="s">
        <v>1142</v>
      </c>
      <c r="C83" s="165">
        <v>8500</v>
      </c>
      <c r="D83" s="228"/>
      <c r="E83" s="228"/>
      <c r="F83" s="228"/>
      <c r="G83" s="228"/>
      <c r="H83" s="228"/>
      <c r="I83" s="228"/>
      <c r="J83" s="228"/>
      <c r="K83" s="228"/>
      <c r="L83" s="228">
        <v>10200</v>
      </c>
      <c r="M83" s="228">
        <v>86700000</v>
      </c>
      <c r="N83" s="228"/>
      <c r="O83" s="228"/>
      <c r="P83" s="228">
        <v>10200</v>
      </c>
      <c r="Q83" s="228">
        <v>86700000</v>
      </c>
    </row>
    <row r="84" spans="1:17">
      <c r="A84" s="165" t="s">
        <v>2036</v>
      </c>
      <c r="B84" s="165" t="s">
        <v>111</v>
      </c>
      <c r="C84" s="165">
        <v>4400</v>
      </c>
      <c r="D84" s="228"/>
      <c r="E84" s="228"/>
      <c r="F84" s="228">
        <v>0</v>
      </c>
      <c r="G84" s="228">
        <v>0</v>
      </c>
      <c r="H84" s="228"/>
      <c r="I84" s="228"/>
      <c r="J84" s="228"/>
      <c r="K84" s="228"/>
      <c r="L84" s="228"/>
      <c r="M84" s="228"/>
      <c r="N84" s="228"/>
      <c r="O84" s="228"/>
      <c r="P84" s="228">
        <v>0</v>
      </c>
      <c r="Q84" s="228">
        <v>0</v>
      </c>
    </row>
    <row r="85" spans="1:17">
      <c r="A85"/>
      <c r="B85" s="165" t="s">
        <v>1047</v>
      </c>
      <c r="C85" s="165">
        <v>4500</v>
      </c>
      <c r="D85" s="228"/>
      <c r="E85" s="228"/>
      <c r="F85" s="228">
        <v>0</v>
      </c>
      <c r="G85" s="228">
        <v>0</v>
      </c>
      <c r="H85" s="228"/>
      <c r="I85" s="228"/>
      <c r="J85" s="228"/>
      <c r="K85" s="228"/>
      <c r="L85" s="228"/>
      <c r="M85" s="228"/>
      <c r="N85" s="228"/>
      <c r="O85" s="228"/>
      <c r="P85" s="228">
        <v>0</v>
      </c>
      <c r="Q85" s="228">
        <v>0</v>
      </c>
    </row>
    <row r="86" spans="1:17">
      <c r="A86"/>
      <c r="B86" s="165" t="s">
        <v>710</v>
      </c>
      <c r="C86" s="165">
        <v>4370</v>
      </c>
      <c r="D86" s="228">
        <v>0</v>
      </c>
      <c r="E86" s="228">
        <v>0</v>
      </c>
      <c r="F86" s="228"/>
      <c r="G86" s="228"/>
      <c r="H86" s="228"/>
      <c r="I86" s="228"/>
      <c r="J86" s="228"/>
      <c r="K86" s="228"/>
      <c r="L86" s="228"/>
      <c r="M86" s="228"/>
      <c r="N86" s="228"/>
      <c r="O86" s="228"/>
      <c r="P86" s="228">
        <v>0</v>
      </c>
      <c r="Q86" s="228">
        <v>0</v>
      </c>
    </row>
    <row r="87" spans="1:17">
      <c r="A87"/>
      <c r="B87" s="165" t="s">
        <v>253</v>
      </c>
      <c r="C87" s="165">
        <v>4500</v>
      </c>
      <c r="D87" s="228"/>
      <c r="E87" s="228"/>
      <c r="F87" s="228">
        <v>0</v>
      </c>
      <c r="G87" s="228">
        <v>0</v>
      </c>
      <c r="H87" s="228"/>
      <c r="I87" s="228"/>
      <c r="J87" s="228"/>
      <c r="K87" s="228"/>
      <c r="L87" s="228"/>
      <c r="M87" s="228"/>
      <c r="N87" s="228"/>
      <c r="O87" s="228"/>
      <c r="P87" s="228">
        <v>0</v>
      </c>
      <c r="Q87" s="228">
        <v>0</v>
      </c>
    </row>
    <row r="88" spans="1:17">
      <c r="A88"/>
      <c r="B88" s="165" t="s">
        <v>1555</v>
      </c>
      <c r="C88" s="165">
        <v>4500</v>
      </c>
      <c r="D88" s="228">
        <v>0</v>
      </c>
      <c r="E88" s="228">
        <v>0</v>
      </c>
      <c r="F88" s="228"/>
      <c r="G88" s="228"/>
      <c r="H88" s="228"/>
      <c r="I88" s="228"/>
      <c r="J88" s="228"/>
      <c r="K88" s="228"/>
      <c r="L88" s="228"/>
      <c r="M88" s="228"/>
      <c r="N88" s="228"/>
      <c r="O88" s="228"/>
      <c r="P88" s="228">
        <v>0</v>
      </c>
      <c r="Q88" s="228">
        <v>0</v>
      </c>
    </row>
    <row r="89" spans="1:17">
      <c r="A89"/>
      <c r="B89" s="165" t="s">
        <v>1567</v>
      </c>
      <c r="C89" s="165">
        <v>4500</v>
      </c>
      <c r="D89" s="228"/>
      <c r="E89" s="228"/>
      <c r="F89" s="228">
        <v>0</v>
      </c>
      <c r="G89" s="228">
        <v>0</v>
      </c>
      <c r="H89" s="228"/>
      <c r="I89" s="228"/>
      <c r="J89" s="228"/>
      <c r="K89" s="228"/>
      <c r="L89" s="228"/>
      <c r="M89" s="228"/>
      <c r="N89" s="228"/>
      <c r="O89" s="228"/>
      <c r="P89" s="228">
        <v>0</v>
      </c>
      <c r="Q89" s="228">
        <v>0</v>
      </c>
    </row>
    <row r="90" spans="1:17">
      <c r="A90"/>
      <c r="B90" s="165" t="s">
        <v>197</v>
      </c>
      <c r="C90" s="165">
        <v>4730</v>
      </c>
      <c r="D90" s="228">
        <v>0</v>
      </c>
      <c r="E90" s="228">
        <v>0</v>
      </c>
      <c r="F90" s="228"/>
      <c r="G90" s="228"/>
      <c r="H90" s="228"/>
      <c r="I90" s="228"/>
      <c r="J90" s="228"/>
      <c r="K90" s="228"/>
      <c r="L90" s="228"/>
      <c r="M90" s="228"/>
      <c r="N90" s="228"/>
      <c r="O90" s="228"/>
      <c r="P90" s="228">
        <v>0</v>
      </c>
      <c r="Q90" s="228">
        <v>0</v>
      </c>
    </row>
    <row r="91" spans="1:17">
      <c r="A91"/>
      <c r="B91" s="165" t="s">
        <v>1702</v>
      </c>
      <c r="C91" s="165">
        <v>4370</v>
      </c>
      <c r="D91" s="228">
        <v>0</v>
      </c>
      <c r="E91" s="228">
        <v>0</v>
      </c>
      <c r="F91" s="228"/>
      <c r="G91" s="228"/>
      <c r="H91" s="228"/>
      <c r="I91" s="228"/>
      <c r="J91" s="228"/>
      <c r="K91" s="228"/>
      <c r="L91" s="228"/>
      <c r="M91" s="228"/>
      <c r="N91" s="228"/>
      <c r="O91" s="228"/>
      <c r="P91" s="228">
        <v>0</v>
      </c>
      <c r="Q91" s="228">
        <v>0</v>
      </c>
    </row>
    <row r="92" spans="1:17">
      <c r="A92"/>
      <c r="B92" s="165" t="s">
        <v>195</v>
      </c>
      <c r="C92" s="165">
        <v>4500</v>
      </c>
      <c r="D92" s="228"/>
      <c r="E92" s="228"/>
      <c r="F92" s="228">
        <v>0</v>
      </c>
      <c r="G92" s="228">
        <v>0</v>
      </c>
      <c r="H92" s="228"/>
      <c r="I92" s="228"/>
      <c r="J92" s="228"/>
      <c r="K92" s="228"/>
      <c r="L92" s="228"/>
      <c r="M92" s="228"/>
      <c r="N92" s="228"/>
      <c r="O92" s="228"/>
      <c r="P92" s="228">
        <v>0</v>
      </c>
      <c r="Q92" s="228">
        <v>0</v>
      </c>
    </row>
    <row r="93" spans="1:17">
      <c r="A93"/>
      <c r="B93" s="165" t="s">
        <v>1431</v>
      </c>
      <c r="C93" s="165">
        <v>4500</v>
      </c>
      <c r="D93" s="228"/>
      <c r="E93" s="228"/>
      <c r="F93" s="228">
        <v>0</v>
      </c>
      <c r="G93" s="228">
        <v>0</v>
      </c>
      <c r="H93" s="228"/>
      <c r="I93" s="228"/>
      <c r="J93" s="228"/>
      <c r="K93" s="228"/>
      <c r="L93" s="228"/>
      <c r="M93" s="228"/>
      <c r="N93" s="228"/>
      <c r="O93" s="228"/>
      <c r="P93" s="228">
        <v>0</v>
      </c>
      <c r="Q93" s="228">
        <v>0</v>
      </c>
    </row>
    <row r="94" spans="1:17">
      <c r="A94"/>
      <c r="B94" s="165" t="s">
        <v>208</v>
      </c>
      <c r="C94" s="165">
        <v>4370</v>
      </c>
      <c r="D94" s="228">
        <v>0</v>
      </c>
      <c r="E94" s="228">
        <v>0</v>
      </c>
      <c r="F94" s="228"/>
      <c r="G94" s="228"/>
      <c r="H94" s="228"/>
      <c r="I94" s="228"/>
      <c r="J94" s="228"/>
      <c r="K94" s="228"/>
      <c r="L94" s="228"/>
      <c r="M94" s="228"/>
      <c r="N94" s="228"/>
      <c r="O94" s="228"/>
      <c r="P94" s="228">
        <v>0</v>
      </c>
      <c r="Q94" s="228">
        <v>0</v>
      </c>
    </row>
    <row r="95" spans="1:17">
      <c r="A95" s="165" t="s">
        <v>2037</v>
      </c>
      <c r="B95" s="165" t="s">
        <v>1702</v>
      </c>
      <c r="C95" s="165">
        <v>4370</v>
      </c>
      <c r="D95" s="228"/>
      <c r="E95" s="228"/>
      <c r="F95" s="228">
        <v>0</v>
      </c>
      <c r="G95" s="228">
        <v>0</v>
      </c>
      <c r="H95" s="228"/>
      <c r="I95" s="228"/>
      <c r="J95" s="228"/>
      <c r="K95" s="228"/>
      <c r="L95" s="228"/>
      <c r="M95" s="228"/>
      <c r="N95" s="228"/>
      <c r="O95" s="228"/>
      <c r="P95" s="228">
        <v>0</v>
      </c>
      <c r="Q95" s="228">
        <v>0</v>
      </c>
    </row>
    <row r="96" spans="1:17">
      <c r="A96" s="165" t="s">
        <v>2038</v>
      </c>
      <c r="B96" s="165" t="s">
        <v>688</v>
      </c>
      <c r="C96" s="165">
        <v>4500</v>
      </c>
      <c r="D96" s="228"/>
      <c r="E96" s="228"/>
      <c r="F96" s="228">
        <v>0</v>
      </c>
      <c r="G96" s="228">
        <v>0</v>
      </c>
      <c r="H96" s="228"/>
      <c r="I96" s="228"/>
      <c r="J96" s="228"/>
      <c r="K96" s="228"/>
      <c r="L96" s="228"/>
      <c r="M96" s="228"/>
      <c r="N96" s="228"/>
      <c r="O96" s="228"/>
      <c r="P96" s="228">
        <v>0</v>
      </c>
      <c r="Q96" s="228">
        <v>0</v>
      </c>
    </row>
    <row r="97" spans="1:17">
      <c r="A97"/>
      <c r="B97" s="165" t="s">
        <v>205</v>
      </c>
      <c r="C97" s="165">
        <v>4600</v>
      </c>
      <c r="D97" s="228"/>
      <c r="E97" s="228"/>
      <c r="F97" s="228">
        <v>0</v>
      </c>
      <c r="G97" s="228">
        <v>0</v>
      </c>
      <c r="H97" s="228"/>
      <c r="I97" s="228"/>
      <c r="J97" s="228"/>
      <c r="K97" s="228"/>
      <c r="L97" s="228"/>
      <c r="M97" s="228"/>
      <c r="N97" s="228"/>
      <c r="O97" s="228"/>
      <c r="P97" s="228">
        <v>0</v>
      </c>
      <c r="Q97" s="228">
        <v>0</v>
      </c>
    </row>
    <row r="98" spans="1:17">
      <c r="A98"/>
      <c r="B98" s="165" t="s">
        <v>76</v>
      </c>
      <c r="C98" s="165">
        <v>4500</v>
      </c>
      <c r="D98" s="228"/>
      <c r="E98" s="228"/>
      <c r="F98" s="228">
        <v>0</v>
      </c>
      <c r="G98" s="228">
        <v>0</v>
      </c>
      <c r="H98" s="228"/>
      <c r="I98" s="228"/>
      <c r="J98" s="228"/>
      <c r="K98" s="228"/>
      <c r="L98" s="228"/>
      <c r="M98" s="228"/>
      <c r="N98" s="228"/>
      <c r="O98" s="228"/>
      <c r="P98" s="228">
        <v>0</v>
      </c>
      <c r="Q98" s="228">
        <v>0</v>
      </c>
    </row>
    <row r="99" spans="1:17">
      <c r="A99"/>
      <c r="B99" s="165" t="s">
        <v>270</v>
      </c>
      <c r="C99" s="165">
        <v>4370</v>
      </c>
      <c r="D99" s="228">
        <v>0</v>
      </c>
      <c r="E99" s="228">
        <v>0</v>
      </c>
      <c r="F99" s="228"/>
      <c r="G99" s="228"/>
      <c r="H99" s="228"/>
      <c r="I99" s="228"/>
      <c r="J99" s="228"/>
      <c r="K99" s="228"/>
      <c r="L99" s="228"/>
      <c r="M99" s="228"/>
      <c r="N99" s="228"/>
      <c r="O99" s="228"/>
      <c r="P99" s="228">
        <v>0</v>
      </c>
      <c r="Q99" s="228">
        <v>0</v>
      </c>
    </row>
    <row r="100" spans="1:17">
      <c r="A100"/>
      <c r="B100" s="165" t="s">
        <v>710</v>
      </c>
      <c r="C100" s="165">
        <v>4370</v>
      </c>
      <c r="D100" s="228"/>
      <c r="E100" s="228"/>
      <c r="F100" s="228">
        <v>0</v>
      </c>
      <c r="G100" s="228">
        <v>0</v>
      </c>
      <c r="H100" s="228"/>
      <c r="I100" s="228"/>
      <c r="J100" s="228"/>
      <c r="K100" s="228"/>
      <c r="L100" s="228"/>
      <c r="M100" s="228"/>
      <c r="N100" s="228"/>
      <c r="O100" s="228"/>
      <c r="P100" s="228">
        <v>0</v>
      </c>
      <c r="Q100" s="228">
        <v>0</v>
      </c>
    </row>
    <row r="101" spans="1:17">
      <c r="A101"/>
      <c r="B101" s="165" t="s">
        <v>253</v>
      </c>
      <c r="C101" s="165">
        <v>4500</v>
      </c>
      <c r="D101" s="228"/>
      <c r="E101" s="228"/>
      <c r="F101" s="228"/>
      <c r="G101" s="228"/>
      <c r="H101" s="228"/>
      <c r="I101" s="228"/>
      <c r="J101" s="228">
        <v>2100</v>
      </c>
      <c r="K101" s="228">
        <v>9450000</v>
      </c>
      <c r="L101" s="228"/>
      <c r="M101" s="228"/>
      <c r="N101" s="228"/>
      <c r="O101" s="228"/>
      <c r="P101" s="228">
        <v>2100</v>
      </c>
      <c r="Q101" s="228">
        <v>9450000</v>
      </c>
    </row>
    <row r="102" spans="1:17">
      <c r="A102"/>
      <c r="B102" s="165" t="s">
        <v>1555</v>
      </c>
      <c r="C102" s="165">
        <v>4500</v>
      </c>
      <c r="D102" s="228">
        <v>0</v>
      </c>
      <c r="E102" s="228">
        <v>0</v>
      </c>
      <c r="F102" s="228"/>
      <c r="G102" s="228"/>
      <c r="H102" s="228"/>
      <c r="I102" s="228"/>
      <c r="J102" s="228"/>
      <c r="K102" s="228"/>
      <c r="L102" s="228"/>
      <c r="M102" s="228"/>
      <c r="N102" s="228"/>
      <c r="O102" s="228"/>
      <c r="P102" s="228">
        <v>0</v>
      </c>
      <c r="Q102" s="228">
        <v>0</v>
      </c>
    </row>
    <row r="103" spans="1:17">
      <c r="A103"/>
      <c r="B103" s="165" t="s">
        <v>1567</v>
      </c>
      <c r="C103" s="165">
        <v>4500</v>
      </c>
      <c r="D103" s="228"/>
      <c r="E103" s="228"/>
      <c r="F103" s="228">
        <v>0</v>
      </c>
      <c r="G103" s="228">
        <v>0</v>
      </c>
      <c r="H103" s="228"/>
      <c r="I103" s="228"/>
      <c r="J103" s="228"/>
      <c r="K103" s="228"/>
      <c r="L103" s="228"/>
      <c r="M103" s="228"/>
      <c r="N103" s="228"/>
      <c r="O103" s="228"/>
      <c r="P103" s="228">
        <v>0</v>
      </c>
      <c r="Q103" s="228">
        <v>0</v>
      </c>
    </row>
    <row r="104" spans="1:17">
      <c r="A104"/>
      <c r="B104" s="165" t="s">
        <v>1564</v>
      </c>
      <c r="C104" s="165">
        <v>4500</v>
      </c>
      <c r="D104" s="228">
        <v>0</v>
      </c>
      <c r="E104" s="228">
        <v>0</v>
      </c>
      <c r="F104" s="228"/>
      <c r="G104" s="228"/>
      <c r="H104" s="228"/>
      <c r="I104" s="228"/>
      <c r="J104" s="228">
        <v>2100</v>
      </c>
      <c r="K104" s="228">
        <v>9450000</v>
      </c>
      <c r="L104" s="228"/>
      <c r="M104" s="228"/>
      <c r="N104" s="228"/>
      <c r="O104" s="228"/>
      <c r="P104" s="228">
        <v>2100</v>
      </c>
      <c r="Q104" s="228">
        <v>9450000</v>
      </c>
    </row>
    <row r="105" spans="1:17">
      <c r="A105"/>
      <c r="B105" s="165" t="s">
        <v>817</v>
      </c>
      <c r="C105" s="165">
        <v>4370</v>
      </c>
      <c r="D105" s="228"/>
      <c r="E105" s="228"/>
      <c r="F105" s="228">
        <v>0</v>
      </c>
      <c r="G105" s="228">
        <v>0</v>
      </c>
      <c r="H105" s="228"/>
      <c r="I105" s="228"/>
      <c r="J105" s="228"/>
      <c r="K105" s="228"/>
      <c r="L105" s="228"/>
      <c r="M105" s="228"/>
      <c r="N105" s="228"/>
      <c r="O105" s="228"/>
      <c r="P105" s="228">
        <v>0</v>
      </c>
      <c r="Q105" s="228">
        <v>0</v>
      </c>
    </row>
    <row r="106" spans="1:17">
      <c r="A106"/>
      <c r="B106"/>
      <c r="C106" s="165">
        <v>4500</v>
      </c>
      <c r="D106" s="228">
        <v>0</v>
      </c>
      <c r="E106" s="228">
        <v>0</v>
      </c>
      <c r="F106" s="228"/>
      <c r="G106" s="228"/>
      <c r="H106" s="228"/>
      <c r="I106" s="228"/>
      <c r="J106" s="228"/>
      <c r="K106" s="228"/>
      <c r="L106" s="228"/>
      <c r="M106" s="228"/>
      <c r="N106" s="228"/>
      <c r="O106" s="228"/>
      <c r="P106" s="228">
        <v>0</v>
      </c>
      <c r="Q106" s="228">
        <v>0</v>
      </c>
    </row>
    <row r="107" spans="1:17">
      <c r="A107"/>
      <c r="B107" s="165" t="s">
        <v>158</v>
      </c>
      <c r="C107" s="165">
        <v>4400</v>
      </c>
      <c r="D107" s="228"/>
      <c r="E107" s="228"/>
      <c r="F107" s="228">
        <v>0</v>
      </c>
      <c r="G107" s="228">
        <v>0</v>
      </c>
      <c r="H107" s="228"/>
      <c r="I107" s="228"/>
      <c r="J107" s="228"/>
      <c r="K107" s="228"/>
      <c r="L107" s="228"/>
      <c r="M107" s="228"/>
      <c r="N107" s="228"/>
      <c r="O107" s="228"/>
      <c r="P107" s="228">
        <v>0</v>
      </c>
      <c r="Q107" s="228">
        <v>0</v>
      </c>
    </row>
    <row r="108" spans="1:17">
      <c r="A108"/>
      <c r="B108" s="165" t="s">
        <v>1030</v>
      </c>
      <c r="C108" s="165">
        <v>4370</v>
      </c>
      <c r="D108" s="228"/>
      <c r="E108" s="228"/>
      <c r="F108" s="228">
        <v>0</v>
      </c>
      <c r="G108" s="228">
        <v>0</v>
      </c>
      <c r="H108" s="228"/>
      <c r="I108" s="228"/>
      <c r="J108" s="228"/>
      <c r="K108" s="228"/>
      <c r="L108" s="228"/>
      <c r="M108" s="228"/>
      <c r="N108" s="228"/>
      <c r="O108" s="228"/>
      <c r="P108" s="228">
        <v>0</v>
      </c>
      <c r="Q108" s="228">
        <v>0</v>
      </c>
    </row>
    <row r="109" spans="1:17">
      <c r="A109"/>
      <c r="B109" s="165" t="s">
        <v>1702</v>
      </c>
      <c r="C109" s="165">
        <v>4370</v>
      </c>
      <c r="D109" s="228"/>
      <c r="E109" s="228"/>
      <c r="F109" s="228">
        <v>0</v>
      </c>
      <c r="G109" s="228">
        <v>0</v>
      </c>
      <c r="H109" s="228"/>
      <c r="I109" s="228"/>
      <c r="J109" s="228"/>
      <c r="K109" s="228"/>
      <c r="L109" s="228"/>
      <c r="M109" s="228"/>
      <c r="N109" s="228"/>
      <c r="O109" s="228"/>
      <c r="P109" s="228">
        <v>0</v>
      </c>
      <c r="Q109" s="228">
        <v>0</v>
      </c>
    </row>
    <row r="110" spans="1:17">
      <c r="A110"/>
      <c r="B110" s="165" t="s">
        <v>1142</v>
      </c>
      <c r="C110" s="165">
        <v>4500</v>
      </c>
      <c r="D110" s="228"/>
      <c r="E110" s="228"/>
      <c r="F110" s="228">
        <v>0</v>
      </c>
      <c r="G110" s="228">
        <v>0</v>
      </c>
      <c r="H110" s="228"/>
      <c r="I110" s="228"/>
      <c r="J110" s="228"/>
      <c r="K110" s="228"/>
      <c r="L110" s="228"/>
      <c r="M110" s="228"/>
      <c r="N110" s="228"/>
      <c r="O110" s="228"/>
      <c r="P110" s="228">
        <v>0</v>
      </c>
      <c r="Q110" s="228">
        <v>0</v>
      </c>
    </row>
    <row r="111" spans="1:17">
      <c r="A111"/>
      <c r="B111" s="165" t="s">
        <v>100</v>
      </c>
      <c r="C111" s="165">
        <v>4500</v>
      </c>
      <c r="D111" s="228"/>
      <c r="E111" s="228"/>
      <c r="F111" s="228">
        <v>0</v>
      </c>
      <c r="G111" s="228">
        <v>0</v>
      </c>
      <c r="H111" s="228"/>
      <c r="I111" s="228"/>
      <c r="J111" s="228"/>
      <c r="K111" s="228"/>
      <c r="L111" s="228"/>
      <c r="M111" s="228"/>
      <c r="N111" s="228"/>
      <c r="O111" s="228"/>
      <c r="P111" s="228">
        <v>0</v>
      </c>
      <c r="Q111" s="228">
        <v>0</v>
      </c>
    </row>
    <row r="112" spans="1:17">
      <c r="A112"/>
      <c r="B112" s="165" t="s">
        <v>208</v>
      </c>
      <c r="C112" s="165">
        <v>4370</v>
      </c>
      <c r="D112" s="228"/>
      <c r="E112" s="228"/>
      <c r="F112" s="228">
        <v>0</v>
      </c>
      <c r="G112" s="228">
        <v>0</v>
      </c>
      <c r="H112" s="228"/>
      <c r="I112" s="228"/>
      <c r="J112" s="228"/>
      <c r="K112" s="228"/>
      <c r="L112" s="228"/>
      <c r="M112" s="228"/>
      <c r="N112" s="228"/>
      <c r="O112" s="228"/>
      <c r="P112" s="228">
        <v>0</v>
      </c>
      <c r="Q112" s="228">
        <v>0</v>
      </c>
    </row>
    <row r="113" spans="1:17">
      <c r="A113" s="165" t="s">
        <v>2039</v>
      </c>
      <c r="B113" s="165" t="s">
        <v>270</v>
      </c>
      <c r="C113" s="165">
        <v>6300</v>
      </c>
      <c r="D113" s="228"/>
      <c r="E113" s="228"/>
      <c r="F113" s="228">
        <v>0</v>
      </c>
      <c r="G113" s="228">
        <v>0</v>
      </c>
      <c r="H113" s="228"/>
      <c r="I113" s="228"/>
      <c r="J113" s="228"/>
      <c r="K113" s="228"/>
      <c r="L113" s="228"/>
      <c r="M113" s="228"/>
      <c r="N113" s="228"/>
      <c r="O113" s="228"/>
      <c r="P113" s="228">
        <v>0</v>
      </c>
      <c r="Q113" s="228">
        <v>0</v>
      </c>
    </row>
    <row r="114" spans="1:17">
      <c r="A114"/>
      <c r="B114" s="165" t="s">
        <v>282</v>
      </c>
      <c r="C114" s="165">
        <v>6300</v>
      </c>
      <c r="D114" s="228"/>
      <c r="E114" s="228"/>
      <c r="F114" s="228">
        <v>0</v>
      </c>
      <c r="G114" s="228">
        <v>0</v>
      </c>
      <c r="H114" s="228"/>
      <c r="I114" s="228"/>
      <c r="J114" s="228"/>
      <c r="K114" s="228"/>
      <c r="L114" s="228"/>
      <c r="M114" s="228"/>
      <c r="N114" s="228"/>
      <c r="O114" s="228"/>
      <c r="P114" s="228">
        <v>0</v>
      </c>
      <c r="Q114" s="228">
        <v>0</v>
      </c>
    </row>
    <row r="115" spans="1:17">
      <c r="A115"/>
      <c r="B115" s="165" t="s">
        <v>253</v>
      </c>
      <c r="C115" s="165">
        <v>7000</v>
      </c>
      <c r="D115" s="228"/>
      <c r="E115" s="228"/>
      <c r="F115" s="228">
        <v>0</v>
      </c>
      <c r="G115" s="228">
        <v>0</v>
      </c>
      <c r="H115" s="228"/>
      <c r="I115" s="228"/>
      <c r="J115" s="228"/>
      <c r="K115" s="228"/>
      <c r="L115" s="228"/>
      <c r="M115" s="228"/>
      <c r="N115" s="228"/>
      <c r="O115" s="228"/>
      <c r="P115" s="228">
        <v>0</v>
      </c>
      <c r="Q115" s="228">
        <v>0</v>
      </c>
    </row>
    <row r="116" spans="1:17">
      <c r="A116"/>
      <c r="B116" s="165" t="s">
        <v>66</v>
      </c>
      <c r="C116" s="165">
        <v>6300</v>
      </c>
      <c r="D116" s="228"/>
      <c r="E116" s="228"/>
      <c r="F116" s="228">
        <v>0</v>
      </c>
      <c r="G116" s="228">
        <v>0</v>
      </c>
      <c r="H116" s="228"/>
      <c r="I116" s="228"/>
      <c r="J116" s="228"/>
      <c r="K116" s="228"/>
      <c r="L116" s="228"/>
      <c r="M116" s="228"/>
      <c r="N116" s="228"/>
      <c r="O116" s="228"/>
      <c r="P116" s="228">
        <v>0</v>
      </c>
      <c r="Q116" s="228">
        <v>0</v>
      </c>
    </row>
    <row r="117" spans="1:17">
      <c r="A117"/>
      <c r="B117" s="165" t="s">
        <v>817</v>
      </c>
      <c r="C117" s="165">
        <v>6300</v>
      </c>
      <c r="D117" s="228"/>
      <c r="E117" s="228"/>
      <c r="F117" s="228">
        <v>0</v>
      </c>
      <c r="G117" s="228">
        <v>0</v>
      </c>
      <c r="H117" s="228"/>
      <c r="I117" s="228"/>
      <c r="J117" s="228"/>
      <c r="K117" s="228"/>
      <c r="L117" s="228"/>
      <c r="M117" s="228"/>
      <c r="N117" s="228"/>
      <c r="O117" s="228"/>
      <c r="P117" s="228">
        <v>0</v>
      </c>
      <c r="Q117" s="228">
        <v>0</v>
      </c>
    </row>
    <row r="118" spans="1:17">
      <c r="A118"/>
      <c r="B118" s="165" t="s">
        <v>158</v>
      </c>
      <c r="C118" s="165">
        <v>6300</v>
      </c>
      <c r="D118" s="228"/>
      <c r="E118" s="228"/>
      <c r="F118" s="228">
        <v>0</v>
      </c>
      <c r="G118" s="228">
        <v>0</v>
      </c>
      <c r="H118" s="228"/>
      <c r="I118" s="228"/>
      <c r="J118" s="228"/>
      <c r="K118" s="228"/>
      <c r="L118" s="228"/>
      <c r="M118" s="228"/>
      <c r="N118" s="228"/>
      <c r="O118" s="228"/>
      <c r="P118" s="228">
        <v>0</v>
      </c>
      <c r="Q118" s="228">
        <v>0</v>
      </c>
    </row>
    <row r="119" spans="1:17">
      <c r="A119"/>
      <c r="B119" s="165" t="s">
        <v>1009</v>
      </c>
      <c r="C119" s="165">
        <v>6300</v>
      </c>
      <c r="D119" s="228"/>
      <c r="E119" s="228"/>
      <c r="F119" s="228">
        <v>0</v>
      </c>
      <c r="G119" s="228">
        <v>0</v>
      </c>
      <c r="H119" s="228"/>
      <c r="I119" s="228"/>
      <c r="J119" s="228"/>
      <c r="K119" s="228"/>
      <c r="L119" s="228"/>
      <c r="M119" s="228"/>
      <c r="N119" s="228"/>
      <c r="O119" s="228"/>
      <c r="P119" s="228">
        <v>0</v>
      </c>
      <c r="Q119" s="228">
        <v>0</v>
      </c>
    </row>
    <row r="120" spans="1:17">
      <c r="A120"/>
      <c r="B120"/>
      <c r="C120" s="165">
        <v>6413</v>
      </c>
      <c r="D120" s="228"/>
      <c r="E120" s="228"/>
      <c r="F120" s="228">
        <v>0</v>
      </c>
      <c r="G120" s="228">
        <v>0</v>
      </c>
      <c r="H120" s="228"/>
      <c r="I120" s="228"/>
      <c r="J120" s="228"/>
      <c r="K120" s="228"/>
      <c r="L120" s="228"/>
      <c r="M120" s="228"/>
      <c r="N120" s="228"/>
      <c r="O120" s="228"/>
      <c r="P120" s="228">
        <v>0</v>
      </c>
      <c r="Q120" s="228">
        <v>0</v>
      </c>
    </row>
    <row r="121" spans="1:17">
      <c r="A121"/>
      <c r="B121" s="165" t="s">
        <v>1142</v>
      </c>
      <c r="C121" s="165">
        <v>6300</v>
      </c>
      <c r="D121" s="228"/>
      <c r="E121" s="228"/>
      <c r="F121" s="228">
        <v>0</v>
      </c>
      <c r="G121" s="228">
        <v>0</v>
      </c>
      <c r="H121" s="228"/>
      <c r="I121" s="228"/>
      <c r="J121" s="228"/>
      <c r="K121" s="228"/>
      <c r="L121" s="228"/>
      <c r="M121" s="228"/>
      <c r="N121" s="228"/>
      <c r="O121" s="228"/>
      <c r="P121" s="228">
        <v>0</v>
      </c>
      <c r="Q121" s="228">
        <v>0</v>
      </c>
    </row>
    <row r="122" spans="1:17">
      <c r="A122"/>
      <c r="B122" s="165" t="s">
        <v>1245</v>
      </c>
      <c r="C122" s="165">
        <v>6300</v>
      </c>
      <c r="D122" s="228"/>
      <c r="E122" s="228"/>
      <c r="F122" s="228">
        <v>0</v>
      </c>
      <c r="G122" s="228">
        <v>0</v>
      </c>
      <c r="H122" s="228"/>
      <c r="I122" s="228"/>
      <c r="J122" s="228"/>
      <c r="K122" s="228"/>
      <c r="L122" s="228"/>
      <c r="M122" s="228"/>
      <c r="N122" s="228"/>
      <c r="O122" s="228"/>
      <c r="P122" s="228">
        <v>0</v>
      </c>
      <c r="Q122" s="228">
        <v>0</v>
      </c>
    </row>
    <row r="123" spans="1:17">
      <c r="A123"/>
      <c r="B123" s="165" t="s">
        <v>1026</v>
      </c>
      <c r="C123" s="165">
        <v>6300</v>
      </c>
      <c r="D123" s="228"/>
      <c r="E123" s="228"/>
      <c r="F123" s="228">
        <v>0</v>
      </c>
      <c r="G123" s="228">
        <v>0</v>
      </c>
      <c r="H123" s="228"/>
      <c r="I123" s="228"/>
      <c r="J123" s="228"/>
      <c r="K123" s="228"/>
      <c r="L123" s="228"/>
      <c r="M123" s="228"/>
      <c r="N123" s="228"/>
      <c r="O123" s="228"/>
      <c r="P123" s="228">
        <v>0</v>
      </c>
      <c r="Q123" s="228">
        <v>0</v>
      </c>
    </row>
    <row r="124" spans="1:17">
      <c r="A124"/>
      <c r="B124" s="165" t="s">
        <v>810</v>
      </c>
      <c r="C124" s="165">
        <v>6000</v>
      </c>
      <c r="D124" s="228"/>
      <c r="E124" s="228"/>
      <c r="F124" s="228">
        <v>0</v>
      </c>
      <c r="G124" s="228">
        <v>0</v>
      </c>
      <c r="H124" s="228"/>
      <c r="I124" s="228"/>
      <c r="J124" s="228"/>
      <c r="K124" s="228"/>
      <c r="L124" s="228"/>
      <c r="M124" s="228"/>
      <c r="N124" s="228"/>
      <c r="O124" s="228"/>
      <c r="P124" s="228">
        <v>0</v>
      </c>
      <c r="Q124" s="228">
        <v>0</v>
      </c>
    </row>
    <row r="125" spans="1:17">
      <c r="A125"/>
      <c r="B125" s="165" t="s">
        <v>208</v>
      </c>
      <c r="C125" s="165">
        <v>6300</v>
      </c>
      <c r="D125" s="228">
        <v>0</v>
      </c>
      <c r="E125" s="228">
        <v>0</v>
      </c>
      <c r="F125" s="228"/>
      <c r="G125" s="228"/>
      <c r="H125" s="228"/>
      <c r="I125" s="228"/>
      <c r="J125" s="228"/>
      <c r="K125" s="228"/>
      <c r="L125" s="228"/>
      <c r="M125" s="228"/>
      <c r="N125" s="228"/>
      <c r="O125" s="228"/>
      <c r="P125" s="228">
        <v>0</v>
      </c>
      <c r="Q125" s="228">
        <v>0</v>
      </c>
    </row>
    <row r="126" spans="1:17">
      <c r="A126"/>
      <c r="B126" s="165" t="s">
        <v>251</v>
      </c>
      <c r="C126" s="165">
        <v>6300</v>
      </c>
      <c r="D126" s="228"/>
      <c r="E126" s="228"/>
      <c r="F126" s="228">
        <v>0</v>
      </c>
      <c r="G126" s="228">
        <v>0</v>
      </c>
      <c r="H126" s="228"/>
      <c r="I126" s="228"/>
      <c r="J126" s="228"/>
      <c r="K126" s="228"/>
      <c r="L126" s="228"/>
      <c r="M126" s="228"/>
      <c r="N126" s="228"/>
      <c r="O126" s="228"/>
      <c r="P126" s="228">
        <v>0</v>
      </c>
      <c r="Q126" s="228">
        <v>0</v>
      </c>
    </row>
    <row r="127" spans="1:17">
      <c r="A127"/>
      <c r="B127" s="165" t="s">
        <v>103</v>
      </c>
      <c r="C127" s="165">
        <v>6300</v>
      </c>
      <c r="D127" s="228"/>
      <c r="E127" s="228"/>
      <c r="F127" s="228">
        <v>0</v>
      </c>
      <c r="G127" s="228">
        <v>0</v>
      </c>
      <c r="H127" s="228"/>
      <c r="I127" s="228"/>
      <c r="J127" s="228"/>
      <c r="K127" s="228"/>
      <c r="L127" s="228"/>
      <c r="M127" s="228"/>
      <c r="N127" s="228"/>
      <c r="O127" s="228"/>
      <c r="P127" s="228">
        <v>0</v>
      </c>
      <c r="Q127" s="228">
        <v>0</v>
      </c>
    </row>
    <row r="128" spans="1:17">
      <c r="A128"/>
      <c r="B128"/>
      <c r="C128" s="165">
        <v>6800</v>
      </c>
      <c r="D128" s="228"/>
      <c r="E128" s="228"/>
      <c r="F128" s="228">
        <v>0</v>
      </c>
      <c r="G128" s="228">
        <v>0</v>
      </c>
      <c r="H128" s="228"/>
      <c r="I128" s="228"/>
      <c r="J128" s="228"/>
      <c r="K128" s="228"/>
      <c r="L128" s="228"/>
      <c r="M128" s="228"/>
      <c r="N128" s="228"/>
      <c r="O128" s="228"/>
      <c r="P128" s="228">
        <v>0</v>
      </c>
      <c r="Q128" s="228">
        <v>0</v>
      </c>
    </row>
    <row r="129" spans="1:17">
      <c r="A129"/>
      <c r="B129"/>
      <c r="C129" s="165">
        <v>6900</v>
      </c>
      <c r="D129" s="228"/>
      <c r="E129" s="228"/>
      <c r="F129" s="228">
        <v>0</v>
      </c>
      <c r="G129" s="228">
        <v>0</v>
      </c>
      <c r="H129" s="228"/>
      <c r="I129" s="228"/>
      <c r="J129" s="228"/>
      <c r="K129" s="228"/>
      <c r="L129" s="228"/>
      <c r="M129" s="228"/>
      <c r="N129" s="228"/>
      <c r="O129" s="228"/>
      <c r="P129" s="228">
        <v>0</v>
      </c>
      <c r="Q129" s="228">
        <v>0</v>
      </c>
    </row>
    <row r="130" spans="1:17">
      <c r="A130"/>
      <c r="B130"/>
      <c r="C130" s="165">
        <v>7000</v>
      </c>
      <c r="D130" s="228"/>
      <c r="E130" s="228"/>
      <c r="F130" s="228"/>
      <c r="G130" s="228"/>
      <c r="H130" s="228">
        <v>30000</v>
      </c>
      <c r="I130" s="228">
        <v>210000000</v>
      </c>
      <c r="J130" s="228"/>
      <c r="K130" s="228"/>
      <c r="L130" s="228"/>
      <c r="M130" s="228"/>
      <c r="N130" s="228"/>
      <c r="O130" s="228"/>
      <c r="P130" s="228">
        <v>30000</v>
      </c>
      <c r="Q130" s="228">
        <v>210000000</v>
      </c>
    </row>
    <row r="131" spans="1:17">
      <c r="A131" s="165" t="s">
        <v>2040</v>
      </c>
      <c r="B131" s="165" t="s">
        <v>1627</v>
      </c>
      <c r="C131" s="165">
        <v>8700</v>
      </c>
      <c r="D131" s="228"/>
      <c r="E131" s="228"/>
      <c r="F131" s="228"/>
      <c r="G131" s="228"/>
      <c r="H131" s="228"/>
      <c r="I131" s="228"/>
      <c r="J131" s="228">
        <v>300</v>
      </c>
      <c r="K131" s="228">
        <v>2610000</v>
      </c>
      <c r="L131" s="228"/>
      <c r="M131" s="228"/>
      <c r="N131" s="228"/>
      <c r="O131" s="228"/>
      <c r="P131" s="228">
        <v>300</v>
      </c>
      <c r="Q131" s="228">
        <v>2610000</v>
      </c>
    </row>
    <row r="132" spans="1:17">
      <c r="A132"/>
      <c r="B132"/>
      <c r="C132" s="165">
        <v>8800</v>
      </c>
      <c r="D132" s="228">
        <v>0</v>
      </c>
      <c r="E132" s="228">
        <v>0</v>
      </c>
      <c r="F132" s="228"/>
      <c r="G132" s="228"/>
      <c r="H132" s="228"/>
      <c r="I132" s="228"/>
      <c r="J132" s="228"/>
      <c r="K132" s="228"/>
      <c r="L132" s="228"/>
      <c r="M132" s="228"/>
      <c r="N132" s="228"/>
      <c r="O132" s="228"/>
      <c r="P132" s="228">
        <v>0</v>
      </c>
      <c r="Q132" s="228">
        <v>0</v>
      </c>
    </row>
    <row r="133" spans="1:17">
      <c r="A133"/>
      <c r="B133"/>
      <c r="C133" s="165">
        <v>8900</v>
      </c>
      <c r="D133" s="228">
        <v>0</v>
      </c>
      <c r="E133" s="228">
        <v>0</v>
      </c>
      <c r="F133" s="228"/>
      <c r="G133" s="228"/>
      <c r="H133" s="228"/>
      <c r="I133" s="228"/>
      <c r="J133" s="228"/>
      <c r="K133" s="228"/>
      <c r="L133" s="228"/>
      <c r="M133" s="228"/>
      <c r="N133" s="228"/>
      <c r="O133" s="228"/>
      <c r="P133" s="228">
        <v>0</v>
      </c>
      <c r="Q133" s="228">
        <v>0</v>
      </c>
    </row>
    <row r="134" spans="1:17">
      <c r="A134"/>
      <c r="B134"/>
      <c r="C134" s="165">
        <v>9000</v>
      </c>
      <c r="D134" s="228">
        <v>0</v>
      </c>
      <c r="E134" s="228">
        <v>0</v>
      </c>
      <c r="F134" s="228"/>
      <c r="G134" s="228"/>
      <c r="H134" s="228"/>
      <c r="I134" s="228"/>
      <c r="J134" s="228"/>
      <c r="K134" s="228"/>
      <c r="L134" s="228"/>
      <c r="M134" s="228"/>
      <c r="N134" s="228"/>
      <c r="O134" s="228"/>
      <c r="P134" s="228">
        <v>0</v>
      </c>
      <c r="Q134" s="228">
        <v>0</v>
      </c>
    </row>
    <row r="135" spans="1:17">
      <c r="A135"/>
      <c r="B135"/>
      <c r="C135" s="165">
        <v>9100</v>
      </c>
      <c r="D135" s="228">
        <v>0</v>
      </c>
      <c r="E135" s="228">
        <v>0</v>
      </c>
      <c r="F135" s="228"/>
      <c r="G135" s="228"/>
      <c r="H135" s="228"/>
      <c r="I135" s="228"/>
      <c r="J135" s="228"/>
      <c r="K135" s="228"/>
      <c r="L135" s="228"/>
      <c r="M135" s="228"/>
      <c r="N135" s="228"/>
      <c r="O135" s="228"/>
      <c r="P135" s="228">
        <v>0</v>
      </c>
      <c r="Q135" s="228">
        <v>0</v>
      </c>
    </row>
    <row r="136" spans="1:17">
      <c r="A136"/>
      <c r="B136" s="165" t="s">
        <v>253</v>
      </c>
      <c r="C136" s="165">
        <v>9000</v>
      </c>
      <c r="D136" s="228"/>
      <c r="E136" s="228"/>
      <c r="F136" s="228"/>
      <c r="G136" s="228"/>
      <c r="H136" s="228"/>
      <c r="I136" s="228"/>
      <c r="J136" s="228"/>
      <c r="K136" s="228"/>
      <c r="L136" s="228">
        <v>4650</v>
      </c>
      <c r="M136" s="228">
        <v>41850000</v>
      </c>
      <c r="N136" s="228"/>
      <c r="O136" s="228"/>
      <c r="P136" s="228">
        <v>4650</v>
      </c>
      <c r="Q136" s="228">
        <v>41850000</v>
      </c>
    </row>
    <row r="137" spans="1:17">
      <c r="A137" s="165" t="s">
        <v>2041</v>
      </c>
      <c r="B137" s="165" t="s">
        <v>188</v>
      </c>
      <c r="C137" s="165">
        <v>13000</v>
      </c>
      <c r="D137" s="228"/>
      <c r="E137" s="228"/>
      <c r="F137" s="228"/>
      <c r="G137" s="228"/>
      <c r="H137" s="228"/>
      <c r="I137" s="228"/>
      <c r="J137" s="228"/>
      <c r="K137" s="228"/>
      <c r="L137" s="228">
        <v>10000</v>
      </c>
      <c r="M137" s="228">
        <v>130000000</v>
      </c>
      <c r="N137" s="228"/>
      <c r="O137" s="228"/>
      <c r="P137" s="228">
        <v>10000</v>
      </c>
      <c r="Q137" s="228">
        <v>130000000</v>
      </c>
    </row>
    <row r="138" spans="1:17">
      <c r="A138" s="165" t="s">
        <v>2042</v>
      </c>
      <c r="B138" s="165" t="s">
        <v>205</v>
      </c>
      <c r="C138" s="165">
        <v>10800</v>
      </c>
      <c r="D138" s="228"/>
      <c r="E138" s="228"/>
      <c r="F138" s="228"/>
      <c r="G138" s="228"/>
      <c r="H138" s="228"/>
      <c r="I138" s="228"/>
      <c r="J138" s="228"/>
      <c r="K138" s="228"/>
      <c r="L138" s="228">
        <v>2000</v>
      </c>
      <c r="M138" s="228">
        <v>21600000</v>
      </c>
      <c r="N138" s="228"/>
      <c r="O138" s="228"/>
      <c r="P138" s="228">
        <v>2000</v>
      </c>
      <c r="Q138" s="228">
        <v>21600000</v>
      </c>
    </row>
    <row r="139" spans="1:17">
      <c r="A139"/>
      <c r="B139"/>
      <c r="C139" s="165">
        <v>11000</v>
      </c>
      <c r="D139" s="228"/>
      <c r="E139" s="228"/>
      <c r="F139" s="228"/>
      <c r="G139" s="228"/>
      <c r="H139" s="228"/>
      <c r="I139" s="228"/>
      <c r="J139" s="228"/>
      <c r="K139" s="228"/>
      <c r="L139" s="228">
        <v>2000</v>
      </c>
      <c r="M139" s="228">
        <v>22000000</v>
      </c>
      <c r="N139" s="228"/>
      <c r="O139" s="228"/>
      <c r="P139" s="228">
        <v>2000</v>
      </c>
      <c r="Q139" s="228">
        <v>22000000</v>
      </c>
    </row>
    <row r="140" spans="1:17">
      <c r="A140"/>
      <c r="B140" s="165" t="s">
        <v>473</v>
      </c>
      <c r="C140" s="165">
        <v>10800</v>
      </c>
      <c r="D140" s="228"/>
      <c r="E140" s="228"/>
      <c r="F140" s="228"/>
      <c r="G140" s="228"/>
      <c r="H140" s="228"/>
      <c r="I140" s="228"/>
      <c r="J140" s="228"/>
      <c r="K140" s="228"/>
      <c r="L140" s="228">
        <v>5000</v>
      </c>
      <c r="M140" s="228">
        <v>54000000</v>
      </c>
      <c r="N140" s="228"/>
      <c r="O140" s="228"/>
      <c r="P140" s="228">
        <v>5000</v>
      </c>
      <c r="Q140" s="228">
        <v>54000000</v>
      </c>
    </row>
    <row r="141" spans="1:17">
      <c r="A141"/>
      <c r="B141" s="165" t="s">
        <v>911</v>
      </c>
      <c r="C141" s="165">
        <v>11000</v>
      </c>
      <c r="D141" s="228">
        <v>0</v>
      </c>
      <c r="E141" s="228">
        <v>0</v>
      </c>
      <c r="F141" s="228"/>
      <c r="G141" s="228"/>
      <c r="H141" s="228"/>
      <c r="I141" s="228"/>
      <c r="J141" s="228"/>
      <c r="K141" s="228"/>
      <c r="L141" s="228"/>
      <c r="M141" s="228"/>
      <c r="N141" s="228"/>
      <c r="O141" s="228"/>
      <c r="P141" s="228">
        <v>0</v>
      </c>
      <c r="Q141" s="228">
        <v>0</v>
      </c>
    </row>
    <row r="142" spans="1:17">
      <c r="A142"/>
      <c r="B142" s="165" t="s">
        <v>274</v>
      </c>
      <c r="C142" s="165">
        <v>10800</v>
      </c>
      <c r="D142" s="228"/>
      <c r="E142" s="228"/>
      <c r="F142" s="228"/>
      <c r="G142" s="228"/>
      <c r="H142" s="228"/>
      <c r="I142" s="228"/>
      <c r="J142" s="228"/>
      <c r="K142" s="228"/>
      <c r="L142" s="228">
        <v>5000</v>
      </c>
      <c r="M142" s="228">
        <v>54000000</v>
      </c>
      <c r="N142" s="228"/>
      <c r="O142" s="228"/>
      <c r="P142" s="228">
        <v>5000</v>
      </c>
      <c r="Q142" s="228">
        <v>54000000</v>
      </c>
    </row>
    <row r="143" spans="1:17">
      <c r="A143"/>
      <c r="B143" s="165" t="s">
        <v>270</v>
      </c>
      <c r="C143" s="165">
        <v>11000</v>
      </c>
      <c r="D143" s="228"/>
      <c r="E143" s="228"/>
      <c r="F143" s="228"/>
      <c r="G143" s="228"/>
      <c r="H143" s="228"/>
      <c r="I143" s="228"/>
      <c r="J143" s="228"/>
      <c r="K143" s="228"/>
      <c r="L143" s="228">
        <v>3000</v>
      </c>
      <c r="M143" s="228">
        <v>33000000</v>
      </c>
      <c r="N143" s="228"/>
      <c r="O143" s="228"/>
      <c r="P143" s="228">
        <v>3000</v>
      </c>
      <c r="Q143" s="228">
        <v>33000000</v>
      </c>
    </row>
    <row r="144" spans="1:17">
      <c r="A144"/>
      <c r="B144" s="165" t="s">
        <v>710</v>
      </c>
      <c r="C144" s="165">
        <v>10800</v>
      </c>
      <c r="D144" s="228"/>
      <c r="E144" s="228"/>
      <c r="F144" s="228"/>
      <c r="G144" s="228"/>
      <c r="H144" s="228"/>
      <c r="I144" s="228"/>
      <c r="J144" s="228"/>
      <c r="K144" s="228"/>
      <c r="L144" s="228">
        <v>10000</v>
      </c>
      <c r="M144" s="228">
        <v>108000000</v>
      </c>
      <c r="N144" s="228"/>
      <c r="O144" s="228"/>
      <c r="P144" s="228">
        <v>10000</v>
      </c>
      <c r="Q144" s="228">
        <v>108000000</v>
      </c>
    </row>
    <row r="145" spans="1:17">
      <c r="A145"/>
      <c r="B145" s="165" t="s">
        <v>1237</v>
      </c>
      <c r="C145" s="165">
        <v>11000</v>
      </c>
      <c r="D145" s="228"/>
      <c r="E145" s="228"/>
      <c r="F145" s="228"/>
      <c r="G145" s="228"/>
      <c r="H145" s="228"/>
      <c r="I145" s="228"/>
      <c r="J145" s="228"/>
      <c r="K145" s="228"/>
      <c r="L145" s="228">
        <v>6000</v>
      </c>
      <c r="M145" s="228">
        <v>66000000</v>
      </c>
      <c r="N145" s="228"/>
      <c r="O145" s="228"/>
      <c r="P145" s="228">
        <v>6000</v>
      </c>
      <c r="Q145" s="228">
        <v>66000000</v>
      </c>
    </row>
    <row r="146" spans="1:17">
      <c r="A146"/>
      <c r="B146" s="165" t="s">
        <v>1009</v>
      </c>
      <c r="C146" s="165">
        <v>10800</v>
      </c>
      <c r="D146" s="228"/>
      <c r="E146" s="228"/>
      <c r="F146" s="228"/>
      <c r="G146" s="228"/>
      <c r="H146" s="228"/>
      <c r="I146" s="228"/>
      <c r="J146" s="228"/>
      <c r="K146" s="228"/>
      <c r="L146" s="228">
        <v>10000</v>
      </c>
      <c r="M146" s="228">
        <v>108000000</v>
      </c>
      <c r="N146" s="228"/>
      <c r="O146" s="228"/>
      <c r="P146" s="228">
        <v>10000</v>
      </c>
      <c r="Q146" s="228">
        <v>108000000</v>
      </c>
    </row>
    <row r="147" spans="1:17">
      <c r="A147"/>
      <c r="B147" s="165" t="s">
        <v>103</v>
      </c>
      <c r="C147" s="165">
        <v>10800</v>
      </c>
      <c r="D147" s="228"/>
      <c r="E147" s="228"/>
      <c r="F147" s="228"/>
      <c r="G147" s="228"/>
      <c r="H147" s="228"/>
      <c r="I147" s="228"/>
      <c r="J147" s="228"/>
      <c r="K147" s="228"/>
      <c r="L147" s="228">
        <v>30000</v>
      </c>
      <c r="M147" s="228">
        <v>324000000</v>
      </c>
      <c r="N147" s="228"/>
      <c r="O147" s="228"/>
      <c r="P147" s="228">
        <v>30000</v>
      </c>
      <c r="Q147" s="228">
        <v>324000000</v>
      </c>
    </row>
    <row r="148" spans="1:17">
      <c r="A148"/>
      <c r="B148"/>
      <c r="C148" s="165">
        <v>11000</v>
      </c>
      <c r="D148" s="228"/>
      <c r="E148" s="228"/>
      <c r="F148" s="228"/>
      <c r="G148" s="228"/>
      <c r="H148" s="228"/>
      <c r="I148" s="228"/>
      <c r="J148" s="228"/>
      <c r="K148" s="228"/>
      <c r="L148" s="228">
        <v>10000</v>
      </c>
      <c r="M148" s="228">
        <v>110000000</v>
      </c>
      <c r="N148" s="228"/>
      <c r="O148" s="228"/>
      <c r="P148" s="228">
        <v>10000</v>
      </c>
      <c r="Q148" s="228">
        <v>110000000</v>
      </c>
    </row>
    <row r="149" spans="1:17">
      <c r="A149" s="165" t="s">
        <v>2043</v>
      </c>
      <c r="B149" s="165" t="s">
        <v>921</v>
      </c>
      <c r="C149" s="165">
        <v>11600</v>
      </c>
      <c r="D149" s="228"/>
      <c r="E149" s="228"/>
      <c r="F149" s="228"/>
      <c r="G149" s="228"/>
      <c r="H149" s="228"/>
      <c r="I149" s="228"/>
      <c r="J149" s="228"/>
      <c r="K149" s="228"/>
      <c r="L149" s="228">
        <v>8000</v>
      </c>
      <c r="M149" s="228">
        <v>92800000</v>
      </c>
      <c r="N149" s="228"/>
      <c r="O149" s="228"/>
      <c r="P149" s="228">
        <v>8000</v>
      </c>
      <c r="Q149" s="228">
        <v>92800000</v>
      </c>
    </row>
    <row r="150" spans="1:17">
      <c r="A150" s="165" t="s">
        <v>2044</v>
      </c>
      <c r="B150" s="165" t="s">
        <v>282</v>
      </c>
      <c r="C150" s="165">
        <v>11600</v>
      </c>
      <c r="D150" s="228"/>
      <c r="E150" s="228"/>
      <c r="F150" s="228"/>
      <c r="G150" s="228"/>
      <c r="H150" s="228"/>
      <c r="I150" s="228"/>
      <c r="J150" s="228"/>
      <c r="K150" s="228"/>
      <c r="L150" s="228">
        <v>5015</v>
      </c>
      <c r="M150" s="228">
        <v>58174000</v>
      </c>
      <c r="N150" s="228"/>
      <c r="O150" s="228"/>
      <c r="P150" s="228">
        <v>5015</v>
      </c>
      <c r="Q150" s="228">
        <v>58174000</v>
      </c>
    </row>
    <row r="151" spans="1:17">
      <c r="A151"/>
      <c r="B151" s="165" t="s">
        <v>921</v>
      </c>
      <c r="C151" s="165">
        <v>11600</v>
      </c>
      <c r="D151" s="228"/>
      <c r="E151" s="228"/>
      <c r="F151" s="228"/>
      <c r="G151" s="228"/>
      <c r="H151" s="228"/>
      <c r="I151" s="228"/>
      <c r="J151" s="228"/>
      <c r="K151" s="228"/>
      <c r="L151" s="228">
        <v>7225</v>
      </c>
      <c r="M151" s="228">
        <v>83810000</v>
      </c>
      <c r="N151" s="228"/>
      <c r="O151" s="228"/>
      <c r="P151" s="228">
        <v>7225</v>
      </c>
      <c r="Q151" s="228">
        <v>83810000</v>
      </c>
    </row>
    <row r="152" spans="1:17">
      <c r="A152" s="165" t="s">
        <v>2045</v>
      </c>
      <c r="B152" s="165" t="s">
        <v>1163</v>
      </c>
      <c r="C152" s="165">
        <v>3000</v>
      </c>
      <c r="D152" s="228"/>
      <c r="E152" s="228"/>
      <c r="F152" s="228"/>
      <c r="G152" s="228"/>
      <c r="H152" s="228"/>
      <c r="I152" s="228"/>
      <c r="J152" s="228">
        <v>20000</v>
      </c>
      <c r="K152" s="228">
        <v>60000000</v>
      </c>
      <c r="L152" s="228"/>
      <c r="M152" s="228"/>
      <c r="N152" s="228"/>
      <c r="O152" s="228"/>
      <c r="P152" s="228">
        <v>20000</v>
      </c>
      <c r="Q152" s="228">
        <v>60000000</v>
      </c>
    </row>
    <row r="153" spans="1:17">
      <c r="A153" s="165" t="s">
        <v>2046</v>
      </c>
      <c r="B153" s="165" t="s">
        <v>1163</v>
      </c>
      <c r="C153" s="165">
        <v>4500</v>
      </c>
      <c r="D153" s="228"/>
      <c r="E153" s="228"/>
      <c r="F153" s="228"/>
      <c r="G153" s="228"/>
      <c r="H153" s="228"/>
      <c r="I153" s="228"/>
      <c r="J153" s="228">
        <v>30000</v>
      </c>
      <c r="K153" s="228">
        <v>135000000</v>
      </c>
      <c r="L153" s="228"/>
      <c r="M153" s="228"/>
      <c r="N153" s="228"/>
      <c r="O153" s="228"/>
      <c r="P153" s="228">
        <v>30000</v>
      </c>
      <c r="Q153" s="228">
        <v>135000000</v>
      </c>
    </row>
    <row r="154" spans="1:17">
      <c r="A154" s="165" t="s">
        <v>2047</v>
      </c>
      <c r="B154" s="165" t="s">
        <v>1241</v>
      </c>
      <c r="C154" s="165" t="s">
        <v>385</v>
      </c>
      <c r="D154" s="228">
        <v>0</v>
      </c>
      <c r="E154" s="228">
        <v>0</v>
      </c>
      <c r="F154" s="228"/>
      <c r="G154" s="228"/>
      <c r="H154" s="228"/>
      <c r="I154" s="228"/>
      <c r="J154" s="228"/>
      <c r="K154" s="228"/>
      <c r="L154" s="228"/>
      <c r="M154" s="228"/>
      <c r="N154" s="228"/>
      <c r="O154" s="228"/>
      <c r="P154" s="228">
        <v>0</v>
      </c>
      <c r="Q154" s="228">
        <v>0</v>
      </c>
    </row>
    <row r="155" spans="1:17">
      <c r="A155" s="165" t="s">
        <v>2048</v>
      </c>
      <c r="B155" s="165" t="s">
        <v>25</v>
      </c>
      <c r="C155" s="165">
        <v>6200</v>
      </c>
      <c r="D155" s="228"/>
      <c r="E155" s="228"/>
      <c r="F155" s="228">
        <v>0</v>
      </c>
      <c r="G155" s="228">
        <v>0</v>
      </c>
      <c r="H155" s="228"/>
      <c r="I155" s="228"/>
      <c r="J155" s="228"/>
      <c r="K155" s="228"/>
      <c r="L155" s="228"/>
      <c r="M155" s="228"/>
      <c r="N155" s="228"/>
      <c r="O155" s="228"/>
      <c r="P155" s="228">
        <v>0</v>
      </c>
      <c r="Q155" s="228">
        <v>0</v>
      </c>
    </row>
    <row r="156" spans="1:17">
      <c r="A156"/>
      <c r="B156"/>
      <c r="C156" s="165">
        <v>6428</v>
      </c>
      <c r="D156" s="228"/>
      <c r="E156" s="228"/>
      <c r="F156" s="228"/>
      <c r="G156" s="228"/>
      <c r="H156" s="228"/>
      <c r="I156" s="228"/>
      <c r="J156" s="228">
        <v>7050</v>
      </c>
      <c r="K156" s="228">
        <v>45317400</v>
      </c>
      <c r="L156" s="228"/>
      <c r="M156" s="228"/>
      <c r="N156" s="228"/>
      <c r="O156" s="228"/>
      <c r="P156" s="228">
        <v>7050</v>
      </c>
      <c r="Q156" s="228">
        <v>45317400</v>
      </c>
    </row>
    <row r="157" spans="1:17">
      <c r="A157" s="165" t="s">
        <v>2049</v>
      </c>
      <c r="B157" s="165" t="s">
        <v>1086</v>
      </c>
      <c r="C157" s="165">
        <v>3500</v>
      </c>
      <c r="D157" s="228"/>
      <c r="E157" s="228"/>
      <c r="F157" s="228"/>
      <c r="G157" s="228"/>
      <c r="H157" s="228"/>
      <c r="I157" s="228"/>
      <c r="J157" s="228"/>
      <c r="K157" s="228"/>
      <c r="L157" s="228">
        <v>5000</v>
      </c>
      <c r="M157" s="228">
        <v>17500000</v>
      </c>
      <c r="N157" s="228"/>
      <c r="O157" s="228"/>
      <c r="P157" s="228">
        <v>5000</v>
      </c>
      <c r="Q157" s="228">
        <v>17500000</v>
      </c>
    </row>
    <row r="158" spans="1:17">
      <c r="A158" s="165" t="s">
        <v>2050</v>
      </c>
      <c r="B158" s="165" t="s">
        <v>25</v>
      </c>
      <c r="C158" s="165">
        <v>6000</v>
      </c>
      <c r="D158" s="228">
        <v>0</v>
      </c>
      <c r="E158" s="228">
        <v>0</v>
      </c>
      <c r="F158" s="228"/>
      <c r="G158" s="228"/>
      <c r="H158" s="228"/>
      <c r="I158" s="228"/>
      <c r="J158" s="228"/>
      <c r="K158" s="228"/>
      <c r="L158" s="228"/>
      <c r="M158" s="228"/>
      <c r="N158" s="228"/>
      <c r="O158" s="228"/>
      <c r="P158" s="228">
        <v>0</v>
      </c>
      <c r="Q158" s="228">
        <v>0</v>
      </c>
    </row>
    <row r="159" spans="1:17">
      <c r="A159"/>
      <c r="B159"/>
      <c r="C159" s="165">
        <v>6171</v>
      </c>
      <c r="D159" s="228"/>
      <c r="E159" s="228"/>
      <c r="F159" s="228"/>
      <c r="G159" s="228"/>
      <c r="H159" s="228"/>
      <c r="I159" s="228"/>
      <c r="J159" s="228">
        <v>2000</v>
      </c>
      <c r="K159" s="228">
        <v>12342000</v>
      </c>
      <c r="L159" s="228"/>
      <c r="M159" s="228"/>
      <c r="N159" s="228"/>
      <c r="O159" s="228"/>
      <c r="P159" s="228">
        <v>2000</v>
      </c>
      <c r="Q159" s="228">
        <v>12342000</v>
      </c>
    </row>
    <row r="160" spans="1:17">
      <c r="A160"/>
      <c r="B160"/>
      <c r="C160" s="165">
        <v>6299</v>
      </c>
      <c r="D160" s="228"/>
      <c r="E160" s="228"/>
      <c r="F160" s="228"/>
      <c r="G160" s="228"/>
      <c r="H160" s="228"/>
      <c r="I160" s="228"/>
      <c r="J160" s="228">
        <v>5000</v>
      </c>
      <c r="K160" s="228">
        <v>31495000</v>
      </c>
      <c r="L160" s="228"/>
      <c r="M160" s="228"/>
      <c r="N160" s="228"/>
      <c r="O160" s="228"/>
      <c r="P160" s="228">
        <v>5000</v>
      </c>
      <c r="Q160" s="228">
        <v>31495000</v>
      </c>
    </row>
    <row r="161" spans="1:17">
      <c r="A161"/>
      <c r="B161" s="165" t="s">
        <v>195</v>
      </c>
      <c r="C161" s="165">
        <v>6000</v>
      </c>
      <c r="D161" s="228"/>
      <c r="E161" s="228"/>
      <c r="F161" s="228">
        <v>0</v>
      </c>
      <c r="G161" s="228">
        <v>0</v>
      </c>
      <c r="H161" s="228"/>
      <c r="I161" s="228"/>
      <c r="J161" s="228"/>
      <c r="K161" s="228"/>
      <c r="L161" s="228"/>
      <c r="M161" s="228"/>
      <c r="N161" s="228"/>
      <c r="O161" s="228"/>
      <c r="P161" s="228">
        <v>0</v>
      </c>
      <c r="Q161" s="228">
        <v>0</v>
      </c>
    </row>
    <row r="162" spans="1:17">
      <c r="A162"/>
      <c r="B162" s="165" t="s">
        <v>1245</v>
      </c>
      <c r="C162" s="165">
        <v>6300</v>
      </c>
      <c r="D162" s="228"/>
      <c r="E162" s="228"/>
      <c r="F162" s="228">
        <v>0</v>
      </c>
      <c r="G162" s="228">
        <v>0</v>
      </c>
      <c r="H162" s="228"/>
      <c r="I162" s="228"/>
      <c r="J162" s="228"/>
      <c r="K162" s="228"/>
      <c r="L162" s="228"/>
      <c r="M162" s="228"/>
      <c r="N162" s="228"/>
      <c r="O162" s="228"/>
      <c r="P162" s="228">
        <v>0</v>
      </c>
      <c r="Q162" s="228">
        <v>0</v>
      </c>
    </row>
    <row r="163" spans="1:17">
      <c r="A163" s="165" t="s">
        <v>2051</v>
      </c>
      <c r="B163" s="165" t="s">
        <v>66</v>
      </c>
      <c r="C163" s="165">
        <v>8300</v>
      </c>
      <c r="D163" s="228"/>
      <c r="E163" s="228"/>
      <c r="F163" s="228"/>
      <c r="G163" s="228"/>
      <c r="H163" s="228"/>
      <c r="I163" s="228"/>
      <c r="J163" s="228"/>
      <c r="K163" s="228"/>
      <c r="L163" s="228">
        <v>10050</v>
      </c>
      <c r="M163" s="228">
        <v>83415000</v>
      </c>
      <c r="N163" s="228"/>
      <c r="O163" s="228"/>
      <c r="P163" s="228">
        <v>10050</v>
      </c>
      <c r="Q163" s="228">
        <v>83415000</v>
      </c>
    </row>
    <row r="164" spans="1:17">
      <c r="A164" s="165" t="s">
        <v>2052</v>
      </c>
      <c r="B164" s="165" t="s">
        <v>1245</v>
      </c>
      <c r="C164" s="165">
        <v>8000</v>
      </c>
      <c r="D164" s="228"/>
      <c r="E164" s="228"/>
      <c r="F164" s="228">
        <v>0</v>
      </c>
      <c r="G164" s="228">
        <v>0</v>
      </c>
      <c r="H164" s="228"/>
      <c r="I164" s="228"/>
      <c r="J164" s="228"/>
      <c r="K164" s="228"/>
      <c r="L164" s="228"/>
      <c r="M164" s="228"/>
      <c r="N164" s="228"/>
      <c r="O164" s="228"/>
      <c r="P164" s="228">
        <v>0</v>
      </c>
      <c r="Q164" s="228">
        <v>0</v>
      </c>
    </row>
    <row r="165" spans="1:17">
      <c r="A165" s="165" t="s">
        <v>2053</v>
      </c>
      <c r="B165" s="165" t="s">
        <v>1702</v>
      </c>
      <c r="C165" s="165">
        <v>8000</v>
      </c>
      <c r="D165" s="228"/>
      <c r="E165" s="228"/>
      <c r="F165" s="228">
        <v>0</v>
      </c>
      <c r="G165" s="228">
        <v>0</v>
      </c>
      <c r="H165" s="228"/>
      <c r="I165" s="228"/>
      <c r="J165" s="228"/>
      <c r="K165" s="228"/>
      <c r="L165" s="228"/>
      <c r="M165" s="228"/>
      <c r="N165" s="228"/>
      <c r="O165" s="228"/>
      <c r="P165" s="228">
        <v>0</v>
      </c>
      <c r="Q165" s="228">
        <v>0</v>
      </c>
    </row>
    <row r="166" spans="1:17">
      <c r="A166" s="165" t="s">
        <v>2054</v>
      </c>
      <c r="B166" s="165" t="s">
        <v>1245</v>
      </c>
      <c r="C166" s="165">
        <v>8088</v>
      </c>
      <c r="D166" s="228"/>
      <c r="E166" s="228"/>
      <c r="F166" s="228"/>
      <c r="G166" s="228"/>
      <c r="H166" s="228"/>
      <c r="I166" s="228"/>
      <c r="J166" s="228">
        <v>800</v>
      </c>
      <c r="K166" s="228">
        <v>6470400</v>
      </c>
      <c r="L166" s="228"/>
      <c r="M166" s="228"/>
      <c r="N166" s="228"/>
      <c r="O166" s="228"/>
      <c r="P166" s="228">
        <v>800</v>
      </c>
      <c r="Q166" s="228">
        <v>6470400</v>
      </c>
    </row>
    <row r="167" spans="1:17">
      <c r="A167" s="165" t="s">
        <v>2055</v>
      </c>
      <c r="B167" s="165" t="s">
        <v>1086</v>
      </c>
      <c r="C167" s="165">
        <v>3500</v>
      </c>
      <c r="D167" s="228"/>
      <c r="E167" s="228"/>
      <c r="F167" s="228"/>
      <c r="G167" s="228"/>
      <c r="H167" s="228"/>
      <c r="I167" s="228"/>
      <c r="J167" s="228"/>
      <c r="K167" s="228"/>
      <c r="L167" s="228">
        <v>24000</v>
      </c>
      <c r="M167" s="228">
        <v>84000000</v>
      </c>
      <c r="N167" s="228"/>
      <c r="O167" s="228"/>
      <c r="P167" s="228">
        <v>24000</v>
      </c>
      <c r="Q167" s="228">
        <v>84000000</v>
      </c>
    </row>
    <row r="168" spans="1:17">
      <c r="A168" s="165" t="s">
        <v>2056</v>
      </c>
      <c r="B168" s="165" t="s">
        <v>1086</v>
      </c>
      <c r="C168" s="165">
        <v>5200</v>
      </c>
      <c r="D168" s="228"/>
      <c r="E168" s="228"/>
      <c r="F168" s="228"/>
      <c r="G168" s="228"/>
      <c r="H168" s="228"/>
      <c r="I168" s="228"/>
      <c r="J168" s="228"/>
      <c r="K168" s="228"/>
      <c r="L168" s="228">
        <v>4000</v>
      </c>
      <c r="M168" s="228">
        <v>20800000</v>
      </c>
      <c r="N168" s="228"/>
      <c r="O168" s="228"/>
      <c r="P168" s="228">
        <v>4000</v>
      </c>
      <c r="Q168" s="228">
        <v>20800000</v>
      </c>
    </row>
    <row r="169" spans="1:17">
      <c r="A169" s="165" t="s">
        <v>2057</v>
      </c>
      <c r="B169" s="165" t="s">
        <v>1241</v>
      </c>
      <c r="C169" s="165">
        <v>6700</v>
      </c>
      <c r="D169" s="228"/>
      <c r="E169" s="228"/>
      <c r="F169" s="228">
        <v>0</v>
      </c>
      <c r="G169" s="228">
        <v>0</v>
      </c>
      <c r="H169" s="228"/>
      <c r="I169" s="228"/>
      <c r="J169" s="228"/>
      <c r="K169" s="228"/>
      <c r="L169" s="228"/>
      <c r="M169" s="228"/>
      <c r="N169" s="228"/>
      <c r="O169" s="228"/>
      <c r="P169" s="228">
        <v>0</v>
      </c>
      <c r="Q169" s="228">
        <v>0</v>
      </c>
    </row>
    <row r="170" spans="1:17">
      <c r="A170"/>
      <c r="B170" s="165" t="s">
        <v>911</v>
      </c>
      <c r="C170" s="165">
        <v>6700</v>
      </c>
      <c r="D170" s="228"/>
      <c r="E170" s="228"/>
      <c r="F170" s="228">
        <v>0</v>
      </c>
      <c r="G170" s="228">
        <v>0</v>
      </c>
      <c r="H170" s="228"/>
      <c r="I170" s="228"/>
      <c r="J170" s="228"/>
      <c r="K170" s="228"/>
      <c r="L170" s="228"/>
      <c r="M170" s="228"/>
      <c r="N170" s="228"/>
      <c r="O170" s="228"/>
      <c r="P170" s="228">
        <v>0</v>
      </c>
      <c r="Q170" s="228">
        <v>0</v>
      </c>
    </row>
    <row r="171" spans="1:17">
      <c r="A171"/>
      <c r="B171" s="165" t="s">
        <v>1214</v>
      </c>
      <c r="C171" s="165">
        <v>6700</v>
      </c>
      <c r="D171" s="228"/>
      <c r="E171" s="228"/>
      <c r="F171" s="228">
        <v>0</v>
      </c>
      <c r="G171" s="228">
        <v>0</v>
      </c>
      <c r="H171" s="228"/>
      <c r="I171" s="228"/>
      <c r="J171" s="228"/>
      <c r="K171" s="228"/>
      <c r="L171" s="228"/>
      <c r="M171" s="228"/>
      <c r="N171" s="228"/>
      <c r="O171" s="228"/>
      <c r="P171" s="228">
        <v>0</v>
      </c>
      <c r="Q171" s="228">
        <v>0</v>
      </c>
    </row>
    <row r="172" spans="1:17">
      <c r="A172"/>
      <c r="B172" s="165" t="s">
        <v>25</v>
      </c>
      <c r="C172" s="165">
        <v>6700</v>
      </c>
      <c r="D172" s="228"/>
      <c r="E172" s="228"/>
      <c r="F172" s="228">
        <v>0</v>
      </c>
      <c r="G172" s="228">
        <v>0</v>
      </c>
      <c r="H172" s="228"/>
      <c r="I172" s="228"/>
      <c r="J172" s="228"/>
      <c r="K172" s="228"/>
      <c r="L172" s="228"/>
      <c r="M172" s="228"/>
      <c r="N172" s="228"/>
      <c r="O172" s="228"/>
      <c r="P172" s="228">
        <v>0</v>
      </c>
      <c r="Q172" s="228">
        <v>0</v>
      </c>
    </row>
    <row r="173" spans="1:17">
      <c r="A173"/>
      <c r="B173"/>
      <c r="C173" s="165">
        <v>7100</v>
      </c>
      <c r="D173" s="228"/>
      <c r="E173" s="228"/>
      <c r="F173" s="228"/>
      <c r="G173" s="228"/>
      <c r="H173" s="228"/>
      <c r="I173" s="228"/>
      <c r="J173" s="228">
        <v>3000</v>
      </c>
      <c r="K173" s="228">
        <v>21300000</v>
      </c>
      <c r="L173" s="228"/>
      <c r="M173" s="228"/>
      <c r="N173" s="228"/>
      <c r="O173" s="228"/>
      <c r="P173" s="228">
        <v>3000</v>
      </c>
      <c r="Q173" s="228">
        <v>21300000</v>
      </c>
    </row>
    <row r="174" spans="1:17">
      <c r="A174"/>
      <c r="B174" s="165" t="s">
        <v>278</v>
      </c>
      <c r="C174" s="165">
        <v>6800</v>
      </c>
      <c r="D174" s="228"/>
      <c r="E174" s="228"/>
      <c r="F174" s="228">
        <v>0</v>
      </c>
      <c r="G174" s="228">
        <v>0</v>
      </c>
      <c r="H174" s="228"/>
      <c r="I174" s="228"/>
      <c r="J174" s="228"/>
      <c r="K174" s="228"/>
      <c r="L174" s="228"/>
      <c r="M174" s="228"/>
      <c r="N174" s="228"/>
      <c r="O174" s="228"/>
      <c r="P174" s="228">
        <v>0</v>
      </c>
      <c r="Q174" s="228">
        <v>0</v>
      </c>
    </row>
    <row r="175" spans="1:17">
      <c r="A175"/>
      <c r="B175"/>
      <c r="C175" s="165">
        <v>6885</v>
      </c>
      <c r="D175" s="228"/>
      <c r="E175" s="228"/>
      <c r="F175" s="228">
        <v>0</v>
      </c>
      <c r="G175" s="228">
        <v>0</v>
      </c>
      <c r="H175" s="228"/>
      <c r="I175" s="228"/>
      <c r="J175" s="228"/>
      <c r="K175" s="228"/>
      <c r="L175" s="228"/>
      <c r="M175" s="228"/>
      <c r="N175" s="228"/>
      <c r="O175" s="228"/>
      <c r="P175" s="228">
        <v>0</v>
      </c>
      <c r="Q175" s="228">
        <v>0</v>
      </c>
    </row>
    <row r="176" spans="1:17">
      <c r="A176" s="165" t="s">
        <v>2058</v>
      </c>
      <c r="B176" s="165" t="s">
        <v>921</v>
      </c>
      <c r="C176" s="165">
        <v>12500</v>
      </c>
      <c r="D176" s="228"/>
      <c r="E176" s="228"/>
      <c r="F176" s="228"/>
      <c r="G176" s="228"/>
      <c r="H176" s="228"/>
      <c r="I176" s="228"/>
      <c r="J176" s="228"/>
      <c r="K176" s="228"/>
      <c r="L176" s="228">
        <v>40000</v>
      </c>
      <c r="M176" s="228">
        <v>500000000</v>
      </c>
      <c r="N176" s="228"/>
      <c r="O176" s="228"/>
      <c r="P176" s="228">
        <v>40000</v>
      </c>
      <c r="Q176" s="228">
        <v>500000000</v>
      </c>
    </row>
    <row r="177" spans="1:17">
      <c r="A177" s="165" t="s">
        <v>2059</v>
      </c>
      <c r="B177" s="165" t="s">
        <v>150</v>
      </c>
      <c r="C177" s="165">
        <v>3700</v>
      </c>
      <c r="D177" s="228"/>
      <c r="E177" s="228"/>
      <c r="F177" s="228">
        <v>0</v>
      </c>
      <c r="G177" s="228">
        <v>0</v>
      </c>
      <c r="H177" s="228"/>
      <c r="I177" s="228"/>
      <c r="J177" s="228"/>
      <c r="K177" s="228"/>
      <c r="L177" s="228"/>
      <c r="M177" s="228"/>
      <c r="N177" s="228"/>
      <c r="O177" s="228"/>
      <c r="P177" s="228">
        <v>0</v>
      </c>
      <c r="Q177" s="228">
        <v>0</v>
      </c>
    </row>
    <row r="178" spans="1:17">
      <c r="A178"/>
      <c r="B178" s="165" t="s">
        <v>817</v>
      </c>
      <c r="C178" s="165">
        <v>3700</v>
      </c>
      <c r="D178" s="228"/>
      <c r="E178" s="228"/>
      <c r="F178" s="228">
        <v>0</v>
      </c>
      <c r="G178" s="228">
        <v>0</v>
      </c>
      <c r="H178" s="228"/>
      <c r="I178" s="228"/>
      <c r="J178" s="228"/>
      <c r="K178" s="228"/>
      <c r="L178" s="228"/>
      <c r="M178" s="228"/>
      <c r="N178" s="228"/>
      <c r="O178" s="228"/>
      <c r="P178" s="228">
        <v>0</v>
      </c>
      <c r="Q178" s="228">
        <v>0</v>
      </c>
    </row>
    <row r="179" spans="1:17">
      <c r="A179" s="165" t="s">
        <v>2008</v>
      </c>
      <c r="B179" s="165" t="s">
        <v>168</v>
      </c>
      <c r="C179" s="165">
        <v>5000</v>
      </c>
      <c r="D179" s="228"/>
      <c r="E179" s="228"/>
      <c r="F179" s="228">
        <v>0</v>
      </c>
      <c r="G179" s="228">
        <v>0</v>
      </c>
      <c r="H179" s="228"/>
      <c r="I179" s="228"/>
      <c r="J179" s="228"/>
      <c r="K179" s="228"/>
      <c r="L179" s="228"/>
      <c r="M179" s="228"/>
      <c r="N179" s="228"/>
      <c r="O179" s="228"/>
      <c r="P179" s="228">
        <v>0</v>
      </c>
      <c r="Q179" s="228">
        <v>0</v>
      </c>
    </row>
    <row r="180" spans="1:17">
      <c r="A180"/>
      <c r="B180" s="165" t="s">
        <v>688</v>
      </c>
      <c r="C180" s="165">
        <v>4700</v>
      </c>
      <c r="D180" s="228"/>
      <c r="E180" s="228"/>
      <c r="F180" s="228">
        <v>0</v>
      </c>
      <c r="G180" s="228">
        <v>0</v>
      </c>
      <c r="H180" s="228"/>
      <c r="I180" s="228"/>
      <c r="J180" s="228"/>
      <c r="K180" s="228"/>
      <c r="L180" s="228"/>
      <c r="M180" s="228"/>
      <c r="N180" s="228"/>
      <c r="O180" s="228"/>
      <c r="P180" s="228">
        <v>0</v>
      </c>
      <c r="Q180" s="228">
        <v>0</v>
      </c>
    </row>
    <row r="181" spans="1:17">
      <c r="A181"/>
      <c r="B181"/>
      <c r="C181" s="165">
        <v>6200</v>
      </c>
      <c r="D181" s="228"/>
      <c r="E181" s="228"/>
      <c r="F181" s="228">
        <v>0</v>
      </c>
      <c r="G181" s="228">
        <v>0</v>
      </c>
      <c r="H181" s="228"/>
      <c r="I181" s="228"/>
      <c r="J181" s="228"/>
      <c r="K181" s="228"/>
      <c r="L181" s="228"/>
      <c r="M181" s="228"/>
      <c r="N181" s="228"/>
      <c r="O181" s="228"/>
      <c r="P181" s="228">
        <v>0</v>
      </c>
      <c r="Q181" s="228">
        <v>0</v>
      </c>
    </row>
    <row r="182" spans="1:17">
      <c r="A182"/>
      <c r="B182" s="165" t="s">
        <v>76</v>
      </c>
      <c r="C182" s="165">
        <v>5800</v>
      </c>
      <c r="D182" s="228"/>
      <c r="E182" s="228"/>
      <c r="F182" s="228">
        <v>0</v>
      </c>
      <c r="G182" s="228">
        <v>0</v>
      </c>
      <c r="H182" s="228"/>
      <c r="I182" s="228"/>
      <c r="J182" s="228"/>
      <c r="K182" s="228"/>
      <c r="L182" s="228"/>
      <c r="M182" s="228"/>
      <c r="N182" s="228"/>
      <c r="O182" s="228"/>
      <c r="P182" s="228">
        <v>0</v>
      </c>
      <c r="Q182" s="228">
        <v>0</v>
      </c>
    </row>
    <row r="183" spans="1:17">
      <c r="A183"/>
      <c r="B183" s="165" t="s">
        <v>911</v>
      </c>
      <c r="C183" s="165">
        <v>4700</v>
      </c>
      <c r="D183" s="228"/>
      <c r="E183" s="228"/>
      <c r="F183" s="228">
        <v>0</v>
      </c>
      <c r="G183" s="228">
        <v>0</v>
      </c>
      <c r="H183" s="228"/>
      <c r="I183" s="228"/>
      <c r="J183" s="228"/>
      <c r="K183" s="228"/>
      <c r="L183" s="228"/>
      <c r="M183" s="228"/>
      <c r="N183" s="228"/>
      <c r="O183" s="228"/>
      <c r="P183" s="228">
        <v>0</v>
      </c>
      <c r="Q183" s="228">
        <v>0</v>
      </c>
    </row>
    <row r="184" spans="1:17">
      <c r="A184"/>
      <c r="B184"/>
      <c r="C184" s="165">
        <v>5000</v>
      </c>
      <c r="D184" s="228">
        <v>0</v>
      </c>
      <c r="E184" s="228">
        <v>0</v>
      </c>
      <c r="F184" s="228">
        <v>0</v>
      </c>
      <c r="G184" s="228">
        <v>0</v>
      </c>
      <c r="H184" s="228"/>
      <c r="I184" s="228"/>
      <c r="J184" s="228"/>
      <c r="K184" s="228"/>
      <c r="L184" s="228"/>
      <c r="M184" s="228"/>
      <c r="N184" s="228"/>
      <c r="O184" s="228"/>
      <c r="P184" s="228">
        <v>0</v>
      </c>
      <c r="Q184" s="228">
        <v>0</v>
      </c>
    </row>
    <row r="185" spans="1:17">
      <c r="A185"/>
      <c r="B185" s="165" t="s">
        <v>270</v>
      </c>
      <c r="C185" s="165">
        <v>5000</v>
      </c>
      <c r="D185" s="228"/>
      <c r="E185" s="228"/>
      <c r="F185" s="228">
        <v>0</v>
      </c>
      <c r="G185" s="228">
        <v>0</v>
      </c>
      <c r="H185" s="228"/>
      <c r="I185" s="228"/>
      <c r="J185" s="228"/>
      <c r="K185" s="228"/>
      <c r="L185" s="228"/>
      <c r="M185" s="228"/>
      <c r="N185" s="228"/>
      <c r="O185" s="228"/>
      <c r="P185" s="228">
        <v>0</v>
      </c>
      <c r="Q185" s="228">
        <v>0</v>
      </c>
    </row>
    <row r="186" spans="1:17">
      <c r="A186"/>
      <c r="B186"/>
      <c r="C186" s="165">
        <v>6000</v>
      </c>
      <c r="D186" s="228"/>
      <c r="E186" s="228"/>
      <c r="F186" s="228">
        <v>0</v>
      </c>
      <c r="G186" s="228">
        <v>0</v>
      </c>
      <c r="H186" s="228"/>
      <c r="I186" s="228"/>
      <c r="J186" s="228"/>
      <c r="K186" s="228"/>
      <c r="L186" s="228"/>
      <c r="M186" s="228"/>
      <c r="N186" s="228"/>
      <c r="O186" s="228"/>
      <c r="P186" s="228">
        <v>0</v>
      </c>
      <c r="Q186" s="228">
        <v>0</v>
      </c>
    </row>
    <row r="187" spans="1:17">
      <c r="A187"/>
      <c r="B187" s="165" t="s">
        <v>150</v>
      </c>
      <c r="C187" s="165">
        <v>4700</v>
      </c>
      <c r="D187" s="228"/>
      <c r="E187" s="228"/>
      <c r="F187" s="228">
        <v>0</v>
      </c>
      <c r="G187" s="228">
        <v>0</v>
      </c>
      <c r="H187" s="228"/>
      <c r="I187" s="228"/>
      <c r="J187" s="228"/>
      <c r="K187" s="228"/>
      <c r="L187" s="228"/>
      <c r="M187" s="228"/>
      <c r="N187" s="228"/>
      <c r="O187" s="228"/>
      <c r="P187" s="228">
        <v>0</v>
      </c>
      <c r="Q187" s="228">
        <v>0</v>
      </c>
    </row>
    <row r="188" spans="1:17">
      <c r="A188"/>
      <c r="B188"/>
      <c r="C188" s="165">
        <v>5000</v>
      </c>
      <c r="D188" s="228"/>
      <c r="E188" s="228"/>
      <c r="F188" s="228">
        <v>0</v>
      </c>
      <c r="G188" s="228">
        <v>0</v>
      </c>
      <c r="H188" s="228"/>
      <c r="I188" s="228"/>
      <c r="J188" s="228"/>
      <c r="K188" s="228"/>
      <c r="L188" s="228"/>
      <c r="M188" s="228"/>
      <c r="N188" s="228"/>
      <c r="O188" s="228"/>
      <c r="P188" s="228">
        <v>0</v>
      </c>
      <c r="Q188" s="228">
        <v>0</v>
      </c>
    </row>
    <row r="189" spans="1:17">
      <c r="A189"/>
      <c r="B189" s="165" t="s">
        <v>1047</v>
      </c>
      <c r="C189" s="165">
        <v>4700</v>
      </c>
      <c r="D189" s="228"/>
      <c r="E189" s="228"/>
      <c r="F189" s="228">
        <v>0</v>
      </c>
      <c r="G189" s="228">
        <v>0</v>
      </c>
      <c r="H189" s="228"/>
      <c r="I189" s="228"/>
      <c r="J189" s="228"/>
      <c r="K189" s="228"/>
      <c r="L189" s="228"/>
      <c r="M189" s="228"/>
      <c r="N189" s="228"/>
      <c r="O189" s="228"/>
      <c r="P189" s="228">
        <v>0</v>
      </c>
      <c r="Q189" s="228">
        <v>0</v>
      </c>
    </row>
    <row r="190" spans="1:17">
      <c r="A190"/>
      <c r="B190" s="165" t="s">
        <v>1483</v>
      </c>
      <c r="C190" s="165">
        <v>6400</v>
      </c>
      <c r="D190" s="228">
        <v>0</v>
      </c>
      <c r="E190" s="228">
        <v>0</v>
      </c>
      <c r="F190" s="228"/>
      <c r="G190" s="228"/>
      <c r="H190" s="228"/>
      <c r="I190" s="228"/>
      <c r="J190" s="228"/>
      <c r="K190" s="228"/>
      <c r="L190" s="228"/>
      <c r="M190" s="228"/>
      <c r="N190" s="228"/>
      <c r="O190" s="228"/>
      <c r="P190" s="228">
        <v>0</v>
      </c>
      <c r="Q190" s="228">
        <v>0</v>
      </c>
    </row>
    <row r="191" spans="1:17">
      <c r="A191"/>
      <c r="B191" s="165" t="s">
        <v>710</v>
      </c>
      <c r="C191" s="165">
        <v>5000</v>
      </c>
      <c r="D191" s="228"/>
      <c r="E191" s="228"/>
      <c r="F191" s="228">
        <v>0</v>
      </c>
      <c r="G191" s="228">
        <v>0</v>
      </c>
      <c r="H191" s="228"/>
      <c r="I191" s="228"/>
      <c r="J191" s="228"/>
      <c r="K191" s="228"/>
      <c r="L191" s="228"/>
      <c r="M191" s="228"/>
      <c r="N191" s="228"/>
      <c r="O191" s="228"/>
      <c r="P191" s="228">
        <v>0</v>
      </c>
      <c r="Q191" s="228">
        <v>0</v>
      </c>
    </row>
    <row r="192" spans="1:17">
      <c r="A192"/>
      <c r="B192" s="165" t="s">
        <v>162</v>
      </c>
      <c r="C192" s="165">
        <v>4600</v>
      </c>
      <c r="D192" s="228"/>
      <c r="E192" s="228"/>
      <c r="F192" s="228">
        <v>0</v>
      </c>
      <c r="G192" s="228">
        <v>0</v>
      </c>
      <c r="H192" s="228"/>
      <c r="I192" s="228"/>
      <c r="J192" s="228"/>
      <c r="K192" s="228"/>
      <c r="L192" s="228"/>
      <c r="M192" s="228"/>
      <c r="N192" s="228"/>
      <c r="O192" s="228"/>
      <c r="P192" s="228">
        <v>0</v>
      </c>
      <c r="Q192" s="228">
        <v>0</v>
      </c>
    </row>
    <row r="193" spans="1:17">
      <c r="A193"/>
      <c r="B193"/>
      <c r="C193" s="165">
        <v>5085</v>
      </c>
      <c r="D193" s="228"/>
      <c r="E193" s="228"/>
      <c r="F193" s="228">
        <v>0</v>
      </c>
      <c r="G193" s="228">
        <v>0</v>
      </c>
      <c r="H193" s="228"/>
      <c r="I193" s="228"/>
      <c r="J193" s="228"/>
      <c r="K193" s="228"/>
      <c r="L193" s="228"/>
      <c r="M193" s="228"/>
      <c r="N193" s="228"/>
      <c r="O193" s="228"/>
      <c r="P193" s="228">
        <v>0</v>
      </c>
      <c r="Q193" s="228">
        <v>0</v>
      </c>
    </row>
    <row r="194" spans="1:17">
      <c r="A194"/>
      <c r="B194"/>
      <c r="C194" s="165">
        <v>5170</v>
      </c>
      <c r="D194" s="228">
        <v>0</v>
      </c>
      <c r="E194" s="228">
        <v>0</v>
      </c>
      <c r="F194" s="228">
        <v>0</v>
      </c>
      <c r="G194" s="228">
        <v>0</v>
      </c>
      <c r="H194" s="228"/>
      <c r="I194" s="228"/>
      <c r="J194" s="228"/>
      <c r="K194" s="228"/>
      <c r="L194" s="228"/>
      <c r="M194" s="228"/>
      <c r="N194" s="228"/>
      <c r="O194" s="228"/>
      <c r="P194" s="228">
        <v>0</v>
      </c>
      <c r="Q194" s="228">
        <v>0</v>
      </c>
    </row>
    <row r="195" spans="1:17">
      <c r="A195"/>
      <c r="B195"/>
      <c r="C195" s="165">
        <v>5255</v>
      </c>
      <c r="D195" s="228"/>
      <c r="E195" s="228"/>
      <c r="F195" s="228"/>
      <c r="G195" s="228"/>
      <c r="H195" s="228">
        <v>10000</v>
      </c>
      <c r="I195" s="228">
        <v>52550000</v>
      </c>
      <c r="J195" s="228"/>
      <c r="K195" s="228"/>
      <c r="L195" s="228"/>
      <c r="M195" s="228"/>
      <c r="N195" s="228"/>
      <c r="O195" s="228"/>
      <c r="P195" s="228">
        <v>10000</v>
      </c>
      <c r="Q195" s="228">
        <v>52550000</v>
      </c>
    </row>
    <row r="196" spans="1:17">
      <c r="A196"/>
      <c r="B196"/>
      <c r="C196" s="165">
        <v>5340</v>
      </c>
      <c r="D196" s="228"/>
      <c r="E196" s="228"/>
      <c r="F196" s="228"/>
      <c r="G196" s="228"/>
      <c r="H196" s="228"/>
      <c r="I196" s="228"/>
      <c r="J196" s="228"/>
      <c r="K196" s="228"/>
      <c r="L196" s="228">
        <v>20000</v>
      </c>
      <c r="M196" s="228">
        <v>106800000</v>
      </c>
      <c r="N196" s="228"/>
      <c r="O196" s="228"/>
      <c r="P196" s="228">
        <v>20000</v>
      </c>
      <c r="Q196" s="228">
        <v>106800000</v>
      </c>
    </row>
    <row r="197" spans="1:17">
      <c r="A197"/>
      <c r="B197"/>
      <c r="C197" s="165">
        <v>5834</v>
      </c>
      <c r="D197" s="228"/>
      <c r="E197" s="228"/>
      <c r="F197" s="228"/>
      <c r="G197" s="228"/>
      <c r="H197" s="228"/>
      <c r="I197" s="228"/>
      <c r="J197" s="228">
        <v>3600</v>
      </c>
      <c r="K197" s="228">
        <v>21002400</v>
      </c>
      <c r="L197" s="228"/>
      <c r="M197" s="228"/>
      <c r="N197" s="228"/>
      <c r="O197" s="228"/>
      <c r="P197" s="228">
        <v>3600</v>
      </c>
      <c r="Q197" s="228">
        <v>21002400</v>
      </c>
    </row>
    <row r="198" spans="1:17">
      <c r="A198"/>
      <c r="B198"/>
      <c r="C198" s="165">
        <v>5876</v>
      </c>
      <c r="D198" s="228"/>
      <c r="E198" s="228"/>
      <c r="F198" s="228"/>
      <c r="G198" s="228"/>
      <c r="H198" s="228">
        <v>5000</v>
      </c>
      <c r="I198" s="228">
        <v>29380000</v>
      </c>
      <c r="J198" s="228"/>
      <c r="K198" s="228"/>
      <c r="L198" s="228"/>
      <c r="M198" s="228"/>
      <c r="N198" s="228"/>
      <c r="O198" s="228"/>
      <c r="P198" s="228">
        <v>5000</v>
      </c>
      <c r="Q198" s="228">
        <v>29380000</v>
      </c>
    </row>
    <row r="199" spans="1:17">
      <c r="A199"/>
      <c r="B199" s="165" t="s">
        <v>285</v>
      </c>
      <c r="C199" s="165">
        <v>4700</v>
      </c>
      <c r="D199" s="228"/>
      <c r="E199" s="228"/>
      <c r="F199" s="228">
        <v>0</v>
      </c>
      <c r="G199" s="228">
        <v>0</v>
      </c>
      <c r="H199" s="228"/>
      <c r="I199" s="228"/>
      <c r="J199" s="228"/>
      <c r="K199" s="228"/>
      <c r="L199" s="228"/>
      <c r="M199" s="228"/>
      <c r="N199" s="228"/>
      <c r="O199" s="228"/>
      <c r="P199" s="228">
        <v>0</v>
      </c>
      <c r="Q199" s="228">
        <v>0</v>
      </c>
    </row>
    <row r="200" spans="1:17">
      <c r="A200"/>
      <c r="B200" s="165" t="s">
        <v>170</v>
      </c>
      <c r="C200" s="165">
        <v>5170</v>
      </c>
      <c r="D200" s="228"/>
      <c r="E200" s="228"/>
      <c r="F200" s="228">
        <v>0</v>
      </c>
      <c r="G200" s="228">
        <v>0</v>
      </c>
      <c r="H200" s="228"/>
      <c r="I200" s="228"/>
      <c r="J200" s="228"/>
      <c r="K200" s="228"/>
      <c r="L200" s="228"/>
      <c r="M200" s="228"/>
      <c r="N200" s="228"/>
      <c r="O200" s="228"/>
      <c r="P200" s="228">
        <v>0</v>
      </c>
      <c r="Q200" s="228">
        <v>0</v>
      </c>
    </row>
    <row r="201" spans="1:17">
      <c r="A201"/>
      <c r="B201" s="165" t="s">
        <v>282</v>
      </c>
      <c r="C201" s="165">
        <v>4600</v>
      </c>
      <c r="D201" s="228"/>
      <c r="E201" s="228"/>
      <c r="F201" s="228">
        <v>0</v>
      </c>
      <c r="G201" s="228">
        <v>0</v>
      </c>
      <c r="H201" s="228"/>
      <c r="I201" s="228"/>
      <c r="J201" s="228"/>
      <c r="K201" s="228"/>
      <c r="L201" s="228"/>
      <c r="M201" s="228"/>
      <c r="N201" s="228"/>
      <c r="O201" s="228"/>
      <c r="P201" s="228">
        <v>0</v>
      </c>
      <c r="Q201" s="228">
        <v>0</v>
      </c>
    </row>
    <row r="202" spans="1:17">
      <c r="A202"/>
      <c r="B202"/>
      <c r="C202" s="165">
        <v>4700</v>
      </c>
      <c r="D202" s="228"/>
      <c r="E202" s="228"/>
      <c r="F202" s="228">
        <v>0</v>
      </c>
      <c r="G202" s="228">
        <v>0</v>
      </c>
      <c r="H202" s="228"/>
      <c r="I202" s="228"/>
      <c r="J202" s="228"/>
      <c r="K202" s="228"/>
      <c r="L202" s="228"/>
      <c r="M202" s="228"/>
      <c r="N202" s="228"/>
      <c r="O202" s="228"/>
      <c r="P202" s="228">
        <v>0</v>
      </c>
      <c r="Q202" s="228">
        <v>0</v>
      </c>
    </row>
    <row r="203" spans="1:17">
      <c r="A203"/>
      <c r="B203"/>
      <c r="C203" s="165">
        <v>5000</v>
      </c>
      <c r="D203" s="228"/>
      <c r="E203" s="228"/>
      <c r="F203" s="228">
        <v>0</v>
      </c>
      <c r="G203" s="228">
        <v>0</v>
      </c>
      <c r="H203" s="228"/>
      <c r="I203" s="228"/>
      <c r="J203" s="228"/>
      <c r="K203" s="228"/>
      <c r="L203" s="228"/>
      <c r="M203" s="228"/>
      <c r="N203" s="228"/>
      <c r="O203" s="228"/>
      <c r="P203" s="228">
        <v>0</v>
      </c>
      <c r="Q203" s="228">
        <v>0</v>
      </c>
    </row>
    <row r="204" spans="1:17">
      <c r="A204"/>
      <c r="B204"/>
      <c r="C204" s="165">
        <v>6000</v>
      </c>
      <c r="D204" s="228"/>
      <c r="E204" s="228"/>
      <c r="F204" s="228">
        <v>200</v>
      </c>
      <c r="G204" s="228">
        <v>1200000</v>
      </c>
      <c r="H204" s="228"/>
      <c r="I204" s="228"/>
      <c r="J204" s="228"/>
      <c r="K204" s="228"/>
      <c r="L204" s="228"/>
      <c r="M204" s="228"/>
      <c r="N204" s="228"/>
      <c r="O204" s="228"/>
      <c r="P204" s="228">
        <v>200</v>
      </c>
      <c r="Q204" s="228">
        <v>1200000</v>
      </c>
    </row>
    <row r="205" spans="1:17">
      <c r="A205"/>
      <c r="B205" s="165" t="s">
        <v>253</v>
      </c>
      <c r="C205" s="165">
        <v>4700</v>
      </c>
      <c r="D205" s="228"/>
      <c r="E205" s="228"/>
      <c r="F205" s="228">
        <v>0</v>
      </c>
      <c r="G205" s="228">
        <v>0</v>
      </c>
      <c r="H205" s="228"/>
      <c r="I205" s="228"/>
      <c r="J205" s="228"/>
      <c r="K205" s="228"/>
      <c r="L205" s="228"/>
      <c r="M205" s="228"/>
      <c r="N205" s="228"/>
      <c r="O205" s="228"/>
      <c r="P205" s="228">
        <v>0</v>
      </c>
      <c r="Q205" s="228">
        <v>0</v>
      </c>
    </row>
    <row r="206" spans="1:17">
      <c r="A206"/>
      <c r="B206"/>
      <c r="C206" s="165">
        <v>5000</v>
      </c>
      <c r="D206" s="228"/>
      <c r="E206" s="228"/>
      <c r="F206" s="228">
        <v>0</v>
      </c>
      <c r="G206" s="228">
        <v>0</v>
      </c>
      <c r="H206" s="228"/>
      <c r="I206" s="228"/>
      <c r="J206" s="228"/>
      <c r="K206" s="228"/>
      <c r="L206" s="228"/>
      <c r="M206" s="228"/>
      <c r="N206" s="228"/>
      <c r="O206" s="228"/>
      <c r="P206" s="228">
        <v>0</v>
      </c>
      <c r="Q206" s="228">
        <v>0</v>
      </c>
    </row>
    <row r="207" spans="1:17">
      <c r="A207"/>
      <c r="B207" s="165" t="s">
        <v>182</v>
      </c>
      <c r="C207" s="165">
        <v>5000</v>
      </c>
      <c r="D207" s="228"/>
      <c r="E207" s="228"/>
      <c r="F207" s="228">
        <v>0</v>
      </c>
      <c r="G207" s="228">
        <v>0</v>
      </c>
      <c r="H207" s="228"/>
      <c r="I207" s="228"/>
      <c r="J207" s="228"/>
      <c r="K207" s="228"/>
      <c r="L207" s="228"/>
      <c r="M207" s="228"/>
      <c r="N207" s="228"/>
      <c r="O207" s="228"/>
      <c r="P207" s="228">
        <v>0</v>
      </c>
      <c r="Q207" s="228">
        <v>0</v>
      </c>
    </row>
    <row r="208" spans="1:17">
      <c r="A208"/>
      <c r="B208"/>
      <c r="C208" s="165">
        <v>6000</v>
      </c>
      <c r="D208" s="228">
        <v>0</v>
      </c>
      <c r="E208" s="228">
        <v>0</v>
      </c>
      <c r="F208" s="228"/>
      <c r="G208" s="228"/>
      <c r="H208" s="228"/>
      <c r="I208" s="228"/>
      <c r="J208" s="228"/>
      <c r="K208" s="228"/>
      <c r="L208" s="228"/>
      <c r="M208" s="228"/>
      <c r="N208" s="228"/>
      <c r="O208" s="228"/>
      <c r="P208" s="228">
        <v>0</v>
      </c>
      <c r="Q208" s="228">
        <v>0</v>
      </c>
    </row>
    <row r="209" spans="1:17">
      <c r="A209"/>
      <c r="B209" s="165" t="s">
        <v>236</v>
      </c>
      <c r="C209" s="165">
        <v>4700</v>
      </c>
      <c r="D209" s="228"/>
      <c r="E209" s="228"/>
      <c r="F209" s="228">
        <v>0</v>
      </c>
      <c r="G209" s="228">
        <v>0</v>
      </c>
      <c r="H209" s="228"/>
      <c r="I209" s="228"/>
      <c r="J209" s="228"/>
      <c r="K209" s="228"/>
      <c r="L209" s="228"/>
      <c r="M209" s="228"/>
      <c r="N209" s="228"/>
      <c r="O209" s="228"/>
      <c r="P209" s="228">
        <v>0</v>
      </c>
      <c r="Q209" s="228">
        <v>0</v>
      </c>
    </row>
    <row r="210" spans="1:17">
      <c r="A210"/>
      <c r="B210" s="165" t="s">
        <v>266</v>
      </c>
      <c r="C210" s="165">
        <v>5000</v>
      </c>
      <c r="D210" s="228"/>
      <c r="E210" s="228"/>
      <c r="F210" s="228">
        <v>0</v>
      </c>
      <c r="G210" s="228">
        <v>0</v>
      </c>
      <c r="H210" s="228"/>
      <c r="I210" s="228"/>
      <c r="J210" s="228"/>
      <c r="K210" s="228"/>
      <c r="L210" s="228"/>
      <c r="M210" s="228"/>
      <c r="N210" s="228"/>
      <c r="O210" s="228"/>
      <c r="P210" s="228">
        <v>0</v>
      </c>
      <c r="Q210" s="228">
        <v>0</v>
      </c>
    </row>
    <row r="211" spans="1:17">
      <c r="A211"/>
      <c r="B211" s="165" t="s">
        <v>25</v>
      </c>
      <c r="C211" s="165">
        <v>4600</v>
      </c>
      <c r="D211" s="228"/>
      <c r="E211" s="228"/>
      <c r="F211" s="228">
        <v>0</v>
      </c>
      <c r="G211" s="228">
        <v>0</v>
      </c>
      <c r="H211" s="228"/>
      <c r="I211" s="228"/>
      <c r="J211" s="228"/>
      <c r="K211" s="228"/>
      <c r="L211" s="228"/>
      <c r="M211" s="228"/>
      <c r="N211" s="228"/>
      <c r="O211" s="228"/>
      <c r="P211" s="228">
        <v>0</v>
      </c>
      <c r="Q211" s="228">
        <v>0</v>
      </c>
    </row>
    <row r="212" spans="1:17">
      <c r="A212"/>
      <c r="B212"/>
      <c r="C212" s="165">
        <v>5000</v>
      </c>
      <c r="D212" s="228"/>
      <c r="E212" s="228"/>
      <c r="F212" s="228">
        <v>0</v>
      </c>
      <c r="G212" s="228">
        <v>0</v>
      </c>
      <c r="H212" s="228"/>
      <c r="I212" s="228"/>
      <c r="J212" s="228"/>
      <c r="K212" s="228"/>
      <c r="L212" s="228"/>
      <c r="M212" s="228"/>
      <c r="N212" s="228"/>
      <c r="O212" s="228"/>
      <c r="P212" s="228">
        <v>0</v>
      </c>
      <c r="Q212" s="228">
        <v>0</v>
      </c>
    </row>
    <row r="213" spans="1:17">
      <c r="A213"/>
      <c r="B213"/>
      <c r="C213" s="165">
        <v>6000</v>
      </c>
      <c r="D213" s="228"/>
      <c r="E213" s="228"/>
      <c r="F213" s="228">
        <v>0</v>
      </c>
      <c r="G213" s="228">
        <v>0</v>
      </c>
      <c r="H213" s="228"/>
      <c r="I213" s="228"/>
      <c r="J213" s="228"/>
      <c r="K213" s="228"/>
      <c r="L213" s="228"/>
      <c r="M213" s="228"/>
      <c r="N213" s="228"/>
      <c r="O213" s="228"/>
      <c r="P213" s="228">
        <v>0</v>
      </c>
      <c r="Q213" s="228">
        <v>0</v>
      </c>
    </row>
    <row r="214" spans="1:17">
      <c r="A214"/>
      <c r="B214"/>
      <c r="C214" s="165">
        <v>6499</v>
      </c>
      <c r="D214" s="228"/>
      <c r="E214" s="228"/>
      <c r="F214" s="228"/>
      <c r="G214" s="228"/>
      <c r="H214" s="228"/>
      <c r="I214" s="228"/>
      <c r="J214" s="228">
        <v>5000</v>
      </c>
      <c r="K214" s="228">
        <v>32495000</v>
      </c>
      <c r="L214" s="228"/>
      <c r="M214" s="228"/>
      <c r="N214" s="228"/>
      <c r="O214" s="228"/>
      <c r="P214" s="228">
        <v>5000</v>
      </c>
      <c r="Q214" s="228">
        <v>32495000</v>
      </c>
    </row>
    <row r="215" spans="1:17">
      <c r="A215"/>
      <c r="B215"/>
      <c r="C215" s="165">
        <v>6584</v>
      </c>
      <c r="D215" s="228"/>
      <c r="E215" s="228"/>
      <c r="F215" s="228"/>
      <c r="G215" s="228"/>
      <c r="H215" s="228">
        <v>10000</v>
      </c>
      <c r="I215" s="228">
        <v>65840000</v>
      </c>
      <c r="J215" s="228"/>
      <c r="K215" s="228"/>
      <c r="L215" s="228"/>
      <c r="M215" s="228"/>
      <c r="N215" s="228"/>
      <c r="O215" s="228"/>
      <c r="P215" s="228">
        <v>10000</v>
      </c>
      <c r="Q215" s="228">
        <v>65840000</v>
      </c>
    </row>
    <row r="216" spans="1:17">
      <c r="A216"/>
      <c r="B216"/>
      <c r="C216" s="165">
        <v>6669</v>
      </c>
      <c r="D216" s="228"/>
      <c r="E216" s="228"/>
      <c r="F216" s="228"/>
      <c r="G216" s="228"/>
      <c r="H216" s="228"/>
      <c r="I216" s="228"/>
      <c r="J216" s="228"/>
      <c r="K216" s="228"/>
      <c r="L216" s="228">
        <v>10000</v>
      </c>
      <c r="M216" s="228">
        <v>66690000</v>
      </c>
      <c r="N216" s="228"/>
      <c r="O216" s="228"/>
      <c r="P216" s="228">
        <v>10000</v>
      </c>
      <c r="Q216" s="228">
        <v>66690000</v>
      </c>
    </row>
    <row r="217" spans="1:17">
      <c r="A217"/>
      <c r="B217"/>
      <c r="C217" s="165">
        <v>6754</v>
      </c>
      <c r="D217" s="228"/>
      <c r="E217" s="228"/>
      <c r="F217" s="228"/>
      <c r="G217" s="228"/>
      <c r="H217" s="228"/>
      <c r="I217" s="228"/>
      <c r="J217" s="228"/>
      <c r="K217" s="228"/>
      <c r="L217" s="228">
        <v>10000</v>
      </c>
      <c r="M217" s="228">
        <v>67540000</v>
      </c>
      <c r="N217" s="228"/>
      <c r="O217" s="228"/>
      <c r="P217" s="228">
        <v>10000</v>
      </c>
      <c r="Q217" s="228">
        <v>67540000</v>
      </c>
    </row>
    <row r="218" spans="1:17">
      <c r="A218"/>
      <c r="B218"/>
      <c r="C218" s="165">
        <v>6839</v>
      </c>
      <c r="D218" s="228"/>
      <c r="E218" s="228"/>
      <c r="F218" s="228"/>
      <c r="G218" s="228"/>
      <c r="H218" s="228"/>
      <c r="I218" s="228"/>
      <c r="J218" s="228"/>
      <c r="K218" s="228"/>
      <c r="L218" s="228">
        <v>10000</v>
      </c>
      <c r="M218" s="228">
        <v>68390000</v>
      </c>
      <c r="N218" s="228"/>
      <c r="O218" s="228"/>
      <c r="P218" s="228">
        <v>10000</v>
      </c>
      <c r="Q218" s="228">
        <v>68390000</v>
      </c>
    </row>
    <row r="219" spans="1:17">
      <c r="A219"/>
      <c r="B219" s="165" t="s">
        <v>66</v>
      </c>
      <c r="C219" s="165">
        <v>4600</v>
      </c>
      <c r="D219" s="228"/>
      <c r="E219" s="228"/>
      <c r="F219" s="228">
        <v>0</v>
      </c>
      <c r="G219" s="228">
        <v>0</v>
      </c>
      <c r="H219" s="228"/>
      <c r="I219" s="228"/>
      <c r="J219" s="228"/>
      <c r="K219" s="228"/>
      <c r="L219" s="228"/>
      <c r="M219" s="228"/>
      <c r="N219" s="228"/>
      <c r="O219" s="228"/>
      <c r="P219" s="228">
        <v>0</v>
      </c>
      <c r="Q219" s="228">
        <v>0</v>
      </c>
    </row>
    <row r="220" spans="1:17">
      <c r="A220"/>
      <c r="B220"/>
      <c r="C220" s="165">
        <v>5000</v>
      </c>
      <c r="D220" s="228">
        <v>0</v>
      </c>
      <c r="E220" s="228">
        <v>0</v>
      </c>
      <c r="F220" s="228"/>
      <c r="G220" s="228"/>
      <c r="H220" s="228"/>
      <c r="I220" s="228"/>
      <c r="J220" s="228">
        <v>10000</v>
      </c>
      <c r="K220" s="228">
        <v>50000000</v>
      </c>
      <c r="L220" s="228"/>
      <c r="M220" s="228"/>
      <c r="N220" s="228"/>
      <c r="O220" s="228"/>
      <c r="P220" s="228">
        <v>10000</v>
      </c>
      <c r="Q220" s="228">
        <v>50000000</v>
      </c>
    </row>
    <row r="221" spans="1:17">
      <c r="A221"/>
      <c r="B221"/>
      <c r="C221" s="165" t="s">
        <v>385</v>
      </c>
      <c r="D221" s="228">
        <v>0</v>
      </c>
      <c r="E221" s="228">
        <v>0</v>
      </c>
      <c r="F221" s="228"/>
      <c r="G221" s="228"/>
      <c r="H221" s="228"/>
      <c r="I221" s="228"/>
      <c r="J221" s="228"/>
      <c r="K221" s="228"/>
      <c r="L221" s="228"/>
      <c r="M221" s="228"/>
      <c r="N221" s="228"/>
      <c r="O221" s="228"/>
      <c r="P221" s="228">
        <v>0</v>
      </c>
      <c r="Q221" s="228">
        <v>0</v>
      </c>
    </row>
    <row r="222" spans="1:17">
      <c r="A222"/>
      <c r="B222" s="165" t="s">
        <v>817</v>
      </c>
      <c r="C222" s="165">
        <v>4700</v>
      </c>
      <c r="D222" s="228"/>
      <c r="E222" s="228"/>
      <c r="F222" s="228">
        <v>0</v>
      </c>
      <c r="G222" s="228">
        <v>0</v>
      </c>
      <c r="H222" s="228"/>
      <c r="I222" s="228"/>
      <c r="J222" s="228"/>
      <c r="K222" s="228"/>
      <c r="L222" s="228"/>
      <c r="M222" s="228"/>
      <c r="N222" s="228"/>
      <c r="O222" s="228"/>
      <c r="P222" s="228">
        <v>0</v>
      </c>
      <c r="Q222" s="228">
        <v>0</v>
      </c>
    </row>
    <row r="223" spans="1:17">
      <c r="A223"/>
      <c r="B223" s="165" t="s">
        <v>130</v>
      </c>
      <c r="C223" s="165">
        <v>5000</v>
      </c>
      <c r="D223" s="228"/>
      <c r="E223" s="228"/>
      <c r="F223" s="228">
        <v>0</v>
      </c>
      <c r="G223" s="228">
        <v>0</v>
      </c>
      <c r="H223" s="228"/>
      <c r="I223" s="228"/>
      <c r="J223" s="228"/>
      <c r="K223" s="228"/>
      <c r="L223" s="228"/>
      <c r="M223" s="228"/>
      <c r="N223" s="228"/>
      <c r="O223" s="228"/>
      <c r="P223" s="228">
        <v>0</v>
      </c>
      <c r="Q223" s="228">
        <v>0</v>
      </c>
    </row>
    <row r="224" spans="1:17">
      <c r="A224"/>
      <c r="B224" s="165" t="s">
        <v>188</v>
      </c>
      <c r="C224" s="165">
        <v>5000</v>
      </c>
      <c r="D224" s="228"/>
      <c r="E224" s="228"/>
      <c r="F224" s="228">
        <v>0</v>
      </c>
      <c r="G224" s="228">
        <v>0</v>
      </c>
      <c r="H224" s="228"/>
      <c r="I224" s="228"/>
      <c r="J224" s="228"/>
      <c r="K224" s="228"/>
      <c r="L224" s="228"/>
      <c r="M224" s="228"/>
      <c r="N224" s="228"/>
      <c r="O224" s="228"/>
      <c r="P224" s="228">
        <v>0</v>
      </c>
      <c r="Q224" s="228">
        <v>0</v>
      </c>
    </row>
    <row r="225" spans="1:17">
      <c r="A225"/>
      <c r="B225" s="165" t="s">
        <v>1009</v>
      </c>
      <c r="C225" s="165">
        <v>4700</v>
      </c>
      <c r="D225" s="228">
        <v>0</v>
      </c>
      <c r="E225" s="228">
        <v>0</v>
      </c>
      <c r="F225" s="228">
        <v>0</v>
      </c>
      <c r="G225" s="228">
        <v>0</v>
      </c>
      <c r="H225" s="228"/>
      <c r="I225" s="228"/>
      <c r="J225" s="228"/>
      <c r="K225" s="228"/>
      <c r="L225" s="228"/>
      <c r="M225" s="228"/>
      <c r="N225" s="228"/>
      <c r="O225" s="228"/>
      <c r="P225" s="228">
        <v>0</v>
      </c>
      <c r="Q225" s="228">
        <v>0</v>
      </c>
    </row>
    <row r="226" spans="1:17">
      <c r="A226"/>
      <c r="B226" s="165" t="s">
        <v>921</v>
      </c>
      <c r="C226" s="165">
        <v>5000</v>
      </c>
      <c r="D226" s="228"/>
      <c r="E226" s="228"/>
      <c r="F226" s="228">
        <v>0</v>
      </c>
      <c r="G226" s="228">
        <v>0</v>
      </c>
      <c r="H226" s="228"/>
      <c r="I226" s="228"/>
      <c r="J226" s="228"/>
      <c r="K226" s="228"/>
      <c r="L226" s="228"/>
      <c r="M226" s="228"/>
      <c r="N226" s="228"/>
      <c r="O226" s="228"/>
      <c r="P226" s="228">
        <v>0</v>
      </c>
      <c r="Q226" s="228">
        <v>0</v>
      </c>
    </row>
    <row r="227" spans="1:17">
      <c r="A227"/>
      <c r="B227" s="165" t="s">
        <v>1086</v>
      </c>
      <c r="C227" s="165">
        <v>4600</v>
      </c>
      <c r="D227" s="228"/>
      <c r="E227" s="228"/>
      <c r="F227" s="228">
        <v>0</v>
      </c>
      <c r="G227" s="228">
        <v>0</v>
      </c>
      <c r="H227" s="228"/>
      <c r="I227" s="228"/>
      <c r="J227" s="228"/>
      <c r="K227" s="228"/>
      <c r="L227" s="228"/>
      <c r="M227" s="228"/>
      <c r="N227" s="228"/>
      <c r="O227" s="228"/>
      <c r="P227" s="228">
        <v>0</v>
      </c>
      <c r="Q227" s="228">
        <v>0</v>
      </c>
    </row>
    <row r="228" spans="1:17">
      <c r="A228"/>
      <c r="B228" s="165" t="s">
        <v>213</v>
      </c>
      <c r="C228" s="165">
        <v>6500</v>
      </c>
      <c r="D228" s="228"/>
      <c r="E228" s="228"/>
      <c r="F228" s="228"/>
      <c r="G228" s="228"/>
      <c r="H228" s="228"/>
      <c r="I228" s="228"/>
      <c r="J228" s="228">
        <v>2000</v>
      </c>
      <c r="K228" s="228">
        <v>13000000</v>
      </c>
      <c r="L228" s="228"/>
      <c r="M228" s="228"/>
      <c r="N228" s="228"/>
      <c r="O228" s="228"/>
      <c r="P228" s="228">
        <v>2000</v>
      </c>
      <c r="Q228" s="228">
        <v>13000000</v>
      </c>
    </row>
    <row r="229" spans="1:17">
      <c r="A229"/>
      <c r="B229" s="165" t="s">
        <v>1142</v>
      </c>
      <c r="C229" s="165">
        <v>4700</v>
      </c>
      <c r="D229" s="228"/>
      <c r="E229" s="228"/>
      <c r="F229" s="228">
        <v>0</v>
      </c>
      <c r="G229" s="228">
        <v>0</v>
      </c>
      <c r="H229" s="228"/>
      <c r="I229" s="228"/>
      <c r="J229" s="228"/>
      <c r="K229" s="228"/>
      <c r="L229" s="228"/>
      <c r="M229" s="228"/>
      <c r="N229" s="228"/>
      <c r="O229" s="228"/>
      <c r="P229" s="228">
        <v>0</v>
      </c>
      <c r="Q229" s="228">
        <v>0</v>
      </c>
    </row>
    <row r="230" spans="1:17">
      <c r="A230"/>
      <c r="B230"/>
      <c r="C230" s="165">
        <v>5000</v>
      </c>
      <c r="D230" s="228"/>
      <c r="E230" s="228"/>
      <c r="F230" s="228">
        <v>0</v>
      </c>
      <c r="G230" s="228">
        <v>0</v>
      </c>
      <c r="H230" s="228"/>
      <c r="I230" s="228"/>
      <c r="J230" s="228"/>
      <c r="K230" s="228"/>
      <c r="L230" s="228"/>
      <c r="M230" s="228"/>
      <c r="N230" s="228"/>
      <c r="O230" s="228"/>
      <c r="P230" s="228">
        <v>0</v>
      </c>
      <c r="Q230" s="228">
        <v>0</v>
      </c>
    </row>
    <row r="231" spans="1:17">
      <c r="A231"/>
      <c r="B231" s="165" t="s">
        <v>278</v>
      </c>
      <c r="C231" s="165">
        <v>6400</v>
      </c>
      <c r="D231" s="228"/>
      <c r="E231" s="228"/>
      <c r="F231" s="228">
        <v>0</v>
      </c>
      <c r="G231" s="228">
        <v>0</v>
      </c>
      <c r="H231" s="228"/>
      <c r="I231" s="228"/>
      <c r="J231" s="228"/>
      <c r="K231" s="228"/>
      <c r="L231" s="228"/>
      <c r="M231" s="228"/>
      <c r="N231" s="228"/>
      <c r="O231" s="228"/>
      <c r="P231" s="228">
        <v>0</v>
      </c>
      <c r="Q231" s="228">
        <v>0</v>
      </c>
    </row>
    <row r="232" spans="1:17">
      <c r="A232"/>
      <c r="B232" s="165" t="s">
        <v>1188</v>
      </c>
      <c r="C232" s="165">
        <v>5090</v>
      </c>
      <c r="D232" s="228"/>
      <c r="E232" s="228"/>
      <c r="F232" s="228">
        <v>0</v>
      </c>
      <c r="G232" s="228">
        <v>0</v>
      </c>
      <c r="H232" s="228"/>
      <c r="I232" s="228"/>
      <c r="J232" s="228"/>
      <c r="K232" s="228"/>
      <c r="L232" s="228"/>
      <c r="M232" s="228"/>
      <c r="N232" s="228"/>
      <c r="O232" s="228"/>
      <c r="P232" s="228">
        <v>0</v>
      </c>
      <c r="Q232" s="228">
        <v>0</v>
      </c>
    </row>
    <row r="233" spans="1:17">
      <c r="A233"/>
      <c r="B233" s="165" t="s">
        <v>276</v>
      </c>
      <c r="C233" s="165">
        <v>4600</v>
      </c>
      <c r="D233" s="228"/>
      <c r="E233" s="228"/>
      <c r="F233" s="228">
        <v>0</v>
      </c>
      <c r="G233" s="228">
        <v>0</v>
      </c>
      <c r="H233" s="228"/>
      <c r="I233" s="228"/>
      <c r="J233" s="228"/>
      <c r="K233" s="228"/>
      <c r="L233" s="228"/>
      <c r="M233" s="228"/>
      <c r="N233" s="228"/>
      <c r="O233" s="228"/>
      <c r="P233" s="228">
        <v>0</v>
      </c>
      <c r="Q233" s="228">
        <v>0</v>
      </c>
    </row>
    <row r="234" spans="1:17">
      <c r="A234"/>
      <c r="B234" s="165" t="s">
        <v>100</v>
      </c>
      <c r="C234" s="165">
        <v>6300</v>
      </c>
      <c r="D234" s="228"/>
      <c r="E234" s="228"/>
      <c r="F234" s="228">
        <v>0</v>
      </c>
      <c r="G234" s="228">
        <v>0</v>
      </c>
      <c r="H234" s="228"/>
      <c r="I234" s="228"/>
      <c r="J234" s="228"/>
      <c r="K234" s="228"/>
      <c r="L234" s="228"/>
      <c r="M234" s="228"/>
      <c r="N234" s="228"/>
      <c r="O234" s="228"/>
      <c r="P234" s="228">
        <v>0</v>
      </c>
      <c r="Q234" s="228">
        <v>0</v>
      </c>
    </row>
    <row r="235" spans="1:17">
      <c r="A235"/>
      <c r="B235" s="165" t="s">
        <v>216</v>
      </c>
      <c r="C235" s="165">
        <v>4700</v>
      </c>
      <c r="D235" s="228"/>
      <c r="E235" s="228"/>
      <c r="F235" s="228">
        <v>0</v>
      </c>
      <c r="G235" s="228">
        <v>0</v>
      </c>
      <c r="H235" s="228"/>
      <c r="I235" s="228"/>
      <c r="J235" s="228"/>
      <c r="K235" s="228"/>
      <c r="L235" s="228"/>
      <c r="M235" s="228"/>
      <c r="N235" s="228"/>
      <c r="O235" s="228"/>
      <c r="P235" s="228">
        <v>0</v>
      </c>
      <c r="Q235" s="228">
        <v>0</v>
      </c>
    </row>
    <row r="236" spans="1:17">
      <c r="A236"/>
      <c r="B236"/>
      <c r="C236" s="165">
        <v>5000</v>
      </c>
      <c r="D236" s="228"/>
      <c r="E236" s="228"/>
      <c r="F236" s="228">
        <v>0</v>
      </c>
      <c r="G236" s="228">
        <v>0</v>
      </c>
      <c r="H236" s="228"/>
      <c r="I236" s="228"/>
      <c r="J236" s="228">
        <v>5000</v>
      </c>
      <c r="K236" s="228">
        <v>25000000</v>
      </c>
      <c r="L236" s="228"/>
      <c r="M236" s="228"/>
      <c r="N236" s="228"/>
      <c r="O236" s="228"/>
      <c r="P236" s="228">
        <v>5000</v>
      </c>
      <c r="Q236" s="228">
        <v>25000000</v>
      </c>
    </row>
    <row r="237" spans="1:17">
      <c r="A237"/>
      <c r="B237"/>
      <c r="C237" s="165">
        <v>5170</v>
      </c>
      <c r="D237" s="228"/>
      <c r="E237" s="228"/>
      <c r="F237" s="228"/>
      <c r="G237" s="228"/>
      <c r="H237" s="228"/>
      <c r="I237" s="228"/>
      <c r="J237" s="228">
        <v>4000</v>
      </c>
      <c r="K237" s="228">
        <v>20680000</v>
      </c>
      <c r="L237" s="228"/>
      <c r="M237" s="228"/>
      <c r="N237" s="228"/>
      <c r="O237" s="228"/>
      <c r="P237" s="228">
        <v>4000</v>
      </c>
      <c r="Q237" s="228">
        <v>20680000</v>
      </c>
    </row>
    <row r="238" spans="1:17">
      <c r="A238"/>
      <c r="B238" s="165" t="s">
        <v>1066</v>
      </c>
      <c r="C238" s="165">
        <v>4600</v>
      </c>
      <c r="D238" s="228"/>
      <c r="E238" s="228"/>
      <c r="F238" s="228">
        <v>0</v>
      </c>
      <c r="G238" s="228">
        <v>0</v>
      </c>
      <c r="H238" s="228"/>
      <c r="I238" s="228"/>
      <c r="J238" s="228"/>
      <c r="K238" s="228"/>
      <c r="L238" s="228"/>
      <c r="M238" s="228"/>
      <c r="N238" s="228"/>
      <c r="O238" s="228"/>
      <c r="P238" s="228">
        <v>0</v>
      </c>
      <c r="Q238" s="228">
        <v>0</v>
      </c>
    </row>
    <row r="239" spans="1:17">
      <c r="A239"/>
      <c r="B239"/>
      <c r="C239" s="165">
        <v>4700</v>
      </c>
      <c r="D239" s="228">
        <v>0</v>
      </c>
      <c r="E239" s="228">
        <v>0</v>
      </c>
      <c r="F239" s="228"/>
      <c r="G239" s="228"/>
      <c r="H239" s="228"/>
      <c r="I239" s="228"/>
      <c r="J239" s="228"/>
      <c r="K239" s="228"/>
      <c r="L239" s="228"/>
      <c r="M239" s="228"/>
      <c r="N239" s="228"/>
      <c r="O239" s="228"/>
      <c r="P239" s="228">
        <v>0</v>
      </c>
      <c r="Q239" s="228">
        <v>0</v>
      </c>
    </row>
    <row r="240" spans="1:17">
      <c r="A240"/>
      <c r="B240" s="165" t="s">
        <v>1026</v>
      </c>
      <c r="C240" s="165">
        <v>4600</v>
      </c>
      <c r="D240" s="228"/>
      <c r="E240" s="228"/>
      <c r="F240" s="228">
        <v>0</v>
      </c>
      <c r="G240" s="228">
        <v>0</v>
      </c>
      <c r="H240" s="228"/>
      <c r="I240" s="228"/>
      <c r="J240" s="228"/>
      <c r="K240" s="228"/>
      <c r="L240" s="228"/>
      <c r="M240" s="228"/>
      <c r="N240" s="228"/>
      <c r="O240" s="228"/>
      <c r="P240" s="228">
        <v>0</v>
      </c>
      <c r="Q240" s="228">
        <v>0</v>
      </c>
    </row>
    <row r="241" spans="1:17">
      <c r="A241"/>
      <c r="B241"/>
      <c r="C241" s="165">
        <v>4700</v>
      </c>
      <c r="D241" s="228">
        <v>0</v>
      </c>
      <c r="E241" s="228">
        <v>0</v>
      </c>
      <c r="F241" s="228">
        <v>0</v>
      </c>
      <c r="G241" s="228">
        <v>0</v>
      </c>
      <c r="H241" s="228"/>
      <c r="I241" s="228"/>
      <c r="J241" s="228"/>
      <c r="K241" s="228"/>
      <c r="L241" s="228"/>
      <c r="M241" s="228"/>
      <c r="N241" s="228"/>
      <c r="O241" s="228"/>
      <c r="P241" s="228">
        <v>0</v>
      </c>
      <c r="Q241" s="228">
        <v>0</v>
      </c>
    </row>
    <row r="242" spans="1:17">
      <c r="A242"/>
      <c r="B242" s="165" t="s">
        <v>810</v>
      </c>
      <c r="C242" s="165">
        <v>4600</v>
      </c>
      <c r="D242" s="228"/>
      <c r="E242" s="228"/>
      <c r="F242" s="228">
        <v>0</v>
      </c>
      <c r="G242" s="228">
        <v>0</v>
      </c>
      <c r="H242" s="228"/>
      <c r="I242" s="228"/>
      <c r="J242" s="228"/>
      <c r="K242" s="228"/>
      <c r="L242" s="228"/>
      <c r="M242" s="228"/>
      <c r="N242" s="228"/>
      <c r="O242" s="228"/>
      <c r="P242" s="228">
        <v>0</v>
      </c>
      <c r="Q242" s="228">
        <v>0</v>
      </c>
    </row>
    <row r="243" spans="1:17">
      <c r="A243"/>
      <c r="B243" s="165" t="s">
        <v>251</v>
      </c>
      <c r="C243" s="165">
        <v>5000</v>
      </c>
      <c r="D243" s="228"/>
      <c r="E243" s="228"/>
      <c r="F243" s="228">
        <v>0</v>
      </c>
      <c r="G243" s="228">
        <v>0</v>
      </c>
      <c r="H243" s="228"/>
      <c r="I243" s="228"/>
      <c r="J243" s="228"/>
      <c r="K243" s="228"/>
      <c r="L243" s="228"/>
      <c r="M243" s="228"/>
      <c r="N243" s="228"/>
      <c r="O243" s="228"/>
      <c r="P243" s="228">
        <v>0</v>
      </c>
      <c r="Q243" s="228">
        <v>0</v>
      </c>
    </row>
    <row r="244" spans="1:17">
      <c r="A244"/>
      <c r="B244" s="165" t="s">
        <v>116</v>
      </c>
      <c r="C244" s="165">
        <v>5000</v>
      </c>
      <c r="D244" s="228"/>
      <c r="E244" s="228"/>
      <c r="F244" s="228">
        <v>0</v>
      </c>
      <c r="G244" s="228">
        <v>0</v>
      </c>
      <c r="H244" s="228"/>
      <c r="I244" s="228"/>
      <c r="J244" s="228"/>
      <c r="K244" s="228"/>
      <c r="L244" s="228"/>
      <c r="M244" s="228"/>
      <c r="N244" s="228"/>
      <c r="O244" s="228"/>
      <c r="P244" s="228">
        <v>0</v>
      </c>
      <c r="Q244" s="228">
        <v>0</v>
      </c>
    </row>
    <row r="245" spans="1:17">
      <c r="A245"/>
      <c r="B245" s="165" t="s">
        <v>260</v>
      </c>
      <c r="C245" s="165">
        <v>4700</v>
      </c>
      <c r="D245" s="228">
        <v>0</v>
      </c>
      <c r="E245" s="228">
        <v>0</v>
      </c>
      <c r="F245" s="228"/>
      <c r="G245" s="228"/>
      <c r="H245" s="228"/>
      <c r="I245" s="228"/>
      <c r="J245" s="228"/>
      <c r="K245" s="228"/>
      <c r="L245" s="228"/>
      <c r="M245" s="228"/>
      <c r="N245" s="228"/>
      <c r="O245" s="228"/>
      <c r="P245" s="228">
        <v>0</v>
      </c>
      <c r="Q245" s="228">
        <v>0</v>
      </c>
    </row>
    <row r="246" spans="1:17">
      <c r="A246"/>
      <c r="B246" s="165" t="s">
        <v>1868</v>
      </c>
      <c r="C246" s="165" t="s">
        <v>385</v>
      </c>
      <c r="D246" s="228"/>
      <c r="E246" s="228"/>
      <c r="F246" s="228"/>
      <c r="G246" s="228"/>
      <c r="H246" s="228"/>
      <c r="I246" s="228"/>
      <c r="J246" s="228">
        <v>5000</v>
      </c>
      <c r="K246" s="228">
        <v>0</v>
      </c>
      <c r="L246" s="228"/>
      <c r="M246" s="228"/>
      <c r="N246" s="228"/>
      <c r="O246" s="228"/>
      <c r="P246" s="228">
        <v>5000</v>
      </c>
      <c r="Q246" s="228">
        <v>0</v>
      </c>
    </row>
    <row r="247" spans="1:17">
      <c r="A247" s="165" t="s">
        <v>2060</v>
      </c>
      <c r="B247" s="165" t="s">
        <v>168</v>
      </c>
      <c r="C247" s="165">
        <v>8000</v>
      </c>
      <c r="D247" s="228">
        <v>0</v>
      </c>
      <c r="E247" s="228">
        <v>0</v>
      </c>
      <c r="F247" s="228"/>
      <c r="G247" s="228"/>
      <c r="H247" s="228"/>
      <c r="I247" s="228"/>
      <c r="J247" s="228"/>
      <c r="K247" s="228"/>
      <c r="L247" s="228"/>
      <c r="M247" s="228"/>
      <c r="N247" s="228"/>
      <c r="O247" s="228"/>
      <c r="P247" s="228">
        <v>0</v>
      </c>
      <c r="Q247" s="228">
        <v>0</v>
      </c>
    </row>
    <row r="248" spans="1:17">
      <c r="A248"/>
      <c r="B248" s="165" t="s">
        <v>1241</v>
      </c>
      <c r="C248" s="165">
        <v>7500</v>
      </c>
      <c r="D248" s="228"/>
      <c r="E248" s="228"/>
      <c r="F248" s="228"/>
      <c r="G248" s="228"/>
      <c r="H248" s="228"/>
      <c r="I248" s="228"/>
      <c r="J248" s="228"/>
      <c r="K248" s="228"/>
      <c r="L248" s="228">
        <v>3000</v>
      </c>
      <c r="M248" s="228">
        <v>22500000</v>
      </c>
      <c r="N248" s="228"/>
      <c r="O248" s="228"/>
      <c r="P248" s="228">
        <v>3000</v>
      </c>
      <c r="Q248" s="228">
        <v>22500000</v>
      </c>
    </row>
    <row r="249" spans="1:17">
      <c r="A249"/>
      <c r="B249" s="165" t="s">
        <v>983</v>
      </c>
      <c r="C249" s="165">
        <v>8000</v>
      </c>
      <c r="D249" s="228"/>
      <c r="E249" s="228"/>
      <c r="F249" s="228"/>
      <c r="G249" s="228"/>
      <c r="H249" s="228"/>
      <c r="I249" s="228"/>
      <c r="J249" s="228"/>
      <c r="K249" s="228"/>
      <c r="L249" s="228">
        <v>5100</v>
      </c>
      <c r="M249" s="228">
        <v>40800000</v>
      </c>
      <c r="N249" s="228"/>
      <c r="O249" s="228"/>
      <c r="P249" s="228">
        <v>5100</v>
      </c>
      <c r="Q249" s="228">
        <v>40800000</v>
      </c>
    </row>
    <row r="250" spans="1:17">
      <c r="A250"/>
      <c r="B250" s="165" t="s">
        <v>150</v>
      </c>
      <c r="C250" s="165">
        <v>7200</v>
      </c>
      <c r="D250" s="228"/>
      <c r="E250" s="228"/>
      <c r="F250" s="228"/>
      <c r="G250" s="228"/>
      <c r="H250" s="228"/>
      <c r="I250" s="228"/>
      <c r="J250" s="228"/>
      <c r="K250" s="228"/>
      <c r="L250" s="228">
        <v>5100</v>
      </c>
      <c r="M250" s="228">
        <v>36720000</v>
      </c>
      <c r="N250" s="228"/>
      <c r="O250" s="228"/>
      <c r="P250" s="228">
        <v>5100</v>
      </c>
      <c r="Q250" s="228">
        <v>36720000</v>
      </c>
    </row>
    <row r="251" spans="1:17">
      <c r="A251"/>
      <c r="B251" s="165" t="s">
        <v>1798</v>
      </c>
      <c r="C251" s="165">
        <v>8000</v>
      </c>
      <c r="D251" s="228"/>
      <c r="E251" s="228"/>
      <c r="F251" s="228"/>
      <c r="G251" s="228"/>
      <c r="H251" s="228"/>
      <c r="I251" s="228"/>
      <c r="J251" s="228"/>
      <c r="K251" s="228"/>
      <c r="L251" s="228">
        <v>5100</v>
      </c>
      <c r="M251" s="228">
        <v>40800000</v>
      </c>
      <c r="N251" s="228"/>
      <c r="O251" s="228"/>
      <c r="P251" s="228">
        <v>5100</v>
      </c>
      <c r="Q251" s="228">
        <v>40800000</v>
      </c>
    </row>
    <row r="252" spans="1:17">
      <c r="A252"/>
      <c r="B252" s="165" t="s">
        <v>710</v>
      </c>
      <c r="C252" s="165">
        <v>7500</v>
      </c>
      <c r="D252" s="228"/>
      <c r="E252" s="228"/>
      <c r="F252" s="228"/>
      <c r="G252" s="228"/>
      <c r="H252" s="228"/>
      <c r="I252" s="228"/>
      <c r="J252" s="228"/>
      <c r="K252" s="228"/>
      <c r="L252" s="228">
        <v>10050</v>
      </c>
      <c r="M252" s="228">
        <v>75375000</v>
      </c>
      <c r="N252" s="228"/>
      <c r="O252" s="228"/>
      <c r="P252" s="228">
        <v>10050</v>
      </c>
      <c r="Q252" s="228">
        <v>75375000</v>
      </c>
    </row>
    <row r="253" spans="1:17">
      <c r="A253"/>
      <c r="B253" s="165" t="s">
        <v>162</v>
      </c>
      <c r="C253" s="165">
        <v>7200</v>
      </c>
      <c r="D253" s="228"/>
      <c r="E253" s="228"/>
      <c r="F253" s="228"/>
      <c r="G253" s="228"/>
      <c r="H253" s="228"/>
      <c r="I253" s="228"/>
      <c r="J253" s="228"/>
      <c r="K253" s="228"/>
      <c r="L253" s="228">
        <v>20100</v>
      </c>
      <c r="M253" s="228">
        <v>144720000</v>
      </c>
      <c r="N253" s="228"/>
      <c r="O253" s="228"/>
      <c r="P253" s="228">
        <v>20100</v>
      </c>
      <c r="Q253" s="228">
        <v>144720000</v>
      </c>
    </row>
    <row r="254" spans="1:17">
      <c r="A254"/>
      <c r="B254" s="165" t="s">
        <v>994</v>
      </c>
      <c r="C254" s="165">
        <v>8000</v>
      </c>
      <c r="D254" s="228"/>
      <c r="E254" s="228"/>
      <c r="F254" s="228"/>
      <c r="G254" s="228"/>
      <c r="H254" s="228"/>
      <c r="I254" s="228"/>
      <c r="J254" s="228"/>
      <c r="K254" s="228"/>
      <c r="L254" s="228">
        <v>60000</v>
      </c>
      <c r="M254" s="228">
        <v>480000000</v>
      </c>
      <c r="N254" s="228"/>
      <c r="O254" s="228"/>
      <c r="P254" s="228">
        <v>60000</v>
      </c>
      <c r="Q254" s="228">
        <v>480000000</v>
      </c>
    </row>
    <row r="255" spans="1:17">
      <c r="A255"/>
      <c r="B255" s="165" t="s">
        <v>285</v>
      </c>
      <c r="C255" s="165">
        <v>7200</v>
      </c>
      <c r="D255" s="228"/>
      <c r="E255" s="228"/>
      <c r="F255" s="228"/>
      <c r="G255" s="228"/>
      <c r="H255" s="228"/>
      <c r="I255" s="228"/>
      <c r="J255" s="228"/>
      <c r="K255" s="228"/>
      <c r="L255" s="228">
        <v>31200</v>
      </c>
      <c r="M255" s="228">
        <v>224640000</v>
      </c>
      <c r="N255" s="228"/>
      <c r="O255" s="228"/>
      <c r="P255" s="228">
        <v>31200</v>
      </c>
      <c r="Q255" s="228">
        <v>224640000</v>
      </c>
    </row>
    <row r="256" spans="1:17">
      <c r="A256"/>
      <c r="B256"/>
      <c r="C256" s="165">
        <v>7500</v>
      </c>
      <c r="D256" s="228"/>
      <c r="E256" s="228"/>
      <c r="F256" s="228"/>
      <c r="G256" s="228"/>
      <c r="H256" s="228"/>
      <c r="I256" s="228"/>
      <c r="J256" s="228"/>
      <c r="K256" s="228"/>
      <c r="L256" s="228">
        <v>6000</v>
      </c>
      <c r="M256" s="228">
        <v>45000000</v>
      </c>
      <c r="N256" s="228"/>
      <c r="O256" s="228"/>
      <c r="P256" s="228">
        <v>6000</v>
      </c>
      <c r="Q256" s="228">
        <v>45000000</v>
      </c>
    </row>
    <row r="257" spans="1:17">
      <c r="A257"/>
      <c r="B257" s="165" t="s">
        <v>253</v>
      </c>
      <c r="C257" s="165">
        <v>8000</v>
      </c>
      <c r="D257" s="228"/>
      <c r="E257" s="228"/>
      <c r="F257" s="228"/>
      <c r="G257" s="228"/>
      <c r="H257" s="228"/>
      <c r="I257" s="228"/>
      <c r="J257" s="228"/>
      <c r="K257" s="228"/>
      <c r="L257" s="228">
        <v>9000</v>
      </c>
      <c r="M257" s="228">
        <v>72000000</v>
      </c>
      <c r="N257" s="228"/>
      <c r="O257" s="228"/>
      <c r="P257" s="228">
        <v>9000</v>
      </c>
      <c r="Q257" s="228">
        <v>72000000</v>
      </c>
    </row>
    <row r="258" spans="1:17">
      <c r="A258"/>
      <c r="B258" s="165" t="s">
        <v>1818</v>
      </c>
      <c r="C258" s="165">
        <v>8000</v>
      </c>
      <c r="D258" s="228"/>
      <c r="E258" s="228"/>
      <c r="F258" s="228"/>
      <c r="G258" s="228"/>
      <c r="H258" s="228"/>
      <c r="I258" s="228"/>
      <c r="J258" s="228"/>
      <c r="K258" s="228"/>
      <c r="L258" s="228">
        <v>5100</v>
      </c>
      <c r="M258" s="228">
        <v>40800000</v>
      </c>
      <c r="N258" s="228"/>
      <c r="O258" s="228"/>
      <c r="P258" s="228">
        <v>5100</v>
      </c>
      <c r="Q258" s="228">
        <v>40800000</v>
      </c>
    </row>
    <row r="259" spans="1:17">
      <c r="A259"/>
      <c r="B259" s="165" t="s">
        <v>827</v>
      </c>
      <c r="C259" s="165">
        <v>8000</v>
      </c>
      <c r="D259" s="228"/>
      <c r="E259" s="228"/>
      <c r="F259" s="228"/>
      <c r="G259" s="228"/>
      <c r="H259" s="228"/>
      <c r="I259" s="228"/>
      <c r="J259" s="228"/>
      <c r="K259" s="228"/>
      <c r="L259" s="228">
        <v>5100</v>
      </c>
      <c r="M259" s="228">
        <v>40800000</v>
      </c>
      <c r="N259" s="228"/>
      <c r="O259" s="228"/>
      <c r="P259" s="228">
        <v>5100</v>
      </c>
      <c r="Q259" s="228">
        <v>40800000</v>
      </c>
    </row>
    <row r="260" spans="1:17">
      <c r="A260"/>
      <c r="B260" s="165" t="s">
        <v>1564</v>
      </c>
      <c r="C260" s="165">
        <v>8000</v>
      </c>
      <c r="D260" s="228">
        <v>0</v>
      </c>
      <c r="E260" s="228">
        <v>0</v>
      </c>
      <c r="F260" s="228"/>
      <c r="G260" s="228"/>
      <c r="H260" s="228"/>
      <c r="I260" s="228"/>
      <c r="J260" s="228"/>
      <c r="K260" s="228"/>
      <c r="L260" s="228"/>
      <c r="M260" s="228"/>
      <c r="N260" s="228"/>
      <c r="O260" s="228"/>
      <c r="P260" s="228">
        <v>0</v>
      </c>
      <c r="Q260" s="228">
        <v>0</v>
      </c>
    </row>
    <row r="261" spans="1:17">
      <c r="A261"/>
      <c r="B261" s="165" t="s">
        <v>177</v>
      </c>
      <c r="C261" s="165">
        <v>7200</v>
      </c>
      <c r="D261" s="228"/>
      <c r="E261" s="228"/>
      <c r="F261" s="228"/>
      <c r="G261" s="228"/>
      <c r="H261" s="228"/>
      <c r="I261" s="228"/>
      <c r="J261" s="228"/>
      <c r="K261" s="228"/>
      <c r="L261" s="228">
        <v>5100</v>
      </c>
      <c r="M261" s="228">
        <v>36720000</v>
      </c>
      <c r="N261" s="228"/>
      <c r="O261" s="228"/>
      <c r="P261" s="228">
        <v>5100</v>
      </c>
      <c r="Q261" s="228">
        <v>36720000</v>
      </c>
    </row>
    <row r="262" spans="1:17">
      <c r="A262"/>
      <c r="B262" s="165" t="s">
        <v>25</v>
      </c>
      <c r="C262" s="165">
        <v>7500</v>
      </c>
      <c r="D262" s="228"/>
      <c r="E262" s="228"/>
      <c r="F262" s="228"/>
      <c r="G262" s="228"/>
      <c r="H262" s="228"/>
      <c r="I262" s="228"/>
      <c r="J262" s="228"/>
      <c r="K262" s="228"/>
      <c r="L262" s="228">
        <v>13050</v>
      </c>
      <c r="M262" s="228">
        <v>97875000</v>
      </c>
      <c r="N262" s="228"/>
      <c r="O262" s="228"/>
      <c r="P262" s="228">
        <v>13050</v>
      </c>
      <c r="Q262" s="228">
        <v>97875000</v>
      </c>
    </row>
    <row r="263" spans="1:17">
      <c r="A263"/>
      <c r="B263" s="165" t="s">
        <v>66</v>
      </c>
      <c r="C263" s="165">
        <v>8000</v>
      </c>
      <c r="D263" s="228"/>
      <c r="E263" s="228"/>
      <c r="F263" s="228"/>
      <c r="G263" s="228"/>
      <c r="H263" s="228"/>
      <c r="I263" s="228"/>
      <c r="J263" s="228"/>
      <c r="K263" s="228"/>
      <c r="L263" s="228">
        <v>20100</v>
      </c>
      <c r="M263" s="228">
        <v>160800000</v>
      </c>
      <c r="N263" s="228"/>
      <c r="O263" s="228"/>
      <c r="P263" s="228">
        <v>20100</v>
      </c>
      <c r="Q263" s="228">
        <v>160800000</v>
      </c>
    </row>
    <row r="264" spans="1:17">
      <c r="A264"/>
      <c r="B264" s="165" t="s">
        <v>145</v>
      </c>
      <c r="C264" s="165">
        <v>8000</v>
      </c>
      <c r="D264" s="228"/>
      <c r="E264" s="228"/>
      <c r="F264" s="228"/>
      <c r="G264" s="228"/>
      <c r="H264" s="228"/>
      <c r="I264" s="228"/>
      <c r="J264" s="228"/>
      <c r="K264" s="228"/>
      <c r="L264" s="228">
        <v>10050</v>
      </c>
      <c r="M264" s="228">
        <v>80400000</v>
      </c>
      <c r="N264" s="228"/>
      <c r="O264" s="228"/>
      <c r="P264" s="228">
        <v>10050</v>
      </c>
      <c r="Q264" s="228">
        <v>80400000</v>
      </c>
    </row>
    <row r="265" spans="1:17">
      <c r="A265"/>
      <c r="B265" s="165" t="s">
        <v>188</v>
      </c>
      <c r="C265" s="165">
        <v>7200</v>
      </c>
      <c r="D265" s="228"/>
      <c r="E265" s="228"/>
      <c r="F265" s="228"/>
      <c r="G265" s="228"/>
      <c r="H265" s="228"/>
      <c r="I265" s="228"/>
      <c r="J265" s="228"/>
      <c r="K265" s="228"/>
      <c r="L265" s="228">
        <v>40050</v>
      </c>
      <c r="M265" s="228">
        <v>288360000</v>
      </c>
      <c r="N265" s="228"/>
      <c r="O265" s="228"/>
      <c r="P265" s="228">
        <v>40050</v>
      </c>
      <c r="Q265" s="228">
        <v>288360000</v>
      </c>
    </row>
    <row r="266" spans="1:17">
      <c r="A266"/>
      <c r="B266" s="165" t="s">
        <v>921</v>
      </c>
      <c r="C266" s="165">
        <v>7300</v>
      </c>
      <c r="D266" s="228"/>
      <c r="E266" s="228"/>
      <c r="F266" s="228"/>
      <c r="G266" s="228"/>
      <c r="H266" s="228"/>
      <c r="I266" s="228"/>
      <c r="J266" s="228"/>
      <c r="K266" s="228"/>
      <c r="L266" s="228">
        <v>25050</v>
      </c>
      <c r="M266" s="228">
        <v>182865000</v>
      </c>
      <c r="N266" s="228"/>
      <c r="O266" s="228"/>
      <c r="P266" s="228">
        <v>25050</v>
      </c>
      <c r="Q266" s="228">
        <v>182865000</v>
      </c>
    </row>
    <row r="267" spans="1:17">
      <c r="A267"/>
      <c r="B267" s="165" t="s">
        <v>1702</v>
      </c>
      <c r="C267" s="165">
        <v>8000</v>
      </c>
      <c r="D267" s="228"/>
      <c r="E267" s="228"/>
      <c r="F267" s="228"/>
      <c r="G267" s="228"/>
      <c r="H267" s="228"/>
      <c r="I267" s="228"/>
      <c r="J267" s="228"/>
      <c r="K267" s="228"/>
      <c r="L267" s="228">
        <v>10050</v>
      </c>
      <c r="M267" s="228">
        <v>80400000</v>
      </c>
      <c r="N267" s="228"/>
      <c r="O267" s="228"/>
      <c r="P267" s="228">
        <v>10050</v>
      </c>
      <c r="Q267" s="228">
        <v>80400000</v>
      </c>
    </row>
    <row r="268" spans="1:17">
      <c r="A268"/>
      <c r="B268" s="165" t="s">
        <v>1086</v>
      </c>
      <c r="C268" s="165">
        <v>8000</v>
      </c>
      <c r="D268" s="228"/>
      <c r="E268" s="228"/>
      <c r="F268" s="228"/>
      <c r="G268" s="228"/>
      <c r="H268" s="228"/>
      <c r="I268" s="228"/>
      <c r="J268" s="228"/>
      <c r="K268" s="228"/>
      <c r="L268" s="228">
        <v>9600</v>
      </c>
      <c r="M268" s="228">
        <v>76800000</v>
      </c>
      <c r="N268" s="228"/>
      <c r="O268" s="228"/>
      <c r="P268" s="228">
        <v>9600</v>
      </c>
      <c r="Q268" s="228">
        <v>76800000</v>
      </c>
    </row>
    <row r="269" spans="1:17">
      <c r="A269"/>
      <c r="B269" s="165" t="s">
        <v>239</v>
      </c>
      <c r="C269" s="165">
        <v>8000</v>
      </c>
      <c r="D269" s="228"/>
      <c r="E269" s="228"/>
      <c r="F269" s="228"/>
      <c r="G269" s="228"/>
      <c r="H269" s="228"/>
      <c r="I269" s="228"/>
      <c r="J269" s="228"/>
      <c r="K269" s="228"/>
      <c r="L269" s="228">
        <v>5100</v>
      </c>
      <c r="M269" s="228">
        <v>40800000</v>
      </c>
      <c r="N269" s="228"/>
      <c r="O269" s="228"/>
      <c r="P269" s="228">
        <v>5100</v>
      </c>
      <c r="Q269" s="228">
        <v>40800000</v>
      </c>
    </row>
    <row r="270" spans="1:17">
      <c r="A270"/>
      <c r="B270" s="165" t="s">
        <v>278</v>
      </c>
      <c r="C270" s="165">
        <v>7600</v>
      </c>
      <c r="D270" s="228"/>
      <c r="E270" s="228"/>
      <c r="F270" s="228"/>
      <c r="G270" s="228"/>
      <c r="H270" s="228">
        <v>10050</v>
      </c>
      <c r="I270" s="228">
        <v>76380000</v>
      </c>
      <c r="J270" s="228"/>
      <c r="K270" s="228"/>
      <c r="L270" s="228"/>
      <c r="M270" s="228"/>
      <c r="N270" s="228"/>
      <c r="O270" s="228"/>
      <c r="P270" s="228">
        <v>10050</v>
      </c>
      <c r="Q270" s="228">
        <v>76380000</v>
      </c>
    </row>
    <row r="271" spans="1:17">
      <c r="A271"/>
      <c r="B271"/>
      <c r="C271" s="165">
        <v>7700</v>
      </c>
      <c r="D271" s="228">
        <v>0</v>
      </c>
      <c r="E271" s="228">
        <v>0</v>
      </c>
      <c r="F271" s="228"/>
      <c r="G271" s="228"/>
      <c r="H271" s="228"/>
      <c r="I271" s="228"/>
      <c r="J271" s="228"/>
      <c r="K271" s="228"/>
      <c r="L271" s="228"/>
      <c r="M271" s="228"/>
      <c r="N271" s="228"/>
      <c r="O271" s="228"/>
      <c r="P271" s="228">
        <v>0</v>
      </c>
      <c r="Q271" s="228">
        <v>0</v>
      </c>
    </row>
    <row r="272" spans="1:17">
      <c r="A272"/>
      <c r="B272"/>
      <c r="C272" s="165" t="s">
        <v>1502</v>
      </c>
      <c r="D272" s="228">
        <v>0</v>
      </c>
      <c r="E272" s="228" t="e">
        <v>#VALUE!</v>
      </c>
      <c r="F272" s="228"/>
      <c r="G272" s="228"/>
      <c r="H272" s="228"/>
      <c r="I272" s="228"/>
      <c r="J272" s="228"/>
      <c r="K272" s="228"/>
      <c r="L272" s="228"/>
      <c r="M272" s="228"/>
      <c r="N272" s="228"/>
      <c r="O272" s="228"/>
      <c r="P272" s="228">
        <v>0</v>
      </c>
      <c r="Q272" s="228" t="e">
        <v>#VALUE!</v>
      </c>
    </row>
    <row r="273" spans="1:17">
      <c r="A273"/>
      <c r="B273" s="165" t="s">
        <v>646</v>
      </c>
      <c r="C273" s="165">
        <v>7200</v>
      </c>
      <c r="D273" s="228"/>
      <c r="E273" s="228"/>
      <c r="F273" s="228"/>
      <c r="G273" s="228"/>
      <c r="H273" s="228"/>
      <c r="I273" s="228"/>
      <c r="J273" s="228"/>
      <c r="K273" s="228"/>
      <c r="L273" s="228">
        <v>6000</v>
      </c>
      <c r="M273" s="228">
        <v>43200000</v>
      </c>
      <c r="N273" s="228"/>
      <c r="O273" s="228"/>
      <c r="P273" s="228">
        <v>6000</v>
      </c>
      <c r="Q273" s="228">
        <v>43200000</v>
      </c>
    </row>
    <row r="274" spans="1:17">
      <c r="A274"/>
      <c r="B274" s="165" t="s">
        <v>1188</v>
      </c>
      <c r="C274" s="165">
        <v>7500</v>
      </c>
      <c r="D274" s="228"/>
      <c r="E274" s="228"/>
      <c r="F274" s="228"/>
      <c r="G274" s="228"/>
      <c r="H274" s="228">
        <v>3000</v>
      </c>
      <c r="I274" s="228">
        <v>22500000</v>
      </c>
      <c r="J274" s="228"/>
      <c r="K274" s="228"/>
      <c r="L274" s="228"/>
      <c r="M274" s="228"/>
      <c r="N274" s="228"/>
      <c r="O274" s="228"/>
      <c r="P274" s="228">
        <v>3000</v>
      </c>
      <c r="Q274" s="228">
        <v>22500000</v>
      </c>
    </row>
    <row r="275" spans="1:17">
      <c r="A275"/>
      <c r="B275"/>
      <c r="C275" s="165">
        <v>7700</v>
      </c>
      <c r="D275" s="228"/>
      <c r="E275" s="228"/>
      <c r="F275" s="228"/>
      <c r="G275" s="228"/>
      <c r="H275" s="228"/>
      <c r="I275" s="228"/>
      <c r="J275" s="228"/>
      <c r="K275" s="228"/>
      <c r="L275" s="228">
        <v>3000</v>
      </c>
      <c r="M275" s="228">
        <v>23100000</v>
      </c>
      <c r="N275" s="228"/>
      <c r="O275" s="228"/>
      <c r="P275" s="228">
        <v>3000</v>
      </c>
      <c r="Q275" s="228">
        <v>23100000</v>
      </c>
    </row>
    <row r="276" spans="1:17">
      <c r="A276"/>
      <c r="B276"/>
      <c r="C276" s="165">
        <v>7800</v>
      </c>
      <c r="D276" s="228"/>
      <c r="E276" s="228"/>
      <c r="F276" s="228"/>
      <c r="G276" s="228"/>
      <c r="H276" s="228"/>
      <c r="I276" s="228"/>
      <c r="J276" s="228"/>
      <c r="K276" s="228"/>
      <c r="L276" s="228">
        <v>3000</v>
      </c>
      <c r="M276" s="228">
        <v>23400000</v>
      </c>
      <c r="N276" s="228"/>
      <c r="O276" s="228"/>
      <c r="P276" s="228">
        <v>3000</v>
      </c>
      <c r="Q276" s="228">
        <v>23400000</v>
      </c>
    </row>
    <row r="277" spans="1:17">
      <c r="A277"/>
      <c r="B277" s="165" t="s">
        <v>477</v>
      </c>
      <c r="C277" s="165">
        <v>7200</v>
      </c>
      <c r="D277" s="228"/>
      <c r="E277" s="228"/>
      <c r="F277" s="228"/>
      <c r="G277" s="228"/>
      <c r="H277" s="228"/>
      <c r="I277" s="228"/>
      <c r="J277" s="228"/>
      <c r="K277" s="228"/>
      <c r="L277" s="228">
        <v>2100</v>
      </c>
      <c r="M277" s="228">
        <v>15120000</v>
      </c>
      <c r="N277" s="228"/>
      <c r="O277" s="228"/>
      <c r="P277" s="228">
        <v>2100</v>
      </c>
      <c r="Q277" s="228">
        <v>15120000</v>
      </c>
    </row>
    <row r="278" spans="1:17">
      <c r="A278"/>
      <c r="B278" s="165" t="s">
        <v>216</v>
      </c>
      <c r="C278" s="165">
        <v>7200</v>
      </c>
      <c r="D278" s="228"/>
      <c r="E278" s="228"/>
      <c r="F278" s="228"/>
      <c r="G278" s="228"/>
      <c r="H278" s="228"/>
      <c r="I278" s="228"/>
      <c r="J278" s="228"/>
      <c r="K278" s="228"/>
      <c r="L278" s="228">
        <v>5100</v>
      </c>
      <c r="M278" s="228">
        <v>36720000</v>
      </c>
      <c r="N278" s="228"/>
      <c r="O278" s="228"/>
      <c r="P278" s="228">
        <v>5100</v>
      </c>
      <c r="Q278" s="228">
        <v>36720000</v>
      </c>
    </row>
    <row r="279" spans="1:17">
      <c r="A279"/>
      <c r="B279" s="165" t="s">
        <v>116</v>
      </c>
      <c r="C279" s="165">
        <v>8000</v>
      </c>
      <c r="D279" s="228"/>
      <c r="E279" s="228"/>
      <c r="F279" s="228"/>
      <c r="G279" s="228"/>
      <c r="H279" s="228"/>
      <c r="I279" s="228"/>
      <c r="J279" s="228"/>
      <c r="K279" s="228"/>
      <c r="L279" s="228">
        <v>3000</v>
      </c>
      <c r="M279" s="228">
        <v>24000000</v>
      </c>
      <c r="N279" s="228"/>
      <c r="O279" s="228"/>
      <c r="P279" s="228">
        <v>3000</v>
      </c>
      <c r="Q279" s="228">
        <v>24000000</v>
      </c>
    </row>
    <row r="280" spans="1:17">
      <c r="A280" s="165" t="s">
        <v>2061</v>
      </c>
      <c r="B280" s="165" t="s">
        <v>195</v>
      </c>
      <c r="C280" s="165">
        <v>9600</v>
      </c>
      <c r="D280" s="228"/>
      <c r="E280" s="228"/>
      <c r="F280" s="228"/>
      <c r="G280" s="228"/>
      <c r="H280" s="228"/>
      <c r="I280" s="228"/>
      <c r="J280" s="228"/>
      <c r="K280" s="228"/>
      <c r="L280" s="228">
        <v>8100</v>
      </c>
      <c r="M280" s="228">
        <v>77760000</v>
      </c>
      <c r="N280" s="228"/>
      <c r="O280" s="228"/>
      <c r="P280" s="228">
        <v>8100</v>
      </c>
      <c r="Q280" s="228">
        <v>77760000</v>
      </c>
    </row>
    <row r="281" spans="1:17">
      <c r="A281"/>
      <c r="B281" s="165" t="s">
        <v>1864</v>
      </c>
      <c r="C281" s="165">
        <v>9600</v>
      </c>
      <c r="D281" s="228"/>
      <c r="E281" s="228"/>
      <c r="F281" s="228"/>
      <c r="G281" s="228"/>
      <c r="H281" s="228"/>
      <c r="I281" s="228"/>
      <c r="J281" s="228"/>
      <c r="K281" s="228"/>
      <c r="L281" s="228">
        <v>1200</v>
      </c>
      <c r="M281" s="228">
        <v>11520000</v>
      </c>
      <c r="N281" s="228"/>
      <c r="O281" s="228"/>
      <c r="P281" s="228">
        <v>1200</v>
      </c>
      <c r="Q281" s="228">
        <v>11520000</v>
      </c>
    </row>
    <row r="282" spans="1:17">
      <c r="A282" s="165" t="s">
        <v>2011</v>
      </c>
      <c r="B282" s="165" t="s">
        <v>168</v>
      </c>
      <c r="C282" s="165">
        <v>10500</v>
      </c>
      <c r="D282" s="228"/>
      <c r="E282" s="228"/>
      <c r="F282" s="228"/>
      <c r="G282" s="228"/>
      <c r="H282" s="228"/>
      <c r="I282" s="228"/>
      <c r="J282" s="228"/>
      <c r="K282" s="228"/>
      <c r="L282" s="228">
        <v>20000</v>
      </c>
      <c r="M282" s="228">
        <v>210000000</v>
      </c>
      <c r="N282" s="228"/>
      <c r="O282" s="228"/>
      <c r="P282" s="228">
        <v>20000</v>
      </c>
      <c r="Q282" s="228">
        <v>210000000</v>
      </c>
    </row>
    <row r="283" spans="1:17">
      <c r="A283"/>
      <c r="B283" s="165" t="s">
        <v>1379</v>
      </c>
      <c r="C283" s="165">
        <v>10600</v>
      </c>
      <c r="D283" s="228"/>
      <c r="E283" s="228"/>
      <c r="F283" s="228"/>
      <c r="G283" s="228"/>
      <c r="H283" s="228"/>
      <c r="I283" s="228"/>
      <c r="J283" s="228"/>
      <c r="K283" s="228"/>
      <c r="L283" s="228">
        <v>3000</v>
      </c>
      <c r="M283" s="228">
        <v>31800000</v>
      </c>
      <c r="N283" s="228"/>
      <c r="O283" s="228"/>
      <c r="P283" s="228">
        <v>3000</v>
      </c>
      <c r="Q283" s="228">
        <v>31800000</v>
      </c>
    </row>
    <row r="284" spans="1:17">
      <c r="A284"/>
      <c r="B284" s="165" t="s">
        <v>1241</v>
      </c>
      <c r="C284" s="165">
        <v>10600</v>
      </c>
      <c r="D284" s="228"/>
      <c r="E284" s="228"/>
      <c r="F284" s="228"/>
      <c r="G284" s="228"/>
      <c r="H284" s="228"/>
      <c r="I284" s="228"/>
      <c r="J284" s="228"/>
      <c r="K284" s="228"/>
      <c r="L284" s="228">
        <v>10000</v>
      </c>
      <c r="M284" s="228">
        <v>106000000</v>
      </c>
      <c r="N284" s="228"/>
      <c r="O284" s="228"/>
      <c r="P284" s="228">
        <v>10000</v>
      </c>
      <c r="Q284" s="228">
        <v>106000000</v>
      </c>
    </row>
    <row r="285" spans="1:17">
      <c r="A285"/>
      <c r="B285" s="165" t="s">
        <v>983</v>
      </c>
      <c r="C285" s="165">
        <v>10600</v>
      </c>
      <c r="D285" s="228"/>
      <c r="E285" s="228"/>
      <c r="F285" s="228"/>
      <c r="G285" s="228"/>
      <c r="H285" s="228"/>
      <c r="I285" s="228"/>
      <c r="J285" s="228"/>
      <c r="K285" s="228"/>
      <c r="L285" s="228">
        <v>5000</v>
      </c>
      <c r="M285" s="228">
        <v>53000000</v>
      </c>
      <c r="N285" s="228"/>
      <c r="O285" s="228"/>
      <c r="P285" s="228">
        <v>5000</v>
      </c>
      <c r="Q285" s="228">
        <v>53000000</v>
      </c>
    </row>
    <row r="286" spans="1:17">
      <c r="A286"/>
      <c r="B286" s="165" t="s">
        <v>111</v>
      </c>
      <c r="C286" s="165">
        <v>10500</v>
      </c>
      <c r="D286" s="228"/>
      <c r="E286" s="228"/>
      <c r="F286" s="228"/>
      <c r="G286" s="228"/>
      <c r="H286" s="228"/>
      <c r="I286" s="228"/>
      <c r="J286" s="228"/>
      <c r="K286" s="228"/>
      <c r="L286" s="228">
        <v>2000</v>
      </c>
      <c r="M286" s="228">
        <v>21000000</v>
      </c>
      <c r="N286" s="228"/>
      <c r="O286" s="228"/>
      <c r="P286" s="228">
        <v>2000</v>
      </c>
      <c r="Q286" s="228">
        <v>21000000</v>
      </c>
    </row>
    <row r="287" spans="1:17">
      <c r="A287"/>
      <c r="B287" s="165" t="s">
        <v>289</v>
      </c>
      <c r="C287" s="165">
        <v>10500</v>
      </c>
      <c r="D287" s="228"/>
      <c r="E287" s="228"/>
      <c r="F287" s="228"/>
      <c r="G287" s="228"/>
      <c r="H287" s="228"/>
      <c r="I287" s="228"/>
      <c r="J287" s="228"/>
      <c r="K287" s="228"/>
      <c r="L287" s="228">
        <v>750</v>
      </c>
      <c r="M287" s="228">
        <v>7875000</v>
      </c>
      <c r="N287" s="228"/>
      <c r="O287" s="228"/>
      <c r="P287" s="228">
        <v>750</v>
      </c>
      <c r="Q287" s="228">
        <v>7875000</v>
      </c>
    </row>
    <row r="288" spans="1:17">
      <c r="A288"/>
      <c r="B288" s="165" t="s">
        <v>1279</v>
      </c>
      <c r="C288" s="165">
        <v>10600</v>
      </c>
      <c r="D288" s="228"/>
      <c r="E288" s="228"/>
      <c r="F288" s="228"/>
      <c r="G288" s="228"/>
      <c r="H288" s="228"/>
      <c r="I288" s="228"/>
      <c r="J288" s="228"/>
      <c r="K288" s="228"/>
      <c r="L288" s="228">
        <v>1000</v>
      </c>
      <c r="M288" s="228">
        <v>10600000</v>
      </c>
      <c r="N288" s="228"/>
      <c r="O288" s="228"/>
      <c r="P288" s="228">
        <v>1000</v>
      </c>
      <c r="Q288" s="228">
        <v>10600000</v>
      </c>
    </row>
    <row r="289" spans="1:17">
      <c r="A289"/>
      <c r="B289" s="165" t="s">
        <v>911</v>
      </c>
      <c r="C289" s="165">
        <v>10500</v>
      </c>
      <c r="D289" s="228"/>
      <c r="E289" s="228"/>
      <c r="F289" s="228"/>
      <c r="G289" s="228"/>
      <c r="H289" s="228"/>
      <c r="I289" s="228"/>
      <c r="J289" s="228"/>
      <c r="K289" s="228"/>
      <c r="L289" s="228">
        <v>20000</v>
      </c>
      <c r="M289" s="228">
        <v>210000000</v>
      </c>
      <c r="N289" s="228"/>
      <c r="O289" s="228"/>
      <c r="P289" s="228">
        <v>20000</v>
      </c>
      <c r="Q289" s="228">
        <v>210000000</v>
      </c>
    </row>
    <row r="290" spans="1:17">
      <c r="A290"/>
      <c r="B290" s="165" t="s">
        <v>257</v>
      </c>
      <c r="C290" s="165">
        <v>10500</v>
      </c>
      <c r="D290" s="228"/>
      <c r="E290" s="228"/>
      <c r="F290" s="228"/>
      <c r="G290" s="228"/>
      <c r="H290" s="228"/>
      <c r="I290" s="228"/>
      <c r="J290" s="228"/>
      <c r="K290" s="228"/>
      <c r="L290" s="228">
        <v>3000</v>
      </c>
      <c r="M290" s="228">
        <v>31500000</v>
      </c>
      <c r="N290" s="228"/>
      <c r="O290" s="228"/>
      <c r="P290" s="228">
        <v>3000</v>
      </c>
      <c r="Q290" s="228">
        <v>31500000</v>
      </c>
    </row>
    <row r="291" spans="1:17">
      <c r="A291"/>
      <c r="B291" s="165" t="s">
        <v>270</v>
      </c>
      <c r="C291" s="165">
        <v>10500</v>
      </c>
      <c r="D291" s="228"/>
      <c r="E291" s="228"/>
      <c r="F291" s="228"/>
      <c r="G291" s="228"/>
      <c r="H291" s="228"/>
      <c r="I291" s="228"/>
      <c r="J291" s="228"/>
      <c r="K291" s="228"/>
      <c r="L291" s="228">
        <v>8000</v>
      </c>
      <c r="M291" s="228">
        <v>84000000</v>
      </c>
      <c r="N291" s="228"/>
      <c r="O291" s="228"/>
      <c r="P291" s="228">
        <v>8000</v>
      </c>
      <c r="Q291" s="228">
        <v>84000000</v>
      </c>
    </row>
    <row r="292" spans="1:17">
      <c r="A292"/>
      <c r="B292" s="165" t="s">
        <v>1429</v>
      </c>
      <c r="C292" s="165">
        <v>10600</v>
      </c>
      <c r="D292" s="228"/>
      <c r="E292" s="228"/>
      <c r="F292" s="228"/>
      <c r="G292" s="228"/>
      <c r="H292" s="228"/>
      <c r="I292" s="228"/>
      <c r="J292" s="228"/>
      <c r="K292" s="228"/>
      <c r="L292" s="228">
        <v>4000</v>
      </c>
      <c r="M292" s="228">
        <v>42400000</v>
      </c>
      <c r="N292" s="228"/>
      <c r="O292" s="228"/>
      <c r="P292" s="228">
        <v>4000</v>
      </c>
      <c r="Q292" s="228">
        <v>42400000</v>
      </c>
    </row>
    <row r="293" spans="1:17">
      <c r="A293"/>
      <c r="B293" s="165" t="s">
        <v>1428</v>
      </c>
      <c r="C293" s="165">
        <v>10500</v>
      </c>
      <c r="D293" s="228"/>
      <c r="E293" s="228"/>
      <c r="F293" s="228"/>
      <c r="G293" s="228"/>
      <c r="H293" s="228"/>
      <c r="I293" s="228"/>
      <c r="J293" s="228"/>
      <c r="K293" s="228"/>
      <c r="L293" s="228">
        <v>750</v>
      </c>
      <c r="M293" s="228">
        <v>7875000</v>
      </c>
      <c r="N293" s="228"/>
      <c r="O293" s="228"/>
      <c r="P293" s="228">
        <v>750</v>
      </c>
      <c r="Q293" s="228">
        <v>7875000</v>
      </c>
    </row>
    <row r="294" spans="1:17">
      <c r="A294"/>
      <c r="B294"/>
      <c r="C294" s="165">
        <v>10600</v>
      </c>
      <c r="D294" s="228"/>
      <c r="E294" s="228"/>
      <c r="F294" s="228"/>
      <c r="G294" s="228"/>
      <c r="H294" s="228"/>
      <c r="I294" s="228"/>
      <c r="J294" s="228"/>
      <c r="K294" s="228"/>
      <c r="L294" s="228">
        <v>1250</v>
      </c>
      <c r="M294" s="228">
        <v>13250000</v>
      </c>
      <c r="N294" s="228"/>
      <c r="O294" s="228"/>
      <c r="P294" s="228">
        <v>1250</v>
      </c>
      <c r="Q294" s="228">
        <v>13250000</v>
      </c>
    </row>
    <row r="295" spans="1:17">
      <c r="A295"/>
      <c r="B295" s="165" t="s">
        <v>1483</v>
      </c>
      <c r="C295" s="165">
        <v>10600</v>
      </c>
      <c r="D295" s="228">
        <v>0</v>
      </c>
      <c r="E295" s="228">
        <v>0</v>
      </c>
      <c r="F295" s="228"/>
      <c r="G295" s="228"/>
      <c r="H295" s="228"/>
      <c r="I295" s="228"/>
      <c r="J295" s="228"/>
      <c r="K295" s="228"/>
      <c r="L295" s="228"/>
      <c r="M295" s="228"/>
      <c r="N295" s="228"/>
      <c r="O295" s="228"/>
      <c r="P295" s="228">
        <v>0</v>
      </c>
      <c r="Q295" s="228">
        <v>0</v>
      </c>
    </row>
    <row r="296" spans="1:17">
      <c r="A296"/>
      <c r="B296" s="165" t="s">
        <v>1798</v>
      </c>
      <c r="C296" s="165">
        <v>10600</v>
      </c>
      <c r="D296" s="228"/>
      <c r="E296" s="228"/>
      <c r="F296" s="228"/>
      <c r="G296" s="228"/>
      <c r="H296" s="228"/>
      <c r="I296" s="228"/>
      <c r="J296" s="228"/>
      <c r="K296" s="228"/>
      <c r="L296" s="228">
        <v>7000</v>
      </c>
      <c r="M296" s="228">
        <v>74200000</v>
      </c>
      <c r="N296" s="228"/>
      <c r="O296" s="228"/>
      <c r="P296" s="228">
        <v>7000</v>
      </c>
      <c r="Q296" s="228">
        <v>74200000</v>
      </c>
    </row>
    <row r="297" spans="1:17">
      <c r="A297"/>
      <c r="B297" s="165" t="s">
        <v>710</v>
      </c>
      <c r="C297" s="165">
        <v>10500</v>
      </c>
      <c r="D297" s="228"/>
      <c r="E297" s="228"/>
      <c r="F297" s="228"/>
      <c r="G297" s="228"/>
      <c r="H297" s="228"/>
      <c r="I297" s="228"/>
      <c r="J297" s="228"/>
      <c r="K297" s="228"/>
      <c r="L297" s="228">
        <v>10000</v>
      </c>
      <c r="M297" s="228">
        <v>105000000</v>
      </c>
      <c r="N297" s="228"/>
      <c r="O297" s="228"/>
      <c r="P297" s="228">
        <v>10000</v>
      </c>
      <c r="Q297" s="228">
        <v>105000000</v>
      </c>
    </row>
    <row r="298" spans="1:17">
      <c r="A298"/>
      <c r="B298" s="165" t="s">
        <v>162</v>
      </c>
      <c r="C298" s="165">
        <v>10500</v>
      </c>
      <c r="D298" s="228"/>
      <c r="E298" s="228"/>
      <c r="F298" s="228"/>
      <c r="G298" s="228"/>
      <c r="H298" s="228"/>
      <c r="I298" s="228"/>
      <c r="J298" s="228"/>
      <c r="K298" s="228"/>
      <c r="L298" s="228">
        <v>3000</v>
      </c>
      <c r="M298" s="228">
        <v>31500000</v>
      </c>
      <c r="N298" s="228"/>
      <c r="O298" s="228"/>
      <c r="P298" s="228">
        <v>3000</v>
      </c>
      <c r="Q298" s="228">
        <v>31500000</v>
      </c>
    </row>
    <row r="299" spans="1:17">
      <c r="A299"/>
      <c r="B299" s="165" t="s">
        <v>786</v>
      </c>
      <c r="C299" s="165">
        <v>0</v>
      </c>
      <c r="D299" s="228"/>
      <c r="E299" s="228"/>
      <c r="F299" s="228"/>
      <c r="G299" s="228"/>
      <c r="H299" s="228"/>
      <c r="I299" s="228"/>
      <c r="J299" s="228"/>
      <c r="K299" s="228"/>
      <c r="L299" s="228">
        <v>1625</v>
      </c>
      <c r="M299" s="228">
        <v>0</v>
      </c>
      <c r="N299" s="228"/>
      <c r="O299" s="228"/>
      <c r="P299" s="228">
        <v>1625</v>
      </c>
      <c r="Q299" s="228">
        <v>0</v>
      </c>
    </row>
    <row r="300" spans="1:17">
      <c r="A300"/>
      <c r="B300" s="165" t="s">
        <v>980</v>
      </c>
      <c r="C300" s="165">
        <v>10500</v>
      </c>
      <c r="D300" s="228"/>
      <c r="E300" s="228"/>
      <c r="F300" s="228"/>
      <c r="G300" s="228"/>
      <c r="H300" s="228"/>
      <c r="I300" s="228"/>
      <c r="J300" s="228"/>
      <c r="K300" s="228"/>
      <c r="L300" s="228">
        <v>6000</v>
      </c>
      <c r="M300" s="228">
        <v>63000000</v>
      </c>
      <c r="N300" s="228"/>
      <c r="O300" s="228"/>
      <c r="P300" s="228">
        <v>6000</v>
      </c>
      <c r="Q300" s="228">
        <v>63000000</v>
      </c>
    </row>
    <row r="301" spans="1:17">
      <c r="A301"/>
      <c r="B301" s="165" t="s">
        <v>282</v>
      </c>
      <c r="C301" s="165">
        <v>10500</v>
      </c>
      <c r="D301" s="228"/>
      <c r="E301" s="228"/>
      <c r="F301" s="228"/>
      <c r="G301" s="228"/>
      <c r="H301" s="228"/>
      <c r="I301" s="228"/>
      <c r="J301" s="228"/>
      <c r="K301" s="228"/>
      <c r="L301" s="228">
        <v>5000</v>
      </c>
      <c r="M301" s="228">
        <v>52500000</v>
      </c>
      <c r="N301" s="228"/>
      <c r="O301" s="228"/>
      <c r="P301" s="228">
        <v>5000</v>
      </c>
      <c r="Q301" s="228">
        <v>52500000</v>
      </c>
    </row>
    <row r="302" spans="1:17">
      <c r="A302"/>
      <c r="B302" s="165" t="s">
        <v>245</v>
      </c>
      <c r="C302" s="165">
        <v>10600</v>
      </c>
      <c r="D302" s="228"/>
      <c r="E302" s="228"/>
      <c r="F302" s="228"/>
      <c r="G302" s="228"/>
      <c r="H302" s="228"/>
      <c r="I302" s="228"/>
      <c r="J302" s="228"/>
      <c r="K302" s="228"/>
      <c r="L302" s="228">
        <v>5000</v>
      </c>
      <c r="M302" s="228">
        <v>53000000</v>
      </c>
      <c r="N302" s="228"/>
      <c r="O302" s="228"/>
      <c r="P302" s="228">
        <v>5000</v>
      </c>
      <c r="Q302" s="228">
        <v>53000000</v>
      </c>
    </row>
    <row r="303" spans="1:17">
      <c r="A303"/>
      <c r="B303" s="165" t="s">
        <v>1237</v>
      </c>
      <c r="C303" s="165">
        <v>10600</v>
      </c>
      <c r="D303" s="228"/>
      <c r="E303" s="228"/>
      <c r="F303" s="228"/>
      <c r="G303" s="228"/>
      <c r="H303" s="228"/>
      <c r="I303" s="228"/>
      <c r="J303" s="228"/>
      <c r="K303" s="228"/>
      <c r="L303" s="228">
        <v>10000</v>
      </c>
      <c r="M303" s="228">
        <v>106000000</v>
      </c>
      <c r="N303" s="228"/>
      <c r="O303" s="228"/>
      <c r="P303" s="228">
        <v>10000</v>
      </c>
      <c r="Q303" s="228">
        <v>106000000</v>
      </c>
    </row>
    <row r="304" spans="1:17">
      <c r="A304"/>
      <c r="B304" s="165" t="s">
        <v>1619</v>
      </c>
      <c r="C304" s="165">
        <v>12000</v>
      </c>
      <c r="D304" s="228"/>
      <c r="E304" s="228"/>
      <c r="F304" s="228"/>
      <c r="G304" s="228"/>
      <c r="H304" s="228"/>
      <c r="I304" s="228"/>
      <c r="J304" s="228"/>
      <c r="K304" s="228"/>
      <c r="L304" s="228">
        <v>5000</v>
      </c>
      <c r="M304" s="228">
        <v>60000000</v>
      </c>
      <c r="N304" s="228"/>
      <c r="O304" s="228"/>
      <c r="P304" s="228">
        <v>5000</v>
      </c>
      <c r="Q304" s="228">
        <v>60000000</v>
      </c>
    </row>
    <row r="305" spans="1:17">
      <c r="A305"/>
      <c r="B305" s="165" t="s">
        <v>388</v>
      </c>
      <c r="C305" s="165">
        <v>10500</v>
      </c>
      <c r="D305" s="228"/>
      <c r="E305" s="228"/>
      <c r="F305" s="228"/>
      <c r="G305" s="228"/>
      <c r="H305" s="228"/>
      <c r="I305" s="228"/>
      <c r="J305" s="228"/>
      <c r="K305" s="228"/>
      <c r="L305" s="228">
        <v>8000</v>
      </c>
      <c r="M305" s="228">
        <v>84000000</v>
      </c>
      <c r="N305" s="228"/>
      <c r="O305" s="228"/>
      <c r="P305" s="228">
        <v>8000</v>
      </c>
      <c r="Q305" s="228">
        <v>84000000</v>
      </c>
    </row>
    <row r="306" spans="1:17">
      <c r="A306"/>
      <c r="B306"/>
      <c r="C306" s="165">
        <v>10600</v>
      </c>
      <c r="D306" s="228"/>
      <c r="E306" s="228"/>
      <c r="F306" s="228"/>
      <c r="G306" s="228"/>
      <c r="H306" s="228"/>
      <c r="I306" s="228"/>
      <c r="J306" s="228"/>
      <c r="K306" s="228"/>
      <c r="L306" s="228">
        <v>5000</v>
      </c>
      <c r="M306" s="228">
        <v>53000000</v>
      </c>
      <c r="N306" s="228"/>
      <c r="O306" s="228"/>
      <c r="P306" s="228">
        <v>5000</v>
      </c>
      <c r="Q306" s="228">
        <v>53000000</v>
      </c>
    </row>
    <row r="307" spans="1:17">
      <c r="A307"/>
      <c r="B307" s="165" t="s">
        <v>1167</v>
      </c>
      <c r="C307" s="165">
        <v>10600</v>
      </c>
      <c r="D307" s="228"/>
      <c r="E307" s="228"/>
      <c r="F307" s="228"/>
      <c r="G307" s="228"/>
      <c r="H307" s="228"/>
      <c r="I307" s="228"/>
      <c r="J307" s="228"/>
      <c r="K307" s="228"/>
      <c r="L307" s="228">
        <v>20000</v>
      </c>
      <c r="M307" s="228">
        <v>212000000</v>
      </c>
      <c r="N307" s="228"/>
      <c r="O307" s="228"/>
      <c r="P307" s="228">
        <v>20000</v>
      </c>
      <c r="Q307" s="228">
        <v>212000000</v>
      </c>
    </row>
    <row r="308" spans="1:17">
      <c r="A308"/>
      <c r="B308" s="165" t="s">
        <v>253</v>
      </c>
      <c r="C308" s="165">
        <v>10500</v>
      </c>
      <c r="D308" s="228"/>
      <c r="E308" s="228"/>
      <c r="F308" s="228"/>
      <c r="G308" s="228"/>
      <c r="H308" s="228"/>
      <c r="I308" s="228"/>
      <c r="J308" s="228"/>
      <c r="K308" s="228"/>
      <c r="L308" s="228">
        <v>16000</v>
      </c>
      <c r="M308" s="228">
        <v>168000000</v>
      </c>
      <c r="N308" s="228"/>
      <c r="O308" s="228"/>
      <c r="P308" s="228">
        <v>16000</v>
      </c>
      <c r="Q308" s="228">
        <v>168000000</v>
      </c>
    </row>
    <row r="309" spans="1:17">
      <c r="A309"/>
      <c r="B309" s="165" t="s">
        <v>1818</v>
      </c>
      <c r="C309" s="165">
        <v>10600</v>
      </c>
      <c r="D309" s="228"/>
      <c r="E309" s="228"/>
      <c r="F309" s="228"/>
      <c r="G309" s="228"/>
      <c r="H309" s="228"/>
      <c r="I309" s="228"/>
      <c r="J309" s="228"/>
      <c r="K309" s="228"/>
      <c r="L309" s="228">
        <v>10000</v>
      </c>
      <c r="M309" s="228">
        <v>106000000</v>
      </c>
      <c r="N309" s="228"/>
      <c r="O309" s="228"/>
      <c r="P309" s="228">
        <v>10000</v>
      </c>
      <c r="Q309" s="228">
        <v>106000000</v>
      </c>
    </row>
    <row r="310" spans="1:17">
      <c r="A310"/>
      <c r="B310" s="165" t="s">
        <v>827</v>
      </c>
      <c r="C310" s="165">
        <v>10600</v>
      </c>
      <c r="D310" s="228">
        <v>0</v>
      </c>
      <c r="E310" s="228">
        <v>0</v>
      </c>
      <c r="F310" s="228"/>
      <c r="G310" s="228"/>
      <c r="H310" s="228"/>
      <c r="I310" s="228"/>
      <c r="J310" s="228"/>
      <c r="K310" s="228"/>
      <c r="L310" s="228"/>
      <c r="M310" s="228"/>
      <c r="N310" s="228"/>
      <c r="O310" s="228"/>
      <c r="P310" s="228">
        <v>0</v>
      </c>
      <c r="Q310" s="228">
        <v>0</v>
      </c>
    </row>
    <row r="311" spans="1:17">
      <c r="A311"/>
      <c r="B311" s="165" t="s">
        <v>182</v>
      </c>
      <c r="C311" s="165">
        <v>10500</v>
      </c>
      <c r="D311" s="228">
        <v>0</v>
      </c>
      <c r="E311" s="228">
        <v>0</v>
      </c>
      <c r="F311" s="228"/>
      <c r="G311" s="228"/>
      <c r="H311" s="228"/>
      <c r="I311" s="228"/>
      <c r="J311" s="228"/>
      <c r="K311" s="228"/>
      <c r="L311" s="228"/>
      <c r="M311" s="228"/>
      <c r="N311" s="228"/>
      <c r="O311" s="228"/>
      <c r="P311" s="228">
        <v>0</v>
      </c>
      <c r="Q311" s="228">
        <v>0</v>
      </c>
    </row>
    <row r="312" spans="1:17">
      <c r="A312"/>
      <c r="B312" s="165" t="s">
        <v>120</v>
      </c>
      <c r="C312" s="165">
        <v>10500</v>
      </c>
      <c r="D312" s="228"/>
      <c r="E312" s="228"/>
      <c r="F312" s="228"/>
      <c r="G312" s="228"/>
      <c r="H312" s="228"/>
      <c r="I312" s="228"/>
      <c r="J312" s="228"/>
      <c r="K312" s="228"/>
      <c r="L312" s="228">
        <v>5000</v>
      </c>
      <c r="M312" s="228">
        <v>52500000</v>
      </c>
      <c r="N312" s="228"/>
      <c r="O312" s="228"/>
      <c r="P312" s="228">
        <v>5000</v>
      </c>
      <c r="Q312" s="228">
        <v>52500000</v>
      </c>
    </row>
    <row r="313" spans="1:17">
      <c r="A313"/>
      <c r="B313"/>
      <c r="C313" s="165">
        <v>10600</v>
      </c>
      <c r="D313" s="228"/>
      <c r="E313" s="228"/>
      <c r="F313" s="228"/>
      <c r="G313" s="228"/>
      <c r="H313" s="228"/>
      <c r="I313" s="228"/>
      <c r="J313" s="228"/>
      <c r="K313" s="228"/>
      <c r="L313" s="228">
        <v>1000</v>
      </c>
      <c r="M313" s="228">
        <v>10600000</v>
      </c>
      <c r="N313" s="228"/>
      <c r="O313" s="228"/>
      <c r="P313" s="228">
        <v>1000</v>
      </c>
      <c r="Q313" s="228">
        <v>10600000</v>
      </c>
    </row>
    <row r="314" spans="1:17">
      <c r="A314"/>
      <c r="B314" s="165" t="s">
        <v>1098</v>
      </c>
      <c r="C314" s="165">
        <v>10600</v>
      </c>
      <c r="D314" s="228"/>
      <c r="E314" s="228"/>
      <c r="F314" s="228"/>
      <c r="G314" s="228"/>
      <c r="H314" s="228"/>
      <c r="I314" s="228"/>
      <c r="J314" s="228"/>
      <c r="K314" s="228"/>
      <c r="L314" s="228">
        <v>2000</v>
      </c>
      <c r="M314" s="228">
        <v>21200000</v>
      </c>
      <c r="N314" s="228"/>
      <c r="O314" s="228"/>
      <c r="P314" s="228">
        <v>2000</v>
      </c>
      <c r="Q314" s="228">
        <v>21200000</v>
      </c>
    </row>
    <row r="315" spans="1:17">
      <c r="A315"/>
      <c r="B315" s="165" t="s">
        <v>1018</v>
      </c>
      <c r="C315" s="165">
        <v>10600</v>
      </c>
      <c r="D315" s="228">
        <v>0</v>
      </c>
      <c r="E315" s="228">
        <v>0</v>
      </c>
      <c r="F315" s="228"/>
      <c r="G315" s="228"/>
      <c r="H315" s="228"/>
      <c r="I315" s="228"/>
      <c r="J315" s="228"/>
      <c r="K315" s="228"/>
      <c r="L315" s="228"/>
      <c r="M315" s="228"/>
      <c r="N315" s="228"/>
      <c r="O315" s="228"/>
      <c r="P315" s="228">
        <v>0</v>
      </c>
      <c r="Q315" s="228">
        <v>0</v>
      </c>
    </row>
    <row r="316" spans="1:17">
      <c r="A316"/>
      <c r="B316" s="165" t="s">
        <v>1564</v>
      </c>
      <c r="C316" s="165">
        <v>10600</v>
      </c>
      <c r="D316" s="228"/>
      <c r="E316" s="228"/>
      <c r="F316" s="228"/>
      <c r="G316" s="228"/>
      <c r="H316" s="228"/>
      <c r="I316" s="228"/>
      <c r="J316" s="228"/>
      <c r="K316" s="228"/>
      <c r="L316" s="228">
        <v>13000</v>
      </c>
      <c r="M316" s="228">
        <v>137800000</v>
      </c>
      <c r="N316" s="228"/>
      <c r="O316" s="228"/>
      <c r="P316" s="228">
        <v>13000</v>
      </c>
      <c r="Q316" s="228">
        <v>137800000</v>
      </c>
    </row>
    <row r="317" spans="1:17">
      <c r="A317"/>
      <c r="B317" s="165" t="s">
        <v>476</v>
      </c>
      <c r="C317" s="165">
        <v>10500</v>
      </c>
      <c r="D317" s="228"/>
      <c r="E317" s="228"/>
      <c r="F317" s="228"/>
      <c r="G317" s="228"/>
      <c r="H317" s="228"/>
      <c r="I317" s="228"/>
      <c r="J317" s="228"/>
      <c r="K317" s="228"/>
      <c r="L317" s="228">
        <v>10000</v>
      </c>
      <c r="M317" s="228">
        <v>105000000</v>
      </c>
      <c r="N317" s="228"/>
      <c r="O317" s="228"/>
      <c r="P317" s="228">
        <v>10000</v>
      </c>
      <c r="Q317" s="228">
        <v>105000000</v>
      </c>
    </row>
    <row r="318" spans="1:17">
      <c r="A318"/>
      <c r="B318" s="165" t="s">
        <v>817</v>
      </c>
      <c r="C318" s="165">
        <v>10500</v>
      </c>
      <c r="D318" s="228"/>
      <c r="E318" s="228"/>
      <c r="F318" s="228"/>
      <c r="G318" s="228"/>
      <c r="H318" s="228"/>
      <c r="I318" s="228"/>
      <c r="J318" s="228"/>
      <c r="K318" s="228"/>
      <c r="L318" s="228">
        <v>10000</v>
      </c>
      <c r="M318" s="228">
        <v>105000000</v>
      </c>
      <c r="N318" s="228"/>
      <c r="O318" s="228"/>
      <c r="P318" s="228">
        <v>10000</v>
      </c>
      <c r="Q318" s="228">
        <v>105000000</v>
      </c>
    </row>
    <row r="319" spans="1:17">
      <c r="A319"/>
      <c r="B319" s="165" t="s">
        <v>130</v>
      </c>
      <c r="C319" s="165">
        <v>10500</v>
      </c>
      <c r="D319" s="228"/>
      <c r="E319" s="228"/>
      <c r="F319" s="228"/>
      <c r="G319" s="228"/>
      <c r="H319" s="228"/>
      <c r="I319" s="228"/>
      <c r="J319" s="228"/>
      <c r="K319" s="228"/>
      <c r="L319" s="228">
        <v>3000</v>
      </c>
      <c r="M319" s="228">
        <v>31500000</v>
      </c>
      <c r="N319" s="228"/>
      <c r="O319" s="228"/>
      <c r="P319" s="228">
        <v>3000</v>
      </c>
      <c r="Q319" s="228">
        <v>31500000</v>
      </c>
    </row>
    <row r="320" spans="1:17">
      <c r="A320"/>
      <c r="B320" s="165" t="s">
        <v>188</v>
      </c>
      <c r="C320" s="165">
        <v>10600</v>
      </c>
      <c r="D320" s="228"/>
      <c r="E320" s="228"/>
      <c r="F320" s="228"/>
      <c r="G320" s="228"/>
      <c r="H320" s="228"/>
      <c r="I320" s="228"/>
      <c r="J320" s="228"/>
      <c r="K320" s="228"/>
      <c r="L320" s="228">
        <v>25000</v>
      </c>
      <c r="M320" s="228">
        <v>265000000</v>
      </c>
      <c r="N320" s="228"/>
      <c r="O320" s="228"/>
      <c r="P320" s="228">
        <v>25000</v>
      </c>
      <c r="Q320" s="228">
        <v>265000000</v>
      </c>
    </row>
    <row r="321" spans="1:17">
      <c r="A321"/>
      <c r="B321" s="165" t="s">
        <v>1009</v>
      </c>
      <c r="C321" s="165">
        <v>10500</v>
      </c>
      <c r="D321" s="228"/>
      <c r="E321" s="228"/>
      <c r="F321" s="228"/>
      <c r="G321" s="228"/>
      <c r="H321" s="228"/>
      <c r="I321" s="228"/>
      <c r="J321" s="228"/>
      <c r="K321" s="228"/>
      <c r="L321" s="228">
        <v>10000</v>
      </c>
      <c r="M321" s="228">
        <v>105000000</v>
      </c>
      <c r="N321" s="228"/>
      <c r="O321" s="228"/>
      <c r="P321" s="228">
        <v>10000</v>
      </c>
      <c r="Q321" s="228">
        <v>105000000</v>
      </c>
    </row>
    <row r="322" spans="1:17">
      <c r="A322"/>
      <c r="B322" s="165" t="s">
        <v>921</v>
      </c>
      <c r="C322" s="165">
        <v>10600</v>
      </c>
      <c r="D322" s="228"/>
      <c r="E322" s="228"/>
      <c r="F322" s="228"/>
      <c r="G322" s="228"/>
      <c r="H322" s="228"/>
      <c r="I322" s="228"/>
      <c r="J322" s="228"/>
      <c r="K322" s="228"/>
      <c r="L322" s="228">
        <v>60000</v>
      </c>
      <c r="M322" s="228">
        <v>636000000</v>
      </c>
      <c r="N322" s="228"/>
      <c r="O322" s="228"/>
      <c r="P322" s="228">
        <v>60000</v>
      </c>
      <c r="Q322" s="228">
        <v>636000000</v>
      </c>
    </row>
    <row r="323" spans="1:17">
      <c r="A323"/>
      <c r="B323" s="165" t="s">
        <v>1589</v>
      </c>
      <c r="C323" s="165">
        <v>10600</v>
      </c>
      <c r="D323" s="228"/>
      <c r="E323" s="228"/>
      <c r="F323" s="228"/>
      <c r="G323" s="228"/>
      <c r="H323" s="228"/>
      <c r="I323" s="228"/>
      <c r="J323" s="228"/>
      <c r="K323" s="228"/>
      <c r="L323" s="228">
        <v>7000</v>
      </c>
      <c r="M323" s="228">
        <v>74200000</v>
      </c>
      <c r="N323" s="228"/>
      <c r="O323" s="228"/>
      <c r="P323" s="228">
        <v>7000</v>
      </c>
      <c r="Q323" s="228">
        <v>74200000</v>
      </c>
    </row>
    <row r="324" spans="1:17">
      <c r="A324"/>
      <c r="B324" s="165" t="s">
        <v>291</v>
      </c>
      <c r="C324" s="165">
        <v>10500</v>
      </c>
      <c r="D324" s="228"/>
      <c r="E324" s="228"/>
      <c r="F324" s="228"/>
      <c r="G324" s="228"/>
      <c r="H324" s="228"/>
      <c r="I324" s="228"/>
      <c r="J324" s="228"/>
      <c r="K324" s="228"/>
      <c r="L324" s="228">
        <v>5000</v>
      </c>
      <c r="M324" s="228">
        <v>52500000</v>
      </c>
      <c r="N324" s="228"/>
      <c r="O324" s="228"/>
      <c r="P324" s="228">
        <v>5000</v>
      </c>
      <c r="Q324" s="228">
        <v>52500000</v>
      </c>
    </row>
    <row r="325" spans="1:17">
      <c r="A325"/>
      <c r="B325" s="165" t="s">
        <v>1060</v>
      </c>
      <c r="C325" s="165">
        <v>10500</v>
      </c>
      <c r="D325" s="228"/>
      <c r="E325" s="228"/>
      <c r="F325" s="228"/>
      <c r="G325" s="228"/>
      <c r="H325" s="228"/>
      <c r="I325" s="228"/>
      <c r="J325" s="228"/>
      <c r="K325" s="228"/>
      <c r="L325" s="228">
        <v>2000</v>
      </c>
      <c r="M325" s="228">
        <v>21000000</v>
      </c>
      <c r="N325" s="228"/>
      <c r="O325" s="228"/>
      <c r="P325" s="228">
        <v>2000</v>
      </c>
      <c r="Q325" s="228">
        <v>21000000</v>
      </c>
    </row>
    <row r="326" spans="1:17">
      <c r="A326"/>
      <c r="B326" s="165" t="s">
        <v>1086</v>
      </c>
      <c r="C326" s="165">
        <v>10500</v>
      </c>
      <c r="D326" s="228"/>
      <c r="E326" s="228"/>
      <c r="F326" s="228"/>
      <c r="G326" s="228"/>
      <c r="H326" s="228"/>
      <c r="I326" s="228"/>
      <c r="J326" s="228"/>
      <c r="K326" s="228"/>
      <c r="L326" s="228">
        <v>5000</v>
      </c>
      <c r="M326" s="228">
        <v>52500000</v>
      </c>
      <c r="N326" s="228"/>
      <c r="O326" s="228"/>
      <c r="P326" s="228">
        <v>5000</v>
      </c>
      <c r="Q326" s="228">
        <v>52500000</v>
      </c>
    </row>
    <row r="327" spans="1:17">
      <c r="A327"/>
      <c r="B327" s="165" t="s">
        <v>213</v>
      </c>
      <c r="C327" s="165">
        <v>10500</v>
      </c>
      <c r="D327" s="228"/>
      <c r="E327" s="228"/>
      <c r="F327" s="228"/>
      <c r="G327" s="228"/>
      <c r="H327" s="228"/>
      <c r="I327" s="228"/>
      <c r="J327" s="228"/>
      <c r="K327" s="228"/>
      <c r="L327" s="228">
        <v>15000</v>
      </c>
      <c r="M327" s="228">
        <v>157500000</v>
      </c>
      <c r="N327" s="228"/>
      <c r="O327" s="228"/>
      <c r="P327" s="228">
        <v>15000</v>
      </c>
      <c r="Q327" s="228">
        <v>157500000</v>
      </c>
    </row>
    <row r="328" spans="1:17">
      <c r="A328"/>
      <c r="B328" s="165" t="s">
        <v>1037</v>
      </c>
      <c r="C328" s="165">
        <v>10600</v>
      </c>
      <c r="D328" s="228">
        <v>0</v>
      </c>
      <c r="E328" s="228">
        <v>0</v>
      </c>
      <c r="F328" s="228"/>
      <c r="G328" s="228"/>
      <c r="H328" s="228"/>
      <c r="I328" s="228"/>
      <c r="J328" s="228"/>
      <c r="K328" s="228"/>
      <c r="L328" s="228"/>
      <c r="M328" s="228"/>
      <c r="N328" s="228"/>
      <c r="O328" s="228"/>
      <c r="P328" s="228">
        <v>0</v>
      </c>
      <c r="Q328" s="228">
        <v>0</v>
      </c>
    </row>
    <row r="329" spans="1:17">
      <c r="A329"/>
      <c r="B329" s="165" t="s">
        <v>1142</v>
      </c>
      <c r="C329" s="165">
        <v>10500</v>
      </c>
      <c r="D329" s="228"/>
      <c r="E329" s="228"/>
      <c r="F329" s="228"/>
      <c r="G329" s="228"/>
      <c r="H329" s="228"/>
      <c r="I329" s="228"/>
      <c r="J329" s="228"/>
      <c r="K329" s="228"/>
      <c r="L329" s="228">
        <v>20000</v>
      </c>
      <c r="M329" s="228">
        <v>210000000</v>
      </c>
      <c r="N329" s="228"/>
      <c r="O329" s="228"/>
      <c r="P329" s="228">
        <v>20000</v>
      </c>
      <c r="Q329" s="228">
        <v>210000000</v>
      </c>
    </row>
    <row r="330" spans="1:17">
      <c r="A330"/>
      <c r="B330" s="165" t="s">
        <v>278</v>
      </c>
      <c r="C330" s="165">
        <v>10600</v>
      </c>
      <c r="D330" s="228"/>
      <c r="E330" s="228"/>
      <c r="F330" s="228"/>
      <c r="G330" s="228"/>
      <c r="H330" s="228"/>
      <c r="I330" s="228"/>
      <c r="J330" s="228"/>
      <c r="K330" s="228"/>
      <c r="L330" s="228">
        <v>10000</v>
      </c>
      <c r="M330" s="228">
        <v>106000000</v>
      </c>
      <c r="N330" s="228"/>
      <c r="O330" s="228"/>
      <c r="P330" s="228">
        <v>10000</v>
      </c>
      <c r="Q330" s="228">
        <v>106000000</v>
      </c>
    </row>
    <row r="331" spans="1:17">
      <c r="A331"/>
      <c r="B331" s="165" t="s">
        <v>100</v>
      </c>
      <c r="C331" s="165">
        <v>10500</v>
      </c>
      <c r="D331" s="228"/>
      <c r="E331" s="228"/>
      <c r="F331" s="228"/>
      <c r="G331" s="228"/>
      <c r="H331" s="228"/>
      <c r="I331" s="228"/>
      <c r="J331" s="228"/>
      <c r="K331" s="228"/>
      <c r="L331" s="228">
        <v>15000</v>
      </c>
      <c r="M331" s="228">
        <v>157500000</v>
      </c>
      <c r="N331" s="228"/>
      <c r="O331" s="228"/>
      <c r="P331" s="228">
        <v>15000</v>
      </c>
      <c r="Q331" s="228">
        <v>157500000</v>
      </c>
    </row>
    <row r="332" spans="1:17">
      <c r="A332"/>
      <c r="B332" s="165" t="s">
        <v>184</v>
      </c>
      <c r="C332" s="165">
        <v>10500</v>
      </c>
      <c r="D332" s="228"/>
      <c r="E332" s="228"/>
      <c r="F332" s="228"/>
      <c r="G332" s="228"/>
      <c r="H332" s="228"/>
      <c r="I332" s="228"/>
      <c r="J332" s="228"/>
      <c r="K332" s="228"/>
      <c r="L332" s="228">
        <v>5000</v>
      </c>
      <c r="M332" s="228">
        <v>52500000</v>
      </c>
      <c r="N332" s="228"/>
      <c r="O332" s="228"/>
      <c r="P332" s="228">
        <v>5000</v>
      </c>
      <c r="Q332" s="228">
        <v>52500000</v>
      </c>
    </row>
    <row r="333" spans="1:17">
      <c r="A333"/>
      <c r="B333" s="165" t="s">
        <v>477</v>
      </c>
      <c r="C333" s="165">
        <v>10500</v>
      </c>
      <c r="D333" s="228"/>
      <c r="E333" s="228"/>
      <c r="F333" s="228"/>
      <c r="G333" s="228"/>
      <c r="H333" s="228"/>
      <c r="I333" s="228"/>
      <c r="J333" s="228"/>
      <c r="K333" s="228"/>
      <c r="L333" s="228">
        <v>9000</v>
      </c>
      <c r="M333" s="228">
        <v>94500000</v>
      </c>
      <c r="N333" s="228"/>
      <c r="O333" s="228"/>
      <c r="P333" s="228">
        <v>9000</v>
      </c>
      <c r="Q333" s="228">
        <v>94500000</v>
      </c>
    </row>
    <row r="334" spans="1:17">
      <c r="A334"/>
      <c r="B334" s="165" t="s">
        <v>216</v>
      </c>
      <c r="C334" s="165">
        <v>10500</v>
      </c>
      <c r="D334" s="228"/>
      <c r="E334" s="228"/>
      <c r="F334" s="228"/>
      <c r="G334" s="228"/>
      <c r="H334" s="228"/>
      <c r="I334" s="228"/>
      <c r="J334" s="228"/>
      <c r="K334" s="228"/>
      <c r="L334" s="228">
        <v>8000</v>
      </c>
      <c r="M334" s="228">
        <v>84000000</v>
      </c>
      <c r="N334" s="228"/>
      <c r="O334" s="228"/>
      <c r="P334" s="228">
        <v>8000</v>
      </c>
      <c r="Q334" s="228">
        <v>84000000</v>
      </c>
    </row>
    <row r="335" spans="1:17">
      <c r="A335"/>
      <c r="B335" s="165" t="s">
        <v>1163</v>
      </c>
      <c r="C335" s="165">
        <v>10600</v>
      </c>
      <c r="D335" s="228"/>
      <c r="E335" s="228"/>
      <c r="F335" s="228"/>
      <c r="G335" s="228"/>
      <c r="H335" s="228"/>
      <c r="I335" s="228"/>
      <c r="J335" s="228"/>
      <c r="K335" s="228"/>
      <c r="L335" s="228">
        <v>50000</v>
      </c>
      <c r="M335" s="228">
        <v>530000000</v>
      </c>
      <c r="N335" s="228"/>
      <c r="O335" s="228"/>
      <c r="P335" s="228">
        <v>50000</v>
      </c>
      <c r="Q335" s="228">
        <v>530000000</v>
      </c>
    </row>
    <row r="336" spans="1:17">
      <c r="A336"/>
      <c r="B336" s="165" t="s">
        <v>268</v>
      </c>
      <c r="C336" s="165">
        <v>10600</v>
      </c>
      <c r="D336" s="228"/>
      <c r="E336" s="228"/>
      <c r="F336" s="228"/>
      <c r="G336" s="228"/>
      <c r="H336" s="228"/>
      <c r="I336" s="228"/>
      <c r="J336" s="228"/>
      <c r="K336" s="228"/>
      <c r="L336" s="228">
        <v>17000</v>
      </c>
      <c r="M336" s="228">
        <v>180200000</v>
      </c>
      <c r="N336" s="228"/>
      <c r="O336" s="228"/>
      <c r="P336" s="228">
        <v>17000</v>
      </c>
      <c r="Q336" s="228">
        <v>180200000</v>
      </c>
    </row>
    <row r="337" spans="1:17">
      <c r="A337"/>
      <c r="B337" s="165" t="s">
        <v>1431</v>
      </c>
      <c r="C337" s="165">
        <v>10600</v>
      </c>
      <c r="D337" s="228"/>
      <c r="E337" s="228"/>
      <c r="F337" s="228"/>
      <c r="G337" s="228"/>
      <c r="H337" s="228"/>
      <c r="I337" s="228"/>
      <c r="J337" s="228"/>
      <c r="K337" s="228"/>
      <c r="L337" s="228">
        <v>9000</v>
      </c>
      <c r="M337" s="228">
        <v>95400000</v>
      </c>
      <c r="N337" s="228"/>
      <c r="O337" s="228"/>
      <c r="P337" s="228">
        <v>9000</v>
      </c>
      <c r="Q337" s="228">
        <v>95400000</v>
      </c>
    </row>
    <row r="338" spans="1:17">
      <c r="A338"/>
      <c r="B338" s="165" t="s">
        <v>987</v>
      </c>
      <c r="C338" s="165">
        <v>10600</v>
      </c>
      <c r="D338" s="228"/>
      <c r="E338" s="228"/>
      <c r="F338" s="228"/>
      <c r="G338" s="228"/>
      <c r="H338" s="228"/>
      <c r="I338" s="228"/>
      <c r="J338" s="228"/>
      <c r="K338" s="228"/>
      <c r="L338" s="228">
        <v>5000</v>
      </c>
      <c r="M338" s="228">
        <v>53000000</v>
      </c>
      <c r="N338" s="228"/>
      <c r="O338" s="228"/>
      <c r="P338" s="228">
        <v>5000</v>
      </c>
      <c r="Q338" s="228">
        <v>53000000</v>
      </c>
    </row>
    <row r="339" spans="1:17">
      <c r="A339"/>
      <c r="B339" s="165" t="s">
        <v>814</v>
      </c>
      <c r="C339" s="165">
        <v>10500</v>
      </c>
      <c r="D339" s="228"/>
      <c r="E339" s="228"/>
      <c r="F339" s="228"/>
      <c r="G339" s="228"/>
      <c r="H339" s="228"/>
      <c r="I339" s="228"/>
      <c r="J339" s="228"/>
      <c r="K339" s="228"/>
      <c r="L339" s="228">
        <v>10000</v>
      </c>
      <c r="M339" s="228">
        <v>105000000</v>
      </c>
      <c r="N339" s="228"/>
      <c r="O339" s="228"/>
      <c r="P339" s="228">
        <v>10000</v>
      </c>
      <c r="Q339" s="228">
        <v>105000000</v>
      </c>
    </row>
    <row r="340" spans="1:17">
      <c r="A340"/>
      <c r="B340" s="165" t="s">
        <v>251</v>
      </c>
      <c r="C340" s="165">
        <v>12000</v>
      </c>
      <c r="D340" s="228"/>
      <c r="E340" s="228"/>
      <c r="F340" s="228"/>
      <c r="G340" s="228"/>
      <c r="H340" s="228"/>
      <c r="I340" s="228"/>
      <c r="J340" s="228"/>
      <c r="K340" s="228"/>
      <c r="L340" s="228">
        <v>5000</v>
      </c>
      <c r="M340" s="228">
        <v>60000000</v>
      </c>
      <c r="N340" s="228"/>
      <c r="O340" s="228"/>
      <c r="P340" s="228">
        <v>5000</v>
      </c>
      <c r="Q340" s="228">
        <v>60000000</v>
      </c>
    </row>
    <row r="341" spans="1:17">
      <c r="A341"/>
      <c r="B341" s="165" t="s">
        <v>260</v>
      </c>
      <c r="C341" s="165">
        <v>10600</v>
      </c>
      <c r="D341" s="228"/>
      <c r="E341" s="228"/>
      <c r="F341" s="228"/>
      <c r="G341" s="228"/>
      <c r="H341" s="228"/>
      <c r="I341" s="228"/>
      <c r="J341" s="228"/>
      <c r="K341" s="228"/>
      <c r="L341" s="228">
        <v>10000</v>
      </c>
      <c r="M341" s="228">
        <v>106000000</v>
      </c>
      <c r="N341" s="228"/>
      <c r="O341" s="228"/>
      <c r="P341" s="228">
        <v>10000</v>
      </c>
      <c r="Q341" s="228">
        <v>106000000</v>
      </c>
    </row>
    <row r="342" spans="1:17">
      <c r="A342"/>
      <c r="B342" s="165" t="s">
        <v>234</v>
      </c>
      <c r="C342" s="165">
        <v>10600</v>
      </c>
      <c r="D342" s="228"/>
      <c r="E342" s="228"/>
      <c r="F342" s="228"/>
      <c r="G342" s="228"/>
      <c r="H342" s="228"/>
      <c r="I342" s="228"/>
      <c r="J342" s="228"/>
      <c r="K342" s="228"/>
      <c r="L342" s="228">
        <v>10000</v>
      </c>
      <c r="M342" s="228">
        <v>106000000</v>
      </c>
      <c r="N342" s="228"/>
      <c r="O342" s="228"/>
      <c r="P342" s="228">
        <v>10000</v>
      </c>
      <c r="Q342" s="228">
        <v>106000000</v>
      </c>
    </row>
    <row r="343" spans="1:17">
      <c r="A343"/>
      <c r="B343" s="165" t="s">
        <v>1886</v>
      </c>
      <c r="C343" s="165">
        <v>10600</v>
      </c>
      <c r="D343" s="228"/>
      <c r="E343" s="228"/>
      <c r="F343" s="228"/>
      <c r="G343" s="228"/>
      <c r="H343" s="228"/>
      <c r="I343" s="228"/>
      <c r="J343" s="228"/>
      <c r="K343" s="228"/>
      <c r="L343" s="228">
        <v>1500</v>
      </c>
      <c r="M343" s="228">
        <v>15900000</v>
      </c>
      <c r="N343" s="228"/>
      <c r="O343" s="228"/>
      <c r="P343" s="228">
        <v>1500</v>
      </c>
      <c r="Q343" s="228">
        <v>15900000</v>
      </c>
    </row>
    <row r="344" spans="1:17">
      <c r="A344" s="165" t="s">
        <v>2062</v>
      </c>
      <c r="B344" s="165" t="s">
        <v>150</v>
      </c>
      <c r="C344" s="165">
        <v>12000</v>
      </c>
      <c r="D344" s="228"/>
      <c r="E344" s="228"/>
      <c r="F344" s="228"/>
      <c r="G344" s="228"/>
      <c r="H344" s="228"/>
      <c r="I344" s="228"/>
      <c r="J344" s="228"/>
      <c r="K344" s="228"/>
      <c r="L344" s="228">
        <v>1000</v>
      </c>
      <c r="M344" s="228">
        <v>12000000</v>
      </c>
      <c r="N344" s="228"/>
      <c r="O344" s="228"/>
      <c r="P344" s="228">
        <v>1000</v>
      </c>
      <c r="Q344" s="228">
        <v>12000000</v>
      </c>
    </row>
    <row r="345" spans="1:17">
      <c r="A345"/>
      <c r="B345" s="165" t="s">
        <v>1818</v>
      </c>
      <c r="C345" s="165">
        <v>12000</v>
      </c>
      <c r="D345" s="228"/>
      <c r="E345" s="228"/>
      <c r="F345" s="228"/>
      <c r="G345" s="228"/>
      <c r="H345" s="228"/>
      <c r="I345" s="228"/>
      <c r="J345" s="228"/>
      <c r="K345" s="228"/>
      <c r="L345" s="228">
        <v>5000</v>
      </c>
      <c r="M345" s="228">
        <v>60000000</v>
      </c>
      <c r="N345" s="228"/>
      <c r="O345" s="228"/>
      <c r="P345" s="228">
        <v>5000</v>
      </c>
      <c r="Q345" s="228">
        <v>60000000</v>
      </c>
    </row>
    <row r="346" spans="1:17">
      <c r="A346"/>
      <c r="B346" s="165" t="s">
        <v>827</v>
      </c>
      <c r="C346" s="165">
        <v>12000</v>
      </c>
      <c r="D346" s="228"/>
      <c r="E346" s="228"/>
      <c r="F346" s="228"/>
      <c r="G346" s="228"/>
      <c r="H346" s="228"/>
      <c r="I346" s="228"/>
      <c r="J346" s="228"/>
      <c r="K346" s="228"/>
      <c r="L346" s="228">
        <v>25000</v>
      </c>
      <c r="M346" s="228">
        <v>300000000</v>
      </c>
      <c r="N346" s="228"/>
      <c r="O346" s="228"/>
      <c r="P346" s="228">
        <v>25000</v>
      </c>
      <c r="Q346" s="228">
        <v>300000000</v>
      </c>
    </row>
    <row r="347" spans="1:17">
      <c r="A347"/>
      <c r="B347" s="165" t="s">
        <v>1018</v>
      </c>
      <c r="C347" s="165">
        <v>12000</v>
      </c>
      <c r="D347" s="228"/>
      <c r="E347" s="228"/>
      <c r="F347" s="228"/>
      <c r="G347" s="228"/>
      <c r="H347" s="228"/>
      <c r="I347" s="228"/>
      <c r="J347" s="228"/>
      <c r="K347" s="228"/>
      <c r="L347" s="228">
        <v>18000</v>
      </c>
      <c r="M347" s="228">
        <v>216000000</v>
      </c>
      <c r="N347" s="228"/>
      <c r="O347" s="228"/>
      <c r="P347" s="228">
        <v>18000</v>
      </c>
      <c r="Q347" s="228">
        <v>216000000</v>
      </c>
    </row>
    <row r="348" spans="1:17">
      <c r="A348"/>
      <c r="B348" s="165" t="s">
        <v>1037</v>
      </c>
      <c r="C348" s="165">
        <v>12000</v>
      </c>
      <c r="D348" s="228"/>
      <c r="E348" s="228"/>
      <c r="F348" s="228"/>
      <c r="G348" s="228"/>
      <c r="H348" s="228"/>
      <c r="I348" s="228"/>
      <c r="J348" s="228"/>
      <c r="K348" s="228"/>
      <c r="L348" s="228">
        <v>27000</v>
      </c>
      <c r="M348" s="228">
        <v>324000000</v>
      </c>
      <c r="N348" s="228"/>
      <c r="O348" s="228"/>
      <c r="P348" s="228">
        <v>27000</v>
      </c>
      <c r="Q348" s="228">
        <v>324000000</v>
      </c>
    </row>
    <row r="349" spans="1:17">
      <c r="A349"/>
      <c r="B349" s="165" t="s">
        <v>789</v>
      </c>
      <c r="C349" s="165">
        <v>12000</v>
      </c>
      <c r="D349" s="228"/>
      <c r="E349" s="228"/>
      <c r="F349" s="228"/>
      <c r="G349" s="228"/>
      <c r="H349" s="228"/>
      <c r="I349" s="228"/>
      <c r="J349" s="228"/>
      <c r="K349" s="228"/>
      <c r="L349" s="228">
        <v>11000</v>
      </c>
      <c r="M349" s="228">
        <v>132000000</v>
      </c>
      <c r="N349" s="228"/>
      <c r="O349" s="228"/>
      <c r="P349" s="228">
        <v>11000</v>
      </c>
      <c r="Q349" s="228">
        <v>132000000</v>
      </c>
    </row>
    <row r="350" spans="1:17">
      <c r="A350" s="165" t="s">
        <v>2063</v>
      </c>
      <c r="B350" s="165" t="s">
        <v>203</v>
      </c>
      <c r="C350" s="165">
        <v>12500</v>
      </c>
      <c r="D350" s="228"/>
      <c r="E350" s="228"/>
      <c r="F350" s="228"/>
      <c r="G350" s="228"/>
      <c r="H350" s="228"/>
      <c r="I350" s="228"/>
      <c r="J350" s="228"/>
      <c r="K350" s="228"/>
      <c r="L350" s="228">
        <v>15000</v>
      </c>
      <c r="M350" s="228">
        <v>187500000</v>
      </c>
      <c r="N350" s="228"/>
      <c r="O350" s="228"/>
      <c r="P350" s="228">
        <v>15000</v>
      </c>
      <c r="Q350" s="228">
        <v>187500000</v>
      </c>
    </row>
    <row r="351" spans="1:17">
      <c r="A351"/>
      <c r="B351" s="165" t="s">
        <v>205</v>
      </c>
      <c r="C351" s="165">
        <v>12500</v>
      </c>
      <c r="D351" s="228"/>
      <c r="E351" s="228"/>
      <c r="F351" s="228"/>
      <c r="G351" s="228"/>
      <c r="H351" s="228"/>
      <c r="I351" s="228"/>
      <c r="J351" s="228"/>
      <c r="K351" s="228"/>
      <c r="L351" s="228">
        <v>10000</v>
      </c>
      <c r="M351" s="228">
        <v>125000000</v>
      </c>
      <c r="N351" s="228"/>
      <c r="O351" s="228"/>
      <c r="P351" s="228">
        <v>10000</v>
      </c>
      <c r="Q351" s="228">
        <v>125000000</v>
      </c>
    </row>
    <row r="352" spans="1:17">
      <c r="A352"/>
      <c r="B352" s="165" t="s">
        <v>76</v>
      </c>
      <c r="C352" s="165">
        <v>12500</v>
      </c>
      <c r="D352" s="228"/>
      <c r="E352" s="228"/>
      <c r="F352" s="228"/>
      <c r="G352" s="228"/>
      <c r="H352" s="228"/>
      <c r="I352" s="228"/>
      <c r="J352" s="228"/>
      <c r="K352" s="228"/>
      <c r="L352" s="228">
        <v>20000</v>
      </c>
      <c r="M352" s="228">
        <v>250000000</v>
      </c>
      <c r="N352" s="228"/>
      <c r="O352" s="228"/>
      <c r="P352" s="228">
        <v>20000</v>
      </c>
      <c r="Q352" s="228">
        <v>250000000</v>
      </c>
    </row>
    <row r="353" spans="1:17">
      <c r="A353"/>
      <c r="B353" s="165" t="s">
        <v>983</v>
      </c>
      <c r="C353" s="165">
        <v>12500</v>
      </c>
      <c r="D353" s="228"/>
      <c r="E353" s="228"/>
      <c r="F353" s="228"/>
      <c r="G353" s="228"/>
      <c r="H353" s="228"/>
      <c r="I353" s="228"/>
      <c r="J353" s="228"/>
      <c r="K353" s="228"/>
      <c r="L353" s="228">
        <v>15000</v>
      </c>
      <c r="M353" s="228">
        <v>187500000</v>
      </c>
      <c r="N353" s="228"/>
      <c r="O353" s="228"/>
      <c r="P353" s="228">
        <v>15000</v>
      </c>
      <c r="Q353" s="228">
        <v>187500000</v>
      </c>
    </row>
    <row r="354" spans="1:17">
      <c r="A354"/>
      <c r="B354" s="165" t="s">
        <v>1279</v>
      </c>
      <c r="C354" s="165">
        <v>12500</v>
      </c>
      <c r="D354" s="228"/>
      <c r="E354" s="228"/>
      <c r="F354" s="228"/>
      <c r="G354" s="228"/>
      <c r="H354" s="228"/>
      <c r="I354" s="228"/>
      <c r="J354" s="228"/>
      <c r="K354" s="228"/>
      <c r="L354" s="228">
        <v>5000</v>
      </c>
      <c r="M354" s="228">
        <v>62500000</v>
      </c>
      <c r="N354" s="228"/>
      <c r="O354" s="228"/>
      <c r="P354" s="228">
        <v>5000</v>
      </c>
      <c r="Q354" s="228">
        <v>62500000</v>
      </c>
    </row>
    <row r="355" spans="1:17">
      <c r="A355"/>
      <c r="B355" s="165" t="s">
        <v>150</v>
      </c>
      <c r="C355" s="165">
        <v>12500</v>
      </c>
      <c r="D355" s="228"/>
      <c r="E355" s="228"/>
      <c r="F355" s="228"/>
      <c r="G355" s="228"/>
      <c r="H355" s="228"/>
      <c r="I355" s="228"/>
      <c r="J355" s="228"/>
      <c r="K355" s="228"/>
      <c r="L355" s="228">
        <v>4000</v>
      </c>
      <c r="M355" s="228">
        <v>50000000</v>
      </c>
      <c r="N355" s="228"/>
      <c r="O355" s="228"/>
      <c r="P355" s="228">
        <v>4000</v>
      </c>
      <c r="Q355" s="228">
        <v>50000000</v>
      </c>
    </row>
    <row r="356" spans="1:17">
      <c r="A356"/>
      <c r="B356" s="165" t="s">
        <v>1047</v>
      </c>
      <c r="C356" s="165">
        <v>12500</v>
      </c>
      <c r="D356" s="228"/>
      <c r="E356" s="228"/>
      <c r="F356" s="228"/>
      <c r="G356" s="228"/>
      <c r="H356" s="228"/>
      <c r="I356" s="228"/>
      <c r="J356" s="228"/>
      <c r="K356" s="228"/>
      <c r="L356" s="228">
        <v>5000</v>
      </c>
      <c r="M356" s="228">
        <v>62500000</v>
      </c>
      <c r="N356" s="228"/>
      <c r="O356" s="228"/>
      <c r="P356" s="228">
        <v>5000</v>
      </c>
      <c r="Q356" s="228">
        <v>62500000</v>
      </c>
    </row>
    <row r="357" spans="1:17">
      <c r="A357"/>
      <c r="B357" s="165" t="s">
        <v>786</v>
      </c>
      <c r="C357" s="165">
        <v>12500</v>
      </c>
      <c r="D357" s="228"/>
      <c r="E357" s="228"/>
      <c r="F357" s="228"/>
      <c r="G357" s="228"/>
      <c r="H357" s="228"/>
      <c r="I357" s="228"/>
      <c r="J357" s="228"/>
      <c r="K357" s="228"/>
      <c r="L357" s="228">
        <v>6000</v>
      </c>
      <c r="M357" s="228">
        <v>75000000</v>
      </c>
      <c r="N357" s="228"/>
      <c r="O357" s="228"/>
      <c r="P357" s="228">
        <v>6000</v>
      </c>
      <c r="Q357" s="228">
        <v>75000000</v>
      </c>
    </row>
    <row r="358" spans="1:17">
      <c r="A358"/>
      <c r="B358" s="165" t="s">
        <v>282</v>
      </c>
      <c r="C358" s="165">
        <v>12500</v>
      </c>
      <c r="D358" s="228"/>
      <c r="E358" s="228"/>
      <c r="F358" s="228"/>
      <c r="G358" s="228"/>
      <c r="H358" s="228"/>
      <c r="I358" s="228"/>
      <c r="J358" s="228"/>
      <c r="K358" s="228"/>
      <c r="L358" s="228">
        <v>10000</v>
      </c>
      <c r="M358" s="228">
        <v>125000000</v>
      </c>
      <c r="N358" s="228"/>
      <c r="O358" s="228"/>
      <c r="P358" s="228">
        <v>10000</v>
      </c>
      <c r="Q358" s="228">
        <v>125000000</v>
      </c>
    </row>
    <row r="359" spans="1:17">
      <c r="A359"/>
      <c r="B359" s="165" t="s">
        <v>253</v>
      </c>
      <c r="C359" s="165">
        <v>12500</v>
      </c>
      <c r="D359" s="228"/>
      <c r="E359" s="228"/>
      <c r="F359" s="228"/>
      <c r="G359" s="228"/>
      <c r="H359" s="228"/>
      <c r="I359" s="228"/>
      <c r="J359" s="228"/>
      <c r="K359" s="228"/>
      <c r="L359" s="228">
        <v>5000</v>
      </c>
      <c r="M359" s="228">
        <v>62500000</v>
      </c>
      <c r="N359" s="228"/>
      <c r="O359" s="228"/>
      <c r="P359" s="228">
        <v>5000</v>
      </c>
      <c r="Q359" s="228">
        <v>62500000</v>
      </c>
    </row>
    <row r="360" spans="1:17">
      <c r="A360"/>
      <c r="B360" s="165" t="s">
        <v>827</v>
      </c>
      <c r="C360" s="165">
        <v>12500</v>
      </c>
      <c r="D360" s="228">
        <v>0</v>
      </c>
      <c r="E360" s="228">
        <v>0</v>
      </c>
      <c r="F360" s="228"/>
      <c r="G360" s="228"/>
      <c r="H360" s="228"/>
      <c r="I360" s="228"/>
      <c r="J360" s="228"/>
      <c r="K360" s="228"/>
      <c r="L360" s="228"/>
      <c r="M360" s="228"/>
      <c r="N360" s="228"/>
      <c r="O360" s="228"/>
      <c r="P360" s="228">
        <v>0</v>
      </c>
      <c r="Q360" s="228">
        <v>0</v>
      </c>
    </row>
    <row r="361" spans="1:17">
      <c r="A361"/>
      <c r="B361" s="165" t="s">
        <v>231</v>
      </c>
      <c r="C361" s="165">
        <v>12500</v>
      </c>
      <c r="D361" s="228"/>
      <c r="E361" s="228"/>
      <c r="F361" s="228"/>
      <c r="G361" s="228"/>
      <c r="H361" s="228"/>
      <c r="I361" s="228"/>
      <c r="J361" s="228"/>
      <c r="K361" s="228"/>
      <c r="L361" s="228">
        <v>8000</v>
      </c>
      <c r="M361" s="228">
        <v>100000000</v>
      </c>
      <c r="N361" s="228"/>
      <c r="O361" s="228"/>
      <c r="P361" s="228">
        <v>8000</v>
      </c>
      <c r="Q361" s="228">
        <v>100000000</v>
      </c>
    </row>
    <row r="362" spans="1:17">
      <c r="A362"/>
      <c r="B362" s="165" t="s">
        <v>255</v>
      </c>
      <c r="C362" s="165">
        <v>12500</v>
      </c>
      <c r="D362" s="228"/>
      <c r="E362" s="228"/>
      <c r="F362" s="228"/>
      <c r="G362" s="228"/>
      <c r="H362" s="228"/>
      <c r="I362" s="228"/>
      <c r="J362" s="228"/>
      <c r="K362" s="228"/>
      <c r="L362" s="228">
        <v>35000</v>
      </c>
      <c r="M362" s="228">
        <v>437500000</v>
      </c>
      <c r="N362" s="228"/>
      <c r="O362" s="228"/>
      <c r="P362" s="228">
        <v>35000</v>
      </c>
      <c r="Q362" s="228">
        <v>437500000</v>
      </c>
    </row>
    <row r="363" spans="1:17">
      <c r="A363"/>
      <c r="B363" s="165" t="s">
        <v>280</v>
      </c>
      <c r="C363" s="165">
        <v>12500</v>
      </c>
      <c r="D363" s="228"/>
      <c r="E363" s="228"/>
      <c r="F363" s="228"/>
      <c r="G363" s="228"/>
      <c r="H363" s="228"/>
      <c r="I363" s="228"/>
      <c r="J363" s="228"/>
      <c r="K363" s="228"/>
      <c r="L363" s="228">
        <v>15000</v>
      </c>
      <c r="M363" s="228">
        <v>187500000</v>
      </c>
      <c r="N363" s="228"/>
      <c r="O363" s="228"/>
      <c r="P363" s="228">
        <v>15000</v>
      </c>
      <c r="Q363" s="228">
        <v>187500000</v>
      </c>
    </row>
    <row r="364" spans="1:17">
      <c r="A364"/>
      <c r="B364" s="165" t="s">
        <v>188</v>
      </c>
      <c r="C364" s="165">
        <v>12500</v>
      </c>
      <c r="D364" s="228"/>
      <c r="E364" s="228"/>
      <c r="F364" s="228"/>
      <c r="G364" s="228"/>
      <c r="H364" s="228"/>
      <c r="I364" s="228"/>
      <c r="J364" s="228"/>
      <c r="K364" s="228"/>
      <c r="L364" s="228">
        <v>10000</v>
      </c>
      <c r="M364" s="228">
        <v>125000000</v>
      </c>
      <c r="N364" s="228"/>
      <c r="O364" s="228"/>
      <c r="P364" s="228">
        <v>10000</v>
      </c>
      <c r="Q364" s="228">
        <v>125000000</v>
      </c>
    </row>
    <row r="365" spans="1:17">
      <c r="A365"/>
      <c r="B365" s="165" t="s">
        <v>1697</v>
      </c>
      <c r="C365" s="165">
        <v>12500</v>
      </c>
      <c r="D365" s="228">
        <v>0</v>
      </c>
      <c r="E365" s="228">
        <v>0</v>
      </c>
      <c r="F365" s="228"/>
      <c r="G365" s="228"/>
      <c r="H365" s="228"/>
      <c r="I365" s="228"/>
      <c r="J365" s="228"/>
      <c r="K365" s="228"/>
      <c r="L365" s="228"/>
      <c r="M365" s="228"/>
      <c r="N365" s="228"/>
      <c r="O365" s="228"/>
      <c r="P365" s="228">
        <v>0</v>
      </c>
      <c r="Q365" s="228">
        <v>0</v>
      </c>
    </row>
    <row r="366" spans="1:17">
      <c r="A366"/>
      <c r="B366" s="165" t="s">
        <v>1037</v>
      </c>
      <c r="C366" s="165">
        <v>12500</v>
      </c>
      <c r="D366" s="228">
        <v>0</v>
      </c>
      <c r="E366" s="228">
        <v>0</v>
      </c>
      <c r="F366" s="228"/>
      <c r="G366" s="228"/>
      <c r="H366" s="228"/>
      <c r="I366" s="228"/>
      <c r="J366" s="228"/>
      <c r="K366" s="228"/>
      <c r="L366" s="228"/>
      <c r="M366" s="228"/>
      <c r="N366" s="228"/>
      <c r="O366" s="228"/>
      <c r="P366" s="228">
        <v>0</v>
      </c>
      <c r="Q366" s="228">
        <v>0</v>
      </c>
    </row>
    <row r="367" spans="1:17">
      <c r="A367"/>
      <c r="B367" s="165" t="s">
        <v>276</v>
      </c>
      <c r="C367" s="165">
        <v>12500</v>
      </c>
      <c r="D367" s="228"/>
      <c r="E367" s="228"/>
      <c r="F367" s="228"/>
      <c r="G367" s="228"/>
      <c r="H367" s="228"/>
      <c r="I367" s="228"/>
      <c r="J367" s="228"/>
      <c r="K367" s="228"/>
      <c r="L367" s="228">
        <v>10000</v>
      </c>
      <c r="M367" s="228">
        <v>125000000</v>
      </c>
      <c r="N367" s="228"/>
      <c r="O367" s="228"/>
      <c r="P367" s="228">
        <v>10000</v>
      </c>
      <c r="Q367" s="228">
        <v>125000000</v>
      </c>
    </row>
    <row r="368" spans="1:17">
      <c r="A368"/>
      <c r="B368" s="165" t="s">
        <v>216</v>
      </c>
      <c r="C368" s="165">
        <v>12500</v>
      </c>
      <c r="D368" s="228"/>
      <c r="E368" s="228"/>
      <c r="F368" s="228"/>
      <c r="G368" s="228"/>
      <c r="H368" s="228"/>
      <c r="I368" s="228"/>
      <c r="J368" s="228"/>
      <c r="K368" s="228"/>
      <c r="L368" s="228">
        <v>5000</v>
      </c>
      <c r="M368" s="228">
        <v>62500000</v>
      </c>
      <c r="N368" s="228"/>
      <c r="O368" s="228"/>
      <c r="P368" s="228">
        <v>5000</v>
      </c>
      <c r="Q368" s="228">
        <v>62500000</v>
      </c>
    </row>
    <row r="369" spans="1:17">
      <c r="A369"/>
      <c r="B369" s="165" t="s">
        <v>251</v>
      </c>
      <c r="C369" s="165">
        <v>12500</v>
      </c>
      <c r="D369" s="228"/>
      <c r="E369" s="228"/>
      <c r="F369" s="228"/>
      <c r="G369" s="228"/>
      <c r="H369" s="228"/>
      <c r="I369" s="228"/>
      <c r="J369" s="228"/>
      <c r="K369" s="228"/>
      <c r="L369" s="228">
        <v>5000</v>
      </c>
      <c r="M369" s="228">
        <v>62500000</v>
      </c>
      <c r="N369" s="228"/>
      <c r="O369" s="228"/>
      <c r="P369" s="228">
        <v>5000</v>
      </c>
      <c r="Q369" s="228">
        <v>62500000</v>
      </c>
    </row>
    <row r="370" spans="1:17">
      <c r="A370" s="165" t="s">
        <v>2064</v>
      </c>
      <c r="B370" s="165" t="s">
        <v>205</v>
      </c>
      <c r="C370" s="165">
        <v>15200</v>
      </c>
      <c r="D370" s="228"/>
      <c r="E370" s="228"/>
      <c r="F370" s="228"/>
      <c r="G370" s="228"/>
      <c r="H370" s="228"/>
      <c r="I370" s="228"/>
      <c r="J370" s="228"/>
      <c r="K370" s="228"/>
      <c r="L370" s="228">
        <v>2000</v>
      </c>
      <c r="M370" s="228">
        <v>30400000</v>
      </c>
      <c r="N370" s="228"/>
      <c r="O370" s="228"/>
      <c r="P370" s="228">
        <v>2000</v>
      </c>
      <c r="Q370" s="228">
        <v>30400000</v>
      </c>
    </row>
    <row r="371" spans="1:17">
      <c r="A371"/>
      <c r="B371" s="165" t="s">
        <v>1379</v>
      </c>
      <c r="C371" s="165">
        <v>15200</v>
      </c>
      <c r="D371" s="228"/>
      <c r="E371" s="228"/>
      <c r="F371" s="228"/>
      <c r="G371" s="228"/>
      <c r="H371" s="228"/>
      <c r="I371" s="228"/>
      <c r="J371" s="228"/>
      <c r="K371" s="228"/>
      <c r="L371" s="228">
        <v>1600</v>
      </c>
      <c r="M371" s="228">
        <v>24320000</v>
      </c>
      <c r="N371" s="228"/>
      <c r="O371" s="228"/>
      <c r="P371" s="228">
        <v>1600</v>
      </c>
      <c r="Q371" s="228">
        <v>24320000</v>
      </c>
    </row>
    <row r="372" spans="1:17">
      <c r="A372"/>
      <c r="B372" s="165" t="s">
        <v>1483</v>
      </c>
      <c r="C372" s="165">
        <v>15200</v>
      </c>
      <c r="D372" s="228">
        <v>0</v>
      </c>
      <c r="E372" s="228">
        <v>0</v>
      </c>
      <c r="F372" s="228"/>
      <c r="G372" s="228"/>
      <c r="H372" s="228"/>
      <c r="I372" s="228"/>
      <c r="J372" s="228"/>
      <c r="K372" s="228"/>
      <c r="L372" s="228"/>
      <c r="M372" s="228"/>
      <c r="N372" s="228"/>
      <c r="O372" s="228"/>
      <c r="P372" s="228">
        <v>0</v>
      </c>
      <c r="Q372" s="228">
        <v>0</v>
      </c>
    </row>
    <row r="373" spans="1:17">
      <c r="A373"/>
      <c r="B373" s="165" t="s">
        <v>1798</v>
      </c>
      <c r="C373" s="165">
        <v>15200</v>
      </c>
      <c r="D373" s="228"/>
      <c r="E373" s="228"/>
      <c r="F373" s="228"/>
      <c r="G373" s="228"/>
      <c r="H373" s="228"/>
      <c r="I373" s="228"/>
      <c r="J373" s="228"/>
      <c r="K373" s="228"/>
      <c r="L373" s="228">
        <v>10000</v>
      </c>
      <c r="M373" s="228">
        <v>152000000</v>
      </c>
      <c r="N373" s="228"/>
      <c r="O373" s="228"/>
      <c r="P373" s="228">
        <v>10000</v>
      </c>
      <c r="Q373" s="228">
        <v>152000000</v>
      </c>
    </row>
    <row r="374" spans="1:17">
      <c r="A374"/>
      <c r="B374" s="165" t="s">
        <v>1098</v>
      </c>
      <c r="C374" s="165">
        <v>15200</v>
      </c>
      <c r="D374" s="228"/>
      <c r="E374" s="228"/>
      <c r="F374" s="228"/>
      <c r="G374" s="228"/>
      <c r="H374" s="228"/>
      <c r="I374" s="228"/>
      <c r="J374" s="228"/>
      <c r="K374" s="228"/>
      <c r="L374" s="228">
        <v>2000</v>
      </c>
      <c r="M374" s="228">
        <v>30400000</v>
      </c>
      <c r="N374" s="228"/>
      <c r="O374" s="228"/>
      <c r="P374" s="228">
        <v>2000</v>
      </c>
      <c r="Q374" s="228">
        <v>30400000</v>
      </c>
    </row>
    <row r="375" spans="1:17">
      <c r="A375"/>
      <c r="B375" s="165" t="s">
        <v>1493</v>
      </c>
      <c r="C375" s="165">
        <v>15200</v>
      </c>
      <c r="D375" s="228"/>
      <c r="E375" s="228"/>
      <c r="F375" s="228"/>
      <c r="G375" s="228"/>
      <c r="H375" s="228"/>
      <c r="I375" s="228"/>
      <c r="J375" s="228"/>
      <c r="K375" s="228"/>
      <c r="L375" s="228">
        <v>10000</v>
      </c>
      <c r="M375" s="228">
        <v>152000000</v>
      </c>
      <c r="N375" s="228"/>
      <c r="O375" s="228"/>
      <c r="P375" s="228">
        <v>10000</v>
      </c>
      <c r="Q375" s="228">
        <v>152000000</v>
      </c>
    </row>
    <row r="376" spans="1:17">
      <c r="A376"/>
      <c r="B376" s="165" t="s">
        <v>251</v>
      </c>
      <c r="C376" s="165">
        <v>15200</v>
      </c>
      <c r="D376" s="228"/>
      <c r="E376" s="228"/>
      <c r="F376" s="228"/>
      <c r="G376" s="228"/>
      <c r="H376" s="228"/>
      <c r="I376" s="228"/>
      <c r="J376" s="228"/>
      <c r="K376" s="228"/>
      <c r="L376" s="228">
        <v>5040</v>
      </c>
      <c r="M376" s="228">
        <v>76608000</v>
      </c>
      <c r="N376" s="228"/>
      <c r="O376" s="228"/>
      <c r="P376" s="228">
        <v>5040</v>
      </c>
      <c r="Q376" s="228">
        <v>76608000</v>
      </c>
    </row>
    <row r="377" spans="1:17">
      <c r="A377" s="165" t="s">
        <v>2065</v>
      </c>
      <c r="B377" s="165" t="s">
        <v>1555</v>
      </c>
      <c r="C377" s="165">
        <v>15200</v>
      </c>
      <c r="D377" s="228"/>
      <c r="E377" s="228"/>
      <c r="F377" s="228"/>
      <c r="G377" s="228"/>
      <c r="H377" s="228"/>
      <c r="I377" s="228"/>
      <c r="J377" s="228"/>
      <c r="K377" s="228"/>
      <c r="L377" s="228">
        <v>10000</v>
      </c>
      <c r="M377" s="228">
        <v>152000000</v>
      </c>
      <c r="N377" s="228"/>
      <c r="O377" s="228"/>
      <c r="P377" s="228">
        <v>10000</v>
      </c>
      <c r="Q377" s="228">
        <v>152000000</v>
      </c>
    </row>
    <row r="378" spans="1:17">
      <c r="A378"/>
      <c r="B378" s="165" t="s">
        <v>1431</v>
      </c>
      <c r="C378" s="165">
        <v>15200</v>
      </c>
      <c r="D378" s="228"/>
      <c r="E378" s="228"/>
      <c r="F378" s="228"/>
      <c r="G378" s="228"/>
      <c r="H378" s="228"/>
      <c r="I378" s="228"/>
      <c r="J378" s="228"/>
      <c r="K378" s="228"/>
      <c r="L378" s="228">
        <v>6000</v>
      </c>
      <c r="M378" s="228">
        <v>91200000</v>
      </c>
      <c r="N378" s="228"/>
      <c r="O378" s="228"/>
      <c r="P378" s="228">
        <v>6000</v>
      </c>
      <c r="Q378" s="228">
        <v>91200000</v>
      </c>
    </row>
    <row r="379" spans="1:17">
      <c r="A379" s="165" t="s">
        <v>2066</v>
      </c>
      <c r="B379" s="165" t="s">
        <v>1086</v>
      </c>
      <c r="C379" s="165">
        <v>5200</v>
      </c>
      <c r="D379" s="228"/>
      <c r="E379" s="228"/>
      <c r="F379" s="228"/>
      <c r="G379" s="228"/>
      <c r="H379" s="228"/>
      <c r="I379" s="228"/>
      <c r="J379" s="228"/>
      <c r="K379" s="228"/>
      <c r="L379" s="228">
        <v>4000</v>
      </c>
      <c r="M379" s="228">
        <v>20800000</v>
      </c>
      <c r="N379" s="228"/>
      <c r="O379" s="228"/>
      <c r="P379" s="228">
        <v>4000</v>
      </c>
      <c r="Q379" s="228">
        <v>20800000</v>
      </c>
    </row>
    <row r="380" spans="1:17">
      <c r="A380" s="165" t="s">
        <v>2067</v>
      </c>
      <c r="B380" s="165" t="s">
        <v>205</v>
      </c>
      <c r="C380" s="165">
        <v>5400</v>
      </c>
      <c r="D380" s="228">
        <v>5100</v>
      </c>
      <c r="E380" s="228">
        <v>27540000</v>
      </c>
      <c r="F380" s="228"/>
      <c r="G380" s="228"/>
      <c r="H380" s="228"/>
      <c r="I380" s="228"/>
      <c r="J380" s="228"/>
      <c r="K380" s="228"/>
      <c r="L380" s="228"/>
      <c r="M380" s="228"/>
      <c r="N380" s="228"/>
      <c r="O380" s="228"/>
      <c r="P380" s="228">
        <v>5100</v>
      </c>
      <c r="Q380" s="228">
        <v>27540000</v>
      </c>
    </row>
    <row r="381" spans="1:17">
      <c r="A381"/>
      <c r="B381" s="165" t="s">
        <v>76</v>
      </c>
      <c r="C381" s="165">
        <v>5300</v>
      </c>
      <c r="D381" s="228">
        <v>0</v>
      </c>
      <c r="E381" s="228">
        <v>0</v>
      </c>
      <c r="F381" s="228"/>
      <c r="G381" s="228"/>
      <c r="H381" s="228"/>
      <c r="I381" s="228"/>
      <c r="J381" s="228"/>
      <c r="K381" s="228"/>
      <c r="L381" s="228"/>
      <c r="M381" s="228"/>
      <c r="N381" s="228"/>
      <c r="O381" s="228"/>
      <c r="P381" s="228">
        <v>0</v>
      </c>
      <c r="Q381" s="228">
        <v>0</v>
      </c>
    </row>
    <row r="382" spans="1:17">
      <c r="A382"/>
      <c r="B382" s="165" t="s">
        <v>111</v>
      </c>
      <c r="C382" s="165">
        <v>5500</v>
      </c>
      <c r="D382" s="228"/>
      <c r="E382" s="228"/>
      <c r="F382" s="228">
        <v>0</v>
      </c>
      <c r="G382" s="228">
        <v>0</v>
      </c>
      <c r="H382" s="228"/>
      <c r="I382" s="228"/>
      <c r="J382" s="228"/>
      <c r="K382" s="228"/>
      <c r="L382" s="228"/>
      <c r="M382" s="228"/>
      <c r="N382" s="228"/>
      <c r="O382" s="228"/>
      <c r="P382" s="228">
        <v>0</v>
      </c>
      <c r="Q382" s="228">
        <v>0</v>
      </c>
    </row>
    <row r="383" spans="1:17">
      <c r="A383"/>
      <c r="B383" s="165" t="s">
        <v>270</v>
      </c>
      <c r="C383" s="165">
        <v>5600</v>
      </c>
      <c r="D383" s="228"/>
      <c r="E383" s="228"/>
      <c r="F383" s="228"/>
      <c r="G383" s="228"/>
      <c r="H383" s="228">
        <v>6000</v>
      </c>
      <c r="I383" s="228">
        <v>33600000</v>
      </c>
      <c r="J383" s="228"/>
      <c r="K383" s="228"/>
      <c r="L383" s="228"/>
      <c r="M383" s="228"/>
      <c r="N383" s="228"/>
      <c r="O383" s="228"/>
      <c r="P383" s="228">
        <v>6000</v>
      </c>
      <c r="Q383" s="228">
        <v>33600000</v>
      </c>
    </row>
    <row r="384" spans="1:17">
      <c r="A384"/>
      <c r="B384" s="165" t="s">
        <v>150</v>
      </c>
      <c r="C384" s="165">
        <v>5413</v>
      </c>
      <c r="D384" s="228"/>
      <c r="E384" s="228"/>
      <c r="F384" s="228">
        <v>0</v>
      </c>
      <c r="G384" s="228">
        <v>0</v>
      </c>
      <c r="H384" s="228"/>
      <c r="I384" s="228"/>
      <c r="J384" s="228"/>
      <c r="K384" s="228"/>
      <c r="L384" s="228"/>
      <c r="M384" s="228"/>
      <c r="N384" s="228"/>
      <c r="O384" s="228"/>
      <c r="P384" s="228">
        <v>0</v>
      </c>
      <c r="Q384" s="228">
        <v>0</v>
      </c>
    </row>
    <row r="385" spans="1:17">
      <c r="A385"/>
      <c r="B385" s="165" t="s">
        <v>1483</v>
      </c>
      <c r="C385" s="165">
        <v>5400</v>
      </c>
      <c r="D385" s="228">
        <v>0</v>
      </c>
      <c r="E385" s="228">
        <v>0</v>
      </c>
      <c r="F385" s="228"/>
      <c r="G385" s="228"/>
      <c r="H385" s="228"/>
      <c r="I385" s="228"/>
      <c r="J385" s="228"/>
      <c r="K385" s="228"/>
      <c r="L385" s="228"/>
      <c r="M385" s="228"/>
      <c r="N385" s="228"/>
      <c r="O385" s="228"/>
      <c r="P385" s="228">
        <v>0</v>
      </c>
      <c r="Q385" s="228">
        <v>0</v>
      </c>
    </row>
    <row r="386" spans="1:17">
      <c r="A386"/>
      <c r="B386" s="165" t="s">
        <v>285</v>
      </c>
      <c r="C386" s="165">
        <v>5300</v>
      </c>
      <c r="D386" s="228"/>
      <c r="E386" s="228"/>
      <c r="F386" s="228">
        <v>0</v>
      </c>
      <c r="G386" s="228">
        <v>0</v>
      </c>
      <c r="H386" s="228"/>
      <c r="I386" s="228"/>
      <c r="J386" s="228"/>
      <c r="K386" s="228"/>
      <c r="L386" s="228"/>
      <c r="M386" s="228"/>
      <c r="N386" s="228"/>
      <c r="O386" s="228"/>
      <c r="P386" s="228">
        <v>0</v>
      </c>
      <c r="Q386" s="228">
        <v>0</v>
      </c>
    </row>
    <row r="387" spans="1:17">
      <c r="A387"/>
      <c r="B387" s="165" t="s">
        <v>226</v>
      </c>
      <c r="C387" s="165">
        <v>5300</v>
      </c>
      <c r="D387" s="228"/>
      <c r="E387" s="228"/>
      <c r="F387" s="228">
        <v>0</v>
      </c>
      <c r="G387" s="228">
        <v>0</v>
      </c>
      <c r="H387" s="228"/>
      <c r="I387" s="228"/>
      <c r="J387" s="228"/>
      <c r="K387" s="228"/>
      <c r="L387" s="228"/>
      <c r="M387" s="228"/>
      <c r="N387" s="228"/>
      <c r="O387" s="228"/>
      <c r="P387" s="228">
        <v>0</v>
      </c>
      <c r="Q387" s="228">
        <v>0</v>
      </c>
    </row>
    <row r="388" spans="1:17">
      <c r="A388"/>
      <c r="B388" s="165" t="s">
        <v>282</v>
      </c>
      <c r="C388" s="165">
        <v>5300</v>
      </c>
      <c r="D388" s="228"/>
      <c r="E388" s="228"/>
      <c r="F388" s="228">
        <v>0</v>
      </c>
      <c r="G388" s="228">
        <v>0</v>
      </c>
      <c r="H388" s="228"/>
      <c r="I388" s="228"/>
      <c r="J388" s="228"/>
      <c r="K388" s="228"/>
      <c r="L388" s="228"/>
      <c r="M388" s="228"/>
      <c r="N388" s="228"/>
      <c r="O388" s="228"/>
      <c r="P388" s="228">
        <v>0</v>
      </c>
      <c r="Q388" s="228">
        <v>0</v>
      </c>
    </row>
    <row r="389" spans="1:17">
      <c r="A389"/>
      <c r="B389" s="165" t="s">
        <v>1237</v>
      </c>
      <c r="C389" s="165">
        <v>5300</v>
      </c>
      <c r="D389" s="228"/>
      <c r="E389" s="228"/>
      <c r="F389" s="228">
        <v>0</v>
      </c>
      <c r="G389" s="228">
        <v>0</v>
      </c>
      <c r="H389" s="228"/>
      <c r="I389" s="228"/>
      <c r="J389" s="228"/>
      <c r="K389" s="228"/>
      <c r="L389" s="228"/>
      <c r="M389" s="228"/>
      <c r="N389" s="228"/>
      <c r="O389" s="228"/>
      <c r="P389" s="228">
        <v>0</v>
      </c>
      <c r="Q389" s="228">
        <v>0</v>
      </c>
    </row>
    <row r="390" spans="1:17">
      <c r="A390"/>
      <c r="B390"/>
      <c r="C390" s="165">
        <v>5360</v>
      </c>
      <c r="D390" s="228">
        <v>0</v>
      </c>
      <c r="E390" s="228">
        <v>0</v>
      </c>
      <c r="F390" s="228"/>
      <c r="G390" s="228"/>
      <c r="H390" s="228"/>
      <c r="I390" s="228"/>
      <c r="J390" s="228"/>
      <c r="K390" s="228"/>
      <c r="L390" s="228"/>
      <c r="M390" s="228"/>
      <c r="N390" s="228"/>
      <c r="O390" s="228"/>
      <c r="P390" s="228">
        <v>0</v>
      </c>
      <c r="Q390" s="228">
        <v>0</v>
      </c>
    </row>
    <row r="391" spans="1:17">
      <c r="A391"/>
      <c r="B391" s="165" t="s">
        <v>1619</v>
      </c>
      <c r="C391" s="165">
        <v>5500</v>
      </c>
      <c r="D391" s="228"/>
      <c r="E391" s="228"/>
      <c r="F391" s="228">
        <v>0</v>
      </c>
      <c r="G391" s="228">
        <v>0</v>
      </c>
      <c r="H391" s="228"/>
      <c r="I391" s="228"/>
      <c r="J391" s="228"/>
      <c r="K391" s="228"/>
      <c r="L391" s="228"/>
      <c r="M391" s="228"/>
      <c r="N391" s="228"/>
      <c r="O391" s="228"/>
      <c r="P391" s="228">
        <v>0</v>
      </c>
      <c r="Q391" s="228">
        <v>0</v>
      </c>
    </row>
    <row r="392" spans="1:17">
      <c r="A392"/>
      <c r="B392" s="165" t="s">
        <v>1555</v>
      </c>
      <c r="C392" s="165">
        <v>5500</v>
      </c>
      <c r="D392" s="228"/>
      <c r="E392" s="228"/>
      <c r="F392" s="228">
        <v>0</v>
      </c>
      <c r="G392" s="228">
        <v>0</v>
      </c>
      <c r="H392" s="228"/>
      <c r="I392" s="228"/>
      <c r="J392" s="228"/>
      <c r="K392" s="228"/>
      <c r="L392" s="228"/>
      <c r="M392" s="228"/>
      <c r="N392" s="228"/>
      <c r="O392" s="228"/>
      <c r="P392" s="228">
        <v>0</v>
      </c>
      <c r="Q392" s="228">
        <v>0</v>
      </c>
    </row>
    <row r="393" spans="1:17">
      <c r="A393"/>
      <c r="B393" s="165" t="s">
        <v>1345</v>
      </c>
      <c r="C393" s="165">
        <v>5400</v>
      </c>
      <c r="D393" s="228"/>
      <c r="E393" s="228"/>
      <c r="F393" s="228">
        <v>0</v>
      </c>
      <c r="G393" s="228">
        <v>0</v>
      </c>
      <c r="H393" s="228"/>
      <c r="I393" s="228"/>
      <c r="J393" s="228"/>
      <c r="K393" s="228"/>
      <c r="L393" s="228"/>
      <c r="M393" s="228"/>
      <c r="N393" s="228"/>
      <c r="O393" s="228"/>
      <c r="P393" s="228">
        <v>0</v>
      </c>
      <c r="Q393" s="228">
        <v>0</v>
      </c>
    </row>
    <row r="394" spans="1:17">
      <c r="A394"/>
      <c r="B394" s="165" t="s">
        <v>1564</v>
      </c>
      <c r="C394" s="165">
        <v>5400</v>
      </c>
      <c r="D394" s="228"/>
      <c r="E394" s="228"/>
      <c r="F394" s="228"/>
      <c r="G394" s="228"/>
      <c r="H394" s="228">
        <v>5100</v>
      </c>
      <c r="I394" s="228">
        <v>27540000</v>
      </c>
      <c r="J394" s="228">
        <v>5400</v>
      </c>
      <c r="K394" s="228">
        <v>29160000</v>
      </c>
      <c r="L394" s="228"/>
      <c r="M394" s="228"/>
      <c r="N394" s="228"/>
      <c r="O394" s="228"/>
      <c r="P394" s="228">
        <v>10500</v>
      </c>
      <c r="Q394" s="228">
        <v>56700000</v>
      </c>
    </row>
    <row r="395" spans="1:17">
      <c r="A395"/>
      <c r="B395"/>
      <c r="C395" s="165">
        <v>5600</v>
      </c>
      <c r="D395" s="228"/>
      <c r="E395" s="228"/>
      <c r="F395" s="228"/>
      <c r="G395" s="228"/>
      <c r="H395" s="228"/>
      <c r="I395" s="228"/>
      <c r="J395" s="228"/>
      <c r="K395" s="228"/>
      <c r="L395" s="228">
        <v>5100</v>
      </c>
      <c r="M395" s="228">
        <v>28560000</v>
      </c>
      <c r="N395" s="228"/>
      <c r="O395" s="228"/>
      <c r="P395" s="228">
        <v>5100</v>
      </c>
      <c r="Q395" s="228">
        <v>28560000</v>
      </c>
    </row>
    <row r="396" spans="1:17">
      <c r="A396"/>
      <c r="B396" s="165" t="s">
        <v>177</v>
      </c>
      <c r="C396" s="165">
        <v>5500</v>
      </c>
      <c r="D396" s="228"/>
      <c r="E396" s="228"/>
      <c r="F396" s="228">
        <v>0</v>
      </c>
      <c r="G396" s="228">
        <v>0</v>
      </c>
      <c r="H396" s="228"/>
      <c r="I396" s="228"/>
      <c r="J396" s="228"/>
      <c r="K396" s="228"/>
      <c r="L396" s="228"/>
      <c r="M396" s="228"/>
      <c r="N396" s="228"/>
      <c r="O396" s="228"/>
      <c r="P396" s="228">
        <v>0</v>
      </c>
      <c r="Q396" s="228">
        <v>0</v>
      </c>
    </row>
    <row r="397" spans="1:17">
      <c r="A397"/>
      <c r="B397" s="165" t="s">
        <v>25</v>
      </c>
      <c r="C397" s="165">
        <v>5414</v>
      </c>
      <c r="D397" s="228"/>
      <c r="E397" s="228"/>
      <c r="F397" s="228">
        <v>0</v>
      </c>
      <c r="G397" s="228">
        <v>0</v>
      </c>
      <c r="H397" s="228"/>
      <c r="I397" s="228"/>
      <c r="J397" s="228"/>
      <c r="K397" s="228"/>
      <c r="L397" s="228"/>
      <c r="M397" s="228"/>
      <c r="N397" s="228"/>
      <c r="O397" s="228"/>
      <c r="P397" s="228">
        <v>0</v>
      </c>
      <c r="Q397" s="228">
        <v>0</v>
      </c>
    </row>
    <row r="398" spans="1:17">
      <c r="A398"/>
      <c r="B398" s="165" t="s">
        <v>817</v>
      </c>
      <c r="C398" s="165">
        <v>5500</v>
      </c>
      <c r="D398" s="228">
        <v>0</v>
      </c>
      <c r="E398" s="228">
        <v>0</v>
      </c>
      <c r="F398" s="228"/>
      <c r="G398" s="228"/>
      <c r="H398" s="228"/>
      <c r="I398" s="228"/>
      <c r="J398" s="228"/>
      <c r="K398" s="228"/>
      <c r="L398" s="228"/>
      <c r="M398" s="228"/>
      <c r="N398" s="228"/>
      <c r="O398" s="228"/>
      <c r="P398" s="228">
        <v>0</v>
      </c>
      <c r="Q398" s="228">
        <v>0</v>
      </c>
    </row>
    <row r="399" spans="1:17">
      <c r="A399"/>
      <c r="B399" s="165" t="s">
        <v>130</v>
      </c>
      <c r="C399" s="165">
        <v>5500</v>
      </c>
      <c r="D399" s="228"/>
      <c r="E399" s="228"/>
      <c r="F399" s="228">
        <v>0</v>
      </c>
      <c r="G399" s="228">
        <v>0</v>
      </c>
      <c r="H399" s="228"/>
      <c r="I399" s="228"/>
      <c r="J399" s="228"/>
      <c r="K399" s="228"/>
      <c r="L399" s="228"/>
      <c r="M399" s="228"/>
      <c r="N399" s="228"/>
      <c r="O399" s="228"/>
      <c r="P399" s="228">
        <v>0</v>
      </c>
      <c r="Q399" s="228">
        <v>0</v>
      </c>
    </row>
    <row r="400" spans="1:17">
      <c r="A400"/>
      <c r="B400" s="165" t="s">
        <v>158</v>
      </c>
      <c r="C400" s="165">
        <v>5400</v>
      </c>
      <c r="D400" s="228"/>
      <c r="E400" s="228"/>
      <c r="F400" s="228">
        <v>0</v>
      </c>
      <c r="G400" s="228">
        <v>0</v>
      </c>
      <c r="H400" s="228"/>
      <c r="I400" s="228"/>
      <c r="J400" s="228"/>
      <c r="K400" s="228"/>
      <c r="L400" s="228"/>
      <c r="M400" s="228"/>
      <c r="N400" s="228"/>
      <c r="O400" s="228"/>
      <c r="P400" s="228">
        <v>0</v>
      </c>
      <c r="Q400" s="228">
        <v>0</v>
      </c>
    </row>
    <row r="401" spans="1:17">
      <c r="A401"/>
      <c r="B401" s="165" t="s">
        <v>188</v>
      </c>
      <c r="C401" s="165">
        <v>5400</v>
      </c>
      <c r="D401" s="228"/>
      <c r="E401" s="228"/>
      <c r="F401" s="228">
        <v>0</v>
      </c>
      <c r="G401" s="228">
        <v>0</v>
      </c>
      <c r="H401" s="228"/>
      <c r="I401" s="228"/>
      <c r="J401" s="228"/>
      <c r="K401" s="228"/>
      <c r="L401" s="228"/>
      <c r="M401" s="228"/>
      <c r="N401" s="228"/>
      <c r="O401" s="228"/>
      <c r="P401" s="228">
        <v>0</v>
      </c>
      <c r="Q401" s="228">
        <v>0</v>
      </c>
    </row>
    <row r="402" spans="1:17">
      <c r="A402"/>
      <c r="B402"/>
      <c r="C402" s="165">
        <v>5500</v>
      </c>
      <c r="D402" s="228"/>
      <c r="E402" s="228"/>
      <c r="F402" s="228">
        <v>0</v>
      </c>
      <c r="G402" s="228">
        <v>0</v>
      </c>
      <c r="H402" s="228"/>
      <c r="I402" s="228"/>
      <c r="J402" s="228">
        <v>10200</v>
      </c>
      <c r="K402" s="228">
        <v>56100000</v>
      </c>
      <c r="L402" s="228"/>
      <c r="M402" s="228"/>
      <c r="N402" s="228"/>
      <c r="O402" s="228"/>
      <c r="P402" s="228">
        <v>10200</v>
      </c>
      <c r="Q402" s="228">
        <v>56100000</v>
      </c>
    </row>
    <row r="403" spans="1:17">
      <c r="A403"/>
      <c r="B403"/>
      <c r="C403" s="165">
        <v>5600</v>
      </c>
      <c r="D403" s="228"/>
      <c r="E403" s="228"/>
      <c r="F403" s="228"/>
      <c r="G403" s="228"/>
      <c r="H403" s="228">
        <v>9600</v>
      </c>
      <c r="I403" s="228">
        <v>53760000</v>
      </c>
      <c r="J403" s="228"/>
      <c r="K403" s="228"/>
      <c r="L403" s="228"/>
      <c r="M403" s="228"/>
      <c r="N403" s="228"/>
      <c r="O403" s="228"/>
      <c r="P403" s="228">
        <v>9600</v>
      </c>
      <c r="Q403" s="228">
        <v>53760000</v>
      </c>
    </row>
    <row r="404" spans="1:17">
      <c r="A404"/>
      <c r="B404" s="165" t="s">
        <v>1589</v>
      </c>
      <c r="C404" s="165">
        <v>5500</v>
      </c>
      <c r="D404" s="228">
        <v>0</v>
      </c>
      <c r="E404" s="228">
        <v>0</v>
      </c>
      <c r="F404" s="228"/>
      <c r="G404" s="228"/>
      <c r="H404" s="228"/>
      <c r="I404" s="228"/>
      <c r="J404" s="228"/>
      <c r="K404" s="228"/>
      <c r="L404" s="228"/>
      <c r="M404" s="228"/>
      <c r="N404" s="228"/>
      <c r="O404" s="228"/>
      <c r="P404" s="228">
        <v>0</v>
      </c>
      <c r="Q404" s="228">
        <v>0</v>
      </c>
    </row>
    <row r="405" spans="1:17">
      <c r="A405"/>
      <c r="B405"/>
      <c r="C405" s="165">
        <v>5600</v>
      </c>
      <c r="D405" s="228">
        <v>0</v>
      </c>
      <c r="E405" s="228">
        <v>0</v>
      </c>
      <c r="F405" s="228"/>
      <c r="G405" s="228"/>
      <c r="H405" s="228"/>
      <c r="I405" s="228"/>
      <c r="J405" s="228"/>
      <c r="K405" s="228"/>
      <c r="L405" s="228"/>
      <c r="M405" s="228"/>
      <c r="N405" s="228"/>
      <c r="O405" s="228"/>
      <c r="P405" s="228">
        <v>0</v>
      </c>
      <c r="Q405" s="228">
        <v>0</v>
      </c>
    </row>
    <row r="406" spans="1:17">
      <c r="A406"/>
      <c r="B406"/>
      <c r="C406" s="165">
        <v>5700</v>
      </c>
      <c r="D406" s="228"/>
      <c r="E406" s="228"/>
      <c r="F406" s="228"/>
      <c r="G406" s="228"/>
      <c r="H406" s="228"/>
      <c r="I406" s="228"/>
      <c r="J406" s="228"/>
      <c r="K406" s="228"/>
      <c r="L406" s="228">
        <v>6900</v>
      </c>
      <c r="M406" s="228">
        <v>39330000</v>
      </c>
      <c r="N406" s="228"/>
      <c r="O406" s="228"/>
      <c r="P406" s="228">
        <v>6900</v>
      </c>
      <c r="Q406" s="228">
        <v>39330000</v>
      </c>
    </row>
    <row r="407" spans="1:17">
      <c r="A407"/>
      <c r="B407" s="165" t="s">
        <v>950</v>
      </c>
      <c r="C407" s="165">
        <v>5500</v>
      </c>
      <c r="D407" s="228"/>
      <c r="E407" s="228"/>
      <c r="F407" s="228">
        <v>0</v>
      </c>
      <c r="G407" s="228">
        <v>0</v>
      </c>
      <c r="H407" s="228"/>
      <c r="I407" s="228"/>
      <c r="J407" s="228"/>
      <c r="K407" s="228"/>
      <c r="L407" s="228"/>
      <c r="M407" s="228"/>
      <c r="N407" s="228"/>
      <c r="O407" s="228"/>
      <c r="P407" s="228">
        <v>0</v>
      </c>
      <c r="Q407" s="228">
        <v>0</v>
      </c>
    </row>
    <row r="408" spans="1:17">
      <c r="A408"/>
      <c r="B408" s="165" t="s">
        <v>1086</v>
      </c>
      <c r="C408" s="165">
        <v>5400</v>
      </c>
      <c r="D408" s="228"/>
      <c r="E408" s="228"/>
      <c r="F408" s="228">
        <v>0</v>
      </c>
      <c r="G408" s="228">
        <v>0</v>
      </c>
      <c r="H408" s="228"/>
      <c r="I408" s="228"/>
      <c r="J408" s="228"/>
      <c r="K408" s="228"/>
      <c r="L408" s="228"/>
      <c r="M408" s="228"/>
      <c r="N408" s="228"/>
      <c r="O408" s="228"/>
      <c r="P408" s="228">
        <v>0</v>
      </c>
      <c r="Q408" s="228">
        <v>0</v>
      </c>
    </row>
    <row r="409" spans="1:17">
      <c r="A409"/>
      <c r="B409"/>
      <c r="C409" s="165">
        <v>5500</v>
      </c>
      <c r="D409" s="228"/>
      <c r="E409" s="228"/>
      <c r="F409" s="228"/>
      <c r="G409" s="228"/>
      <c r="H409" s="228">
        <v>5100</v>
      </c>
      <c r="I409" s="228">
        <v>28050000</v>
      </c>
      <c r="J409" s="228"/>
      <c r="K409" s="228"/>
      <c r="L409" s="228">
        <v>20100</v>
      </c>
      <c r="M409" s="228">
        <v>110550000</v>
      </c>
      <c r="N409" s="228"/>
      <c r="O409" s="228"/>
      <c r="P409" s="228">
        <v>25200</v>
      </c>
      <c r="Q409" s="228">
        <v>138600000</v>
      </c>
    </row>
    <row r="410" spans="1:17">
      <c r="A410"/>
      <c r="B410"/>
      <c r="C410" s="165">
        <v>5450</v>
      </c>
      <c r="D410" s="228"/>
      <c r="E410" s="228"/>
      <c r="F410" s="228"/>
      <c r="G410" s="228"/>
      <c r="H410" s="228"/>
      <c r="I410" s="228"/>
      <c r="J410" s="228">
        <v>5100</v>
      </c>
      <c r="K410" s="228">
        <v>27795000</v>
      </c>
      <c r="L410" s="228"/>
      <c r="M410" s="228"/>
      <c r="N410" s="228"/>
      <c r="O410" s="228"/>
      <c r="P410" s="228">
        <v>5100</v>
      </c>
      <c r="Q410" s="228">
        <v>27795000</v>
      </c>
    </row>
    <row r="411" spans="1:17">
      <c r="A411"/>
      <c r="B411" s="165" t="s">
        <v>213</v>
      </c>
      <c r="C411" s="165">
        <v>5600</v>
      </c>
      <c r="D411" s="228"/>
      <c r="E411" s="228"/>
      <c r="F411" s="228"/>
      <c r="G411" s="228"/>
      <c r="H411" s="228"/>
      <c r="I411" s="228"/>
      <c r="J411" s="228">
        <v>3600</v>
      </c>
      <c r="K411" s="228">
        <v>20160000</v>
      </c>
      <c r="L411" s="228"/>
      <c r="M411" s="228"/>
      <c r="N411" s="228"/>
      <c r="O411" s="228"/>
      <c r="P411" s="228">
        <v>3600</v>
      </c>
      <c r="Q411" s="228">
        <v>20160000</v>
      </c>
    </row>
    <row r="412" spans="1:17">
      <c r="A412"/>
      <c r="B412" s="165" t="s">
        <v>1500</v>
      </c>
      <c r="C412" s="165">
        <v>5500</v>
      </c>
      <c r="D412" s="228"/>
      <c r="E412" s="228"/>
      <c r="F412" s="228">
        <v>0</v>
      </c>
      <c r="G412" s="228">
        <v>0</v>
      </c>
      <c r="H412" s="228"/>
      <c r="I412" s="228"/>
      <c r="J412" s="228"/>
      <c r="K412" s="228"/>
      <c r="L412" s="228"/>
      <c r="M412" s="228"/>
      <c r="N412" s="228"/>
      <c r="O412" s="228"/>
      <c r="P412" s="228">
        <v>0</v>
      </c>
      <c r="Q412" s="228">
        <v>0</v>
      </c>
    </row>
    <row r="413" spans="1:17">
      <c r="A413"/>
      <c r="B413" s="165" t="s">
        <v>1142</v>
      </c>
      <c r="C413" s="165">
        <v>5300</v>
      </c>
      <c r="D413" s="228"/>
      <c r="E413" s="228"/>
      <c r="F413" s="228">
        <v>0</v>
      </c>
      <c r="G413" s="228">
        <v>0</v>
      </c>
      <c r="H413" s="228"/>
      <c r="I413" s="228"/>
      <c r="J413" s="228"/>
      <c r="K413" s="228"/>
      <c r="L413" s="228"/>
      <c r="M413" s="228"/>
      <c r="N413" s="228"/>
      <c r="O413" s="228"/>
      <c r="P413" s="228">
        <v>0</v>
      </c>
      <c r="Q413" s="228">
        <v>0</v>
      </c>
    </row>
    <row r="414" spans="1:17">
      <c r="A414"/>
      <c r="B414"/>
      <c r="C414" s="165">
        <v>5350</v>
      </c>
      <c r="D414" s="228"/>
      <c r="E414" s="228"/>
      <c r="F414" s="228"/>
      <c r="G414" s="228"/>
      <c r="H414" s="228"/>
      <c r="I414" s="228"/>
      <c r="J414" s="228">
        <v>4200</v>
      </c>
      <c r="K414" s="228">
        <v>22470000</v>
      </c>
      <c r="L414" s="228"/>
      <c r="M414" s="228"/>
      <c r="N414" s="228"/>
      <c r="O414" s="228"/>
      <c r="P414" s="228">
        <v>4200</v>
      </c>
      <c r="Q414" s="228">
        <v>22470000</v>
      </c>
    </row>
    <row r="415" spans="1:17">
      <c r="A415"/>
      <c r="B415"/>
      <c r="C415" s="165">
        <v>5500</v>
      </c>
      <c r="D415" s="228"/>
      <c r="E415" s="228"/>
      <c r="F415" s="228"/>
      <c r="G415" s="228"/>
      <c r="H415" s="228">
        <v>10200</v>
      </c>
      <c r="I415" s="228">
        <v>56100000</v>
      </c>
      <c r="J415" s="228"/>
      <c r="K415" s="228"/>
      <c r="L415" s="228">
        <v>10200</v>
      </c>
      <c r="M415" s="228">
        <v>56100000</v>
      </c>
      <c r="N415" s="228"/>
      <c r="O415" s="228"/>
      <c r="P415" s="228">
        <v>20400</v>
      </c>
      <c r="Q415" s="228">
        <v>112200000</v>
      </c>
    </row>
    <row r="416" spans="1:17">
      <c r="A416"/>
      <c r="B416" s="165" t="s">
        <v>1066</v>
      </c>
      <c r="C416" s="165">
        <v>5300</v>
      </c>
      <c r="D416" s="228"/>
      <c r="E416" s="228"/>
      <c r="F416" s="228">
        <v>0</v>
      </c>
      <c r="G416" s="228">
        <v>0</v>
      </c>
      <c r="H416" s="228"/>
      <c r="I416" s="228"/>
      <c r="J416" s="228"/>
      <c r="K416" s="228"/>
      <c r="L416" s="228"/>
      <c r="M416" s="228"/>
      <c r="N416" s="228"/>
      <c r="O416" s="228"/>
      <c r="P416" s="228">
        <v>0</v>
      </c>
      <c r="Q416" s="228">
        <v>0</v>
      </c>
    </row>
    <row r="417" spans="1:17">
      <c r="A417"/>
      <c r="B417" s="165" t="s">
        <v>1804</v>
      </c>
      <c r="C417" s="165">
        <v>5400</v>
      </c>
      <c r="D417" s="228"/>
      <c r="E417" s="228"/>
      <c r="F417" s="228">
        <v>0</v>
      </c>
      <c r="G417" s="228">
        <v>0</v>
      </c>
      <c r="H417" s="228"/>
      <c r="I417" s="228"/>
      <c r="J417" s="228"/>
      <c r="K417" s="228"/>
      <c r="L417" s="228"/>
      <c r="M417" s="228"/>
      <c r="N417" s="228"/>
      <c r="O417" s="228"/>
      <c r="P417" s="228">
        <v>0</v>
      </c>
      <c r="Q417" s="228">
        <v>0</v>
      </c>
    </row>
    <row r="418" spans="1:17">
      <c r="A418"/>
      <c r="B418" s="165" t="s">
        <v>987</v>
      </c>
      <c r="C418" s="165">
        <v>5500</v>
      </c>
      <c r="D418" s="228"/>
      <c r="E418" s="228"/>
      <c r="F418" s="228">
        <v>0</v>
      </c>
      <c r="G418" s="228">
        <v>0</v>
      </c>
      <c r="H418" s="228"/>
      <c r="I418" s="228"/>
      <c r="J418" s="228"/>
      <c r="K418" s="228"/>
      <c r="L418" s="228"/>
      <c r="M418" s="228"/>
      <c r="N418" s="228"/>
      <c r="O418" s="228"/>
      <c r="P418" s="228">
        <v>0</v>
      </c>
      <c r="Q418" s="228">
        <v>0</v>
      </c>
    </row>
    <row r="419" spans="1:17">
      <c r="A419"/>
      <c r="B419" s="165" t="s">
        <v>208</v>
      </c>
      <c r="C419" s="165">
        <v>5500</v>
      </c>
      <c r="D419" s="228"/>
      <c r="E419" s="228"/>
      <c r="F419" s="228">
        <v>0</v>
      </c>
      <c r="G419" s="228">
        <v>0</v>
      </c>
      <c r="H419" s="228"/>
      <c r="I419" s="228"/>
      <c r="J419" s="228"/>
      <c r="K419" s="228"/>
      <c r="L419" s="228"/>
      <c r="M419" s="228"/>
      <c r="N419" s="228"/>
      <c r="O419" s="228"/>
      <c r="P419" s="228">
        <v>0</v>
      </c>
      <c r="Q419" s="228">
        <v>0</v>
      </c>
    </row>
    <row r="420" spans="1:17">
      <c r="A420"/>
      <c r="B420" s="165" t="s">
        <v>605</v>
      </c>
      <c r="C420" s="165">
        <v>5500</v>
      </c>
      <c r="D420" s="228"/>
      <c r="E420" s="228"/>
      <c r="F420" s="228">
        <v>0</v>
      </c>
      <c r="G420" s="228">
        <v>0</v>
      </c>
      <c r="H420" s="228"/>
      <c r="I420" s="228"/>
      <c r="J420" s="228"/>
      <c r="K420" s="228"/>
      <c r="L420" s="228"/>
      <c r="M420" s="228"/>
      <c r="N420" s="228"/>
      <c r="O420" s="228"/>
      <c r="P420" s="228">
        <v>0</v>
      </c>
      <c r="Q420" s="228">
        <v>0</v>
      </c>
    </row>
    <row r="421" spans="1:17">
      <c r="A421" s="165" t="s">
        <v>2068</v>
      </c>
      <c r="B421" s="165" t="s">
        <v>25</v>
      </c>
      <c r="C421" s="165">
        <v>6700</v>
      </c>
      <c r="D421" s="228"/>
      <c r="E421" s="228"/>
      <c r="F421" s="228">
        <v>0</v>
      </c>
      <c r="G421" s="228">
        <v>0</v>
      </c>
      <c r="H421" s="228"/>
      <c r="I421" s="228"/>
      <c r="J421" s="228"/>
      <c r="K421" s="228"/>
      <c r="L421" s="228"/>
      <c r="M421" s="228"/>
      <c r="N421" s="228"/>
      <c r="O421" s="228"/>
      <c r="P421" s="228">
        <v>0</v>
      </c>
      <c r="Q421" s="228">
        <v>0</v>
      </c>
    </row>
    <row r="422" spans="1:17">
      <c r="A422"/>
      <c r="B422" s="165" t="s">
        <v>66</v>
      </c>
      <c r="C422" s="165">
        <v>6700</v>
      </c>
      <c r="D422" s="228"/>
      <c r="E422" s="228"/>
      <c r="F422" s="228">
        <v>0</v>
      </c>
      <c r="G422" s="228">
        <v>0</v>
      </c>
      <c r="H422" s="228"/>
      <c r="I422" s="228"/>
      <c r="J422" s="228"/>
      <c r="K422" s="228"/>
      <c r="L422" s="228"/>
      <c r="M422" s="228"/>
      <c r="N422" s="228"/>
      <c r="O422" s="228"/>
      <c r="P422" s="228">
        <v>0</v>
      </c>
      <c r="Q422" s="228">
        <v>0</v>
      </c>
    </row>
    <row r="423" spans="1:17">
      <c r="A423"/>
      <c r="B423" s="165" t="s">
        <v>188</v>
      </c>
      <c r="C423" s="165">
        <v>6700</v>
      </c>
      <c r="D423" s="228"/>
      <c r="E423" s="228"/>
      <c r="F423" s="228">
        <v>0</v>
      </c>
      <c r="G423" s="228">
        <v>0</v>
      </c>
      <c r="H423" s="228"/>
      <c r="I423" s="228"/>
      <c r="J423" s="228"/>
      <c r="K423" s="228"/>
      <c r="L423" s="228"/>
      <c r="M423" s="228"/>
      <c r="N423" s="228"/>
      <c r="O423" s="228"/>
      <c r="P423" s="228">
        <v>0</v>
      </c>
      <c r="Q423" s="228">
        <v>0</v>
      </c>
    </row>
    <row r="424" spans="1:17">
      <c r="A424" s="165" t="s">
        <v>2020</v>
      </c>
      <c r="B424" s="165" t="s">
        <v>25</v>
      </c>
      <c r="C424" s="165">
        <v>11900</v>
      </c>
      <c r="D424" s="228"/>
      <c r="E424" s="228"/>
      <c r="F424" s="228"/>
      <c r="G424" s="228"/>
      <c r="H424" s="228"/>
      <c r="I424" s="228"/>
      <c r="J424" s="228"/>
      <c r="K424" s="228"/>
      <c r="L424" s="228">
        <v>7800</v>
      </c>
      <c r="M424" s="228">
        <v>92820000</v>
      </c>
      <c r="N424" s="228"/>
      <c r="O424" s="228"/>
      <c r="P424" s="228">
        <v>7800</v>
      </c>
      <c r="Q424" s="228">
        <v>92820000</v>
      </c>
    </row>
    <row r="425" spans="1:17">
      <c r="A425"/>
      <c r="B425" s="165" t="s">
        <v>605</v>
      </c>
      <c r="C425" s="165">
        <v>12100</v>
      </c>
      <c r="D425" s="228"/>
      <c r="E425" s="228"/>
      <c r="F425" s="228"/>
      <c r="G425" s="228"/>
      <c r="H425" s="228"/>
      <c r="I425" s="228"/>
      <c r="J425" s="228"/>
      <c r="K425" s="228"/>
      <c r="L425" s="228">
        <v>2100</v>
      </c>
      <c r="M425" s="228">
        <v>25410000</v>
      </c>
      <c r="N425" s="228"/>
      <c r="O425" s="228"/>
      <c r="P425" s="228">
        <v>2100</v>
      </c>
      <c r="Q425" s="228">
        <v>25410000</v>
      </c>
    </row>
    <row r="426" spans="1:17">
      <c r="A426" s="165" t="s">
        <v>2069</v>
      </c>
      <c r="B426" s="165" t="s">
        <v>111</v>
      </c>
      <c r="C426" s="165">
        <v>14200</v>
      </c>
      <c r="D426" s="228"/>
      <c r="E426" s="228"/>
      <c r="F426" s="228"/>
      <c r="G426" s="228"/>
      <c r="H426" s="228"/>
      <c r="I426" s="228"/>
      <c r="J426" s="228"/>
      <c r="K426" s="228"/>
      <c r="L426" s="228">
        <v>3000</v>
      </c>
      <c r="M426" s="228">
        <v>42600000</v>
      </c>
      <c r="N426" s="228"/>
      <c r="O426" s="228"/>
      <c r="P426" s="228">
        <v>3000</v>
      </c>
      <c r="Q426" s="228">
        <v>42600000</v>
      </c>
    </row>
    <row r="427" spans="1:17">
      <c r="A427"/>
      <c r="B427" s="165" t="s">
        <v>282</v>
      </c>
      <c r="C427" s="165">
        <v>14200</v>
      </c>
      <c r="D427" s="228"/>
      <c r="E427" s="228"/>
      <c r="F427" s="228"/>
      <c r="G427" s="228"/>
      <c r="H427" s="228"/>
      <c r="I427" s="228"/>
      <c r="J427" s="228"/>
      <c r="K427" s="228"/>
      <c r="L427" s="228">
        <v>5000</v>
      </c>
      <c r="M427" s="228">
        <v>71000000</v>
      </c>
      <c r="N427" s="228"/>
      <c r="O427" s="228"/>
      <c r="P427" s="228">
        <v>5000</v>
      </c>
      <c r="Q427" s="228">
        <v>71000000</v>
      </c>
    </row>
    <row r="428" spans="1:17">
      <c r="A428"/>
      <c r="B428" s="165" t="s">
        <v>1564</v>
      </c>
      <c r="C428" s="165">
        <v>14300</v>
      </c>
      <c r="D428" s="228"/>
      <c r="E428" s="228"/>
      <c r="F428" s="228"/>
      <c r="G428" s="228"/>
      <c r="H428" s="228"/>
      <c r="I428" s="228"/>
      <c r="J428" s="228"/>
      <c r="K428" s="228"/>
      <c r="L428" s="228">
        <v>5000</v>
      </c>
      <c r="M428" s="228">
        <v>71500000</v>
      </c>
      <c r="N428" s="228"/>
      <c r="O428" s="228"/>
      <c r="P428" s="228">
        <v>5000</v>
      </c>
      <c r="Q428" s="228">
        <v>71500000</v>
      </c>
    </row>
    <row r="429" spans="1:17">
      <c r="A429"/>
      <c r="B429" s="165" t="s">
        <v>188</v>
      </c>
      <c r="C429" s="165">
        <v>14200</v>
      </c>
      <c r="D429" s="228"/>
      <c r="E429" s="228"/>
      <c r="F429" s="228"/>
      <c r="G429" s="228"/>
      <c r="H429" s="228"/>
      <c r="I429" s="228"/>
      <c r="J429" s="228"/>
      <c r="K429" s="228"/>
      <c r="L429" s="228">
        <v>15000</v>
      </c>
      <c r="M429" s="228">
        <v>213000000</v>
      </c>
      <c r="N429" s="228"/>
      <c r="O429" s="228"/>
      <c r="P429" s="228">
        <v>15000</v>
      </c>
      <c r="Q429" s="228">
        <v>213000000</v>
      </c>
    </row>
    <row r="430" spans="1:17">
      <c r="A430"/>
      <c r="B430" s="165" t="s">
        <v>1086</v>
      </c>
      <c r="C430" s="165">
        <v>14200</v>
      </c>
      <c r="D430" s="228"/>
      <c r="E430" s="228"/>
      <c r="F430" s="228"/>
      <c r="G430" s="228"/>
      <c r="H430" s="228"/>
      <c r="I430" s="228"/>
      <c r="J430" s="228"/>
      <c r="K430" s="228"/>
      <c r="L430" s="228">
        <v>10000</v>
      </c>
      <c r="M430" s="228">
        <v>142000000</v>
      </c>
      <c r="N430" s="228"/>
      <c r="O430" s="228"/>
      <c r="P430" s="228">
        <v>10000</v>
      </c>
      <c r="Q430" s="228">
        <v>142000000</v>
      </c>
    </row>
    <row r="431" spans="1:17">
      <c r="A431"/>
      <c r="B431" s="165" t="s">
        <v>184</v>
      </c>
      <c r="C431" s="165">
        <v>14200</v>
      </c>
      <c r="D431" s="228"/>
      <c r="E431" s="228"/>
      <c r="F431" s="228"/>
      <c r="G431" s="228"/>
      <c r="H431" s="228"/>
      <c r="I431" s="228"/>
      <c r="J431" s="228"/>
      <c r="K431" s="228"/>
      <c r="L431" s="228">
        <v>10000</v>
      </c>
      <c r="M431" s="228">
        <v>142000000</v>
      </c>
      <c r="N431" s="228"/>
      <c r="O431" s="228"/>
      <c r="P431" s="228">
        <v>10000</v>
      </c>
      <c r="Q431" s="228">
        <v>142000000</v>
      </c>
    </row>
    <row r="432" spans="1:17">
      <c r="A432" s="165" t="s">
        <v>2070</v>
      </c>
      <c r="B432" s="165" t="s">
        <v>285</v>
      </c>
      <c r="C432" s="165">
        <v>6600</v>
      </c>
      <c r="D432" s="228"/>
      <c r="E432" s="228"/>
      <c r="F432" s="228"/>
      <c r="G432" s="228"/>
      <c r="H432" s="228">
        <v>2800</v>
      </c>
      <c r="I432" s="228">
        <v>18480000</v>
      </c>
      <c r="J432" s="228"/>
      <c r="K432" s="228"/>
      <c r="L432" s="228"/>
      <c r="M432" s="228"/>
      <c r="N432" s="228"/>
      <c r="O432" s="228"/>
      <c r="P432" s="228">
        <v>2800</v>
      </c>
      <c r="Q432" s="228">
        <v>18480000</v>
      </c>
    </row>
    <row r="433" spans="1:17">
      <c r="A433"/>
      <c r="B433" s="165" t="s">
        <v>25</v>
      </c>
      <c r="C433" s="165">
        <v>6700</v>
      </c>
      <c r="D433" s="228"/>
      <c r="E433" s="228"/>
      <c r="F433" s="228"/>
      <c r="G433" s="228"/>
      <c r="H433" s="228"/>
      <c r="I433" s="228"/>
      <c r="J433" s="228"/>
      <c r="K433" s="228"/>
      <c r="L433" s="228">
        <v>200</v>
      </c>
      <c r="M433" s="228">
        <v>1340000</v>
      </c>
      <c r="N433" s="228"/>
      <c r="O433" s="228"/>
      <c r="P433" s="228">
        <v>200</v>
      </c>
      <c r="Q433" s="228">
        <v>1340000</v>
      </c>
    </row>
    <row r="434" spans="1:17">
      <c r="A434" s="165" t="s">
        <v>2071</v>
      </c>
      <c r="B434" s="165" t="s">
        <v>1245</v>
      </c>
      <c r="C434" s="165">
        <v>8088</v>
      </c>
      <c r="D434" s="228"/>
      <c r="E434" s="228"/>
      <c r="F434" s="228"/>
      <c r="G434" s="228"/>
      <c r="H434" s="228"/>
      <c r="I434" s="228"/>
      <c r="J434" s="228">
        <v>1200</v>
      </c>
      <c r="K434" s="228">
        <v>9705600</v>
      </c>
      <c r="L434" s="228"/>
      <c r="M434" s="228"/>
      <c r="N434" s="228"/>
      <c r="O434" s="228"/>
      <c r="P434" s="228">
        <v>1200</v>
      </c>
      <c r="Q434" s="228">
        <v>9705600</v>
      </c>
    </row>
    <row r="435" spans="1:17">
      <c r="A435" s="165" t="s">
        <v>2072</v>
      </c>
      <c r="B435" s="165" t="s">
        <v>1086</v>
      </c>
      <c r="C435" s="165" t="s">
        <v>385</v>
      </c>
      <c r="D435" s="228"/>
      <c r="E435" s="228"/>
      <c r="F435" s="228"/>
      <c r="G435" s="228"/>
      <c r="H435" s="228"/>
      <c r="I435" s="228"/>
      <c r="J435" s="228"/>
      <c r="K435" s="228"/>
      <c r="L435" s="228">
        <v>2000</v>
      </c>
      <c r="M435" s="228">
        <v>0</v>
      </c>
      <c r="N435" s="228"/>
      <c r="O435" s="228"/>
      <c r="P435" s="228">
        <v>2000</v>
      </c>
      <c r="Q435" s="228">
        <v>0</v>
      </c>
    </row>
    <row r="436" spans="1:17">
      <c r="A436" s="165" t="s">
        <v>2073</v>
      </c>
      <c r="B436" s="165" t="s">
        <v>1163</v>
      </c>
      <c r="C436" s="165">
        <v>8500</v>
      </c>
      <c r="D436" s="228"/>
      <c r="E436" s="228"/>
      <c r="F436" s="228"/>
      <c r="G436" s="228"/>
      <c r="H436" s="228"/>
      <c r="I436" s="228"/>
      <c r="J436" s="228">
        <v>4800</v>
      </c>
      <c r="K436" s="228">
        <v>40800000</v>
      </c>
      <c r="L436" s="228"/>
      <c r="M436" s="228"/>
      <c r="N436" s="228"/>
      <c r="O436" s="228"/>
      <c r="P436" s="228">
        <v>4800</v>
      </c>
      <c r="Q436" s="228">
        <v>40800000</v>
      </c>
    </row>
    <row r="437" spans="1:17">
      <c r="A437"/>
      <c r="B437" s="165" t="s">
        <v>234</v>
      </c>
      <c r="C437" s="165">
        <v>4700</v>
      </c>
      <c r="D437" s="228"/>
      <c r="E437" s="228"/>
      <c r="F437" s="228">
        <v>0</v>
      </c>
      <c r="G437" s="228">
        <v>0</v>
      </c>
      <c r="H437" s="228"/>
      <c r="I437" s="228"/>
      <c r="J437" s="228"/>
      <c r="K437" s="228"/>
      <c r="L437" s="228"/>
      <c r="M437" s="228"/>
      <c r="N437" s="228"/>
      <c r="O437" s="228"/>
      <c r="P437" s="228">
        <v>0</v>
      </c>
      <c r="Q437" s="228">
        <v>0</v>
      </c>
    </row>
    <row r="438" spans="1:17">
      <c r="A438" s="165" t="s">
        <v>2074</v>
      </c>
      <c r="B438" s="165" t="s">
        <v>1241</v>
      </c>
      <c r="C438" s="165">
        <v>4300</v>
      </c>
      <c r="D438" s="228"/>
      <c r="E438" s="228"/>
      <c r="F438" s="228"/>
      <c r="G438" s="228"/>
      <c r="H438" s="228">
        <v>900</v>
      </c>
      <c r="I438" s="228">
        <v>3870000</v>
      </c>
      <c r="J438" s="228"/>
      <c r="K438" s="228"/>
      <c r="L438" s="228"/>
      <c r="M438" s="228"/>
      <c r="N438" s="228"/>
      <c r="O438" s="228"/>
      <c r="P438" s="228">
        <v>900</v>
      </c>
      <c r="Q438" s="228">
        <v>3870000</v>
      </c>
    </row>
    <row r="439" spans="1:17">
      <c r="A439"/>
      <c r="B439" s="165" t="s">
        <v>465</v>
      </c>
      <c r="C439" s="165">
        <v>4000</v>
      </c>
      <c r="D439" s="228"/>
      <c r="E439" s="228"/>
      <c r="F439" s="228">
        <v>0</v>
      </c>
      <c r="G439" s="228">
        <v>0</v>
      </c>
      <c r="H439" s="228"/>
      <c r="I439" s="228"/>
      <c r="J439" s="228"/>
      <c r="K439" s="228"/>
      <c r="L439" s="228"/>
      <c r="M439" s="228"/>
      <c r="N439" s="228"/>
      <c r="O439" s="228"/>
      <c r="P439" s="228">
        <v>0</v>
      </c>
      <c r="Q439" s="228">
        <v>0</v>
      </c>
    </row>
    <row r="440" spans="1:17">
      <c r="A440"/>
      <c r="B440"/>
      <c r="C440" s="165">
        <v>4230</v>
      </c>
      <c r="D440" s="228"/>
      <c r="E440" s="228"/>
      <c r="F440" s="228"/>
      <c r="G440" s="228"/>
      <c r="H440" s="228"/>
      <c r="I440" s="228"/>
      <c r="J440" s="228">
        <v>13200</v>
      </c>
      <c r="K440" s="228">
        <v>55836000</v>
      </c>
      <c r="L440" s="228"/>
      <c r="M440" s="228"/>
      <c r="N440" s="228"/>
      <c r="O440" s="228"/>
      <c r="P440" s="228">
        <v>13200</v>
      </c>
      <c r="Q440" s="228">
        <v>55836000</v>
      </c>
    </row>
    <row r="441" spans="1:17">
      <c r="A441"/>
      <c r="B441"/>
      <c r="C441" s="165">
        <v>4300</v>
      </c>
      <c r="D441" s="228">
        <v>17100</v>
      </c>
      <c r="E441" s="228">
        <v>73530000</v>
      </c>
      <c r="F441" s="228"/>
      <c r="G441" s="228"/>
      <c r="H441" s="228"/>
      <c r="I441" s="228"/>
      <c r="J441" s="228"/>
      <c r="K441" s="228"/>
      <c r="L441" s="228"/>
      <c r="M441" s="228"/>
      <c r="N441" s="228"/>
      <c r="O441" s="228"/>
      <c r="P441" s="228">
        <v>17100</v>
      </c>
      <c r="Q441" s="228">
        <v>73530000</v>
      </c>
    </row>
    <row r="442" spans="1:17">
      <c r="A442"/>
      <c r="B442"/>
      <c r="C442" s="165">
        <v>4400</v>
      </c>
      <c r="D442" s="228"/>
      <c r="E442" s="228"/>
      <c r="F442" s="228"/>
      <c r="G442" s="228"/>
      <c r="H442" s="228">
        <v>900</v>
      </c>
      <c r="I442" s="228">
        <v>3960000</v>
      </c>
      <c r="J442" s="228"/>
      <c r="K442" s="228"/>
      <c r="L442" s="228"/>
      <c r="M442" s="228"/>
      <c r="N442" s="228"/>
      <c r="O442" s="228"/>
      <c r="P442" s="228">
        <v>900</v>
      </c>
      <c r="Q442" s="228">
        <v>3960000</v>
      </c>
    </row>
    <row r="443" spans="1:17">
      <c r="A443"/>
      <c r="B443" s="165" t="s">
        <v>1587</v>
      </c>
      <c r="C443" s="165">
        <v>4400</v>
      </c>
      <c r="D443" s="228"/>
      <c r="E443" s="228"/>
      <c r="F443" s="228"/>
      <c r="G443" s="228"/>
      <c r="H443" s="228"/>
      <c r="I443" s="228"/>
      <c r="J443" s="228"/>
      <c r="K443" s="228"/>
      <c r="L443" s="228">
        <v>2100</v>
      </c>
      <c r="M443" s="228">
        <v>9240000</v>
      </c>
      <c r="N443" s="228"/>
      <c r="O443" s="228"/>
      <c r="P443" s="228">
        <v>2100</v>
      </c>
      <c r="Q443" s="228">
        <v>9240000</v>
      </c>
    </row>
    <row r="444" spans="1:17">
      <c r="A444"/>
      <c r="B444" s="165" t="s">
        <v>234</v>
      </c>
      <c r="C444" s="165">
        <v>4200</v>
      </c>
      <c r="D444" s="228"/>
      <c r="E444" s="228"/>
      <c r="F444" s="228">
        <v>0</v>
      </c>
      <c r="G444" s="228">
        <v>0</v>
      </c>
      <c r="H444" s="228"/>
      <c r="I444" s="228"/>
      <c r="J444" s="228"/>
      <c r="K444" s="228"/>
      <c r="L444" s="228"/>
      <c r="M444" s="228"/>
      <c r="N444" s="228"/>
      <c r="O444" s="228"/>
      <c r="P444" s="228">
        <v>0</v>
      </c>
      <c r="Q444" s="228">
        <v>0</v>
      </c>
    </row>
    <row r="445" spans="1:17">
      <c r="A445"/>
      <c r="B445"/>
      <c r="C445" s="165">
        <v>4400</v>
      </c>
      <c r="D445" s="228">
        <v>0</v>
      </c>
      <c r="E445" s="228">
        <v>0</v>
      </c>
      <c r="F445" s="228"/>
      <c r="G445" s="228"/>
      <c r="H445" s="228"/>
      <c r="I445" s="228"/>
      <c r="J445" s="228"/>
      <c r="K445" s="228"/>
      <c r="L445" s="228"/>
      <c r="M445" s="228"/>
      <c r="N445" s="228"/>
      <c r="O445" s="228"/>
      <c r="P445" s="228">
        <v>0</v>
      </c>
      <c r="Q445" s="228">
        <v>0</v>
      </c>
    </row>
    <row r="446" spans="1:17">
      <c r="A446" s="165" t="s">
        <v>2075</v>
      </c>
      <c r="B446" s="165" t="s">
        <v>1086</v>
      </c>
      <c r="C446" s="165">
        <v>6100</v>
      </c>
      <c r="D446" s="228"/>
      <c r="E446" s="228"/>
      <c r="F446" s="228"/>
      <c r="G446" s="228"/>
      <c r="H446" s="228"/>
      <c r="I446" s="228"/>
      <c r="J446" s="228"/>
      <c r="K446" s="228"/>
      <c r="L446" s="228">
        <v>2000</v>
      </c>
      <c r="M446" s="228">
        <v>12200000</v>
      </c>
      <c r="N446" s="228"/>
      <c r="O446" s="228"/>
      <c r="P446" s="228">
        <v>2000</v>
      </c>
      <c r="Q446" s="228">
        <v>12200000</v>
      </c>
    </row>
    <row r="447" spans="1:17">
      <c r="A447" s="165" t="s">
        <v>2076</v>
      </c>
      <c r="B447" s="165" t="s">
        <v>1345</v>
      </c>
      <c r="C447" s="165">
        <v>5700</v>
      </c>
      <c r="D447" s="228"/>
      <c r="E447" s="228"/>
      <c r="F447" s="228">
        <v>0</v>
      </c>
      <c r="G447" s="228">
        <v>0</v>
      </c>
      <c r="H447" s="228"/>
      <c r="I447" s="228"/>
      <c r="J447" s="228"/>
      <c r="K447" s="228"/>
      <c r="L447" s="228"/>
      <c r="M447" s="228"/>
      <c r="N447" s="228"/>
      <c r="O447" s="228"/>
      <c r="P447" s="228">
        <v>0</v>
      </c>
      <c r="Q447" s="228">
        <v>0</v>
      </c>
    </row>
    <row r="448" spans="1:17">
      <c r="A448"/>
      <c r="B448" s="165" t="s">
        <v>116</v>
      </c>
      <c r="C448" s="165">
        <v>5700</v>
      </c>
      <c r="D448" s="228"/>
      <c r="E448" s="228"/>
      <c r="F448" s="228">
        <v>0</v>
      </c>
      <c r="G448" s="228">
        <v>0</v>
      </c>
      <c r="H448" s="228"/>
      <c r="I448" s="228"/>
      <c r="J448" s="228"/>
      <c r="K448" s="228"/>
      <c r="L448" s="228"/>
      <c r="M448" s="228"/>
      <c r="N448" s="228"/>
      <c r="O448" s="228"/>
      <c r="P448" s="228">
        <v>0</v>
      </c>
      <c r="Q448" s="228">
        <v>0</v>
      </c>
    </row>
    <row r="449" spans="1:17">
      <c r="A449" s="165" t="s">
        <v>2077</v>
      </c>
      <c r="B449" s="165" t="s">
        <v>1241</v>
      </c>
      <c r="C449" s="165">
        <v>5375</v>
      </c>
      <c r="D449" s="228"/>
      <c r="E449" s="228"/>
      <c r="F449" s="228">
        <v>0</v>
      </c>
      <c r="G449" s="228">
        <v>0</v>
      </c>
      <c r="H449" s="228"/>
      <c r="I449" s="228"/>
      <c r="J449" s="228"/>
      <c r="K449" s="228"/>
      <c r="L449" s="228"/>
      <c r="M449" s="228"/>
      <c r="N449" s="228"/>
      <c r="O449" s="228"/>
      <c r="P449" s="228">
        <v>0</v>
      </c>
      <c r="Q449" s="228">
        <v>0</v>
      </c>
    </row>
    <row r="450" spans="1:17">
      <c r="A450" s="165" t="s">
        <v>2078</v>
      </c>
      <c r="B450" s="165" t="s">
        <v>95</v>
      </c>
      <c r="C450" s="165">
        <v>7400</v>
      </c>
      <c r="D450" s="228"/>
      <c r="E450" s="228"/>
      <c r="F450" s="228">
        <v>0</v>
      </c>
      <c r="G450" s="228">
        <v>0</v>
      </c>
      <c r="H450" s="228"/>
      <c r="I450" s="228"/>
      <c r="J450" s="228"/>
      <c r="K450" s="228"/>
      <c r="L450" s="228"/>
      <c r="M450" s="228"/>
      <c r="N450" s="228"/>
      <c r="O450" s="228"/>
      <c r="P450" s="228">
        <v>0</v>
      </c>
      <c r="Q450" s="228">
        <v>0</v>
      </c>
    </row>
    <row r="451" spans="1:17">
      <c r="A451"/>
      <c r="B451" s="165" t="s">
        <v>1411</v>
      </c>
      <c r="C451" s="165">
        <v>6400</v>
      </c>
      <c r="D451" s="228"/>
      <c r="E451" s="228"/>
      <c r="F451" s="228">
        <v>0</v>
      </c>
      <c r="G451" s="228">
        <v>0</v>
      </c>
      <c r="H451" s="228"/>
      <c r="I451" s="228"/>
      <c r="J451" s="228"/>
      <c r="K451" s="228"/>
      <c r="L451" s="228"/>
      <c r="M451" s="228"/>
      <c r="N451" s="228"/>
      <c r="O451" s="228"/>
      <c r="P451" s="228">
        <v>0</v>
      </c>
      <c r="Q451" s="228">
        <v>0</v>
      </c>
    </row>
    <row r="452" spans="1:17">
      <c r="A452" s="165" t="s">
        <v>2079</v>
      </c>
      <c r="B452" s="165" t="s">
        <v>285</v>
      </c>
      <c r="C452" s="165">
        <v>3500</v>
      </c>
      <c r="D452" s="228"/>
      <c r="E452" s="228"/>
      <c r="F452" s="228">
        <v>0</v>
      </c>
      <c r="G452" s="228">
        <v>0</v>
      </c>
      <c r="H452" s="228"/>
      <c r="I452" s="228"/>
      <c r="J452" s="228"/>
      <c r="K452" s="228"/>
      <c r="L452" s="228"/>
      <c r="M452" s="228"/>
      <c r="N452" s="228"/>
      <c r="O452" s="228"/>
      <c r="P452" s="228">
        <v>0</v>
      </c>
      <c r="Q452" s="228">
        <v>0</v>
      </c>
    </row>
    <row r="453" spans="1:17">
      <c r="A453"/>
      <c r="B453" s="165" t="s">
        <v>130</v>
      </c>
      <c r="C453" s="165">
        <v>4500</v>
      </c>
      <c r="D453" s="228"/>
      <c r="E453" s="228"/>
      <c r="F453" s="228">
        <v>0</v>
      </c>
      <c r="G453" s="228">
        <v>0</v>
      </c>
      <c r="H453" s="228"/>
      <c r="I453" s="228"/>
      <c r="J453" s="228"/>
      <c r="K453" s="228"/>
      <c r="L453" s="228"/>
      <c r="M453" s="228"/>
      <c r="N453" s="228"/>
      <c r="O453" s="228"/>
      <c r="P453" s="228">
        <v>0</v>
      </c>
      <c r="Q453" s="228">
        <v>0</v>
      </c>
    </row>
    <row r="454" spans="1:17">
      <c r="A454"/>
      <c r="B454" s="165" t="s">
        <v>1245</v>
      </c>
      <c r="C454" s="165">
        <v>4500</v>
      </c>
      <c r="D454" s="228"/>
      <c r="E454" s="228"/>
      <c r="F454" s="228"/>
      <c r="G454" s="228"/>
      <c r="H454" s="228"/>
      <c r="I454" s="228"/>
      <c r="J454" s="228">
        <v>3200</v>
      </c>
      <c r="K454" s="228">
        <v>14400000</v>
      </c>
      <c r="L454" s="228"/>
      <c r="M454" s="228"/>
      <c r="N454" s="228"/>
      <c r="O454" s="228"/>
      <c r="P454" s="228">
        <v>3200</v>
      </c>
      <c r="Q454" s="228">
        <v>14400000</v>
      </c>
    </row>
    <row r="455" spans="1:17">
      <c r="A455"/>
      <c r="B455" s="165" t="s">
        <v>1874</v>
      </c>
      <c r="C455" s="165" t="s">
        <v>385</v>
      </c>
      <c r="D455" s="228"/>
      <c r="E455" s="228"/>
      <c r="F455" s="228"/>
      <c r="G455" s="228"/>
      <c r="H455" s="228"/>
      <c r="I455" s="228"/>
      <c r="J455" s="228">
        <v>15200</v>
      </c>
      <c r="K455" s="228">
        <v>0</v>
      </c>
      <c r="L455" s="228"/>
      <c r="M455" s="228"/>
      <c r="N455" s="228"/>
      <c r="O455" s="228"/>
      <c r="P455" s="228">
        <v>15200</v>
      </c>
      <c r="Q455" s="228">
        <v>0</v>
      </c>
    </row>
    <row r="456" spans="1:17">
      <c r="A456" s="165" t="s">
        <v>2080</v>
      </c>
      <c r="B456" s="165" t="s">
        <v>1241</v>
      </c>
      <c r="C456" s="165">
        <v>3200</v>
      </c>
      <c r="D456" s="228"/>
      <c r="E456" s="228"/>
      <c r="F456" s="228"/>
      <c r="G456" s="228"/>
      <c r="H456" s="228">
        <v>6000</v>
      </c>
      <c r="I456" s="228">
        <v>19200000</v>
      </c>
      <c r="J456" s="228"/>
      <c r="K456" s="228"/>
      <c r="L456" s="228"/>
      <c r="M456" s="228"/>
      <c r="N456" s="228"/>
      <c r="O456" s="228"/>
      <c r="P456" s="228">
        <v>6000</v>
      </c>
      <c r="Q456" s="228">
        <v>19200000</v>
      </c>
    </row>
    <row r="457" spans="1:17">
      <c r="A457"/>
      <c r="B457" s="165" t="s">
        <v>173</v>
      </c>
      <c r="C457" s="165">
        <v>3200</v>
      </c>
      <c r="D457" s="228"/>
      <c r="E457" s="228"/>
      <c r="F457" s="228"/>
      <c r="G457" s="228"/>
      <c r="H457" s="228">
        <v>2000</v>
      </c>
      <c r="I457" s="228">
        <v>6400000</v>
      </c>
      <c r="J457" s="228"/>
      <c r="K457" s="228"/>
      <c r="L457" s="228"/>
      <c r="M457" s="228"/>
      <c r="N457" s="228"/>
      <c r="O457" s="228"/>
      <c r="P457" s="228">
        <v>2000</v>
      </c>
      <c r="Q457" s="228">
        <v>6400000</v>
      </c>
    </row>
    <row r="458" spans="1:17">
      <c r="A458" s="165" t="s">
        <v>2081</v>
      </c>
      <c r="B458" s="165" t="s">
        <v>1086</v>
      </c>
      <c r="C458" s="165">
        <v>3500</v>
      </c>
      <c r="D458" s="228"/>
      <c r="E458" s="228"/>
      <c r="F458" s="228"/>
      <c r="G458" s="228"/>
      <c r="H458" s="228"/>
      <c r="I458" s="228"/>
      <c r="J458" s="228"/>
      <c r="K458" s="228"/>
      <c r="L458" s="228">
        <v>27000</v>
      </c>
      <c r="M458" s="228">
        <v>94500000</v>
      </c>
      <c r="N458" s="228"/>
      <c r="O458" s="228"/>
      <c r="P458" s="228">
        <v>27000</v>
      </c>
      <c r="Q458" s="228">
        <v>94500000</v>
      </c>
    </row>
    <row r="459" spans="1:17">
      <c r="A459" s="165" t="s">
        <v>2082</v>
      </c>
      <c r="B459" s="165" t="s">
        <v>1086</v>
      </c>
      <c r="C459" s="165">
        <v>5200</v>
      </c>
      <c r="D459" s="228"/>
      <c r="E459" s="228"/>
      <c r="F459" s="228"/>
      <c r="G459" s="228"/>
      <c r="H459" s="228"/>
      <c r="I459" s="228"/>
      <c r="J459" s="228"/>
      <c r="K459" s="228"/>
      <c r="L459" s="228">
        <v>4000</v>
      </c>
      <c r="M459" s="228">
        <v>20800000</v>
      </c>
      <c r="N459" s="228"/>
      <c r="O459" s="228"/>
      <c r="P459" s="228">
        <v>4000</v>
      </c>
      <c r="Q459" s="228">
        <v>20800000</v>
      </c>
    </row>
    <row r="460" spans="1:17">
      <c r="A460" s="165" t="s">
        <v>2083</v>
      </c>
      <c r="B460" s="165" t="s">
        <v>1241</v>
      </c>
      <c r="C460" s="165">
        <v>3000</v>
      </c>
      <c r="D460" s="228"/>
      <c r="E460" s="228"/>
      <c r="F460" s="228">
        <v>0</v>
      </c>
      <c r="G460" s="228">
        <v>0</v>
      </c>
      <c r="H460" s="228"/>
      <c r="I460" s="228"/>
      <c r="J460" s="228"/>
      <c r="K460" s="228"/>
      <c r="L460" s="228"/>
      <c r="M460" s="228"/>
      <c r="N460" s="228"/>
      <c r="O460" s="228"/>
      <c r="P460" s="228">
        <v>0</v>
      </c>
      <c r="Q460" s="228">
        <v>0</v>
      </c>
    </row>
    <row r="461" spans="1:17">
      <c r="A461"/>
      <c r="B461" s="165" t="s">
        <v>465</v>
      </c>
      <c r="C461" s="165">
        <v>3300</v>
      </c>
      <c r="D461" s="228"/>
      <c r="E461" s="228"/>
      <c r="F461" s="228">
        <v>0</v>
      </c>
      <c r="G461" s="228">
        <v>0</v>
      </c>
      <c r="H461" s="228"/>
      <c r="I461" s="228"/>
      <c r="J461" s="228"/>
      <c r="K461" s="228"/>
      <c r="L461" s="228"/>
      <c r="M461" s="228"/>
      <c r="N461" s="228"/>
      <c r="O461" s="228"/>
      <c r="P461" s="228">
        <v>0</v>
      </c>
      <c r="Q461" s="228">
        <v>0</v>
      </c>
    </row>
    <row r="462" spans="1:17">
      <c r="A462" s="165" t="s">
        <v>2084</v>
      </c>
      <c r="B462" s="165" t="s">
        <v>130</v>
      </c>
      <c r="C462" s="165">
        <v>4000</v>
      </c>
      <c r="D462" s="228"/>
      <c r="E462" s="228"/>
      <c r="F462" s="228">
        <v>0</v>
      </c>
      <c r="G462" s="228">
        <v>0</v>
      </c>
      <c r="H462" s="228"/>
      <c r="I462" s="228"/>
      <c r="J462" s="228"/>
      <c r="K462" s="228"/>
      <c r="L462" s="228"/>
      <c r="M462" s="228"/>
      <c r="N462" s="228"/>
      <c r="O462" s="228"/>
      <c r="P462" s="228">
        <v>0</v>
      </c>
      <c r="Q462" s="228">
        <v>0</v>
      </c>
    </row>
    <row r="463" spans="1:17">
      <c r="A463" s="165" t="s">
        <v>2085</v>
      </c>
      <c r="B463" s="165" t="s">
        <v>226</v>
      </c>
      <c r="C463" s="165">
        <v>4700</v>
      </c>
      <c r="D463" s="228"/>
      <c r="E463" s="228"/>
      <c r="F463" s="228">
        <v>0</v>
      </c>
      <c r="G463" s="228">
        <v>0</v>
      </c>
      <c r="H463" s="228"/>
      <c r="I463" s="228"/>
      <c r="J463" s="228"/>
      <c r="K463" s="228"/>
      <c r="L463" s="228"/>
      <c r="M463" s="228"/>
      <c r="N463" s="228"/>
      <c r="O463" s="228"/>
      <c r="P463" s="228">
        <v>0</v>
      </c>
      <c r="Q463" s="228">
        <v>0</v>
      </c>
    </row>
    <row r="464" spans="1:17">
      <c r="A464" s="165" t="s">
        <v>2086</v>
      </c>
      <c r="B464" s="165" t="s">
        <v>150</v>
      </c>
      <c r="C464" s="165">
        <v>4700</v>
      </c>
      <c r="D464" s="228"/>
      <c r="E464" s="228"/>
      <c r="F464" s="228">
        <v>0</v>
      </c>
      <c r="G464" s="228">
        <v>0</v>
      </c>
      <c r="H464" s="228"/>
      <c r="I464" s="228"/>
      <c r="J464" s="228"/>
      <c r="K464" s="228"/>
      <c r="L464" s="228"/>
      <c r="M464" s="228"/>
      <c r="N464" s="228"/>
      <c r="O464" s="228"/>
      <c r="P464" s="228">
        <v>0</v>
      </c>
      <c r="Q464" s="228">
        <v>0</v>
      </c>
    </row>
    <row r="465" spans="1:17">
      <c r="A465"/>
      <c r="B465" s="165" t="s">
        <v>1411</v>
      </c>
      <c r="C465" s="165">
        <v>5000</v>
      </c>
      <c r="D465" s="228"/>
      <c r="E465" s="228"/>
      <c r="F465" s="228"/>
      <c r="G465" s="228"/>
      <c r="H465" s="228">
        <v>10800</v>
      </c>
      <c r="I465" s="228">
        <v>54000000</v>
      </c>
      <c r="J465" s="228"/>
      <c r="K465" s="228"/>
      <c r="L465" s="228"/>
      <c r="M465" s="228"/>
      <c r="N465" s="228"/>
      <c r="O465" s="228"/>
      <c r="P465" s="228">
        <v>10800</v>
      </c>
      <c r="Q465" s="228">
        <v>54000000</v>
      </c>
    </row>
    <row r="466" spans="1:17">
      <c r="A466"/>
      <c r="B466" s="165" t="s">
        <v>817</v>
      </c>
      <c r="C466" s="165">
        <v>4900</v>
      </c>
      <c r="D466" s="228">
        <v>0</v>
      </c>
      <c r="E466" s="228">
        <v>0</v>
      </c>
      <c r="F466" s="228"/>
      <c r="G466" s="228"/>
      <c r="H466" s="228"/>
      <c r="I466" s="228"/>
      <c r="J466" s="228"/>
      <c r="K466" s="228"/>
      <c r="L466" s="228"/>
      <c r="M466" s="228"/>
      <c r="N466" s="228"/>
      <c r="O466" s="228"/>
      <c r="P466" s="228">
        <v>0</v>
      </c>
      <c r="Q466" s="228">
        <v>0</v>
      </c>
    </row>
    <row r="467" spans="1:17">
      <c r="A467"/>
      <c r="B467" s="165" t="s">
        <v>1245</v>
      </c>
      <c r="C467" s="165">
        <v>4700</v>
      </c>
      <c r="D467" s="228"/>
      <c r="E467" s="228"/>
      <c r="F467" s="228">
        <v>0</v>
      </c>
      <c r="G467" s="228">
        <v>0</v>
      </c>
      <c r="H467" s="228"/>
      <c r="I467" s="228"/>
      <c r="J467" s="228"/>
      <c r="K467" s="228"/>
      <c r="L467" s="228"/>
      <c r="M467" s="228"/>
      <c r="N467" s="228"/>
      <c r="O467" s="228"/>
      <c r="P467" s="228">
        <v>0</v>
      </c>
      <c r="Q467" s="228">
        <v>0</v>
      </c>
    </row>
    <row r="468" spans="1:17">
      <c r="A468"/>
      <c r="B468" s="165" t="s">
        <v>1804</v>
      </c>
      <c r="C468" s="165">
        <v>5500</v>
      </c>
      <c r="D468" s="228"/>
      <c r="E468" s="228"/>
      <c r="F468" s="228">
        <v>0</v>
      </c>
      <c r="G468" s="228">
        <v>0</v>
      </c>
      <c r="H468" s="228"/>
      <c r="I468" s="228"/>
      <c r="J468" s="228"/>
      <c r="K468" s="228"/>
      <c r="L468" s="228"/>
      <c r="M468" s="228"/>
      <c r="N468" s="228"/>
      <c r="O468" s="228"/>
      <c r="P468" s="228">
        <v>0</v>
      </c>
      <c r="Q468" s="228">
        <v>0</v>
      </c>
    </row>
    <row r="469" spans="1:17">
      <c r="A469" s="165" t="s">
        <v>2087</v>
      </c>
      <c r="B469" s="165" t="s">
        <v>270</v>
      </c>
      <c r="C469" s="165">
        <v>10100</v>
      </c>
      <c r="D469" s="228"/>
      <c r="E469" s="228"/>
      <c r="F469" s="228"/>
      <c r="G469" s="228"/>
      <c r="H469" s="228"/>
      <c r="I469" s="228"/>
      <c r="J469" s="228"/>
      <c r="K469" s="228"/>
      <c r="L469" s="228">
        <v>3000</v>
      </c>
      <c r="M469" s="228">
        <v>30300000</v>
      </c>
      <c r="N469" s="228"/>
      <c r="O469" s="228"/>
      <c r="P469" s="228">
        <v>3000</v>
      </c>
      <c r="Q469" s="228">
        <v>30300000</v>
      </c>
    </row>
    <row r="470" spans="1:17">
      <c r="A470"/>
      <c r="B470" s="165" t="s">
        <v>1167</v>
      </c>
      <c r="C470" s="165">
        <v>10100</v>
      </c>
      <c r="D470" s="228"/>
      <c r="E470" s="228"/>
      <c r="F470" s="228"/>
      <c r="G470" s="228"/>
      <c r="H470" s="228"/>
      <c r="I470" s="228"/>
      <c r="J470" s="228"/>
      <c r="K470" s="228"/>
      <c r="L470" s="228">
        <v>20100</v>
      </c>
      <c r="M470" s="228">
        <v>203010000</v>
      </c>
      <c r="N470" s="228"/>
      <c r="O470" s="228"/>
      <c r="P470" s="228">
        <v>20100</v>
      </c>
      <c r="Q470" s="228">
        <v>203010000</v>
      </c>
    </row>
    <row r="471" spans="1:17">
      <c r="A471"/>
      <c r="B471" s="165" t="s">
        <v>1009</v>
      </c>
      <c r="C471" s="165">
        <v>10000</v>
      </c>
      <c r="D471" s="228"/>
      <c r="E471" s="228"/>
      <c r="F471" s="228"/>
      <c r="G471" s="228"/>
      <c r="H471" s="228"/>
      <c r="I471" s="228"/>
      <c r="J471" s="228"/>
      <c r="K471" s="228"/>
      <c r="L471" s="228">
        <v>10050</v>
      </c>
      <c r="M471" s="228">
        <v>100500000</v>
      </c>
      <c r="N471" s="228"/>
      <c r="O471" s="228"/>
      <c r="P471" s="228">
        <v>10050</v>
      </c>
      <c r="Q471" s="228">
        <v>100500000</v>
      </c>
    </row>
    <row r="472" spans="1:17">
      <c r="A472"/>
      <c r="B472" s="165" t="s">
        <v>810</v>
      </c>
      <c r="C472" s="165">
        <v>10000</v>
      </c>
      <c r="D472" s="228"/>
      <c r="E472" s="228"/>
      <c r="F472" s="228"/>
      <c r="G472" s="228"/>
      <c r="H472" s="228"/>
      <c r="I472" s="228"/>
      <c r="J472" s="228"/>
      <c r="K472" s="228"/>
      <c r="L472" s="228">
        <v>30000</v>
      </c>
      <c r="M472" s="228">
        <v>300000000</v>
      </c>
      <c r="N472" s="228"/>
      <c r="O472" s="228"/>
      <c r="P472" s="228">
        <v>30000</v>
      </c>
      <c r="Q472" s="228">
        <v>300000000</v>
      </c>
    </row>
    <row r="473" spans="1:17">
      <c r="A473"/>
      <c r="B473" s="165" t="s">
        <v>1431</v>
      </c>
      <c r="C473" s="165">
        <v>10000</v>
      </c>
      <c r="D473" s="228"/>
      <c r="E473" s="228"/>
      <c r="F473" s="228"/>
      <c r="G473" s="228"/>
      <c r="H473" s="228"/>
      <c r="I473" s="228"/>
      <c r="J473" s="228"/>
      <c r="K473" s="228"/>
      <c r="L473" s="228">
        <v>5100</v>
      </c>
      <c r="M473" s="228">
        <v>51000000</v>
      </c>
      <c r="N473" s="228"/>
      <c r="O473" s="228"/>
      <c r="P473" s="228">
        <v>5100</v>
      </c>
      <c r="Q473" s="228">
        <v>51000000</v>
      </c>
    </row>
    <row r="474" spans="1:17">
      <c r="A474" s="165" t="s">
        <v>2088</v>
      </c>
      <c r="B474" s="165" t="s">
        <v>1086</v>
      </c>
      <c r="C474" s="165">
        <v>3600</v>
      </c>
      <c r="D474" s="228"/>
      <c r="E474" s="228"/>
      <c r="F474" s="228"/>
      <c r="G474" s="228"/>
      <c r="H474" s="228"/>
      <c r="I474" s="228"/>
      <c r="J474" s="228"/>
      <c r="K474" s="228"/>
      <c r="L474" s="228">
        <v>8400</v>
      </c>
      <c r="M474" s="228">
        <v>30240000</v>
      </c>
      <c r="N474" s="228"/>
      <c r="O474" s="228"/>
      <c r="P474" s="228">
        <v>8400</v>
      </c>
      <c r="Q474" s="228">
        <v>30240000</v>
      </c>
    </row>
    <row r="475" spans="1:17">
      <c r="A475" s="165" t="s">
        <v>2089</v>
      </c>
      <c r="B475" s="165" t="s">
        <v>25</v>
      </c>
      <c r="C475" s="165">
        <v>3800</v>
      </c>
      <c r="D475" s="228"/>
      <c r="E475" s="228"/>
      <c r="F475" s="228"/>
      <c r="G475" s="228"/>
      <c r="H475" s="228"/>
      <c r="I475" s="228"/>
      <c r="J475" s="228"/>
      <c r="K475" s="228"/>
      <c r="L475" s="228">
        <v>20400</v>
      </c>
      <c r="M475" s="228">
        <v>77520000</v>
      </c>
      <c r="N475" s="228"/>
      <c r="O475" s="228"/>
      <c r="P475" s="228">
        <v>20400</v>
      </c>
      <c r="Q475" s="228">
        <v>77520000</v>
      </c>
    </row>
    <row r="476" spans="1:17">
      <c r="A476"/>
      <c r="B476"/>
      <c r="C476" s="165">
        <v>3914</v>
      </c>
      <c r="D476" s="228"/>
      <c r="E476" s="228"/>
      <c r="F476" s="228">
        <v>0</v>
      </c>
      <c r="G476" s="228">
        <v>0</v>
      </c>
      <c r="H476" s="228"/>
      <c r="I476" s="228"/>
      <c r="J476" s="228"/>
      <c r="K476" s="228"/>
      <c r="L476" s="228"/>
      <c r="M476" s="228"/>
      <c r="N476" s="228"/>
      <c r="O476" s="228"/>
      <c r="P476" s="228">
        <v>0</v>
      </c>
      <c r="Q476" s="228">
        <v>0</v>
      </c>
    </row>
    <row r="477" spans="1:17">
      <c r="A477"/>
      <c r="B477"/>
      <c r="C477" s="165">
        <v>3999</v>
      </c>
      <c r="D477" s="228"/>
      <c r="E477" s="228"/>
      <c r="F477" s="228"/>
      <c r="G477" s="228"/>
      <c r="H477" s="228"/>
      <c r="I477" s="228"/>
      <c r="J477" s="228">
        <v>5100</v>
      </c>
      <c r="K477" s="228">
        <v>20394900</v>
      </c>
      <c r="L477" s="228"/>
      <c r="M477" s="228"/>
      <c r="N477" s="228"/>
      <c r="O477" s="228"/>
      <c r="P477" s="228">
        <v>5100</v>
      </c>
      <c r="Q477" s="228">
        <v>20394900</v>
      </c>
    </row>
    <row r="478" spans="1:17">
      <c r="A478"/>
      <c r="B478"/>
      <c r="C478" s="165" t="s">
        <v>1814</v>
      </c>
      <c r="D478" s="228"/>
      <c r="E478" s="228"/>
      <c r="F478" s="228"/>
      <c r="G478" s="228"/>
      <c r="H478" s="228">
        <v>5100</v>
      </c>
      <c r="I478" s="228" t="e">
        <v>#VALUE!</v>
      </c>
      <c r="J478" s="228"/>
      <c r="K478" s="228"/>
      <c r="L478" s="228">
        <v>5100</v>
      </c>
      <c r="M478" s="228" t="e">
        <v>#VALUE!</v>
      </c>
      <c r="N478" s="228"/>
      <c r="O478" s="228"/>
      <c r="P478" s="228">
        <v>10200</v>
      </c>
      <c r="Q478" s="228" t="e">
        <v>#VALUE!</v>
      </c>
    </row>
    <row r="479" spans="1:17">
      <c r="A479" s="165" t="s">
        <v>2090</v>
      </c>
      <c r="B479" s="165" t="s">
        <v>162</v>
      </c>
      <c r="C479" s="165">
        <v>5500</v>
      </c>
      <c r="D479" s="228"/>
      <c r="E479" s="228"/>
      <c r="F479" s="228">
        <v>0</v>
      </c>
      <c r="G479" s="228">
        <v>0</v>
      </c>
      <c r="H479" s="228"/>
      <c r="I479" s="228"/>
      <c r="J479" s="228"/>
      <c r="K479" s="228"/>
      <c r="L479" s="228"/>
      <c r="M479" s="228"/>
      <c r="N479" s="228"/>
      <c r="O479" s="228"/>
      <c r="P479" s="228">
        <v>0</v>
      </c>
      <c r="Q479" s="228">
        <v>0</v>
      </c>
    </row>
    <row r="480" spans="1:17">
      <c r="A480"/>
      <c r="B480"/>
      <c r="C480" s="165">
        <v>5670</v>
      </c>
      <c r="D480" s="228"/>
      <c r="E480" s="228"/>
      <c r="F480" s="228"/>
      <c r="G480" s="228"/>
      <c r="H480" s="228"/>
      <c r="I480" s="228"/>
      <c r="J480" s="228">
        <v>10000</v>
      </c>
      <c r="K480" s="228">
        <v>56700000</v>
      </c>
      <c r="L480" s="228"/>
      <c r="M480" s="228"/>
      <c r="N480" s="228"/>
      <c r="O480" s="228"/>
      <c r="P480" s="228">
        <v>10000</v>
      </c>
      <c r="Q480" s="228">
        <v>56700000</v>
      </c>
    </row>
    <row r="481" spans="1:17">
      <c r="A481"/>
      <c r="B481"/>
      <c r="C481" s="165">
        <v>5925</v>
      </c>
      <c r="D481" s="228"/>
      <c r="E481" s="228"/>
      <c r="F481" s="228"/>
      <c r="G481" s="228"/>
      <c r="H481" s="228"/>
      <c r="I481" s="228"/>
      <c r="J481" s="228"/>
      <c r="K481" s="228"/>
      <c r="L481" s="228">
        <v>30000</v>
      </c>
      <c r="M481" s="228">
        <v>177750000</v>
      </c>
      <c r="N481" s="228"/>
      <c r="O481" s="228"/>
      <c r="P481" s="228">
        <v>30000</v>
      </c>
      <c r="Q481" s="228">
        <v>177750000</v>
      </c>
    </row>
    <row r="482" spans="1:17">
      <c r="A482"/>
      <c r="B482" s="165" t="s">
        <v>25</v>
      </c>
      <c r="C482" s="165">
        <v>6100</v>
      </c>
      <c r="D482" s="228"/>
      <c r="E482" s="228"/>
      <c r="F482" s="228"/>
      <c r="G482" s="228"/>
      <c r="H482" s="228"/>
      <c r="I482" s="228"/>
      <c r="J482" s="228"/>
      <c r="K482" s="228"/>
      <c r="L482" s="228">
        <v>5000</v>
      </c>
      <c r="M482" s="228">
        <v>30500000</v>
      </c>
      <c r="N482" s="228"/>
      <c r="O482" s="228"/>
      <c r="P482" s="228">
        <v>5000</v>
      </c>
      <c r="Q482" s="228">
        <v>30500000</v>
      </c>
    </row>
    <row r="483" spans="1:17">
      <c r="A483"/>
      <c r="B483" s="165" t="s">
        <v>1086</v>
      </c>
      <c r="C483" s="165">
        <v>6800</v>
      </c>
      <c r="D483" s="228"/>
      <c r="E483" s="228"/>
      <c r="F483" s="228"/>
      <c r="G483" s="228"/>
      <c r="H483" s="228"/>
      <c r="I483" s="228"/>
      <c r="J483" s="228"/>
      <c r="K483" s="228"/>
      <c r="L483" s="228">
        <v>3000</v>
      </c>
      <c r="M483" s="228">
        <v>20400000</v>
      </c>
      <c r="N483" s="228"/>
      <c r="O483" s="228"/>
      <c r="P483" s="228">
        <v>3000</v>
      </c>
      <c r="Q483" s="228">
        <v>20400000</v>
      </c>
    </row>
    <row r="484" spans="1:17">
      <c r="A484"/>
      <c r="B484" s="165" t="s">
        <v>195</v>
      </c>
      <c r="C484" s="165">
        <v>5600</v>
      </c>
      <c r="D484" s="228"/>
      <c r="E484" s="228"/>
      <c r="F484" s="228">
        <v>0</v>
      </c>
      <c r="G484" s="228">
        <v>0</v>
      </c>
      <c r="H484" s="228"/>
      <c r="I484" s="228"/>
      <c r="J484" s="228"/>
      <c r="K484" s="228"/>
      <c r="L484" s="228"/>
      <c r="M484" s="228"/>
      <c r="N484" s="228"/>
      <c r="O484" s="228"/>
      <c r="P484" s="228">
        <v>0</v>
      </c>
      <c r="Q484" s="228">
        <v>0</v>
      </c>
    </row>
    <row r="485" spans="1:17">
      <c r="A485" s="165" t="s">
        <v>2091</v>
      </c>
      <c r="B485" s="165" t="s">
        <v>76</v>
      </c>
      <c r="C485" s="165">
        <v>5500</v>
      </c>
      <c r="D485" s="228"/>
      <c r="E485" s="228"/>
      <c r="F485" s="228">
        <v>0</v>
      </c>
      <c r="G485" s="228">
        <v>0</v>
      </c>
      <c r="H485" s="228"/>
      <c r="I485" s="228"/>
      <c r="J485" s="228"/>
      <c r="K485" s="228"/>
      <c r="L485" s="228"/>
      <c r="M485" s="228"/>
      <c r="N485" s="228"/>
      <c r="O485" s="228"/>
      <c r="P485" s="228">
        <v>0</v>
      </c>
      <c r="Q485" s="228">
        <v>0</v>
      </c>
    </row>
    <row r="486" spans="1:17">
      <c r="A486"/>
      <c r="B486" s="165" t="s">
        <v>1241</v>
      </c>
      <c r="C486" s="165">
        <v>5800</v>
      </c>
      <c r="D486" s="228"/>
      <c r="E486" s="228"/>
      <c r="F486" s="228">
        <v>0</v>
      </c>
      <c r="G486" s="228">
        <v>0</v>
      </c>
      <c r="H486" s="228"/>
      <c r="I486" s="228"/>
      <c r="J486" s="228"/>
      <c r="K486" s="228"/>
      <c r="L486" s="228"/>
      <c r="M486" s="228"/>
      <c r="N486" s="228"/>
      <c r="O486" s="228"/>
      <c r="P486" s="228">
        <v>0</v>
      </c>
      <c r="Q486" s="228">
        <v>0</v>
      </c>
    </row>
    <row r="487" spans="1:17">
      <c r="A487"/>
      <c r="B487" s="165" t="s">
        <v>1555</v>
      </c>
      <c r="C487" s="165">
        <v>5800</v>
      </c>
      <c r="D487" s="228"/>
      <c r="E487" s="228"/>
      <c r="F487" s="228"/>
      <c r="G487" s="228"/>
      <c r="H487" s="228"/>
      <c r="I487" s="228"/>
      <c r="J487" s="228">
        <v>10000</v>
      </c>
      <c r="K487" s="228">
        <v>58000000</v>
      </c>
      <c r="L487" s="228"/>
      <c r="M487" s="228"/>
      <c r="N487" s="228"/>
      <c r="O487" s="228"/>
      <c r="P487" s="228">
        <v>10000</v>
      </c>
      <c r="Q487" s="228">
        <v>58000000</v>
      </c>
    </row>
    <row r="488" spans="1:17">
      <c r="A488"/>
      <c r="B488" s="165" t="s">
        <v>1098</v>
      </c>
      <c r="C488" s="165">
        <v>5700</v>
      </c>
      <c r="D488" s="228"/>
      <c r="E488" s="228"/>
      <c r="F488" s="228"/>
      <c r="G488" s="228"/>
      <c r="H488" s="228"/>
      <c r="I488" s="228"/>
      <c r="J488" s="228">
        <v>1000</v>
      </c>
      <c r="K488" s="228">
        <v>5700000</v>
      </c>
      <c r="L488" s="228"/>
      <c r="M488" s="228"/>
      <c r="N488" s="228"/>
      <c r="O488" s="228"/>
      <c r="P488" s="228">
        <v>1000</v>
      </c>
      <c r="Q488" s="228">
        <v>5700000</v>
      </c>
    </row>
    <row r="489" spans="1:17">
      <c r="A489"/>
      <c r="B489"/>
      <c r="C489" s="165">
        <v>6100</v>
      </c>
      <c r="D489" s="228"/>
      <c r="E489" s="228"/>
      <c r="F489" s="228"/>
      <c r="G489" s="228"/>
      <c r="H489" s="228"/>
      <c r="I489" s="228"/>
      <c r="J489" s="228"/>
      <c r="K489" s="228"/>
      <c r="L489" s="228">
        <v>1000</v>
      </c>
      <c r="M489" s="228">
        <v>6100000</v>
      </c>
      <c r="N489" s="228"/>
      <c r="O489" s="228"/>
      <c r="P489" s="228">
        <v>1000</v>
      </c>
      <c r="Q489" s="228">
        <v>6100000</v>
      </c>
    </row>
    <row r="490" spans="1:17">
      <c r="A490"/>
      <c r="B490" s="165" t="s">
        <v>158</v>
      </c>
      <c r="C490" s="165">
        <v>5800</v>
      </c>
      <c r="D490" s="228"/>
      <c r="E490" s="228"/>
      <c r="F490" s="228"/>
      <c r="G490" s="228"/>
      <c r="H490" s="228"/>
      <c r="I490" s="228"/>
      <c r="J490" s="228">
        <v>6000</v>
      </c>
      <c r="K490" s="228">
        <v>34800000</v>
      </c>
      <c r="L490" s="228"/>
      <c r="M490" s="228"/>
      <c r="N490" s="228"/>
      <c r="O490" s="228"/>
      <c r="P490" s="228">
        <v>6000</v>
      </c>
      <c r="Q490" s="228">
        <v>34800000</v>
      </c>
    </row>
    <row r="491" spans="1:17">
      <c r="A491"/>
      <c r="B491" s="165" t="s">
        <v>188</v>
      </c>
      <c r="C491" s="165">
        <v>5500</v>
      </c>
      <c r="D491" s="228"/>
      <c r="E491" s="228"/>
      <c r="F491" s="228"/>
      <c r="G491" s="228"/>
      <c r="H491" s="228"/>
      <c r="I491" s="228"/>
      <c r="J491" s="228"/>
      <c r="K491" s="228"/>
      <c r="L491" s="228">
        <v>10000</v>
      </c>
      <c r="M491" s="228">
        <v>55000000</v>
      </c>
      <c r="N491" s="228"/>
      <c r="O491" s="228"/>
      <c r="P491" s="228">
        <v>10000</v>
      </c>
      <c r="Q491" s="228">
        <v>55000000</v>
      </c>
    </row>
    <row r="492" spans="1:17">
      <c r="A492"/>
      <c r="B492"/>
      <c r="C492" s="165">
        <v>5600</v>
      </c>
      <c r="D492" s="228"/>
      <c r="E492" s="228"/>
      <c r="F492" s="228">
        <v>0</v>
      </c>
      <c r="G492" s="228">
        <v>0</v>
      </c>
      <c r="H492" s="228"/>
      <c r="I492" s="228"/>
      <c r="J492" s="228"/>
      <c r="K492" s="228"/>
      <c r="L492" s="228"/>
      <c r="M492" s="228"/>
      <c r="N492" s="228"/>
      <c r="O492" s="228"/>
      <c r="P492" s="228">
        <v>0</v>
      </c>
      <c r="Q492" s="228">
        <v>0</v>
      </c>
    </row>
    <row r="493" spans="1:17">
      <c r="A493"/>
      <c r="B493" s="165" t="s">
        <v>1009</v>
      </c>
      <c r="C493" s="165">
        <v>5585</v>
      </c>
      <c r="D493" s="228"/>
      <c r="E493" s="228"/>
      <c r="F493" s="228">
        <v>0</v>
      </c>
      <c r="G493" s="228">
        <v>0</v>
      </c>
      <c r="H493" s="228"/>
      <c r="I493" s="228"/>
      <c r="J493" s="228"/>
      <c r="K493" s="228"/>
      <c r="L493" s="228"/>
      <c r="M493" s="228"/>
      <c r="N493" s="228"/>
      <c r="O493" s="228"/>
      <c r="P493" s="228">
        <v>0</v>
      </c>
      <c r="Q493" s="228">
        <v>0</v>
      </c>
    </row>
    <row r="494" spans="1:17">
      <c r="A494"/>
      <c r="B494"/>
      <c r="C494" s="165">
        <v>5648</v>
      </c>
      <c r="D494" s="228"/>
      <c r="E494" s="228"/>
      <c r="F494" s="228">
        <v>0</v>
      </c>
      <c r="G494" s="228">
        <v>0</v>
      </c>
      <c r="H494" s="228"/>
      <c r="I494" s="228"/>
      <c r="J494" s="228"/>
      <c r="K494" s="228"/>
      <c r="L494" s="228"/>
      <c r="M494" s="228"/>
      <c r="N494" s="228"/>
      <c r="O494" s="228"/>
      <c r="P494" s="228">
        <v>0</v>
      </c>
      <c r="Q494" s="228">
        <v>0</v>
      </c>
    </row>
    <row r="495" spans="1:17">
      <c r="A495"/>
      <c r="B495" s="165" t="s">
        <v>1702</v>
      </c>
      <c r="C495" s="165">
        <v>5800</v>
      </c>
      <c r="D495" s="228"/>
      <c r="E495" s="228"/>
      <c r="F495" s="228">
        <v>0</v>
      </c>
      <c r="G495" s="228">
        <v>0</v>
      </c>
      <c r="H495" s="228"/>
      <c r="I495" s="228"/>
      <c r="J495" s="228"/>
      <c r="K495" s="228"/>
      <c r="L495" s="228"/>
      <c r="M495" s="228"/>
      <c r="N495" s="228"/>
      <c r="O495" s="228"/>
      <c r="P495" s="228">
        <v>0</v>
      </c>
      <c r="Q495" s="228">
        <v>0</v>
      </c>
    </row>
    <row r="496" spans="1:17">
      <c r="A496"/>
      <c r="B496" s="165" t="s">
        <v>1209</v>
      </c>
      <c r="C496" s="165">
        <v>5500</v>
      </c>
      <c r="D496" s="228"/>
      <c r="E496" s="228"/>
      <c r="F496" s="228">
        <v>0</v>
      </c>
      <c r="G496" s="228">
        <v>0</v>
      </c>
      <c r="H496" s="228"/>
      <c r="I496" s="228"/>
      <c r="J496" s="228"/>
      <c r="K496" s="228"/>
      <c r="L496" s="228"/>
      <c r="M496" s="228"/>
      <c r="N496" s="228"/>
      <c r="O496" s="228"/>
      <c r="P496" s="228">
        <v>0</v>
      </c>
      <c r="Q496" s="228">
        <v>0</v>
      </c>
    </row>
    <row r="497" spans="1:17">
      <c r="A497" s="165" t="s">
        <v>2092</v>
      </c>
      <c r="B497" s="165" t="s">
        <v>1009</v>
      </c>
      <c r="C497" s="165">
        <v>10600</v>
      </c>
      <c r="D497" s="228"/>
      <c r="E497" s="228"/>
      <c r="F497" s="228"/>
      <c r="G497" s="228"/>
      <c r="H497" s="228"/>
      <c r="I497" s="228"/>
      <c r="J497" s="228"/>
      <c r="K497" s="228"/>
      <c r="L497" s="228">
        <v>7750</v>
      </c>
      <c r="M497" s="228">
        <v>82150000</v>
      </c>
      <c r="N497" s="228"/>
      <c r="O497" s="228"/>
      <c r="P497" s="228">
        <v>7750</v>
      </c>
      <c r="Q497" s="228">
        <v>82150000</v>
      </c>
    </row>
    <row r="498" spans="1:17">
      <c r="A498" s="165" t="s">
        <v>2093</v>
      </c>
      <c r="B498" s="165" t="s">
        <v>1279</v>
      </c>
      <c r="C498" s="165">
        <v>11400</v>
      </c>
      <c r="D498" s="228"/>
      <c r="E498" s="228"/>
      <c r="F498" s="228"/>
      <c r="G498" s="228"/>
      <c r="H498" s="228"/>
      <c r="I498" s="228"/>
      <c r="J498" s="228"/>
      <c r="K498" s="228"/>
      <c r="L498" s="228">
        <v>3000</v>
      </c>
      <c r="M498" s="228">
        <v>34200000</v>
      </c>
      <c r="N498" s="228"/>
      <c r="O498" s="228"/>
      <c r="P498" s="228">
        <v>3000</v>
      </c>
      <c r="Q498" s="228">
        <v>34200000</v>
      </c>
    </row>
    <row r="499" spans="1:17">
      <c r="A499"/>
      <c r="B499" s="165" t="s">
        <v>1555</v>
      </c>
      <c r="C499" s="165">
        <v>11500</v>
      </c>
      <c r="D499" s="228"/>
      <c r="E499" s="228"/>
      <c r="F499" s="228"/>
      <c r="G499" s="228"/>
      <c r="H499" s="228"/>
      <c r="I499" s="228"/>
      <c r="J499" s="228"/>
      <c r="K499" s="228"/>
      <c r="L499" s="228">
        <v>20000</v>
      </c>
      <c r="M499" s="228">
        <v>230000000</v>
      </c>
      <c r="N499" s="228"/>
      <c r="O499" s="228"/>
      <c r="P499" s="228">
        <v>20000</v>
      </c>
      <c r="Q499" s="228">
        <v>230000000</v>
      </c>
    </row>
    <row r="500" spans="1:17">
      <c r="A500"/>
      <c r="B500" s="165" t="s">
        <v>1098</v>
      </c>
      <c r="C500" s="165">
        <v>11400</v>
      </c>
      <c r="D500" s="228"/>
      <c r="E500" s="228"/>
      <c r="F500" s="228"/>
      <c r="G500" s="228"/>
      <c r="H500" s="228"/>
      <c r="I500" s="228"/>
      <c r="J500" s="228"/>
      <c r="K500" s="228"/>
      <c r="L500" s="228">
        <v>2000</v>
      </c>
      <c r="M500" s="228">
        <v>22800000</v>
      </c>
      <c r="N500" s="228"/>
      <c r="O500" s="228"/>
      <c r="P500" s="228">
        <v>2000</v>
      </c>
      <c r="Q500" s="228">
        <v>22800000</v>
      </c>
    </row>
    <row r="501" spans="1:17">
      <c r="A501"/>
      <c r="B501" s="165" t="s">
        <v>1009</v>
      </c>
      <c r="C501" s="165">
        <v>11900</v>
      </c>
      <c r="D501" s="228"/>
      <c r="E501" s="228"/>
      <c r="F501" s="228"/>
      <c r="G501" s="228"/>
      <c r="H501" s="228"/>
      <c r="I501" s="228"/>
      <c r="J501" s="228"/>
      <c r="K501" s="228"/>
      <c r="L501" s="228">
        <v>2300</v>
      </c>
      <c r="M501" s="228">
        <v>27370000</v>
      </c>
      <c r="N501" s="228"/>
      <c r="O501" s="228"/>
      <c r="P501" s="228">
        <v>2300</v>
      </c>
      <c r="Q501" s="228">
        <v>27370000</v>
      </c>
    </row>
    <row r="502" spans="1:17">
      <c r="A502"/>
      <c r="B502" s="165" t="s">
        <v>1209</v>
      </c>
      <c r="C502" s="165">
        <v>11400</v>
      </c>
      <c r="D502" s="228"/>
      <c r="E502" s="228"/>
      <c r="F502" s="228"/>
      <c r="G502" s="228"/>
      <c r="H502" s="228"/>
      <c r="I502" s="228"/>
      <c r="J502" s="228"/>
      <c r="K502" s="228"/>
      <c r="L502" s="228">
        <v>20000</v>
      </c>
      <c r="M502" s="228">
        <v>228000000</v>
      </c>
      <c r="N502" s="228"/>
      <c r="O502" s="228"/>
      <c r="P502" s="228">
        <v>20000</v>
      </c>
      <c r="Q502" s="228">
        <v>228000000</v>
      </c>
    </row>
    <row r="503" spans="1:17">
      <c r="A503" s="165" t="s">
        <v>2094</v>
      </c>
      <c r="B503" s="165" t="s">
        <v>1066</v>
      </c>
      <c r="C503" s="165">
        <v>4800</v>
      </c>
      <c r="D503" s="228"/>
      <c r="E503" s="228"/>
      <c r="F503" s="228">
        <v>0</v>
      </c>
      <c r="G503" s="228">
        <v>0</v>
      </c>
      <c r="H503" s="228"/>
      <c r="I503" s="228"/>
      <c r="J503" s="228"/>
      <c r="K503" s="228"/>
      <c r="L503" s="228"/>
      <c r="M503" s="228"/>
      <c r="N503" s="228"/>
      <c r="O503" s="228"/>
      <c r="P503" s="228">
        <v>0</v>
      </c>
      <c r="Q503" s="228">
        <v>0</v>
      </c>
    </row>
    <row r="504" spans="1:17">
      <c r="A504"/>
      <c r="B504" s="165" t="s">
        <v>1026</v>
      </c>
      <c r="C504" s="165">
        <v>4800</v>
      </c>
      <c r="D504" s="228"/>
      <c r="E504" s="228"/>
      <c r="F504" s="228">
        <v>0</v>
      </c>
      <c r="G504" s="228">
        <v>0</v>
      </c>
      <c r="H504" s="228"/>
      <c r="I504" s="228"/>
      <c r="J504" s="228"/>
      <c r="K504" s="228"/>
      <c r="L504" s="228"/>
      <c r="M504" s="228"/>
      <c r="N504" s="228"/>
      <c r="O504" s="228"/>
      <c r="P504" s="228">
        <v>0</v>
      </c>
      <c r="Q504" s="228">
        <v>0</v>
      </c>
    </row>
    <row r="505" spans="1:17">
      <c r="A505" s="165" t="s">
        <v>2095</v>
      </c>
      <c r="B505" s="165" t="s">
        <v>1555</v>
      </c>
      <c r="C505" s="165">
        <v>7100</v>
      </c>
      <c r="D505" s="228"/>
      <c r="E505" s="228"/>
      <c r="F505" s="228">
        <v>0</v>
      </c>
      <c r="G505" s="228">
        <v>0</v>
      </c>
      <c r="H505" s="228"/>
      <c r="I505" s="228"/>
      <c r="J505" s="228"/>
      <c r="K505" s="228"/>
      <c r="L505" s="228"/>
      <c r="M505" s="228"/>
      <c r="N505" s="228"/>
      <c r="O505" s="228"/>
      <c r="P505" s="228">
        <v>0</v>
      </c>
      <c r="Q505" s="228">
        <v>0</v>
      </c>
    </row>
    <row r="506" spans="1:17">
      <c r="A506"/>
      <c r="B506" s="165" t="s">
        <v>1366</v>
      </c>
      <c r="C506" s="165">
        <v>8200</v>
      </c>
      <c r="D506" s="228"/>
      <c r="E506" s="228"/>
      <c r="F506" s="228">
        <v>0</v>
      </c>
      <c r="G506" s="228">
        <v>0</v>
      </c>
      <c r="H506" s="228"/>
      <c r="I506" s="228"/>
      <c r="J506" s="228"/>
      <c r="K506" s="228"/>
      <c r="L506" s="228"/>
      <c r="M506" s="228"/>
      <c r="N506" s="228"/>
      <c r="O506" s="228"/>
      <c r="P506" s="228">
        <v>0</v>
      </c>
      <c r="Q506" s="228">
        <v>0</v>
      </c>
    </row>
    <row r="507" spans="1:17">
      <c r="A507"/>
      <c r="B507" s="165" t="s">
        <v>1009</v>
      </c>
      <c r="C507" s="165">
        <v>7000</v>
      </c>
      <c r="D507" s="228"/>
      <c r="E507" s="228"/>
      <c r="F507" s="228">
        <v>0</v>
      </c>
      <c r="G507" s="228">
        <v>0</v>
      </c>
      <c r="H507" s="228">
        <v>10000</v>
      </c>
      <c r="I507" s="228">
        <v>70000000</v>
      </c>
      <c r="J507" s="228"/>
      <c r="K507" s="228"/>
      <c r="L507" s="228">
        <v>20000</v>
      </c>
      <c r="M507" s="228">
        <v>140000000</v>
      </c>
      <c r="N507" s="228"/>
      <c r="O507" s="228"/>
      <c r="P507" s="228">
        <v>30000</v>
      </c>
      <c r="Q507" s="228">
        <v>210000000</v>
      </c>
    </row>
    <row r="508" spans="1:17">
      <c r="A508"/>
      <c r="B508"/>
      <c r="C508" s="165">
        <v>7100</v>
      </c>
      <c r="D508" s="228"/>
      <c r="E508" s="228"/>
      <c r="F508" s="228">
        <v>0</v>
      </c>
      <c r="G508" s="228">
        <v>0</v>
      </c>
      <c r="H508" s="228"/>
      <c r="I508" s="228"/>
      <c r="J508" s="228"/>
      <c r="K508" s="228"/>
      <c r="L508" s="228"/>
      <c r="M508" s="228"/>
      <c r="N508" s="228"/>
      <c r="O508" s="228"/>
      <c r="P508" s="228">
        <v>0</v>
      </c>
      <c r="Q508" s="228">
        <v>0</v>
      </c>
    </row>
    <row r="509" spans="1:17">
      <c r="A509" s="165" t="s">
        <v>2096</v>
      </c>
      <c r="B509" s="165" t="s">
        <v>1009</v>
      </c>
      <c r="C509" s="165">
        <v>9200</v>
      </c>
      <c r="D509" s="228"/>
      <c r="E509" s="228"/>
      <c r="F509" s="228"/>
      <c r="G509" s="228"/>
      <c r="H509" s="228"/>
      <c r="I509" s="228"/>
      <c r="J509" s="228"/>
      <c r="K509" s="228"/>
      <c r="L509" s="228">
        <v>10050</v>
      </c>
      <c r="M509" s="228">
        <v>92460000</v>
      </c>
      <c r="N509" s="228"/>
      <c r="O509" s="228"/>
      <c r="P509" s="228">
        <v>10050</v>
      </c>
      <c r="Q509" s="228">
        <v>92460000</v>
      </c>
    </row>
    <row r="510" spans="1:17">
      <c r="A510"/>
      <c r="B510" s="165" t="s">
        <v>1086</v>
      </c>
      <c r="C510" s="165">
        <v>9200</v>
      </c>
      <c r="D510" s="228">
        <v>0</v>
      </c>
      <c r="E510" s="228">
        <v>0</v>
      </c>
      <c r="F510" s="228"/>
      <c r="G510" s="228"/>
      <c r="H510" s="228"/>
      <c r="I510" s="228"/>
      <c r="J510" s="228"/>
      <c r="K510" s="228"/>
      <c r="L510" s="228">
        <v>4500</v>
      </c>
      <c r="M510" s="228">
        <v>41400000</v>
      </c>
      <c r="N510" s="228"/>
      <c r="O510" s="228"/>
      <c r="P510" s="228">
        <v>4500</v>
      </c>
      <c r="Q510" s="228">
        <v>41400000</v>
      </c>
    </row>
    <row r="511" spans="1:17">
      <c r="A511"/>
      <c r="B511" s="165" t="s">
        <v>1142</v>
      </c>
      <c r="C511" s="165">
        <v>9200</v>
      </c>
      <c r="D511" s="228"/>
      <c r="E511" s="228"/>
      <c r="F511" s="228"/>
      <c r="G511" s="228"/>
      <c r="H511" s="228"/>
      <c r="I511" s="228"/>
      <c r="J511" s="228"/>
      <c r="K511" s="228"/>
      <c r="L511" s="228">
        <v>5100</v>
      </c>
      <c r="M511" s="228">
        <v>46920000</v>
      </c>
      <c r="N511" s="228"/>
      <c r="O511" s="228"/>
      <c r="P511" s="228">
        <v>5100</v>
      </c>
      <c r="Q511" s="228">
        <v>46920000</v>
      </c>
    </row>
    <row r="512" spans="1:17">
      <c r="A512" s="165" t="s">
        <v>2097</v>
      </c>
      <c r="B512" s="165" t="s">
        <v>1086</v>
      </c>
      <c r="C512" s="165">
        <v>3500</v>
      </c>
      <c r="D512" s="228"/>
      <c r="E512" s="228"/>
      <c r="F512" s="228"/>
      <c r="G512" s="228"/>
      <c r="H512" s="228"/>
      <c r="I512" s="228"/>
      <c r="J512" s="228"/>
      <c r="K512" s="228"/>
      <c r="L512" s="228">
        <v>24000</v>
      </c>
      <c r="M512" s="228">
        <v>84000000</v>
      </c>
      <c r="N512" s="228"/>
      <c r="O512" s="228"/>
      <c r="P512" s="228">
        <v>24000</v>
      </c>
      <c r="Q512" s="228">
        <v>84000000</v>
      </c>
    </row>
    <row r="513" spans="1:17">
      <c r="A513" s="165" t="s">
        <v>2098</v>
      </c>
      <c r="B513" s="165" t="s">
        <v>911</v>
      </c>
      <c r="C513" s="165">
        <v>4000</v>
      </c>
      <c r="D513" s="228"/>
      <c r="E513" s="228"/>
      <c r="F513" s="228"/>
      <c r="G513" s="228"/>
      <c r="H513" s="228"/>
      <c r="I513" s="228"/>
      <c r="J513" s="228">
        <v>8100</v>
      </c>
      <c r="K513" s="228">
        <v>32400000</v>
      </c>
      <c r="L513" s="228"/>
      <c r="M513" s="228"/>
      <c r="N513" s="228"/>
      <c r="O513" s="228"/>
      <c r="P513" s="228">
        <v>8100</v>
      </c>
      <c r="Q513" s="228">
        <v>32400000</v>
      </c>
    </row>
    <row r="514" spans="1:17">
      <c r="A514"/>
      <c r="B514" s="165" t="s">
        <v>270</v>
      </c>
      <c r="C514" s="165">
        <v>4500</v>
      </c>
      <c r="D514" s="228"/>
      <c r="E514" s="228"/>
      <c r="F514" s="228"/>
      <c r="G514" s="228"/>
      <c r="H514" s="228">
        <v>6000</v>
      </c>
      <c r="I514" s="228">
        <v>27000000</v>
      </c>
      <c r="J514" s="228"/>
      <c r="K514" s="228"/>
      <c r="L514" s="228"/>
      <c r="M514" s="228"/>
      <c r="N514" s="228"/>
      <c r="O514" s="228"/>
      <c r="P514" s="228">
        <v>6000</v>
      </c>
      <c r="Q514" s="228">
        <v>27000000</v>
      </c>
    </row>
    <row r="515" spans="1:17">
      <c r="A515"/>
      <c r="B515" s="165" t="s">
        <v>1047</v>
      </c>
      <c r="C515" s="165">
        <v>4100</v>
      </c>
      <c r="D515" s="228"/>
      <c r="E515" s="228"/>
      <c r="F515" s="228"/>
      <c r="G515" s="228"/>
      <c r="H515" s="228">
        <v>4200</v>
      </c>
      <c r="I515" s="228">
        <v>17220000</v>
      </c>
      <c r="J515" s="228"/>
      <c r="K515" s="228"/>
      <c r="L515" s="228"/>
      <c r="M515" s="228"/>
      <c r="N515" s="228"/>
      <c r="O515" s="228"/>
      <c r="P515" s="228">
        <v>4200</v>
      </c>
      <c r="Q515" s="228">
        <v>17220000</v>
      </c>
    </row>
    <row r="516" spans="1:17">
      <c r="A516"/>
      <c r="B516" s="165" t="s">
        <v>1237</v>
      </c>
      <c r="C516" s="165">
        <v>4500</v>
      </c>
      <c r="D516" s="228"/>
      <c r="E516" s="228"/>
      <c r="F516" s="228"/>
      <c r="G516" s="228"/>
      <c r="H516" s="228"/>
      <c r="I516" s="228"/>
      <c r="J516" s="228">
        <v>2100</v>
      </c>
      <c r="K516" s="228">
        <v>9450000</v>
      </c>
      <c r="L516" s="228"/>
      <c r="M516" s="228"/>
      <c r="N516" s="228"/>
      <c r="O516" s="228"/>
      <c r="P516" s="228">
        <v>2100</v>
      </c>
      <c r="Q516" s="228">
        <v>9450000</v>
      </c>
    </row>
    <row r="517" spans="1:17">
      <c r="A517"/>
      <c r="B517"/>
      <c r="C517" s="165">
        <v>4600</v>
      </c>
      <c r="D517" s="228"/>
      <c r="E517" s="228"/>
      <c r="F517" s="228"/>
      <c r="G517" s="228"/>
      <c r="H517" s="228"/>
      <c r="I517" s="228"/>
      <c r="J517" s="228"/>
      <c r="K517" s="228"/>
      <c r="L517" s="228">
        <v>5100</v>
      </c>
      <c r="M517" s="228">
        <v>23460000</v>
      </c>
      <c r="N517" s="228"/>
      <c r="O517" s="228"/>
      <c r="P517" s="228">
        <v>5100</v>
      </c>
      <c r="Q517" s="228">
        <v>23460000</v>
      </c>
    </row>
    <row r="518" spans="1:17">
      <c r="A518"/>
      <c r="B518" s="165" t="s">
        <v>1098</v>
      </c>
      <c r="C518" s="165">
        <v>4000</v>
      </c>
      <c r="D518" s="228"/>
      <c r="E518" s="228"/>
      <c r="F518" s="228">
        <v>0</v>
      </c>
      <c r="G518" s="228">
        <v>0</v>
      </c>
      <c r="H518" s="228"/>
      <c r="I518" s="228"/>
      <c r="J518" s="228"/>
      <c r="K518" s="228"/>
      <c r="L518" s="228"/>
      <c r="M518" s="228"/>
      <c r="N518" s="228"/>
      <c r="O518" s="228"/>
      <c r="P518" s="228">
        <v>0</v>
      </c>
      <c r="Q518" s="228">
        <v>0</v>
      </c>
    </row>
    <row r="519" spans="1:17">
      <c r="A519"/>
      <c r="B519" s="165" t="s">
        <v>188</v>
      </c>
      <c r="C519" s="165">
        <v>4500</v>
      </c>
      <c r="D519" s="228"/>
      <c r="E519" s="228"/>
      <c r="F519" s="228"/>
      <c r="G519" s="228"/>
      <c r="H519" s="228">
        <v>9600</v>
      </c>
      <c r="I519" s="228">
        <v>43200000</v>
      </c>
      <c r="J519" s="228"/>
      <c r="K519" s="228"/>
      <c r="L519" s="228"/>
      <c r="M519" s="228"/>
      <c r="N519" s="228"/>
      <c r="O519" s="228"/>
      <c r="P519" s="228">
        <v>9600</v>
      </c>
      <c r="Q519" s="228">
        <v>43200000</v>
      </c>
    </row>
    <row r="520" spans="1:17">
      <c r="A520"/>
      <c r="B520" s="165" t="s">
        <v>1589</v>
      </c>
      <c r="C520" s="165">
        <v>4000</v>
      </c>
      <c r="D520" s="228"/>
      <c r="E520" s="228"/>
      <c r="F520" s="228">
        <v>0</v>
      </c>
      <c r="G520" s="228">
        <v>0</v>
      </c>
      <c r="H520" s="228"/>
      <c r="I520" s="228"/>
      <c r="J520" s="228"/>
      <c r="K520" s="228"/>
      <c r="L520" s="228"/>
      <c r="M520" s="228"/>
      <c r="N520" s="228"/>
      <c r="O520" s="228"/>
      <c r="P520" s="228">
        <v>0</v>
      </c>
      <c r="Q520" s="228">
        <v>0</v>
      </c>
    </row>
    <row r="521" spans="1:17">
      <c r="A521"/>
      <c r="B521" s="165" t="s">
        <v>239</v>
      </c>
      <c r="C521" s="165">
        <v>4000</v>
      </c>
      <c r="D521" s="228">
        <v>0</v>
      </c>
      <c r="E521" s="228">
        <v>0</v>
      </c>
      <c r="F521" s="228"/>
      <c r="G521" s="228"/>
      <c r="H521" s="228"/>
      <c r="I521" s="228"/>
      <c r="J521" s="228"/>
      <c r="K521" s="228"/>
      <c r="L521" s="228"/>
      <c r="M521" s="228"/>
      <c r="N521" s="228"/>
      <c r="O521" s="228"/>
      <c r="P521" s="228">
        <v>0</v>
      </c>
      <c r="Q521" s="228">
        <v>0</v>
      </c>
    </row>
    <row r="522" spans="1:17">
      <c r="A522"/>
      <c r="B522" s="165" t="s">
        <v>1245</v>
      </c>
      <c r="C522" s="165">
        <v>4000</v>
      </c>
      <c r="D522" s="228"/>
      <c r="E522" s="228"/>
      <c r="F522" s="228"/>
      <c r="G522" s="228"/>
      <c r="H522" s="228"/>
      <c r="I522" s="228"/>
      <c r="J522" s="228">
        <v>5700</v>
      </c>
      <c r="K522" s="228">
        <v>22800000</v>
      </c>
      <c r="L522" s="228"/>
      <c r="M522" s="228"/>
      <c r="N522" s="228"/>
      <c r="O522" s="228"/>
      <c r="P522" s="228">
        <v>5700</v>
      </c>
      <c r="Q522" s="228">
        <v>22800000</v>
      </c>
    </row>
    <row r="523" spans="1:17">
      <c r="A523"/>
      <c r="B523" s="165" t="s">
        <v>814</v>
      </c>
      <c r="C523" s="165">
        <v>4000</v>
      </c>
      <c r="D523" s="228"/>
      <c r="E523" s="228"/>
      <c r="F523" s="228">
        <v>0</v>
      </c>
      <c r="G523" s="228">
        <v>0</v>
      </c>
      <c r="H523" s="228">
        <v>10200</v>
      </c>
      <c r="I523" s="228">
        <v>40800000</v>
      </c>
      <c r="J523" s="228">
        <v>4800</v>
      </c>
      <c r="K523" s="228">
        <v>19200000</v>
      </c>
      <c r="L523" s="228">
        <v>30000</v>
      </c>
      <c r="M523" s="228">
        <v>120000000</v>
      </c>
      <c r="N523" s="228"/>
      <c r="O523" s="228"/>
      <c r="P523" s="228">
        <v>45000</v>
      </c>
      <c r="Q523" s="228">
        <v>180000000</v>
      </c>
    </row>
    <row r="524" spans="1:17">
      <c r="A524"/>
      <c r="B524" s="165" t="s">
        <v>1880</v>
      </c>
      <c r="C524" s="165">
        <v>4000</v>
      </c>
      <c r="D524" s="228"/>
      <c r="E524" s="228"/>
      <c r="F524" s="228">
        <v>0</v>
      </c>
      <c r="G524" s="228">
        <v>0</v>
      </c>
      <c r="H524" s="228"/>
      <c r="I524" s="228"/>
      <c r="J524" s="228"/>
      <c r="K524" s="228"/>
      <c r="L524" s="228"/>
      <c r="M524" s="228"/>
      <c r="N524" s="228"/>
      <c r="O524" s="228"/>
      <c r="P524" s="228">
        <v>0</v>
      </c>
      <c r="Q524" s="228">
        <v>0</v>
      </c>
    </row>
    <row r="525" spans="1:17">
      <c r="A525" s="165" t="s">
        <v>2099</v>
      </c>
      <c r="B525" s="165" t="s">
        <v>710</v>
      </c>
      <c r="C525" s="165">
        <v>3900</v>
      </c>
      <c r="D525" s="228">
        <v>0</v>
      </c>
      <c r="E525" s="228">
        <v>0</v>
      </c>
      <c r="F525" s="228"/>
      <c r="G525" s="228"/>
      <c r="H525" s="228"/>
      <c r="I525" s="228"/>
      <c r="J525" s="228"/>
      <c r="K525" s="228"/>
      <c r="L525" s="228"/>
      <c r="M525" s="228"/>
      <c r="N525" s="228"/>
      <c r="O525" s="228"/>
      <c r="P525" s="228">
        <v>0</v>
      </c>
      <c r="Q525" s="228">
        <v>0</v>
      </c>
    </row>
    <row r="526" spans="1:17">
      <c r="A526"/>
      <c r="B526" s="165" t="s">
        <v>1086</v>
      </c>
      <c r="C526" s="165">
        <v>3900</v>
      </c>
      <c r="D526" s="228"/>
      <c r="E526" s="228"/>
      <c r="F526" s="228">
        <v>0</v>
      </c>
      <c r="G526" s="228">
        <v>0</v>
      </c>
      <c r="H526" s="228"/>
      <c r="I526" s="228"/>
      <c r="J526" s="228"/>
      <c r="K526" s="228"/>
      <c r="L526" s="228"/>
      <c r="M526" s="228"/>
      <c r="N526" s="228"/>
      <c r="O526" s="228"/>
      <c r="P526" s="228">
        <v>0</v>
      </c>
      <c r="Q526" s="228">
        <v>0</v>
      </c>
    </row>
    <row r="527" spans="1:17">
      <c r="A527"/>
      <c r="B527" s="165" t="s">
        <v>814</v>
      </c>
      <c r="C527" s="165">
        <v>3900</v>
      </c>
      <c r="D527" s="228">
        <v>0</v>
      </c>
      <c r="E527" s="228">
        <v>0</v>
      </c>
      <c r="F527" s="228">
        <v>0</v>
      </c>
      <c r="G527" s="228">
        <v>0</v>
      </c>
      <c r="H527" s="228"/>
      <c r="I527" s="228"/>
      <c r="J527" s="228"/>
      <c r="K527" s="228"/>
      <c r="L527" s="228"/>
      <c r="M527" s="228"/>
      <c r="N527" s="228"/>
      <c r="O527" s="228"/>
      <c r="P527" s="228">
        <v>0</v>
      </c>
      <c r="Q527" s="228">
        <v>0</v>
      </c>
    </row>
    <row r="528" spans="1:17">
      <c r="A528" s="165" t="s">
        <v>2100</v>
      </c>
      <c r="B528" s="165" t="s">
        <v>76</v>
      </c>
      <c r="C528" s="165">
        <v>5400</v>
      </c>
      <c r="D528" s="228"/>
      <c r="E528" s="228"/>
      <c r="F528" s="228">
        <v>0</v>
      </c>
      <c r="G528" s="228">
        <v>0</v>
      </c>
      <c r="H528" s="228"/>
      <c r="I528" s="228"/>
      <c r="J528" s="228"/>
      <c r="K528" s="228"/>
      <c r="L528" s="228"/>
      <c r="M528" s="228"/>
      <c r="N528" s="228"/>
      <c r="O528" s="228"/>
      <c r="P528" s="228">
        <v>0</v>
      </c>
      <c r="Q528" s="228">
        <v>0</v>
      </c>
    </row>
    <row r="529" spans="1:17">
      <c r="A529"/>
      <c r="B529" s="165" t="s">
        <v>1241</v>
      </c>
      <c r="C529" s="165">
        <v>5000</v>
      </c>
      <c r="D529" s="228">
        <v>0</v>
      </c>
      <c r="E529" s="228">
        <v>0</v>
      </c>
      <c r="F529" s="228"/>
      <c r="G529" s="228"/>
      <c r="H529" s="228"/>
      <c r="I529" s="228"/>
      <c r="J529" s="228"/>
      <c r="K529" s="228"/>
      <c r="L529" s="228"/>
      <c r="M529" s="228"/>
      <c r="N529" s="228"/>
      <c r="O529" s="228"/>
      <c r="P529" s="228">
        <v>0</v>
      </c>
      <c r="Q529" s="228">
        <v>0</v>
      </c>
    </row>
    <row r="530" spans="1:17">
      <c r="A530"/>
      <c r="B530"/>
      <c r="C530" s="165">
        <v>5400</v>
      </c>
      <c r="D530" s="228">
        <v>0</v>
      </c>
      <c r="E530" s="228">
        <v>0</v>
      </c>
      <c r="F530" s="228"/>
      <c r="G530" s="228"/>
      <c r="H530" s="228"/>
      <c r="I530" s="228"/>
      <c r="J530" s="228"/>
      <c r="K530" s="228"/>
      <c r="L530" s="228"/>
      <c r="M530" s="228"/>
      <c r="N530" s="228"/>
      <c r="O530" s="228"/>
      <c r="P530" s="228">
        <v>0</v>
      </c>
      <c r="Q530" s="228">
        <v>0</v>
      </c>
    </row>
    <row r="531" spans="1:17">
      <c r="A531"/>
      <c r="B531" s="165" t="s">
        <v>270</v>
      </c>
      <c r="C531" s="165">
        <v>5200</v>
      </c>
      <c r="D531" s="228"/>
      <c r="E531" s="228"/>
      <c r="F531" s="228">
        <v>0</v>
      </c>
      <c r="G531" s="228">
        <v>0</v>
      </c>
      <c r="H531" s="228"/>
      <c r="I531" s="228"/>
      <c r="J531" s="228"/>
      <c r="K531" s="228"/>
      <c r="L531" s="228"/>
      <c r="M531" s="228"/>
      <c r="N531" s="228"/>
      <c r="O531" s="228"/>
      <c r="P531" s="228">
        <v>0</v>
      </c>
      <c r="Q531" s="228">
        <v>0</v>
      </c>
    </row>
    <row r="532" spans="1:17">
      <c r="A532"/>
      <c r="B532" s="165" t="s">
        <v>1047</v>
      </c>
      <c r="C532" s="165">
        <v>5400</v>
      </c>
      <c r="D532" s="228"/>
      <c r="E532" s="228"/>
      <c r="F532" s="228">
        <v>0</v>
      </c>
      <c r="G532" s="228">
        <v>0</v>
      </c>
      <c r="H532" s="228"/>
      <c r="I532" s="228"/>
      <c r="J532" s="228"/>
      <c r="K532" s="228"/>
      <c r="L532" s="228"/>
      <c r="M532" s="228"/>
      <c r="N532" s="228"/>
      <c r="O532" s="228"/>
      <c r="P532" s="228">
        <v>0</v>
      </c>
      <c r="Q532" s="228">
        <v>0</v>
      </c>
    </row>
    <row r="533" spans="1:17">
      <c r="A533"/>
      <c r="B533"/>
      <c r="C533" s="165">
        <v>5500</v>
      </c>
      <c r="D533" s="228"/>
      <c r="E533" s="228"/>
      <c r="F533" s="228"/>
      <c r="G533" s="228"/>
      <c r="H533" s="228">
        <v>10000</v>
      </c>
      <c r="I533" s="228">
        <v>55000000</v>
      </c>
      <c r="J533" s="228"/>
      <c r="K533" s="228"/>
      <c r="L533" s="228"/>
      <c r="M533" s="228"/>
      <c r="N533" s="228"/>
      <c r="O533" s="228"/>
      <c r="P533" s="228">
        <v>10000</v>
      </c>
      <c r="Q533" s="228">
        <v>55000000</v>
      </c>
    </row>
    <row r="534" spans="1:17">
      <c r="A534"/>
      <c r="B534" s="165" t="s">
        <v>710</v>
      </c>
      <c r="C534" s="165">
        <v>5200</v>
      </c>
      <c r="D534" s="228"/>
      <c r="E534" s="228"/>
      <c r="F534" s="228"/>
      <c r="G534" s="228"/>
      <c r="H534" s="228"/>
      <c r="I534" s="228"/>
      <c r="J534" s="228">
        <v>10000</v>
      </c>
      <c r="K534" s="228">
        <v>52000000</v>
      </c>
      <c r="L534" s="228"/>
      <c r="M534" s="228"/>
      <c r="N534" s="228"/>
      <c r="O534" s="228"/>
      <c r="P534" s="228">
        <v>10000</v>
      </c>
      <c r="Q534" s="228">
        <v>52000000</v>
      </c>
    </row>
    <row r="535" spans="1:17">
      <c r="A535"/>
      <c r="B535"/>
      <c r="C535" s="165">
        <v>5300</v>
      </c>
      <c r="D535" s="228"/>
      <c r="E535" s="228"/>
      <c r="F535" s="228"/>
      <c r="G535" s="228"/>
      <c r="H535" s="228"/>
      <c r="I535" s="228"/>
      <c r="J535" s="228"/>
      <c r="K535" s="228"/>
      <c r="L535" s="228">
        <v>20000</v>
      </c>
      <c r="M535" s="228">
        <v>106000000</v>
      </c>
      <c r="N535" s="228"/>
      <c r="O535" s="228"/>
      <c r="P535" s="228">
        <v>20000</v>
      </c>
      <c r="Q535" s="228">
        <v>106000000</v>
      </c>
    </row>
    <row r="536" spans="1:17">
      <c r="A536"/>
      <c r="B536" s="165" t="s">
        <v>282</v>
      </c>
      <c r="C536" s="165">
        <v>5300</v>
      </c>
      <c r="D536" s="228"/>
      <c r="E536" s="228"/>
      <c r="F536" s="228">
        <v>0</v>
      </c>
      <c r="G536" s="228">
        <v>0</v>
      </c>
      <c r="H536" s="228"/>
      <c r="I536" s="228"/>
      <c r="J536" s="228"/>
      <c r="K536" s="228"/>
      <c r="L536" s="228"/>
      <c r="M536" s="228"/>
      <c r="N536" s="228"/>
      <c r="O536" s="228"/>
      <c r="P536" s="228">
        <v>0</v>
      </c>
      <c r="Q536" s="228">
        <v>0</v>
      </c>
    </row>
    <row r="537" spans="1:17">
      <c r="A537"/>
      <c r="B537" s="165" t="s">
        <v>1237</v>
      </c>
      <c r="C537" s="165">
        <v>5400</v>
      </c>
      <c r="D537" s="228"/>
      <c r="E537" s="228"/>
      <c r="F537" s="228">
        <v>0</v>
      </c>
      <c r="G537" s="228">
        <v>0</v>
      </c>
      <c r="H537" s="228"/>
      <c r="I537" s="228"/>
      <c r="J537" s="228"/>
      <c r="K537" s="228"/>
      <c r="L537" s="228"/>
      <c r="M537" s="228"/>
      <c r="N537" s="228"/>
      <c r="O537" s="228"/>
      <c r="P537" s="228">
        <v>0</v>
      </c>
      <c r="Q537" s="228">
        <v>0</v>
      </c>
    </row>
    <row r="538" spans="1:17">
      <c r="A538"/>
      <c r="B538" s="165" t="s">
        <v>25</v>
      </c>
      <c r="C538" s="165">
        <v>5300</v>
      </c>
      <c r="D538" s="228"/>
      <c r="E538" s="228"/>
      <c r="F538" s="228">
        <v>0</v>
      </c>
      <c r="G538" s="228">
        <v>0</v>
      </c>
      <c r="H538" s="228"/>
      <c r="I538" s="228"/>
      <c r="J538" s="228"/>
      <c r="K538" s="228"/>
      <c r="L538" s="228"/>
      <c r="M538" s="228"/>
      <c r="N538" s="228"/>
      <c r="O538" s="228"/>
      <c r="P538" s="228">
        <v>0</v>
      </c>
      <c r="Q538" s="228">
        <v>0</v>
      </c>
    </row>
    <row r="539" spans="1:17">
      <c r="A539"/>
      <c r="B539" s="165" t="s">
        <v>817</v>
      </c>
      <c r="C539" s="165">
        <v>5300</v>
      </c>
      <c r="D539" s="228"/>
      <c r="E539" s="228"/>
      <c r="F539" s="228">
        <v>0</v>
      </c>
      <c r="G539" s="228">
        <v>0</v>
      </c>
      <c r="H539" s="228"/>
      <c r="I539" s="228"/>
      <c r="J539" s="228"/>
      <c r="K539" s="228"/>
      <c r="L539" s="228"/>
      <c r="M539" s="228"/>
      <c r="N539" s="228"/>
      <c r="O539" s="228"/>
      <c r="P539" s="228">
        <v>0</v>
      </c>
      <c r="Q539" s="228">
        <v>0</v>
      </c>
    </row>
    <row r="540" spans="1:17">
      <c r="A540"/>
      <c r="B540" s="165" t="s">
        <v>158</v>
      </c>
      <c r="C540" s="165">
        <v>5400</v>
      </c>
      <c r="D540" s="228"/>
      <c r="E540" s="228"/>
      <c r="F540" s="228"/>
      <c r="G540" s="228"/>
      <c r="H540" s="228"/>
      <c r="I540" s="228"/>
      <c r="J540" s="228">
        <v>2000</v>
      </c>
      <c r="K540" s="228">
        <v>10800000</v>
      </c>
      <c r="L540" s="228"/>
      <c r="M540" s="228"/>
      <c r="N540" s="228"/>
      <c r="O540" s="228"/>
      <c r="P540" s="228">
        <v>2000</v>
      </c>
      <c r="Q540" s="228">
        <v>10800000</v>
      </c>
    </row>
    <row r="541" spans="1:17">
      <c r="A541"/>
      <c r="B541" s="165" t="s">
        <v>188</v>
      </c>
      <c r="C541" s="165">
        <v>5300</v>
      </c>
      <c r="D541" s="228"/>
      <c r="E541" s="228"/>
      <c r="F541" s="228">
        <v>0</v>
      </c>
      <c r="G541" s="228">
        <v>0</v>
      </c>
      <c r="H541" s="228"/>
      <c r="I541" s="228"/>
      <c r="J541" s="228"/>
      <c r="K541" s="228"/>
      <c r="L541" s="228"/>
      <c r="M541" s="228"/>
      <c r="N541" s="228"/>
      <c r="O541" s="228"/>
      <c r="P541" s="228">
        <v>0</v>
      </c>
      <c r="Q541" s="228">
        <v>0</v>
      </c>
    </row>
    <row r="542" spans="1:17">
      <c r="A542"/>
      <c r="B542" s="165" t="s">
        <v>921</v>
      </c>
      <c r="C542" s="165">
        <v>5400</v>
      </c>
      <c r="D542" s="228"/>
      <c r="E542" s="228"/>
      <c r="F542" s="228"/>
      <c r="G542" s="228"/>
      <c r="H542" s="228">
        <v>10000</v>
      </c>
      <c r="I542" s="228">
        <v>54000000</v>
      </c>
      <c r="J542" s="228">
        <v>15000</v>
      </c>
      <c r="K542" s="228">
        <v>81000000</v>
      </c>
      <c r="L542" s="228"/>
      <c r="M542" s="228"/>
      <c r="N542" s="228"/>
      <c r="O542" s="228"/>
      <c r="P542" s="228">
        <v>25000</v>
      </c>
      <c r="Q542" s="228">
        <v>135000000</v>
      </c>
    </row>
    <row r="543" spans="1:17">
      <c r="A543"/>
      <c r="B543" s="165" t="s">
        <v>1702</v>
      </c>
      <c r="C543" s="165">
        <v>5000</v>
      </c>
      <c r="D543" s="228">
        <v>0</v>
      </c>
      <c r="E543" s="228">
        <v>0</v>
      </c>
      <c r="F543" s="228">
        <v>0</v>
      </c>
      <c r="G543" s="228">
        <v>0</v>
      </c>
      <c r="H543" s="228"/>
      <c r="I543" s="228"/>
      <c r="J543" s="228"/>
      <c r="K543" s="228"/>
      <c r="L543" s="228"/>
      <c r="M543" s="228"/>
      <c r="N543" s="228"/>
      <c r="O543" s="228"/>
      <c r="P543" s="228">
        <v>0</v>
      </c>
      <c r="Q543" s="228">
        <v>0</v>
      </c>
    </row>
    <row r="544" spans="1:17">
      <c r="A544"/>
      <c r="B544" s="165" t="s">
        <v>1589</v>
      </c>
      <c r="C544" s="165">
        <v>5400</v>
      </c>
      <c r="D544" s="228"/>
      <c r="E544" s="228"/>
      <c r="F544" s="228"/>
      <c r="G544" s="228"/>
      <c r="H544" s="228"/>
      <c r="I544" s="228"/>
      <c r="J544" s="228">
        <v>10000</v>
      </c>
      <c r="K544" s="228">
        <v>54000000</v>
      </c>
      <c r="L544" s="228"/>
      <c r="M544" s="228"/>
      <c r="N544" s="228"/>
      <c r="O544" s="228"/>
      <c r="P544" s="228">
        <v>10000</v>
      </c>
      <c r="Q544" s="228">
        <v>54000000</v>
      </c>
    </row>
    <row r="545" spans="1:17">
      <c r="A545"/>
      <c r="B545"/>
      <c r="C545" s="165">
        <v>5500</v>
      </c>
      <c r="D545" s="228"/>
      <c r="E545" s="228"/>
      <c r="F545" s="228"/>
      <c r="G545" s="228"/>
      <c r="H545" s="228"/>
      <c r="I545" s="228"/>
      <c r="J545" s="228"/>
      <c r="K545" s="228"/>
      <c r="L545" s="228">
        <v>5000</v>
      </c>
      <c r="M545" s="228">
        <v>27500000</v>
      </c>
      <c r="N545" s="228"/>
      <c r="O545" s="228"/>
      <c r="P545" s="228">
        <v>5000</v>
      </c>
      <c r="Q545" s="228">
        <v>27500000</v>
      </c>
    </row>
    <row r="546" spans="1:17">
      <c r="A546"/>
      <c r="B546" s="165" t="s">
        <v>1245</v>
      </c>
      <c r="C546" s="165">
        <v>5000</v>
      </c>
      <c r="D546" s="228"/>
      <c r="E546" s="228"/>
      <c r="F546" s="228">
        <v>0</v>
      </c>
      <c r="G546" s="228">
        <v>0</v>
      </c>
      <c r="H546" s="228"/>
      <c r="I546" s="228"/>
      <c r="J546" s="228"/>
      <c r="K546" s="228"/>
      <c r="L546" s="228"/>
      <c r="M546" s="228"/>
      <c r="N546" s="228"/>
      <c r="O546" s="228"/>
      <c r="P546" s="228">
        <v>0</v>
      </c>
      <c r="Q546" s="228">
        <v>0</v>
      </c>
    </row>
    <row r="547" spans="1:17">
      <c r="A547"/>
      <c r="B547" s="165" t="s">
        <v>814</v>
      </c>
      <c r="C547" s="165">
        <v>5000</v>
      </c>
      <c r="D547" s="228"/>
      <c r="E547" s="228"/>
      <c r="F547" s="228"/>
      <c r="G547" s="228"/>
      <c r="H547" s="228"/>
      <c r="I547" s="228"/>
      <c r="J547" s="228"/>
      <c r="K547" s="228"/>
      <c r="L547" s="228">
        <v>20600</v>
      </c>
      <c r="M547" s="228">
        <v>103000000</v>
      </c>
      <c r="N547" s="228"/>
      <c r="O547" s="228"/>
      <c r="P547" s="228">
        <v>20600</v>
      </c>
      <c r="Q547" s="228">
        <v>103000000</v>
      </c>
    </row>
    <row r="548" spans="1:17">
      <c r="A548"/>
      <c r="B548"/>
      <c r="C548" s="165">
        <v>5300</v>
      </c>
      <c r="D548" s="228">
        <v>0</v>
      </c>
      <c r="E548" s="228">
        <v>0</v>
      </c>
      <c r="F548" s="228"/>
      <c r="G548" s="228"/>
      <c r="H548" s="228"/>
      <c r="I548" s="228"/>
      <c r="J548" s="228"/>
      <c r="K548" s="228"/>
      <c r="L548" s="228"/>
      <c r="M548" s="228"/>
      <c r="N548" s="228"/>
      <c r="O548" s="228"/>
      <c r="P548" s="228">
        <v>0</v>
      </c>
      <c r="Q548" s="228">
        <v>0</v>
      </c>
    </row>
    <row r="549" spans="1:17">
      <c r="A549"/>
      <c r="B549" s="165" t="s">
        <v>103</v>
      </c>
      <c r="C549" s="165">
        <v>5400</v>
      </c>
      <c r="D549" s="228"/>
      <c r="E549" s="228"/>
      <c r="F549" s="228">
        <v>0</v>
      </c>
      <c r="G549" s="228">
        <v>0</v>
      </c>
      <c r="H549" s="228"/>
      <c r="I549" s="228"/>
      <c r="J549" s="228"/>
      <c r="K549" s="228"/>
      <c r="L549" s="228"/>
      <c r="M549" s="228"/>
      <c r="N549" s="228"/>
      <c r="O549" s="228"/>
      <c r="P549" s="228">
        <v>0</v>
      </c>
      <c r="Q549" s="228">
        <v>0</v>
      </c>
    </row>
    <row r="550" spans="1:17">
      <c r="A550" s="165" t="s">
        <v>2101</v>
      </c>
      <c r="B550" s="165" t="s">
        <v>1237</v>
      </c>
      <c r="C550" s="165">
        <v>8500</v>
      </c>
      <c r="D550" s="228"/>
      <c r="E550" s="228"/>
      <c r="F550" s="228"/>
      <c r="G550" s="228"/>
      <c r="H550" s="228"/>
      <c r="I550" s="228"/>
      <c r="J550" s="228"/>
      <c r="K550" s="228"/>
      <c r="L550" s="228">
        <v>5100</v>
      </c>
      <c r="M550" s="228">
        <v>43350000</v>
      </c>
      <c r="N550" s="228"/>
      <c r="O550" s="228"/>
      <c r="P550" s="228">
        <v>5100</v>
      </c>
      <c r="Q550" s="228">
        <v>43350000</v>
      </c>
    </row>
    <row r="551" spans="1:17">
      <c r="A551"/>
      <c r="B551" s="165" t="s">
        <v>1086</v>
      </c>
      <c r="C551" s="165">
        <v>8400</v>
      </c>
      <c r="D551" s="228"/>
      <c r="E551" s="228"/>
      <c r="F551" s="228"/>
      <c r="G551" s="228"/>
      <c r="H551" s="228"/>
      <c r="I551" s="228"/>
      <c r="J551" s="228"/>
      <c r="K551" s="228"/>
      <c r="L551" s="228">
        <v>5250</v>
      </c>
      <c r="M551" s="228">
        <v>44100000</v>
      </c>
      <c r="N551" s="228"/>
      <c r="O551" s="228"/>
      <c r="P551" s="228">
        <v>5250</v>
      </c>
      <c r="Q551" s="228">
        <v>44100000</v>
      </c>
    </row>
    <row r="552" spans="1:17">
      <c r="A552" s="165" t="s">
        <v>2102</v>
      </c>
      <c r="B552" s="165" t="s">
        <v>814</v>
      </c>
      <c r="C552" s="165">
        <v>9500</v>
      </c>
      <c r="D552" s="228"/>
      <c r="E552" s="228"/>
      <c r="F552" s="228"/>
      <c r="G552" s="228"/>
      <c r="H552" s="228"/>
      <c r="I552" s="228"/>
      <c r="J552" s="228"/>
      <c r="K552" s="228"/>
      <c r="L552" s="228">
        <v>15000</v>
      </c>
      <c r="M552" s="228">
        <v>142500000</v>
      </c>
      <c r="N552" s="228"/>
      <c r="O552" s="228"/>
      <c r="P552" s="228">
        <v>15000</v>
      </c>
      <c r="Q552" s="228">
        <v>142500000</v>
      </c>
    </row>
    <row r="553" spans="1:17">
      <c r="A553" s="165" t="s">
        <v>2103</v>
      </c>
      <c r="B553" s="165" t="s">
        <v>150</v>
      </c>
      <c r="C553" s="165">
        <v>3800</v>
      </c>
      <c r="D553" s="228"/>
      <c r="E553" s="228"/>
      <c r="F553" s="228">
        <v>0</v>
      </c>
      <c r="G553" s="228">
        <v>0</v>
      </c>
      <c r="H553" s="228"/>
      <c r="I553" s="228"/>
      <c r="J553" s="228"/>
      <c r="K553" s="228"/>
      <c r="L553" s="228"/>
      <c r="M553" s="228"/>
      <c r="N553" s="228"/>
      <c r="O553" s="228"/>
      <c r="P553" s="228">
        <v>0</v>
      </c>
      <c r="Q553" s="228">
        <v>0</v>
      </c>
    </row>
    <row r="554" spans="1:17">
      <c r="A554"/>
      <c r="B554" s="165" t="s">
        <v>285</v>
      </c>
      <c r="C554" s="165">
        <v>3800</v>
      </c>
      <c r="D554" s="228"/>
      <c r="E554" s="228"/>
      <c r="F554" s="228"/>
      <c r="G554" s="228"/>
      <c r="H554" s="228"/>
      <c r="I554" s="228"/>
      <c r="J554" s="228">
        <v>2100</v>
      </c>
      <c r="K554" s="228">
        <v>7980000</v>
      </c>
      <c r="L554" s="228"/>
      <c r="M554" s="228"/>
      <c r="N554" s="228"/>
      <c r="O554" s="228"/>
      <c r="P554" s="228">
        <v>2100</v>
      </c>
      <c r="Q554" s="228">
        <v>7980000</v>
      </c>
    </row>
    <row r="555" spans="1:17">
      <c r="A555"/>
      <c r="B555" s="165" t="s">
        <v>1411</v>
      </c>
      <c r="C555" s="165">
        <v>3700</v>
      </c>
      <c r="D555" s="228"/>
      <c r="E555" s="228"/>
      <c r="F555" s="228">
        <v>0</v>
      </c>
      <c r="G555" s="228">
        <v>0</v>
      </c>
      <c r="H555" s="228"/>
      <c r="I555" s="228"/>
      <c r="J555" s="228"/>
      <c r="K555" s="228"/>
      <c r="L555" s="228"/>
      <c r="M555" s="228"/>
      <c r="N555" s="228"/>
      <c r="O555" s="228"/>
      <c r="P555" s="228">
        <v>0</v>
      </c>
      <c r="Q555" s="228">
        <v>0</v>
      </c>
    </row>
    <row r="556" spans="1:17">
      <c r="A556"/>
      <c r="B556" s="165" t="s">
        <v>801</v>
      </c>
      <c r="C556" s="165">
        <v>3600</v>
      </c>
      <c r="D556" s="228">
        <v>0</v>
      </c>
      <c r="E556" s="228">
        <v>0</v>
      </c>
      <c r="F556" s="228"/>
      <c r="G556" s="228"/>
      <c r="H556" s="228"/>
      <c r="I556" s="228"/>
      <c r="J556" s="228"/>
      <c r="K556" s="228"/>
      <c r="L556" s="228"/>
      <c r="M556" s="228"/>
      <c r="N556" s="228"/>
      <c r="O556" s="228"/>
      <c r="P556" s="228">
        <v>0</v>
      </c>
      <c r="Q556" s="228">
        <v>0</v>
      </c>
    </row>
    <row r="557" spans="1:17">
      <c r="A557"/>
      <c r="B557" s="165" t="s">
        <v>950</v>
      </c>
      <c r="C557" s="165">
        <v>3800</v>
      </c>
      <c r="D557" s="228"/>
      <c r="E557" s="228"/>
      <c r="F557" s="228">
        <v>0</v>
      </c>
      <c r="G557" s="228">
        <v>0</v>
      </c>
      <c r="H557" s="228"/>
      <c r="I557" s="228"/>
      <c r="J557" s="228"/>
      <c r="K557" s="228"/>
      <c r="L557" s="228"/>
      <c r="M557" s="228"/>
      <c r="N557" s="228"/>
      <c r="O557" s="228"/>
      <c r="P557" s="228">
        <v>0</v>
      </c>
      <c r="Q557" s="228">
        <v>0</v>
      </c>
    </row>
    <row r="558" spans="1:17">
      <c r="A558" s="165" t="s">
        <v>2104</v>
      </c>
      <c r="B558" s="165" t="s">
        <v>270</v>
      </c>
      <c r="C558" s="165">
        <v>7100</v>
      </c>
      <c r="D558" s="228"/>
      <c r="E558" s="228"/>
      <c r="F558" s="228"/>
      <c r="G558" s="228"/>
      <c r="H558" s="228">
        <v>6000</v>
      </c>
      <c r="I558" s="228">
        <v>42600000</v>
      </c>
      <c r="J558" s="228"/>
      <c r="K558" s="228"/>
      <c r="L558" s="228"/>
      <c r="M558" s="228"/>
      <c r="N558" s="228"/>
      <c r="O558" s="228"/>
      <c r="P558" s="228">
        <v>6000</v>
      </c>
      <c r="Q558" s="228">
        <v>42600000</v>
      </c>
    </row>
    <row r="559" spans="1:17">
      <c r="A559"/>
      <c r="B559"/>
      <c r="C559" s="165">
        <v>7200</v>
      </c>
      <c r="D559" s="228"/>
      <c r="E559" s="228"/>
      <c r="F559" s="228"/>
      <c r="G559" s="228"/>
      <c r="H559" s="228"/>
      <c r="I559" s="228"/>
      <c r="J559" s="228"/>
      <c r="K559" s="228"/>
      <c r="L559" s="228">
        <v>8000</v>
      </c>
      <c r="M559" s="228">
        <v>57600000</v>
      </c>
      <c r="N559" s="228"/>
      <c r="O559" s="228"/>
      <c r="P559" s="228">
        <v>8000</v>
      </c>
      <c r="Q559" s="228">
        <v>57600000</v>
      </c>
    </row>
    <row r="560" spans="1:17">
      <c r="A560"/>
      <c r="B560" s="165" t="s">
        <v>1237</v>
      </c>
      <c r="C560" s="165">
        <v>6700</v>
      </c>
      <c r="D560" s="228"/>
      <c r="E560" s="228"/>
      <c r="F560" s="228">
        <v>0</v>
      </c>
      <c r="G560" s="228">
        <v>0</v>
      </c>
      <c r="H560" s="228"/>
      <c r="I560" s="228"/>
      <c r="J560" s="228"/>
      <c r="K560" s="228"/>
      <c r="L560" s="228"/>
      <c r="M560" s="228"/>
      <c r="N560" s="228"/>
      <c r="O560" s="228"/>
      <c r="P560" s="228">
        <v>0</v>
      </c>
      <c r="Q560" s="228">
        <v>0</v>
      </c>
    </row>
    <row r="561" spans="1:17">
      <c r="A561"/>
      <c r="B561" s="165" t="s">
        <v>253</v>
      </c>
      <c r="C561" s="165">
        <v>6700</v>
      </c>
      <c r="D561" s="228"/>
      <c r="E561" s="228"/>
      <c r="F561" s="228">
        <v>0</v>
      </c>
      <c r="G561" s="228">
        <v>0</v>
      </c>
      <c r="H561" s="228"/>
      <c r="I561" s="228"/>
      <c r="J561" s="228"/>
      <c r="K561" s="228"/>
      <c r="L561" s="228"/>
      <c r="M561" s="228"/>
      <c r="N561" s="228"/>
      <c r="O561" s="228"/>
      <c r="P561" s="228">
        <v>0</v>
      </c>
      <c r="Q561" s="228">
        <v>0</v>
      </c>
    </row>
    <row r="562" spans="1:17">
      <c r="A562"/>
      <c r="B562" s="165" t="s">
        <v>1098</v>
      </c>
      <c r="C562" s="165">
        <v>6940</v>
      </c>
      <c r="D562" s="228"/>
      <c r="E562" s="228"/>
      <c r="F562" s="228"/>
      <c r="G562" s="228"/>
      <c r="H562" s="228"/>
      <c r="I562" s="228"/>
      <c r="J562" s="228">
        <v>1800</v>
      </c>
      <c r="K562" s="228">
        <v>12492000</v>
      </c>
      <c r="L562" s="228"/>
      <c r="M562" s="228"/>
      <c r="N562" s="228"/>
      <c r="O562" s="228"/>
      <c r="P562" s="228">
        <v>1800</v>
      </c>
      <c r="Q562" s="228">
        <v>12492000</v>
      </c>
    </row>
    <row r="563" spans="1:17">
      <c r="A563"/>
      <c r="B563" s="165" t="s">
        <v>1564</v>
      </c>
      <c r="C563" s="165">
        <v>7000</v>
      </c>
      <c r="D563" s="228">
        <v>0</v>
      </c>
      <c r="E563" s="228">
        <v>0</v>
      </c>
      <c r="F563" s="228"/>
      <c r="G563" s="228"/>
      <c r="H563" s="228">
        <v>10000</v>
      </c>
      <c r="I563" s="228">
        <v>70000000</v>
      </c>
      <c r="J563" s="228"/>
      <c r="K563" s="228"/>
      <c r="L563" s="228"/>
      <c r="M563" s="228"/>
      <c r="N563" s="228"/>
      <c r="O563" s="228"/>
      <c r="P563" s="228">
        <v>10000</v>
      </c>
      <c r="Q563" s="228">
        <v>70000000</v>
      </c>
    </row>
    <row r="564" spans="1:17">
      <c r="A564"/>
      <c r="B564" s="165" t="s">
        <v>1366</v>
      </c>
      <c r="C564" s="165">
        <v>8000</v>
      </c>
      <c r="D564" s="228"/>
      <c r="E564" s="228"/>
      <c r="F564" s="228">
        <v>0</v>
      </c>
      <c r="G564" s="228">
        <v>0</v>
      </c>
      <c r="H564" s="228"/>
      <c r="I564" s="228"/>
      <c r="J564" s="228"/>
      <c r="K564" s="228"/>
      <c r="L564" s="228"/>
      <c r="M564" s="228"/>
      <c r="N564" s="228"/>
      <c r="O564" s="228"/>
      <c r="P564" s="228">
        <v>0</v>
      </c>
      <c r="Q564" s="228">
        <v>0</v>
      </c>
    </row>
    <row r="565" spans="1:17">
      <c r="A565"/>
      <c r="B565" s="165" t="s">
        <v>188</v>
      </c>
      <c r="C565" s="165">
        <v>7000</v>
      </c>
      <c r="D565" s="228"/>
      <c r="E565" s="228"/>
      <c r="F565" s="228"/>
      <c r="G565" s="228"/>
      <c r="H565" s="228">
        <v>15000</v>
      </c>
      <c r="I565" s="228">
        <v>105000000</v>
      </c>
      <c r="J565" s="228"/>
      <c r="K565" s="228"/>
      <c r="L565" s="228"/>
      <c r="M565" s="228"/>
      <c r="N565" s="228"/>
      <c r="O565" s="228"/>
      <c r="P565" s="228">
        <v>15000</v>
      </c>
      <c r="Q565" s="228">
        <v>105000000</v>
      </c>
    </row>
    <row r="566" spans="1:17">
      <c r="A566"/>
      <c r="B566" s="165" t="s">
        <v>1589</v>
      </c>
      <c r="C566" s="165">
        <v>7000</v>
      </c>
      <c r="D566" s="228"/>
      <c r="E566" s="228"/>
      <c r="F566" s="228">
        <v>0</v>
      </c>
      <c r="G566" s="228">
        <v>0</v>
      </c>
      <c r="H566" s="228"/>
      <c r="I566" s="228"/>
      <c r="J566" s="228"/>
      <c r="K566" s="228"/>
      <c r="L566" s="228"/>
      <c r="M566" s="228"/>
      <c r="N566" s="228"/>
      <c r="O566" s="228"/>
      <c r="P566" s="228">
        <v>0</v>
      </c>
      <c r="Q566" s="228">
        <v>0</v>
      </c>
    </row>
    <row r="567" spans="1:17">
      <c r="A567"/>
      <c r="B567" s="165" t="s">
        <v>193</v>
      </c>
      <c r="C567" s="165">
        <v>7000</v>
      </c>
      <c r="D567" s="228"/>
      <c r="E567" s="228"/>
      <c r="F567" s="228"/>
      <c r="G567" s="228"/>
      <c r="H567" s="228">
        <v>5000</v>
      </c>
      <c r="I567" s="228">
        <v>35000000</v>
      </c>
      <c r="J567" s="228">
        <v>3600</v>
      </c>
      <c r="K567" s="228">
        <v>25200000</v>
      </c>
      <c r="L567" s="228"/>
      <c r="M567" s="228"/>
      <c r="N567" s="228"/>
      <c r="O567" s="228"/>
      <c r="P567" s="228">
        <v>8600</v>
      </c>
      <c r="Q567" s="228">
        <v>60200000</v>
      </c>
    </row>
    <row r="568" spans="1:17">
      <c r="A568"/>
      <c r="B568" s="165" t="s">
        <v>842</v>
      </c>
      <c r="C568" s="165">
        <v>6700</v>
      </c>
      <c r="D568" s="228"/>
      <c r="E568" s="228"/>
      <c r="F568" s="228">
        <v>0</v>
      </c>
      <c r="G568" s="228">
        <v>0</v>
      </c>
      <c r="H568" s="228"/>
      <c r="I568" s="228"/>
      <c r="J568" s="228"/>
      <c r="K568" s="228"/>
      <c r="L568" s="228"/>
      <c r="M568" s="228"/>
      <c r="N568" s="228"/>
      <c r="O568" s="228"/>
      <c r="P568" s="228">
        <v>0</v>
      </c>
      <c r="Q568" s="228">
        <v>0</v>
      </c>
    </row>
    <row r="569" spans="1:17">
      <c r="A569"/>
      <c r="B569"/>
      <c r="C569" s="165">
        <v>6785</v>
      </c>
      <c r="D569" s="228"/>
      <c r="E569" s="228"/>
      <c r="F569" s="228">
        <v>0</v>
      </c>
      <c r="G569" s="228">
        <v>0</v>
      </c>
      <c r="H569" s="228"/>
      <c r="I569" s="228"/>
      <c r="J569" s="228"/>
      <c r="K569" s="228"/>
      <c r="L569" s="228"/>
      <c r="M569" s="228"/>
      <c r="N569" s="228"/>
      <c r="O569" s="228"/>
      <c r="P569" s="228">
        <v>0</v>
      </c>
      <c r="Q569" s="228">
        <v>0</v>
      </c>
    </row>
    <row r="570" spans="1:17">
      <c r="A570"/>
      <c r="B570"/>
      <c r="C570" s="165">
        <v>6830</v>
      </c>
      <c r="D570" s="228"/>
      <c r="E570" s="228"/>
      <c r="F570" s="228">
        <v>0</v>
      </c>
      <c r="G570" s="228">
        <v>0</v>
      </c>
      <c r="H570" s="228"/>
      <c r="I570" s="228"/>
      <c r="J570" s="228"/>
      <c r="K570" s="228"/>
      <c r="L570" s="228"/>
      <c r="M570" s="228"/>
      <c r="N570" s="228"/>
      <c r="O570" s="228"/>
      <c r="P570" s="228">
        <v>0</v>
      </c>
      <c r="Q570" s="228">
        <v>0</v>
      </c>
    </row>
    <row r="571" spans="1:17">
      <c r="A571"/>
      <c r="B571"/>
      <c r="C571" s="165">
        <v>6915</v>
      </c>
      <c r="D571" s="228"/>
      <c r="E571" s="228"/>
      <c r="F571" s="228"/>
      <c r="G571" s="228"/>
      <c r="H571" s="228">
        <v>20000</v>
      </c>
      <c r="I571" s="228">
        <v>138300000</v>
      </c>
      <c r="J571" s="228"/>
      <c r="K571" s="228"/>
      <c r="L571" s="228"/>
      <c r="M571" s="228"/>
      <c r="N571" s="228"/>
      <c r="O571" s="228"/>
      <c r="P571" s="228">
        <v>20000</v>
      </c>
      <c r="Q571" s="228">
        <v>138300000</v>
      </c>
    </row>
    <row r="572" spans="1:17">
      <c r="A572"/>
      <c r="B572"/>
      <c r="C572" s="165" t="s">
        <v>385</v>
      </c>
      <c r="D572" s="228"/>
      <c r="E572" s="228"/>
      <c r="F572" s="228"/>
      <c r="G572" s="228"/>
      <c r="H572" s="228"/>
      <c r="I572" s="228"/>
      <c r="J572" s="228"/>
      <c r="K572" s="228"/>
      <c r="L572" s="228">
        <v>40000</v>
      </c>
      <c r="M572" s="228">
        <v>0</v>
      </c>
      <c r="N572" s="228"/>
      <c r="O572" s="228"/>
      <c r="P572" s="228">
        <v>40000</v>
      </c>
      <c r="Q572" s="228">
        <v>0</v>
      </c>
    </row>
    <row r="573" spans="1:17">
      <c r="A573"/>
      <c r="B573" s="165" t="s">
        <v>810</v>
      </c>
      <c r="C573" s="165">
        <v>6700</v>
      </c>
      <c r="D573" s="228"/>
      <c r="E573" s="228"/>
      <c r="F573" s="228">
        <v>0</v>
      </c>
      <c r="G573" s="228">
        <v>0</v>
      </c>
      <c r="H573" s="228"/>
      <c r="I573" s="228"/>
      <c r="J573" s="228"/>
      <c r="K573" s="228"/>
      <c r="L573" s="228"/>
      <c r="M573" s="228"/>
      <c r="N573" s="228"/>
      <c r="O573" s="228"/>
      <c r="P573" s="228">
        <v>0</v>
      </c>
      <c r="Q573" s="228">
        <v>0</v>
      </c>
    </row>
    <row r="574" spans="1:17">
      <c r="A574"/>
      <c r="B574" s="165" t="s">
        <v>103</v>
      </c>
      <c r="C574" s="165">
        <v>0</v>
      </c>
      <c r="D574" s="228"/>
      <c r="E574" s="228"/>
      <c r="F574" s="228"/>
      <c r="G574" s="228"/>
      <c r="H574" s="228"/>
      <c r="I574" s="228"/>
      <c r="J574" s="228"/>
      <c r="K574" s="228"/>
      <c r="L574" s="228">
        <v>70000</v>
      </c>
      <c r="M574" s="228">
        <v>0</v>
      </c>
      <c r="N574" s="228"/>
      <c r="O574" s="228"/>
      <c r="P574" s="228">
        <v>70000</v>
      </c>
      <c r="Q574" s="228">
        <v>0</v>
      </c>
    </row>
    <row r="575" spans="1:17">
      <c r="A575"/>
      <c r="B575"/>
      <c r="C575" s="165">
        <v>6700</v>
      </c>
      <c r="D575" s="228"/>
      <c r="E575" s="228"/>
      <c r="F575" s="228">
        <v>0</v>
      </c>
      <c r="G575" s="228">
        <v>0</v>
      </c>
      <c r="H575" s="228"/>
      <c r="I575" s="228"/>
      <c r="J575" s="228"/>
      <c r="K575" s="228"/>
      <c r="L575" s="228"/>
      <c r="M575" s="228"/>
      <c r="N575" s="228"/>
      <c r="O575" s="228"/>
      <c r="P575" s="228">
        <v>0</v>
      </c>
      <c r="Q575" s="228">
        <v>0</v>
      </c>
    </row>
    <row r="576" spans="1:17">
      <c r="A576"/>
      <c r="B576"/>
      <c r="C576" s="165">
        <v>6900</v>
      </c>
      <c r="D576" s="228"/>
      <c r="E576" s="228"/>
      <c r="F576" s="228">
        <v>0</v>
      </c>
      <c r="G576" s="228">
        <v>0</v>
      </c>
      <c r="H576" s="228"/>
      <c r="I576" s="228"/>
      <c r="J576" s="228"/>
      <c r="K576" s="228"/>
      <c r="L576" s="228"/>
      <c r="M576" s="228"/>
      <c r="N576" s="228"/>
      <c r="O576" s="228"/>
      <c r="P576" s="228">
        <v>0</v>
      </c>
      <c r="Q576" s="228">
        <v>0</v>
      </c>
    </row>
    <row r="577" spans="1:17">
      <c r="A577"/>
      <c r="B577"/>
      <c r="C577" s="165">
        <v>7000</v>
      </c>
      <c r="D577" s="228"/>
      <c r="E577" s="228"/>
      <c r="F577" s="228"/>
      <c r="G577" s="228"/>
      <c r="H577" s="228">
        <v>50000</v>
      </c>
      <c r="I577" s="228">
        <v>350000000</v>
      </c>
      <c r="J577" s="228"/>
      <c r="K577" s="228"/>
      <c r="L577" s="228"/>
      <c r="M577" s="228"/>
      <c r="N577" s="228"/>
      <c r="O577" s="228"/>
      <c r="P577" s="228">
        <v>50000</v>
      </c>
      <c r="Q577" s="228">
        <v>350000000</v>
      </c>
    </row>
    <row r="578" spans="1:17">
      <c r="A578"/>
      <c r="B578"/>
      <c r="C578" s="165">
        <v>7200</v>
      </c>
      <c r="D578" s="228"/>
      <c r="E578" s="228"/>
      <c r="F578" s="228"/>
      <c r="G578" s="228"/>
      <c r="H578" s="228"/>
      <c r="I578" s="228"/>
      <c r="J578" s="228"/>
      <c r="K578" s="228"/>
      <c r="L578" s="228">
        <v>30000</v>
      </c>
      <c r="M578" s="228">
        <v>216000000</v>
      </c>
      <c r="N578" s="228"/>
      <c r="O578" s="228"/>
      <c r="P578" s="228">
        <v>30000</v>
      </c>
      <c r="Q578" s="228">
        <v>216000000</v>
      </c>
    </row>
    <row r="579" spans="1:17">
      <c r="A579" s="165" t="s">
        <v>2105</v>
      </c>
      <c r="B579" s="165" t="s">
        <v>120</v>
      </c>
      <c r="C579" s="165">
        <v>10300</v>
      </c>
      <c r="D579" s="228"/>
      <c r="E579" s="228"/>
      <c r="F579" s="228"/>
      <c r="G579" s="228"/>
      <c r="H579" s="228"/>
      <c r="I579" s="228"/>
      <c r="J579" s="228"/>
      <c r="K579" s="228"/>
      <c r="L579" s="228">
        <v>2100</v>
      </c>
      <c r="M579" s="228">
        <v>21630000</v>
      </c>
      <c r="N579" s="228"/>
      <c r="O579" s="228"/>
      <c r="P579" s="228">
        <v>2100</v>
      </c>
      <c r="Q579" s="228">
        <v>21630000</v>
      </c>
    </row>
    <row r="580" spans="1:17">
      <c r="A580"/>
      <c r="B580" s="165" t="s">
        <v>1098</v>
      </c>
      <c r="C580" s="165">
        <v>10300</v>
      </c>
      <c r="D580" s="228"/>
      <c r="E580" s="228"/>
      <c r="F580" s="228"/>
      <c r="G580" s="228"/>
      <c r="H580" s="228"/>
      <c r="I580" s="228"/>
      <c r="J580" s="228"/>
      <c r="K580" s="228"/>
      <c r="L580" s="228">
        <v>2100</v>
      </c>
      <c r="M580" s="228">
        <v>21630000</v>
      </c>
      <c r="N580" s="228"/>
      <c r="O580" s="228"/>
      <c r="P580" s="228">
        <v>2100</v>
      </c>
      <c r="Q580" s="228">
        <v>21630000</v>
      </c>
    </row>
    <row r="581" spans="1:17">
      <c r="A581"/>
      <c r="B581" s="165" t="s">
        <v>130</v>
      </c>
      <c r="C581" s="165">
        <v>10700</v>
      </c>
      <c r="D581" s="228"/>
      <c r="E581" s="228"/>
      <c r="F581" s="228"/>
      <c r="G581" s="228"/>
      <c r="H581" s="228"/>
      <c r="I581" s="228"/>
      <c r="J581" s="228"/>
      <c r="K581" s="228"/>
      <c r="L581" s="228">
        <v>5100</v>
      </c>
      <c r="M581" s="228">
        <v>54570000</v>
      </c>
      <c r="N581" s="228"/>
      <c r="O581" s="228"/>
      <c r="P581" s="228">
        <v>5100</v>
      </c>
      <c r="Q581" s="228">
        <v>54570000</v>
      </c>
    </row>
    <row r="582" spans="1:17">
      <c r="A582"/>
      <c r="B582" s="165" t="s">
        <v>1009</v>
      </c>
      <c r="C582" s="165">
        <v>9000</v>
      </c>
      <c r="D582" s="228"/>
      <c r="E582" s="228"/>
      <c r="F582" s="228"/>
      <c r="G582" s="228"/>
      <c r="H582" s="228"/>
      <c r="I582" s="228"/>
      <c r="J582" s="228"/>
      <c r="K582" s="228"/>
      <c r="L582" s="228">
        <v>40050</v>
      </c>
      <c r="M582" s="228">
        <v>360450000</v>
      </c>
      <c r="N582" s="228"/>
      <c r="O582" s="228"/>
      <c r="P582" s="228">
        <v>40050</v>
      </c>
      <c r="Q582" s="228">
        <v>360450000</v>
      </c>
    </row>
    <row r="583" spans="1:17">
      <c r="A583"/>
      <c r="B583"/>
      <c r="C583" s="165">
        <v>9100</v>
      </c>
      <c r="D583" s="228"/>
      <c r="E583" s="228"/>
      <c r="F583" s="228">
        <v>0</v>
      </c>
      <c r="G583" s="228">
        <v>0</v>
      </c>
      <c r="H583" s="228"/>
      <c r="I583" s="228"/>
      <c r="J583" s="228"/>
      <c r="K583" s="228"/>
      <c r="L583" s="228"/>
      <c r="M583" s="228"/>
      <c r="N583" s="228"/>
      <c r="O583" s="228"/>
      <c r="P583" s="228">
        <v>0</v>
      </c>
      <c r="Q583" s="228">
        <v>0</v>
      </c>
    </row>
    <row r="584" spans="1:17">
      <c r="A584"/>
      <c r="B584"/>
      <c r="C584" s="165">
        <v>9200</v>
      </c>
      <c r="D584" s="228"/>
      <c r="E584" s="228"/>
      <c r="F584" s="228"/>
      <c r="G584" s="228"/>
      <c r="H584" s="228">
        <v>20100</v>
      </c>
      <c r="I584" s="228">
        <v>184920000</v>
      </c>
      <c r="J584" s="228"/>
      <c r="K584" s="228"/>
      <c r="L584" s="228"/>
      <c r="M584" s="228"/>
      <c r="N584" s="228"/>
      <c r="O584" s="228"/>
      <c r="P584" s="228">
        <v>20100</v>
      </c>
      <c r="Q584" s="228">
        <v>184920000</v>
      </c>
    </row>
    <row r="585" spans="1:17">
      <c r="A585"/>
      <c r="B585"/>
      <c r="C585" s="165">
        <v>9700</v>
      </c>
      <c r="D585" s="228"/>
      <c r="E585" s="228"/>
      <c r="F585" s="228"/>
      <c r="G585" s="228"/>
      <c r="H585" s="228"/>
      <c r="I585" s="228"/>
      <c r="J585" s="228"/>
      <c r="K585" s="228"/>
      <c r="L585" s="228">
        <v>10050</v>
      </c>
      <c r="M585" s="228">
        <v>97485000</v>
      </c>
      <c r="N585" s="228"/>
      <c r="O585" s="228"/>
      <c r="P585" s="228">
        <v>10050</v>
      </c>
      <c r="Q585" s="228">
        <v>97485000</v>
      </c>
    </row>
    <row r="586" spans="1:17">
      <c r="A586" s="165" t="s">
        <v>2016</v>
      </c>
      <c r="B586" s="165" t="s">
        <v>289</v>
      </c>
      <c r="C586" s="165">
        <v>13500</v>
      </c>
      <c r="D586" s="228"/>
      <c r="E586" s="228"/>
      <c r="F586" s="228"/>
      <c r="G586" s="228"/>
      <c r="H586" s="228"/>
      <c r="I586" s="228"/>
      <c r="J586" s="228"/>
      <c r="K586" s="228"/>
      <c r="L586" s="228">
        <v>1250</v>
      </c>
      <c r="M586" s="228">
        <v>16875000</v>
      </c>
      <c r="N586" s="228"/>
      <c r="O586" s="228"/>
      <c r="P586" s="228">
        <v>1250</v>
      </c>
      <c r="Q586" s="228">
        <v>16875000</v>
      </c>
    </row>
    <row r="587" spans="1:17">
      <c r="A587"/>
      <c r="B587" s="165" t="s">
        <v>473</v>
      </c>
      <c r="C587" s="165">
        <v>13500</v>
      </c>
      <c r="D587" s="228"/>
      <c r="E587" s="228"/>
      <c r="F587" s="228"/>
      <c r="G587" s="228"/>
      <c r="H587" s="228"/>
      <c r="I587" s="228"/>
      <c r="J587" s="228"/>
      <c r="K587" s="228"/>
      <c r="L587" s="228">
        <v>4000</v>
      </c>
      <c r="M587" s="228">
        <v>54000000</v>
      </c>
      <c r="N587" s="228"/>
      <c r="O587" s="228"/>
      <c r="P587" s="228">
        <v>4000</v>
      </c>
      <c r="Q587" s="228">
        <v>54000000</v>
      </c>
    </row>
    <row r="588" spans="1:17">
      <c r="A588"/>
      <c r="B588" s="165" t="s">
        <v>243</v>
      </c>
      <c r="C588" s="165">
        <v>13500</v>
      </c>
      <c r="D588" s="228"/>
      <c r="E588" s="228"/>
      <c r="F588" s="228"/>
      <c r="G588" s="228"/>
      <c r="H588" s="228"/>
      <c r="I588" s="228"/>
      <c r="J588" s="228"/>
      <c r="K588" s="228"/>
      <c r="L588" s="228">
        <v>10000</v>
      </c>
      <c r="M588" s="228">
        <v>135000000</v>
      </c>
      <c r="N588" s="228"/>
      <c r="O588" s="228"/>
      <c r="P588" s="228">
        <v>10000</v>
      </c>
      <c r="Q588" s="228">
        <v>135000000</v>
      </c>
    </row>
    <row r="589" spans="1:17">
      <c r="A589"/>
      <c r="B589" s="165" t="s">
        <v>270</v>
      </c>
      <c r="C589" s="165">
        <v>13500</v>
      </c>
      <c r="D589" s="228"/>
      <c r="E589" s="228"/>
      <c r="F589" s="228"/>
      <c r="G589" s="228"/>
      <c r="H589" s="228"/>
      <c r="I589" s="228"/>
      <c r="J589" s="228"/>
      <c r="K589" s="228"/>
      <c r="L589" s="228">
        <v>4000</v>
      </c>
      <c r="M589" s="228">
        <v>54000000</v>
      </c>
      <c r="N589" s="228"/>
      <c r="O589" s="228"/>
      <c r="P589" s="228">
        <v>4000</v>
      </c>
      <c r="Q589" s="228">
        <v>54000000</v>
      </c>
    </row>
    <row r="590" spans="1:17">
      <c r="A590"/>
      <c r="B590" s="165" t="s">
        <v>1429</v>
      </c>
      <c r="C590" s="165">
        <v>13500</v>
      </c>
      <c r="D590" s="228"/>
      <c r="E590" s="228"/>
      <c r="F590" s="228"/>
      <c r="G590" s="228"/>
      <c r="H590" s="228"/>
      <c r="I590" s="228"/>
      <c r="J590" s="228"/>
      <c r="K590" s="228"/>
      <c r="L590" s="228">
        <v>3000</v>
      </c>
      <c r="M590" s="228">
        <v>40500000</v>
      </c>
      <c r="N590" s="228"/>
      <c r="O590" s="228"/>
      <c r="P590" s="228">
        <v>3000</v>
      </c>
      <c r="Q590" s="228">
        <v>40500000</v>
      </c>
    </row>
    <row r="591" spans="1:17">
      <c r="A591"/>
      <c r="B591" s="165" t="s">
        <v>285</v>
      </c>
      <c r="C591" s="165">
        <v>13500</v>
      </c>
      <c r="D591" s="228"/>
      <c r="E591" s="228"/>
      <c r="F591" s="228"/>
      <c r="G591" s="228"/>
      <c r="H591" s="228"/>
      <c r="I591" s="228"/>
      <c r="J591" s="228"/>
      <c r="K591" s="228"/>
      <c r="L591" s="228">
        <v>10000</v>
      </c>
      <c r="M591" s="228">
        <v>135000000</v>
      </c>
      <c r="N591" s="228"/>
      <c r="O591" s="228"/>
      <c r="P591" s="228">
        <v>10000</v>
      </c>
      <c r="Q591" s="228">
        <v>135000000</v>
      </c>
    </row>
    <row r="592" spans="1:17">
      <c r="A592"/>
      <c r="B592" s="165" t="s">
        <v>253</v>
      </c>
      <c r="C592" s="165">
        <v>13500</v>
      </c>
      <c r="D592" s="228"/>
      <c r="E592" s="228"/>
      <c r="F592" s="228"/>
      <c r="G592" s="228"/>
      <c r="H592" s="228"/>
      <c r="I592" s="228"/>
      <c r="J592" s="228"/>
      <c r="K592" s="228"/>
      <c r="L592" s="228">
        <v>5000</v>
      </c>
      <c r="M592" s="228">
        <v>67500000</v>
      </c>
      <c r="N592" s="228"/>
      <c r="O592" s="228"/>
      <c r="P592" s="228">
        <v>5000</v>
      </c>
      <c r="Q592" s="228">
        <v>67500000</v>
      </c>
    </row>
    <row r="593" spans="1:17">
      <c r="A593"/>
      <c r="B593" s="165" t="s">
        <v>95</v>
      </c>
      <c r="C593" s="165">
        <v>14600</v>
      </c>
      <c r="D593" s="228"/>
      <c r="E593" s="228"/>
      <c r="F593" s="228"/>
      <c r="G593" s="228"/>
      <c r="H593" s="228"/>
      <c r="I593" s="228"/>
      <c r="J593" s="228"/>
      <c r="K593" s="228"/>
      <c r="L593" s="228">
        <v>2000</v>
      </c>
      <c r="M593" s="228">
        <v>29200000</v>
      </c>
      <c r="N593" s="228"/>
      <c r="O593" s="228"/>
      <c r="P593" s="228">
        <v>2000</v>
      </c>
      <c r="Q593" s="228">
        <v>29200000</v>
      </c>
    </row>
    <row r="594" spans="1:17">
      <c r="A594"/>
      <c r="B594" s="165" t="s">
        <v>120</v>
      </c>
      <c r="C594" s="165">
        <v>13500</v>
      </c>
      <c r="D594" s="228"/>
      <c r="E594" s="228"/>
      <c r="F594" s="228"/>
      <c r="G594" s="228"/>
      <c r="H594" s="228"/>
      <c r="I594" s="228"/>
      <c r="J594" s="228"/>
      <c r="K594" s="228"/>
      <c r="L594" s="228">
        <v>1000</v>
      </c>
      <c r="M594" s="228">
        <v>13500000</v>
      </c>
      <c r="N594" s="228"/>
      <c r="O594" s="228"/>
      <c r="P594" s="228">
        <v>1000</v>
      </c>
      <c r="Q594" s="228">
        <v>13500000</v>
      </c>
    </row>
    <row r="595" spans="1:17">
      <c r="A595"/>
      <c r="B595" s="165" t="s">
        <v>465</v>
      </c>
      <c r="C595" s="165">
        <v>13500</v>
      </c>
      <c r="D595" s="228"/>
      <c r="E595" s="228"/>
      <c r="F595" s="228"/>
      <c r="G595" s="228"/>
      <c r="H595" s="228"/>
      <c r="I595" s="228"/>
      <c r="J595" s="228"/>
      <c r="K595" s="228"/>
      <c r="L595" s="228">
        <v>12000</v>
      </c>
      <c r="M595" s="228">
        <v>162000000</v>
      </c>
      <c r="N595" s="228"/>
      <c r="O595" s="228"/>
      <c r="P595" s="228">
        <v>12000</v>
      </c>
      <c r="Q595" s="228">
        <v>162000000</v>
      </c>
    </row>
    <row r="596" spans="1:17">
      <c r="A596"/>
      <c r="B596" s="165" t="s">
        <v>130</v>
      </c>
      <c r="C596" s="165">
        <v>13500</v>
      </c>
      <c r="D596" s="228"/>
      <c r="E596" s="228"/>
      <c r="F596" s="228"/>
      <c r="G596" s="228"/>
      <c r="H596" s="228"/>
      <c r="I596" s="228"/>
      <c r="J596" s="228"/>
      <c r="K596" s="228"/>
      <c r="L596" s="228">
        <v>10000</v>
      </c>
      <c r="M596" s="228">
        <v>135000000</v>
      </c>
      <c r="N596" s="228"/>
      <c r="O596" s="228"/>
      <c r="P596" s="228">
        <v>10000</v>
      </c>
      <c r="Q596" s="228">
        <v>135000000</v>
      </c>
    </row>
    <row r="597" spans="1:17">
      <c r="A597"/>
      <c r="B597" s="165" t="s">
        <v>1589</v>
      </c>
      <c r="C597" s="165">
        <v>13600</v>
      </c>
      <c r="D597" s="228"/>
      <c r="E597" s="228"/>
      <c r="F597" s="228"/>
      <c r="G597" s="228"/>
      <c r="H597" s="228"/>
      <c r="I597" s="228"/>
      <c r="J597" s="228"/>
      <c r="K597" s="228"/>
      <c r="L597" s="228">
        <v>6000</v>
      </c>
      <c r="M597" s="228">
        <v>81600000</v>
      </c>
      <c r="N597" s="228"/>
      <c r="O597" s="228"/>
      <c r="P597" s="228">
        <v>6000</v>
      </c>
      <c r="Q597" s="228">
        <v>81600000</v>
      </c>
    </row>
    <row r="598" spans="1:17">
      <c r="A598"/>
      <c r="B598" s="165" t="s">
        <v>1188</v>
      </c>
      <c r="C598" s="165">
        <v>13600</v>
      </c>
      <c r="D598" s="228"/>
      <c r="E598" s="228"/>
      <c r="F598" s="228"/>
      <c r="G598" s="228"/>
      <c r="H598" s="228"/>
      <c r="I598" s="228"/>
      <c r="J598" s="228"/>
      <c r="K598" s="228"/>
      <c r="L598" s="228">
        <v>8000</v>
      </c>
      <c r="M598" s="228">
        <v>108800000</v>
      </c>
      <c r="N598" s="228"/>
      <c r="O598" s="228"/>
      <c r="P598" s="228">
        <v>8000</v>
      </c>
      <c r="Q598" s="228">
        <v>108800000</v>
      </c>
    </row>
    <row r="599" spans="1:17">
      <c r="A599"/>
      <c r="B599" s="165" t="s">
        <v>1163</v>
      </c>
      <c r="C599" s="165">
        <v>13500</v>
      </c>
      <c r="D599" s="228"/>
      <c r="E599" s="228"/>
      <c r="F599" s="228"/>
      <c r="G599" s="228"/>
      <c r="H599" s="228"/>
      <c r="I599" s="228"/>
      <c r="J599" s="228"/>
      <c r="K599" s="228"/>
      <c r="L599" s="228">
        <v>40000</v>
      </c>
      <c r="M599" s="228">
        <v>540000000</v>
      </c>
      <c r="N599" s="228"/>
      <c r="O599" s="228"/>
      <c r="P599" s="228">
        <v>40000</v>
      </c>
      <c r="Q599" s="228">
        <v>540000000</v>
      </c>
    </row>
    <row r="600" spans="1:17">
      <c r="A600"/>
      <c r="B600" s="165" t="s">
        <v>1026</v>
      </c>
      <c r="C600" s="165">
        <v>13500</v>
      </c>
      <c r="D600" s="228"/>
      <c r="E600" s="228"/>
      <c r="F600" s="228"/>
      <c r="G600" s="228"/>
      <c r="H600" s="228"/>
      <c r="I600" s="228"/>
      <c r="J600" s="228"/>
      <c r="K600" s="228"/>
      <c r="L600" s="228">
        <v>5000</v>
      </c>
      <c r="M600" s="228">
        <v>67500000</v>
      </c>
      <c r="N600" s="228"/>
      <c r="O600" s="228"/>
      <c r="P600" s="228">
        <v>5000</v>
      </c>
      <c r="Q600" s="228">
        <v>67500000</v>
      </c>
    </row>
    <row r="601" spans="1:17">
      <c r="A601"/>
      <c r="B601" s="165" t="s">
        <v>1594</v>
      </c>
      <c r="C601" s="165">
        <v>13600</v>
      </c>
      <c r="D601" s="228"/>
      <c r="E601" s="228"/>
      <c r="F601" s="228"/>
      <c r="G601" s="228"/>
      <c r="H601" s="228"/>
      <c r="I601" s="228"/>
      <c r="J601" s="228"/>
      <c r="K601" s="228"/>
      <c r="L601" s="228">
        <v>5000</v>
      </c>
      <c r="M601" s="228">
        <v>68000000</v>
      </c>
      <c r="N601" s="228"/>
      <c r="O601" s="228"/>
      <c r="P601" s="228">
        <v>5000</v>
      </c>
      <c r="Q601" s="228">
        <v>68000000</v>
      </c>
    </row>
    <row r="602" spans="1:17">
      <c r="A602"/>
      <c r="B602" s="165" t="s">
        <v>1354</v>
      </c>
      <c r="C602" s="165">
        <v>13600</v>
      </c>
      <c r="D602" s="228"/>
      <c r="E602" s="228"/>
      <c r="F602" s="228"/>
      <c r="G602" s="228"/>
      <c r="H602" s="228"/>
      <c r="I602" s="228"/>
      <c r="J602" s="228"/>
      <c r="K602" s="228"/>
      <c r="L602" s="228">
        <v>15000</v>
      </c>
      <c r="M602" s="228">
        <v>204000000</v>
      </c>
      <c r="N602" s="228"/>
      <c r="O602" s="228"/>
      <c r="P602" s="228">
        <v>15000</v>
      </c>
      <c r="Q602" s="228">
        <v>204000000</v>
      </c>
    </row>
    <row r="603" spans="1:17">
      <c r="A603"/>
      <c r="B603" s="165" t="s">
        <v>810</v>
      </c>
      <c r="C603" s="165">
        <v>13500</v>
      </c>
      <c r="D603" s="228"/>
      <c r="E603" s="228"/>
      <c r="F603" s="228"/>
      <c r="G603" s="228"/>
      <c r="H603" s="228"/>
      <c r="I603" s="228"/>
      <c r="J603" s="228"/>
      <c r="K603" s="228"/>
      <c r="L603" s="228">
        <v>30000</v>
      </c>
      <c r="M603" s="228">
        <v>405000000</v>
      </c>
      <c r="N603" s="228"/>
      <c r="O603" s="228"/>
      <c r="P603" s="228">
        <v>30000</v>
      </c>
      <c r="Q603" s="228">
        <v>405000000</v>
      </c>
    </row>
    <row r="604" spans="1:17">
      <c r="A604"/>
      <c r="B604" s="165" t="s">
        <v>1431</v>
      </c>
      <c r="C604" s="165">
        <v>15800</v>
      </c>
      <c r="D604" s="228"/>
      <c r="E604" s="228"/>
      <c r="F604" s="228"/>
      <c r="G604" s="228"/>
      <c r="H604" s="228"/>
      <c r="I604" s="228"/>
      <c r="J604" s="228"/>
      <c r="K604" s="228"/>
      <c r="L604" s="228">
        <v>3000</v>
      </c>
      <c r="M604" s="228">
        <v>47400000</v>
      </c>
      <c r="N604" s="228"/>
      <c r="O604" s="228"/>
      <c r="P604" s="228">
        <v>3000</v>
      </c>
      <c r="Q604" s="228">
        <v>47400000</v>
      </c>
    </row>
    <row r="605" spans="1:17">
      <c r="A605"/>
      <c r="B605" s="165" t="s">
        <v>987</v>
      </c>
      <c r="C605" s="165">
        <v>13600</v>
      </c>
      <c r="D605" s="228"/>
      <c r="E605" s="228"/>
      <c r="F605" s="228"/>
      <c r="G605" s="228"/>
      <c r="H605" s="228"/>
      <c r="I605" s="228"/>
      <c r="J605" s="228"/>
      <c r="K605" s="228"/>
      <c r="L605" s="228">
        <v>2375</v>
      </c>
      <c r="M605" s="228">
        <v>32300000</v>
      </c>
      <c r="N605" s="228"/>
      <c r="O605" s="228"/>
      <c r="P605" s="228">
        <v>2375</v>
      </c>
      <c r="Q605" s="228">
        <v>32300000</v>
      </c>
    </row>
    <row r="606" spans="1:17">
      <c r="A606"/>
      <c r="B606" s="165" t="s">
        <v>103</v>
      </c>
      <c r="C606" s="165">
        <v>13500</v>
      </c>
      <c r="D606" s="228"/>
      <c r="E606" s="228"/>
      <c r="F606" s="228"/>
      <c r="G606" s="228"/>
      <c r="H606" s="228"/>
      <c r="I606" s="228"/>
      <c r="J606" s="228"/>
      <c r="K606" s="228"/>
      <c r="L606" s="228">
        <v>40000</v>
      </c>
      <c r="M606" s="228">
        <v>540000000</v>
      </c>
      <c r="N606" s="228"/>
      <c r="O606" s="228"/>
      <c r="P606" s="228">
        <v>40000</v>
      </c>
      <c r="Q606" s="228">
        <v>540000000</v>
      </c>
    </row>
    <row r="607" spans="1:17">
      <c r="A607" s="165" t="s">
        <v>2106</v>
      </c>
      <c r="B607" s="165" t="s">
        <v>1279</v>
      </c>
      <c r="C607" s="165">
        <v>15200</v>
      </c>
      <c r="D607" s="228"/>
      <c r="E607" s="228"/>
      <c r="F607" s="228"/>
      <c r="G607" s="228"/>
      <c r="H607" s="228"/>
      <c r="I607" s="228"/>
      <c r="J607" s="228"/>
      <c r="K607" s="228"/>
      <c r="L607" s="228">
        <v>11000</v>
      </c>
      <c r="M607" s="228">
        <v>167200000</v>
      </c>
      <c r="N607" s="228"/>
      <c r="O607" s="228"/>
      <c r="P607" s="228">
        <v>11000</v>
      </c>
      <c r="Q607" s="228">
        <v>167200000</v>
      </c>
    </row>
    <row r="608" spans="1:17">
      <c r="A608"/>
      <c r="B608" s="165" t="s">
        <v>274</v>
      </c>
      <c r="C608" s="165">
        <v>15200</v>
      </c>
      <c r="D608" s="228"/>
      <c r="E608" s="228"/>
      <c r="F608" s="228"/>
      <c r="G608" s="228"/>
      <c r="H608" s="228"/>
      <c r="I608" s="228"/>
      <c r="J608" s="228"/>
      <c r="K608" s="228"/>
      <c r="L608" s="228">
        <v>5000</v>
      </c>
      <c r="M608" s="228">
        <v>76000000</v>
      </c>
      <c r="N608" s="228"/>
      <c r="O608" s="228"/>
      <c r="P608" s="228">
        <v>5000</v>
      </c>
      <c r="Q608" s="228">
        <v>76000000</v>
      </c>
    </row>
    <row r="609" spans="1:17">
      <c r="A609"/>
      <c r="B609" s="165" t="s">
        <v>270</v>
      </c>
      <c r="C609" s="165">
        <v>15200</v>
      </c>
      <c r="D609" s="228"/>
      <c r="E609" s="228"/>
      <c r="F609" s="228"/>
      <c r="G609" s="228"/>
      <c r="H609" s="228"/>
      <c r="I609" s="228"/>
      <c r="J609" s="228"/>
      <c r="K609" s="228"/>
      <c r="L609" s="228">
        <v>7000</v>
      </c>
      <c r="M609" s="228">
        <v>106400000</v>
      </c>
      <c r="N609" s="228"/>
      <c r="O609" s="228"/>
      <c r="P609" s="228">
        <v>7000</v>
      </c>
      <c r="Q609" s="228">
        <v>106400000</v>
      </c>
    </row>
    <row r="610" spans="1:17">
      <c r="A610"/>
      <c r="B610" s="165" t="s">
        <v>1237</v>
      </c>
      <c r="C610" s="165">
        <v>15400</v>
      </c>
      <c r="D610" s="228"/>
      <c r="E610" s="228"/>
      <c r="F610" s="228"/>
      <c r="G610" s="228"/>
      <c r="H610" s="228"/>
      <c r="I610" s="228"/>
      <c r="J610" s="228"/>
      <c r="K610" s="228"/>
      <c r="L610" s="228">
        <v>10000</v>
      </c>
      <c r="M610" s="228">
        <v>154000000</v>
      </c>
      <c r="N610" s="228"/>
      <c r="O610" s="228"/>
      <c r="P610" s="228">
        <v>10000</v>
      </c>
      <c r="Q610" s="228">
        <v>154000000</v>
      </c>
    </row>
    <row r="611" spans="1:17">
      <c r="A611"/>
      <c r="B611" s="165" t="s">
        <v>253</v>
      </c>
      <c r="C611" s="165">
        <v>15200</v>
      </c>
      <c r="D611" s="228"/>
      <c r="E611" s="228"/>
      <c r="F611" s="228"/>
      <c r="G611" s="228"/>
      <c r="H611" s="228"/>
      <c r="I611" s="228"/>
      <c r="J611" s="228"/>
      <c r="K611" s="228"/>
      <c r="L611" s="228">
        <v>3000</v>
      </c>
      <c r="M611" s="228">
        <v>45600000</v>
      </c>
      <c r="N611" s="228"/>
      <c r="O611" s="228"/>
      <c r="P611" s="228">
        <v>3000</v>
      </c>
      <c r="Q611" s="228">
        <v>45600000</v>
      </c>
    </row>
    <row r="612" spans="1:17">
      <c r="A612"/>
      <c r="B612" s="165" t="s">
        <v>236</v>
      </c>
      <c r="C612" s="165">
        <v>15200</v>
      </c>
      <c r="D612" s="228"/>
      <c r="E612" s="228"/>
      <c r="F612" s="228"/>
      <c r="G612" s="228"/>
      <c r="H612" s="228"/>
      <c r="I612" s="228"/>
      <c r="J612" s="228"/>
      <c r="K612" s="228"/>
      <c r="L612" s="228">
        <v>10000</v>
      </c>
      <c r="M612" s="228">
        <v>152000000</v>
      </c>
      <c r="N612" s="228"/>
      <c r="O612" s="228"/>
      <c r="P612" s="228">
        <v>10000</v>
      </c>
      <c r="Q612" s="228">
        <v>152000000</v>
      </c>
    </row>
    <row r="613" spans="1:17">
      <c r="A613"/>
      <c r="B613" s="165" t="s">
        <v>177</v>
      </c>
      <c r="C613" s="165">
        <v>15200</v>
      </c>
      <c r="D613" s="228"/>
      <c r="E613" s="228"/>
      <c r="F613" s="228"/>
      <c r="G613" s="228"/>
      <c r="H613" s="228"/>
      <c r="I613" s="228"/>
      <c r="J613" s="228"/>
      <c r="K613" s="228"/>
      <c r="L613" s="228">
        <v>5000</v>
      </c>
      <c r="M613" s="228">
        <v>76000000</v>
      </c>
      <c r="N613" s="228"/>
      <c r="O613" s="228"/>
      <c r="P613" s="228">
        <v>5000</v>
      </c>
      <c r="Q613" s="228">
        <v>76000000</v>
      </c>
    </row>
    <row r="614" spans="1:17">
      <c r="A614"/>
      <c r="B614" s="165" t="s">
        <v>158</v>
      </c>
      <c r="C614" s="165">
        <v>15400</v>
      </c>
      <c r="D614" s="228">
        <v>0</v>
      </c>
      <c r="E614" s="228">
        <v>0</v>
      </c>
      <c r="F614" s="228"/>
      <c r="G614" s="228"/>
      <c r="H614" s="228"/>
      <c r="I614" s="228"/>
      <c r="J614" s="228"/>
      <c r="K614" s="228"/>
      <c r="L614" s="228"/>
      <c r="M614" s="228"/>
      <c r="N614" s="228"/>
      <c r="O614" s="228"/>
      <c r="P614" s="228">
        <v>0</v>
      </c>
      <c r="Q614" s="228">
        <v>0</v>
      </c>
    </row>
    <row r="615" spans="1:17">
      <c r="A615"/>
      <c r="B615" s="165" t="s">
        <v>1009</v>
      </c>
      <c r="C615" s="165">
        <v>15200</v>
      </c>
      <c r="D615" s="228"/>
      <c r="E615" s="228"/>
      <c r="F615" s="228"/>
      <c r="G615" s="228"/>
      <c r="H615" s="228"/>
      <c r="I615" s="228"/>
      <c r="J615" s="228"/>
      <c r="K615" s="228"/>
      <c r="L615" s="228">
        <v>10000</v>
      </c>
      <c r="M615" s="228">
        <v>152000000</v>
      </c>
      <c r="N615" s="228"/>
      <c r="O615" s="228"/>
      <c r="P615" s="228">
        <v>10000</v>
      </c>
      <c r="Q615" s="228">
        <v>152000000</v>
      </c>
    </row>
    <row r="616" spans="1:17">
      <c r="A616"/>
      <c r="B616" s="165" t="s">
        <v>842</v>
      </c>
      <c r="C616" s="165">
        <v>15400</v>
      </c>
      <c r="D616" s="228"/>
      <c r="E616" s="228"/>
      <c r="F616" s="228"/>
      <c r="G616" s="228"/>
      <c r="H616" s="228"/>
      <c r="I616" s="228"/>
      <c r="J616" s="228"/>
      <c r="K616" s="228"/>
      <c r="L616" s="228">
        <v>24300</v>
      </c>
      <c r="M616" s="228">
        <v>374220000</v>
      </c>
      <c r="N616" s="228"/>
      <c r="O616" s="228"/>
      <c r="P616" s="228">
        <v>24300</v>
      </c>
      <c r="Q616" s="228">
        <v>374220000</v>
      </c>
    </row>
    <row r="617" spans="1:17">
      <c r="A617"/>
      <c r="B617" s="165" t="s">
        <v>1026</v>
      </c>
      <c r="C617" s="165">
        <v>15200</v>
      </c>
      <c r="D617" s="228"/>
      <c r="E617" s="228"/>
      <c r="F617" s="228"/>
      <c r="G617" s="228"/>
      <c r="H617" s="228"/>
      <c r="I617" s="228"/>
      <c r="J617" s="228"/>
      <c r="K617" s="228"/>
      <c r="L617" s="228">
        <v>10000</v>
      </c>
      <c r="M617" s="228">
        <v>152000000</v>
      </c>
      <c r="N617" s="228"/>
      <c r="O617" s="228"/>
      <c r="P617" s="228">
        <v>10000</v>
      </c>
      <c r="Q617" s="228">
        <v>152000000</v>
      </c>
    </row>
    <row r="618" spans="1:17">
      <c r="A618"/>
      <c r="B618" s="165" t="s">
        <v>1431</v>
      </c>
      <c r="C618" s="165">
        <v>15400</v>
      </c>
      <c r="D618" s="228"/>
      <c r="E618" s="228"/>
      <c r="F618" s="228"/>
      <c r="G618" s="228"/>
      <c r="H618" s="228"/>
      <c r="I618" s="228"/>
      <c r="J618" s="228"/>
      <c r="K618" s="228"/>
      <c r="L618" s="228">
        <v>5000</v>
      </c>
      <c r="M618" s="228">
        <v>77000000</v>
      </c>
      <c r="N618" s="228"/>
      <c r="O618" s="228"/>
      <c r="P618" s="228">
        <v>5000</v>
      </c>
      <c r="Q618" s="228">
        <v>77000000</v>
      </c>
    </row>
    <row r="619" spans="1:17">
      <c r="A619"/>
      <c r="B619" s="165" t="s">
        <v>251</v>
      </c>
      <c r="C619" s="165">
        <v>15400</v>
      </c>
      <c r="D619" s="228"/>
      <c r="E619" s="228"/>
      <c r="F619" s="228"/>
      <c r="G619" s="228"/>
      <c r="H619" s="228"/>
      <c r="I619" s="228"/>
      <c r="J619" s="228"/>
      <c r="K619" s="228"/>
      <c r="L619" s="228">
        <v>7500</v>
      </c>
      <c r="M619" s="228">
        <v>115500000</v>
      </c>
      <c r="N619" s="228"/>
      <c r="O619" s="228"/>
      <c r="P619" s="228">
        <v>7500</v>
      </c>
      <c r="Q619" s="228">
        <v>115500000</v>
      </c>
    </row>
    <row r="620" spans="1:17">
      <c r="A620"/>
      <c r="B620" s="165" t="s">
        <v>103</v>
      </c>
      <c r="C620" s="165">
        <v>15200</v>
      </c>
      <c r="D620" s="228"/>
      <c r="E620" s="228"/>
      <c r="F620" s="228"/>
      <c r="G620" s="228"/>
      <c r="H620" s="228"/>
      <c r="I620" s="228"/>
      <c r="J620" s="228"/>
      <c r="K620" s="228"/>
      <c r="L620" s="228">
        <v>20000</v>
      </c>
      <c r="M620" s="228">
        <v>304000000</v>
      </c>
      <c r="N620" s="228"/>
      <c r="O620" s="228"/>
      <c r="P620" s="228">
        <v>20000</v>
      </c>
      <c r="Q620" s="228">
        <v>304000000</v>
      </c>
    </row>
    <row r="621" spans="1:17">
      <c r="A621"/>
      <c r="B621" s="165" t="s">
        <v>1403</v>
      </c>
      <c r="C621" s="165">
        <v>15400</v>
      </c>
      <c r="D621" s="228"/>
      <c r="E621" s="228"/>
      <c r="F621" s="228"/>
      <c r="G621" s="228"/>
      <c r="H621" s="228"/>
      <c r="I621" s="228"/>
      <c r="J621" s="228"/>
      <c r="K621" s="228"/>
      <c r="L621" s="228">
        <v>20000</v>
      </c>
      <c r="M621" s="228">
        <v>308000000</v>
      </c>
      <c r="N621" s="228"/>
      <c r="O621" s="228"/>
      <c r="P621" s="228">
        <v>20000</v>
      </c>
      <c r="Q621" s="228">
        <v>308000000</v>
      </c>
    </row>
    <row r="622" spans="1:17">
      <c r="A622"/>
      <c r="B622" s="165" t="s">
        <v>234</v>
      </c>
      <c r="C622" s="165">
        <v>15400</v>
      </c>
      <c r="D622" s="228"/>
      <c r="E622" s="228"/>
      <c r="F622" s="228"/>
      <c r="G622" s="228"/>
      <c r="H622" s="228"/>
      <c r="I622" s="228"/>
      <c r="J622" s="228"/>
      <c r="K622" s="228"/>
      <c r="L622" s="228">
        <v>5000</v>
      </c>
      <c r="M622" s="228">
        <v>77000000</v>
      </c>
      <c r="N622" s="228"/>
      <c r="O622" s="228"/>
      <c r="P622" s="228">
        <v>5000</v>
      </c>
      <c r="Q622" s="228">
        <v>77000000</v>
      </c>
    </row>
    <row r="623" spans="1:17">
      <c r="A623" s="165" t="s">
        <v>2017</v>
      </c>
      <c r="B623" s="165" t="s">
        <v>280</v>
      </c>
      <c r="C623" s="165">
        <v>16000</v>
      </c>
      <c r="D623" s="228"/>
      <c r="E623" s="228"/>
      <c r="F623" s="228"/>
      <c r="G623" s="228"/>
      <c r="H623" s="228"/>
      <c r="I623" s="228"/>
      <c r="J623" s="228"/>
      <c r="K623" s="228"/>
      <c r="L623" s="228">
        <v>5040</v>
      </c>
      <c r="M623" s="228">
        <v>80640000</v>
      </c>
      <c r="N623" s="228"/>
      <c r="O623" s="228"/>
      <c r="P623" s="228">
        <v>5040</v>
      </c>
      <c r="Q623" s="228">
        <v>80640000</v>
      </c>
    </row>
    <row r="624" spans="1:17">
      <c r="A624"/>
      <c r="B624" s="165" t="s">
        <v>1697</v>
      </c>
      <c r="C624" s="165">
        <v>16000</v>
      </c>
      <c r="D624" s="228">
        <v>0</v>
      </c>
      <c r="E624" s="228">
        <v>0</v>
      </c>
      <c r="F624" s="228"/>
      <c r="G624" s="228"/>
      <c r="H624" s="228"/>
      <c r="I624" s="228"/>
      <c r="J624" s="228"/>
      <c r="K624" s="228"/>
      <c r="L624" s="228"/>
      <c r="M624" s="228"/>
      <c r="N624" s="228"/>
      <c r="O624" s="228"/>
      <c r="P624" s="228">
        <v>0</v>
      </c>
      <c r="Q624" s="228">
        <v>0</v>
      </c>
    </row>
    <row r="625" spans="1:17">
      <c r="A625"/>
      <c r="B625" s="165" t="s">
        <v>987</v>
      </c>
      <c r="C625" s="165">
        <v>16200</v>
      </c>
      <c r="D625" s="228"/>
      <c r="E625" s="228"/>
      <c r="F625" s="228"/>
      <c r="G625" s="228"/>
      <c r="H625" s="228"/>
      <c r="I625" s="228"/>
      <c r="J625" s="228"/>
      <c r="K625" s="228"/>
      <c r="L625" s="228">
        <v>2800</v>
      </c>
      <c r="M625" s="228">
        <v>45360000</v>
      </c>
      <c r="N625" s="228"/>
      <c r="O625" s="228"/>
      <c r="P625" s="228">
        <v>2800</v>
      </c>
      <c r="Q625" s="228">
        <v>45360000</v>
      </c>
    </row>
    <row r="626" spans="1:17">
      <c r="A626"/>
      <c r="B626" s="165" t="s">
        <v>2004</v>
      </c>
      <c r="C626" s="165">
        <v>16200</v>
      </c>
      <c r="D626" s="228"/>
      <c r="E626" s="228"/>
      <c r="F626" s="228"/>
      <c r="G626" s="228"/>
      <c r="H626" s="228"/>
      <c r="I626" s="228"/>
      <c r="J626" s="228"/>
      <c r="K626" s="228"/>
      <c r="L626" s="228">
        <v>400</v>
      </c>
      <c r="M626" s="228">
        <v>6480000</v>
      </c>
      <c r="N626" s="228"/>
      <c r="O626" s="228"/>
      <c r="P626" s="228">
        <v>400</v>
      </c>
      <c r="Q626" s="228">
        <v>6480000</v>
      </c>
    </row>
    <row r="627" spans="1:17">
      <c r="A627" s="165" t="s">
        <v>2107</v>
      </c>
      <c r="B627" s="165" t="s">
        <v>391</v>
      </c>
      <c r="C627" s="165">
        <v>16000</v>
      </c>
      <c r="D627" s="228"/>
      <c r="E627" s="228"/>
      <c r="F627" s="228"/>
      <c r="G627" s="228"/>
      <c r="H627" s="228"/>
      <c r="I627" s="228"/>
      <c r="J627" s="228"/>
      <c r="K627" s="228"/>
      <c r="L627" s="228">
        <v>5100</v>
      </c>
      <c r="M627" s="228">
        <v>81600000</v>
      </c>
      <c r="N627" s="228"/>
      <c r="O627" s="228"/>
      <c r="P627" s="228">
        <v>5100</v>
      </c>
      <c r="Q627" s="228">
        <v>81600000</v>
      </c>
    </row>
    <row r="628" spans="1:17">
      <c r="A628"/>
      <c r="B628" s="165" t="s">
        <v>253</v>
      </c>
      <c r="C628" s="165">
        <v>16000</v>
      </c>
      <c r="D628" s="228"/>
      <c r="E628" s="228"/>
      <c r="F628" s="228"/>
      <c r="G628" s="228"/>
      <c r="H628" s="228"/>
      <c r="I628" s="228"/>
      <c r="J628" s="228"/>
      <c r="K628" s="228"/>
      <c r="L628" s="228">
        <v>4050</v>
      </c>
      <c r="M628" s="228">
        <v>64800000</v>
      </c>
      <c r="N628" s="228"/>
      <c r="O628" s="228"/>
      <c r="P628" s="228">
        <v>4050</v>
      </c>
      <c r="Q628" s="228">
        <v>64800000</v>
      </c>
    </row>
    <row r="629" spans="1:17">
      <c r="A629"/>
      <c r="B629" s="165" t="s">
        <v>1345</v>
      </c>
      <c r="C629" s="165">
        <v>16000</v>
      </c>
      <c r="D629" s="228"/>
      <c r="E629" s="228"/>
      <c r="F629" s="228"/>
      <c r="G629" s="228"/>
      <c r="H629" s="228"/>
      <c r="I629" s="228"/>
      <c r="J629" s="228"/>
      <c r="K629" s="228"/>
      <c r="L629" s="228">
        <v>0</v>
      </c>
      <c r="M629" s="228">
        <v>0</v>
      </c>
      <c r="N629" s="228"/>
      <c r="O629" s="228"/>
      <c r="P629" s="228">
        <v>0</v>
      </c>
      <c r="Q629" s="228">
        <v>0</v>
      </c>
    </row>
    <row r="630" spans="1:17">
      <c r="A630"/>
      <c r="B630" s="165" t="s">
        <v>158</v>
      </c>
      <c r="C630" s="165">
        <v>16000</v>
      </c>
      <c r="D630" s="228"/>
      <c r="E630" s="228"/>
      <c r="F630" s="228"/>
      <c r="G630" s="228"/>
      <c r="H630" s="228"/>
      <c r="I630" s="228"/>
      <c r="J630" s="228"/>
      <c r="K630" s="228"/>
      <c r="L630" s="228">
        <v>12000</v>
      </c>
      <c r="M630" s="228">
        <v>192000000</v>
      </c>
      <c r="N630" s="228"/>
      <c r="O630" s="228"/>
      <c r="P630" s="228">
        <v>12000</v>
      </c>
      <c r="Q630" s="228">
        <v>192000000</v>
      </c>
    </row>
    <row r="631" spans="1:17">
      <c r="A631"/>
      <c r="B631"/>
      <c r="C631" s="165">
        <v>16200</v>
      </c>
      <c r="D631" s="228"/>
      <c r="E631" s="228"/>
      <c r="F631" s="228"/>
      <c r="G631" s="228"/>
      <c r="H631" s="228"/>
      <c r="I631" s="228"/>
      <c r="J631" s="228"/>
      <c r="K631" s="228"/>
      <c r="L631" s="228">
        <v>7500</v>
      </c>
      <c r="M631" s="228">
        <v>121500000</v>
      </c>
      <c r="N631" s="228"/>
      <c r="O631" s="228"/>
      <c r="P631" s="228">
        <v>7500</v>
      </c>
      <c r="Q631" s="228">
        <v>121500000</v>
      </c>
    </row>
    <row r="632" spans="1:17">
      <c r="A632"/>
      <c r="B632" s="165" t="s">
        <v>842</v>
      </c>
      <c r="C632" s="165">
        <v>16200</v>
      </c>
      <c r="D632" s="228"/>
      <c r="E632" s="228"/>
      <c r="F632" s="228"/>
      <c r="G632" s="228"/>
      <c r="H632" s="228"/>
      <c r="I632" s="228"/>
      <c r="J632" s="228"/>
      <c r="K632" s="228"/>
      <c r="L632" s="228">
        <v>15635</v>
      </c>
      <c r="M632" s="228">
        <v>253287000</v>
      </c>
      <c r="N632" s="228"/>
      <c r="O632" s="228"/>
      <c r="P632" s="228">
        <v>15635</v>
      </c>
      <c r="Q632" s="228">
        <v>253287000</v>
      </c>
    </row>
    <row r="633" spans="1:17">
      <c r="A633"/>
      <c r="B633" s="165" t="s">
        <v>184</v>
      </c>
      <c r="C633" s="165">
        <v>16000</v>
      </c>
      <c r="D633" s="228"/>
      <c r="E633" s="228"/>
      <c r="F633" s="228"/>
      <c r="G633" s="228"/>
      <c r="H633" s="228"/>
      <c r="I633" s="228"/>
      <c r="J633" s="228"/>
      <c r="K633" s="228"/>
      <c r="L633" s="228">
        <v>15000</v>
      </c>
      <c r="M633" s="228">
        <v>240000000</v>
      </c>
      <c r="N633" s="228"/>
      <c r="O633" s="228"/>
      <c r="P633" s="228">
        <v>15000</v>
      </c>
      <c r="Q633" s="228">
        <v>240000000</v>
      </c>
    </row>
    <row r="634" spans="1:17">
      <c r="A634"/>
      <c r="B634" s="165" t="s">
        <v>251</v>
      </c>
      <c r="C634" s="165">
        <v>16200</v>
      </c>
      <c r="D634" s="228"/>
      <c r="E634" s="228"/>
      <c r="F634" s="228"/>
      <c r="G634" s="228"/>
      <c r="H634" s="228"/>
      <c r="I634" s="228"/>
      <c r="J634" s="228"/>
      <c r="K634" s="228"/>
      <c r="L634" s="228">
        <v>7500</v>
      </c>
      <c r="M634" s="228">
        <v>121500000</v>
      </c>
      <c r="N634" s="228"/>
      <c r="O634" s="228"/>
      <c r="P634" s="228">
        <v>7500</v>
      </c>
      <c r="Q634" s="228">
        <v>121500000</v>
      </c>
    </row>
    <row r="635" spans="1:17">
      <c r="A635"/>
      <c r="B635" s="165" t="s">
        <v>1788</v>
      </c>
      <c r="C635" s="165">
        <v>16000</v>
      </c>
      <c r="D635" s="228"/>
      <c r="E635" s="228"/>
      <c r="F635" s="228"/>
      <c r="G635" s="228"/>
      <c r="H635" s="228"/>
      <c r="I635" s="228"/>
      <c r="J635" s="228"/>
      <c r="K635" s="228"/>
      <c r="L635" s="228">
        <v>2025</v>
      </c>
      <c r="M635" s="228">
        <v>32400000</v>
      </c>
      <c r="N635" s="228"/>
      <c r="O635" s="228"/>
      <c r="P635" s="228">
        <v>2025</v>
      </c>
      <c r="Q635" s="228">
        <v>32400000</v>
      </c>
    </row>
    <row r="636" spans="1:17">
      <c r="A636" s="165" t="s">
        <v>2108</v>
      </c>
      <c r="B636" s="165" t="s">
        <v>253</v>
      </c>
      <c r="C636" s="165">
        <v>6000</v>
      </c>
      <c r="D636" s="228"/>
      <c r="E636" s="228"/>
      <c r="F636" s="228">
        <v>0</v>
      </c>
      <c r="G636" s="228">
        <v>0</v>
      </c>
      <c r="H636" s="228"/>
      <c r="I636" s="228"/>
      <c r="J636" s="228"/>
      <c r="K636" s="228"/>
      <c r="L636" s="228"/>
      <c r="M636" s="228"/>
      <c r="N636" s="228"/>
      <c r="O636" s="228"/>
      <c r="P636" s="228">
        <v>0</v>
      </c>
      <c r="Q636" s="228">
        <v>0</v>
      </c>
    </row>
    <row r="637" spans="1:17">
      <c r="A637"/>
      <c r="B637" s="165" t="s">
        <v>842</v>
      </c>
      <c r="C637" s="165">
        <v>6700</v>
      </c>
      <c r="D637" s="228"/>
      <c r="E637" s="228"/>
      <c r="F637" s="228">
        <v>0</v>
      </c>
      <c r="G637" s="228">
        <v>0</v>
      </c>
      <c r="H637" s="228"/>
      <c r="I637" s="228"/>
      <c r="J637" s="228"/>
      <c r="K637" s="228"/>
      <c r="L637" s="228"/>
      <c r="M637" s="228"/>
      <c r="N637" s="228"/>
      <c r="O637" s="228"/>
      <c r="P637" s="228">
        <v>0</v>
      </c>
      <c r="Q637" s="228">
        <v>0</v>
      </c>
    </row>
    <row r="638" spans="1:17">
      <c r="A638"/>
      <c r="B638" s="165" t="s">
        <v>1026</v>
      </c>
      <c r="C638" s="165">
        <v>6000</v>
      </c>
      <c r="D638" s="228"/>
      <c r="E638" s="228"/>
      <c r="F638" s="228">
        <v>0</v>
      </c>
      <c r="G638" s="228">
        <v>0</v>
      </c>
      <c r="H638" s="228"/>
      <c r="I638" s="228"/>
      <c r="J638" s="228"/>
      <c r="K638" s="228"/>
      <c r="L638" s="228"/>
      <c r="M638" s="228"/>
      <c r="N638" s="228"/>
      <c r="O638" s="228"/>
      <c r="P638" s="228">
        <v>0</v>
      </c>
      <c r="Q638" s="228">
        <v>0</v>
      </c>
    </row>
    <row r="639" spans="1:17">
      <c r="A639"/>
      <c r="B639" s="165" t="s">
        <v>103</v>
      </c>
      <c r="C639" s="165">
        <v>6000</v>
      </c>
      <c r="D639" s="228"/>
      <c r="E639" s="228"/>
      <c r="F639" s="228">
        <v>0</v>
      </c>
      <c r="G639" s="228">
        <v>0</v>
      </c>
      <c r="H639" s="228"/>
      <c r="I639" s="228"/>
      <c r="J639" s="228"/>
      <c r="K639" s="228"/>
      <c r="L639" s="228"/>
      <c r="M639" s="228"/>
      <c r="N639" s="228"/>
      <c r="O639" s="228"/>
      <c r="P639" s="228">
        <v>0</v>
      </c>
      <c r="Q639" s="228">
        <v>0</v>
      </c>
    </row>
    <row r="640" spans="1:17">
      <c r="A640" s="165" t="s">
        <v>2109</v>
      </c>
      <c r="B640" s="165" t="s">
        <v>145</v>
      </c>
      <c r="C640" s="165">
        <v>8700</v>
      </c>
      <c r="D640" s="228"/>
      <c r="E640" s="228"/>
      <c r="F640" s="228">
        <v>0</v>
      </c>
      <c r="G640" s="228">
        <v>0</v>
      </c>
      <c r="H640" s="228"/>
      <c r="I640" s="228"/>
      <c r="J640" s="228"/>
      <c r="K640" s="228"/>
      <c r="L640" s="228"/>
      <c r="M640" s="228"/>
      <c r="N640" s="228"/>
      <c r="O640" s="228"/>
      <c r="P640" s="228">
        <v>0</v>
      </c>
      <c r="Q640" s="228">
        <v>0</v>
      </c>
    </row>
    <row r="641" spans="1:17">
      <c r="A641" s="165" t="s">
        <v>2110</v>
      </c>
      <c r="B641" s="165" t="s">
        <v>1241</v>
      </c>
      <c r="C641" s="165">
        <v>6000</v>
      </c>
      <c r="D641" s="228"/>
      <c r="E641" s="228"/>
      <c r="F641" s="228">
        <v>0</v>
      </c>
      <c r="G641" s="228">
        <v>0</v>
      </c>
      <c r="H641" s="228"/>
      <c r="I641" s="228"/>
      <c r="J641" s="228"/>
      <c r="K641" s="228"/>
      <c r="L641" s="228"/>
      <c r="M641" s="228"/>
      <c r="N641" s="228"/>
      <c r="O641" s="228"/>
      <c r="P641" s="228">
        <v>0</v>
      </c>
      <c r="Q641" s="228">
        <v>0</v>
      </c>
    </row>
    <row r="642" spans="1:17">
      <c r="A642"/>
      <c r="B642" s="165" t="s">
        <v>911</v>
      </c>
      <c r="C642" s="165">
        <v>6000</v>
      </c>
      <c r="D642" s="228"/>
      <c r="E642" s="228"/>
      <c r="F642" s="228">
        <v>0</v>
      </c>
      <c r="G642" s="228">
        <v>0</v>
      </c>
      <c r="H642" s="228"/>
      <c r="I642" s="228"/>
      <c r="J642" s="228"/>
      <c r="K642" s="228"/>
      <c r="L642" s="228"/>
      <c r="M642" s="228"/>
      <c r="N642" s="228"/>
      <c r="O642" s="228"/>
      <c r="P642" s="228">
        <v>0</v>
      </c>
      <c r="Q642" s="228">
        <v>0</v>
      </c>
    </row>
    <row r="643" spans="1:17">
      <c r="A643"/>
      <c r="B643" s="165" t="s">
        <v>25</v>
      </c>
      <c r="C643" s="165">
        <v>6000</v>
      </c>
      <c r="D643" s="228"/>
      <c r="E643" s="228"/>
      <c r="F643" s="228">
        <v>0</v>
      </c>
      <c r="G643" s="228">
        <v>0</v>
      </c>
      <c r="H643" s="228"/>
      <c r="I643" s="228"/>
      <c r="J643" s="228"/>
      <c r="K643" s="228"/>
      <c r="L643" s="228"/>
      <c r="M643" s="228"/>
      <c r="N643" s="228"/>
      <c r="O643" s="228"/>
      <c r="P643" s="228">
        <v>0</v>
      </c>
      <c r="Q643" s="228">
        <v>0</v>
      </c>
    </row>
    <row r="644" spans="1:17">
      <c r="A644"/>
      <c r="B644"/>
      <c r="C644" s="165">
        <v>6363</v>
      </c>
      <c r="D644" s="228"/>
      <c r="E644" s="228"/>
      <c r="F644" s="228"/>
      <c r="G644" s="228"/>
      <c r="H644" s="228">
        <v>7000</v>
      </c>
      <c r="I644" s="228">
        <v>44541000</v>
      </c>
      <c r="J644" s="228"/>
      <c r="K644" s="228"/>
      <c r="L644" s="228"/>
      <c r="M644" s="228"/>
      <c r="N644" s="228"/>
      <c r="O644" s="228"/>
      <c r="P644" s="228">
        <v>7000</v>
      </c>
      <c r="Q644" s="228">
        <v>44541000</v>
      </c>
    </row>
    <row r="645" spans="1:17">
      <c r="A645"/>
      <c r="B645" s="165" t="s">
        <v>1086</v>
      </c>
      <c r="C645" s="165">
        <v>6000</v>
      </c>
      <c r="D645" s="228"/>
      <c r="E645" s="228"/>
      <c r="F645" s="228">
        <v>0</v>
      </c>
      <c r="G645" s="228">
        <v>0</v>
      </c>
      <c r="H645" s="228"/>
      <c r="I645" s="228"/>
      <c r="J645" s="228"/>
      <c r="K645" s="228"/>
      <c r="L645" s="228"/>
      <c r="M645" s="228"/>
      <c r="N645" s="228"/>
      <c r="O645" s="228"/>
      <c r="P645" s="228">
        <v>0</v>
      </c>
      <c r="Q645" s="228">
        <v>0</v>
      </c>
    </row>
    <row r="646" spans="1:17">
      <c r="A646"/>
      <c r="B646" s="165" t="s">
        <v>1142</v>
      </c>
      <c r="C646" s="165">
        <v>6000</v>
      </c>
      <c r="D646" s="228"/>
      <c r="E646" s="228"/>
      <c r="F646" s="228">
        <v>0</v>
      </c>
      <c r="G646" s="228">
        <v>0</v>
      </c>
      <c r="H646" s="228"/>
      <c r="I646" s="228"/>
      <c r="J646" s="228"/>
      <c r="K646" s="228"/>
      <c r="L646" s="228"/>
      <c r="M646" s="228"/>
      <c r="N646" s="228"/>
      <c r="O646" s="228"/>
      <c r="P646" s="228">
        <v>0</v>
      </c>
      <c r="Q646" s="228">
        <v>0</v>
      </c>
    </row>
    <row r="647" spans="1:17">
      <c r="A647"/>
      <c r="B647" s="165" t="s">
        <v>1066</v>
      </c>
      <c r="C647" s="165">
        <v>6000</v>
      </c>
      <c r="D647" s="228"/>
      <c r="E647" s="228"/>
      <c r="F647" s="228">
        <v>0</v>
      </c>
      <c r="G647" s="228">
        <v>0</v>
      </c>
      <c r="H647" s="228"/>
      <c r="I647" s="228"/>
      <c r="J647" s="228"/>
      <c r="K647" s="228"/>
      <c r="L647" s="228"/>
      <c r="M647" s="228"/>
      <c r="N647" s="228"/>
      <c r="O647" s="228"/>
      <c r="P647" s="228">
        <v>0</v>
      </c>
      <c r="Q647" s="228">
        <v>0</v>
      </c>
    </row>
    <row r="648" spans="1:17">
      <c r="A648"/>
      <c r="B648" s="165" t="s">
        <v>251</v>
      </c>
      <c r="C648" s="165">
        <v>6400</v>
      </c>
      <c r="D648" s="228"/>
      <c r="E648" s="228"/>
      <c r="F648" s="228"/>
      <c r="G648" s="228"/>
      <c r="H648" s="228">
        <v>3000</v>
      </c>
      <c r="I648" s="228">
        <v>19200000</v>
      </c>
      <c r="J648" s="228"/>
      <c r="K648" s="228"/>
      <c r="L648" s="228"/>
      <c r="M648" s="228"/>
      <c r="N648" s="228"/>
      <c r="O648" s="228"/>
      <c r="P648" s="228">
        <v>3000</v>
      </c>
      <c r="Q648" s="228">
        <v>19200000</v>
      </c>
    </row>
    <row r="649" spans="1:17">
      <c r="A649" s="165" t="s">
        <v>2111</v>
      </c>
      <c r="B649" s="165" t="s">
        <v>1086</v>
      </c>
      <c r="C649" s="165">
        <v>9500</v>
      </c>
      <c r="D649" s="228"/>
      <c r="E649" s="228"/>
      <c r="F649" s="228"/>
      <c r="G649" s="228"/>
      <c r="H649" s="228"/>
      <c r="I649" s="228"/>
      <c r="J649" s="228"/>
      <c r="K649" s="228"/>
      <c r="L649" s="228">
        <v>5100</v>
      </c>
      <c r="M649" s="228">
        <v>48450000</v>
      </c>
      <c r="N649" s="228"/>
      <c r="O649" s="228"/>
      <c r="P649" s="228">
        <v>5100</v>
      </c>
      <c r="Q649" s="228">
        <v>48450000</v>
      </c>
    </row>
    <row r="650" spans="1:17">
      <c r="A650" s="165" t="s">
        <v>2112</v>
      </c>
      <c r="B650" s="165" t="s">
        <v>1086</v>
      </c>
      <c r="C650" s="165">
        <v>6500</v>
      </c>
      <c r="D650" s="228"/>
      <c r="E650" s="228"/>
      <c r="F650" s="228"/>
      <c r="G650" s="228"/>
      <c r="H650" s="228"/>
      <c r="I650" s="228"/>
      <c r="J650" s="228"/>
      <c r="K650" s="228"/>
      <c r="L650" s="228">
        <v>1500</v>
      </c>
      <c r="M650" s="228">
        <v>9750000</v>
      </c>
      <c r="N650" s="228"/>
      <c r="O650" s="228"/>
      <c r="P650" s="228">
        <v>1500</v>
      </c>
      <c r="Q650" s="228">
        <v>9750000</v>
      </c>
    </row>
    <row r="651" spans="1:17">
      <c r="A651" s="165" t="s">
        <v>2113</v>
      </c>
      <c r="B651" s="165" t="s">
        <v>911</v>
      </c>
      <c r="C651" s="165">
        <v>6200</v>
      </c>
      <c r="D651" s="228"/>
      <c r="E651" s="228"/>
      <c r="F651" s="228">
        <v>16000</v>
      </c>
      <c r="G651" s="228">
        <v>99200000</v>
      </c>
      <c r="H651" s="228"/>
      <c r="I651" s="228"/>
      <c r="J651" s="228"/>
      <c r="K651" s="228"/>
      <c r="L651" s="228"/>
      <c r="M651" s="228"/>
      <c r="N651" s="228"/>
      <c r="O651" s="228"/>
      <c r="P651" s="228">
        <v>16000</v>
      </c>
      <c r="Q651" s="228">
        <v>99200000</v>
      </c>
    </row>
    <row r="652" spans="1:17">
      <c r="A652"/>
      <c r="B652" s="165" t="s">
        <v>25</v>
      </c>
      <c r="C652" s="165">
        <v>6371</v>
      </c>
      <c r="D652" s="228"/>
      <c r="E652" s="228"/>
      <c r="F652" s="228"/>
      <c r="G652" s="228"/>
      <c r="H652" s="228"/>
      <c r="I652" s="228"/>
      <c r="J652" s="228">
        <v>1800</v>
      </c>
      <c r="K652" s="228">
        <v>11467800</v>
      </c>
      <c r="L652" s="228"/>
      <c r="M652" s="228"/>
      <c r="N652" s="228"/>
      <c r="O652" s="228"/>
      <c r="P652" s="228">
        <v>1800</v>
      </c>
      <c r="Q652" s="228">
        <v>11467800</v>
      </c>
    </row>
    <row r="653" spans="1:17">
      <c r="A653" s="165" t="s">
        <v>2114</v>
      </c>
      <c r="B653" s="165" t="s">
        <v>111</v>
      </c>
      <c r="C653" s="165">
        <v>3900</v>
      </c>
      <c r="D653" s="228"/>
      <c r="E653" s="228"/>
      <c r="F653" s="228">
        <v>0</v>
      </c>
      <c r="G653" s="228">
        <v>0</v>
      </c>
      <c r="H653" s="228"/>
      <c r="I653" s="228"/>
      <c r="J653" s="228"/>
      <c r="K653" s="228"/>
      <c r="L653" s="228"/>
      <c r="M653" s="228"/>
      <c r="N653" s="228"/>
      <c r="O653" s="228"/>
      <c r="P653" s="228">
        <v>0</v>
      </c>
      <c r="Q653" s="228">
        <v>0</v>
      </c>
    </row>
    <row r="654" spans="1:17">
      <c r="A654"/>
      <c r="B654" s="165" t="s">
        <v>1619</v>
      </c>
      <c r="C654" s="165">
        <v>4100</v>
      </c>
      <c r="D654" s="228">
        <v>0</v>
      </c>
      <c r="E654" s="228">
        <v>0</v>
      </c>
      <c r="F654" s="228"/>
      <c r="G654" s="228"/>
      <c r="H654" s="228"/>
      <c r="I654" s="228"/>
      <c r="J654" s="228"/>
      <c r="K654" s="228"/>
      <c r="L654" s="228"/>
      <c r="M654" s="228"/>
      <c r="N654" s="228"/>
      <c r="O654" s="228"/>
      <c r="P654" s="228">
        <v>0</v>
      </c>
      <c r="Q654" s="228">
        <v>0</v>
      </c>
    </row>
    <row r="655" spans="1:17">
      <c r="A655"/>
      <c r="B655" s="165" t="s">
        <v>120</v>
      </c>
      <c r="C655" s="165">
        <v>4300</v>
      </c>
      <c r="D655" s="228"/>
      <c r="E655" s="228"/>
      <c r="F655" s="228"/>
      <c r="G655" s="228"/>
      <c r="H655" s="228"/>
      <c r="I655" s="228"/>
      <c r="J655" s="228"/>
      <c r="K655" s="228"/>
      <c r="L655" s="228">
        <v>3000</v>
      </c>
      <c r="M655" s="228">
        <v>12900000</v>
      </c>
      <c r="N655" s="228"/>
      <c r="O655" s="228"/>
      <c r="P655" s="228">
        <v>3000</v>
      </c>
      <c r="Q655" s="228">
        <v>12900000</v>
      </c>
    </row>
    <row r="656" spans="1:17">
      <c r="A656"/>
      <c r="B656" s="165" t="s">
        <v>1098</v>
      </c>
      <c r="C656" s="165">
        <v>3900</v>
      </c>
      <c r="D656" s="228">
        <v>0</v>
      </c>
      <c r="E656" s="228">
        <v>0</v>
      </c>
      <c r="F656" s="228"/>
      <c r="G656" s="228"/>
      <c r="H656" s="228"/>
      <c r="I656" s="228"/>
      <c r="J656" s="228"/>
      <c r="K656" s="228"/>
      <c r="L656" s="228"/>
      <c r="M656" s="228"/>
      <c r="N656" s="228"/>
      <c r="O656" s="228"/>
      <c r="P656" s="228">
        <v>0</v>
      </c>
      <c r="Q656" s="228">
        <v>0</v>
      </c>
    </row>
    <row r="657" spans="1:17">
      <c r="A657"/>
      <c r="B657"/>
      <c r="C657" s="165">
        <v>4200</v>
      </c>
      <c r="D657" s="228"/>
      <c r="E657" s="228"/>
      <c r="F657" s="228"/>
      <c r="G657" s="228"/>
      <c r="H657" s="228"/>
      <c r="I657" s="228"/>
      <c r="J657" s="228"/>
      <c r="K657" s="228"/>
      <c r="L657" s="228">
        <v>1200</v>
      </c>
      <c r="M657" s="228">
        <v>5040000</v>
      </c>
      <c r="N657" s="228"/>
      <c r="O657" s="228"/>
      <c r="P657" s="228">
        <v>1200</v>
      </c>
      <c r="Q657" s="228">
        <v>5040000</v>
      </c>
    </row>
    <row r="658" spans="1:17">
      <c r="A658"/>
      <c r="B658" s="165" t="s">
        <v>465</v>
      </c>
      <c r="C658" s="165">
        <v>3900</v>
      </c>
      <c r="D658" s="228"/>
      <c r="E658" s="228"/>
      <c r="F658" s="228">
        <v>0</v>
      </c>
      <c r="G658" s="228">
        <v>0</v>
      </c>
      <c r="H658" s="228"/>
      <c r="I658" s="228"/>
      <c r="J658" s="228"/>
      <c r="K658" s="228"/>
      <c r="L658" s="228"/>
      <c r="M658" s="228"/>
      <c r="N658" s="228"/>
      <c r="O658" s="228"/>
      <c r="P658" s="228">
        <v>0</v>
      </c>
      <c r="Q658" s="228">
        <v>0</v>
      </c>
    </row>
    <row r="659" spans="1:17">
      <c r="A659"/>
      <c r="B659"/>
      <c r="C659" s="165">
        <v>4100</v>
      </c>
      <c r="D659" s="228">
        <v>0</v>
      </c>
      <c r="E659" s="228">
        <v>0</v>
      </c>
      <c r="F659" s="228"/>
      <c r="G659" s="228"/>
      <c r="H659" s="228"/>
      <c r="I659" s="228"/>
      <c r="J659" s="228"/>
      <c r="K659" s="228"/>
      <c r="L659" s="228"/>
      <c r="M659" s="228"/>
      <c r="N659" s="228"/>
      <c r="O659" s="228"/>
      <c r="P659" s="228">
        <v>0</v>
      </c>
      <c r="Q659" s="228">
        <v>0</v>
      </c>
    </row>
    <row r="660" spans="1:17">
      <c r="A660"/>
      <c r="B660" s="165" t="s">
        <v>130</v>
      </c>
      <c r="C660" s="165">
        <v>3900</v>
      </c>
      <c r="D660" s="228"/>
      <c r="E660" s="228"/>
      <c r="F660" s="228">
        <v>0</v>
      </c>
      <c r="G660" s="228">
        <v>0</v>
      </c>
      <c r="H660" s="228"/>
      <c r="I660" s="228"/>
      <c r="J660" s="228"/>
      <c r="K660" s="228"/>
      <c r="L660" s="228"/>
      <c r="M660" s="228"/>
      <c r="N660" s="228"/>
      <c r="O660" s="228"/>
      <c r="P660" s="228">
        <v>0</v>
      </c>
      <c r="Q660" s="228">
        <v>0</v>
      </c>
    </row>
    <row r="661" spans="1:17">
      <c r="A661"/>
      <c r="B661" s="165" t="s">
        <v>1086</v>
      </c>
      <c r="C661" s="165">
        <v>3800</v>
      </c>
      <c r="D661" s="228"/>
      <c r="E661" s="228"/>
      <c r="F661" s="228">
        <v>0</v>
      </c>
      <c r="G661" s="228">
        <v>0</v>
      </c>
      <c r="H661" s="228"/>
      <c r="I661" s="228"/>
      <c r="J661" s="228"/>
      <c r="K661" s="228"/>
      <c r="L661" s="228"/>
      <c r="M661" s="228"/>
      <c r="N661" s="228"/>
      <c r="O661" s="228"/>
      <c r="P661" s="228">
        <v>0</v>
      </c>
      <c r="Q661" s="228">
        <v>0</v>
      </c>
    </row>
    <row r="662" spans="1:17">
      <c r="A662"/>
      <c r="B662" s="165" t="s">
        <v>1370</v>
      </c>
      <c r="C662" s="165">
        <v>4000</v>
      </c>
      <c r="D662" s="228"/>
      <c r="E662" s="228"/>
      <c r="F662" s="228">
        <v>0</v>
      </c>
      <c r="G662" s="228">
        <v>0</v>
      </c>
      <c r="H662" s="228"/>
      <c r="I662" s="228"/>
      <c r="J662" s="228"/>
      <c r="K662" s="228"/>
      <c r="L662" s="228"/>
      <c r="M662" s="228"/>
      <c r="N662" s="228"/>
      <c r="O662" s="228"/>
      <c r="P662" s="228">
        <v>0</v>
      </c>
      <c r="Q662" s="228">
        <v>0</v>
      </c>
    </row>
    <row r="663" spans="1:17">
      <c r="A663"/>
      <c r="B663" s="165" t="s">
        <v>173</v>
      </c>
      <c r="C663" s="165">
        <v>3900</v>
      </c>
      <c r="D663" s="228"/>
      <c r="E663" s="228"/>
      <c r="F663" s="228">
        <v>0</v>
      </c>
      <c r="G663" s="228">
        <v>0</v>
      </c>
      <c r="H663" s="228"/>
      <c r="I663" s="228"/>
      <c r="J663" s="228"/>
      <c r="K663" s="228"/>
      <c r="L663" s="228"/>
      <c r="M663" s="228"/>
      <c r="N663" s="228"/>
      <c r="O663" s="228"/>
      <c r="P663" s="228">
        <v>0</v>
      </c>
      <c r="Q663" s="228">
        <v>0</v>
      </c>
    </row>
    <row r="664" spans="1:17">
      <c r="A664"/>
      <c r="B664"/>
      <c r="C664" s="165">
        <v>4000</v>
      </c>
      <c r="D664" s="228"/>
      <c r="E664" s="228"/>
      <c r="F664" s="228">
        <v>0</v>
      </c>
      <c r="G664" s="228">
        <v>0</v>
      </c>
      <c r="H664" s="228"/>
      <c r="I664" s="228"/>
      <c r="J664" s="228"/>
      <c r="K664" s="228"/>
      <c r="L664" s="228"/>
      <c r="M664" s="228"/>
      <c r="N664" s="228"/>
      <c r="O664" s="228"/>
      <c r="P664" s="228">
        <v>0</v>
      </c>
      <c r="Q664" s="228">
        <v>0</v>
      </c>
    </row>
    <row r="665" spans="1:17">
      <c r="A665"/>
      <c r="B665"/>
      <c r="C665" s="165">
        <v>4100</v>
      </c>
      <c r="D665" s="228"/>
      <c r="E665" s="228"/>
      <c r="F665" s="228"/>
      <c r="G665" s="228"/>
      <c r="H665" s="228"/>
      <c r="I665" s="228"/>
      <c r="J665" s="228">
        <v>600</v>
      </c>
      <c r="K665" s="228">
        <v>2460000</v>
      </c>
      <c r="L665" s="228"/>
      <c r="M665" s="228"/>
      <c r="N665" s="228"/>
      <c r="O665" s="228"/>
      <c r="P665" s="228">
        <v>600</v>
      </c>
      <c r="Q665" s="228">
        <v>2460000</v>
      </c>
    </row>
    <row r="666" spans="1:17">
      <c r="A666"/>
      <c r="B666" s="165" t="s">
        <v>1587</v>
      </c>
      <c r="C666" s="165">
        <v>4100</v>
      </c>
      <c r="D666" s="228"/>
      <c r="E666" s="228"/>
      <c r="F666" s="228"/>
      <c r="G666" s="228"/>
      <c r="H666" s="228">
        <v>10200</v>
      </c>
      <c r="I666" s="228">
        <v>41820000</v>
      </c>
      <c r="J666" s="228"/>
      <c r="K666" s="228"/>
      <c r="L666" s="228"/>
      <c r="M666" s="228"/>
      <c r="N666" s="228"/>
      <c r="O666" s="228"/>
      <c r="P666" s="228">
        <v>10200</v>
      </c>
      <c r="Q666" s="228">
        <v>41820000</v>
      </c>
    </row>
    <row r="667" spans="1:17">
      <c r="A667"/>
      <c r="B667" s="165" t="s">
        <v>156</v>
      </c>
      <c r="C667" s="165">
        <v>3800</v>
      </c>
      <c r="D667" s="228"/>
      <c r="E667" s="228"/>
      <c r="F667" s="228">
        <v>0</v>
      </c>
      <c r="G667" s="228">
        <v>0</v>
      </c>
      <c r="H667" s="228"/>
      <c r="I667" s="228"/>
      <c r="J667" s="228"/>
      <c r="K667" s="228"/>
      <c r="L667" s="228"/>
      <c r="M667" s="228"/>
      <c r="N667" s="228"/>
      <c r="O667" s="228"/>
      <c r="P667" s="228">
        <v>0</v>
      </c>
      <c r="Q667" s="228">
        <v>0</v>
      </c>
    </row>
    <row r="668" spans="1:17">
      <c r="A668"/>
      <c r="B668" s="165" t="s">
        <v>234</v>
      </c>
      <c r="C668" s="165">
        <v>3800</v>
      </c>
      <c r="D668" s="228"/>
      <c r="E668" s="228"/>
      <c r="F668" s="228">
        <v>0</v>
      </c>
      <c r="G668" s="228">
        <v>0</v>
      </c>
      <c r="H668" s="228"/>
      <c r="I668" s="228"/>
      <c r="J668" s="228"/>
      <c r="K668" s="228"/>
      <c r="L668" s="228"/>
      <c r="M668" s="228"/>
      <c r="N668" s="228"/>
      <c r="O668" s="228"/>
      <c r="P668" s="228">
        <v>0</v>
      </c>
      <c r="Q668" s="228">
        <v>0</v>
      </c>
    </row>
    <row r="669" spans="1:17">
      <c r="A669"/>
      <c r="B669"/>
      <c r="C669" s="165">
        <v>4100</v>
      </c>
      <c r="D669" s="228">
        <v>0</v>
      </c>
      <c r="E669" s="228">
        <v>0</v>
      </c>
      <c r="F669" s="228"/>
      <c r="G669" s="228"/>
      <c r="H669" s="228"/>
      <c r="I669" s="228"/>
      <c r="J669" s="228"/>
      <c r="K669" s="228"/>
      <c r="L669" s="228"/>
      <c r="M669" s="228"/>
      <c r="N669" s="228"/>
      <c r="O669" s="228"/>
      <c r="P669" s="228">
        <v>0</v>
      </c>
      <c r="Q669" s="228">
        <v>0</v>
      </c>
    </row>
    <row r="670" spans="1:17">
      <c r="A670" s="165" t="s">
        <v>2115</v>
      </c>
      <c r="B670" s="165" t="s">
        <v>274</v>
      </c>
      <c r="C670" s="165">
        <v>8000</v>
      </c>
      <c r="D670" s="228"/>
      <c r="E670" s="228"/>
      <c r="F670" s="228">
        <v>0</v>
      </c>
      <c r="G670" s="228">
        <v>0</v>
      </c>
      <c r="H670" s="228"/>
      <c r="I670" s="228"/>
      <c r="J670" s="228"/>
      <c r="K670" s="228"/>
      <c r="L670" s="228"/>
      <c r="M670" s="228"/>
      <c r="N670" s="228"/>
      <c r="O670" s="228"/>
      <c r="P670" s="228">
        <v>0</v>
      </c>
      <c r="Q670" s="228">
        <v>0</v>
      </c>
    </row>
    <row r="671" spans="1:17">
      <c r="A671"/>
      <c r="B671" s="165" t="s">
        <v>253</v>
      </c>
      <c r="C671" s="165">
        <v>8000</v>
      </c>
      <c r="D671" s="228"/>
      <c r="E671" s="228"/>
      <c r="F671" s="228">
        <v>0</v>
      </c>
      <c r="G671" s="228">
        <v>0</v>
      </c>
      <c r="H671" s="228"/>
      <c r="I671" s="228"/>
      <c r="J671" s="228"/>
      <c r="K671" s="228"/>
      <c r="L671" s="228"/>
      <c r="M671" s="228"/>
      <c r="N671" s="228"/>
      <c r="O671" s="228"/>
      <c r="P671" s="228">
        <v>0</v>
      </c>
      <c r="Q671" s="228">
        <v>0</v>
      </c>
    </row>
    <row r="672" spans="1:17">
      <c r="A672"/>
      <c r="B672" s="165" t="s">
        <v>1504</v>
      </c>
      <c r="C672" s="165">
        <v>8600</v>
      </c>
      <c r="D672" s="228"/>
      <c r="E672" s="228"/>
      <c r="F672" s="228"/>
      <c r="G672" s="228"/>
      <c r="H672" s="228">
        <v>2000</v>
      </c>
      <c r="I672" s="228">
        <v>17200000</v>
      </c>
      <c r="J672" s="228"/>
      <c r="K672" s="228"/>
      <c r="L672" s="228"/>
      <c r="M672" s="228"/>
      <c r="N672" s="228"/>
      <c r="O672" s="228"/>
      <c r="P672" s="228">
        <v>2000</v>
      </c>
      <c r="Q672" s="228">
        <v>17200000</v>
      </c>
    </row>
    <row r="673" spans="1:17">
      <c r="A673"/>
      <c r="B673"/>
      <c r="C673" s="165">
        <v>8700</v>
      </c>
      <c r="D673" s="228"/>
      <c r="E673" s="228"/>
      <c r="F673" s="228"/>
      <c r="G673" s="228"/>
      <c r="H673" s="228">
        <v>2000</v>
      </c>
      <c r="I673" s="228">
        <v>17400000</v>
      </c>
      <c r="J673" s="228"/>
      <c r="K673" s="228"/>
      <c r="L673" s="228">
        <v>1200</v>
      </c>
      <c r="M673" s="228">
        <v>10440000</v>
      </c>
      <c r="N673" s="228"/>
      <c r="O673" s="228"/>
      <c r="P673" s="228">
        <v>3200</v>
      </c>
      <c r="Q673" s="228">
        <v>27840000</v>
      </c>
    </row>
    <row r="674" spans="1:17">
      <c r="A674"/>
      <c r="B674"/>
      <c r="C674" s="165">
        <v>8800</v>
      </c>
      <c r="D674" s="228"/>
      <c r="E674" s="228"/>
      <c r="F674" s="228"/>
      <c r="G674" s="228"/>
      <c r="H674" s="228"/>
      <c r="I674" s="228"/>
      <c r="J674" s="228"/>
      <c r="K674" s="228"/>
      <c r="L674" s="228">
        <v>10000</v>
      </c>
      <c r="M674" s="228">
        <v>88000000</v>
      </c>
      <c r="N674" s="228"/>
      <c r="O674" s="228"/>
      <c r="P674" s="228">
        <v>10000</v>
      </c>
      <c r="Q674" s="228">
        <v>88000000</v>
      </c>
    </row>
    <row r="675" spans="1:17">
      <c r="A675"/>
      <c r="B675" s="165" t="s">
        <v>25</v>
      </c>
      <c r="C675" s="165">
        <v>8600</v>
      </c>
      <c r="D675" s="228">
        <v>0</v>
      </c>
      <c r="E675" s="228">
        <v>0</v>
      </c>
      <c r="F675" s="228"/>
      <c r="G675" s="228"/>
      <c r="H675" s="228"/>
      <c r="I675" s="228"/>
      <c r="J675" s="228"/>
      <c r="K675" s="228"/>
      <c r="L675" s="228"/>
      <c r="M675" s="228"/>
      <c r="N675" s="228"/>
      <c r="O675" s="228"/>
      <c r="P675" s="228">
        <v>0</v>
      </c>
      <c r="Q675" s="228">
        <v>0</v>
      </c>
    </row>
    <row r="676" spans="1:17">
      <c r="A676"/>
      <c r="B676"/>
      <c r="C676" s="165">
        <v>8700</v>
      </c>
      <c r="D676" s="228"/>
      <c r="E676" s="228"/>
      <c r="F676" s="228"/>
      <c r="G676" s="228"/>
      <c r="H676" s="228">
        <v>800</v>
      </c>
      <c r="I676" s="228">
        <v>6960000</v>
      </c>
      <c r="J676" s="228">
        <v>800</v>
      </c>
      <c r="K676" s="228">
        <v>6960000</v>
      </c>
      <c r="L676" s="228">
        <v>800</v>
      </c>
      <c r="M676" s="228">
        <v>6960000</v>
      </c>
      <c r="N676" s="228"/>
      <c r="O676" s="228"/>
      <c r="P676" s="228">
        <v>2400</v>
      </c>
      <c r="Q676" s="228">
        <v>20880000</v>
      </c>
    </row>
    <row r="677" spans="1:17">
      <c r="A677"/>
      <c r="B677"/>
      <c r="C677" s="165" t="s">
        <v>1811</v>
      </c>
      <c r="D677" s="228"/>
      <c r="E677" s="228"/>
      <c r="F677" s="228"/>
      <c r="G677" s="228"/>
      <c r="H677" s="228"/>
      <c r="I677" s="228"/>
      <c r="J677" s="228"/>
      <c r="K677" s="228"/>
      <c r="L677" s="228">
        <v>4000</v>
      </c>
      <c r="M677" s="228" t="e">
        <v>#VALUE!</v>
      </c>
      <c r="N677" s="228"/>
      <c r="O677" s="228"/>
      <c r="P677" s="228">
        <v>4000</v>
      </c>
      <c r="Q677" s="228" t="e">
        <v>#VALUE!</v>
      </c>
    </row>
    <row r="678" spans="1:17">
      <c r="A678"/>
      <c r="B678" s="165" t="s">
        <v>1245</v>
      </c>
      <c r="C678" s="165">
        <v>8000</v>
      </c>
      <c r="D678" s="228"/>
      <c r="E678" s="228"/>
      <c r="F678" s="228">
        <v>0</v>
      </c>
      <c r="G678" s="228">
        <v>0</v>
      </c>
      <c r="H678" s="228"/>
      <c r="I678" s="228"/>
      <c r="J678" s="228"/>
      <c r="K678" s="228"/>
      <c r="L678" s="228"/>
      <c r="M678" s="228"/>
      <c r="N678" s="228"/>
      <c r="O678" s="228"/>
      <c r="P678" s="228">
        <v>0</v>
      </c>
      <c r="Q678" s="228">
        <v>0</v>
      </c>
    </row>
    <row r="679" spans="1:17">
      <c r="A679"/>
      <c r="B679"/>
      <c r="C679" s="165">
        <v>8063</v>
      </c>
      <c r="D679" s="228"/>
      <c r="E679" s="228"/>
      <c r="F679" s="228">
        <v>0</v>
      </c>
      <c r="G679" s="228">
        <v>0</v>
      </c>
      <c r="H679" s="228"/>
      <c r="I679" s="228"/>
      <c r="J679" s="228"/>
      <c r="K679" s="228"/>
      <c r="L679" s="228"/>
      <c r="M679" s="228"/>
      <c r="N679" s="228"/>
      <c r="O679" s="228"/>
      <c r="P679" s="228">
        <v>0</v>
      </c>
      <c r="Q679" s="228">
        <v>0</v>
      </c>
    </row>
    <row r="680" spans="1:17">
      <c r="A680"/>
      <c r="B680"/>
      <c r="C680" s="165">
        <v>8088</v>
      </c>
      <c r="D680" s="228"/>
      <c r="E680" s="228"/>
      <c r="F680" s="228">
        <v>0</v>
      </c>
      <c r="G680" s="228">
        <v>0</v>
      </c>
      <c r="H680" s="228">
        <v>2800</v>
      </c>
      <c r="I680" s="228">
        <v>22646400</v>
      </c>
      <c r="J680" s="228"/>
      <c r="K680" s="228"/>
      <c r="L680" s="228"/>
      <c r="M680" s="228"/>
      <c r="N680" s="228"/>
      <c r="O680" s="228"/>
      <c r="P680" s="228">
        <v>2800</v>
      </c>
      <c r="Q680" s="228">
        <v>22646400</v>
      </c>
    </row>
    <row r="681" spans="1:17">
      <c r="A681"/>
      <c r="B681"/>
      <c r="C681" s="165">
        <v>8200</v>
      </c>
      <c r="D681" s="228"/>
      <c r="E681" s="228"/>
      <c r="F681" s="228"/>
      <c r="G681" s="228"/>
      <c r="H681" s="228">
        <v>4000</v>
      </c>
      <c r="I681" s="228">
        <v>32800000</v>
      </c>
      <c r="J681" s="228"/>
      <c r="K681" s="228"/>
      <c r="L681" s="228"/>
      <c r="M681" s="228"/>
      <c r="N681" s="228"/>
      <c r="O681" s="228"/>
      <c r="P681" s="228">
        <v>4000</v>
      </c>
      <c r="Q681" s="228">
        <v>32800000</v>
      </c>
    </row>
    <row r="682" spans="1:17">
      <c r="A682"/>
      <c r="B682" s="165" t="s">
        <v>264</v>
      </c>
      <c r="C682" s="165">
        <v>8600</v>
      </c>
      <c r="D682" s="228"/>
      <c r="E682" s="228"/>
      <c r="F682" s="228"/>
      <c r="G682" s="228"/>
      <c r="H682" s="228">
        <v>1200</v>
      </c>
      <c r="I682" s="228">
        <v>10320000</v>
      </c>
      <c r="J682" s="228"/>
      <c r="K682" s="228"/>
      <c r="L682" s="228"/>
      <c r="M682" s="228"/>
      <c r="N682" s="228"/>
      <c r="O682" s="228"/>
      <c r="P682" s="228">
        <v>1200</v>
      </c>
      <c r="Q682" s="228">
        <v>10320000</v>
      </c>
    </row>
    <row r="683" spans="1:17">
      <c r="A683" s="165" t="s">
        <v>2116</v>
      </c>
      <c r="B683" s="165" t="s">
        <v>1241</v>
      </c>
      <c r="C683" s="165">
        <v>3000</v>
      </c>
      <c r="D683" s="228"/>
      <c r="E683" s="228"/>
      <c r="F683" s="228">
        <v>0</v>
      </c>
      <c r="G683" s="228">
        <v>0</v>
      </c>
      <c r="H683" s="228"/>
      <c r="I683" s="228"/>
      <c r="J683" s="228"/>
      <c r="K683" s="228"/>
      <c r="L683" s="228"/>
      <c r="M683" s="228"/>
      <c r="N683" s="228"/>
      <c r="O683" s="228"/>
      <c r="P683" s="228">
        <v>0</v>
      </c>
      <c r="Q683" s="228">
        <v>0</v>
      </c>
    </row>
    <row r="684" spans="1:17">
      <c r="A684"/>
      <c r="B684" s="165" t="s">
        <v>391</v>
      </c>
      <c r="C684" s="165">
        <v>3200</v>
      </c>
      <c r="D684" s="228"/>
      <c r="E684" s="228"/>
      <c r="F684" s="228">
        <v>0</v>
      </c>
      <c r="G684" s="228">
        <v>0</v>
      </c>
      <c r="H684" s="228"/>
      <c r="I684" s="228"/>
      <c r="J684" s="228"/>
      <c r="K684" s="228"/>
      <c r="L684" s="228"/>
      <c r="M684" s="228"/>
      <c r="N684" s="228"/>
      <c r="O684" s="228"/>
      <c r="P684" s="228">
        <v>0</v>
      </c>
      <c r="Q684" s="228">
        <v>0</v>
      </c>
    </row>
    <row r="685" spans="1:17">
      <c r="A685"/>
      <c r="B685" s="165" t="s">
        <v>270</v>
      </c>
      <c r="C685" s="165">
        <v>3000</v>
      </c>
      <c r="D685" s="228">
        <v>0</v>
      </c>
      <c r="E685" s="228">
        <v>0</v>
      </c>
      <c r="F685" s="228"/>
      <c r="G685" s="228"/>
      <c r="H685" s="228"/>
      <c r="I685" s="228"/>
      <c r="J685" s="228"/>
      <c r="K685" s="228"/>
      <c r="L685" s="228"/>
      <c r="M685" s="228"/>
      <c r="N685" s="228"/>
      <c r="O685" s="228"/>
      <c r="P685" s="228">
        <v>0</v>
      </c>
      <c r="Q685" s="228">
        <v>0</v>
      </c>
    </row>
    <row r="686" spans="1:17">
      <c r="A686"/>
      <c r="B686" s="165" t="s">
        <v>1047</v>
      </c>
      <c r="C686" s="165">
        <v>3000</v>
      </c>
      <c r="D686" s="228"/>
      <c r="E686" s="228"/>
      <c r="F686" s="228">
        <v>0</v>
      </c>
      <c r="G686" s="228">
        <v>0</v>
      </c>
      <c r="H686" s="228"/>
      <c r="I686" s="228"/>
      <c r="J686" s="228"/>
      <c r="K686" s="228"/>
      <c r="L686" s="228"/>
      <c r="M686" s="228"/>
      <c r="N686" s="228"/>
      <c r="O686" s="228"/>
      <c r="P686" s="228">
        <v>0</v>
      </c>
      <c r="Q686" s="228">
        <v>0</v>
      </c>
    </row>
    <row r="687" spans="1:17">
      <c r="A687"/>
      <c r="B687" s="165" t="s">
        <v>170</v>
      </c>
      <c r="C687" s="165">
        <v>3200</v>
      </c>
      <c r="D687" s="228">
        <v>0</v>
      </c>
      <c r="E687" s="228">
        <v>0</v>
      </c>
      <c r="F687" s="228"/>
      <c r="G687" s="228"/>
      <c r="H687" s="228"/>
      <c r="I687" s="228"/>
      <c r="J687" s="228"/>
      <c r="K687" s="228"/>
      <c r="L687" s="228"/>
      <c r="M687" s="228"/>
      <c r="N687" s="228"/>
      <c r="O687" s="228"/>
      <c r="P687" s="228">
        <v>0</v>
      </c>
      <c r="Q687" s="228">
        <v>0</v>
      </c>
    </row>
    <row r="688" spans="1:17">
      <c r="A688"/>
      <c r="B688" s="165" t="s">
        <v>130</v>
      </c>
      <c r="C688" s="165">
        <v>3000</v>
      </c>
      <c r="D688" s="228"/>
      <c r="E688" s="228"/>
      <c r="F688" s="228">
        <v>0</v>
      </c>
      <c r="G688" s="228">
        <v>0</v>
      </c>
      <c r="H688" s="228"/>
      <c r="I688" s="228"/>
      <c r="J688" s="228"/>
      <c r="K688" s="228"/>
      <c r="L688" s="228"/>
      <c r="M688" s="228"/>
      <c r="N688" s="228"/>
      <c r="O688" s="228"/>
      <c r="P688" s="228">
        <v>0</v>
      </c>
      <c r="Q688" s="228">
        <v>0</v>
      </c>
    </row>
    <row r="689" spans="1:17">
      <c r="A689"/>
      <c r="B689" s="165" t="s">
        <v>215</v>
      </c>
      <c r="C689" s="165">
        <v>3000</v>
      </c>
      <c r="D689" s="228"/>
      <c r="E689" s="228"/>
      <c r="F689" s="228">
        <v>0</v>
      </c>
      <c r="G689" s="228">
        <v>0</v>
      </c>
      <c r="H689" s="228"/>
      <c r="I689" s="228"/>
      <c r="J689" s="228"/>
      <c r="K689" s="228"/>
      <c r="L689" s="228"/>
      <c r="M689" s="228"/>
      <c r="N689" s="228"/>
      <c r="O689" s="228"/>
      <c r="P689" s="228">
        <v>0</v>
      </c>
      <c r="Q689" s="228">
        <v>0</v>
      </c>
    </row>
    <row r="690" spans="1:17">
      <c r="A690"/>
      <c r="B690" s="165" t="s">
        <v>1086</v>
      </c>
      <c r="C690" s="165">
        <v>3000</v>
      </c>
      <c r="D690" s="228"/>
      <c r="E690" s="228"/>
      <c r="F690" s="228">
        <v>0</v>
      </c>
      <c r="G690" s="228">
        <v>0</v>
      </c>
      <c r="H690" s="228"/>
      <c r="I690" s="228"/>
      <c r="J690" s="228"/>
      <c r="K690" s="228"/>
      <c r="L690" s="228"/>
      <c r="M690" s="228"/>
      <c r="N690" s="228"/>
      <c r="O690" s="228"/>
      <c r="P690" s="228">
        <v>0</v>
      </c>
      <c r="Q690" s="228">
        <v>0</v>
      </c>
    </row>
    <row r="691" spans="1:17">
      <c r="A691"/>
      <c r="B691" s="165" t="s">
        <v>173</v>
      </c>
      <c r="C691" s="165">
        <v>3000</v>
      </c>
      <c r="D691" s="228"/>
      <c r="E691" s="228"/>
      <c r="F691" s="228">
        <v>0</v>
      </c>
      <c r="G691" s="228">
        <v>0</v>
      </c>
      <c r="H691" s="228"/>
      <c r="I691" s="228"/>
      <c r="J691" s="228"/>
      <c r="K691" s="228"/>
      <c r="L691" s="228"/>
      <c r="M691" s="228"/>
      <c r="N691" s="228"/>
      <c r="O691" s="228"/>
      <c r="P691" s="228">
        <v>0</v>
      </c>
      <c r="Q691" s="228">
        <v>0</v>
      </c>
    </row>
    <row r="692" spans="1:17">
      <c r="A692"/>
      <c r="B692"/>
      <c r="C692" s="165">
        <v>3200</v>
      </c>
      <c r="D692" s="228"/>
      <c r="E692" s="228"/>
      <c r="F692" s="228">
        <v>0</v>
      </c>
      <c r="G692" s="228">
        <v>0</v>
      </c>
      <c r="H692" s="228"/>
      <c r="I692" s="228"/>
      <c r="J692" s="228"/>
      <c r="K692" s="228"/>
      <c r="L692" s="228"/>
      <c r="M692" s="228"/>
      <c r="N692" s="228"/>
      <c r="O692" s="228"/>
      <c r="P692" s="228">
        <v>0</v>
      </c>
      <c r="Q692" s="228">
        <v>0</v>
      </c>
    </row>
    <row r="693" spans="1:17">
      <c r="A693"/>
      <c r="B693"/>
      <c r="C693" s="165">
        <v>3300</v>
      </c>
      <c r="D693" s="228"/>
      <c r="E693" s="228"/>
      <c r="F693" s="228"/>
      <c r="G693" s="228"/>
      <c r="H693" s="228"/>
      <c r="I693" s="228"/>
      <c r="J693" s="228">
        <v>2000</v>
      </c>
      <c r="K693" s="228">
        <v>6600000</v>
      </c>
      <c r="L693" s="228"/>
      <c r="M693" s="228"/>
      <c r="N693" s="228"/>
      <c r="O693" s="228"/>
      <c r="P693" s="228">
        <v>2000</v>
      </c>
      <c r="Q693" s="228">
        <v>6600000</v>
      </c>
    </row>
    <row r="694" spans="1:17">
      <c r="A694"/>
      <c r="B694" s="165" t="s">
        <v>1788</v>
      </c>
      <c r="C694" s="165">
        <v>3000</v>
      </c>
      <c r="D694" s="228"/>
      <c r="E694" s="228"/>
      <c r="F694" s="228">
        <v>0</v>
      </c>
      <c r="G694" s="228">
        <v>0</v>
      </c>
      <c r="H694" s="228"/>
      <c r="I694" s="228"/>
      <c r="J694" s="228"/>
      <c r="K694" s="228"/>
      <c r="L694" s="228"/>
      <c r="M694" s="228"/>
      <c r="N694" s="228"/>
      <c r="O694" s="228"/>
      <c r="P694" s="228">
        <v>0</v>
      </c>
      <c r="Q694" s="228">
        <v>0</v>
      </c>
    </row>
    <row r="695" spans="1:17">
      <c r="A695"/>
      <c r="B695"/>
      <c r="C695" s="165">
        <v>3200</v>
      </c>
      <c r="D695" s="228"/>
      <c r="E695" s="228"/>
      <c r="F695" s="228"/>
      <c r="G695" s="228"/>
      <c r="H695" s="228"/>
      <c r="I695" s="228"/>
      <c r="J695" s="228">
        <v>6000</v>
      </c>
      <c r="K695" s="228">
        <v>19200000</v>
      </c>
      <c r="L695" s="228"/>
      <c r="M695" s="228"/>
      <c r="N695" s="228"/>
      <c r="O695" s="228"/>
      <c r="P695" s="228">
        <v>6000</v>
      </c>
      <c r="Q695" s="228">
        <v>19200000</v>
      </c>
    </row>
    <row r="696" spans="1:17">
      <c r="A696"/>
      <c r="B696" s="165" t="s">
        <v>224</v>
      </c>
      <c r="C696" s="165">
        <v>3000</v>
      </c>
      <c r="D696" s="228"/>
      <c r="E696" s="228"/>
      <c r="F696" s="228">
        <v>0</v>
      </c>
      <c r="G696" s="228">
        <v>0</v>
      </c>
      <c r="H696" s="228"/>
      <c r="I696" s="228"/>
      <c r="J696" s="228"/>
      <c r="K696" s="228"/>
      <c r="L696" s="228"/>
      <c r="M696" s="228"/>
      <c r="N696" s="228"/>
      <c r="O696" s="228"/>
      <c r="P696" s="228">
        <v>0</v>
      </c>
      <c r="Q696" s="228">
        <v>0</v>
      </c>
    </row>
    <row r="697" spans="1:17">
      <c r="A697" s="165" t="s">
        <v>2117</v>
      </c>
      <c r="B697" s="165" t="s">
        <v>391</v>
      </c>
      <c r="C697" s="165">
        <v>7200</v>
      </c>
      <c r="D697" s="228"/>
      <c r="E697" s="228"/>
      <c r="F697" s="228"/>
      <c r="G697" s="228"/>
      <c r="H697" s="228"/>
      <c r="I697" s="228"/>
      <c r="J697" s="228"/>
      <c r="K697" s="228"/>
      <c r="L697" s="228">
        <v>3000</v>
      </c>
      <c r="M697" s="228">
        <v>21600000</v>
      </c>
      <c r="N697" s="228"/>
      <c r="O697" s="228"/>
      <c r="P697" s="228">
        <v>3000</v>
      </c>
      <c r="Q697" s="228">
        <v>21600000</v>
      </c>
    </row>
    <row r="698" spans="1:17">
      <c r="A698"/>
      <c r="B698" s="165" t="s">
        <v>111</v>
      </c>
      <c r="C698" s="165">
        <v>7200</v>
      </c>
      <c r="D698" s="228"/>
      <c r="E698" s="228"/>
      <c r="F698" s="228"/>
      <c r="G698" s="228"/>
      <c r="H698" s="228"/>
      <c r="I698" s="228"/>
      <c r="J698" s="228"/>
      <c r="K698" s="228"/>
      <c r="L698" s="228">
        <v>20100</v>
      </c>
      <c r="M698" s="228">
        <v>144720000</v>
      </c>
      <c r="N698" s="228"/>
      <c r="O698" s="228"/>
      <c r="P698" s="228">
        <v>20100</v>
      </c>
      <c r="Q698" s="228">
        <v>144720000</v>
      </c>
    </row>
    <row r="699" spans="1:17">
      <c r="A699"/>
      <c r="B699" s="165" t="s">
        <v>388</v>
      </c>
      <c r="C699" s="165">
        <v>7200</v>
      </c>
      <c r="D699" s="228"/>
      <c r="E699" s="228"/>
      <c r="F699" s="228"/>
      <c r="G699" s="228"/>
      <c r="H699" s="228"/>
      <c r="I699" s="228"/>
      <c r="J699" s="228"/>
      <c r="K699" s="228"/>
      <c r="L699" s="228">
        <v>5100</v>
      </c>
      <c r="M699" s="228">
        <v>36720000</v>
      </c>
      <c r="N699" s="228"/>
      <c r="O699" s="228"/>
      <c r="P699" s="228">
        <v>5100</v>
      </c>
      <c r="Q699" s="228">
        <v>36720000</v>
      </c>
    </row>
    <row r="700" spans="1:17">
      <c r="A700"/>
      <c r="B700" s="165" t="s">
        <v>465</v>
      </c>
      <c r="C700" s="165">
        <v>7200</v>
      </c>
      <c r="D700" s="228"/>
      <c r="E700" s="228"/>
      <c r="F700" s="228"/>
      <c r="G700" s="228"/>
      <c r="H700" s="228"/>
      <c r="I700" s="228"/>
      <c r="J700" s="228"/>
      <c r="K700" s="228"/>
      <c r="L700" s="228">
        <v>15000</v>
      </c>
      <c r="M700" s="228">
        <v>108000000</v>
      </c>
      <c r="N700" s="228"/>
      <c r="O700" s="228"/>
      <c r="P700" s="228">
        <v>15000</v>
      </c>
      <c r="Q700" s="228">
        <v>108000000</v>
      </c>
    </row>
    <row r="701" spans="1:17">
      <c r="A701"/>
      <c r="B701" s="165" t="s">
        <v>130</v>
      </c>
      <c r="C701" s="165">
        <v>7200</v>
      </c>
      <c r="D701" s="228"/>
      <c r="E701" s="228"/>
      <c r="F701" s="228"/>
      <c r="G701" s="228"/>
      <c r="H701" s="228"/>
      <c r="I701" s="228"/>
      <c r="J701" s="228"/>
      <c r="K701" s="228"/>
      <c r="L701" s="228">
        <v>5100</v>
      </c>
      <c r="M701" s="228">
        <v>36720000</v>
      </c>
      <c r="N701" s="228"/>
      <c r="O701" s="228"/>
      <c r="P701" s="228">
        <v>5100</v>
      </c>
      <c r="Q701" s="228">
        <v>36720000</v>
      </c>
    </row>
    <row r="702" spans="1:17">
      <c r="A702"/>
      <c r="B702" s="165" t="s">
        <v>1009</v>
      </c>
      <c r="C702" s="165">
        <v>7100</v>
      </c>
      <c r="D702" s="228"/>
      <c r="E702" s="228"/>
      <c r="F702" s="228"/>
      <c r="G702" s="228"/>
      <c r="H702" s="228"/>
      <c r="I702" s="228"/>
      <c r="J702" s="228"/>
      <c r="K702" s="228"/>
      <c r="L702" s="228">
        <v>10050</v>
      </c>
      <c r="M702" s="228">
        <v>71355000</v>
      </c>
      <c r="N702" s="228"/>
      <c r="O702" s="228"/>
      <c r="P702" s="228">
        <v>10050</v>
      </c>
      <c r="Q702" s="228">
        <v>71355000</v>
      </c>
    </row>
    <row r="703" spans="1:17">
      <c r="A703" s="165" t="s">
        <v>2118</v>
      </c>
      <c r="B703" s="165" t="s">
        <v>213</v>
      </c>
      <c r="C703" s="165">
        <v>5400</v>
      </c>
      <c r="D703" s="228"/>
      <c r="E703" s="228"/>
      <c r="F703" s="228"/>
      <c r="G703" s="228"/>
      <c r="H703" s="228"/>
      <c r="I703" s="228"/>
      <c r="J703" s="228">
        <v>2100</v>
      </c>
      <c r="K703" s="228">
        <v>11340000</v>
      </c>
      <c r="L703" s="228"/>
      <c r="M703" s="228"/>
      <c r="N703" s="228"/>
      <c r="O703" s="228"/>
      <c r="P703" s="228">
        <v>2100</v>
      </c>
      <c r="Q703" s="228">
        <v>11340000</v>
      </c>
    </row>
    <row r="704" spans="1:17">
      <c r="A704"/>
      <c r="B704" s="165" t="s">
        <v>1188</v>
      </c>
      <c r="C704" s="165">
        <v>5400</v>
      </c>
      <c r="D704" s="228"/>
      <c r="E704" s="228"/>
      <c r="F704" s="228"/>
      <c r="G704" s="228"/>
      <c r="H704" s="228"/>
      <c r="I704" s="228"/>
      <c r="J704" s="228">
        <v>3000</v>
      </c>
      <c r="K704" s="228">
        <v>16200000</v>
      </c>
      <c r="L704" s="228"/>
      <c r="M704" s="228"/>
      <c r="N704" s="228"/>
      <c r="O704" s="228"/>
      <c r="P704" s="228">
        <v>3000</v>
      </c>
      <c r="Q704" s="228">
        <v>16200000</v>
      </c>
    </row>
    <row r="705" spans="1:17">
      <c r="A705"/>
      <c r="B705" s="165" t="s">
        <v>605</v>
      </c>
      <c r="C705" s="165">
        <v>5000</v>
      </c>
      <c r="D705" s="228"/>
      <c r="E705" s="228"/>
      <c r="F705" s="228">
        <v>0</v>
      </c>
      <c r="G705" s="228">
        <v>0</v>
      </c>
      <c r="H705" s="228"/>
      <c r="I705" s="228"/>
      <c r="J705" s="228"/>
      <c r="K705" s="228"/>
      <c r="L705" s="228"/>
      <c r="M705" s="228"/>
      <c r="N705" s="228"/>
      <c r="O705" s="228"/>
      <c r="P705" s="228">
        <v>0</v>
      </c>
      <c r="Q705" s="228">
        <v>0</v>
      </c>
    </row>
    <row r="706" spans="1:17">
      <c r="A706" s="165" t="s">
        <v>2021</v>
      </c>
      <c r="B706" s="165" t="s">
        <v>605</v>
      </c>
      <c r="C706" s="165">
        <v>10200</v>
      </c>
      <c r="D706" s="228"/>
      <c r="E706" s="228"/>
      <c r="F706" s="228"/>
      <c r="G706" s="228"/>
      <c r="H706" s="228"/>
      <c r="I706" s="228"/>
      <c r="J706" s="228"/>
      <c r="K706" s="228"/>
      <c r="L706" s="228">
        <v>2100</v>
      </c>
      <c r="M706" s="228">
        <v>21420000</v>
      </c>
      <c r="N706" s="228"/>
      <c r="O706" s="228"/>
      <c r="P706" s="228">
        <v>2100</v>
      </c>
      <c r="Q706" s="228">
        <v>21420000</v>
      </c>
    </row>
    <row r="707" spans="1:17">
      <c r="A707" s="165" t="s">
        <v>2119</v>
      </c>
      <c r="B707" s="165" t="s">
        <v>1702</v>
      </c>
      <c r="C707" s="165">
        <v>6800</v>
      </c>
      <c r="D707" s="228"/>
      <c r="E707" s="228"/>
      <c r="F707" s="228"/>
      <c r="G707" s="228"/>
      <c r="H707" s="228"/>
      <c r="I707" s="228"/>
      <c r="J707" s="228"/>
      <c r="K707" s="228"/>
      <c r="L707" s="228">
        <v>10000</v>
      </c>
      <c r="M707" s="228">
        <v>68000000</v>
      </c>
      <c r="N707" s="228"/>
      <c r="O707" s="228"/>
      <c r="P707" s="228">
        <v>10000</v>
      </c>
      <c r="Q707" s="228">
        <v>68000000</v>
      </c>
    </row>
    <row r="708" spans="1:17">
      <c r="A708" s="165" t="s">
        <v>2120</v>
      </c>
      <c r="B708" s="165" t="s">
        <v>1415</v>
      </c>
      <c r="C708" s="165">
        <v>4600</v>
      </c>
      <c r="D708" s="228"/>
      <c r="E708" s="228"/>
      <c r="F708" s="228">
        <v>0</v>
      </c>
      <c r="G708" s="228">
        <v>0</v>
      </c>
      <c r="H708" s="228"/>
      <c r="I708" s="228"/>
      <c r="J708" s="228"/>
      <c r="K708" s="228"/>
      <c r="L708" s="228"/>
      <c r="M708" s="228"/>
      <c r="N708" s="228"/>
      <c r="O708" s="228"/>
      <c r="P708" s="228">
        <v>0</v>
      </c>
      <c r="Q708" s="228">
        <v>0</v>
      </c>
    </row>
    <row r="709" spans="1:17">
      <c r="A709"/>
      <c r="B709" s="165" t="s">
        <v>1345</v>
      </c>
      <c r="C709" s="165">
        <v>4800</v>
      </c>
      <c r="D709" s="228"/>
      <c r="E709" s="228"/>
      <c r="F709" s="228">
        <v>0</v>
      </c>
      <c r="G709" s="228">
        <v>0</v>
      </c>
      <c r="H709" s="228"/>
      <c r="I709" s="228"/>
      <c r="J709" s="228"/>
      <c r="K709" s="228"/>
      <c r="L709" s="228"/>
      <c r="M709" s="228"/>
      <c r="N709" s="228"/>
      <c r="O709" s="228"/>
      <c r="P709" s="228">
        <v>0</v>
      </c>
      <c r="Q709" s="228">
        <v>0</v>
      </c>
    </row>
    <row r="710" spans="1:17">
      <c r="A710"/>
      <c r="B710" s="165" t="s">
        <v>1366</v>
      </c>
      <c r="C710" s="165">
        <v>5600</v>
      </c>
      <c r="D710" s="228"/>
      <c r="E710" s="228"/>
      <c r="F710" s="228">
        <v>0</v>
      </c>
      <c r="G710" s="228">
        <v>0</v>
      </c>
      <c r="H710" s="228"/>
      <c r="I710" s="228"/>
      <c r="J710" s="228"/>
      <c r="K710" s="228"/>
      <c r="L710" s="228"/>
      <c r="M710" s="228"/>
      <c r="N710" s="228"/>
      <c r="O710" s="228"/>
      <c r="P710" s="228">
        <v>0</v>
      </c>
      <c r="Q710" s="228">
        <v>0</v>
      </c>
    </row>
    <row r="711" spans="1:17">
      <c r="A711"/>
      <c r="B711" s="165" t="s">
        <v>188</v>
      </c>
      <c r="C711" s="165">
        <v>4700</v>
      </c>
      <c r="D711" s="228"/>
      <c r="E711" s="228"/>
      <c r="F711" s="228"/>
      <c r="G711" s="228"/>
      <c r="H711" s="228"/>
      <c r="I711" s="228"/>
      <c r="J711" s="228">
        <v>8250</v>
      </c>
      <c r="K711" s="228">
        <v>38775000</v>
      </c>
      <c r="L711" s="228"/>
      <c r="M711" s="228"/>
      <c r="N711" s="228"/>
      <c r="O711" s="228"/>
      <c r="P711" s="228">
        <v>8250</v>
      </c>
      <c r="Q711" s="228">
        <v>38775000</v>
      </c>
    </row>
    <row r="712" spans="1:17">
      <c r="A712" s="165" t="s">
        <v>2121</v>
      </c>
      <c r="B712" s="165" t="s">
        <v>801</v>
      </c>
      <c r="C712" s="165">
        <v>4800</v>
      </c>
      <c r="D712" s="228">
        <v>0</v>
      </c>
      <c r="E712" s="228">
        <v>0</v>
      </c>
      <c r="F712" s="228"/>
      <c r="G712" s="228"/>
      <c r="H712" s="228"/>
      <c r="I712" s="228"/>
      <c r="J712" s="228"/>
      <c r="K712" s="228"/>
      <c r="L712" s="228"/>
      <c r="M712" s="228"/>
      <c r="N712" s="228"/>
      <c r="O712" s="228"/>
      <c r="P712" s="228">
        <v>0</v>
      </c>
      <c r="Q712" s="228">
        <v>0</v>
      </c>
    </row>
    <row r="713" spans="1:17">
      <c r="A713"/>
      <c r="B713" s="165" t="s">
        <v>91</v>
      </c>
      <c r="C713" s="165">
        <v>4800</v>
      </c>
      <c r="D713" s="228">
        <v>0</v>
      </c>
      <c r="E713" s="228">
        <v>0</v>
      </c>
      <c r="F713" s="228"/>
      <c r="G713" s="228"/>
      <c r="H713" s="228"/>
      <c r="I713" s="228"/>
      <c r="J713" s="228"/>
      <c r="K713" s="228"/>
      <c r="L713" s="228"/>
      <c r="M713" s="228"/>
      <c r="N713" s="228"/>
      <c r="O713" s="228"/>
      <c r="P713" s="228">
        <v>0</v>
      </c>
      <c r="Q713" s="228">
        <v>0</v>
      </c>
    </row>
    <row r="714" spans="1:17">
      <c r="A714" s="165" t="s">
        <v>2122</v>
      </c>
      <c r="B714" s="165" t="s">
        <v>188</v>
      </c>
      <c r="C714" s="165">
        <v>6200</v>
      </c>
      <c r="D714" s="228"/>
      <c r="E714" s="228"/>
      <c r="F714" s="228"/>
      <c r="G714" s="228"/>
      <c r="H714" s="228"/>
      <c r="I714" s="228"/>
      <c r="J714" s="228">
        <v>1250</v>
      </c>
      <c r="K714" s="228">
        <v>7750000</v>
      </c>
      <c r="L714" s="228"/>
      <c r="M714" s="228"/>
      <c r="N714" s="228"/>
      <c r="O714" s="228"/>
      <c r="P714" s="228">
        <v>1250</v>
      </c>
      <c r="Q714" s="228">
        <v>7750000</v>
      </c>
    </row>
    <row r="715" spans="1:17">
      <c r="A715"/>
      <c r="B715" s="165" t="s">
        <v>1188</v>
      </c>
      <c r="C715" s="165">
        <v>6200</v>
      </c>
      <c r="D715" s="228"/>
      <c r="E715" s="228"/>
      <c r="F715" s="228"/>
      <c r="G715" s="228"/>
      <c r="H715" s="228"/>
      <c r="I715" s="228"/>
      <c r="J715" s="228">
        <v>4025</v>
      </c>
      <c r="K715" s="228">
        <v>24955000</v>
      </c>
      <c r="L715" s="228"/>
      <c r="M715" s="228"/>
      <c r="N715" s="228"/>
      <c r="O715" s="228"/>
      <c r="P715" s="228">
        <v>4025</v>
      </c>
      <c r="Q715" s="228">
        <v>24955000</v>
      </c>
    </row>
    <row r="716" spans="1:17">
      <c r="A716"/>
      <c r="B716" s="165" t="s">
        <v>103</v>
      </c>
      <c r="C716" s="165">
        <v>6200</v>
      </c>
      <c r="D716" s="228"/>
      <c r="E716" s="228"/>
      <c r="F716" s="228">
        <v>0</v>
      </c>
      <c r="G716" s="228">
        <v>0</v>
      </c>
      <c r="H716" s="228"/>
      <c r="I716" s="228"/>
      <c r="J716" s="228"/>
      <c r="K716" s="228"/>
      <c r="L716" s="228"/>
      <c r="M716" s="228"/>
      <c r="N716" s="228"/>
      <c r="O716" s="228"/>
      <c r="P716" s="228">
        <v>0</v>
      </c>
      <c r="Q716" s="228">
        <v>0</v>
      </c>
    </row>
    <row r="717" spans="1:17">
      <c r="A717" s="165" t="s">
        <v>2123</v>
      </c>
      <c r="B717" s="165" t="s">
        <v>1086</v>
      </c>
      <c r="C717" s="165">
        <v>8500</v>
      </c>
      <c r="D717" s="228"/>
      <c r="E717" s="228"/>
      <c r="F717" s="228"/>
      <c r="G717" s="228"/>
      <c r="H717" s="228"/>
      <c r="I717" s="228"/>
      <c r="J717" s="228"/>
      <c r="K717" s="228"/>
      <c r="L717" s="228">
        <v>1500</v>
      </c>
      <c r="M717" s="228">
        <v>12750000</v>
      </c>
      <c r="N717" s="228"/>
      <c r="O717" s="228"/>
      <c r="P717" s="228">
        <v>1500</v>
      </c>
      <c r="Q717" s="228">
        <v>12750000</v>
      </c>
    </row>
    <row r="718" spans="1:17">
      <c r="A718" s="165" t="s">
        <v>2022</v>
      </c>
      <c r="B718" s="165" t="s">
        <v>25</v>
      </c>
      <c r="C718" s="165">
        <v>8600</v>
      </c>
      <c r="D718" s="228"/>
      <c r="E718" s="228"/>
      <c r="F718" s="228">
        <v>400</v>
      </c>
      <c r="G718" s="228">
        <v>3440000</v>
      </c>
      <c r="H718" s="228"/>
      <c r="I718" s="228"/>
      <c r="J718" s="228"/>
      <c r="K718" s="228"/>
      <c r="L718" s="228"/>
      <c r="M718" s="228"/>
      <c r="N718" s="228"/>
      <c r="O718" s="228"/>
      <c r="P718" s="228">
        <v>400</v>
      </c>
      <c r="Q718" s="228">
        <v>3440000</v>
      </c>
    </row>
    <row r="719" spans="1:17">
      <c r="A719"/>
      <c r="B719" s="165" t="s">
        <v>1245</v>
      </c>
      <c r="C719" s="165">
        <v>8063</v>
      </c>
      <c r="D719" s="228"/>
      <c r="E719" s="228"/>
      <c r="F719" s="228">
        <v>0</v>
      </c>
      <c r="G719" s="228">
        <v>0</v>
      </c>
      <c r="H719" s="228"/>
      <c r="I719" s="228"/>
      <c r="J719" s="228"/>
      <c r="K719" s="228"/>
      <c r="L719" s="228"/>
      <c r="M719" s="228"/>
      <c r="N719" s="228"/>
      <c r="O719" s="228"/>
      <c r="P719" s="228">
        <v>0</v>
      </c>
      <c r="Q719" s="228">
        <v>0</v>
      </c>
    </row>
    <row r="720" spans="1:17">
      <c r="A720"/>
      <c r="B720"/>
      <c r="C720" s="165">
        <v>8200</v>
      </c>
      <c r="D720" s="228"/>
      <c r="E720" s="228"/>
      <c r="F720" s="228"/>
      <c r="G720" s="228"/>
      <c r="H720" s="228">
        <v>4000</v>
      </c>
      <c r="I720" s="228">
        <v>32800000</v>
      </c>
      <c r="J720" s="228"/>
      <c r="K720" s="228"/>
      <c r="L720" s="228"/>
      <c r="M720" s="228"/>
      <c r="N720" s="228"/>
      <c r="O720" s="228"/>
      <c r="P720" s="228">
        <v>4000</v>
      </c>
      <c r="Q720" s="228">
        <v>32800000</v>
      </c>
    </row>
    <row r="721" spans="1:17">
      <c r="A721"/>
      <c r="B721" s="165" t="s">
        <v>605</v>
      </c>
      <c r="C721" s="165">
        <v>8800</v>
      </c>
      <c r="D721" s="228"/>
      <c r="E721" s="228"/>
      <c r="F721" s="228"/>
      <c r="G721" s="228"/>
      <c r="H721" s="228"/>
      <c r="I721" s="228"/>
      <c r="J721" s="228"/>
      <c r="K721" s="228"/>
      <c r="L721" s="228">
        <v>3200</v>
      </c>
      <c r="M721" s="228">
        <v>28160000</v>
      </c>
      <c r="N721" s="228"/>
      <c r="O721" s="228"/>
      <c r="P721" s="228">
        <v>3200</v>
      </c>
      <c r="Q721" s="228">
        <v>28160000</v>
      </c>
    </row>
    <row r="722" spans="1:17">
      <c r="A722" s="165" t="s">
        <v>2124</v>
      </c>
      <c r="B722" s="165" t="s">
        <v>1241</v>
      </c>
      <c r="C722" s="165">
        <v>2000</v>
      </c>
      <c r="D722" s="228"/>
      <c r="E722" s="228"/>
      <c r="F722" s="228">
        <v>0</v>
      </c>
      <c r="G722" s="228">
        <v>0</v>
      </c>
      <c r="H722" s="228"/>
      <c r="I722" s="228"/>
      <c r="J722" s="228"/>
      <c r="K722" s="228"/>
      <c r="L722" s="228"/>
      <c r="M722" s="228"/>
      <c r="N722" s="228"/>
      <c r="O722" s="228"/>
      <c r="P722" s="228">
        <v>0</v>
      </c>
      <c r="Q722" s="228">
        <v>0</v>
      </c>
    </row>
    <row r="723" spans="1:17">
      <c r="A723"/>
      <c r="B723" s="165" t="s">
        <v>465</v>
      </c>
      <c r="C723" s="165">
        <v>2000</v>
      </c>
      <c r="D723" s="228"/>
      <c r="E723" s="228"/>
      <c r="F723" s="228">
        <v>0</v>
      </c>
      <c r="G723" s="228">
        <v>0</v>
      </c>
      <c r="H723" s="228"/>
      <c r="I723" s="228"/>
      <c r="J723" s="228"/>
      <c r="K723" s="228"/>
      <c r="L723" s="228"/>
      <c r="M723" s="228"/>
      <c r="N723" s="228"/>
      <c r="O723" s="228"/>
      <c r="P723" s="228">
        <v>0</v>
      </c>
      <c r="Q723" s="228">
        <v>0</v>
      </c>
    </row>
    <row r="724" spans="1:17">
      <c r="A724"/>
      <c r="B724" s="165" t="s">
        <v>1086</v>
      </c>
      <c r="C724" s="165">
        <v>2000</v>
      </c>
      <c r="D724" s="228"/>
      <c r="E724" s="228"/>
      <c r="F724" s="228">
        <v>0</v>
      </c>
      <c r="G724" s="228">
        <v>0</v>
      </c>
      <c r="H724" s="228"/>
      <c r="I724" s="228"/>
      <c r="J724" s="228"/>
      <c r="K724" s="228"/>
      <c r="L724" s="228"/>
      <c r="M724" s="228"/>
      <c r="N724" s="228"/>
      <c r="O724" s="228"/>
      <c r="P724" s="228">
        <v>0</v>
      </c>
      <c r="Q724" s="228">
        <v>0</v>
      </c>
    </row>
    <row r="725" spans="1:17">
      <c r="A725"/>
      <c r="B725" s="165" t="s">
        <v>1163</v>
      </c>
      <c r="C725" s="165">
        <v>2000</v>
      </c>
      <c r="D725" s="228">
        <v>0</v>
      </c>
      <c r="E725" s="228">
        <v>0</v>
      </c>
      <c r="F725" s="228"/>
      <c r="G725" s="228"/>
      <c r="H725" s="228"/>
      <c r="I725" s="228"/>
      <c r="J725" s="228"/>
      <c r="K725" s="228"/>
      <c r="L725" s="228"/>
      <c r="M725" s="228"/>
      <c r="N725" s="228"/>
      <c r="O725" s="228"/>
      <c r="P725" s="228">
        <v>0</v>
      </c>
      <c r="Q725" s="228">
        <v>0</v>
      </c>
    </row>
    <row r="726" spans="1:17">
      <c r="A726"/>
      <c r="B726" s="165" t="s">
        <v>1066</v>
      </c>
      <c r="C726" s="165">
        <v>2000</v>
      </c>
      <c r="D726" s="228"/>
      <c r="E726" s="228"/>
      <c r="F726" s="228">
        <v>0</v>
      </c>
      <c r="G726" s="228">
        <v>0</v>
      </c>
      <c r="H726" s="228"/>
      <c r="I726" s="228"/>
      <c r="J726" s="228"/>
      <c r="K726" s="228"/>
      <c r="L726" s="228"/>
      <c r="M726" s="228"/>
      <c r="N726" s="228"/>
      <c r="O726" s="228"/>
      <c r="P726" s="228">
        <v>0</v>
      </c>
      <c r="Q726" s="228">
        <v>0</v>
      </c>
    </row>
    <row r="727" spans="1:17">
      <c r="A727"/>
      <c r="B727" s="165" t="s">
        <v>201</v>
      </c>
      <c r="C727" s="165">
        <v>2000</v>
      </c>
      <c r="D727" s="228"/>
      <c r="E727" s="228"/>
      <c r="F727" s="228">
        <v>0</v>
      </c>
      <c r="G727" s="228">
        <v>0</v>
      </c>
      <c r="H727" s="228"/>
      <c r="I727" s="228"/>
      <c r="J727" s="228"/>
      <c r="K727" s="228"/>
      <c r="L727" s="228"/>
      <c r="M727" s="228"/>
      <c r="N727" s="228"/>
      <c r="O727" s="228"/>
      <c r="P727" s="228">
        <v>0</v>
      </c>
      <c r="Q727" s="228">
        <v>0</v>
      </c>
    </row>
    <row r="728" spans="1:17">
      <c r="A728"/>
      <c r="B728" s="165" t="s">
        <v>1788</v>
      </c>
      <c r="C728" s="165">
        <v>2000</v>
      </c>
      <c r="D728" s="228"/>
      <c r="E728" s="228"/>
      <c r="F728" s="228">
        <v>0</v>
      </c>
      <c r="G728" s="228">
        <v>0</v>
      </c>
      <c r="H728" s="228"/>
      <c r="I728" s="228"/>
      <c r="J728" s="228"/>
      <c r="K728" s="228"/>
      <c r="L728" s="228"/>
      <c r="M728" s="228"/>
      <c r="N728" s="228"/>
      <c r="O728" s="228"/>
      <c r="P728" s="228">
        <v>0</v>
      </c>
      <c r="Q728" s="228">
        <v>0</v>
      </c>
    </row>
    <row r="729" spans="1:17">
      <c r="A729"/>
      <c r="B729" s="165" t="s">
        <v>224</v>
      </c>
      <c r="C729" s="165">
        <v>2000</v>
      </c>
      <c r="D729" s="228"/>
      <c r="E729" s="228"/>
      <c r="F729" s="228">
        <v>0</v>
      </c>
      <c r="G729" s="228">
        <v>0</v>
      </c>
      <c r="H729" s="228"/>
      <c r="I729" s="228"/>
      <c r="J729" s="228"/>
      <c r="K729" s="228"/>
      <c r="L729" s="228"/>
      <c r="M729" s="228"/>
      <c r="N729" s="228"/>
      <c r="O729" s="228"/>
      <c r="P729" s="228">
        <v>0</v>
      </c>
      <c r="Q729" s="228">
        <v>0</v>
      </c>
    </row>
    <row r="730" spans="1:17">
      <c r="A730" s="165" t="s">
        <v>2125</v>
      </c>
      <c r="B730" s="165" t="s">
        <v>1241</v>
      </c>
      <c r="C730" s="165">
        <v>2800</v>
      </c>
      <c r="D730" s="228"/>
      <c r="E730" s="228"/>
      <c r="F730" s="228">
        <v>0</v>
      </c>
      <c r="G730" s="228">
        <v>0</v>
      </c>
      <c r="H730" s="228"/>
      <c r="I730" s="228"/>
      <c r="J730" s="228"/>
      <c r="K730" s="228"/>
      <c r="L730" s="228"/>
      <c r="M730" s="228"/>
      <c r="N730" s="228"/>
      <c r="O730" s="228"/>
      <c r="P730" s="228">
        <v>0</v>
      </c>
      <c r="Q730" s="228">
        <v>0</v>
      </c>
    </row>
    <row r="731" spans="1:17">
      <c r="A731"/>
      <c r="B731"/>
      <c r="C731" s="165">
        <v>2900</v>
      </c>
      <c r="D731" s="228">
        <v>6000</v>
      </c>
      <c r="E731" s="228">
        <v>17400000</v>
      </c>
      <c r="F731" s="228"/>
      <c r="G731" s="228"/>
      <c r="H731" s="228"/>
      <c r="I731" s="228"/>
      <c r="J731" s="228"/>
      <c r="K731" s="228"/>
      <c r="L731" s="228"/>
      <c r="M731" s="228"/>
      <c r="N731" s="228"/>
      <c r="O731" s="228"/>
      <c r="P731" s="228">
        <v>6000</v>
      </c>
      <c r="Q731" s="228">
        <v>17400000</v>
      </c>
    </row>
    <row r="732" spans="1:17">
      <c r="A732"/>
      <c r="B732"/>
      <c r="C732" s="165">
        <v>3300</v>
      </c>
      <c r="D732" s="228"/>
      <c r="E732" s="228"/>
      <c r="F732" s="228"/>
      <c r="G732" s="228"/>
      <c r="H732" s="228"/>
      <c r="I732" s="228"/>
      <c r="J732" s="228"/>
      <c r="K732" s="228"/>
      <c r="L732" s="228">
        <v>13200</v>
      </c>
      <c r="M732" s="228">
        <v>43560000</v>
      </c>
      <c r="N732" s="228"/>
      <c r="O732" s="228"/>
      <c r="P732" s="228">
        <v>13200</v>
      </c>
      <c r="Q732" s="228">
        <v>43560000</v>
      </c>
    </row>
    <row r="733" spans="1:17">
      <c r="A733"/>
      <c r="B733" s="165" t="s">
        <v>391</v>
      </c>
      <c r="C733" s="165">
        <v>2800</v>
      </c>
      <c r="D733" s="228">
        <v>0</v>
      </c>
      <c r="E733" s="228">
        <v>0</v>
      </c>
      <c r="F733" s="228">
        <v>0</v>
      </c>
      <c r="G733" s="228">
        <v>0</v>
      </c>
      <c r="H733" s="228"/>
      <c r="I733" s="228"/>
      <c r="J733" s="228"/>
      <c r="K733" s="228"/>
      <c r="L733" s="228"/>
      <c r="M733" s="228"/>
      <c r="N733" s="228"/>
      <c r="O733" s="228"/>
      <c r="P733" s="228">
        <v>0</v>
      </c>
      <c r="Q733" s="228">
        <v>0</v>
      </c>
    </row>
    <row r="734" spans="1:17">
      <c r="A734"/>
      <c r="B734"/>
      <c r="C734" s="165">
        <v>3000</v>
      </c>
      <c r="D734" s="228"/>
      <c r="E734" s="228"/>
      <c r="F734" s="228"/>
      <c r="G734" s="228"/>
      <c r="H734" s="228">
        <v>10000</v>
      </c>
      <c r="I734" s="228">
        <v>30000000</v>
      </c>
      <c r="J734" s="228"/>
      <c r="K734" s="228"/>
      <c r="L734" s="228"/>
      <c r="M734" s="228"/>
      <c r="N734" s="228"/>
      <c r="O734" s="228"/>
      <c r="P734" s="228">
        <v>10000</v>
      </c>
      <c r="Q734" s="228">
        <v>30000000</v>
      </c>
    </row>
    <row r="735" spans="1:17">
      <c r="A735"/>
      <c r="B735"/>
      <c r="C735" s="165">
        <v>3100</v>
      </c>
      <c r="D735" s="228"/>
      <c r="E735" s="228"/>
      <c r="F735" s="228">
        <v>0</v>
      </c>
      <c r="G735" s="228">
        <v>0</v>
      </c>
      <c r="H735" s="228"/>
      <c r="I735" s="228"/>
      <c r="J735" s="228"/>
      <c r="K735" s="228"/>
      <c r="L735" s="228"/>
      <c r="M735" s="228"/>
      <c r="N735" s="228"/>
      <c r="O735" s="228"/>
      <c r="P735" s="228">
        <v>0</v>
      </c>
      <c r="Q735" s="228">
        <v>0</v>
      </c>
    </row>
    <row r="736" spans="1:17">
      <c r="A736"/>
      <c r="B736" s="165" t="s">
        <v>111</v>
      </c>
      <c r="C736" s="165">
        <v>3000</v>
      </c>
      <c r="D736" s="228"/>
      <c r="E736" s="228"/>
      <c r="F736" s="228">
        <v>0</v>
      </c>
      <c r="G736" s="228">
        <v>0</v>
      </c>
      <c r="H736" s="228"/>
      <c r="I736" s="228"/>
      <c r="J736" s="228"/>
      <c r="K736" s="228"/>
      <c r="L736" s="228"/>
      <c r="M736" s="228"/>
      <c r="N736" s="228"/>
      <c r="O736" s="228"/>
      <c r="P736" s="228">
        <v>0</v>
      </c>
      <c r="Q736" s="228">
        <v>0</v>
      </c>
    </row>
    <row r="737" spans="1:17">
      <c r="A737"/>
      <c r="B737" s="165" t="s">
        <v>274</v>
      </c>
      <c r="C737" s="165">
        <v>2800</v>
      </c>
      <c r="D737" s="228"/>
      <c r="E737" s="228"/>
      <c r="F737" s="228">
        <v>0</v>
      </c>
      <c r="G737" s="228">
        <v>0</v>
      </c>
      <c r="H737" s="228"/>
      <c r="I737" s="228"/>
      <c r="J737" s="228"/>
      <c r="K737" s="228"/>
      <c r="L737" s="228"/>
      <c r="M737" s="228"/>
      <c r="N737" s="228"/>
      <c r="O737" s="228"/>
      <c r="P737" s="228">
        <v>0</v>
      </c>
      <c r="Q737" s="228">
        <v>0</v>
      </c>
    </row>
    <row r="738" spans="1:17">
      <c r="A738"/>
      <c r="B738" s="165" t="s">
        <v>270</v>
      </c>
      <c r="C738" s="165">
        <v>2800</v>
      </c>
      <c r="D738" s="228">
        <v>0</v>
      </c>
      <c r="E738" s="228">
        <v>0</v>
      </c>
      <c r="F738" s="228">
        <v>0</v>
      </c>
      <c r="G738" s="228">
        <v>0</v>
      </c>
      <c r="H738" s="228"/>
      <c r="I738" s="228"/>
      <c r="J738" s="228"/>
      <c r="K738" s="228"/>
      <c r="L738" s="228"/>
      <c r="M738" s="228"/>
      <c r="N738" s="228"/>
      <c r="O738" s="228"/>
      <c r="P738" s="228">
        <v>0</v>
      </c>
      <c r="Q738" s="228">
        <v>0</v>
      </c>
    </row>
    <row r="739" spans="1:17">
      <c r="A739"/>
      <c r="B739"/>
      <c r="C739" s="165">
        <v>3000</v>
      </c>
      <c r="D739" s="228"/>
      <c r="E739" s="228"/>
      <c r="F739" s="228"/>
      <c r="G739" s="228"/>
      <c r="H739" s="228">
        <v>4000</v>
      </c>
      <c r="I739" s="228">
        <v>12000000</v>
      </c>
      <c r="J739" s="228"/>
      <c r="K739" s="228"/>
      <c r="L739" s="228"/>
      <c r="M739" s="228"/>
      <c r="N739" s="228"/>
      <c r="O739" s="228"/>
      <c r="P739" s="228">
        <v>4000</v>
      </c>
      <c r="Q739" s="228">
        <v>12000000</v>
      </c>
    </row>
    <row r="740" spans="1:17">
      <c r="A740"/>
      <c r="B740" s="165" t="s">
        <v>1047</v>
      </c>
      <c r="C740" s="165">
        <v>2900</v>
      </c>
      <c r="D740" s="228"/>
      <c r="E740" s="228"/>
      <c r="F740" s="228">
        <v>0</v>
      </c>
      <c r="G740" s="228">
        <v>0</v>
      </c>
      <c r="H740" s="228"/>
      <c r="I740" s="228"/>
      <c r="J740" s="228"/>
      <c r="K740" s="228"/>
      <c r="L740" s="228"/>
      <c r="M740" s="228"/>
      <c r="N740" s="228"/>
      <c r="O740" s="228"/>
      <c r="P740" s="228">
        <v>0</v>
      </c>
      <c r="Q740" s="228">
        <v>0</v>
      </c>
    </row>
    <row r="741" spans="1:17">
      <c r="A741"/>
      <c r="B741" s="165" t="s">
        <v>1235</v>
      </c>
      <c r="C741" s="165">
        <v>2900</v>
      </c>
      <c r="D741" s="228"/>
      <c r="E741" s="228"/>
      <c r="F741" s="228">
        <v>0</v>
      </c>
      <c r="G741" s="228">
        <v>0</v>
      </c>
      <c r="H741" s="228"/>
      <c r="I741" s="228"/>
      <c r="J741" s="228"/>
      <c r="K741" s="228"/>
      <c r="L741" s="228"/>
      <c r="M741" s="228"/>
      <c r="N741" s="228"/>
      <c r="O741" s="228"/>
      <c r="P741" s="228">
        <v>0</v>
      </c>
      <c r="Q741" s="228">
        <v>0</v>
      </c>
    </row>
    <row r="742" spans="1:17">
      <c r="A742"/>
      <c r="B742" s="165" t="s">
        <v>1415</v>
      </c>
      <c r="C742" s="165">
        <v>3000</v>
      </c>
      <c r="D742" s="228">
        <v>0</v>
      </c>
      <c r="E742" s="228">
        <v>0</v>
      </c>
      <c r="F742" s="228"/>
      <c r="G742" s="228"/>
      <c r="H742" s="228"/>
      <c r="I742" s="228"/>
      <c r="J742" s="228"/>
      <c r="K742" s="228"/>
      <c r="L742" s="228"/>
      <c r="M742" s="228"/>
      <c r="N742" s="228"/>
      <c r="O742" s="228"/>
      <c r="P742" s="228">
        <v>0</v>
      </c>
      <c r="Q742" s="228">
        <v>0</v>
      </c>
    </row>
    <row r="743" spans="1:17">
      <c r="A743"/>
      <c r="B743" s="165" t="s">
        <v>465</v>
      </c>
      <c r="C743" s="165">
        <v>2800</v>
      </c>
      <c r="D743" s="228"/>
      <c r="E743" s="228"/>
      <c r="F743" s="228">
        <v>0</v>
      </c>
      <c r="G743" s="228">
        <v>0</v>
      </c>
      <c r="H743" s="228"/>
      <c r="I743" s="228"/>
      <c r="J743" s="228"/>
      <c r="K743" s="228"/>
      <c r="L743" s="228"/>
      <c r="M743" s="228"/>
      <c r="N743" s="228"/>
      <c r="O743" s="228"/>
      <c r="P743" s="228">
        <v>0</v>
      </c>
      <c r="Q743" s="228">
        <v>0</v>
      </c>
    </row>
    <row r="744" spans="1:17">
      <c r="A744"/>
      <c r="B744"/>
      <c r="C744" s="165">
        <v>2900</v>
      </c>
      <c r="D744" s="228"/>
      <c r="E744" s="228"/>
      <c r="F744" s="228">
        <v>0</v>
      </c>
      <c r="G744" s="228">
        <v>0</v>
      </c>
      <c r="H744" s="228"/>
      <c r="I744" s="228"/>
      <c r="J744" s="228"/>
      <c r="K744" s="228"/>
      <c r="L744" s="228"/>
      <c r="M744" s="228"/>
      <c r="N744" s="228"/>
      <c r="O744" s="228"/>
      <c r="P744" s="228">
        <v>0</v>
      </c>
      <c r="Q744" s="228">
        <v>0</v>
      </c>
    </row>
    <row r="745" spans="1:17">
      <c r="A745"/>
      <c r="B745"/>
      <c r="C745" s="165">
        <v>3000</v>
      </c>
      <c r="D745" s="228"/>
      <c r="E745" s="228"/>
      <c r="F745" s="228"/>
      <c r="G745" s="228"/>
      <c r="H745" s="228">
        <v>20000</v>
      </c>
      <c r="I745" s="228">
        <v>60000000</v>
      </c>
      <c r="J745" s="228"/>
      <c r="K745" s="228"/>
      <c r="L745" s="228"/>
      <c r="M745" s="228"/>
      <c r="N745" s="228"/>
      <c r="O745" s="228"/>
      <c r="P745" s="228">
        <v>20000</v>
      </c>
      <c r="Q745" s="228">
        <v>60000000</v>
      </c>
    </row>
    <row r="746" spans="1:17">
      <c r="A746"/>
      <c r="B746" s="165" t="s">
        <v>130</v>
      </c>
      <c r="C746" s="165">
        <v>2800</v>
      </c>
      <c r="D746" s="228"/>
      <c r="E746" s="228"/>
      <c r="F746" s="228">
        <v>0</v>
      </c>
      <c r="G746" s="228">
        <v>0</v>
      </c>
      <c r="H746" s="228"/>
      <c r="I746" s="228"/>
      <c r="J746" s="228"/>
      <c r="K746" s="228"/>
      <c r="L746" s="228"/>
      <c r="M746" s="228"/>
      <c r="N746" s="228"/>
      <c r="O746" s="228"/>
      <c r="P746" s="228">
        <v>0</v>
      </c>
      <c r="Q746" s="228">
        <v>0</v>
      </c>
    </row>
    <row r="747" spans="1:17">
      <c r="A747"/>
      <c r="B747"/>
      <c r="C747" s="165">
        <v>3000</v>
      </c>
      <c r="D747" s="228"/>
      <c r="E747" s="228"/>
      <c r="F747" s="228"/>
      <c r="G747" s="228"/>
      <c r="H747" s="228">
        <v>4800</v>
      </c>
      <c r="I747" s="228">
        <v>14400000</v>
      </c>
      <c r="J747" s="228"/>
      <c r="K747" s="228"/>
      <c r="L747" s="228"/>
      <c r="M747" s="228"/>
      <c r="N747" s="228"/>
      <c r="O747" s="228"/>
      <c r="P747" s="228">
        <v>4800</v>
      </c>
      <c r="Q747" s="228">
        <v>14400000</v>
      </c>
    </row>
    <row r="748" spans="1:17">
      <c r="A748"/>
      <c r="B748" s="165" t="s">
        <v>158</v>
      </c>
      <c r="C748" s="165">
        <v>3000</v>
      </c>
      <c r="D748" s="228"/>
      <c r="E748" s="228"/>
      <c r="F748" s="228"/>
      <c r="G748" s="228"/>
      <c r="H748" s="228"/>
      <c r="I748" s="228"/>
      <c r="J748" s="228"/>
      <c r="K748" s="228"/>
      <c r="L748" s="228">
        <v>24000</v>
      </c>
      <c r="M748" s="228">
        <v>72000000</v>
      </c>
      <c r="N748" s="228"/>
      <c r="O748" s="228"/>
      <c r="P748" s="228">
        <v>24000</v>
      </c>
      <c r="Q748" s="228">
        <v>72000000</v>
      </c>
    </row>
    <row r="749" spans="1:17">
      <c r="A749"/>
      <c r="B749" s="165" t="s">
        <v>1009</v>
      </c>
      <c r="C749" s="165">
        <v>2800</v>
      </c>
      <c r="D749" s="228"/>
      <c r="E749" s="228"/>
      <c r="F749" s="228">
        <v>0</v>
      </c>
      <c r="G749" s="228">
        <v>0</v>
      </c>
      <c r="H749" s="228"/>
      <c r="I749" s="228"/>
      <c r="J749" s="228"/>
      <c r="K749" s="228"/>
      <c r="L749" s="228"/>
      <c r="M749" s="228"/>
      <c r="N749" s="228"/>
      <c r="O749" s="228"/>
      <c r="P749" s="228">
        <v>0</v>
      </c>
      <c r="Q749" s="228">
        <v>0</v>
      </c>
    </row>
    <row r="750" spans="1:17">
      <c r="A750"/>
      <c r="B750"/>
      <c r="C750" s="165">
        <v>2900</v>
      </c>
      <c r="D750" s="228"/>
      <c r="E750" s="228"/>
      <c r="F750" s="228">
        <v>0</v>
      </c>
      <c r="G750" s="228">
        <v>0</v>
      </c>
      <c r="H750" s="228"/>
      <c r="I750" s="228"/>
      <c r="J750" s="228"/>
      <c r="K750" s="228"/>
      <c r="L750" s="228"/>
      <c r="M750" s="228"/>
      <c r="N750" s="228"/>
      <c r="O750" s="228"/>
      <c r="P750" s="228">
        <v>0</v>
      </c>
      <c r="Q750" s="228">
        <v>0</v>
      </c>
    </row>
    <row r="751" spans="1:17">
      <c r="A751"/>
      <c r="B751" s="165" t="s">
        <v>211</v>
      </c>
      <c r="C751" s="165">
        <v>3300</v>
      </c>
      <c r="D751" s="228"/>
      <c r="E751" s="228"/>
      <c r="F751" s="228">
        <v>0</v>
      </c>
      <c r="G751" s="228">
        <v>0</v>
      </c>
      <c r="H751" s="228"/>
      <c r="I751" s="228"/>
      <c r="J751" s="228"/>
      <c r="K751" s="228"/>
      <c r="L751" s="228"/>
      <c r="M751" s="228"/>
      <c r="N751" s="228"/>
      <c r="O751" s="228"/>
      <c r="P751" s="228">
        <v>0</v>
      </c>
      <c r="Q751" s="228">
        <v>0</v>
      </c>
    </row>
    <row r="752" spans="1:17">
      <c r="A752"/>
      <c r="B752" s="165" t="s">
        <v>215</v>
      </c>
      <c r="C752" s="165">
        <v>2800</v>
      </c>
      <c r="D752" s="228"/>
      <c r="E752" s="228"/>
      <c r="F752" s="228">
        <v>0</v>
      </c>
      <c r="G752" s="228">
        <v>0</v>
      </c>
      <c r="H752" s="228"/>
      <c r="I752" s="228"/>
      <c r="J752" s="228"/>
      <c r="K752" s="228"/>
      <c r="L752" s="228"/>
      <c r="M752" s="228"/>
      <c r="N752" s="228"/>
      <c r="O752" s="228"/>
      <c r="P752" s="228">
        <v>0</v>
      </c>
      <c r="Q752" s="228">
        <v>0</v>
      </c>
    </row>
    <row r="753" spans="1:17">
      <c r="A753"/>
      <c r="B753" s="165" t="s">
        <v>1086</v>
      </c>
      <c r="C753" s="165">
        <v>2800</v>
      </c>
      <c r="D753" s="228"/>
      <c r="E753" s="228"/>
      <c r="F753" s="228">
        <v>0</v>
      </c>
      <c r="G753" s="228">
        <v>0</v>
      </c>
      <c r="H753" s="228"/>
      <c r="I753" s="228"/>
      <c r="J753" s="228"/>
      <c r="K753" s="228"/>
      <c r="L753" s="228"/>
      <c r="M753" s="228"/>
      <c r="N753" s="228"/>
      <c r="O753" s="228"/>
      <c r="P753" s="228">
        <v>0</v>
      </c>
      <c r="Q753" s="228">
        <v>0</v>
      </c>
    </row>
    <row r="754" spans="1:17">
      <c r="A754"/>
      <c r="B754"/>
      <c r="C754" s="165">
        <v>2900</v>
      </c>
      <c r="D754" s="228">
        <v>0</v>
      </c>
      <c r="E754" s="228">
        <v>0</v>
      </c>
      <c r="F754" s="228">
        <v>0</v>
      </c>
      <c r="G754" s="228">
        <v>0</v>
      </c>
      <c r="H754" s="228"/>
      <c r="I754" s="228"/>
      <c r="J754" s="228"/>
      <c r="K754" s="228"/>
      <c r="L754" s="228"/>
      <c r="M754" s="228"/>
      <c r="N754" s="228"/>
      <c r="O754" s="228"/>
      <c r="P754" s="228">
        <v>0</v>
      </c>
      <c r="Q754" s="228">
        <v>0</v>
      </c>
    </row>
    <row r="755" spans="1:17">
      <c r="A755"/>
      <c r="B755"/>
      <c r="C755" s="165">
        <v>3000</v>
      </c>
      <c r="D755" s="228"/>
      <c r="E755" s="228"/>
      <c r="F755" s="228"/>
      <c r="G755" s="228"/>
      <c r="H755" s="228">
        <v>5200</v>
      </c>
      <c r="I755" s="228">
        <v>15600000</v>
      </c>
      <c r="J755" s="228"/>
      <c r="K755" s="228"/>
      <c r="L755" s="228"/>
      <c r="M755" s="228"/>
      <c r="N755" s="228"/>
      <c r="O755" s="228"/>
      <c r="P755" s="228">
        <v>5200</v>
      </c>
      <c r="Q755" s="228">
        <v>15600000</v>
      </c>
    </row>
    <row r="756" spans="1:17">
      <c r="A756"/>
      <c r="B756" s="165" t="s">
        <v>1370</v>
      </c>
      <c r="C756" s="165">
        <v>2900</v>
      </c>
      <c r="D756" s="228"/>
      <c r="E756" s="228"/>
      <c r="F756" s="228">
        <v>0</v>
      </c>
      <c r="G756" s="228">
        <v>0</v>
      </c>
      <c r="H756" s="228"/>
      <c r="I756" s="228"/>
      <c r="J756" s="228"/>
      <c r="K756" s="228"/>
      <c r="L756" s="228"/>
      <c r="M756" s="228"/>
      <c r="N756" s="228"/>
      <c r="O756" s="228"/>
      <c r="P756" s="228">
        <v>0</v>
      </c>
      <c r="Q756" s="228">
        <v>0</v>
      </c>
    </row>
    <row r="757" spans="1:17">
      <c r="A757"/>
      <c r="B757" s="165" t="s">
        <v>173</v>
      </c>
      <c r="C757" s="165">
        <v>2800</v>
      </c>
      <c r="D757" s="228"/>
      <c r="E757" s="228"/>
      <c r="F757" s="228">
        <v>0</v>
      </c>
      <c r="G757" s="228">
        <v>0</v>
      </c>
      <c r="H757" s="228"/>
      <c r="I757" s="228"/>
      <c r="J757" s="228"/>
      <c r="K757" s="228"/>
      <c r="L757" s="228"/>
      <c r="M757" s="228"/>
      <c r="N757" s="228"/>
      <c r="O757" s="228"/>
      <c r="P757" s="228">
        <v>0</v>
      </c>
      <c r="Q757" s="228">
        <v>0</v>
      </c>
    </row>
    <row r="758" spans="1:17">
      <c r="A758"/>
      <c r="B758"/>
      <c r="C758" s="165">
        <v>2900</v>
      </c>
      <c r="D758" s="228">
        <v>0</v>
      </c>
      <c r="E758" s="228">
        <v>0</v>
      </c>
      <c r="F758" s="228">
        <v>0</v>
      </c>
      <c r="G758" s="228">
        <v>0</v>
      </c>
      <c r="H758" s="228"/>
      <c r="I758" s="228"/>
      <c r="J758" s="228">
        <v>2800</v>
      </c>
      <c r="K758" s="228">
        <v>8120000</v>
      </c>
      <c r="L758" s="228"/>
      <c r="M758" s="228"/>
      <c r="N758" s="228"/>
      <c r="O758" s="228"/>
      <c r="P758" s="228">
        <v>2800</v>
      </c>
      <c r="Q758" s="228">
        <v>8120000</v>
      </c>
    </row>
    <row r="759" spans="1:17">
      <c r="A759"/>
      <c r="B759"/>
      <c r="C759" s="165">
        <v>3000</v>
      </c>
      <c r="D759" s="228"/>
      <c r="E759" s="228"/>
      <c r="F759" s="228"/>
      <c r="G759" s="228"/>
      <c r="H759" s="228">
        <v>6000</v>
      </c>
      <c r="I759" s="228">
        <v>18000000</v>
      </c>
      <c r="J759" s="228"/>
      <c r="K759" s="228"/>
      <c r="L759" s="228"/>
      <c r="M759" s="228"/>
      <c r="N759" s="228"/>
      <c r="O759" s="228"/>
      <c r="P759" s="228">
        <v>6000</v>
      </c>
      <c r="Q759" s="228">
        <v>18000000</v>
      </c>
    </row>
    <row r="760" spans="1:17">
      <c r="A760"/>
      <c r="B760" s="165" t="s">
        <v>201</v>
      </c>
      <c r="C760" s="165">
        <v>2800</v>
      </c>
      <c r="D760" s="228"/>
      <c r="E760" s="228"/>
      <c r="F760" s="228">
        <v>0</v>
      </c>
      <c r="G760" s="228">
        <v>0</v>
      </c>
      <c r="H760" s="228"/>
      <c r="I760" s="228"/>
      <c r="J760" s="228"/>
      <c r="K760" s="228"/>
      <c r="L760" s="228"/>
      <c r="M760" s="228"/>
      <c r="N760" s="228"/>
      <c r="O760" s="228"/>
      <c r="P760" s="228">
        <v>0</v>
      </c>
      <c r="Q760" s="228">
        <v>0</v>
      </c>
    </row>
    <row r="761" spans="1:17">
      <c r="A761"/>
      <c r="B761"/>
      <c r="C761" s="165">
        <v>2900</v>
      </c>
      <c r="D761" s="228"/>
      <c r="E761" s="228"/>
      <c r="F761" s="228">
        <v>0</v>
      </c>
      <c r="G761" s="228">
        <v>0</v>
      </c>
      <c r="H761" s="228"/>
      <c r="I761" s="228"/>
      <c r="J761" s="228"/>
      <c r="K761" s="228"/>
      <c r="L761" s="228"/>
      <c r="M761" s="228"/>
      <c r="N761" s="228"/>
      <c r="O761" s="228"/>
      <c r="P761" s="228">
        <v>0</v>
      </c>
      <c r="Q761" s="228">
        <v>0</v>
      </c>
    </row>
    <row r="762" spans="1:17">
      <c r="A762"/>
      <c r="B762"/>
      <c r="C762" s="165">
        <v>3000</v>
      </c>
      <c r="D762" s="228"/>
      <c r="E762" s="228"/>
      <c r="F762" s="228"/>
      <c r="G762" s="228"/>
      <c r="H762" s="228"/>
      <c r="I762" s="228"/>
      <c r="J762" s="228">
        <v>4000</v>
      </c>
      <c r="K762" s="228">
        <v>12000000</v>
      </c>
      <c r="L762" s="228">
        <v>6000</v>
      </c>
      <c r="M762" s="228">
        <v>18000000</v>
      </c>
      <c r="N762" s="228"/>
      <c r="O762" s="228"/>
      <c r="P762" s="228">
        <v>10000</v>
      </c>
      <c r="Q762" s="228">
        <v>30000000</v>
      </c>
    </row>
    <row r="763" spans="1:17">
      <c r="A763"/>
      <c r="B763"/>
      <c r="C763" s="165">
        <v>3100</v>
      </c>
      <c r="D763" s="228"/>
      <c r="E763" s="228"/>
      <c r="F763" s="228"/>
      <c r="G763" s="228"/>
      <c r="H763" s="228"/>
      <c r="I763" s="228"/>
      <c r="J763" s="228"/>
      <c r="K763" s="228"/>
      <c r="L763" s="228">
        <v>14400</v>
      </c>
      <c r="M763" s="228">
        <v>44640000</v>
      </c>
      <c r="N763" s="228"/>
      <c r="O763" s="228"/>
      <c r="P763" s="228">
        <v>14400</v>
      </c>
      <c r="Q763" s="228">
        <v>44640000</v>
      </c>
    </row>
    <row r="764" spans="1:17">
      <c r="A764"/>
      <c r="B764" s="165" t="s">
        <v>1788</v>
      </c>
      <c r="C764" s="165">
        <v>2900</v>
      </c>
      <c r="D764" s="228"/>
      <c r="E764" s="228"/>
      <c r="F764" s="228">
        <v>0</v>
      </c>
      <c r="G764" s="228">
        <v>0</v>
      </c>
      <c r="H764" s="228"/>
      <c r="I764" s="228"/>
      <c r="J764" s="228"/>
      <c r="K764" s="228"/>
      <c r="L764" s="228"/>
      <c r="M764" s="228"/>
      <c r="N764" s="228"/>
      <c r="O764" s="228"/>
      <c r="P764" s="228">
        <v>0</v>
      </c>
      <c r="Q764" s="228">
        <v>0</v>
      </c>
    </row>
    <row r="765" spans="1:17">
      <c r="A765"/>
      <c r="B765" s="165" t="s">
        <v>224</v>
      </c>
      <c r="C765" s="165">
        <v>2800</v>
      </c>
      <c r="D765" s="228"/>
      <c r="E765" s="228"/>
      <c r="F765" s="228">
        <v>0</v>
      </c>
      <c r="G765" s="228">
        <v>0</v>
      </c>
      <c r="H765" s="228"/>
      <c r="I765" s="228"/>
      <c r="J765" s="228"/>
      <c r="K765" s="228"/>
      <c r="L765" s="228"/>
      <c r="M765" s="228"/>
      <c r="N765" s="228"/>
      <c r="O765" s="228"/>
      <c r="P765" s="228">
        <v>0</v>
      </c>
      <c r="Q765" s="228">
        <v>0</v>
      </c>
    </row>
    <row r="766" spans="1:17">
      <c r="A766"/>
      <c r="B766" s="165" t="s">
        <v>1491</v>
      </c>
      <c r="C766" s="165">
        <v>2900</v>
      </c>
      <c r="D766" s="228">
        <v>0</v>
      </c>
      <c r="E766" s="228">
        <v>0</v>
      </c>
      <c r="F766" s="228">
        <v>0</v>
      </c>
      <c r="G766" s="228">
        <v>0</v>
      </c>
      <c r="H766" s="228"/>
      <c r="I766" s="228"/>
      <c r="J766" s="228"/>
      <c r="K766" s="228"/>
      <c r="L766" s="228"/>
      <c r="M766" s="228"/>
      <c r="N766" s="228"/>
      <c r="O766" s="228"/>
      <c r="P766" s="228">
        <v>0</v>
      </c>
      <c r="Q766" s="228">
        <v>0</v>
      </c>
    </row>
    <row r="767" spans="1:17">
      <c r="A767"/>
      <c r="B767" s="165" t="s">
        <v>234</v>
      </c>
      <c r="C767" s="165">
        <v>2800</v>
      </c>
      <c r="D767" s="228"/>
      <c r="E767" s="228"/>
      <c r="F767" s="228">
        <v>0</v>
      </c>
      <c r="G767" s="228">
        <v>0</v>
      </c>
      <c r="H767" s="228"/>
      <c r="I767" s="228"/>
      <c r="J767" s="228"/>
      <c r="K767" s="228"/>
      <c r="L767" s="228"/>
      <c r="M767" s="228"/>
      <c r="N767" s="228"/>
      <c r="O767" s="228"/>
      <c r="P767" s="228">
        <v>0</v>
      </c>
      <c r="Q767" s="228">
        <v>0</v>
      </c>
    </row>
    <row r="768" spans="1:17">
      <c r="A768"/>
      <c r="B768" s="165" t="s">
        <v>1883</v>
      </c>
      <c r="C768" s="165">
        <v>3000</v>
      </c>
      <c r="D768" s="228"/>
      <c r="E768" s="228"/>
      <c r="F768" s="228"/>
      <c r="G768" s="228"/>
      <c r="H768" s="228">
        <v>10000</v>
      </c>
      <c r="I768" s="228">
        <v>30000000</v>
      </c>
      <c r="J768" s="228"/>
      <c r="K768" s="228"/>
      <c r="L768" s="228"/>
      <c r="M768" s="228"/>
      <c r="N768" s="228"/>
      <c r="O768" s="228"/>
      <c r="P768" s="228">
        <v>10000</v>
      </c>
      <c r="Q768" s="228">
        <v>30000000</v>
      </c>
    </row>
    <row r="769" spans="1:17">
      <c r="A769" s="165" t="s">
        <v>2126</v>
      </c>
      <c r="B769" s="165" t="s">
        <v>1241</v>
      </c>
      <c r="C769" s="165">
        <v>4400</v>
      </c>
      <c r="D769" s="228"/>
      <c r="E769" s="228"/>
      <c r="F769" s="228"/>
      <c r="G769" s="228"/>
      <c r="H769" s="228"/>
      <c r="I769" s="228"/>
      <c r="J769" s="228">
        <v>3900</v>
      </c>
      <c r="K769" s="228">
        <v>17160000</v>
      </c>
      <c r="L769" s="228"/>
      <c r="M769" s="228"/>
      <c r="N769" s="228"/>
      <c r="O769" s="228"/>
      <c r="P769" s="228">
        <v>3900</v>
      </c>
      <c r="Q769" s="228">
        <v>17160000</v>
      </c>
    </row>
    <row r="770" spans="1:17">
      <c r="A770"/>
      <c r="B770"/>
      <c r="C770" s="165">
        <v>4500</v>
      </c>
      <c r="D770" s="228">
        <v>0</v>
      </c>
      <c r="E770" s="228">
        <v>0</v>
      </c>
      <c r="F770" s="228"/>
      <c r="G770" s="228"/>
      <c r="H770" s="228"/>
      <c r="I770" s="228"/>
      <c r="J770" s="228"/>
      <c r="K770" s="228"/>
      <c r="L770" s="228"/>
      <c r="M770" s="228"/>
      <c r="N770" s="228"/>
      <c r="O770" s="228"/>
      <c r="P770" s="228">
        <v>0</v>
      </c>
      <c r="Q770" s="228">
        <v>0</v>
      </c>
    </row>
    <row r="771" spans="1:17">
      <c r="A771"/>
      <c r="B771" s="165" t="s">
        <v>465</v>
      </c>
      <c r="C771" s="165">
        <v>4200</v>
      </c>
      <c r="D771" s="228"/>
      <c r="E771" s="228"/>
      <c r="F771" s="228">
        <v>0</v>
      </c>
      <c r="G771" s="228">
        <v>0</v>
      </c>
      <c r="H771" s="228"/>
      <c r="I771" s="228"/>
      <c r="J771" s="228"/>
      <c r="K771" s="228"/>
      <c r="L771" s="228"/>
      <c r="M771" s="228"/>
      <c r="N771" s="228"/>
      <c r="O771" s="228"/>
      <c r="P771" s="228">
        <v>0</v>
      </c>
      <c r="Q771" s="228">
        <v>0</v>
      </c>
    </row>
    <row r="772" spans="1:17">
      <c r="A772"/>
      <c r="B772"/>
      <c r="C772" s="165">
        <v>4400</v>
      </c>
      <c r="D772" s="228"/>
      <c r="E772" s="228"/>
      <c r="F772" s="228">
        <v>0</v>
      </c>
      <c r="G772" s="228">
        <v>0</v>
      </c>
      <c r="H772" s="228"/>
      <c r="I772" s="228"/>
      <c r="J772" s="228"/>
      <c r="K772" s="228"/>
      <c r="L772" s="228"/>
      <c r="M772" s="228"/>
      <c r="N772" s="228"/>
      <c r="O772" s="228"/>
      <c r="P772" s="228">
        <v>0</v>
      </c>
      <c r="Q772" s="228">
        <v>0</v>
      </c>
    </row>
    <row r="773" spans="1:17">
      <c r="A773"/>
      <c r="B773"/>
      <c r="C773" s="165">
        <v>4430</v>
      </c>
      <c r="D773" s="228"/>
      <c r="E773" s="228"/>
      <c r="F773" s="228"/>
      <c r="G773" s="228"/>
      <c r="H773" s="228"/>
      <c r="I773" s="228"/>
      <c r="J773" s="228">
        <v>20100</v>
      </c>
      <c r="K773" s="228">
        <v>89043000</v>
      </c>
      <c r="L773" s="228"/>
      <c r="M773" s="228"/>
      <c r="N773" s="228"/>
      <c r="O773" s="228"/>
      <c r="P773" s="228">
        <v>20100</v>
      </c>
      <c r="Q773" s="228">
        <v>89043000</v>
      </c>
    </row>
    <row r="774" spans="1:17">
      <c r="A774"/>
      <c r="B774"/>
      <c r="C774" s="165">
        <v>4600</v>
      </c>
      <c r="D774" s="228"/>
      <c r="E774" s="228"/>
      <c r="F774" s="228"/>
      <c r="G774" s="228"/>
      <c r="H774" s="228"/>
      <c r="I774" s="228"/>
      <c r="J774" s="228"/>
      <c r="K774" s="228"/>
      <c r="L774" s="228">
        <v>15000</v>
      </c>
      <c r="M774" s="228">
        <v>69000000</v>
      </c>
      <c r="N774" s="228"/>
      <c r="O774" s="228"/>
      <c r="P774" s="228">
        <v>15000</v>
      </c>
      <c r="Q774" s="228">
        <v>69000000</v>
      </c>
    </row>
    <row r="775" spans="1:17">
      <c r="A775"/>
      <c r="B775" s="165" t="s">
        <v>130</v>
      </c>
      <c r="C775" s="165">
        <v>4200</v>
      </c>
      <c r="D775" s="228"/>
      <c r="E775" s="228"/>
      <c r="F775" s="228">
        <v>0</v>
      </c>
      <c r="G775" s="228">
        <v>0</v>
      </c>
      <c r="H775" s="228"/>
      <c r="I775" s="228"/>
      <c r="J775" s="228"/>
      <c r="K775" s="228"/>
      <c r="L775" s="228"/>
      <c r="M775" s="228"/>
      <c r="N775" s="228"/>
      <c r="O775" s="228"/>
      <c r="P775" s="228">
        <v>0</v>
      </c>
      <c r="Q775" s="228">
        <v>0</v>
      </c>
    </row>
    <row r="776" spans="1:17">
      <c r="A776"/>
      <c r="B776" s="165" t="s">
        <v>1589</v>
      </c>
      <c r="C776" s="165">
        <v>4400</v>
      </c>
      <c r="D776" s="228">
        <v>0</v>
      </c>
      <c r="E776" s="228">
        <v>0</v>
      </c>
      <c r="F776" s="228">
        <v>0</v>
      </c>
      <c r="G776" s="228">
        <v>0</v>
      </c>
      <c r="H776" s="228"/>
      <c r="I776" s="228"/>
      <c r="J776" s="228"/>
      <c r="K776" s="228"/>
      <c r="L776" s="228"/>
      <c r="M776" s="228"/>
      <c r="N776" s="228"/>
      <c r="O776" s="228"/>
      <c r="P776" s="228">
        <v>0</v>
      </c>
      <c r="Q776" s="228">
        <v>0</v>
      </c>
    </row>
    <row r="777" spans="1:17">
      <c r="A777"/>
      <c r="B777" s="165" t="s">
        <v>1086</v>
      </c>
      <c r="C777" s="165">
        <v>4400</v>
      </c>
      <c r="D777" s="228"/>
      <c r="E777" s="228"/>
      <c r="F777" s="228">
        <v>0</v>
      </c>
      <c r="G777" s="228">
        <v>0</v>
      </c>
      <c r="H777" s="228"/>
      <c r="I777" s="228"/>
      <c r="J777" s="228"/>
      <c r="K777" s="228"/>
      <c r="L777" s="228"/>
      <c r="M777" s="228"/>
      <c r="N777" s="228"/>
      <c r="O777" s="228"/>
      <c r="P777" s="228">
        <v>0</v>
      </c>
      <c r="Q777" s="228">
        <v>0</v>
      </c>
    </row>
    <row r="778" spans="1:17">
      <c r="A778"/>
      <c r="B778" s="165" t="s">
        <v>201</v>
      </c>
      <c r="C778" s="165">
        <v>4600</v>
      </c>
      <c r="D778" s="228"/>
      <c r="E778" s="228"/>
      <c r="F778" s="228"/>
      <c r="G778" s="228"/>
      <c r="H778" s="228"/>
      <c r="I778" s="228"/>
      <c r="J778" s="228"/>
      <c r="K778" s="228"/>
      <c r="L778" s="228">
        <v>1200</v>
      </c>
      <c r="M778" s="228">
        <v>5520000</v>
      </c>
      <c r="N778" s="228"/>
      <c r="O778" s="228"/>
      <c r="P778" s="228">
        <v>1200</v>
      </c>
      <c r="Q778" s="228">
        <v>5520000</v>
      </c>
    </row>
    <row r="779" spans="1:17">
      <c r="A779" s="165" t="s">
        <v>2127</v>
      </c>
      <c r="B779" s="165" t="s">
        <v>1241</v>
      </c>
      <c r="C779" s="165">
        <v>6100</v>
      </c>
      <c r="D779" s="228"/>
      <c r="E779" s="228"/>
      <c r="F779" s="228"/>
      <c r="G779" s="228"/>
      <c r="H779" s="228"/>
      <c r="I779" s="228"/>
      <c r="J779" s="228"/>
      <c r="K779" s="228"/>
      <c r="L779" s="228">
        <v>5000</v>
      </c>
      <c r="M779" s="228">
        <v>30500000</v>
      </c>
      <c r="N779" s="228"/>
      <c r="O779" s="228"/>
      <c r="P779" s="228">
        <v>5000</v>
      </c>
      <c r="Q779" s="228">
        <v>30500000</v>
      </c>
    </row>
    <row r="780" spans="1:17">
      <c r="A780"/>
      <c r="B780" s="165" t="s">
        <v>391</v>
      </c>
      <c r="C780" s="165">
        <v>6100</v>
      </c>
      <c r="D780" s="228"/>
      <c r="E780" s="228"/>
      <c r="F780" s="228"/>
      <c r="G780" s="228"/>
      <c r="H780" s="228"/>
      <c r="I780" s="228"/>
      <c r="J780" s="228"/>
      <c r="K780" s="228"/>
      <c r="L780" s="228">
        <v>7000</v>
      </c>
      <c r="M780" s="228">
        <v>42700000</v>
      </c>
      <c r="N780" s="228"/>
      <c r="O780" s="228"/>
      <c r="P780" s="228">
        <v>7000</v>
      </c>
      <c r="Q780" s="228">
        <v>42700000</v>
      </c>
    </row>
    <row r="781" spans="1:17">
      <c r="A781"/>
      <c r="B781" s="165" t="s">
        <v>289</v>
      </c>
      <c r="C781" s="165">
        <v>6100</v>
      </c>
      <c r="D781" s="228"/>
      <c r="E781" s="228"/>
      <c r="F781" s="228"/>
      <c r="G781" s="228"/>
      <c r="H781" s="228"/>
      <c r="I781" s="228"/>
      <c r="J781" s="228"/>
      <c r="K781" s="228"/>
      <c r="L781" s="228">
        <v>1000</v>
      </c>
      <c r="M781" s="228">
        <v>6100000</v>
      </c>
      <c r="N781" s="228"/>
      <c r="O781" s="228"/>
      <c r="P781" s="228">
        <v>1000</v>
      </c>
      <c r="Q781" s="228">
        <v>6100000</v>
      </c>
    </row>
    <row r="782" spans="1:17">
      <c r="A782"/>
      <c r="B782" s="165" t="s">
        <v>130</v>
      </c>
      <c r="C782" s="165">
        <v>6100</v>
      </c>
      <c r="D782" s="228"/>
      <c r="E782" s="228"/>
      <c r="F782" s="228"/>
      <c r="G782" s="228"/>
      <c r="H782" s="228"/>
      <c r="I782" s="228"/>
      <c r="J782" s="228"/>
      <c r="K782" s="228"/>
      <c r="L782" s="228">
        <v>3000</v>
      </c>
      <c r="M782" s="228">
        <v>18300000</v>
      </c>
      <c r="N782" s="228"/>
      <c r="O782" s="228"/>
      <c r="P782" s="228">
        <v>3000</v>
      </c>
      <c r="Q782" s="228">
        <v>18300000</v>
      </c>
    </row>
    <row r="783" spans="1:17">
      <c r="A783"/>
      <c r="B783" s="165" t="s">
        <v>1086</v>
      </c>
      <c r="C783" s="165">
        <v>6100</v>
      </c>
      <c r="D783" s="228"/>
      <c r="E783" s="228"/>
      <c r="F783" s="228"/>
      <c r="G783" s="228"/>
      <c r="H783" s="228"/>
      <c r="I783" s="228"/>
      <c r="J783" s="228"/>
      <c r="K783" s="228"/>
      <c r="L783" s="228">
        <v>2000</v>
      </c>
      <c r="M783" s="228">
        <v>12200000</v>
      </c>
      <c r="N783" s="228"/>
      <c r="O783" s="228"/>
      <c r="P783" s="228">
        <v>2000</v>
      </c>
      <c r="Q783" s="228">
        <v>12200000</v>
      </c>
    </row>
    <row r="784" spans="1:17">
      <c r="A784"/>
      <c r="B784" s="165" t="s">
        <v>201</v>
      </c>
      <c r="C784" s="165">
        <v>6300</v>
      </c>
      <c r="D784" s="228"/>
      <c r="E784" s="228"/>
      <c r="F784" s="228"/>
      <c r="G784" s="228"/>
      <c r="H784" s="228"/>
      <c r="I784" s="228"/>
      <c r="J784" s="228"/>
      <c r="K784" s="228"/>
      <c r="L784" s="228">
        <v>2000</v>
      </c>
      <c r="M784" s="228">
        <v>12600000</v>
      </c>
      <c r="N784" s="228"/>
      <c r="O784" s="228"/>
      <c r="P784" s="228">
        <v>2000</v>
      </c>
      <c r="Q784" s="228">
        <v>12600000</v>
      </c>
    </row>
    <row r="785" spans="1:17">
      <c r="A785" s="165" t="s">
        <v>2128</v>
      </c>
      <c r="B785" s="165" t="s">
        <v>1245</v>
      </c>
      <c r="C785" s="165">
        <v>4100</v>
      </c>
      <c r="D785" s="228"/>
      <c r="E785" s="228"/>
      <c r="F785" s="228"/>
      <c r="G785" s="228"/>
      <c r="H785" s="228"/>
      <c r="I785" s="228"/>
      <c r="J785" s="228">
        <v>1800</v>
      </c>
      <c r="K785" s="228">
        <v>7380000</v>
      </c>
      <c r="L785" s="228"/>
      <c r="M785" s="228"/>
      <c r="N785" s="228"/>
      <c r="O785" s="228"/>
      <c r="P785" s="228">
        <v>1800</v>
      </c>
      <c r="Q785" s="228">
        <v>7380000</v>
      </c>
    </row>
    <row r="786" spans="1:17">
      <c r="A786" s="165" t="s">
        <v>2129</v>
      </c>
      <c r="B786" s="165" t="s">
        <v>150</v>
      </c>
      <c r="C786" s="165">
        <v>5000</v>
      </c>
      <c r="D786" s="228"/>
      <c r="E786" s="228"/>
      <c r="F786" s="228"/>
      <c r="G786" s="228"/>
      <c r="H786" s="228"/>
      <c r="I786" s="228"/>
      <c r="J786" s="228">
        <v>4175</v>
      </c>
      <c r="K786" s="228">
        <v>20875000</v>
      </c>
      <c r="L786" s="228"/>
      <c r="M786" s="228"/>
      <c r="N786" s="228"/>
      <c r="O786" s="228"/>
      <c r="P786" s="228">
        <v>4175</v>
      </c>
      <c r="Q786" s="228">
        <v>20875000</v>
      </c>
    </row>
    <row r="787" spans="1:17">
      <c r="A787"/>
      <c r="B787" s="165" t="s">
        <v>1237</v>
      </c>
      <c r="C787" s="165">
        <v>5100</v>
      </c>
      <c r="D787" s="228"/>
      <c r="E787" s="228"/>
      <c r="F787" s="228"/>
      <c r="G787" s="228"/>
      <c r="H787" s="228"/>
      <c r="I787" s="228"/>
      <c r="J787" s="228">
        <v>4675</v>
      </c>
      <c r="K787" s="228">
        <v>23842500</v>
      </c>
      <c r="L787" s="228"/>
      <c r="M787" s="228"/>
      <c r="N787" s="228"/>
      <c r="O787" s="228"/>
      <c r="P787" s="228">
        <v>4675</v>
      </c>
      <c r="Q787" s="228">
        <v>23842500</v>
      </c>
    </row>
    <row r="788" spans="1:17">
      <c r="A788"/>
      <c r="B788" s="165" t="s">
        <v>188</v>
      </c>
      <c r="C788" s="165">
        <v>5000</v>
      </c>
      <c r="D788" s="228"/>
      <c r="E788" s="228"/>
      <c r="F788" s="228"/>
      <c r="G788" s="228"/>
      <c r="H788" s="228"/>
      <c r="I788" s="228"/>
      <c r="J788" s="228">
        <v>2200</v>
      </c>
      <c r="K788" s="228">
        <v>11000000</v>
      </c>
      <c r="L788" s="228"/>
      <c r="M788" s="228"/>
      <c r="N788" s="228"/>
      <c r="O788" s="228"/>
      <c r="P788" s="228">
        <v>2200</v>
      </c>
      <c r="Q788" s="228">
        <v>11000000</v>
      </c>
    </row>
    <row r="789" spans="1:17">
      <c r="A789"/>
      <c r="B789" s="165" t="s">
        <v>84</v>
      </c>
      <c r="C789" s="165">
        <v>5000</v>
      </c>
      <c r="D789" s="228">
        <v>0</v>
      </c>
      <c r="E789" s="228">
        <v>0</v>
      </c>
      <c r="F789" s="228"/>
      <c r="G789" s="228"/>
      <c r="H789" s="228"/>
      <c r="I789" s="228"/>
      <c r="J789" s="228"/>
      <c r="K789" s="228"/>
      <c r="L789" s="228"/>
      <c r="M789" s="228"/>
      <c r="N789" s="228"/>
      <c r="O789" s="228"/>
      <c r="P789" s="228">
        <v>0</v>
      </c>
      <c r="Q789" s="228">
        <v>0</v>
      </c>
    </row>
    <row r="790" spans="1:17">
      <c r="A790"/>
      <c r="B790" s="165" t="s">
        <v>291</v>
      </c>
      <c r="C790" s="165">
        <v>5000</v>
      </c>
      <c r="D790" s="228"/>
      <c r="E790" s="228"/>
      <c r="F790" s="228"/>
      <c r="G790" s="228"/>
      <c r="H790" s="228">
        <v>2200</v>
      </c>
      <c r="I790" s="228">
        <v>11000000</v>
      </c>
      <c r="J790" s="228">
        <v>825</v>
      </c>
      <c r="K790" s="228">
        <v>4125000</v>
      </c>
      <c r="L790" s="228"/>
      <c r="M790" s="228"/>
      <c r="N790" s="228"/>
      <c r="O790" s="228"/>
      <c r="P790" s="228">
        <v>3025</v>
      </c>
      <c r="Q790" s="228">
        <v>15125000</v>
      </c>
    </row>
    <row r="791" spans="1:17">
      <c r="A791"/>
      <c r="B791" s="165" t="s">
        <v>1370</v>
      </c>
      <c r="C791" s="165">
        <v>5000</v>
      </c>
      <c r="D791" s="228"/>
      <c r="E791" s="228"/>
      <c r="F791" s="228">
        <v>0</v>
      </c>
      <c r="G791" s="228">
        <v>0</v>
      </c>
      <c r="H791" s="228"/>
      <c r="I791" s="228"/>
      <c r="J791" s="228"/>
      <c r="K791" s="228"/>
      <c r="L791" s="228"/>
      <c r="M791" s="228"/>
      <c r="N791" s="228"/>
      <c r="O791" s="228"/>
      <c r="P791" s="228">
        <v>0</v>
      </c>
      <c r="Q791" s="228">
        <v>0</v>
      </c>
    </row>
    <row r="792" spans="1:17">
      <c r="A792"/>
      <c r="B792" s="165" t="s">
        <v>239</v>
      </c>
      <c r="C792" s="165">
        <v>5000</v>
      </c>
      <c r="D792" s="228"/>
      <c r="E792" s="228"/>
      <c r="F792" s="228">
        <v>0</v>
      </c>
      <c r="G792" s="228">
        <v>0</v>
      </c>
      <c r="H792" s="228"/>
      <c r="I792" s="228"/>
      <c r="J792" s="228"/>
      <c r="K792" s="228"/>
      <c r="L792" s="228"/>
      <c r="M792" s="228"/>
      <c r="N792" s="228"/>
      <c r="O792" s="228"/>
      <c r="P792" s="228">
        <v>0</v>
      </c>
      <c r="Q792" s="228">
        <v>0</v>
      </c>
    </row>
    <row r="793" spans="1:17">
      <c r="A793"/>
      <c r="B793" s="165" t="s">
        <v>216</v>
      </c>
      <c r="C793" s="165">
        <v>5000</v>
      </c>
      <c r="D793" s="228"/>
      <c r="E793" s="228"/>
      <c r="F793" s="228">
        <v>0</v>
      </c>
      <c r="G793" s="228">
        <v>0</v>
      </c>
      <c r="H793" s="228"/>
      <c r="I793" s="228"/>
      <c r="J793" s="228"/>
      <c r="K793" s="228"/>
      <c r="L793" s="228"/>
      <c r="M793" s="228"/>
      <c r="N793" s="228"/>
      <c r="O793" s="228"/>
      <c r="P793" s="228">
        <v>0</v>
      </c>
      <c r="Q793" s="228">
        <v>0</v>
      </c>
    </row>
    <row r="794" spans="1:17">
      <c r="A794"/>
      <c r="B794" s="165" t="s">
        <v>1493</v>
      </c>
      <c r="C794" s="165">
        <v>5000</v>
      </c>
      <c r="D794" s="228"/>
      <c r="E794" s="228"/>
      <c r="F794" s="228">
        <v>0</v>
      </c>
      <c r="G794" s="228">
        <v>0</v>
      </c>
      <c r="H794" s="228"/>
      <c r="I794" s="228"/>
      <c r="J794" s="228"/>
      <c r="K794" s="228"/>
      <c r="L794" s="228"/>
      <c r="M794" s="228"/>
      <c r="N794" s="228"/>
      <c r="O794" s="228"/>
      <c r="P794" s="228">
        <v>0</v>
      </c>
      <c r="Q794" s="228">
        <v>0</v>
      </c>
    </row>
    <row r="795" spans="1:17">
      <c r="A795" s="165" t="s">
        <v>2130</v>
      </c>
      <c r="B795" s="165" t="s">
        <v>688</v>
      </c>
      <c r="C795" s="165">
        <v>5000</v>
      </c>
      <c r="D795" s="228"/>
      <c r="E795" s="228"/>
      <c r="F795" s="228">
        <v>0</v>
      </c>
      <c r="G795" s="228">
        <v>0</v>
      </c>
      <c r="H795" s="228"/>
      <c r="I795" s="228"/>
      <c r="J795" s="228"/>
      <c r="K795" s="228"/>
      <c r="L795" s="228"/>
      <c r="M795" s="228"/>
      <c r="N795" s="228"/>
      <c r="O795" s="228"/>
      <c r="P795" s="228">
        <v>0</v>
      </c>
      <c r="Q795" s="228">
        <v>0</v>
      </c>
    </row>
    <row r="796" spans="1:17">
      <c r="A796"/>
      <c r="B796" s="165" t="s">
        <v>1241</v>
      </c>
      <c r="C796" s="165">
        <v>4800</v>
      </c>
      <c r="D796" s="228"/>
      <c r="E796" s="228"/>
      <c r="F796" s="228">
        <v>0</v>
      </c>
      <c r="G796" s="228">
        <v>0</v>
      </c>
      <c r="H796" s="228"/>
      <c r="I796" s="228"/>
      <c r="J796" s="228"/>
      <c r="K796" s="228"/>
      <c r="L796" s="228"/>
      <c r="M796" s="228"/>
      <c r="N796" s="228"/>
      <c r="O796" s="228"/>
      <c r="P796" s="228">
        <v>0</v>
      </c>
      <c r="Q796" s="228">
        <v>0</v>
      </c>
    </row>
    <row r="797" spans="1:17">
      <c r="A797"/>
      <c r="B797"/>
      <c r="C797" s="165">
        <v>5000</v>
      </c>
      <c r="D797" s="228">
        <v>0</v>
      </c>
      <c r="E797" s="228">
        <v>0</v>
      </c>
      <c r="F797" s="228"/>
      <c r="G797" s="228"/>
      <c r="H797" s="228"/>
      <c r="I797" s="228"/>
      <c r="J797" s="228"/>
      <c r="K797" s="228"/>
      <c r="L797" s="228"/>
      <c r="M797" s="228"/>
      <c r="N797" s="228"/>
      <c r="O797" s="228"/>
      <c r="P797" s="228">
        <v>0</v>
      </c>
      <c r="Q797" s="228">
        <v>0</v>
      </c>
    </row>
    <row r="798" spans="1:17">
      <c r="A798"/>
      <c r="B798" s="165" t="s">
        <v>150</v>
      </c>
      <c r="C798" s="165">
        <v>5200</v>
      </c>
      <c r="D798" s="228"/>
      <c r="E798" s="228"/>
      <c r="F798" s="228">
        <v>0</v>
      </c>
      <c r="G798" s="228">
        <v>0</v>
      </c>
      <c r="H798" s="228"/>
      <c r="I798" s="228"/>
      <c r="J798" s="228"/>
      <c r="K798" s="228"/>
      <c r="L798" s="228"/>
      <c r="M798" s="228"/>
      <c r="N798" s="228"/>
      <c r="O798" s="228"/>
      <c r="P798" s="228">
        <v>0</v>
      </c>
      <c r="Q798" s="228">
        <v>0</v>
      </c>
    </row>
    <row r="799" spans="1:17">
      <c r="A799"/>
      <c r="B799" s="165" t="s">
        <v>285</v>
      </c>
      <c r="C799" s="165">
        <v>4800</v>
      </c>
      <c r="D799" s="228"/>
      <c r="E799" s="228"/>
      <c r="F799" s="228">
        <v>0</v>
      </c>
      <c r="G799" s="228">
        <v>0</v>
      </c>
      <c r="H799" s="228"/>
      <c r="I799" s="228"/>
      <c r="J799" s="228"/>
      <c r="K799" s="228"/>
      <c r="L799" s="228"/>
      <c r="M799" s="228"/>
      <c r="N799" s="228"/>
      <c r="O799" s="228"/>
      <c r="P799" s="228">
        <v>0</v>
      </c>
      <c r="Q799" s="228">
        <v>0</v>
      </c>
    </row>
    <row r="800" spans="1:17">
      <c r="A800"/>
      <c r="B800" s="165" t="s">
        <v>771</v>
      </c>
      <c r="C800" s="165">
        <v>5000</v>
      </c>
      <c r="D800" s="228">
        <v>0</v>
      </c>
      <c r="E800" s="228">
        <v>0</v>
      </c>
      <c r="F800" s="228"/>
      <c r="G800" s="228"/>
      <c r="H800" s="228"/>
      <c r="I800" s="228"/>
      <c r="J800" s="228"/>
      <c r="K800" s="228"/>
      <c r="L800" s="228"/>
      <c r="M800" s="228"/>
      <c r="N800" s="228"/>
      <c r="O800" s="228"/>
      <c r="P800" s="228">
        <v>0</v>
      </c>
      <c r="Q800" s="228">
        <v>0</v>
      </c>
    </row>
    <row r="801" spans="1:17">
      <c r="A801"/>
      <c r="B801" s="165" t="s">
        <v>1237</v>
      </c>
      <c r="C801" s="165">
        <v>5100</v>
      </c>
      <c r="D801" s="228"/>
      <c r="E801" s="228"/>
      <c r="F801" s="228"/>
      <c r="G801" s="228"/>
      <c r="H801" s="228"/>
      <c r="I801" s="228"/>
      <c r="J801" s="228">
        <v>1500</v>
      </c>
      <c r="K801" s="228">
        <v>7650000</v>
      </c>
      <c r="L801" s="228"/>
      <c r="M801" s="228"/>
      <c r="N801" s="228"/>
      <c r="O801" s="228"/>
      <c r="P801" s="228">
        <v>1500</v>
      </c>
      <c r="Q801" s="228">
        <v>7650000</v>
      </c>
    </row>
    <row r="802" spans="1:17">
      <c r="A802"/>
      <c r="B802" s="165" t="s">
        <v>1555</v>
      </c>
      <c r="C802" s="165">
        <v>5000</v>
      </c>
      <c r="D802" s="228"/>
      <c r="E802" s="228"/>
      <c r="F802" s="228">
        <v>0</v>
      </c>
      <c r="G802" s="228">
        <v>0</v>
      </c>
      <c r="H802" s="228"/>
      <c r="I802" s="228"/>
      <c r="J802" s="228"/>
      <c r="K802" s="228"/>
      <c r="L802" s="228"/>
      <c r="M802" s="228"/>
      <c r="N802" s="228"/>
      <c r="O802" s="228"/>
      <c r="P802" s="228">
        <v>0</v>
      </c>
      <c r="Q802" s="228">
        <v>0</v>
      </c>
    </row>
    <row r="803" spans="1:17">
      <c r="A803"/>
      <c r="B803" s="165" t="s">
        <v>236</v>
      </c>
      <c r="C803" s="165">
        <v>4800</v>
      </c>
      <c r="D803" s="228"/>
      <c r="E803" s="228"/>
      <c r="F803" s="228">
        <v>0</v>
      </c>
      <c r="G803" s="228">
        <v>0</v>
      </c>
      <c r="H803" s="228"/>
      <c r="I803" s="228"/>
      <c r="J803" s="228"/>
      <c r="K803" s="228"/>
      <c r="L803" s="228"/>
      <c r="M803" s="228"/>
      <c r="N803" s="228"/>
      <c r="O803" s="228"/>
      <c r="P803" s="228">
        <v>0</v>
      </c>
      <c r="Q803" s="228">
        <v>0</v>
      </c>
    </row>
    <row r="804" spans="1:17">
      <c r="A804"/>
      <c r="B804"/>
      <c r="C804" s="165">
        <v>5100</v>
      </c>
      <c r="D804" s="228"/>
      <c r="E804" s="228"/>
      <c r="F804" s="228">
        <v>0</v>
      </c>
      <c r="G804" s="228">
        <v>0</v>
      </c>
      <c r="H804" s="228"/>
      <c r="I804" s="228"/>
      <c r="J804" s="228"/>
      <c r="K804" s="228"/>
      <c r="L804" s="228"/>
      <c r="M804" s="228"/>
      <c r="N804" s="228"/>
      <c r="O804" s="228"/>
      <c r="P804" s="228">
        <v>0</v>
      </c>
      <c r="Q804" s="228">
        <v>0</v>
      </c>
    </row>
    <row r="805" spans="1:17">
      <c r="A805"/>
      <c r="B805"/>
      <c r="C805" s="165">
        <v>5200</v>
      </c>
      <c r="D805" s="228"/>
      <c r="E805" s="228"/>
      <c r="F805" s="228"/>
      <c r="G805" s="228"/>
      <c r="H805" s="228">
        <v>10200</v>
      </c>
      <c r="I805" s="228">
        <v>53040000</v>
      </c>
      <c r="J805" s="228"/>
      <c r="K805" s="228"/>
      <c r="L805" s="228"/>
      <c r="M805" s="228"/>
      <c r="N805" s="228"/>
      <c r="O805" s="228"/>
      <c r="P805" s="228">
        <v>10200</v>
      </c>
      <c r="Q805" s="228">
        <v>53040000</v>
      </c>
    </row>
    <row r="806" spans="1:17">
      <c r="A806"/>
      <c r="B806" s="165" t="s">
        <v>1366</v>
      </c>
      <c r="C806" s="165">
        <v>6000</v>
      </c>
      <c r="D806" s="228"/>
      <c r="E806" s="228"/>
      <c r="F806" s="228">
        <v>0</v>
      </c>
      <c r="G806" s="228">
        <v>0</v>
      </c>
      <c r="H806" s="228"/>
      <c r="I806" s="228"/>
      <c r="J806" s="228"/>
      <c r="K806" s="228"/>
      <c r="L806" s="228"/>
      <c r="M806" s="228"/>
      <c r="N806" s="228"/>
      <c r="O806" s="228"/>
      <c r="P806" s="228">
        <v>0</v>
      </c>
      <c r="Q806" s="228">
        <v>0</v>
      </c>
    </row>
    <row r="807" spans="1:17">
      <c r="A807"/>
      <c r="B807" s="165" t="s">
        <v>130</v>
      </c>
      <c r="C807" s="165">
        <v>5000</v>
      </c>
      <c r="D807" s="228"/>
      <c r="E807" s="228"/>
      <c r="F807" s="228">
        <v>0</v>
      </c>
      <c r="G807" s="228">
        <v>0</v>
      </c>
      <c r="H807" s="228"/>
      <c r="I807" s="228"/>
      <c r="J807" s="228"/>
      <c r="K807" s="228"/>
      <c r="L807" s="228"/>
      <c r="M807" s="228"/>
      <c r="N807" s="228"/>
      <c r="O807" s="228"/>
      <c r="P807" s="228">
        <v>0</v>
      </c>
      <c r="Q807" s="228">
        <v>0</v>
      </c>
    </row>
    <row r="808" spans="1:17">
      <c r="A808"/>
      <c r="B808"/>
      <c r="C808" s="165">
        <v>5200</v>
      </c>
      <c r="D808" s="228"/>
      <c r="E808" s="228"/>
      <c r="F808" s="228">
        <v>0</v>
      </c>
      <c r="G808" s="228">
        <v>0</v>
      </c>
      <c r="H808" s="228"/>
      <c r="I808" s="228"/>
      <c r="J808" s="228"/>
      <c r="K808" s="228"/>
      <c r="L808" s="228"/>
      <c r="M808" s="228"/>
      <c r="N808" s="228"/>
      <c r="O808" s="228"/>
      <c r="P808" s="228">
        <v>0</v>
      </c>
      <c r="Q808" s="228">
        <v>0</v>
      </c>
    </row>
    <row r="809" spans="1:17">
      <c r="A809"/>
      <c r="B809" s="165" t="s">
        <v>84</v>
      </c>
      <c r="C809" s="165">
        <v>5000</v>
      </c>
      <c r="D809" s="228">
        <v>0</v>
      </c>
      <c r="E809" s="228">
        <v>0</v>
      </c>
      <c r="F809" s="228"/>
      <c r="G809" s="228"/>
      <c r="H809" s="228"/>
      <c r="I809" s="228"/>
      <c r="J809" s="228"/>
      <c r="K809" s="228"/>
      <c r="L809" s="228"/>
      <c r="M809" s="228"/>
      <c r="N809" s="228"/>
      <c r="O809" s="228"/>
      <c r="P809" s="228">
        <v>0</v>
      </c>
      <c r="Q809" s="228">
        <v>0</v>
      </c>
    </row>
    <row r="810" spans="1:17">
      <c r="A810"/>
      <c r="B810"/>
      <c r="C810" s="165">
        <v>5100</v>
      </c>
      <c r="D810" s="228">
        <v>0</v>
      </c>
      <c r="E810" s="228">
        <v>0</v>
      </c>
      <c r="F810" s="228"/>
      <c r="G810" s="228"/>
      <c r="H810" s="228"/>
      <c r="I810" s="228"/>
      <c r="J810" s="228"/>
      <c r="K810" s="228"/>
      <c r="L810" s="228"/>
      <c r="M810" s="228"/>
      <c r="N810" s="228"/>
      <c r="O810" s="228"/>
      <c r="P810" s="228">
        <v>0</v>
      </c>
      <c r="Q810" s="228">
        <v>0</v>
      </c>
    </row>
    <row r="811" spans="1:17">
      <c r="A811"/>
      <c r="B811" s="165" t="s">
        <v>1589</v>
      </c>
      <c r="C811" s="165">
        <v>5100</v>
      </c>
      <c r="D811" s="228"/>
      <c r="E811" s="228"/>
      <c r="F811" s="228">
        <v>0</v>
      </c>
      <c r="G811" s="228">
        <v>0</v>
      </c>
      <c r="H811" s="228"/>
      <c r="I811" s="228"/>
      <c r="J811" s="228"/>
      <c r="K811" s="228"/>
      <c r="L811" s="228"/>
      <c r="M811" s="228"/>
      <c r="N811" s="228"/>
      <c r="O811" s="228"/>
      <c r="P811" s="228">
        <v>0</v>
      </c>
      <c r="Q811" s="228">
        <v>0</v>
      </c>
    </row>
    <row r="812" spans="1:17">
      <c r="A812"/>
      <c r="B812"/>
      <c r="C812" s="165">
        <v>5200</v>
      </c>
      <c r="D812" s="228"/>
      <c r="E812" s="228"/>
      <c r="F812" s="228"/>
      <c r="G812" s="228"/>
      <c r="H812" s="228">
        <v>6000</v>
      </c>
      <c r="I812" s="228">
        <v>31200000</v>
      </c>
      <c r="J812" s="228"/>
      <c r="K812" s="228"/>
      <c r="L812" s="228">
        <v>10200</v>
      </c>
      <c r="M812" s="228">
        <v>53040000</v>
      </c>
      <c r="N812" s="228"/>
      <c r="O812" s="228"/>
      <c r="P812" s="228">
        <v>16200</v>
      </c>
      <c r="Q812" s="228">
        <v>84240000</v>
      </c>
    </row>
    <row r="813" spans="1:17">
      <c r="A813"/>
      <c r="B813" s="165" t="s">
        <v>291</v>
      </c>
      <c r="C813" s="165">
        <v>5000</v>
      </c>
      <c r="D813" s="228"/>
      <c r="E813" s="228"/>
      <c r="F813" s="228">
        <v>0</v>
      </c>
      <c r="G813" s="228">
        <v>0</v>
      </c>
      <c r="H813" s="228"/>
      <c r="I813" s="228"/>
      <c r="J813" s="228"/>
      <c r="K813" s="228"/>
      <c r="L813" s="228"/>
      <c r="M813" s="228"/>
      <c r="N813" s="228"/>
      <c r="O813" s="228"/>
      <c r="P813" s="228">
        <v>0</v>
      </c>
      <c r="Q813" s="228">
        <v>0</v>
      </c>
    </row>
    <row r="814" spans="1:17">
      <c r="A814"/>
      <c r="B814" s="165" t="s">
        <v>213</v>
      </c>
      <c r="C814" s="165">
        <v>4800</v>
      </c>
      <c r="D814" s="228"/>
      <c r="E814" s="228"/>
      <c r="F814" s="228">
        <v>0</v>
      </c>
      <c r="G814" s="228">
        <v>0</v>
      </c>
      <c r="H814" s="228"/>
      <c r="I814" s="228"/>
      <c r="J814" s="228"/>
      <c r="K814" s="228"/>
      <c r="L814" s="228"/>
      <c r="M814" s="228"/>
      <c r="N814" s="228"/>
      <c r="O814" s="228"/>
      <c r="P814" s="228">
        <v>0</v>
      </c>
      <c r="Q814" s="228">
        <v>0</v>
      </c>
    </row>
    <row r="815" spans="1:17">
      <c r="A815"/>
      <c r="B815" s="165" t="s">
        <v>1370</v>
      </c>
      <c r="C815" s="165">
        <v>5200</v>
      </c>
      <c r="D815" s="228">
        <v>0</v>
      </c>
      <c r="E815" s="228">
        <v>0</v>
      </c>
      <c r="F815" s="228"/>
      <c r="G815" s="228"/>
      <c r="H815" s="228"/>
      <c r="I815" s="228"/>
      <c r="J815" s="228"/>
      <c r="K815" s="228"/>
      <c r="L815" s="228"/>
      <c r="M815" s="228"/>
      <c r="N815" s="228"/>
      <c r="O815" s="228"/>
      <c r="P815" s="228">
        <v>0</v>
      </c>
      <c r="Q815" s="228">
        <v>0</v>
      </c>
    </row>
    <row r="816" spans="1:17">
      <c r="A816"/>
      <c r="B816" s="165" t="s">
        <v>195</v>
      </c>
      <c r="C816" s="165">
        <v>5000</v>
      </c>
      <c r="D816" s="228"/>
      <c r="E816" s="228"/>
      <c r="F816" s="228"/>
      <c r="G816" s="228"/>
      <c r="H816" s="228"/>
      <c r="I816" s="228"/>
      <c r="J816" s="228">
        <v>9000</v>
      </c>
      <c r="K816" s="228">
        <v>45000000</v>
      </c>
      <c r="L816" s="228"/>
      <c r="M816" s="228"/>
      <c r="N816" s="228"/>
      <c r="O816" s="228"/>
      <c r="P816" s="228">
        <v>9000</v>
      </c>
      <c r="Q816" s="228">
        <v>45000000</v>
      </c>
    </row>
    <row r="817" spans="1:17">
      <c r="A817"/>
      <c r="B817" s="165" t="s">
        <v>216</v>
      </c>
      <c r="C817" s="165">
        <v>5000</v>
      </c>
      <c r="D817" s="228"/>
      <c r="E817" s="228"/>
      <c r="F817" s="228">
        <v>0</v>
      </c>
      <c r="G817" s="228">
        <v>0</v>
      </c>
      <c r="H817" s="228"/>
      <c r="I817" s="228"/>
      <c r="J817" s="228"/>
      <c r="K817" s="228"/>
      <c r="L817" s="228"/>
      <c r="M817" s="228"/>
      <c r="N817" s="228"/>
      <c r="O817" s="228"/>
      <c r="P817" s="228">
        <v>0</v>
      </c>
      <c r="Q817" s="228">
        <v>0</v>
      </c>
    </row>
    <row r="818" spans="1:17">
      <c r="A818"/>
      <c r="B818" s="165" t="s">
        <v>1163</v>
      </c>
      <c r="C818" s="165">
        <v>4800</v>
      </c>
      <c r="D818" s="228">
        <v>0</v>
      </c>
      <c r="E818" s="228">
        <v>0</v>
      </c>
      <c r="F818" s="228"/>
      <c r="G818" s="228"/>
      <c r="H818" s="228"/>
      <c r="I818" s="228"/>
      <c r="J818" s="228"/>
      <c r="K818" s="228"/>
      <c r="L818" s="228"/>
      <c r="M818" s="228"/>
      <c r="N818" s="228"/>
      <c r="O818" s="228"/>
      <c r="P818" s="228">
        <v>0</v>
      </c>
      <c r="Q818" s="228">
        <v>0</v>
      </c>
    </row>
    <row r="819" spans="1:17">
      <c r="A819"/>
      <c r="B819"/>
      <c r="C819" s="165">
        <v>5200</v>
      </c>
      <c r="D819" s="228">
        <v>0</v>
      </c>
      <c r="E819" s="228">
        <v>0</v>
      </c>
      <c r="F819" s="228"/>
      <c r="G819" s="228"/>
      <c r="H819" s="228"/>
      <c r="I819" s="228"/>
      <c r="J819" s="228"/>
      <c r="K819" s="228"/>
      <c r="L819" s="228"/>
      <c r="M819" s="228"/>
      <c r="N819" s="228"/>
      <c r="O819" s="228"/>
      <c r="P819" s="228">
        <v>0</v>
      </c>
      <c r="Q819" s="228">
        <v>0</v>
      </c>
    </row>
    <row r="820" spans="1:17">
      <c r="A820" s="165" t="s">
        <v>2131</v>
      </c>
      <c r="B820" s="165" t="s">
        <v>216</v>
      </c>
      <c r="C820" s="165">
        <v>5000</v>
      </c>
      <c r="D820" s="228"/>
      <c r="E820" s="228"/>
      <c r="F820" s="228">
        <v>0</v>
      </c>
      <c r="G820" s="228">
        <v>0</v>
      </c>
      <c r="H820" s="228"/>
      <c r="I820" s="228"/>
      <c r="J820" s="228"/>
      <c r="K820" s="228"/>
      <c r="L820" s="228"/>
      <c r="M820" s="228"/>
      <c r="N820" s="228"/>
      <c r="O820" s="228"/>
      <c r="P820" s="228">
        <v>0</v>
      </c>
      <c r="Q820" s="228">
        <v>0</v>
      </c>
    </row>
    <row r="821" spans="1:17">
      <c r="A821" s="165" t="s">
        <v>2132</v>
      </c>
      <c r="B821" s="165" t="s">
        <v>688</v>
      </c>
      <c r="C821" s="165">
        <v>7700</v>
      </c>
      <c r="D821" s="228"/>
      <c r="E821" s="228"/>
      <c r="F821" s="228">
        <v>0</v>
      </c>
      <c r="G821" s="228">
        <v>0</v>
      </c>
      <c r="H821" s="228"/>
      <c r="I821" s="228"/>
      <c r="J821" s="228"/>
      <c r="K821" s="228"/>
      <c r="L821" s="228"/>
      <c r="M821" s="228"/>
      <c r="N821" s="228"/>
      <c r="O821" s="228"/>
      <c r="P821" s="228">
        <v>0</v>
      </c>
      <c r="Q821" s="228">
        <v>0</v>
      </c>
    </row>
    <row r="822" spans="1:17">
      <c r="A822"/>
      <c r="B822" s="165" t="s">
        <v>1241</v>
      </c>
      <c r="C822" s="165">
        <v>6700</v>
      </c>
      <c r="D822" s="228">
        <v>0</v>
      </c>
      <c r="E822" s="228">
        <v>0</v>
      </c>
      <c r="F822" s="228"/>
      <c r="G822" s="228"/>
      <c r="H822" s="228"/>
      <c r="I822" s="228"/>
      <c r="J822" s="228"/>
      <c r="K822" s="228"/>
      <c r="L822" s="228"/>
      <c r="M822" s="228"/>
      <c r="N822" s="228"/>
      <c r="O822" s="228"/>
      <c r="P822" s="228">
        <v>0</v>
      </c>
      <c r="Q822" s="228">
        <v>0</v>
      </c>
    </row>
    <row r="823" spans="1:17">
      <c r="A823"/>
      <c r="B823" s="165" t="s">
        <v>911</v>
      </c>
      <c r="C823" s="165">
        <v>6700</v>
      </c>
      <c r="D823" s="228"/>
      <c r="E823" s="228"/>
      <c r="F823" s="228">
        <v>5000</v>
      </c>
      <c r="G823" s="228">
        <v>33500000</v>
      </c>
      <c r="H823" s="228"/>
      <c r="I823" s="228"/>
      <c r="J823" s="228"/>
      <c r="K823" s="228"/>
      <c r="L823" s="228"/>
      <c r="M823" s="228"/>
      <c r="N823" s="228"/>
      <c r="O823" s="228"/>
      <c r="P823" s="228">
        <v>5000</v>
      </c>
      <c r="Q823" s="228">
        <v>33500000</v>
      </c>
    </row>
    <row r="824" spans="1:17">
      <c r="A824"/>
      <c r="B824" s="165" t="s">
        <v>270</v>
      </c>
      <c r="C824" s="165">
        <v>6700</v>
      </c>
      <c r="D824" s="228"/>
      <c r="E824" s="228"/>
      <c r="F824" s="228">
        <v>0</v>
      </c>
      <c r="G824" s="228">
        <v>0</v>
      </c>
      <c r="H824" s="228"/>
      <c r="I824" s="228"/>
      <c r="J824" s="228"/>
      <c r="K824" s="228"/>
      <c r="L824" s="228"/>
      <c r="M824" s="228"/>
      <c r="N824" s="228"/>
      <c r="O824" s="228"/>
      <c r="P824" s="228">
        <v>0</v>
      </c>
      <c r="Q824" s="228">
        <v>0</v>
      </c>
    </row>
    <row r="825" spans="1:17">
      <c r="A825"/>
      <c r="B825"/>
      <c r="C825" s="165">
        <v>6800</v>
      </c>
      <c r="D825" s="228"/>
      <c r="E825" s="228"/>
      <c r="F825" s="228">
        <v>0</v>
      </c>
      <c r="G825" s="228">
        <v>0</v>
      </c>
      <c r="H825" s="228"/>
      <c r="I825" s="228"/>
      <c r="J825" s="228"/>
      <c r="K825" s="228"/>
      <c r="L825" s="228"/>
      <c r="M825" s="228"/>
      <c r="N825" s="228"/>
      <c r="O825" s="228"/>
      <c r="P825" s="228">
        <v>0</v>
      </c>
      <c r="Q825" s="228">
        <v>0</v>
      </c>
    </row>
    <row r="826" spans="1:17">
      <c r="A826"/>
      <c r="B826"/>
      <c r="C826" s="165">
        <v>8100</v>
      </c>
      <c r="D826" s="228"/>
      <c r="E826" s="228"/>
      <c r="F826" s="228"/>
      <c r="G826" s="228"/>
      <c r="H826" s="228"/>
      <c r="I826" s="228"/>
      <c r="J826" s="228"/>
      <c r="K826" s="228"/>
      <c r="L826" s="228">
        <v>8000</v>
      </c>
      <c r="M826" s="228">
        <v>64800000</v>
      </c>
      <c r="N826" s="228"/>
      <c r="O826" s="228"/>
      <c r="P826" s="228">
        <v>8000</v>
      </c>
      <c r="Q826" s="228">
        <v>64800000</v>
      </c>
    </row>
    <row r="827" spans="1:17">
      <c r="A827"/>
      <c r="B827" s="165" t="s">
        <v>150</v>
      </c>
      <c r="C827" s="165">
        <v>6700</v>
      </c>
      <c r="D827" s="228">
        <v>0</v>
      </c>
      <c r="E827" s="228">
        <v>0</v>
      </c>
      <c r="F827" s="228">
        <v>0</v>
      </c>
      <c r="G827" s="228">
        <v>0</v>
      </c>
      <c r="H827" s="228"/>
      <c r="I827" s="228"/>
      <c r="J827" s="228"/>
      <c r="K827" s="228"/>
      <c r="L827" s="228"/>
      <c r="M827" s="228"/>
      <c r="N827" s="228"/>
      <c r="O827" s="228"/>
      <c r="P827" s="228">
        <v>0</v>
      </c>
      <c r="Q827" s="228">
        <v>0</v>
      </c>
    </row>
    <row r="828" spans="1:17">
      <c r="A828"/>
      <c r="B828" s="165" t="s">
        <v>1483</v>
      </c>
      <c r="C828" s="165">
        <v>7700</v>
      </c>
      <c r="D828" s="228">
        <v>0</v>
      </c>
      <c r="E828" s="228">
        <v>0</v>
      </c>
      <c r="F828" s="228"/>
      <c r="G828" s="228"/>
      <c r="H828" s="228"/>
      <c r="I828" s="228"/>
      <c r="J828" s="228"/>
      <c r="K828" s="228"/>
      <c r="L828" s="228"/>
      <c r="M828" s="228"/>
      <c r="N828" s="228"/>
      <c r="O828" s="228"/>
      <c r="P828" s="228">
        <v>0</v>
      </c>
      <c r="Q828" s="228">
        <v>0</v>
      </c>
    </row>
    <row r="829" spans="1:17">
      <c r="A829"/>
      <c r="B829" s="165" t="s">
        <v>162</v>
      </c>
      <c r="C829" s="165">
        <v>6500</v>
      </c>
      <c r="D829" s="228"/>
      <c r="E829" s="228"/>
      <c r="F829" s="228">
        <v>0</v>
      </c>
      <c r="G829" s="228">
        <v>0</v>
      </c>
      <c r="H829" s="228"/>
      <c r="I829" s="228"/>
      <c r="J829" s="228"/>
      <c r="K829" s="228"/>
      <c r="L829" s="228"/>
      <c r="M829" s="228"/>
      <c r="N829" s="228"/>
      <c r="O829" s="228"/>
      <c r="P829" s="228">
        <v>0</v>
      </c>
      <c r="Q829" s="228">
        <v>0</v>
      </c>
    </row>
    <row r="830" spans="1:17">
      <c r="A830"/>
      <c r="B830"/>
      <c r="C830" s="165">
        <v>6700</v>
      </c>
      <c r="D830" s="228"/>
      <c r="E830" s="228"/>
      <c r="F830" s="228">
        <v>0</v>
      </c>
      <c r="G830" s="228">
        <v>0</v>
      </c>
      <c r="H830" s="228"/>
      <c r="I830" s="228"/>
      <c r="J830" s="228"/>
      <c r="K830" s="228"/>
      <c r="L830" s="228"/>
      <c r="M830" s="228"/>
      <c r="N830" s="228"/>
      <c r="O830" s="228"/>
      <c r="P830" s="228">
        <v>0</v>
      </c>
      <c r="Q830" s="228">
        <v>0</v>
      </c>
    </row>
    <row r="831" spans="1:17">
      <c r="A831"/>
      <c r="B831" s="165" t="s">
        <v>771</v>
      </c>
      <c r="C831" s="165">
        <v>7500</v>
      </c>
      <c r="D831" s="228">
        <v>0</v>
      </c>
      <c r="E831" s="228">
        <v>0</v>
      </c>
      <c r="F831" s="228"/>
      <c r="G831" s="228"/>
      <c r="H831" s="228"/>
      <c r="I831" s="228"/>
      <c r="J831" s="228"/>
      <c r="K831" s="228"/>
      <c r="L831" s="228"/>
      <c r="M831" s="228"/>
      <c r="N831" s="228"/>
      <c r="O831" s="228"/>
      <c r="P831" s="228">
        <v>0</v>
      </c>
      <c r="Q831" s="228">
        <v>0</v>
      </c>
    </row>
    <row r="832" spans="1:17">
      <c r="A832"/>
      <c r="B832" s="165" t="s">
        <v>282</v>
      </c>
      <c r="C832" s="165">
        <v>6700</v>
      </c>
      <c r="D832" s="228"/>
      <c r="E832" s="228"/>
      <c r="F832" s="228">
        <v>0</v>
      </c>
      <c r="G832" s="228">
        <v>0</v>
      </c>
      <c r="H832" s="228"/>
      <c r="I832" s="228"/>
      <c r="J832" s="228"/>
      <c r="K832" s="228"/>
      <c r="L832" s="228"/>
      <c r="M832" s="228"/>
      <c r="N832" s="228"/>
      <c r="O832" s="228"/>
      <c r="P832" s="228">
        <v>0</v>
      </c>
      <c r="Q832" s="228">
        <v>0</v>
      </c>
    </row>
    <row r="833" spans="1:17">
      <c r="A833"/>
      <c r="B833"/>
      <c r="C833" s="165">
        <v>7700</v>
      </c>
      <c r="D833" s="228"/>
      <c r="E833" s="228"/>
      <c r="F833" s="228">
        <v>0</v>
      </c>
      <c r="G833" s="228">
        <v>0</v>
      </c>
      <c r="H833" s="228"/>
      <c r="I833" s="228"/>
      <c r="J833" s="228"/>
      <c r="K833" s="228"/>
      <c r="L833" s="228"/>
      <c r="M833" s="228"/>
      <c r="N833" s="228"/>
      <c r="O833" s="228"/>
      <c r="P833" s="228">
        <v>0</v>
      </c>
      <c r="Q833" s="228">
        <v>0</v>
      </c>
    </row>
    <row r="834" spans="1:17">
      <c r="A834"/>
      <c r="B834" s="165" t="s">
        <v>231</v>
      </c>
      <c r="C834" s="165">
        <v>6700</v>
      </c>
      <c r="D834" s="228"/>
      <c r="E834" s="228"/>
      <c r="F834" s="228">
        <v>0</v>
      </c>
      <c r="G834" s="228">
        <v>0</v>
      </c>
      <c r="H834" s="228"/>
      <c r="I834" s="228"/>
      <c r="J834" s="228"/>
      <c r="K834" s="228"/>
      <c r="L834" s="228"/>
      <c r="M834" s="228"/>
      <c r="N834" s="228"/>
      <c r="O834" s="228"/>
      <c r="P834" s="228">
        <v>0</v>
      </c>
      <c r="Q834" s="228">
        <v>0</v>
      </c>
    </row>
    <row r="835" spans="1:17">
      <c r="A835"/>
      <c r="B835" s="165" t="s">
        <v>236</v>
      </c>
      <c r="C835" s="165">
        <v>6700</v>
      </c>
      <c r="D835" s="228">
        <v>0</v>
      </c>
      <c r="E835" s="228">
        <v>0</v>
      </c>
      <c r="F835" s="228">
        <v>0</v>
      </c>
      <c r="G835" s="228">
        <v>0</v>
      </c>
      <c r="H835" s="228"/>
      <c r="I835" s="228"/>
      <c r="J835" s="228"/>
      <c r="K835" s="228"/>
      <c r="L835" s="228"/>
      <c r="M835" s="228"/>
      <c r="N835" s="228"/>
      <c r="O835" s="228"/>
      <c r="P835" s="228">
        <v>0</v>
      </c>
      <c r="Q835" s="228">
        <v>0</v>
      </c>
    </row>
    <row r="836" spans="1:17">
      <c r="A836"/>
      <c r="B836" s="165" t="s">
        <v>25</v>
      </c>
      <c r="C836" s="165">
        <v>6500</v>
      </c>
      <c r="D836" s="228"/>
      <c r="E836" s="228"/>
      <c r="F836" s="228">
        <v>0</v>
      </c>
      <c r="G836" s="228">
        <v>0</v>
      </c>
      <c r="H836" s="228"/>
      <c r="I836" s="228"/>
      <c r="J836" s="228"/>
      <c r="K836" s="228"/>
      <c r="L836" s="228">
        <v>40800</v>
      </c>
      <c r="M836" s="228">
        <v>265200000</v>
      </c>
      <c r="N836" s="228"/>
      <c r="O836" s="228"/>
      <c r="P836" s="228">
        <v>40800</v>
      </c>
      <c r="Q836" s="228">
        <v>265200000</v>
      </c>
    </row>
    <row r="837" spans="1:17">
      <c r="A837"/>
      <c r="B837"/>
      <c r="C837" s="165">
        <v>6700</v>
      </c>
      <c r="D837" s="228"/>
      <c r="E837" s="228"/>
      <c r="F837" s="228">
        <v>0</v>
      </c>
      <c r="G837" s="228">
        <v>0</v>
      </c>
      <c r="H837" s="228"/>
      <c r="I837" s="228"/>
      <c r="J837" s="228"/>
      <c r="K837" s="228"/>
      <c r="L837" s="228"/>
      <c r="M837" s="228"/>
      <c r="N837" s="228"/>
      <c r="O837" s="228"/>
      <c r="P837" s="228">
        <v>0</v>
      </c>
      <c r="Q837" s="228">
        <v>0</v>
      </c>
    </row>
    <row r="838" spans="1:17">
      <c r="A838"/>
      <c r="B838"/>
      <c r="C838" s="165">
        <v>6870</v>
      </c>
      <c r="D838" s="228"/>
      <c r="E838" s="228"/>
      <c r="F838" s="228"/>
      <c r="G838" s="228"/>
      <c r="H838" s="228"/>
      <c r="I838" s="228"/>
      <c r="J838" s="228">
        <v>4800</v>
      </c>
      <c r="K838" s="228">
        <v>32976000</v>
      </c>
      <c r="L838" s="228"/>
      <c r="M838" s="228"/>
      <c r="N838" s="228"/>
      <c r="O838" s="228"/>
      <c r="P838" s="228">
        <v>4800</v>
      </c>
      <c r="Q838" s="228">
        <v>32976000</v>
      </c>
    </row>
    <row r="839" spans="1:17">
      <c r="A839"/>
      <c r="B839"/>
      <c r="C839" s="165">
        <v>6999</v>
      </c>
      <c r="D839" s="228"/>
      <c r="E839" s="228"/>
      <c r="F839" s="228"/>
      <c r="G839" s="228"/>
      <c r="H839" s="228"/>
      <c r="I839" s="228"/>
      <c r="J839" s="228">
        <v>5200</v>
      </c>
      <c r="K839" s="228">
        <v>36394800</v>
      </c>
      <c r="L839" s="228"/>
      <c r="M839" s="228"/>
      <c r="N839" s="228"/>
      <c r="O839" s="228"/>
      <c r="P839" s="228">
        <v>5200</v>
      </c>
      <c r="Q839" s="228">
        <v>36394800</v>
      </c>
    </row>
    <row r="840" spans="1:17">
      <c r="A840"/>
      <c r="B840"/>
      <c r="C840" s="165" t="s">
        <v>1815</v>
      </c>
      <c r="D840" s="228"/>
      <c r="E840" s="228"/>
      <c r="F840" s="228"/>
      <c r="G840" s="228"/>
      <c r="H840" s="228">
        <v>20000</v>
      </c>
      <c r="I840" s="228" t="e">
        <v>#VALUE!</v>
      </c>
      <c r="J840" s="228"/>
      <c r="K840" s="228"/>
      <c r="L840" s="228">
        <v>20000</v>
      </c>
      <c r="M840" s="228" t="e">
        <v>#VALUE!</v>
      </c>
      <c r="N840" s="228"/>
      <c r="O840" s="228"/>
      <c r="P840" s="228">
        <v>40000</v>
      </c>
      <c r="Q840" s="228" t="e">
        <v>#VALUE!</v>
      </c>
    </row>
    <row r="841" spans="1:17">
      <c r="A841"/>
      <c r="B841" s="165" t="s">
        <v>66</v>
      </c>
      <c r="C841" s="165">
        <v>6700</v>
      </c>
      <c r="D841" s="228"/>
      <c r="E841" s="228"/>
      <c r="F841" s="228">
        <v>0</v>
      </c>
      <c r="G841" s="228">
        <v>0</v>
      </c>
      <c r="H841" s="228"/>
      <c r="I841" s="228"/>
      <c r="J841" s="228"/>
      <c r="K841" s="228"/>
      <c r="L841" s="228"/>
      <c r="M841" s="228"/>
      <c r="N841" s="228"/>
      <c r="O841" s="228"/>
      <c r="P841" s="228">
        <v>0</v>
      </c>
      <c r="Q841" s="228">
        <v>0</v>
      </c>
    </row>
    <row r="842" spans="1:17">
      <c r="A842"/>
      <c r="B842" s="165" t="s">
        <v>130</v>
      </c>
      <c r="C842" s="165">
        <v>6700</v>
      </c>
      <c r="D842" s="228"/>
      <c r="E842" s="228"/>
      <c r="F842" s="228">
        <v>0</v>
      </c>
      <c r="G842" s="228">
        <v>0</v>
      </c>
      <c r="H842" s="228"/>
      <c r="I842" s="228"/>
      <c r="J842" s="228"/>
      <c r="K842" s="228"/>
      <c r="L842" s="228"/>
      <c r="M842" s="228"/>
      <c r="N842" s="228"/>
      <c r="O842" s="228"/>
      <c r="P842" s="228">
        <v>0</v>
      </c>
      <c r="Q842" s="228">
        <v>0</v>
      </c>
    </row>
    <row r="843" spans="1:17">
      <c r="A843"/>
      <c r="B843"/>
      <c r="C843" s="165">
        <v>7700</v>
      </c>
      <c r="D843" s="228"/>
      <c r="E843" s="228"/>
      <c r="F843" s="228"/>
      <c r="G843" s="228"/>
      <c r="H843" s="228">
        <v>3000</v>
      </c>
      <c r="I843" s="228">
        <v>23100000</v>
      </c>
      <c r="J843" s="228"/>
      <c r="K843" s="228"/>
      <c r="L843" s="228"/>
      <c r="M843" s="228"/>
      <c r="N843" s="228"/>
      <c r="O843" s="228"/>
      <c r="P843" s="228">
        <v>3000</v>
      </c>
      <c r="Q843" s="228">
        <v>23100000</v>
      </c>
    </row>
    <row r="844" spans="1:17">
      <c r="A844"/>
      <c r="B844" s="165" t="s">
        <v>188</v>
      </c>
      <c r="C844" s="165">
        <v>6700</v>
      </c>
      <c r="D844" s="228"/>
      <c r="E844" s="228"/>
      <c r="F844" s="228">
        <v>0</v>
      </c>
      <c r="G844" s="228">
        <v>0</v>
      </c>
      <c r="H844" s="228"/>
      <c r="I844" s="228"/>
      <c r="J844" s="228"/>
      <c r="K844" s="228"/>
      <c r="L844" s="228"/>
      <c r="M844" s="228"/>
      <c r="N844" s="228"/>
      <c r="O844" s="228"/>
      <c r="P844" s="228">
        <v>0</v>
      </c>
      <c r="Q844" s="228">
        <v>0</v>
      </c>
    </row>
    <row r="845" spans="1:17">
      <c r="A845"/>
      <c r="B845"/>
      <c r="C845" s="165">
        <v>7700</v>
      </c>
      <c r="D845" s="228"/>
      <c r="E845" s="228"/>
      <c r="F845" s="228"/>
      <c r="G845" s="228"/>
      <c r="H845" s="228">
        <v>20000</v>
      </c>
      <c r="I845" s="228">
        <v>154000000</v>
      </c>
      <c r="J845" s="228"/>
      <c r="K845" s="228"/>
      <c r="L845" s="228"/>
      <c r="M845" s="228"/>
      <c r="N845" s="228"/>
      <c r="O845" s="228"/>
      <c r="P845" s="228">
        <v>20000</v>
      </c>
      <c r="Q845" s="228">
        <v>154000000</v>
      </c>
    </row>
    <row r="846" spans="1:17">
      <c r="A846"/>
      <c r="B846" s="165" t="s">
        <v>1589</v>
      </c>
      <c r="C846" s="165">
        <v>7800</v>
      </c>
      <c r="D846" s="228"/>
      <c r="E846" s="228"/>
      <c r="F846" s="228">
        <v>0</v>
      </c>
      <c r="G846" s="228">
        <v>0</v>
      </c>
      <c r="H846" s="228">
        <v>25000</v>
      </c>
      <c r="I846" s="228">
        <v>195000000</v>
      </c>
      <c r="J846" s="228"/>
      <c r="K846" s="228"/>
      <c r="L846" s="228">
        <v>11000</v>
      </c>
      <c r="M846" s="228">
        <v>85800000</v>
      </c>
      <c r="N846" s="228"/>
      <c r="O846" s="228"/>
      <c r="P846" s="228">
        <v>36000</v>
      </c>
      <c r="Q846" s="228">
        <v>280800000</v>
      </c>
    </row>
    <row r="847" spans="1:17">
      <c r="A847"/>
      <c r="B847"/>
      <c r="C847" s="165">
        <v>8100</v>
      </c>
      <c r="D847" s="228"/>
      <c r="E847" s="228"/>
      <c r="F847" s="228"/>
      <c r="G847" s="228"/>
      <c r="H847" s="228"/>
      <c r="I847" s="228"/>
      <c r="J847" s="228"/>
      <c r="K847" s="228"/>
      <c r="L847" s="228">
        <v>20000</v>
      </c>
      <c r="M847" s="228">
        <v>162000000</v>
      </c>
      <c r="N847" s="228"/>
      <c r="O847" s="228"/>
      <c r="P847" s="228">
        <v>20000</v>
      </c>
      <c r="Q847" s="228">
        <v>162000000</v>
      </c>
    </row>
    <row r="848" spans="1:17">
      <c r="A848"/>
      <c r="B848" s="165" t="s">
        <v>1370</v>
      </c>
      <c r="C848" s="165">
        <v>7800</v>
      </c>
      <c r="D848" s="228"/>
      <c r="E848" s="228"/>
      <c r="F848" s="228">
        <v>0</v>
      </c>
      <c r="G848" s="228">
        <v>0</v>
      </c>
      <c r="H848" s="228"/>
      <c r="I848" s="228"/>
      <c r="J848" s="228"/>
      <c r="K848" s="228"/>
      <c r="L848" s="228"/>
      <c r="M848" s="228"/>
      <c r="N848" s="228"/>
      <c r="O848" s="228"/>
      <c r="P848" s="228">
        <v>0</v>
      </c>
      <c r="Q848" s="228">
        <v>0</v>
      </c>
    </row>
    <row r="849" spans="1:17">
      <c r="A849"/>
      <c r="B849" s="165" t="s">
        <v>1163</v>
      </c>
      <c r="C849" s="165">
        <v>6700</v>
      </c>
      <c r="D849" s="228">
        <v>0</v>
      </c>
      <c r="E849" s="228">
        <v>0</v>
      </c>
      <c r="F849" s="228"/>
      <c r="G849" s="228"/>
      <c r="H849" s="228"/>
      <c r="I849" s="228"/>
      <c r="J849" s="228"/>
      <c r="K849" s="228"/>
      <c r="L849" s="228"/>
      <c r="M849" s="228"/>
      <c r="N849" s="228"/>
      <c r="O849" s="228"/>
      <c r="P849" s="228">
        <v>0</v>
      </c>
      <c r="Q849" s="228">
        <v>0</v>
      </c>
    </row>
    <row r="850" spans="1:17">
      <c r="A850"/>
      <c r="B850" s="165" t="s">
        <v>814</v>
      </c>
      <c r="C850" s="165">
        <v>6700</v>
      </c>
      <c r="D850" s="228"/>
      <c r="E850" s="228"/>
      <c r="F850" s="228"/>
      <c r="G850" s="228"/>
      <c r="H850" s="228"/>
      <c r="I850" s="228"/>
      <c r="J850" s="228">
        <v>10000</v>
      </c>
      <c r="K850" s="228">
        <v>67000000</v>
      </c>
      <c r="L850" s="228"/>
      <c r="M850" s="228"/>
      <c r="N850" s="228"/>
      <c r="O850" s="228"/>
      <c r="P850" s="228">
        <v>10000</v>
      </c>
      <c r="Q850" s="228">
        <v>67000000</v>
      </c>
    </row>
    <row r="851" spans="1:17">
      <c r="A851"/>
      <c r="B851" s="165" t="s">
        <v>251</v>
      </c>
      <c r="C851" s="165">
        <v>6700</v>
      </c>
      <c r="D851" s="228"/>
      <c r="E851" s="228"/>
      <c r="F851" s="228">
        <v>0</v>
      </c>
      <c r="G851" s="228">
        <v>0</v>
      </c>
      <c r="H851" s="228"/>
      <c r="I851" s="228"/>
      <c r="J851" s="228"/>
      <c r="K851" s="228"/>
      <c r="L851" s="228"/>
      <c r="M851" s="228"/>
      <c r="N851" s="228"/>
      <c r="O851" s="228"/>
      <c r="P851" s="228">
        <v>0</v>
      </c>
      <c r="Q851" s="228">
        <v>0</v>
      </c>
    </row>
    <row r="852" spans="1:17">
      <c r="A852"/>
      <c r="B852" s="165" t="s">
        <v>103</v>
      </c>
      <c r="C852" s="165">
        <v>6500</v>
      </c>
      <c r="D852" s="228"/>
      <c r="E852" s="228"/>
      <c r="F852" s="228">
        <v>0</v>
      </c>
      <c r="G852" s="228">
        <v>0</v>
      </c>
      <c r="H852" s="228"/>
      <c r="I852" s="228"/>
      <c r="J852" s="228"/>
      <c r="K852" s="228"/>
      <c r="L852" s="228"/>
      <c r="M852" s="228"/>
      <c r="N852" s="228"/>
      <c r="O852" s="228"/>
      <c r="P852" s="228">
        <v>0</v>
      </c>
      <c r="Q852" s="228">
        <v>0</v>
      </c>
    </row>
    <row r="853" spans="1:17">
      <c r="A853"/>
      <c r="B853"/>
      <c r="C853" s="165">
        <v>6700</v>
      </c>
      <c r="D853" s="228"/>
      <c r="E853" s="228"/>
      <c r="F853" s="228">
        <v>0</v>
      </c>
      <c r="G853" s="228">
        <v>0</v>
      </c>
      <c r="H853" s="228"/>
      <c r="I853" s="228"/>
      <c r="J853" s="228"/>
      <c r="K853" s="228"/>
      <c r="L853" s="228"/>
      <c r="M853" s="228"/>
      <c r="N853" s="228"/>
      <c r="O853" s="228"/>
      <c r="P853" s="228">
        <v>0</v>
      </c>
      <c r="Q853" s="228">
        <v>0</v>
      </c>
    </row>
    <row r="854" spans="1:17">
      <c r="A854"/>
      <c r="B854" s="165" t="s">
        <v>234</v>
      </c>
      <c r="C854" s="165">
        <v>7700</v>
      </c>
      <c r="D854" s="228"/>
      <c r="E854" s="228"/>
      <c r="F854" s="228">
        <v>0</v>
      </c>
      <c r="G854" s="228">
        <v>0</v>
      </c>
      <c r="H854" s="228"/>
      <c r="I854" s="228"/>
      <c r="J854" s="228"/>
      <c r="K854" s="228"/>
      <c r="L854" s="228"/>
      <c r="M854" s="228"/>
      <c r="N854" s="228"/>
      <c r="O854" s="228"/>
      <c r="P854" s="228">
        <v>0</v>
      </c>
      <c r="Q854" s="228">
        <v>0</v>
      </c>
    </row>
    <row r="855" spans="1:17">
      <c r="A855" s="165" t="s">
        <v>2133</v>
      </c>
      <c r="B855" s="165" t="s">
        <v>195</v>
      </c>
      <c r="C855" s="165">
        <v>11500</v>
      </c>
      <c r="D855" s="228"/>
      <c r="E855" s="228"/>
      <c r="F855" s="228"/>
      <c r="G855" s="228"/>
      <c r="H855" s="228"/>
      <c r="I855" s="228"/>
      <c r="J855" s="228"/>
      <c r="K855" s="228"/>
      <c r="L855" s="228">
        <v>5100</v>
      </c>
      <c r="M855" s="228">
        <v>58650000</v>
      </c>
      <c r="N855" s="228"/>
      <c r="O855" s="228"/>
      <c r="P855" s="228">
        <v>5100</v>
      </c>
      <c r="Q855" s="228">
        <v>58650000</v>
      </c>
    </row>
    <row r="856" spans="1:17">
      <c r="A856" s="165" t="s">
        <v>2134</v>
      </c>
      <c r="B856" s="165" t="s">
        <v>1483</v>
      </c>
      <c r="C856" s="165">
        <v>10900</v>
      </c>
      <c r="D856" s="228">
        <v>0</v>
      </c>
      <c r="E856" s="228">
        <v>0</v>
      </c>
      <c r="F856" s="228"/>
      <c r="G856" s="228"/>
      <c r="H856" s="228"/>
      <c r="I856" s="228"/>
      <c r="J856" s="228"/>
      <c r="K856" s="228"/>
      <c r="L856" s="228"/>
      <c r="M856" s="228"/>
      <c r="N856" s="228"/>
      <c r="O856" s="228"/>
      <c r="P856" s="228">
        <v>0</v>
      </c>
      <c r="Q856" s="228">
        <v>0</v>
      </c>
    </row>
    <row r="857" spans="1:17">
      <c r="A857"/>
      <c r="B857" s="165" t="s">
        <v>120</v>
      </c>
      <c r="C857" s="165">
        <v>10800</v>
      </c>
      <c r="D857" s="228"/>
      <c r="E857" s="228"/>
      <c r="F857" s="228"/>
      <c r="G857" s="228"/>
      <c r="H857" s="228"/>
      <c r="I857" s="228"/>
      <c r="J857" s="228"/>
      <c r="K857" s="228"/>
      <c r="L857" s="228">
        <v>2100</v>
      </c>
      <c r="M857" s="228">
        <v>22680000</v>
      </c>
      <c r="N857" s="228"/>
      <c r="O857" s="228"/>
      <c r="P857" s="228">
        <v>2100</v>
      </c>
      <c r="Q857" s="228">
        <v>22680000</v>
      </c>
    </row>
    <row r="858" spans="1:17">
      <c r="A858"/>
      <c r="B858" s="165" t="s">
        <v>1504</v>
      </c>
      <c r="C858" s="165">
        <v>10900</v>
      </c>
      <c r="D858" s="228"/>
      <c r="E858" s="228"/>
      <c r="F858" s="228"/>
      <c r="G858" s="228"/>
      <c r="H858" s="228"/>
      <c r="I858" s="228"/>
      <c r="J858" s="228"/>
      <c r="K858" s="228"/>
      <c r="L858" s="228">
        <v>5100</v>
      </c>
      <c r="M858" s="228">
        <v>55590000</v>
      </c>
      <c r="N858" s="228"/>
      <c r="O858" s="228"/>
      <c r="P858" s="228">
        <v>5100</v>
      </c>
      <c r="Q858" s="228">
        <v>55590000</v>
      </c>
    </row>
    <row r="859" spans="1:17">
      <c r="A859"/>
      <c r="B859" s="165" t="s">
        <v>25</v>
      </c>
      <c r="C859" s="165">
        <v>10800</v>
      </c>
      <c r="D859" s="228"/>
      <c r="E859" s="228"/>
      <c r="F859" s="228"/>
      <c r="G859" s="228"/>
      <c r="H859" s="228"/>
      <c r="I859" s="228"/>
      <c r="J859" s="228"/>
      <c r="K859" s="228"/>
      <c r="L859" s="228">
        <v>10050</v>
      </c>
      <c r="M859" s="228">
        <v>108540000</v>
      </c>
      <c r="N859" s="228"/>
      <c r="O859" s="228"/>
      <c r="P859" s="228">
        <v>10050</v>
      </c>
      <c r="Q859" s="228">
        <v>108540000</v>
      </c>
    </row>
    <row r="860" spans="1:17">
      <c r="A860"/>
      <c r="B860" s="165" t="s">
        <v>1589</v>
      </c>
      <c r="C860" s="165">
        <v>10900</v>
      </c>
      <c r="D860" s="228"/>
      <c r="E860" s="228"/>
      <c r="F860" s="228"/>
      <c r="G860" s="228"/>
      <c r="H860" s="228"/>
      <c r="I860" s="228"/>
      <c r="J860" s="228"/>
      <c r="K860" s="228"/>
      <c r="L860" s="228">
        <v>37950</v>
      </c>
      <c r="M860" s="228">
        <v>413655000</v>
      </c>
      <c r="N860" s="228"/>
      <c r="O860" s="228"/>
      <c r="P860" s="228">
        <v>37950</v>
      </c>
      <c r="Q860" s="228">
        <v>413655000</v>
      </c>
    </row>
    <row r="861" spans="1:17">
      <c r="A861"/>
      <c r="B861" s="165" t="s">
        <v>1587</v>
      </c>
      <c r="C861" s="165">
        <v>10900</v>
      </c>
      <c r="D861" s="228"/>
      <c r="E861" s="228"/>
      <c r="F861" s="228"/>
      <c r="G861" s="228"/>
      <c r="H861" s="228"/>
      <c r="I861" s="228"/>
      <c r="J861" s="228"/>
      <c r="K861" s="228"/>
      <c r="L861" s="228">
        <v>10050</v>
      </c>
      <c r="M861" s="228">
        <v>109545000</v>
      </c>
      <c r="N861" s="228"/>
      <c r="O861" s="228"/>
      <c r="P861" s="228">
        <v>10050</v>
      </c>
      <c r="Q861" s="228">
        <v>109545000</v>
      </c>
    </row>
    <row r="862" spans="1:17">
      <c r="A862"/>
      <c r="B862" s="165" t="s">
        <v>234</v>
      </c>
      <c r="C862" s="165">
        <v>10800</v>
      </c>
      <c r="D862" s="228"/>
      <c r="E862" s="228"/>
      <c r="F862" s="228"/>
      <c r="G862" s="228"/>
      <c r="H862" s="228"/>
      <c r="I862" s="228"/>
      <c r="J862" s="228"/>
      <c r="K862" s="228"/>
      <c r="L862" s="228">
        <v>5100</v>
      </c>
      <c r="M862" s="228">
        <v>55080000</v>
      </c>
      <c r="N862" s="228"/>
      <c r="O862" s="228"/>
      <c r="P862" s="228">
        <v>5100</v>
      </c>
      <c r="Q862" s="228">
        <v>55080000</v>
      </c>
    </row>
    <row r="863" spans="1:17">
      <c r="A863" s="165" t="s">
        <v>2135</v>
      </c>
      <c r="B863" s="165" t="s">
        <v>1483</v>
      </c>
      <c r="C863" s="165" t="s">
        <v>1487</v>
      </c>
      <c r="D863" s="228">
        <v>0</v>
      </c>
      <c r="E863" s="228" t="e">
        <v>#VALUE!</v>
      </c>
      <c r="F863" s="228"/>
      <c r="G863" s="228"/>
      <c r="H863" s="228"/>
      <c r="I863" s="228"/>
      <c r="J863" s="228"/>
      <c r="K863" s="228"/>
      <c r="L863" s="228"/>
      <c r="M863" s="228"/>
      <c r="N863" s="228"/>
      <c r="O863" s="228"/>
      <c r="P863" s="228">
        <v>0</v>
      </c>
      <c r="Q863" s="228" t="e">
        <v>#VALUE!</v>
      </c>
    </row>
    <row r="864" spans="1:17">
      <c r="A864"/>
      <c r="B864" s="165" t="s">
        <v>158</v>
      </c>
      <c r="C864" s="165">
        <v>13500</v>
      </c>
      <c r="D864" s="228"/>
      <c r="E864" s="228"/>
      <c r="F864" s="228"/>
      <c r="G864" s="228"/>
      <c r="H864" s="228"/>
      <c r="I864" s="228"/>
      <c r="J864" s="228"/>
      <c r="K864" s="228"/>
      <c r="L864" s="228">
        <v>10000</v>
      </c>
      <c r="M864" s="228">
        <v>135000000</v>
      </c>
      <c r="N864" s="228"/>
      <c r="O864" s="228"/>
      <c r="P864" s="228">
        <v>10000</v>
      </c>
      <c r="Q864" s="228">
        <v>135000000</v>
      </c>
    </row>
    <row r="865" spans="1:17">
      <c r="A865"/>
      <c r="B865" s="165" t="s">
        <v>1370</v>
      </c>
      <c r="C865" s="165">
        <v>13500</v>
      </c>
      <c r="D865" s="228"/>
      <c r="E865" s="228"/>
      <c r="F865" s="228"/>
      <c r="G865" s="228"/>
      <c r="H865" s="228"/>
      <c r="I865" s="228"/>
      <c r="J865" s="228"/>
      <c r="K865" s="228"/>
      <c r="L865" s="228">
        <v>3000</v>
      </c>
      <c r="M865" s="228">
        <v>40500000</v>
      </c>
      <c r="N865" s="228"/>
      <c r="O865" s="228"/>
      <c r="P865" s="228">
        <v>3000</v>
      </c>
      <c r="Q865" s="228">
        <v>40500000</v>
      </c>
    </row>
    <row r="866" spans="1:17">
      <c r="A866" s="165" t="s">
        <v>2136</v>
      </c>
      <c r="B866" s="165" t="s">
        <v>1241</v>
      </c>
      <c r="C866" s="165">
        <v>13000</v>
      </c>
      <c r="D866" s="228">
        <v>0</v>
      </c>
      <c r="E866" s="228">
        <v>0</v>
      </c>
      <c r="F866" s="228"/>
      <c r="G866" s="228"/>
      <c r="H866" s="228"/>
      <c r="I866" s="228"/>
      <c r="J866" s="228"/>
      <c r="K866" s="228"/>
      <c r="L866" s="228"/>
      <c r="M866" s="228"/>
      <c r="N866" s="228"/>
      <c r="O866" s="228"/>
      <c r="P866" s="228">
        <v>0</v>
      </c>
      <c r="Q866" s="228">
        <v>0</v>
      </c>
    </row>
    <row r="867" spans="1:17">
      <c r="A867"/>
      <c r="B867" s="165" t="s">
        <v>243</v>
      </c>
      <c r="C867" s="165">
        <v>13000</v>
      </c>
      <c r="D867" s="228"/>
      <c r="E867" s="228"/>
      <c r="F867" s="228"/>
      <c r="G867" s="228"/>
      <c r="H867" s="228"/>
      <c r="I867" s="228"/>
      <c r="J867" s="228"/>
      <c r="K867" s="228"/>
      <c r="L867" s="228">
        <v>10000</v>
      </c>
      <c r="M867" s="228">
        <v>130000000</v>
      </c>
      <c r="N867" s="228"/>
      <c r="O867" s="228"/>
      <c r="P867" s="228">
        <v>10000</v>
      </c>
      <c r="Q867" s="228">
        <v>130000000</v>
      </c>
    </row>
    <row r="868" spans="1:17">
      <c r="A868"/>
      <c r="B868" s="165" t="s">
        <v>257</v>
      </c>
      <c r="C868" s="165">
        <v>13000</v>
      </c>
      <c r="D868" s="228"/>
      <c r="E868" s="228"/>
      <c r="F868" s="228"/>
      <c r="G868" s="228"/>
      <c r="H868" s="228"/>
      <c r="I868" s="228"/>
      <c r="J868" s="228"/>
      <c r="K868" s="228"/>
      <c r="L868" s="228">
        <v>10000</v>
      </c>
      <c r="M868" s="228">
        <v>130000000</v>
      </c>
      <c r="N868" s="228"/>
      <c r="O868" s="228"/>
      <c r="P868" s="228">
        <v>10000</v>
      </c>
      <c r="Q868" s="228">
        <v>130000000</v>
      </c>
    </row>
    <row r="869" spans="1:17">
      <c r="A869"/>
      <c r="B869" s="165" t="s">
        <v>274</v>
      </c>
      <c r="C869" s="165">
        <v>13000</v>
      </c>
      <c r="D869" s="228"/>
      <c r="E869" s="228"/>
      <c r="F869" s="228"/>
      <c r="G869" s="228"/>
      <c r="H869" s="228"/>
      <c r="I869" s="228"/>
      <c r="J869" s="228"/>
      <c r="K869" s="228"/>
      <c r="L869" s="228">
        <v>5000</v>
      </c>
      <c r="M869" s="228">
        <v>65000000</v>
      </c>
      <c r="N869" s="228"/>
      <c r="O869" s="228"/>
      <c r="P869" s="228">
        <v>5000</v>
      </c>
      <c r="Q869" s="228">
        <v>65000000</v>
      </c>
    </row>
    <row r="870" spans="1:17">
      <c r="A870"/>
      <c r="B870" s="165" t="s">
        <v>270</v>
      </c>
      <c r="C870" s="165">
        <v>13000</v>
      </c>
      <c r="D870" s="228"/>
      <c r="E870" s="228"/>
      <c r="F870" s="228"/>
      <c r="G870" s="228"/>
      <c r="H870" s="228"/>
      <c r="I870" s="228"/>
      <c r="J870" s="228"/>
      <c r="K870" s="228"/>
      <c r="L870" s="228">
        <v>10000</v>
      </c>
      <c r="M870" s="228">
        <v>130000000</v>
      </c>
      <c r="N870" s="228"/>
      <c r="O870" s="228"/>
      <c r="P870" s="228">
        <v>10000</v>
      </c>
      <c r="Q870" s="228">
        <v>130000000</v>
      </c>
    </row>
    <row r="871" spans="1:17">
      <c r="A871"/>
      <c r="B871" s="165" t="s">
        <v>1429</v>
      </c>
      <c r="C871" s="165">
        <v>13000</v>
      </c>
      <c r="D871" s="228"/>
      <c r="E871" s="228"/>
      <c r="F871" s="228"/>
      <c r="G871" s="228"/>
      <c r="H871" s="228"/>
      <c r="I871" s="228"/>
      <c r="J871" s="228"/>
      <c r="K871" s="228"/>
      <c r="L871" s="228">
        <v>7000</v>
      </c>
      <c r="M871" s="228">
        <v>91000000</v>
      </c>
      <c r="N871" s="228"/>
      <c r="O871" s="228"/>
      <c r="P871" s="228">
        <v>7000</v>
      </c>
      <c r="Q871" s="228">
        <v>91000000</v>
      </c>
    </row>
    <row r="872" spans="1:17">
      <c r="A872"/>
      <c r="B872" s="165" t="s">
        <v>1428</v>
      </c>
      <c r="C872" s="165">
        <v>13000</v>
      </c>
      <c r="D872" s="228"/>
      <c r="E872" s="228"/>
      <c r="F872" s="228"/>
      <c r="G872" s="228"/>
      <c r="H872" s="228"/>
      <c r="I872" s="228"/>
      <c r="J872" s="228"/>
      <c r="K872" s="228"/>
      <c r="L872" s="228">
        <v>10500</v>
      </c>
      <c r="M872" s="228">
        <v>136500000</v>
      </c>
      <c r="N872" s="228"/>
      <c r="O872" s="228"/>
      <c r="P872" s="228">
        <v>10500</v>
      </c>
      <c r="Q872" s="228">
        <v>136500000</v>
      </c>
    </row>
    <row r="873" spans="1:17">
      <c r="A873"/>
      <c r="B873" s="165" t="s">
        <v>150</v>
      </c>
      <c r="C873" s="165">
        <v>13000</v>
      </c>
      <c r="D873" s="228"/>
      <c r="E873" s="228"/>
      <c r="F873" s="228"/>
      <c r="G873" s="228"/>
      <c r="H873" s="228"/>
      <c r="I873" s="228"/>
      <c r="J873" s="228"/>
      <c r="K873" s="228"/>
      <c r="L873" s="228">
        <v>5000</v>
      </c>
      <c r="M873" s="228">
        <v>65000000</v>
      </c>
      <c r="N873" s="228"/>
      <c r="O873" s="228"/>
      <c r="P873" s="228">
        <v>5000</v>
      </c>
      <c r="Q873" s="228">
        <v>65000000</v>
      </c>
    </row>
    <row r="874" spans="1:17">
      <c r="A874"/>
      <c r="B874" s="165" t="s">
        <v>1047</v>
      </c>
      <c r="C874" s="165">
        <v>13000</v>
      </c>
      <c r="D874" s="228"/>
      <c r="E874" s="228"/>
      <c r="F874" s="228"/>
      <c r="G874" s="228"/>
      <c r="H874" s="228"/>
      <c r="I874" s="228"/>
      <c r="J874" s="228"/>
      <c r="K874" s="228"/>
      <c r="L874" s="228">
        <v>10000</v>
      </c>
      <c r="M874" s="228">
        <v>130000000</v>
      </c>
      <c r="N874" s="228"/>
      <c r="O874" s="228"/>
      <c r="P874" s="228">
        <v>10000</v>
      </c>
      <c r="Q874" s="228">
        <v>130000000</v>
      </c>
    </row>
    <row r="875" spans="1:17">
      <c r="A875"/>
      <c r="B875" s="165" t="s">
        <v>786</v>
      </c>
      <c r="C875" s="165">
        <v>13000</v>
      </c>
      <c r="D875" s="228"/>
      <c r="E875" s="228"/>
      <c r="F875" s="228"/>
      <c r="G875" s="228"/>
      <c r="H875" s="228"/>
      <c r="I875" s="228"/>
      <c r="J875" s="228"/>
      <c r="K875" s="228"/>
      <c r="L875" s="228">
        <v>6000</v>
      </c>
      <c r="M875" s="228">
        <v>78000000</v>
      </c>
      <c r="N875" s="228"/>
      <c r="O875" s="228"/>
      <c r="P875" s="228">
        <v>6000</v>
      </c>
      <c r="Q875" s="228">
        <v>78000000</v>
      </c>
    </row>
    <row r="876" spans="1:17">
      <c r="A876"/>
      <c r="B876" s="165" t="s">
        <v>231</v>
      </c>
      <c r="C876" s="165">
        <v>13000</v>
      </c>
      <c r="D876" s="228"/>
      <c r="E876" s="228"/>
      <c r="F876" s="228"/>
      <c r="G876" s="228"/>
      <c r="H876" s="228"/>
      <c r="I876" s="228"/>
      <c r="J876" s="228"/>
      <c r="K876" s="228"/>
      <c r="L876" s="228">
        <v>2500</v>
      </c>
      <c r="M876" s="228">
        <v>32500000</v>
      </c>
      <c r="N876" s="228"/>
      <c r="O876" s="228"/>
      <c r="P876" s="228">
        <v>2500</v>
      </c>
      <c r="Q876" s="228">
        <v>32500000</v>
      </c>
    </row>
    <row r="877" spans="1:17">
      <c r="A877"/>
      <c r="B877" s="165" t="s">
        <v>130</v>
      </c>
      <c r="C877" s="165">
        <v>13000</v>
      </c>
      <c r="D877" s="228"/>
      <c r="E877" s="228"/>
      <c r="F877" s="228"/>
      <c r="G877" s="228"/>
      <c r="H877" s="228"/>
      <c r="I877" s="228"/>
      <c r="J877" s="228"/>
      <c r="K877" s="228"/>
      <c r="L877" s="228">
        <v>10000</v>
      </c>
      <c r="M877" s="228">
        <v>130000000</v>
      </c>
      <c r="N877" s="228"/>
      <c r="O877" s="228"/>
      <c r="P877" s="228">
        <v>10000</v>
      </c>
      <c r="Q877" s="228">
        <v>130000000</v>
      </c>
    </row>
    <row r="878" spans="1:17">
      <c r="A878"/>
      <c r="B878" s="165" t="s">
        <v>216</v>
      </c>
      <c r="C878" s="165">
        <v>13000</v>
      </c>
      <c r="D878" s="228"/>
      <c r="E878" s="228"/>
      <c r="F878" s="228"/>
      <c r="G878" s="228"/>
      <c r="H878" s="228"/>
      <c r="I878" s="228"/>
      <c r="J878" s="228"/>
      <c r="K878" s="228"/>
      <c r="L878" s="228">
        <v>3000</v>
      </c>
      <c r="M878" s="228">
        <v>39000000</v>
      </c>
      <c r="N878" s="228"/>
      <c r="O878" s="228"/>
      <c r="P878" s="228">
        <v>3000</v>
      </c>
      <c r="Q878" s="228">
        <v>39000000</v>
      </c>
    </row>
    <row r="879" spans="1:17">
      <c r="A879"/>
      <c r="B879" s="165" t="s">
        <v>1431</v>
      </c>
      <c r="C879" s="165">
        <v>13800</v>
      </c>
      <c r="D879" s="228"/>
      <c r="E879" s="228"/>
      <c r="F879" s="228"/>
      <c r="G879" s="228"/>
      <c r="H879" s="228"/>
      <c r="I879" s="228"/>
      <c r="J879" s="228"/>
      <c r="K879" s="228"/>
      <c r="L879" s="228">
        <v>10000</v>
      </c>
      <c r="M879" s="228">
        <v>138000000</v>
      </c>
      <c r="N879" s="228"/>
      <c r="O879" s="228"/>
      <c r="P879" s="228">
        <v>10000</v>
      </c>
      <c r="Q879" s="228">
        <v>138000000</v>
      </c>
    </row>
    <row r="880" spans="1:17">
      <c r="A880"/>
      <c r="B880" s="165" t="s">
        <v>103</v>
      </c>
      <c r="C880" s="165">
        <v>13000</v>
      </c>
      <c r="D880" s="228"/>
      <c r="E880" s="228"/>
      <c r="F880" s="228"/>
      <c r="G880" s="228"/>
      <c r="H880" s="228"/>
      <c r="I880" s="228"/>
      <c r="J880" s="228"/>
      <c r="K880" s="228"/>
      <c r="L880" s="228">
        <v>20000</v>
      </c>
      <c r="M880" s="228">
        <v>260000000</v>
      </c>
      <c r="N880" s="228"/>
      <c r="O880" s="228"/>
      <c r="P880" s="228">
        <v>20000</v>
      </c>
      <c r="Q880" s="228">
        <v>260000000</v>
      </c>
    </row>
    <row r="881" spans="1:17">
      <c r="A881"/>
      <c r="B881"/>
      <c r="C881" s="165">
        <v>13500</v>
      </c>
      <c r="D881" s="228"/>
      <c r="E881" s="228"/>
      <c r="F881" s="228"/>
      <c r="G881" s="228"/>
      <c r="H881" s="228"/>
      <c r="I881" s="228"/>
      <c r="J881" s="228"/>
      <c r="K881" s="228"/>
      <c r="L881" s="228">
        <v>10000</v>
      </c>
      <c r="M881" s="228">
        <v>135000000</v>
      </c>
      <c r="N881" s="228"/>
      <c r="O881" s="228"/>
      <c r="P881" s="228">
        <v>10000</v>
      </c>
      <c r="Q881" s="228">
        <v>135000000</v>
      </c>
    </row>
    <row r="882" spans="1:17">
      <c r="A882" s="165" t="s">
        <v>2137</v>
      </c>
      <c r="B882" s="165" t="s">
        <v>203</v>
      </c>
      <c r="C882" s="165">
        <v>14200</v>
      </c>
      <c r="D882" s="228"/>
      <c r="E882" s="228"/>
      <c r="F882" s="228"/>
      <c r="G882" s="228"/>
      <c r="H882" s="228"/>
      <c r="I882" s="228"/>
      <c r="J882" s="228"/>
      <c r="K882" s="228"/>
      <c r="L882" s="228">
        <v>5000</v>
      </c>
      <c r="M882" s="228">
        <v>71000000</v>
      </c>
      <c r="N882" s="228"/>
      <c r="O882" s="228"/>
      <c r="P882" s="228">
        <v>5000</v>
      </c>
      <c r="Q882" s="228">
        <v>71000000</v>
      </c>
    </row>
    <row r="883" spans="1:17">
      <c r="A883"/>
      <c r="B883" s="165" t="s">
        <v>111</v>
      </c>
      <c r="C883" s="165">
        <v>14200</v>
      </c>
      <c r="D883" s="228"/>
      <c r="E883" s="228"/>
      <c r="F883" s="228"/>
      <c r="G883" s="228"/>
      <c r="H883" s="228"/>
      <c r="I883" s="228"/>
      <c r="J883" s="228"/>
      <c r="K883" s="228"/>
      <c r="L883" s="228">
        <v>6000</v>
      </c>
      <c r="M883" s="228">
        <v>85200000</v>
      </c>
      <c r="N883" s="228"/>
      <c r="O883" s="228"/>
      <c r="P883" s="228">
        <v>6000</v>
      </c>
      <c r="Q883" s="228">
        <v>85200000</v>
      </c>
    </row>
    <row r="884" spans="1:17">
      <c r="A884"/>
      <c r="B884" s="165" t="s">
        <v>282</v>
      </c>
      <c r="C884" s="165">
        <v>14200</v>
      </c>
      <c r="D884" s="228"/>
      <c r="E884" s="228"/>
      <c r="F884" s="228"/>
      <c r="G884" s="228"/>
      <c r="H884" s="228"/>
      <c r="I884" s="228"/>
      <c r="J884" s="228"/>
      <c r="K884" s="228"/>
      <c r="L884" s="228">
        <v>5000</v>
      </c>
      <c r="M884" s="228">
        <v>71000000</v>
      </c>
      <c r="N884" s="228"/>
      <c r="O884" s="228"/>
      <c r="P884" s="228">
        <v>5000</v>
      </c>
      <c r="Q884" s="228">
        <v>71000000</v>
      </c>
    </row>
    <row r="885" spans="1:17">
      <c r="A885"/>
      <c r="B885" s="165" t="s">
        <v>253</v>
      </c>
      <c r="C885" s="165">
        <v>14600</v>
      </c>
      <c r="D885" s="228"/>
      <c r="E885" s="228"/>
      <c r="F885" s="228"/>
      <c r="G885" s="228"/>
      <c r="H885" s="228"/>
      <c r="I885" s="228"/>
      <c r="J885" s="228"/>
      <c r="K885" s="228"/>
      <c r="L885" s="228">
        <v>3000</v>
      </c>
      <c r="M885" s="228">
        <v>43800000</v>
      </c>
      <c r="N885" s="228"/>
      <c r="O885" s="228"/>
      <c r="P885" s="228">
        <v>3000</v>
      </c>
      <c r="Q885" s="228">
        <v>43800000</v>
      </c>
    </row>
    <row r="886" spans="1:17">
      <c r="A886"/>
      <c r="B886" s="165" t="s">
        <v>231</v>
      </c>
      <c r="C886" s="165">
        <v>14200</v>
      </c>
      <c r="D886" s="228"/>
      <c r="E886" s="228"/>
      <c r="F886" s="228"/>
      <c r="G886" s="228"/>
      <c r="H886" s="228"/>
      <c r="I886" s="228"/>
      <c r="J886" s="228"/>
      <c r="K886" s="228"/>
      <c r="L886" s="228">
        <v>2500</v>
      </c>
      <c r="M886" s="228">
        <v>35500000</v>
      </c>
      <c r="N886" s="228"/>
      <c r="O886" s="228"/>
      <c r="P886" s="228">
        <v>2500</v>
      </c>
      <c r="Q886" s="228">
        <v>35500000</v>
      </c>
    </row>
    <row r="887" spans="1:17">
      <c r="A887"/>
      <c r="B887" s="165" t="s">
        <v>276</v>
      </c>
      <c r="C887" s="165">
        <v>14200</v>
      </c>
      <c r="D887" s="228"/>
      <c r="E887" s="228"/>
      <c r="F887" s="228"/>
      <c r="G887" s="228"/>
      <c r="H887" s="228"/>
      <c r="I887" s="228"/>
      <c r="J887" s="228"/>
      <c r="K887" s="228"/>
      <c r="L887" s="228">
        <v>6000</v>
      </c>
      <c r="M887" s="228">
        <v>85200000</v>
      </c>
      <c r="N887" s="228"/>
      <c r="O887" s="228"/>
      <c r="P887" s="228">
        <v>6000</v>
      </c>
      <c r="Q887" s="228">
        <v>85200000</v>
      </c>
    </row>
    <row r="888" spans="1:17">
      <c r="A888" s="165" t="s">
        <v>2138</v>
      </c>
      <c r="B888" s="165" t="s">
        <v>25</v>
      </c>
      <c r="C888" s="165">
        <v>6700</v>
      </c>
      <c r="D888" s="228"/>
      <c r="E888" s="228"/>
      <c r="F888" s="228"/>
      <c r="G888" s="228"/>
      <c r="H888" s="228"/>
      <c r="I888" s="228"/>
      <c r="J888" s="228"/>
      <c r="K888" s="228"/>
      <c r="L888" s="228">
        <v>13000</v>
      </c>
      <c r="M888" s="228">
        <v>87100000</v>
      </c>
      <c r="N888" s="228"/>
      <c r="O888" s="228"/>
      <c r="P888" s="228">
        <v>13000</v>
      </c>
      <c r="Q888" s="228">
        <v>87100000</v>
      </c>
    </row>
    <row r="889" spans="1:17">
      <c r="A889"/>
      <c r="B889"/>
      <c r="C889" s="165">
        <v>6871</v>
      </c>
      <c r="D889" s="228"/>
      <c r="E889" s="228"/>
      <c r="F889" s="228"/>
      <c r="G889" s="228"/>
      <c r="H889" s="228"/>
      <c r="I889" s="228"/>
      <c r="J889" s="228">
        <v>2000</v>
      </c>
      <c r="K889" s="228">
        <v>13742000</v>
      </c>
      <c r="L889" s="228"/>
      <c r="M889" s="228"/>
      <c r="N889" s="228"/>
      <c r="O889" s="228"/>
      <c r="P889" s="228">
        <v>2000</v>
      </c>
      <c r="Q889" s="228">
        <v>13742000</v>
      </c>
    </row>
    <row r="890" spans="1:17">
      <c r="A890"/>
      <c r="B890"/>
      <c r="C890" s="165" t="s">
        <v>1816</v>
      </c>
      <c r="D890" s="228"/>
      <c r="E890" s="228"/>
      <c r="F890" s="228"/>
      <c r="G890" s="228"/>
      <c r="H890" s="228">
        <v>15000</v>
      </c>
      <c r="I890" s="228" t="e">
        <v>#VALUE!</v>
      </c>
      <c r="J890" s="228"/>
      <c r="K890" s="228"/>
      <c r="L890" s="228">
        <v>10000</v>
      </c>
      <c r="M890" s="228" t="e">
        <v>#VALUE!</v>
      </c>
      <c r="N890" s="228"/>
      <c r="O890" s="228"/>
      <c r="P890" s="228">
        <v>25000</v>
      </c>
      <c r="Q890" s="228" t="e">
        <v>#VALUE!</v>
      </c>
    </row>
    <row r="891" spans="1:17">
      <c r="A891" s="165" t="s">
        <v>2139</v>
      </c>
      <c r="B891" s="165" t="s">
        <v>120</v>
      </c>
      <c r="C891" s="165">
        <v>10500</v>
      </c>
      <c r="D891" s="228"/>
      <c r="E891" s="228"/>
      <c r="F891" s="228"/>
      <c r="G891" s="228"/>
      <c r="H891" s="228"/>
      <c r="I891" s="228"/>
      <c r="J891" s="228"/>
      <c r="K891" s="228"/>
      <c r="L891" s="228">
        <v>4200</v>
      </c>
      <c r="M891" s="228">
        <v>44100000</v>
      </c>
      <c r="N891" s="228"/>
      <c r="O891" s="228"/>
      <c r="P891" s="228">
        <v>4200</v>
      </c>
      <c r="Q891" s="228">
        <v>44100000</v>
      </c>
    </row>
    <row r="892" spans="1:17">
      <c r="A892" s="165" t="s">
        <v>2140</v>
      </c>
      <c r="B892" s="165" t="s">
        <v>285</v>
      </c>
      <c r="C892" s="165">
        <v>3800</v>
      </c>
      <c r="D892" s="228"/>
      <c r="E892" s="228"/>
      <c r="F892" s="228"/>
      <c r="G892" s="228"/>
      <c r="H892" s="228"/>
      <c r="I892" s="228"/>
      <c r="J892" s="228"/>
      <c r="K892" s="228"/>
      <c r="L892" s="228">
        <v>10200</v>
      </c>
      <c r="M892" s="228">
        <v>38760000</v>
      </c>
      <c r="N892" s="228"/>
      <c r="O892" s="228"/>
      <c r="P892" s="228">
        <v>10200</v>
      </c>
      <c r="Q892" s="228">
        <v>38760000</v>
      </c>
    </row>
    <row r="893" spans="1:17">
      <c r="A893"/>
      <c r="B893" s="165" t="s">
        <v>1237</v>
      </c>
      <c r="C893" s="165">
        <v>3800</v>
      </c>
      <c r="D893" s="228"/>
      <c r="E893" s="228"/>
      <c r="F893" s="228"/>
      <c r="G893" s="228"/>
      <c r="H893" s="228"/>
      <c r="I893" s="228"/>
      <c r="J893" s="228">
        <v>5100</v>
      </c>
      <c r="K893" s="228">
        <v>19380000</v>
      </c>
      <c r="L893" s="228"/>
      <c r="M893" s="228"/>
      <c r="N893" s="228"/>
      <c r="O893" s="228"/>
      <c r="P893" s="228">
        <v>5100</v>
      </c>
      <c r="Q893" s="228">
        <v>19380000</v>
      </c>
    </row>
    <row r="894" spans="1:17">
      <c r="A894"/>
      <c r="B894" s="165" t="s">
        <v>1564</v>
      </c>
      <c r="C894" s="165">
        <v>3800</v>
      </c>
      <c r="D894" s="228"/>
      <c r="E894" s="228"/>
      <c r="F894" s="228"/>
      <c r="G894" s="228"/>
      <c r="H894" s="228">
        <v>5100</v>
      </c>
      <c r="I894" s="228">
        <v>19380000</v>
      </c>
      <c r="J894" s="228"/>
      <c r="K894" s="228"/>
      <c r="L894" s="228"/>
      <c r="M894" s="228"/>
      <c r="N894" s="228"/>
      <c r="O894" s="228"/>
      <c r="P894" s="228">
        <v>5100</v>
      </c>
      <c r="Q894" s="228">
        <v>19380000</v>
      </c>
    </row>
    <row r="895" spans="1:17">
      <c r="A895"/>
      <c r="B895" s="165" t="s">
        <v>950</v>
      </c>
      <c r="C895" s="165">
        <v>3800</v>
      </c>
      <c r="D895" s="228"/>
      <c r="E895" s="228"/>
      <c r="F895" s="228">
        <v>0</v>
      </c>
      <c r="G895" s="228">
        <v>0</v>
      </c>
      <c r="H895" s="228"/>
      <c r="I895" s="228"/>
      <c r="J895" s="228"/>
      <c r="K895" s="228"/>
      <c r="L895" s="228"/>
      <c r="M895" s="228"/>
      <c r="N895" s="228"/>
      <c r="O895" s="228"/>
      <c r="P895" s="228">
        <v>0</v>
      </c>
      <c r="Q895" s="228">
        <v>0</v>
      </c>
    </row>
    <row r="896" spans="1:17">
      <c r="A896"/>
      <c r="B896" s="165" t="s">
        <v>239</v>
      </c>
      <c r="C896" s="165">
        <v>3600</v>
      </c>
      <c r="D896" s="228"/>
      <c r="E896" s="228"/>
      <c r="F896" s="228"/>
      <c r="G896" s="228"/>
      <c r="H896" s="228"/>
      <c r="I896" s="228"/>
      <c r="J896" s="228">
        <v>9900</v>
      </c>
      <c r="K896" s="228">
        <v>35640000</v>
      </c>
      <c r="L896" s="228"/>
      <c r="M896" s="228"/>
      <c r="N896" s="228"/>
      <c r="O896" s="228"/>
      <c r="P896" s="228">
        <v>9900</v>
      </c>
      <c r="Q896" s="228">
        <v>35640000</v>
      </c>
    </row>
    <row r="897" spans="1:17">
      <c r="A897"/>
      <c r="B897" s="165" t="s">
        <v>1188</v>
      </c>
      <c r="C897" s="165">
        <v>3800</v>
      </c>
      <c r="D897" s="228"/>
      <c r="E897" s="228"/>
      <c r="F897" s="228"/>
      <c r="G897" s="228"/>
      <c r="H897" s="228"/>
      <c r="I897" s="228"/>
      <c r="J897" s="228">
        <v>3000</v>
      </c>
      <c r="K897" s="228">
        <v>11400000</v>
      </c>
      <c r="L897" s="228"/>
      <c r="M897" s="228"/>
      <c r="N897" s="228"/>
      <c r="O897" s="228"/>
      <c r="P897" s="228">
        <v>3000</v>
      </c>
      <c r="Q897" s="228">
        <v>11400000</v>
      </c>
    </row>
    <row r="898" spans="1:17">
      <c r="A898"/>
      <c r="B898" s="165" t="s">
        <v>1066</v>
      </c>
      <c r="C898" s="165">
        <v>3800</v>
      </c>
      <c r="D898" s="228">
        <v>0</v>
      </c>
      <c r="E898" s="228">
        <v>0</v>
      </c>
      <c r="F898" s="228">
        <v>0</v>
      </c>
      <c r="G898" s="228">
        <v>0</v>
      </c>
      <c r="H898" s="228"/>
      <c r="I898" s="228"/>
      <c r="J898" s="228"/>
      <c r="K898" s="228"/>
      <c r="L898" s="228"/>
      <c r="M898" s="228"/>
      <c r="N898" s="228"/>
      <c r="O898" s="228"/>
      <c r="P898" s="228">
        <v>0</v>
      </c>
      <c r="Q898" s="228">
        <v>0</v>
      </c>
    </row>
    <row r="899" spans="1:17">
      <c r="A899"/>
      <c r="B899" s="165" t="s">
        <v>987</v>
      </c>
      <c r="C899" s="165">
        <v>3800</v>
      </c>
      <c r="D899" s="228"/>
      <c r="E899" s="228"/>
      <c r="F899" s="228">
        <v>0</v>
      </c>
      <c r="G899" s="228">
        <v>0</v>
      </c>
      <c r="H899" s="228"/>
      <c r="I899" s="228"/>
      <c r="J899" s="228"/>
      <c r="K899" s="228"/>
      <c r="L899" s="228"/>
      <c r="M899" s="228"/>
      <c r="N899" s="228"/>
      <c r="O899" s="228"/>
      <c r="P899" s="228">
        <v>0</v>
      </c>
      <c r="Q899" s="228">
        <v>0</v>
      </c>
    </row>
    <row r="900" spans="1:17">
      <c r="A900"/>
      <c r="B900"/>
      <c r="C900" s="165">
        <v>3900</v>
      </c>
      <c r="D900" s="228"/>
      <c r="E900" s="228"/>
      <c r="F900" s="228"/>
      <c r="G900" s="228"/>
      <c r="H900" s="228">
        <v>10200</v>
      </c>
      <c r="I900" s="228">
        <v>39780000</v>
      </c>
      <c r="J900" s="228"/>
      <c r="K900" s="228"/>
      <c r="L900" s="228">
        <v>10200</v>
      </c>
      <c r="M900" s="228">
        <v>39780000</v>
      </c>
      <c r="N900" s="228"/>
      <c r="O900" s="228"/>
      <c r="P900" s="228">
        <v>20400</v>
      </c>
      <c r="Q900" s="228">
        <v>79560000</v>
      </c>
    </row>
    <row r="901" spans="1:17">
      <c r="A901" s="165" t="s">
        <v>2009</v>
      </c>
      <c r="B901" s="165" t="s">
        <v>168</v>
      </c>
      <c r="C901" s="165">
        <v>5170</v>
      </c>
      <c r="D901" s="228"/>
      <c r="E901" s="228"/>
      <c r="F901" s="228">
        <v>0</v>
      </c>
      <c r="G901" s="228">
        <v>0</v>
      </c>
      <c r="H901" s="228"/>
      <c r="I901" s="228"/>
      <c r="J901" s="228"/>
      <c r="K901" s="228"/>
      <c r="L901" s="228"/>
      <c r="M901" s="228"/>
      <c r="N901" s="228"/>
      <c r="O901" s="228"/>
      <c r="P901" s="228">
        <v>0</v>
      </c>
      <c r="Q901" s="228">
        <v>0</v>
      </c>
    </row>
    <row r="902" spans="1:17">
      <c r="A902"/>
      <c r="B902"/>
      <c r="C902" s="165">
        <v>5400</v>
      </c>
      <c r="D902" s="228"/>
      <c r="E902" s="228"/>
      <c r="F902" s="228"/>
      <c r="G902" s="228"/>
      <c r="H902" s="228">
        <v>30000</v>
      </c>
      <c r="I902" s="228">
        <v>162000000</v>
      </c>
      <c r="J902" s="228"/>
      <c r="K902" s="228"/>
      <c r="L902" s="228"/>
      <c r="M902" s="228"/>
      <c r="N902" s="228"/>
      <c r="O902" s="228"/>
      <c r="P902" s="228">
        <v>30000</v>
      </c>
      <c r="Q902" s="228">
        <v>162000000</v>
      </c>
    </row>
    <row r="903" spans="1:17">
      <c r="A903"/>
      <c r="B903" s="165" t="s">
        <v>1627</v>
      </c>
      <c r="C903" s="165">
        <v>4850</v>
      </c>
      <c r="D903" s="228"/>
      <c r="E903" s="228"/>
      <c r="F903" s="228">
        <v>0</v>
      </c>
      <c r="G903" s="228">
        <v>0</v>
      </c>
      <c r="H903" s="228"/>
      <c r="I903" s="228"/>
      <c r="J903" s="228"/>
      <c r="K903" s="228"/>
      <c r="L903" s="228"/>
      <c r="M903" s="228"/>
      <c r="N903" s="228"/>
      <c r="O903" s="228"/>
      <c r="P903" s="228">
        <v>0</v>
      </c>
      <c r="Q903" s="228">
        <v>0</v>
      </c>
    </row>
    <row r="904" spans="1:17">
      <c r="A904"/>
      <c r="B904" s="165" t="s">
        <v>983</v>
      </c>
      <c r="C904" s="165">
        <v>5000</v>
      </c>
      <c r="D904" s="228"/>
      <c r="E904" s="228"/>
      <c r="F904" s="228">
        <v>0</v>
      </c>
      <c r="G904" s="228">
        <v>0</v>
      </c>
      <c r="H904" s="228"/>
      <c r="I904" s="228"/>
      <c r="J904" s="228"/>
      <c r="K904" s="228"/>
      <c r="L904" s="228"/>
      <c r="M904" s="228"/>
      <c r="N904" s="228"/>
      <c r="O904" s="228"/>
      <c r="P904" s="228">
        <v>0</v>
      </c>
      <c r="Q904" s="228">
        <v>0</v>
      </c>
    </row>
    <row r="905" spans="1:17">
      <c r="A905"/>
      <c r="B905"/>
      <c r="C905" s="165">
        <v>5400</v>
      </c>
      <c r="D905" s="228">
        <v>0</v>
      </c>
      <c r="E905" s="228">
        <v>0</v>
      </c>
      <c r="F905" s="228"/>
      <c r="G905" s="228"/>
      <c r="H905" s="228"/>
      <c r="I905" s="228"/>
      <c r="J905" s="228"/>
      <c r="K905" s="228"/>
      <c r="L905" s="228"/>
      <c r="M905" s="228"/>
      <c r="N905" s="228"/>
      <c r="O905" s="228"/>
      <c r="P905" s="228">
        <v>0</v>
      </c>
      <c r="Q905" s="228">
        <v>0</v>
      </c>
    </row>
    <row r="906" spans="1:17">
      <c r="A906"/>
      <c r="B906" s="165" t="s">
        <v>150</v>
      </c>
      <c r="C906" s="165">
        <v>4800</v>
      </c>
      <c r="D906" s="228">
        <v>0</v>
      </c>
      <c r="E906" s="228">
        <v>0</v>
      </c>
      <c r="F906" s="228"/>
      <c r="G906" s="228"/>
      <c r="H906" s="228"/>
      <c r="I906" s="228"/>
      <c r="J906" s="228"/>
      <c r="K906" s="228"/>
      <c r="L906" s="228"/>
      <c r="M906" s="228"/>
      <c r="N906" s="228"/>
      <c r="O906" s="228"/>
      <c r="P906" s="228">
        <v>0</v>
      </c>
      <c r="Q906" s="228">
        <v>0</v>
      </c>
    </row>
    <row r="907" spans="1:17">
      <c r="A907"/>
      <c r="B907"/>
      <c r="C907" s="165">
        <v>5000</v>
      </c>
      <c r="D907" s="228">
        <v>0</v>
      </c>
      <c r="E907" s="228">
        <v>0</v>
      </c>
      <c r="F907" s="228"/>
      <c r="G907" s="228"/>
      <c r="H907" s="228"/>
      <c r="I907" s="228"/>
      <c r="J907" s="228"/>
      <c r="K907" s="228"/>
      <c r="L907" s="228"/>
      <c r="M907" s="228"/>
      <c r="N907" s="228"/>
      <c r="O907" s="228"/>
      <c r="P907" s="228">
        <v>0</v>
      </c>
      <c r="Q907" s="228">
        <v>0</v>
      </c>
    </row>
    <row r="908" spans="1:17">
      <c r="A908"/>
      <c r="B908"/>
      <c r="C908" s="165">
        <v>5163</v>
      </c>
      <c r="D908" s="228"/>
      <c r="E908" s="228"/>
      <c r="F908" s="228"/>
      <c r="G908" s="228"/>
      <c r="H908" s="228">
        <v>20000</v>
      </c>
      <c r="I908" s="228">
        <v>103260000</v>
      </c>
      <c r="J908" s="228"/>
      <c r="K908" s="228"/>
      <c r="L908" s="228"/>
      <c r="M908" s="228"/>
      <c r="N908" s="228"/>
      <c r="O908" s="228"/>
      <c r="P908" s="228">
        <v>20000</v>
      </c>
      <c r="Q908" s="228">
        <v>103260000</v>
      </c>
    </row>
    <row r="909" spans="1:17">
      <c r="A909"/>
      <c r="B909" s="165" t="s">
        <v>1047</v>
      </c>
      <c r="C909" s="165">
        <v>5000</v>
      </c>
      <c r="D909" s="228"/>
      <c r="E909" s="228"/>
      <c r="F909" s="228">
        <v>0</v>
      </c>
      <c r="G909" s="228">
        <v>0</v>
      </c>
      <c r="H909" s="228"/>
      <c r="I909" s="228"/>
      <c r="J909" s="228"/>
      <c r="K909" s="228"/>
      <c r="L909" s="228"/>
      <c r="M909" s="228"/>
      <c r="N909" s="228"/>
      <c r="O909" s="228"/>
      <c r="P909" s="228">
        <v>0</v>
      </c>
      <c r="Q909" s="228">
        <v>0</v>
      </c>
    </row>
    <row r="910" spans="1:17">
      <c r="A910"/>
      <c r="B910"/>
      <c r="C910" s="165">
        <v>5400</v>
      </c>
      <c r="D910" s="228">
        <v>0</v>
      </c>
      <c r="E910" s="228">
        <v>0</v>
      </c>
      <c r="F910" s="228"/>
      <c r="G910" s="228"/>
      <c r="H910" s="228"/>
      <c r="I910" s="228"/>
      <c r="J910" s="228"/>
      <c r="K910" s="228"/>
      <c r="L910" s="228"/>
      <c r="M910" s="228"/>
      <c r="N910" s="228"/>
      <c r="O910" s="228"/>
      <c r="P910" s="228">
        <v>0</v>
      </c>
      <c r="Q910" s="228">
        <v>0</v>
      </c>
    </row>
    <row r="911" spans="1:17">
      <c r="A911"/>
      <c r="B911" s="165" t="s">
        <v>1483</v>
      </c>
      <c r="C911" s="165">
        <v>5500</v>
      </c>
      <c r="D911" s="228">
        <v>0</v>
      </c>
      <c r="E911" s="228">
        <v>0</v>
      </c>
      <c r="F911" s="228"/>
      <c r="G911" s="228"/>
      <c r="H911" s="228"/>
      <c r="I911" s="228"/>
      <c r="J911" s="228"/>
      <c r="K911" s="228"/>
      <c r="L911" s="228"/>
      <c r="M911" s="228"/>
      <c r="N911" s="228"/>
      <c r="O911" s="228"/>
      <c r="P911" s="228">
        <v>0</v>
      </c>
      <c r="Q911" s="228">
        <v>0</v>
      </c>
    </row>
    <row r="912" spans="1:17">
      <c r="A912"/>
      <c r="B912" s="165" t="s">
        <v>710</v>
      </c>
      <c r="C912" s="165">
        <v>4800</v>
      </c>
      <c r="D912" s="228"/>
      <c r="E912" s="228"/>
      <c r="F912" s="228">
        <v>0</v>
      </c>
      <c r="G912" s="228">
        <v>0</v>
      </c>
      <c r="H912" s="228"/>
      <c r="I912" s="228"/>
      <c r="J912" s="228"/>
      <c r="K912" s="228"/>
      <c r="L912" s="228"/>
      <c r="M912" s="228"/>
      <c r="N912" s="228"/>
      <c r="O912" s="228"/>
      <c r="P912" s="228">
        <v>0</v>
      </c>
      <c r="Q912" s="228">
        <v>0</v>
      </c>
    </row>
    <row r="913" spans="1:17">
      <c r="A913"/>
      <c r="B913" s="165" t="s">
        <v>994</v>
      </c>
      <c r="C913" s="165">
        <v>5000</v>
      </c>
      <c r="D913" s="228"/>
      <c r="E913" s="228"/>
      <c r="F913" s="228">
        <v>0</v>
      </c>
      <c r="G913" s="228">
        <v>0</v>
      </c>
      <c r="H913" s="228"/>
      <c r="I913" s="228"/>
      <c r="J913" s="228"/>
      <c r="K913" s="228"/>
      <c r="L913" s="228"/>
      <c r="M913" s="228"/>
      <c r="N913" s="228"/>
      <c r="O913" s="228"/>
      <c r="P913" s="228">
        <v>0</v>
      </c>
      <c r="Q913" s="228">
        <v>0</v>
      </c>
    </row>
    <row r="914" spans="1:17">
      <c r="A914"/>
      <c r="B914" s="165" t="s">
        <v>771</v>
      </c>
      <c r="C914" s="165">
        <v>5000</v>
      </c>
      <c r="D914" s="228"/>
      <c r="E914" s="228"/>
      <c r="F914" s="228">
        <v>0</v>
      </c>
      <c r="G914" s="228">
        <v>0</v>
      </c>
      <c r="H914" s="228"/>
      <c r="I914" s="228"/>
      <c r="J914" s="228"/>
      <c r="K914" s="228"/>
      <c r="L914" s="228"/>
      <c r="M914" s="228"/>
      <c r="N914" s="228"/>
      <c r="O914" s="228"/>
      <c r="P914" s="228">
        <v>0</v>
      </c>
      <c r="Q914" s="228">
        <v>0</v>
      </c>
    </row>
    <row r="915" spans="1:17">
      <c r="A915"/>
      <c r="B915" s="165" t="s">
        <v>170</v>
      </c>
      <c r="C915" s="165">
        <v>5170</v>
      </c>
      <c r="D915" s="228"/>
      <c r="E915" s="228"/>
      <c r="F915" s="228">
        <v>0</v>
      </c>
      <c r="G915" s="228">
        <v>0</v>
      </c>
      <c r="H915" s="228"/>
      <c r="I915" s="228"/>
      <c r="J915" s="228"/>
      <c r="K915" s="228"/>
      <c r="L915" s="228"/>
      <c r="M915" s="228"/>
      <c r="N915" s="228"/>
      <c r="O915" s="228"/>
      <c r="P915" s="228">
        <v>0</v>
      </c>
      <c r="Q915" s="228">
        <v>0</v>
      </c>
    </row>
    <row r="916" spans="1:17">
      <c r="A916"/>
      <c r="B916" s="165" t="s">
        <v>282</v>
      </c>
      <c r="C916" s="165">
        <v>5000</v>
      </c>
      <c r="D916" s="228"/>
      <c r="E916" s="228"/>
      <c r="F916" s="228">
        <v>0</v>
      </c>
      <c r="G916" s="228">
        <v>0</v>
      </c>
      <c r="H916" s="228"/>
      <c r="I916" s="228"/>
      <c r="J916" s="228"/>
      <c r="K916" s="228"/>
      <c r="L916" s="228"/>
      <c r="M916" s="228"/>
      <c r="N916" s="228"/>
      <c r="O916" s="228"/>
      <c r="P916" s="228">
        <v>0</v>
      </c>
      <c r="Q916" s="228">
        <v>0</v>
      </c>
    </row>
    <row r="917" spans="1:17">
      <c r="A917"/>
      <c r="B917"/>
      <c r="C917" s="165">
        <v>5300</v>
      </c>
      <c r="D917" s="228"/>
      <c r="E917" s="228"/>
      <c r="F917" s="228">
        <v>0</v>
      </c>
      <c r="G917" s="228">
        <v>0</v>
      </c>
      <c r="H917" s="228"/>
      <c r="I917" s="228"/>
      <c r="J917" s="228"/>
      <c r="K917" s="228"/>
      <c r="L917" s="228"/>
      <c r="M917" s="228"/>
      <c r="N917" s="228"/>
      <c r="O917" s="228"/>
      <c r="P917" s="228">
        <v>0</v>
      </c>
      <c r="Q917" s="228">
        <v>0</v>
      </c>
    </row>
    <row r="918" spans="1:17">
      <c r="A918"/>
      <c r="B918" s="165" t="s">
        <v>1237</v>
      </c>
      <c r="C918" s="165">
        <v>5000</v>
      </c>
      <c r="D918" s="228"/>
      <c r="E918" s="228"/>
      <c r="F918" s="228">
        <v>3000</v>
      </c>
      <c r="G918" s="228">
        <v>15000000</v>
      </c>
      <c r="H918" s="228"/>
      <c r="I918" s="228"/>
      <c r="J918" s="228"/>
      <c r="K918" s="228"/>
      <c r="L918" s="228"/>
      <c r="M918" s="228"/>
      <c r="N918" s="228"/>
      <c r="O918" s="228"/>
      <c r="P918" s="228">
        <v>3000</v>
      </c>
      <c r="Q918" s="228">
        <v>15000000</v>
      </c>
    </row>
    <row r="919" spans="1:17">
      <c r="A919"/>
      <c r="B919"/>
      <c r="C919" s="165">
        <v>5400</v>
      </c>
      <c r="D919" s="228">
        <v>0</v>
      </c>
      <c r="E919" s="228">
        <v>0</v>
      </c>
      <c r="F919" s="228"/>
      <c r="G919" s="228"/>
      <c r="H919" s="228"/>
      <c r="I919" s="228"/>
      <c r="J919" s="228"/>
      <c r="K919" s="228"/>
      <c r="L919" s="228"/>
      <c r="M919" s="228"/>
      <c r="N919" s="228"/>
      <c r="O919" s="228"/>
      <c r="P919" s="228">
        <v>0</v>
      </c>
      <c r="Q919" s="228">
        <v>0</v>
      </c>
    </row>
    <row r="920" spans="1:17">
      <c r="A920"/>
      <c r="B920"/>
      <c r="C920" s="165">
        <v>5700</v>
      </c>
      <c r="D920" s="228"/>
      <c r="E920" s="228"/>
      <c r="F920" s="228"/>
      <c r="G920" s="228"/>
      <c r="H920" s="228"/>
      <c r="I920" s="228"/>
      <c r="J920" s="228"/>
      <c r="K920" s="228"/>
      <c r="L920" s="228">
        <v>5000</v>
      </c>
      <c r="M920" s="228">
        <v>28500000</v>
      </c>
      <c r="N920" s="228"/>
      <c r="O920" s="228"/>
      <c r="P920" s="228">
        <v>5000</v>
      </c>
      <c r="Q920" s="228">
        <v>28500000</v>
      </c>
    </row>
    <row r="921" spans="1:17">
      <c r="A921"/>
      <c r="B921" s="165" t="s">
        <v>253</v>
      </c>
      <c r="C921" s="165">
        <v>4800</v>
      </c>
      <c r="D921" s="228"/>
      <c r="E921" s="228"/>
      <c r="F921" s="228">
        <v>0</v>
      </c>
      <c r="G921" s="228">
        <v>0</v>
      </c>
      <c r="H921" s="228"/>
      <c r="I921" s="228"/>
      <c r="J921" s="228"/>
      <c r="K921" s="228"/>
      <c r="L921" s="228"/>
      <c r="M921" s="228"/>
      <c r="N921" s="228"/>
      <c r="O921" s="228"/>
      <c r="P921" s="228">
        <v>0</v>
      </c>
      <c r="Q921" s="228">
        <v>0</v>
      </c>
    </row>
    <row r="922" spans="1:17">
      <c r="A922"/>
      <c r="B922"/>
      <c r="C922" s="165">
        <v>5400</v>
      </c>
      <c r="D922" s="228"/>
      <c r="E922" s="228"/>
      <c r="F922" s="228">
        <v>0</v>
      </c>
      <c r="G922" s="228">
        <v>0</v>
      </c>
      <c r="H922" s="228"/>
      <c r="I922" s="228"/>
      <c r="J922" s="228"/>
      <c r="K922" s="228"/>
      <c r="L922" s="228"/>
      <c r="M922" s="228"/>
      <c r="N922" s="228"/>
      <c r="O922" s="228"/>
      <c r="P922" s="228">
        <v>0</v>
      </c>
      <c r="Q922" s="228">
        <v>0</v>
      </c>
    </row>
    <row r="923" spans="1:17">
      <c r="A923"/>
      <c r="B923"/>
      <c r="C923" s="165">
        <v>5500</v>
      </c>
      <c r="D923" s="228"/>
      <c r="E923" s="228"/>
      <c r="F923" s="228"/>
      <c r="G923" s="228"/>
      <c r="H923" s="228">
        <v>14000</v>
      </c>
      <c r="I923" s="228">
        <v>77000000</v>
      </c>
      <c r="J923" s="228">
        <v>7000</v>
      </c>
      <c r="K923" s="228">
        <v>38500000</v>
      </c>
      <c r="L923" s="228"/>
      <c r="M923" s="228"/>
      <c r="N923" s="228"/>
      <c r="O923" s="228"/>
      <c r="P923" s="228">
        <v>21000</v>
      </c>
      <c r="Q923" s="228">
        <v>115500000</v>
      </c>
    </row>
    <row r="924" spans="1:17">
      <c r="A924"/>
      <c r="B924"/>
      <c r="C924" s="165" t="s">
        <v>1471</v>
      </c>
      <c r="D924" s="228"/>
      <c r="E924" s="228"/>
      <c r="F924" s="228"/>
      <c r="G924" s="228"/>
      <c r="H924" s="228"/>
      <c r="I924" s="228"/>
      <c r="J924" s="228"/>
      <c r="K924" s="228"/>
      <c r="L924" s="228">
        <v>65000</v>
      </c>
      <c r="M924" s="228" t="e">
        <v>#VALUE!</v>
      </c>
      <c r="N924" s="228"/>
      <c r="O924" s="228"/>
      <c r="P924" s="228">
        <v>65000</v>
      </c>
      <c r="Q924" s="228" t="e">
        <v>#VALUE!</v>
      </c>
    </row>
    <row r="925" spans="1:17">
      <c r="A925"/>
      <c r="B925" s="165" t="s">
        <v>1555</v>
      </c>
      <c r="C925" s="165">
        <v>5300</v>
      </c>
      <c r="D925" s="228"/>
      <c r="E925" s="228"/>
      <c r="F925" s="228">
        <v>0</v>
      </c>
      <c r="G925" s="228">
        <v>0</v>
      </c>
      <c r="H925" s="228"/>
      <c r="I925" s="228"/>
      <c r="J925" s="228"/>
      <c r="K925" s="228"/>
      <c r="L925" s="228"/>
      <c r="M925" s="228"/>
      <c r="N925" s="228"/>
      <c r="O925" s="228"/>
      <c r="P925" s="228">
        <v>0</v>
      </c>
      <c r="Q925" s="228">
        <v>0</v>
      </c>
    </row>
    <row r="926" spans="1:17">
      <c r="A926"/>
      <c r="B926" s="165" t="s">
        <v>1415</v>
      </c>
      <c r="C926" s="165">
        <v>5300</v>
      </c>
      <c r="D926" s="228">
        <v>0</v>
      </c>
      <c r="E926" s="228">
        <v>0</v>
      </c>
      <c r="F926" s="228"/>
      <c r="G926" s="228"/>
      <c r="H926" s="228"/>
      <c r="I926" s="228"/>
      <c r="J926" s="228"/>
      <c r="K926" s="228"/>
      <c r="L926" s="228"/>
      <c r="M926" s="228"/>
      <c r="N926" s="228"/>
      <c r="O926" s="228"/>
      <c r="P926" s="228">
        <v>0</v>
      </c>
      <c r="Q926" s="228">
        <v>0</v>
      </c>
    </row>
    <row r="927" spans="1:17">
      <c r="A927"/>
      <c r="B927" s="165" t="s">
        <v>1567</v>
      </c>
      <c r="C927" s="165">
        <v>5500</v>
      </c>
      <c r="D927" s="228"/>
      <c r="E927" s="228"/>
      <c r="F927" s="228"/>
      <c r="G927" s="228"/>
      <c r="H927" s="228">
        <v>10000</v>
      </c>
      <c r="I927" s="228">
        <v>55000000</v>
      </c>
      <c r="J927" s="228"/>
      <c r="K927" s="228"/>
      <c r="L927" s="228"/>
      <c r="M927" s="228"/>
      <c r="N927" s="228"/>
      <c r="O927" s="228"/>
      <c r="P927" s="228">
        <v>10000</v>
      </c>
      <c r="Q927" s="228">
        <v>55000000</v>
      </c>
    </row>
    <row r="928" spans="1:17">
      <c r="A928"/>
      <c r="B928" s="165" t="s">
        <v>236</v>
      </c>
      <c r="C928" s="165">
        <v>4800</v>
      </c>
      <c r="D928" s="228"/>
      <c r="E928" s="228"/>
      <c r="F928" s="228">
        <v>0</v>
      </c>
      <c r="G928" s="228">
        <v>0</v>
      </c>
      <c r="H928" s="228"/>
      <c r="I928" s="228"/>
      <c r="J928" s="228"/>
      <c r="K928" s="228"/>
      <c r="L928" s="228"/>
      <c r="M928" s="228"/>
      <c r="N928" s="228"/>
      <c r="O928" s="228"/>
      <c r="P928" s="228">
        <v>0</v>
      </c>
      <c r="Q928" s="228">
        <v>0</v>
      </c>
    </row>
    <row r="929" spans="1:17">
      <c r="A929"/>
      <c r="B929" s="165" t="s">
        <v>1564</v>
      </c>
      <c r="C929" s="165">
        <v>3700</v>
      </c>
      <c r="D929" s="228"/>
      <c r="E929" s="228"/>
      <c r="F929" s="228"/>
      <c r="G929" s="228"/>
      <c r="H929" s="228">
        <v>4000</v>
      </c>
      <c r="I929" s="228">
        <v>14800000</v>
      </c>
      <c r="J929" s="228"/>
      <c r="K929" s="228"/>
      <c r="L929" s="228"/>
      <c r="M929" s="228"/>
      <c r="N929" s="228"/>
      <c r="O929" s="228"/>
      <c r="P929" s="228">
        <v>4000</v>
      </c>
      <c r="Q929" s="228">
        <v>14800000</v>
      </c>
    </row>
    <row r="930" spans="1:17">
      <c r="A930"/>
      <c r="B930" s="165" t="s">
        <v>1504</v>
      </c>
      <c r="C930" s="165">
        <v>5500</v>
      </c>
      <c r="D930" s="228"/>
      <c r="E930" s="228"/>
      <c r="F930" s="228"/>
      <c r="G930" s="228"/>
      <c r="H930" s="228">
        <v>14000</v>
      </c>
      <c r="I930" s="228">
        <v>77000000</v>
      </c>
      <c r="J930" s="228"/>
      <c r="K930" s="228"/>
      <c r="L930" s="228"/>
      <c r="M930" s="228"/>
      <c r="N930" s="228"/>
      <c r="O930" s="228"/>
      <c r="P930" s="228">
        <v>14000</v>
      </c>
      <c r="Q930" s="228">
        <v>77000000</v>
      </c>
    </row>
    <row r="931" spans="1:17">
      <c r="A931"/>
      <c r="B931"/>
      <c r="C931" s="165">
        <v>5600</v>
      </c>
      <c r="D931" s="228"/>
      <c r="E931" s="228"/>
      <c r="F931" s="228"/>
      <c r="G931" s="228"/>
      <c r="H931" s="228">
        <v>14000</v>
      </c>
      <c r="I931" s="228">
        <v>78400000</v>
      </c>
      <c r="J931" s="228"/>
      <c r="K931" s="228"/>
      <c r="L931" s="228">
        <v>7000</v>
      </c>
      <c r="M931" s="228">
        <v>39200000</v>
      </c>
      <c r="N931" s="228"/>
      <c r="O931" s="228"/>
      <c r="P931" s="228">
        <v>21000</v>
      </c>
      <c r="Q931" s="228">
        <v>117600000</v>
      </c>
    </row>
    <row r="932" spans="1:17">
      <c r="A932"/>
      <c r="B932"/>
      <c r="C932" s="165">
        <v>6000</v>
      </c>
      <c r="D932" s="228"/>
      <c r="E932" s="228"/>
      <c r="F932" s="228"/>
      <c r="G932" s="228"/>
      <c r="H932" s="228"/>
      <c r="I932" s="228"/>
      <c r="J932" s="228"/>
      <c r="K932" s="228"/>
      <c r="L932" s="228">
        <v>10000</v>
      </c>
      <c r="M932" s="228">
        <v>60000000</v>
      </c>
      <c r="N932" s="228"/>
      <c r="O932" s="228"/>
      <c r="P932" s="228">
        <v>10000</v>
      </c>
      <c r="Q932" s="228">
        <v>60000000</v>
      </c>
    </row>
    <row r="933" spans="1:17">
      <c r="A933"/>
      <c r="B933" s="165" t="s">
        <v>177</v>
      </c>
      <c r="C933" s="165">
        <v>5000</v>
      </c>
      <c r="D933" s="228"/>
      <c r="E933" s="228"/>
      <c r="F933" s="228">
        <v>0</v>
      </c>
      <c r="G933" s="228">
        <v>0</v>
      </c>
      <c r="H933" s="228"/>
      <c r="I933" s="228"/>
      <c r="J933" s="228"/>
      <c r="K933" s="228"/>
      <c r="L933" s="228"/>
      <c r="M933" s="228"/>
      <c r="N933" s="228"/>
      <c r="O933" s="228"/>
      <c r="P933" s="228">
        <v>0</v>
      </c>
      <c r="Q933" s="228">
        <v>0</v>
      </c>
    </row>
    <row r="934" spans="1:17">
      <c r="A934"/>
      <c r="B934"/>
      <c r="C934" s="165">
        <v>5170</v>
      </c>
      <c r="D934" s="228">
        <v>0</v>
      </c>
      <c r="E934" s="228">
        <v>0</v>
      </c>
      <c r="F934" s="228"/>
      <c r="G934" s="228"/>
      <c r="H934" s="228"/>
      <c r="I934" s="228"/>
      <c r="J934" s="228"/>
      <c r="K934" s="228"/>
      <c r="L934" s="228"/>
      <c r="M934" s="228"/>
      <c r="N934" s="228"/>
      <c r="O934" s="228"/>
      <c r="P934" s="228">
        <v>0</v>
      </c>
      <c r="Q934" s="228">
        <v>0</v>
      </c>
    </row>
    <row r="935" spans="1:17">
      <c r="A935"/>
      <c r="B935"/>
      <c r="C935" s="165">
        <v>5500</v>
      </c>
      <c r="D935" s="228">
        <v>0</v>
      </c>
      <c r="E935" s="228">
        <v>0</v>
      </c>
      <c r="F935" s="228"/>
      <c r="G935" s="228"/>
      <c r="H935" s="228"/>
      <c r="I935" s="228"/>
      <c r="J935" s="228"/>
      <c r="K935" s="228"/>
      <c r="L935" s="228"/>
      <c r="M935" s="228"/>
      <c r="N935" s="228"/>
      <c r="O935" s="228"/>
      <c r="P935" s="228">
        <v>0</v>
      </c>
      <c r="Q935" s="228">
        <v>0</v>
      </c>
    </row>
    <row r="936" spans="1:17">
      <c r="A936"/>
      <c r="B936" s="165" t="s">
        <v>817</v>
      </c>
      <c r="C936" s="165">
        <v>5000</v>
      </c>
      <c r="D936" s="228"/>
      <c r="E936" s="228"/>
      <c r="F936" s="228">
        <v>0</v>
      </c>
      <c r="G936" s="228">
        <v>0</v>
      </c>
      <c r="H936" s="228"/>
      <c r="I936" s="228"/>
      <c r="J936" s="228"/>
      <c r="K936" s="228"/>
      <c r="L936" s="228"/>
      <c r="M936" s="228"/>
      <c r="N936" s="228"/>
      <c r="O936" s="228"/>
      <c r="P936" s="228">
        <v>0</v>
      </c>
      <c r="Q936" s="228">
        <v>0</v>
      </c>
    </row>
    <row r="937" spans="1:17">
      <c r="A937"/>
      <c r="B937" s="165" t="s">
        <v>188</v>
      </c>
      <c r="C937" s="165">
        <v>4800</v>
      </c>
      <c r="D937" s="228"/>
      <c r="E937" s="228"/>
      <c r="F937" s="228">
        <v>0</v>
      </c>
      <c r="G937" s="228">
        <v>0</v>
      </c>
      <c r="H937" s="228"/>
      <c r="I937" s="228"/>
      <c r="J937" s="228"/>
      <c r="K937" s="228"/>
      <c r="L937" s="228"/>
      <c r="M937" s="228"/>
      <c r="N937" s="228"/>
      <c r="O937" s="228"/>
      <c r="P937" s="228">
        <v>0</v>
      </c>
      <c r="Q937" s="228">
        <v>0</v>
      </c>
    </row>
    <row r="938" spans="1:17">
      <c r="A938"/>
      <c r="B938"/>
      <c r="C938" s="165">
        <v>5400</v>
      </c>
      <c r="D938" s="228"/>
      <c r="E938" s="228"/>
      <c r="F938" s="228">
        <v>0</v>
      </c>
      <c r="G938" s="228">
        <v>0</v>
      </c>
      <c r="H938" s="228"/>
      <c r="I938" s="228"/>
      <c r="J938" s="228"/>
      <c r="K938" s="228"/>
      <c r="L938" s="228"/>
      <c r="M938" s="228"/>
      <c r="N938" s="228"/>
      <c r="O938" s="228"/>
      <c r="P938" s="228">
        <v>0</v>
      </c>
      <c r="Q938" s="228">
        <v>0</v>
      </c>
    </row>
    <row r="939" spans="1:17">
      <c r="A939"/>
      <c r="B939"/>
      <c r="C939" s="165">
        <v>5500</v>
      </c>
      <c r="D939" s="228">
        <v>0</v>
      </c>
      <c r="E939" s="228">
        <v>0</v>
      </c>
      <c r="F939" s="228">
        <v>0</v>
      </c>
      <c r="G939" s="228">
        <v>0</v>
      </c>
      <c r="H939" s="228">
        <v>15000</v>
      </c>
      <c r="I939" s="228">
        <v>82500000</v>
      </c>
      <c r="J939" s="228"/>
      <c r="K939" s="228"/>
      <c r="L939" s="228"/>
      <c r="M939" s="228"/>
      <c r="N939" s="228"/>
      <c r="O939" s="228"/>
      <c r="P939" s="228">
        <v>15000</v>
      </c>
      <c r="Q939" s="228">
        <v>82500000</v>
      </c>
    </row>
    <row r="940" spans="1:17">
      <c r="A940"/>
      <c r="B940"/>
      <c r="C940" s="165">
        <v>5600</v>
      </c>
      <c r="D940" s="228"/>
      <c r="E940" s="228"/>
      <c r="F940" s="228"/>
      <c r="G940" s="228"/>
      <c r="H940" s="228">
        <v>10000</v>
      </c>
      <c r="I940" s="228">
        <v>56000000</v>
      </c>
      <c r="J940" s="228"/>
      <c r="K940" s="228"/>
      <c r="L940" s="228"/>
      <c r="M940" s="228"/>
      <c r="N940" s="228"/>
      <c r="O940" s="228"/>
      <c r="P940" s="228">
        <v>10000</v>
      </c>
      <c r="Q940" s="228">
        <v>56000000</v>
      </c>
    </row>
    <row r="941" spans="1:17">
      <c r="A941"/>
      <c r="B941" s="165" t="s">
        <v>921</v>
      </c>
      <c r="C941" s="165">
        <v>4800</v>
      </c>
      <c r="D941" s="228"/>
      <c r="E941" s="228"/>
      <c r="F941" s="228">
        <v>0</v>
      </c>
      <c r="G941" s="228">
        <v>0</v>
      </c>
      <c r="H941" s="228"/>
      <c r="I941" s="228"/>
      <c r="J941" s="228"/>
      <c r="K941" s="228"/>
      <c r="L941" s="228"/>
      <c r="M941" s="228"/>
      <c r="N941" s="228"/>
      <c r="O941" s="228"/>
      <c r="P941" s="228">
        <v>0</v>
      </c>
      <c r="Q941" s="228">
        <v>0</v>
      </c>
    </row>
    <row r="942" spans="1:17">
      <c r="A942"/>
      <c r="B942"/>
      <c r="C942" s="165">
        <v>5500</v>
      </c>
      <c r="D942" s="228"/>
      <c r="E942" s="228"/>
      <c r="F942" s="228"/>
      <c r="G942" s="228"/>
      <c r="H942" s="228"/>
      <c r="I942" s="228"/>
      <c r="J942" s="228">
        <v>5000</v>
      </c>
      <c r="K942" s="228">
        <v>27500000</v>
      </c>
      <c r="L942" s="228"/>
      <c r="M942" s="228"/>
      <c r="N942" s="228"/>
      <c r="O942" s="228"/>
      <c r="P942" s="228">
        <v>5000</v>
      </c>
      <c r="Q942" s="228">
        <v>27500000</v>
      </c>
    </row>
    <row r="943" spans="1:17">
      <c r="A943"/>
      <c r="B943" s="165" t="s">
        <v>1030</v>
      </c>
      <c r="C943" s="165">
        <v>5400</v>
      </c>
      <c r="D943" s="228"/>
      <c r="E943" s="228"/>
      <c r="F943" s="228">
        <v>0</v>
      </c>
      <c r="G943" s="228">
        <v>0</v>
      </c>
      <c r="H943" s="228"/>
      <c r="I943" s="228"/>
      <c r="J943" s="228"/>
      <c r="K943" s="228"/>
      <c r="L943" s="228"/>
      <c r="M943" s="228"/>
      <c r="N943" s="228"/>
      <c r="O943" s="228"/>
      <c r="P943" s="228">
        <v>0</v>
      </c>
      <c r="Q943" s="228">
        <v>0</v>
      </c>
    </row>
    <row r="944" spans="1:17">
      <c r="A944"/>
      <c r="B944" s="165" t="s">
        <v>1702</v>
      </c>
      <c r="C944" s="165">
        <v>5000</v>
      </c>
      <c r="D944" s="228"/>
      <c r="E944" s="228"/>
      <c r="F944" s="228"/>
      <c r="G944" s="228"/>
      <c r="H944" s="228"/>
      <c r="I944" s="228"/>
      <c r="J944" s="228"/>
      <c r="K944" s="228"/>
      <c r="L944" s="228">
        <v>40000</v>
      </c>
      <c r="M944" s="228">
        <v>200000000</v>
      </c>
      <c r="N944" s="228"/>
      <c r="O944" s="228"/>
      <c r="P944" s="228">
        <v>40000</v>
      </c>
      <c r="Q944" s="228">
        <v>200000000</v>
      </c>
    </row>
    <row r="945" spans="1:17">
      <c r="A945"/>
      <c r="B945"/>
      <c r="C945" s="165">
        <v>5100</v>
      </c>
      <c r="D945" s="228"/>
      <c r="E945" s="228"/>
      <c r="F945" s="228">
        <v>0</v>
      </c>
      <c r="G945" s="228">
        <v>0</v>
      </c>
      <c r="H945" s="228"/>
      <c r="I945" s="228"/>
      <c r="J945" s="228"/>
      <c r="K945" s="228"/>
      <c r="L945" s="228"/>
      <c r="M945" s="228"/>
      <c r="N945" s="228"/>
      <c r="O945" s="228"/>
      <c r="P945" s="228">
        <v>0</v>
      </c>
      <c r="Q945" s="228">
        <v>0</v>
      </c>
    </row>
    <row r="946" spans="1:17">
      <c r="A946"/>
      <c r="B946"/>
      <c r="C946" s="165">
        <v>5500</v>
      </c>
      <c r="D946" s="228"/>
      <c r="E946" s="228"/>
      <c r="F946" s="228"/>
      <c r="G946" s="228"/>
      <c r="H946" s="228">
        <v>20000</v>
      </c>
      <c r="I946" s="228">
        <v>110000000</v>
      </c>
      <c r="J946" s="228"/>
      <c r="K946" s="228"/>
      <c r="L946" s="228"/>
      <c r="M946" s="228"/>
      <c r="N946" s="228"/>
      <c r="O946" s="228"/>
      <c r="P946" s="228">
        <v>20000</v>
      </c>
      <c r="Q946" s="228">
        <v>110000000</v>
      </c>
    </row>
    <row r="947" spans="1:17">
      <c r="A947"/>
      <c r="B947" s="165" t="s">
        <v>1589</v>
      </c>
      <c r="C947" s="165">
        <v>5800</v>
      </c>
      <c r="D947" s="228"/>
      <c r="E947" s="228"/>
      <c r="F947" s="228"/>
      <c r="G947" s="228"/>
      <c r="H947" s="228"/>
      <c r="I947" s="228"/>
      <c r="J947" s="228"/>
      <c r="K947" s="228"/>
      <c r="L947" s="228">
        <v>5000</v>
      </c>
      <c r="M947" s="228">
        <v>29000000</v>
      </c>
      <c r="N947" s="228"/>
      <c r="O947" s="228"/>
      <c r="P947" s="228">
        <v>5000</v>
      </c>
      <c r="Q947" s="228">
        <v>29000000</v>
      </c>
    </row>
    <row r="948" spans="1:17">
      <c r="A948"/>
      <c r="B948" s="165" t="s">
        <v>291</v>
      </c>
      <c r="C948" s="165">
        <v>5600</v>
      </c>
      <c r="D948" s="228"/>
      <c r="E948" s="228"/>
      <c r="F948" s="228"/>
      <c r="G948" s="228"/>
      <c r="H948" s="228">
        <v>3000</v>
      </c>
      <c r="I948" s="228">
        <v>16800000</v>
      </c>
      <c r="J948" s="228"/>
      <c r="K948" s="228"/>
      <c r="L948" s="228"/>
      <c r="M948" s="228"/>
      <c r="N948" s="228"/>
      <c r="O948" s="228"/>
      <c r="P948" s="228">
        <v>3000</v>
      </c>
      <c r="Q948" s="228">
        <v>16800000</v>
      </c>
    </row>
    <row r="949" spans="1:17">
      <c r="A949"/>
      <c r="B949" s="165" t="s">
        <v>213</v>
      </c>
      <c r="C949" s="165">
        <v>5000</v>
      </c>
      <c r="D949" s="228"/>
      <c r="E949" s="228"/>
      <c r="F949" s="228">
        <v>0</v>
      </c>
      <c r="G949" s="228">
        <v>0</v>
      </c>
      <c r="H949" s="228"/>
      <c r="I949" s="228"/>
      <c r="J949" s="228"/>
      <c r="K949" s="228"/>
      <c r="L949" s="228"/>
      <c r="M949" s="228"/>
      <c r="N949" s="228"/>
      <c r="O949" s="228"/>
      <c r="P949" s="228">
        <v>0</v>
      </c>
      <c r="Q949" s="228">
        <v>0</v>
      </c>
    </row>
    <row r="950" spans="1:17">
      <c r="A950"/>
      <c r="B950"/>
      <c r="C950" s="165">
        <v>5500</v>
      </c>
      <c r="D950" s="228"/>
      <c r="E950" s="228"/>
      <c r="F950" s="228"/>
      <c r="G950" s="228"/>
      <c r="H950" s="228">
        <v>4000</v>
      </c>
      <c r="I950" s="228">
        <v>22000000</v>
      </c>
      <c r="J950" s="228">
        <v>3000</v>
      </c>
      <c r="K950" s="228">
        <v>16500000</v>
      </c>
      <c r="L950" s="228"/>
      <c r="M950" s="228"/>
      <c r="N950" s="228"/>
      <c r="O950" s="228"/>
      <c r="P950" s="228">
        <v>7000</v>
      </c>
      <c r="Q950" s="228">
        <v>38500000</v>
      </c>
    </row>
    <row r="951" spans="1:17">
      <c r="A951"/>
      <c r="B951" s="165" t="s">
        <v>1142</v>
      </c>
      <c r="C951" s="165">
        <v>5100</v>
      </c>
      <c r="D951" s="228"/>
      <c r="E951" s="228"/>
      <c r="F951" s="228">
        <v>0</v>
      </c>
      <c r="G951" s="228">
        <v>0</v>
      </c>
      <c r="H951" s="228"/>
      <c r="I951" s="228"/>
      <c r="J951" s="228"/>
      <c r="K951" s="228"/>
      <c r="L951" s="228"/>
      <c r="M951" s="228"/>
      <c r="N951" s="228"/>
      <c r="O951" s="228"/>
      <c r="P951" s="228">
        <v>0</v>
      </c>
      <c r="Q951" s="228">
        <v>0</v>
      </c>
    </row>
    <row r="952" spans="1:17">
      <c r="A952"/>
      <c r="B952"/>
      <c r="C952" s="165">
        <v>5500</v>
      </c>
      <c r="D952" s="228"/>
      <c r="E952" s="228"/>
      <c r="F952" s="228"/>
      <c r="G952" s="228"/>
      <c r="H952" s="228"/>
      <c r="I952" s="228"/>
      <c r="J952" s="228">
        <v>12000</v>
      </c>
      <c r="K952" s="228">
        <v>66000000</v>
      </c>
      <c r="L952" s="228"/>
      <c r="M952" s="228"/>
      <c r="N952" s="228"/>
      <c r="O952" s="228"/>
      <c r="P952" s="228">
        <v>12000</v>
      </c>
      <c r="Q952" s="228">
        <v>66000000</v>
      </c>
    </row>
    <row r="953" spans="1:17">
      <c r="A953"/>
      <c r="B953" s="165" t="s">
        <v>1155</v>
      </c>
      <c r="C953" s="165">
        <v>4800</v>
      </c>
      <c r="D953" s="228"/>
      <c r="E953" s="228"/>
      <c r="F953" s="228">
        <v>0</v>
      </c>
      <c r="G953" s="228">
        <v>0</v>
      </c>
      <c r="H953" s="228"/>
      <c r="I953" s="228"/>
      <c r="J953" s="228"/>
      <c r="K953" s="228"/>
      <c r="L953" s="228"/>
      <c r="M953" s="228"/>
      <c r="N953" s="228"/>
      <c r="O953" s="228"/>
      <c r="P953" s="228">
        <v>0</v>
      </c>
      <c r="Q953" s="228">
        <v>0</v>
      </c>
    </row>
    <row r="954" spans="1:17">
      <c r="A954"/>
      <c r="B954"/>
      <c r="C954" s="165">
        <v>5100</v>
      </c>
      <c r="D954" s="228"/>
      <c r="E954" s="228"/>
      <c r="F954" s="228">
        <v>0</v>
      </c>
      <c r="G954" s="228">
        <v>0</v>
      </c>
      <c r="H954" s="228"/>
      <c r="I954" s="228"/>
      <c r="J954" s="228"/>
      <c r="K954" s="228"/>
      <c r="L954" s="228"/>
      <c r="M954" s="228"/>
      <c r="N954" s="228"/>
      <c r="O954" s="228"/>
      <c r="P954" s="228">
        <v>0</v>
      </c>
      <c r="Q954" s="228">
        <v>0</v>
      </c>
    </row>
    <row r="955" spans="1:17">
      <c r="A955"/>
      <c r="B955" s="165" t="s">
        <v>239</v>
      </c>
      <c r="C955" s="165">
        <v>4800</v>
      </c>
      <c r="D955" s="228"/>
      <c r="E955" s="228"/>
      <c r="F955" s="228">
        <v>0</v>
      </c>
      <c r="G955" s="228">
        <v>0</v>
      </c>
      <c r="H955" s="228"/>
      <c r="I955" s="228"/>
      <c r="J955" s="228"/>
      <c r="K955" s="228"/>
      <c r="L955" s="228"/>
      <c r="M955" s="228"/>
      <c r="N955" s="228"/>
      <c r="O955" s="228"/>
      <c r="P955" s="228">
        <v>0</v>
      </c>
      <c r="Q955" s="228">
        <v>0</v>
      </c>
    </row>
    <row r="956" spans="1:17">
      <c r="A956"/>
      <c r="B956" s="165" t="s">
        <v>278</v>
      </c>
      <c r="C956" s="165">
        <v>5300</v>
      </c>
      <c r="D956" s="228"/>
      <c r="E956" s="228"/>
      <c r="F956" s="228">
        <v>0</v>
      </c>
      <c r="G956" s="228">
        <v>0</v>
      </c>
      <c r="H956" s="228"/>
      <c r="I956" s="228"/>
      <c r="J956" s="228"/>
      <c r="K956" s="228"/>
      <c r="L956" s="228"/>
      <c r="M956" s="228"/>
      <c r="N956" s="228"/>
      <c r="O956" s="228"/>
      <c r="P956" s="228">
        <v>0</v>
      </c>
      <c r="Q956" s="228">
        <v>0</v>
      </c>
    </row>
    <row r="957" spans="1:17">
      <c r="A957"/>
      <c r="B957"/>
      <c r="C957" s="165">
        <v>5500</v>
      </c>
      <c r="D957" s="228"/>
      <c r="E957" s="228"/>
      <c r="F957" s="228"/>
      <c r="G957" s="228"/>
      <c r="H957" s="228">
        <v>10000</v>
      </c>
      <c r="I957" s="228">
        <v>55000000</v>
      </c>
      <c r="J957" s="228"/>
      <c r="K957" s="228"/>
      <c r="L957" s="228"/>
      <c r="M957" s="228"/>
      <c r="N957" s="228"/>
      <c r="O957" s="228"/>
      <c r="P957" s="228">
        <v>10000</v>
      </c>
      <c r="Q957" s="228">
        <v>55000000</v>
      </c>
    </row>
    <row r="958" spans="1:17">
      <c r="A958"/>
      <c r="B958"/>
      <c r="C958" s="165">
        <v>5700</v>
      </c>
      <c r="D958" s="228"/>
      <c r="E958" s="228"/>
      <c r="F958" s="228"/>
      <c r="G958" s="228"/>
      <c r="H958" s="228"/>
      <c r="I958" s="228"/>
      <c r="J958" s="228"/>
      <c r="K958" s="228"/>
      <c r="L958" s="228">
        <v>10000</v>
      </c>
      <c r="M958" s="228">
        <v>57000000</v>
      </c>
      <c r="N958" s="228"/>
      <c r="O958" s="228"/>
      <c r="P958" s="228">
        <v>10000</v>
      </c>
      <c r="Q958" s="228">
        <v>57000000</v>
      </c>
    </row>
    <row r="959" spans="1:17">
      <c r="A959"/>
      <c r="B959"/>
      <c r="C959" s="165">
        <v>5800</v>
      </c>
      <c r="D959" s="228"/>
      <c r="E959" s="228"/>
      <c r="F959" s="228"/>
      <c r="G959" s="228"/>
      <c r="H959" s="228"/>
      <c r="I959" s="228"/>
      <c r="J959" s="228"/>
      <c r="K959" s="228"/>
      <c r="L959" s="228">
        <v>10000</v>
      </c>
      <c r="M959" s="228">
        <v>58000000</v>
      </c>
      <c r="N959" s="228"/>
      <c r="O959" s="228"/>
      <c r="P959" s="228">
        <v>10000</v>
      </c>
      <c r="Q959" s="228">
        <v>58000000</v>
      </c>
    </row>
    <row r="960" spans="1:17">
      <c r="A960"/>
      <c r="B960"/>
      <c r="C960" s="165" t="s">
        <v>385</v>
      </c>
      <c r="D960" s="228">
        <v>0</v>
      </c>
      <c r="E960" s="228">
        <v>0</v>
      </c>
      <c r="F960" s="228"/>
      <c r="G960" s="228"/>
      <c r="H960" s="228"/>
      <c r="I960" s="228"/>
      <c r="J960" s="228"/>
      <c r="K960" s="228"/>
      <c r="L960" s="228"/>
      <c r="M960" s="228"/>
      <c r="N960" s="228"/>
      <c r="O960" s="228"/>
      <c r="P960" s="228">
        <v>0</v>
      </c>
      <c r="Q960" s="228">
        <v>0</v>
      </c>
    </row>
    <row r="961" spans="1:17">
      <c r="A961"/>
      <c r="B961" s="165" t="s">
        <v>195</v>
      </c>
      <c r="C961" s="165">
        <v>4900</v>
      </c>
      <c r="D961" s="228"/>
      <c r="E961" s="228"/>
      <c r="F961" s="228">
        <v>0</v>
      </c>
      <c r="G961" s="228">
        <v>0</v>
      </c>
      <c r="H961" s="228"/>
      <c r="I961" s="228"/>
      <c r="J961" s="228"/>
      <c r="K961" s="228"/>
      <c r="L961" s="228"/>
      <c r="M961" s="228"/>
      <c r="N961" s="228"/>
      <c r="O961" s="228"/>
      <c r="P961" s="228">
        <v>0</v>
      </c>
      <c r="Q961" s="228">
        <v>0</v>
      </c>
    </row>
    <row r="962" spans="1:17">
      <c r="A962"/>
      <c r="B962" s="165" t="s">
        <v>216</v>
      </c>
      <c r="C962" s="165">
        <v>4800</v>
      </c>
      <c r="D962" s="228"/>
      <c r="E962" s="228"/>
      <c r="F962" s="228">
        <v>0</v>
      </c>
      <c r="G962" s="228">
        <v>0</v>
      </c>
      <c r="H962" s="228">
        <v>5000</v>
      </c>
      <c r="I962" s="228">
        <v>24000000</v>
      </c>
      <c r="J962" s="228"/>
      <c r="K962" s="228"/>
      <c r="L962" s="228"/>
      <c r="M962" s="228"/>
      <c r="N962" s="228"/>
      <c r="O962" s="228"/>
      <c r="P962" s="228">
        <v>5000</v>
      </c>
      <c r="Q962" s="228">
        <v>24000000</v>
      </c>
    </row>
    <row r="963" spans="1:17">
      <c r="A963"/>
      <c r="B963"/>
      <c r="C963" s="165">
        <v>4970</v>
      </c>
      <c r="D963" s="228"/>
      <c r="E963" s="228"/>
      <c r="F963" s="228"/>
      <c r="G963" s="228"/>
      <c r="H963" s="228"/>
      <c r="I963" s="228"/>
      <c r="J963" s="228">
        <v>4000</v>
      </c>
      <c r="K963" s="228">
        <v>19880000</v>
      </c>
      <c r="L963" s="228"/>
      <c r="M963" s="228"/>
      <c r="N963" s="228"/>
      <c r="O963" s="228"/>
      <c r="P963" s="228">
        <v>4000</v>
      </c>
      <c r="Q963" s="228">
        <v>19880000</v>
      </c>
    </row>
    <row r="964" spans="1:17">
      <c r="A964"/>
      <c r="B964"/>
      <c r="C964" s="165">
        <v>5400</v>
      </c>
      <c r="D964" s="228"/>
      <c r="E964" s="228"/>
      <c r="F964" s="228">
        <v>0</v>
      </c>
      <c r="G964" s="228">
        <v>0</v>
      </c>
      <c r="H964" s="228"/>
      <c r="I964" s="228"/>
      <c r="J964" s="228"/>
      <c r="K964" s="228"/>
      <c r="L964" s="228"/>
      <c r="M964" s="228"/>
      <c r="N964" s="228"/>
      <c r="O964" s="228"/>
      <c r="P964" s="228">
        <v>0</v>
      </c>
      <c r="Q964" s="228">
        <v>0</v>
      </c>
    </row>
    <row r="965" spans="1:17">
      <c r="A965"/>
      <c r="B965" s="165" t="s">
        <v>264</v>
      </c>
      <c r="C965" s="165">
        <v>5000</v>
      </c>
      <c r="D965" s="228"/>
      <c r="E965" s="228"/>
      <c r="F965" s="228">
        <v>0</v>
      </c>
      <c r="G965" s="228">
        <v>0</v>
      </c>
      <c r="H965" s="228"/>
      <c r="I965" s="228"/>
      <c r="J965" s="228"/>
      <c r="K965" s="228"/>
      <c r="L965" s="228"/>
      <c r="M965" s="228"/>
      <c r="N965" s="228"/>
      <c r="O965" s="228"/>
      <c r="P965" s="228">
        <v>0</v>
      </c>
      <c r="Q965" s="228">
        <v>0</v>
      </c>
    </row>
    <row r="966" spans="1:17">
      <c r="A966"/>
      <c r="B966"/>
      <c r="C966" s="165">
        <v>5100</v>
      </c>
      <c r="D966" s="228"/>
      <c r="E966" s="228"/>
      <c r="F966" s="228">
        <v>0</v>
      </c>
      <c r="G966" s="228">
        <v>0</v>
      </c>
      <c r="H966" s="228"/>
      <c r="I966" s="228"/>
      <c r="J966" s="228"/>
      <c r="K966" s="228"/>
      <c r="L966" s="228"/>
      <c r="M966" s="228"/>
      <c r="N966" s="228"/>
      <c r="O966" s="228"/>
      <c r="P966" s="228">
        <v>0</v>
      </c>
      <c r="Q966" s="228">
        <v>0</v>
      </c>
    </row>
    <row r="967" spans="1:17">
      <c r="A967"/>
      <c r="B967" s="165" t="s">
        <v>268</v>
      </c>
      <c r="C967" s="165">
        <v>4900</v>
      </c>
      <c r="D967" s="228"/>
      <c r="E967" s="228"/>
      <c r="F967" s="228">
        <v>0</v>
      </c>
      <c r="G967" s="228">
        <v>0</v>
      </c>
      <c r="H967" s="228"/>
      <c r="I967" s="228"/>
      <c r="J967" s="228"/>
      <c r="K967" s="228"/>
      <c r="L967" s="228"/>
      <c r="M967" s="228"/>
      <c r="N967" s="228"/>
      <c r="O967" s="228"/>
      <c r="P967" s="228">
        <v>0</v>
      </c>
      <c r="Q967" s="228">
        <v>0</v>
      </c>
    </row>
    <row r="968" spans="1:17">
      <c r="A968"/>
      <c r="B968"/>
      <c r="C968" s="165">
        <v>5000</v>
      </c>
      <c r="D968" s="228"/>
      <c r="E968" s="228"/>
      <c r="F968" s="228">
        <v>0</v>
      </c>
      <c r="G968" s="228">
        <v>0</v>
      </c>
      <c r="H968" s="228"/>
      <c r="I968" s="228"/>
      <c r="J968" s="228"/>
      <c r="K968" s="228"/>
      <c r="L968" s="228"/>
      <c r="M968" s="228"/>
      <c r="N968" s="228"/>
      <c r="O968" s="228"/>
      <c r="P968" s="228">
        <v>0</v>
      </c>
      <c r="Q968" s="228">
        <v>0</v>
      </c>
    </row>
    <row r="969" spans="1:17">
      <c r="A969"/>
      <c r="B969"/>
      <c r="C969" s="165">
        <v>5600</v>
      </c>
      <c r="D969" s="228"/>
      <c r="E969" s="228"/>
      <c r="F969" s="228"/>
      <c r="G969" s="228"/>
      <c r="H969" s="228">
        <v>7000</v>
      </c>
      <c r="I969" s="228">
        <v>39200000</v>
      </c>
      <c r="J969" s="228"/>
      <c r="K969" s="228"/>
      <c r="L969" s="228"/>
      <c r="M969" s="228"/>
      <c r="N969" s="228"/>
      <c r="O969" s="228"/>
      <c r="P969" s="228">
        <v>7000</v>
      </c>
      <c r="Q969" s="228">
        <v>39200000</v>
      </c>
    </row>
    <row r="970" spans="1:17">
      <c r="A970"/>
      <c r="B970" s="165" t="s">
        <v>810</v>
      </c>
      <c r="C970" s="165">
        <v>5500</v>
      </c>
      <c r="D970" s="228"/>
      <c r="E970" s="228"/>
      <c r="F970" s="228"/>
      <c r="G970" s="228"/>
      <c r="H970" s="228"/>
      <c r="I970" s="228"/>
      <c r="J970" s="228">
        <v>20000</v>
      </c>
      <c r="K970" s="228">
        <v>110000000</v>
      </c>
      <c r="L970" s="228"/>
      <c r="M970" s="228"/>
      <c r="N970" s="228"/>
      <c r="O970" s="228"/>
      <c r="P970" s="228">
        <v>20000</v>
      </c>
      <c r="Q970" s="228">
        <v>110000000</v>
      </c>
    </row>
    <row r="971" spans="1:17">
      <c r="A971"/>
      <c r="B971" s="165" t="s">
        <v>1804</v>
      </c>
      <c r="C971" s="165">
        <v>5500</v>
      </c>
      <c r="D971" s="228"/>
      <c r="E971" s="228"/>
      <c r="F971" s="228"/>
      <c r="G971" s="228"/>
      <c r="H971" s="228"/>
      <c r="I971" s="228"/>
      <c r="J971" s="228">
        <v>3000</v>
      </c>
      <c r="K971" s="228">
        <v>16500000</v>
      </c>
      <c r="L971" s="228"/>
      <c r="M971" s="228"/>
      <c r="N971" s="228"/>
      <c r="O971" s="228"/>
      <c r="P971" s="228">
        <v>3000</v>
      </c>
      <c r="Q971" s="228">
        <v>16500000</v>
      </c>
    </row>
    <row r="972" spans="1:17">
      <c r="A972"/>
      <c r="B972" s="165" t="s">
        <v>208</v>
      </c>
      <c r="C972" s="165">
        <v>5000</v>
      </c>
      <c r="D972" s="228">
        <v>0</v>
      </c>
      <c r="E972" s="228">
        <v>0</v>
      </c>
      <c r="F972" s="228"/>
      <c r="G972" s="228"/>
      <c r="H972" s="228"/>
      <c r="I972" s="228"/>
      <c r="J972" s="228"/>
      <c r="K972" s="228"/>
      <c r="L972" s="228"/>
      <c r="M972" s="228"/>
      <c r="N972" s="228"/>
      <c r="O972" s="228"/>
      <c r="P972" s="228">
        <v>0</v>
      </c>
      <c r="Q972" s="228">
        <v>0</v>
      </c>
    </row>
    <row r="973" spans="1:17">
      <c r="A973"/>
      <c r="B973" s="165" t="s">
        <v>251</v>
      </c>
      <c r="C973" s="165">
        <v>5400</v>
      </c>
      <c r="D973" s="228"/>
      <c r="E973" s="228"/>
      <c r="F973" s="228">
        <v>30000</v>
      </c>
      <c r="G973" s="228">
        <v>162000000</v>
      </c>
      <c r="H973" s="228"/>
      <c r="I973" s="228"/>
      <c r="J973" s="228"/>
      <c r="K973" s="228"/>
      <c r="L973" s="228"/>
      <c r="M973" s="228"/>
      <c r="N973" s="228"/>
      <c r="O973" s="228"/>
      <c r="P973" s="228">
        <v>30000</v>
      </c>
      <c r="Q973" s="228">
        <v>162000000</v>
      </c>
    </row>
    <row r="974" spans="1:17">
      <c r="A974"/>
      <c r="B974"/>
      <c r="C974" s="165">
        <v>5500</v>
      </c>
      <c r="D974" s="228"/>
      <c r="E974" s="228"/>
      <c r="F974" s="228"/>
      <c r="G974" s="228"/>
      <c r="H974" s="228">
        <v>100000</v>
      </c>
      <c r="I974" s="228">
        <v>550000000</v>
      </c>
      <c r="J974" s="228"/>
      <c r="K974" s="228"/>
      <c r="L974" s="228"/>
      <c r="M974" s="228"/>
      <c r="N974" s="228"/>
      <c r="O974" s="228"/>
      <c r="P974" s="228">
        <v>100000</v>
      </c>
      <c r="Q974" s="228">
        <v>550000000</v>
      </c>
    </row>
    <row r="975" spans="1:17">
      <c r="A975"/>
      <c r="B975" s="165" t="s">
        <v>201</v>
      </c>
      <c r="C975" s="165">
        <v>5500</v>
      </c>
      <c r="D975" s="228"/>
      <c r="E975" s="228"/>
      <c r="F975" s="228">
        <v>0</v>
      </c>
      <c r="G975" s="228">
        <v>0</v>
      </c>
      <c r="H975" s="228"/>
      <c r="I975" s="228"/>
      <c r="J975" s="228"/>
      <c r="K975" s="228"/>
      <c r="L975" s="228"/>
      <c r="M975" s="228"/>
      <c r="N975" s="228"/>
      <c r="O975" s="228"/>
      <c r="P975" s="228">
        <v>0</v>
      </c>
      <c r="Q975" s="228">
        <v>0</v>
      </c>
    </row>
    <row r="976" spans="1:17">
      <c r="A976"/>
      <c r="B976"/>
      <c r="C976" s="165">
        <v>5600</v>
      </c>
      <c r="D976" s="228"/>
      <c r="E976" s="228"/>
      <c r="F976" s="228"/>
      <c r="G976" s="228"/>
      <c r="H976" s="228">
        <v>2400</v>
      </c>
      <c r="I976" s="228">
        <v>13440000</v>
      </c>
      <c r="J976" s="228"/>
      <c r="K976" s="228"/>
      <c r="L976" s="228"/>
      <c r="M976" s="228"/>
      <c r="N976" s="228"/>
      <c r="O976" s="228"/>
      <c r="P976" s="228">
        <v>2400</v>
      </c>
      <c r="Q976" s="228">
        <v>13440000</v>
      </c>
    </row>
    <row r="977" spans="1:17">
      <c r="A977"/>
      <c r="B977" s="165" t="s">
        <v>116</v>
      </c>
      <c r="C977" s="165">
        <v>4800</v>
      </c>
      <c r="D977" s="228"/>
      <c r="E977" s="228"/>
      <c r="F977" s="228">
        <v>0</v>
      </c>
      <c r="G977" s="228">
        <v>0</v>
      </c>
      <c r="H977" s="228"/>
      <c r="I977" s="228"/>
      <c r="J977" s="228"/>
      <c r="K977" s="228"/>
      <c r="L977" s="228"/>
      <c r="M977" s="228"/>
      <c r="N977" s="228"/>
      <c r="O977" s="228"/>
      <c r="P977" s="228">
        <v>0</v>
      </c>
      <c r="Q977" s="228">
        <v>0</v>
      </c>
    </row>
    <row r="978" spans="1:17">
      <c r="A978"/>
      <c r="B978"/>
      <c r="C978" s="165">
        <v>5000</v>
      </c>
      <c r="D978" s="228"/>
      <c r="E978" s="228"/>
      <c r="F978" s="228">
        <v>0</v>
      </c>
      <c r="G978" s="228">
        <v>0</v>
      </c>
      <c r="H978" s="228"/>
      <c r="I978" s="228"/>
      <c r="J978" s="228"/>
      <c r="K978" s="228"/>
      <c r="L978" s="228"/>
      <c r="M978" s="228"/>
      <c r="N978" s="228"/>
      <c r="O978" s="228"/>
      <c r="P978" s="228">
        <v>0</v>
      </c>
      <c r="Q978" s="228">
        <v>0</v>
      </c>
    </row>
    <row r="979" spans="1:17">
      <c r="A979"/>
      <c r="B979"/>
      <c r="C979" s="165">
        <v>5800</v>
      </c>
      <c r="D979" s="228"/>
      <c r="E979" s="228"/>
      <c r="F979" s="228"/>
      <c r="G979" s="228"/>
      <c r="H979" s="228"/>
      <c r="I979" s="228"/>
      <c r="J979" s="228"/>
      <c r="K979" s="228"/>
      <c r="L979" s="228">
        <v>7000</v>
      </c>
      <c r="M979" s="228">
        <v>40600000</v>
      </c>
      <c r="N979" s="228"/>
      <c r="O979" s="228"/>
      <c r="P979" s="228">
        <v>7000</v>
      </c>
      <c r="Q979" s="228">
        <v>40600000</v>
      </c>
    </row>
    <row r="980" spans="1:17">
      <c r="A980"/>
      <c r="B980" s="165" t="s">
        <v>1868</v>
      </c>
      <c r="C980" s="165" t="s">
        <v>385</v>
      </c>
      <c r="D980" s="228"/>
      <c r="E980" s="228"/>
      <c r="F980" s="228"/>
      <c r="G980" s="228"/>
      <c r="H980" s="228"/>
      <c r="I980" s="228"/>
      <c r="J980" s="228">
        <v>6000</v>
      </c>
      <c r="K980" s="228">
        <v>0</v>
      </c>
      <c r="L980" s="228"/>
      <c r="M980" s="228"/>
      <c r="N980" s="228"/>
      <c r="O980" s="228"/>
      <c r="P980" s="228">
        <v>6000</v>
      </c>
      <c r="Q980" s="228">
        <v>0</v>
      </c>
    </row>
    <row r="981" spans="1:17">
      <c r="A981" s="165" t="s">
        <v>1872</v>
      </c>
      <c r="B981" s="165" t="s">
        <v>168</v>
      </c>
      <c r="C981" s="165">
        <v>8100</v>
      </c>
      <c r="D981" s="228">
        <v>0</v>
      </c>
      <c r="E981" s="228">
        <v>0</v>
      </c>
      <c r="F981" s="228"/>
      <c r="G981" s="228"/>
      <c r="H981" s="228"/>
      <c r="I981" s="228"/>
      <c r="J981" s="228"/>
      <c r="K981" s="228"/>
      <c r="L981" s="228"/>
      <c r="M981" s="228"/>
      <c r="N981" s="228"/>
      <c r="O981" s="228"/>
      <c r="P981" s="228">
        <v>0</v>
      </c>
      <c r="Q981" s="228">
        <v>0</v>
      </c>
    </row>
    <row r="982" spans="1:17">
      <c r="A982"/>
      <c r="B982" s="165" t="s">
        <v>1627</v>
      </c>
      <c r="C982" s="165">
        <v>6358</v>
      </c>
      <c r="D982" s="228"/>
      <c r="E982" s="228"/>
      <c r="F982" s="228">
        <v>0</v>
      </c>
      <c r="G982" s="228">
        <v>0</v>
      </c>
      <c r="H982" s="228"/>
      <c r="I982" s="228"/>
      <c r="J982" s="228"/>
      <c r="K982" s="228"/>
      <c r="L982" s="228"/>
      <c r="M982" s="228"/>
      <c r="N982" s="228"/>
      <c r="O982" s="228"/>
      <c r="P982" s="228">
        <v>0</v>
      </c>
      <c r="Q982" s="228">
        <v>0</v>
      </c>
    </row>
    <row r="983" spans="1:17">
      <c r="A983"/>
      <c r="B983" s="165" t="s">
        <v>76</v>
      </c>
      <c r="C983" s="165">
        <v>7500</v>
      </c>
      <c r="D983" s="228"/>
      <c r="E983" s="228"/>
      <c r="F983" s="228"/>
      <c r="G983" s="228"/>
      <c r="H983" s="228">
        <v>10050</v>
      </c>
      <c r="I983" s="228">
        <v>75375000</v>
      </c>
      <c r="J983" s="228"/>
      <c r="K983" s="228"/>
      <c r="L983" s="228"/>
      <c r="M983" s="228"/>
      <c r="N983" s="228"/>
      <c r="O983" s="228"/>
      <c r="P983" s="228">
        <v>10050</v>
      </c>
      <c r="Q983" s="228">
        <v>75375000</v>
      </c>
    </row>
    <row r="984" spans="1:17">
      <c r="A984"/>
      <c r="B984" s="165" t="s">
        <v>1241</v>
      </c>
      <c r="C984" s="165">
        <v>7500</v>
      </c>
      <c r="D984" s="228"/>
      <c r="E984" s="228"/>
      <c r="F984" s="228"/>
      <c r="G984" s="228"/>
      <c r="H984" s="228"/>
      <c r="I984" s="228"/>
      <c r="J984" s="228"/>
      <c r="K984" s="228"/>
      <c r="L984" s="228">
        <v>28050</v>
      </c>
      <c r="M984" s="228">
        <v>210375000</v>
      </c>
      <c r="N984" s="228"/>
      <c r="O984" s="228"/>
      <c r="P984" s="228">
        <v>28050</v>
      </c>
      <c r="Q984" s="228">
        <v>210375000</v>
      </c>
    </row>
    <row r="985" spans="1:17">
      <c r="A985"/>
      <c r="B985"/>
      <c r="C985" s="165">
        <v>8500</v>
      </c>
      <c r="D985" s="228"/>
      <c r="E985" s="228"/>
      <c r="F985" s="228"/>
      <c r="G985" s="228"/>
      <c r="H985" s="228"/>
      <c r="I985" s="228"/>
      <c r="J985" s="228"/>
      <c r="K985" s="228"/>
      <c r="L985" s="228">
        <v>6000</v>
      </c>
      <c r="M985" s="228">
        <v>51000000</v>
      </c>
      <c r="N985" s="228"/>
      <c r="O985" s="228"/>
      <c r="P985" s="228">
        <v>6000</v>
      </c>
      <c r="Q985" s="228">
        <v>51000000</v>
      </c>
    </row>
    <row r="986" spans="1:17">
      <c r="A986"/>
      <c r="B986" s="165" t="s">
        <v>150</v>
      </c>
      <c r="C986" s="165">
        <v>6300</v>
      </c>
      <c r="D986" s="228"/>
      <c r="E986" s="228"/>
      <c r="F986" s="228">
        <v>0</v>
      </c>
      <c r="G986" s="228">
        <v>0</v>
      </c>
      <c r="H986" s="228"/>
      <c r="I986" s="228"/>
      <c r="J986" s="228"/>
      <c r="K986" s="228"/>
      <c r="L986" s="228"/>
      <c r="M986" s="228"/>
      <c r="N986" s="228"/>
      <c r="O986" s="228"/>
      <c r="P986" s="228">
        <v>0</v>
      </c>
      <c r="Q986" s="228">
        <v>0</v>
      </c>
    </row>
    <row r="987" spans="1:17">
      <c r="A987"/>
      <c r="B987"/>
      <c r="C987" s="165">
        <v>7200</v>
      </c>
      <c r="D987" s="228"/>
      <c r="E987" s="228"/>
      <c r="F987" s="228"/>
      <c r="G987" s="228"/>
      <c r="H987" s="228"/>
      <c r="I987" s="228"/>
      <c r="J987" s="228"/>
      <c r="K987" s="228"/>
      <c r="L987" s="228">
        <v>5100</v>
      </c>
      <c r="M987" s="228">
        <v>36720000</v>
      </c>
      <c r="N987" s="228"/>
      <c r="O987" s="228"/>
      <c r="P987" s="228">
        <v>5100</v>
      </c>
      <c r="Q987" s="228">
        <v>36720000</v>
      </c>
    </row>
    <row r="988" spans="1:17">
      <c r="A988"/>
      <c r="B988" s="165" t="s">
        <v>710</v>
      </c>
      <c r="C988" s="165">
        <v>6470</v>
      </c>
      <c r="D988" s="228"/>
      <c r="E988" s="228"/>
      <c r="F988" s="228">
        <v>0</v>
      </c>
      <c r="G988" s="228">
        <v>0</v>
      </c>
      <c r="H988" s="228"/>
      <c r="I988" s="228"/>
      <c r="J988" s="228"/>
      <c r="K988" s="228"/>
      <c r="L988" s="228"/>
      <c r="M988" s="228"/>
      <c r="N988" s="228"/>
      <c r="O988" s="228"/>
      <c r="P988" s="228">
        <v>0</v>
      </c>
      <c r="Q988" s="228">
        <v>0</v>
      </c>
    </row>
    <row r="989" spans="1:17">
      <c r="A989"/>
      <c r="B989"/>
      <c r="C989" s="165">
        <v>6530</v>
      </c>
      <c r="D989" s="228"/>
      <c r="E989" s="228"/>
      <c r="F989" s="228"/>
      <c r="G989" s="228"/>
      <c r="H989" s="228">
        <v>28350</v>
      </c>
      <c r="I989" s="228">
        <v>185125500</v>
      </c>
      <c r="J989" s="228">
        <v>21750</v>
      </c>
      <c r="K989" s="228">
        <v>142027500</v>
      </c>
      <c r="L989" s="228"/>
      <c r="M989" s="228"/>
      <c r="N989" s="228"/>
      <c r="O989" s="228"/>
      <c r="P989" s="228">
        <v>50100</v>
      </c>
      <c r="Q989" s="228">
        <v>327153000</v>
      </c>
    </row>
    <row r="990" spans="1:17">
      <c r="A990"/>
      <c r="B990" s="165" t="s">
        <v>162</v>
      </c>
      <c r="C990" s="165">
        <v>6300</v>
      </c>
      <c r="D990" s="228"/>
      <c r="E990" s="228"/>
      <c r="F990" s="228">
        <v>0</v>
      </c>
      <c r="G990" s="228">
        <v>0</v>
      </c>
      <c r="H990" s="228"/>
      <c r="I990" s="228"/>
      <c r="J990" s="228"/>
      <c r="K990" s="228"/>
      <c r="L990" s="228"/>
      <c r="M990" s="228"/>
      <c r="N990" s="228"/>
      <c r="O990" s="228"/>
      <c r="P990" s="228">
        <v>0</v>
      </c>
      <c r="Q990" s="228">
        <v>0</v>
      </c>
    </row>
    <row r="991" spans="1:17">
      <c r="A991"/>
      <c r="B991"/>
      <c r="C991" s="165">
        <v>6528</v>
      </c>
      <c r="D991" s="228"/>
      <c r="E991" s="228"/>
      <c r="F991" s="228">
        <v>0</v>
      </c>
      <c r="G991" s="228">
        <v>0</v>
      </c>
      <c r="H991" s="228"/>
      <c r="I991" s="228"/>
      <c r="J991" s="228"/>
      <c r="K991" s="228"/>
      <c r="L991" s="228"/>
      <c r="M991" s="228"/>
      <c r="N991" s="228"/>
      <c r="O991" s="228"/>
      <c r="P991" s="228">
        <v>0</v>
      </c>
      <c r="Q991" s="228">
        <v>0</v>
      </c>
    </row>
    <row r="992" spans="1:17">
      <c r="A992"/>
      <c r="B992"/>
      <c r="C992" s="165">
        <v>6600</v>
      </c>
      <c r="D992" s="228"/>
      <c r="E992" s="228"/>
      <c r="F992" s="228"/>
      <c r="G992" s="228"/>
      <c r="H992" s="228">
        <v>10050</v>
      </c>
      <c r="I992" s="228">
        <v>66330000</v>
      </c>
      <c r="J992" s="228"/>
      <c r="K992" s="228"/>
      <c r="L992" s="228"/>
      <c r="M992" s="228"/>
      <c r="N992" s="228"/>
      <c r="O992" s="228"/>
      <c r="P992" s="228">
        <v>10050</v>
      </c>
      <c r="Q992" s="228">
        <v>66330000</v>
      </c>
    </row>
    <row r="993" spans="1:17">
      <c r="A993"/>
      <c r="B993"/>
      <c r="C993" s="165">
        <v>6700</v>
      </c>
      <c r="D993" s="228"/>
      <c r="E993" s="228"/>
      <c r="F993" s="228"/>
      <c r="G993" s="228"/>
      <c r="H993" s="228"/>
      <c r="I993" s="228"/>
      <c r="J993" s="228"/>
      <c r="K993" s="228"/>
      <c r="L993" s="228">
        <v>20100</v>
      </c>
      <c r="M993" s="228">
        <v>134670000</v>
      </c>
      <c r="N993" s="228"/>
      <c r="O993" s="228"/>
      <c r="P993" s="228">
        <v>20100</v>
      </c>
      <c r="Q993" s="228">
        <v>134670000</v>
      </c>
    </row>
    <row r="994" spans="1:17">
      <c r="A994"/>
      <c r="B994"/>
      <c r="C994" s="165">
        <v>6800</v>
      </c>
      <c r="D994" s="228"/>
      <c r="E994" s="228"/>
      <c r="F994" s="228"/>
      <c r="G994" s="228"/>
      <c r="H994" s="228"/>
      <c r="I994" s="228"/>
      <c r="J994" s="228"/>
      <c r="K994" s="228"/>
      <c r="L994" s="228">
        <v>30000</v>
      </c>
      <c r="M994" s="228">
        <v>204000000</v>
      </c>
      <c r="N994" s="228"/>
      <c r="O994" s="228"/>
      <c r="P994" s="228">
        <v>30000</v>
      </c>
      <c r="Q994" s="228">
        <v>204000000</v>
      </c>
    </row>
    <row r="995" spans="1:17">
      <c r="A995"/>
      <c r="B995"/>
      <c r="C995" s="165">
        <v>8000</v>
      </c>
      <c r="D995" s="228"/>
      <c r="E995" s="228"/>
      <c r="F995" s="228"/>
      <c r="G995" s="228"/>
      <c r="H995" s="228"/>
      <c r="I995" s="228"/>
      <c r="J995" s="228">
        <v>10050</v>
      </c>
      <c r="K995" s="228">
        <v>80400000</v>
      </c>
      <c r="L995" s="228"/>
      <c r="M995" s="228"/>
      <c r="N995" s="228"/>
      <c r="O995" s="228"/>
      <c r="P995" s="228">
        <v>10050</v>
      </c>
      <c r="Q995" s="228">
        <v>80400000</v>
      </c>
    </row>
    <row r="996" spans="1:17">
      <c r="A996"/>
      <c r="B996"/>
      <c r="C996" s="165">
        <v>6613</v>
      </c>
      <c r="D996" s="228"/>
      <c r="E996" s="228"/>
      <c r="F996" s="228">
        <v>0</v>
      </c>
      <c r="G996" s="228">
        <v>0</v>
      </c>
      <c r="H996" s="228"/>
      <c r="I996" s="228"/>
      <c r="J996" s="228"/>
      <c r="K996" s="228"/>
      <c r="L996" s="228"/>
      <c r="M996" s="228"/>
      <c r="N996" s="228"/>
      <c r="O996" s="228"/>
      <c r="P996" s="228">
        <v>0</v>
      </c>
      <c r="Q996" s="228">
        <v>0</v>
      </c>
    </row>
    <row r="997" spans="1:17">
      <c r="A997"/>
      <c r="B997" s="165" t="s">
        <v>980</v>
      </c>
      <c r="C997" s="165">
        <v>7200</v>
      </c>
      <c r="D997" s="228"/>
      <c r="E997" s="228"/>
      <c r="F997" s="228"/>
      <c r="G997" s="228"/>
      <c r="H997" s="228"/>
      <c r="I997" s="228"/>
      <c r="J997" s="228"/>
      <c r="K997" s="228"/>
      <c r="L997" s="228">
        <v>4050</v>
      </c>
      <c r="M997" s="228">
        <v>29160000</v>
      </c>
      <c r="N997" s="228"/>
      <c r="O997" s="228"/>
      <c r="P997" s="228">
        <v>4050</v>
      </c>
      <c r="Q997" s="228">
        <v>29160000</v>
      </c>
    </row>
    <row r="998" spans="1:17">
      <c r="A998"/>
      <c r="B998" s="165" t="s">
        <v>282</v>
      </c>
      <c r="C998" s="165">
        <v>6300</v>
      </c>
      <c r="D998" s="228"/>
      <c r="E998" s="228"/>
      <c r="F998" s="228">
        <v>0</v>
      </c>
      <c r="G998" s="228">
        <v>0</v>
      </c>
      <c r="H998" s="228"/>
      <c r="I998" s="228"/>
      <c r="J998" s="228"/>
      <c r="K998" s="228"/>
      <c r="L998" s="228"/>
      <c r="M998" s="228"/>
      <c r="N998" s="228"/>
      <c r="O998" s="228"/>
      <c r="P998" s="228">
        <v>0</v>
      </c>
      <c r="Q998" s="228">
        <v>0</v>
      </c>
    </row>
    <row r="999" spans="1:17">
      <c r="A999"/>
      <c r="B999"/>
      <c r="C999" s="165">
        <v>7200</v>
      </c>
      <c r="D999" s="228"/>
      <c r="E999" s="228"/>
      <c r="F999" s="228"/>
      <c r="G999" s="228"/>
      <c r="H999" s="228"/>
      <c r="I999" s="228"/>
      <c r="J999" s="228">
        <v>14550</v>
      </c>
      <c r="K999" s="228">
        <v>104760000</v>
      </c>
      <c r="L999" s="228"/>
      <c r="M999" s="228"/>
      <c r="N999" s="228"/>
      <c r="O999" s="228"/>
      <c r="P999" s="228">
        <v>14550</v>
      </c>
      <c r="Q999" s="228">
        <v>104760000</v>
      </c>
    </row>
    <row r="1000" spans="1:17">
      <c r="A1000"/>
      <c r="B1000"/>
      <c r="C1000" s="165">
        <v>7300</v>
      </c>
      <c r="D1000" s="228"/>
      <c r="E1000" s="228"/>
      <c r="F1000" s="228"/>
      <c r="G1000" s="228"/>
      <c r="H1000" s="228">
        <v>25200</v>
      </c>
      <c r="I1000" s="228">
        <v>183960000</v>
      </c>
      <c r="J1000" s="228"/>
      <c r="K1000" s="228"/>
      <c r="L1000" s="228"/>
      <c r="M1000" s="228"/>
      <c r="N1000" s="228"/>
      <c r="O1000" s="228"/>
      <c r="P1000" s="228">
        <v>25200</v>
      </c>
      <c r="Q1000" s="228">
        <v>183960000</v>
      </c>
    </row>
    <row r="1001" spans="1:17">
      <c r="A1001"/>
      <c r="B1001" s="165" t="s">
        <v>253</v>
      </c>
      <c r="C1001" s="165">
        <v>7700</v>
      </c>
      <c r="D1001" s="228"/>
      <c r="E1001" s="228"/>
      <c r="F1001" s="228"/>
      <c r="G1001" s="228"/>
      <c r="H1001" s="228"/>
      <c r="I1001" s="228"/>
      <c r="J1001" s="228"/>
      <c r="K1001" s="228"/>
      <c r="L1001" s="228">
        <v>6000</v>
      </c>
      <c r="M1001" s="228">
        <v>46200000</v>
      </c>
      <c r="N1001" s="228"/>
      <c r="O1001" s="228"/>
      <c r="P1001" s="228">
        <v>6000</v>
      </c>
      <c r="Q1001" s="228">
        <v>46200000</v>
      </c>
    </row>
    <row r="1002" spans="1:17">
      <c r="A1002"/>
      <c r="B1002" s="165" t="s">
        <v>95</v>
      </c>
      <c r="C1002" s="165">
        <v>6300</v>
      </c>
      <c r="D1002" s="228"/>
      <c r="E1002" s="228"/>
      <c r="F1002" s="228">
        <v>0</v>
      </c>
      <c r="G1002" s="228">
        <v>0</v>
      </c>
      <c r="H1002" s="228"/>
      <c r="I1002" s="228"/>
      <c r="J1002" s="228"/>
      <c r="K1002" s="228"/>
      <c r="L1002" s="228"/>
      <c r="M1002" s="228"/>
      <c r="N1002" s="228"/>
      <c r="O1002" s="228"/>
      <c r="P1002" s="228">
        <v>0</v>
      </c>
      <c r="Q1002" s="228">
        <v>0</v>
      </c>
    </row>
    <row r="1003" spans="1:17">
      <c r="A1003"/>
      <c r="B1003" s="165" t="s">
        <v>1567</v>
      </c>
      <c r="C1003" s="165">
        <v>7300</v>
      </c>
      <c r="D1003" s="228"/>
      <c r="E1003" s="228"/>
      <c r="F1003" s="228"/>
      <c r="G1003" s="228"/>
      <c r="H1003" s="228"/>
      <c r="I1003" s="228"/>
      <c r="J1003" s="228">
        <v>10050</v>
      </c>
      <c r="K1003" s="228">
        <v>73365000</v>
      </c>
      <c r="L1003" s="228"/>
      <c r="M1003" s="228"/>
      <c r="N1003" s="228"/>
      <c r="O1003" s="228"/>
      <c r="P1003" s="228">
        <v>10050</v>
      </c>
      <c r="Q1003" s="228">
        <v>73365000</v>
      </c>
    </row>
    <row r="1004" spans="1:17">
      <c r="A1004"/>
      <c r="B1004" s="165" t="s">
        <v>25</v>
      </c>
      <c r="C1004" s="165">
        <v>6300</v>
      </c>
      <c r="D1004" s="228"/>
      <c r="E1004" s="228"/>
      <c r="F1004" s="228">
        <v>0</v>
      </c>
      <c r="G1004" s="228">
        <v>0</v>
      </c>
      <c r="H1004" s="228"/>
      <c r="I1004" s="228"/>
      <c r="J1004" s="228"/>
      <c r="K1004" s="228"/>
      <c r="L1004" s="228"/>
      <c r="M1004" s="228"/>
      <c r="N1004" s="228"/>
      <c r="O1004" s="228"/>
      <c r="P1004" s="228">
        <v>0</v>
      </c>
      <c r="Q1004" s="228">
        <v>0</v>
      </c>
    </row>
    <row r="1005" spans="1:17">
      <c r="A1005"/>
      <c r="B1005"/>
      <c r="C1005" s="165">
        <v>6528</v>
      </c>
      <c r="D1005" s="228"/>
      <c r="E1005" s="228"/>
      <c r="F1005" s="228"/>
      <c r="G1005" s="228"/>
      <c r="H1005" s="228"/>
      <c r="I1005" s="228"/>
      <c r="J1005" s="228">
        <v>10050</v>
      </c>
      <c r="K1005" s="228">
        <v>65606400</v>
      </c>
      <c r="L1005" s="228"/>
      <c r="M1005" s="228"/>
      <c r="N1005" s="228"/>
      <c r="O1005" s="228"/>
      <c r="P1005" s="228">
        <v>10050</v>
      </c>
      <c r="Q1005" s="228">
        <v>65606400</v>
      </c>
    </row>
    <row r="1006" spans="1:17">
      <c r="A1006"/>
      <c r="B1006"/>
      <c r="C1006" s="165">
        <v>6699</v>
      </c>
      <c r="D1006" s="228"/>
      <c r="E1006" s="228"/>
      <c r="F1006" s="228"/>
      <c r="G1006" s="228"/>
      <c r="H1006" s="228"/>
      <c r="I1006" s="228"/>
      <c r="J1006" s="228">
        <v>900</v>
      </c>
      <c r="K1006" s="228">
        <v>6029100</v>
      </c>
      <c r="L1006" s="228"/>
      <c r="M1006" s="228"/>
      <c r="N1006" s="228"/>
      <c r="O1006" s="228"/>
      <c r="P1006" s="228">
        <v>900</v>
      </c>
      <c r="Q1006" s="228">
        <v>6029100</v>
      </c>
    </row>
    <row r="1007" spans="1:17">
      <c r="A1007"/>
      <c r="B1007" s="165" t="s">
        <v>66</v>
      </c>
      <c r="C1007" s="165">
        <v>6300</v>
      </c>
      <c r="D1007" s="228"/>
      <c r="E1007" s="228"/>
      <c r="F1007" s="228">
        <v>0</v>
      </c>
      <c r="G1007" s="228">
        <v>0</v>
      </c>
      <c r="H1007" s="228"/>
      <c r="I1007" s="228"/>
      <c r="J1007" s="228"/>
      <c r="K1007" s="228"/>
      <c r="L1007" s="228"/>
      <c r="M1007" s="228"/>
      <c r="N1007" s="228"/>
      <c r="O1007" s="228"/>
      <c r="P1007" s="228">
        <v>0</v>
      </c>
      <c r="Q1007" s="228">
        <v>0</v>
      </c>
    </row>
    <row r="1008" spans="1:17">
      <c r="A1008"/>
      <c r="B1008"/>
      <c r="C1008" s="165">
        <v>6528</v>
      </c>
      <c r="D1008" s="228"/>
      <c r="E1008" s="228"/>
      <c r="F1008" s="228"/>
      <c r="G1008" s="228"/>
      <c r="H1008" s="228"/>
      <c r="I1008" s="228"/>
      <c r="J1008" s="228">
        <v>40050</v>
      </c>
      <c r="K1008" s="228">
        <v>261446400</v>
      </c>
      <c r="L1008" s="228"/>
      <c r="M1008" s="228"/>
      <c r="N1008" s="228"/>
      <c r="O1008" s="228"/>
      <c r="P1008" s="228">
        <v>40050</v>
      </c>
      <c r="Q1008" s="228">
        <v>261446400</v>
      </c>
    </row>
    <row r="1009" spans="1:17">
      <c r="A1009"/>
      <c r="B1009"/>
      <c r="C1009" s="165">
        <v>6955</v>
      </c>
      <c r="D1009" s="228"/>
      <c r="E1009" s="228"/>
      <c r="F1009" s="228"/>
      <c r="G1009" s="228"/>
      <c r="H1009" s="228"/>
      <c r="I1009" s="228"/>
      <c r="J1009" s="228"/>
      <c r="K1009" s="228"/>
      <c r="L1009" s="228">
        <v>30000</v>
      </c>
      <c r="M1009" s="228">
        <v>208650000</v>
      </c>
      <c r="N1009" s="228"/>
      <c r="O1009" s="228"/>
      <c r="P1009" s="228">
        <v>30000</v>
      </c>
      <c r="Q1009" s="228">
        <v>208650000</v>
      </c>
    </row>
    <row r="1010" spans="1:17">
      <c r="A1010"/>
      <c r="B1010"/>
      <c r="C1010" s="165">
        <v>7200</v>
      </c>
      <c r="D1010" s="228"/>
      <c r="E1010" s="228"/>
      <c r="F1010" s="228"/>
      <c r="G1010" s="228"/>
      <c r="H1010" s="228"/>
      <c r="I1010" s="228"/>
      <c r="J1010" s="228"/>
      <c r="K1010" s="228"/>
      <c r="L1010" s="228">
        <v>10050</v>
      </c>
      <c r="M1010" s="228">
        <v>72360000</v>
      </c>
      <c r="N1010" s="228"/>
      <c r="O1010" s="228"/>
      <c r="P1010" s="228">
        <v>10050</v>
      </c>
      <c r="Q1010" s="228">
        <v>72360000</v>
      </c>
    </row>
    <row r="1011" spans="1:17">
      <c r="A1011"/>
      <c r="B1011" s="165" t="s">
        <v>817</v>
      </c>
      <c r="C1011" s="165">
        <v>6300</v>
      </c>
      <c r="D1011" s="228"/>
      <c r="E1011" s="228"/>
      <c r="F1011" s="228">
        <v>0</v>
      </c>
      <c r="G1011" s="228">
        <v>0</v>
      </c>
      <c r="H1011" s="228"/>
      <c r="I1011" s="228"/>
      <c r="J1011" s="228"/>
      <c r="K1011" s="228"/>
      <c r="L1011" s="228"/>
      <c r="M1011" s="228"/>
      <c r="N1011" s="228"/>
      <c r="O1011" s="228"/>
      <c r="P1011" s="228">
        <v>0</v>
      </c>
      <c r="Q1011" s="228">
        <v>0</v>
      </c>
    </row>
    <row r="1012" spans="1:17">
      <c r="A1012"/>
      <c r="B1012"/>
      <c r="C1012" s="165">
        <v>6498</v>
      </c>
      <c r="D1012" s="228"/>
      <c r="E1012" s="228"/>
      <c r="F1012" s="228">
        <v>0</v>
      </c>
      <c r="G1012" s="228">
        <v>0</v>
      </c>
      <c r="H1012" s="228"/>
      <c r="I1012" s="228"/>
      <c r="J1012" s="228"/>
      <c r="K1012" s="228"/>
      <c r="L1012" s="228"/>
      <c r="M1012" s="228"/>
      <c r="N1012" s="228"/>
      <c r="O1012" s="228"/>
      <c r="P1012" s="228">
        <v>0</v>
      </c>
      <c r="Q1012" s="228">
        <v>0</v>
      </c>
    </row>
    <row r="1013" spans="1:17">
      <c r="A1013"/>
      <c r="B1013" s="165" t="s">
        <v>145</v>
      </c>
      <c r="C1013" s="165">
        <v>6528</v>
      </c>
      <c r="D1013" s="228"/>
      <c r="E1013" s="228"/>
      <c r="F1013" s="228">
        <v>0</v>
      </c>
      <c r="G1013" s="228">
        <v>0</v>
      </c>
      <c r="H1013" s="228"/>
      <c r="I1013" s="228"/>
      <c r="J1013" s="228"/>
      <c r="K1013" s="228"/>
      <c r="L1013" s="228"/>
      <c r="M1013" s="228"/>
      <c r="N1013" s="228"/>
      <c r="O1013" s="228"/>
      <c r="P1013" s="228">
        <v>0</v>
      </c>
      <c r="Q1013" s="228">
        <v>0</v>
      </c>
    </row>
    <row r="1014" spans="1:17">
      <c r="A1014"/>
      <c r="B1014"/>
      <c r="C1014" s="165">
        <v>7900</v>
      </c>
      <c r="D1014" s="228">
        <v>0</v>
      </c>
      <c r="E1014" s="228">
        <v>0</v>
      </c>
      <c r="F1014" s="228">
        <v>0</v>
      </c>
      <c r="G1014" s="228">
        <v>0</v>
      </c>
      <c r="H1014" s="228"/>
      <c r="I1014" s="228"/>
      <c r="J1014" s="228"/>
      <c r="K1014" s="228"/>
      <c r="L1014" s="228"/>
      <c r="M1014" s="228"/>
      <c r="N1014" s="228"/>
      <c r="O1014" s="228"/>
      <c r="P1014" s="228">
        <v>0</v>
      </c>
      <c r="Q1014" s="228">
        <v>0</v>
      </c>
    </row>
    <row r="1015" spans="1:17">
      <c r="A1015"/>
      <c r="B1015"/>
      <c r="C1015" s="165">
        <v>8000</v>
      </c>
      <c r="D1015" s="228"/>
      <c r="E1015" s="228"/>
      <c r="F1015" s="228"/>
      <c r="G1015" s="228"/>
      <c r="H1015" s="228">
        <v>20100</v>
      </c>
      <c r="I1015" s="228">
        <v>160800000</v>
      </c>
      <c r="J1015" s="228"/>
      <c r="K1015" s="228"/>
      <c r="L1015" s="228"/>
      <c r="M1015" s="228"/>
      <c r="N1015" s="228"/>
      <c r="O1015" s="228"/>
      <c r="P1015" s="228">
        <v>20100</v>
      </c>
      <c r="Q1015" s="228">
        <v>160800000</v>
      </c>
    </row>
    <row r="1016" spans="1:17">
      <c r="A1016"/>
      <c r="B1016" s="165" t="s">
        <v>1009</v>
      </c>
      <c r="C1016" s="165">
        <v>6300</v>
      </c>
      <c r="D1016" s="228"/>
      <c r="E1016" s="228"/>
      <c r="F1016" s="228">
        <v>0</v>
      </c>
      <c r="G1016" s="228">
        <v>0</v>
      </c>
      <c r="H1016" s="228"/>
      <c r="I1016" s="228"/>
      <c r="J1016" s="228"/>
      <c r="K1016" s="228"/>
      <c r="L1016" s="228"/>
      <c r="M1016" s="228"/>
      <c r="N1016" s="228"/>
      <c r="O1016" s="228"/>
      <c r="P1016" s="228">
        <v>0</v>
      </c>
      <c r="Q1016" s="228">
        <v>0</v>
      </c>
    </row>
    <row r="1017" spans="1:17">
      <c r="A1017"/>
      <c r="B1017"/>
      <c r="C1017" s="165">
        <v>6498</v>
      </c>
      <c r="D1017" s="228"/>
      <c r="E1017" s="228"/>
      <c r="F1017" s="228">
        <v>0</v>
      </c>
      <c r="G1017" s="228">
        <v>0</v>
      </c>
      <c r="H1017" s="228"/>
      <c r="I1017" s="228"/>
      <c r="J1017" s="228"/>
      <c r="K1017" s="228"/>
      <c r="L1017" s="228"/>
      <c r="M1017" s="228"/>
      <c r="N1017" s="228"/>
      <c r="O1017" s="228"/>
      <c r="P1017" s="228">
        <v>0</v>
      </c>
      <c r="Q1017" s="228">
        <v>0</v>
      </c>
    </row>
    <row r="1018" spans="1:17">
      <c r="A1018"/>
      <c r="B1018"/>
      <c r="C1018" s="165">
        <v>6618</v>
      </c>
      <c r="D1018" s="228">
        <v>0</v>
      </c>
      <c r="E1018" s="228">
        <v>0</v>
      </c>
      <c r="F1018" s="228"/>
      <c r="G1018" s="228"/>
      <c r="H1018" s="228"/>
      <c r="I1018" s="228"/>
      <c r="J1018" s="228"/>
      <c r="K1018" s="228"/>
      <c r="L1018" s="228"/>
      <c r="M1018" s="228"/>
      <c r="N1018" s="228"/>
      <c r="O1018" s="228"/>
      <c r="P1018" s="228">
        <v>0</v>
      </c>
      <c r="Q1018" s="228">
        <v>0</v>
      </c>
    </row>
    <row r="1019" spans="1:17">
      <c r="A1019"/>
      <c r="B1019"/>
      <c r="C1019" s="165">
        <v>6738</v>
      </c>
      <c r="D1019" s="228"/>
      <c r="E1019" s="228"/>
      <c r="F1019" s="228"/>
      <c r="G1019" s="228"/>
      <c r="H1019" s="228">
        <v>10050</v>
      </c>
      <c r="I1019" s="228">
        <v>67716900</v>
      </c>
      <c r="J1019" s="228"/>
      <c r="K1019" s="228"/>
      <c r="L1019" s="228"/>
      <c r="M1019" s="228"/>
      <c r="N1019" s="228"/>
      <c r="O1019" s="228"/>
      <c r="P1019" s="228">
        <v>10050</v>
      </c>
      <c r="Q1019" s="228">
        <v>67716900</v>
      </c>
    </row>
    <row r="1020" spans="1:17">
      <c r="A1020"/>
      <c r="B1020"/>
      <c r="C1020" s="165">
        <v>6858</v>
      </c>
      <c r="D1020" s="228"/>
      <c r="E1020" s="228"/>
      <c r="F1020" s="228"/>
      <c r="G1020" s="228"/>
      <c r="H1020" s="228"/>
      <c r="I1020" s="228"/>
      <c r="J1020" s="228"/>
      <c r="K1020" s="228"/>
      <c r="L1020" s="228">
        <v>20100</v>
      </c>
      <c r="M1020" s="228">
        <v>137845800</v>
      </c>
      <c r="N1020" s="228"/>
      <c r="O1020" s="228"/>
      <c r="P1020" s="228">
        <v>20100</v>
      </c>
      <c r="Q1020" s="228">
        <v>137845800</v>
      </c>
    </row>
    <row r="1021" spans="1:17">
      <c r="A1021"/>
      <c r="B1021"/>
      <c r="C1021" s="165">
        <v>7200</v>
      </c>
      <c r="D1021" s="228"/>
      <c r="E1021" s="228"/>
      <c r="F1021" s="228"/>
      <c r="G1021" s="228"/>
      <c r="H1021" s="228"/>
      <c r="I1021" s="228"/>
      <c r="J1021" s="228"/>
      <c r="K1021" s="228"/>
      <c r="L1021" s="228">
        <v>5100</v>
      </c>
      <c r="M1021" s="228">
        <v>36720000</v>
      </c>
      <c r="N1021" s="228"/>
      <c r="O1021" s="228"/>
      <c r="P1021" s="228">
        <v>5100</v>
      </c>
      <c r="Q1021" s="228">
        <v>36720000</v>
      </c>
    </row>
    <row r="1022" spans="1:17">
      <c r="A1022"/>
      <c r="B1022" s="165" t="s">
        <v>1086</v>
      </c>
      <c r="C1022" s="165">
        <v>6300</v>
      </c>
      <c r="D1022" s="228"/>
      <c r="E1022" s="228"/>
      <c r="F1022" s="228">
        <v>0</v>
      </c>
      <c r="G1022" s="228">
        <v>0</v>
      </c>
      <c r="H1022" s="228"/>
      <c r="I1022" s="228"/>
      <c r="J1022" s="228"/>
      <c r="K1022" s="228"/>
      <c r="L1022" s="228"/>
      <c r="M1022" s="228"/>
      <c r="N1022" s="228"/>
      <c r="O1022" s="228"/>
      <c r="P1022" s="228">
        <v>0</v>
      </c>
      <c r="Q1022" s="228">
        <v>0</v>
      </c>
    </row>
    <row r="1023" spans="1:17">
      <c r="A1023"/>
      <c r="B1023" s="165" t="s">
        <v>213</v>
      </c>
      <c r="C1023" s="165">
        <v>6300</v>
      </c>
      <c r="D1023" s="228"/>
      <c r="E1023" s="228"/>
      <c r="F1023" s="228">
        <v>0</v>
      </c>
      <c r="G1023" s="228">
        <v>0</v>
      </c>
      <c r="H1023" s="228"/>
      <c r="I1023" s="228"/>
      <c r="J1023" s="228"/>
      <c r="K1023" s="228"/>
      <c r="L1023" s="228"/>
      <c r="M1023" s="228"/>
      <c r="N1023" s="228"/>
      <c r="O1023" s="228"/>
      <c r="P1023" s="228">
        <v>0</v>
      </c>
      <c r="Q1023" s="228">
        <v>0</v>
      </c>
    </row>
    <row r="1024" spans="1:17">
      <c r="A1024"/>
      <c r="B1024" s="165" t="s">
        <v>1142</v>
      </c>
      <c r="C1024" s="165">
        <v>6300</v>
      </c>
      <c r="D1024" s="228"/>
      <c r="E1024" s="228"/>
      <c r="F1024" s="228">
        <v>0</v>
      </c>
      <c r="G1024" s="228">
        <v>0</v>
      </c>
      <c r="H1024" s="228"/>
      <c r="I1024" s="228"/>
      <c r="J1024" s="228"/>
      <c r="K1024" s="228"/>
      <c r="L1024" s="228"/>
      <c r="M1024" s="228"/>
      <c r="N1024" s="228"/>
      <c r="O1024" s="228"/>
      <c r="P1024" s="228">
        <v>0</v>
      </c>
      <c r="Q1024" s="228">
        <v>0</v>
      </c>
    </row>
    <row r="1025" spans="1:17">
      <c r="A1025"/>
      <c r="B1025" s="165" t="s">
        <v>239</v>
      </c>
      <c r="C1025" s="165">
        <v>8500</v>
      </c>
      <c r="D1025" s="228"/>
      <c r="E1025" s="228"/>
      <c r="F1025" s="228"/>
      <c r="G1025" s="228"/>
      <c r="H1025" s="228"/>
      <c r="I1025" s="228"/>
      <c r="J1025" s="228"/>
      <c r="K1025" s="228"/>
      <c r="L1025" s="228">
        <v>5100</v>
      </c>
      <c r="M1025" s="228">
        <v>43350000</v>
      </c>
      <c r="N1025" s="228"/>
      <c r="O1025" s="228"/>
      <c r="P1025" s="228">
        <v>5100</v>
      </c>
      <c r="Q1025" s="228">
        <v>43350000</v>
      </c>
    </row>
    <row r="1026" spans="1:17">
      <c r="A1026"/>
      <c r="B1026" s="165" t="s">
        <v>1188</v>
      </c>
      <c r="C1026" s="165">
        <v>8000</v>
      </c>
      <c r="D1026" s="228"/>
      <c r="E1026" s="228"/>
      <c r="F1026" s="228"/>
      <c r="G1026" s="228"/>
      <c r="H1026" s="228">
        <v>8100</v>
      </c>
      <c r="I1026" s="228">
        <v>64800000</v>
      </c>
      <c r="J1026" s="228"/>
      <c r="K1026" s="228"/>
      <c r="L1026" s="228"/>
      <c r="M1026" s="228"/>
      <c r="N1026" s="228"/>
      <c r="O1026" s="228"/>
      <c r="P1026" s="228">
        <v>8100</v>
      </c>
      <c r="Q1026" s="228">
        <v>64800000</v>
      </c>
    </row>
    <row r="1027" spans="1:17">
      <c r="A1027"/>
      <c r="B1027"/>
      <c r="C1027" s="165">
        <v>8200</v>
      </c>
      <c r="D1027" s="228"/>
      <c r="E1027" s="228"/>
      <c r="F1027" s="228"/>
      <c r="G1027" s="228"/>
      <c r="H1027" s="228"/>
      <c r="I1027" s="228"/>
      <c r="J1027" s="228"/>
      <c r="K1027" s="228"/>
      <c r="L1027" s="228">
        <v>6000</v>
      </c>
      <c r="M1027" s="228">
        <v>49200000</v>
      </c>
      <c r="N1027" s="228"/>
      <c r="O1027" s="228"/>
      <c r="P1027" s="228">
        <v>6000</v>
      </c>
      <c r="Q1027" s="228">
        <v>49200000</v>
      </c>
    </row>
    <row r="1028" spans="1:17">
      <c r="A1028"/>
      <c r="B1028"/>
      <c r="C1028" s="165">
        <v>8300</v>
      </c>
      <c r="D1028" s="228"/>
      <c r="E1028" s="228"/>
      <c r="F1028" s="228"/>
      <c r="G1028" s="228"/>
      <c r="H1028" s="228"/>
      <c r="I1028" s="228"/>
      <c r="J1028" s="228"/>
      <c r="K1028" s="228"/>
      <c r="L1028" s="228">
        <v>3000</v>
      </c>
      <c r="M1028" s="228">
        <v>24900000</v>
      </c>
      <c r="N1028" s="228"/>
      <c r="O1028" s="228"/>
      <c r="P1028" s="228">
        <v>3000</v>
      </c>
      <c r="Q1028" s="228">
        <v>24900000</v>
      </c>
    </row>
    <row r="1029" spans="1:17">
      <c r="A1029"/>
      <c r="B1029" s="165" t="s">
        <v>100</v>
      </c>
      <c r="C1029" s="165">
        <v>6500</v>
      </c>
      <c r="D1029" s="228"/>
      <c r="E1029" s="228"/>
      <c r="F1029" s="228">
        <v>0</v>
      </c>
      <c r="G1029" s="228">
        <v>0</v>
      </c>
      <c r="H1029" s="228"/>
      <c r="I1029" s="228"/>
      <c r="J1029" s="228"/>
      <c r="K1029" s="228"/>
      <c r="L1029" s="228"/>
      <c r="M1029" s="228"/>
      <c r="N1029" s="228"/>
      <c r="O1029" s="228"/>
      <c r="P1029" s="228">
        <v>0</v>
      </c>
      <c r="Q1029" s="228">
        <v>0</v>
      </c>
    </row>
    <row r="1030" spans="1:17">
      <c r="A1030"/>
      <c r="B1030" s="165" t="s">
        <v>216</v>
      </c>
      <c r="C1030" s="165">
        <v>7200</v>
      </c>
      <c r="D1030" s="228"/>
      <c r="E1030" s="228"/>
      <c r="F1030" s="228"/>
      <c r="G1030" s="228"/>
      <c r="H1030" s="228"/>
      <c r="I1030" s="228"/>
      <c r="J1030" s="228"/>
      <c r="K1030" s="228"/>
      <c r="L1030" s="228">
        <v>5100</v>
      </c>
      <c r="M1030" s="228">
        <v>36720000</v>
      </c>
      <c r="N1030" s="228"/>
      <c r="O1030" s="228"/>
      <c r="P1030" s="228">
        <v>5100</v>
      </c>
      <c r="Q1030" s="228">
        <v>36720000</v>
      </c>
    </row>
    <row r="1031" spans="1:17">
      <c r="A1031"/>
      <c r="B1031" s="165" t="s">
        <v>1066</v>
      </c>
      <c r="C1031" s="165">
        <v>6300</v>
      </c>
      <c r="D1031" s="228"/>
      <c r="E1031" s="228"/>
      <c r="F1031" s="228">
        <v>0</v>
      </c>
      <c r="G1031" s="228">
        <v>0</v>
      </c>
      <c r="H1031" s="228"/>
      <c r="I1031" s="228"/>
      <c r="J1031" s="228"/>
      <c r="K1031" s="228"/>
      <c r="L1031" s="228"/>
      <c r="M1031" s="228"/>
      <c r="N1031" s="228"/>
      <c r="O1031" s="228"/>
      <c r="P1031" s="228">
        <v>0</v>
      </c>
      <c r="Q1031" s="228">
        <v>0</v>
      </c>
    </row>
    <row r="1032" spans="1:17">
      <c r="A1032"/>
      <c r="B1032" s="165" t="s">
        <v>810</v>
      </c>
      <c r="C1032" s="165">
        <v>6100</v>
      </c>
      <c r="D1032" s="228"/>
      <c r="E1032" s="228"/>
      <c r="F1032" s="228">
        <v>0</v>
      </c>
      <c r="G1032" s="228">
        <v>0</v>
      </c>
      <c r="H1032" s="228"/>
      <c r="I1032" s="228"/>
      <c r="J1032" s="228"/>
      <c r="K1032" s="228"/>
      <c r="L1032" s="228"/>
      <c r="M1032" s="228"/>
      <c r="N1032" s="228"/>
      <c r="O1032" s="228"/>
      <c r="P1032" s="228">
        <v>0</v>
      </c>
      <c r="Q1032" s="228">
        <v>0</v>
      </c>
    </row>
    <row r="1033" spans="1:17">
      <c r="A1033"/>
      <c r="B1033"/>
      <c r="C1033" s="165">
        <v>6300</v>
      </c>
      <c r="D1033" s="228"/>
      <c r="E1033" s="228"/>
      <c r="F1033" s="228">
        <v>0</v>
      </c>
      <c r="G1033" s="228">
        <v>0</v>
      </c>
      <c r="H1033" s="228"/>
      <c r="I1033" s="228"/>
      <c r="J1033" s="228"/>
      <c r="K1033" s="228"/>
      <c r="L1033" s="228"/>
      <c r="M1033" s="228"/>
      <c r="N1033" s="228"/>
      <c r="O1033" s="228"/>
      <c r="P1033" s="228">
        <v>0</v>
      </c>
      <c r="Q1033" s="228">
        <v>0</v>
      </c>
    </row>
    <row r="1034" spans="1:17">
      <c r="A1034"/>
      <c r="B1034"/>
      <c r="C1034" s="165">
        <v>7500</v>
      </c>
      <c r="D1034" s="228"/>
      <c r="E1034" s="228"/>
      <c r="F1034" s="228"/>
      <c r="G1034" s="228"/>
      <c r="H1034" s="228">
        <v>50100</v>
      </c>
      <c r="I1034" s="228">
        <v>375750000</v>
      </c>
      <c r="J1034" s="228"/>
      <c r="K1034" s="228"/>
      <c r="L1034" s="228"/>
      <c r="M1034" s="228"/>
      <c r="N1034" s="228"/>
      <c r="O1034" s="228"/>
      <c r="P1034" s="228">
        <v>50100</v>
      </c>
      <c r="Q1034" s="228">
        <v>375750000</v>
      </c>
    </row>
    <row r="1035" spans="1:17">
      <c r="A1035"/>
      <c r="B1035"/>
      <c r="C1035" s="165">
        <v>6613</v>
      </c>
      <c r="D1035" s="228"/>
      <c r="E1035" s="228"/>
      <c r="F1035" s="228"/>
      <c r="G1035" s="228"/>
      <c r="H1035" s="228"/>
      <c r="I1035" s="228"/>
      <c r="J1035" s="228">
        <v>19950</v>
      </c>
      <c r="K1035" s="228">
        <v>131929350</v>
      </c>
      <c r="L1035" s="228"/>
      <c r="M1035" s="228"/>
      <c r="N1035" s="228"/>
      <c r="O1035" s="228"/>
      <c r="P1035" s="228">
        <v>19950</v>
      </c>
      <c r="Q1035" s="228">
        <v>131929350</v>
      </c>
    </row>
    <row r="1036" spans="1:17">
      <c r="A1036"/>
      <c r="B1036" s="165" t="s">
        <v>251</v>
      </c>
      <c r="C1036" s="165">
        <v>6300</v>
      </c>
      <c r="D1036" s="228"/>
      <c r="E1036" s="228"/>
      <c r="F1036" s="228">
        <v>0</v>
      </c>
      <c r="G1036" s="228">
        <v>0</v>
      </c>
      <c r="H1036" s="228"/>
      <c r="I1036" s="228"/>
      <c r="J1036" s="228"/>
      <c r="K1036" s="228"/>
      <c r="L1036" s="228"/>
      <c r="M1036" s="228"/>
      <c r="N1036" s="228"/>
      <c r="O1036" s="228"/>
      <c r="P1036" s="228">
        <v>0</v>
      </c>
      <c r="Q1036" s="228">
        <v>0</v>
      </c>
    </row>
    <row r="1037" spans="1:17">
      <c r="A1037"/>
      <c r="B1037" s="165" t="s">
        <v>1868</v>
      </c>
      <c r="C1037" s="165" t="s">
        <v>385</v>
      </c>
      <c r="D1037" s="228"/>
      <c r="E1037" s="228"/>
      <c r="F1037" s="228"/>
      <c r="G1037" s="228"/>
      <c r="H1037" s="228"/>
      <c r="I1037" s="228"/>
      <c r="J1037" s="228">
        <v>1350</v>
      </c>
      <c r="K1037" s="228">
        <v>0</v>
      </c>
      <c r="L1037" s="228"/>
      <c r="M1037" s="228"/>
      <c r="N1037" s="228"/>
      <c r="O1037" s="228"/>
      <c r="P1037" s="228">
        <v>1350</v>
      </c>
      <c r="Q1037" s="228">
        <v>0</v>
      </c>
    </row>
    <row r="1038" spans="1:17">
      <c r="A1038" s="165" t="s">
        <v>2141</v>
      </c>
      <c r="B1038" s="165" t="s">
        <v>145</v>
      </c>
      <c r="C1038" s="165">
        <v>9500</v>
      </c>
      <c r="D1038" s="228"/>
      <c r="E1038" s="228"/>
      <c r="F1038" s="228"/>
      <c r="G1038" s="228"/>
      <c r="H1038" s="228"/>
      <c r="I1038" s="228"/>
      <c r="J1038" s="228"/>
      <c r="K1038" s="228"/>
      <c r="L1038" s="228">
        <v>20100</v>
      </c>
      <c r="M1038" s="228">
        <v>190950000</v>
      </c>
      <c r="N1038" s="228"/>
      <c r="O1038" s="228"/>
      <c r="P1038" s="228">
        <v>20100</v>
      </c>
      <c r="Q1038" s="228">
        <v>190950000</v>
      </c>
    </row>
    <row r="1039" spans="1:17">
      <c r="A1039" s="165" t="s">
        <v>2142</v>
      </c>
      <c r="B1039" s="165" t="s">
        <v>145</v>
      </c>
      <c r="C1039" s="165">
        <v>6000</v>
      </c>
      <c r="D1039" s="228"/>
      <c r="E1039" s="228"/>
      <c r="F1039" s="228">
        <v>0</v>
      </c>
      <c r="G1039" s="228">
        <v>0</v>
      </c>
      <c r="H1039" s="228"/>
      <c r="I1039" s="228"/>
      <c r="J1039" s="228"/>
      <c r="K1039" s="228"/>
      <c r="L1039" s="228"/>
      <c r="M1039" s="228"/>
      <c r="N1039" s="228"/>
      <c r="O1039" s="228"/>
      <c r="P1039" s="228">
        <v>0</v>
      </c>
      <c r="Q1039" s="228">
        <v>0</v>
      </c>
    </row>
    <row r="1040" spans="1:17">
      <c r="A1040" s="165" t="s">
        <v>2015</v>
      </c>
      <c r="B1040" s="165" t="s">
        <v>168</v>
      </c>
      <c r="C1040" s="165">
        <v>10500</v>
      </c>
      <c r="D1040" s="228"/>
      <c r="E1040" s="228"/>
      <c r="F1040" s="228"/>
      <c r="G1040" s="228"/>
      <c r="H1040" s="228"/>
      <c r="I1040" s="228"/>
      <c r="J1040" s="228"/>
      <c r="K1040" s="228"/>
      <c r="L1040" s="228">
        <v>20000</v>
      </c>
      <c r="M1040" s="228">
        <v>210000000</v>
      </c>
      <c r="N1040" s="228"/>
      <c r="O1040" s="228"/>
      <c r="P1040" s="228">
        <v>20000</v>
      </c>
      <c r="Q1040" s="228">
        <v>210000000</v>
      </c>
    </row>
    <row r="1041" spans="1:17">
      <c r="A1041"/>
      <c r="B1041" s="165" t="s">
        <v>1379</v>
      </c>
      <c r="C1041" s="165">
        <v>10700</v>
      </c>
      <c r="D1041" s="228"/>
      <c r="E1041" s="228"/>
      <c r="F1041" s="228"/>
      <c r="G1041" s="228"/>
      <c r="H1041" s="228"/>
      <c r="I1041" s="228"/>
      <c r="J1041" s="228"/>
      <c r="K1041" s="228"/>
      <c r="L1041" s="228">
        <v>500</v>
      </c>
      <c r="M1041" s="228">
        <v>5350000</v>
      </c>
      <c r="N1041" s="228"/>
      <c r="O1041" s="228"/>
      <c r="P1041" s="228">
        <v>500</v>
      </c>
      <c r="Q1041" s="228">
        <v>5350000</v>
      </c>
    </row>
    <row r="1042" spans="1:17">
      <c r="A1042"/>
      <c r="B1042" s="165" t="s">
        <v>1241</v>
      </c>
      <c r="C1042" s="165">
        <v>10500</v>
      </c>
      <c r="D1042" s="228"/>
      <c r="E1042" s="228"/>
      <c r="F1042" s="228"/>
      <c r="G1042" s="228"/>
      <c r="H1042" s="228"/>
      <c r="I1042" s="228"/>
      <c r="J1042" s="228"/>
      <c r="K1042" s="228"/>
      <c r="L1042" s="228">
        <v>51000</v>
      </c>
      <c r="M1042" s="228">
        <v>535500000</v>
      </c>
      <c r="N1042" s="228"/>
      <c r="O1042" s="228"/>
      <c r="P1042" s="228">
        <v>51000</v>
      </c>
      <c r="Q1042" s="228">
        <v>535500000</v>
      </c>
    </row>
    <row r="1043" spans="1:17">
      <c r="A1043"/>
      <c r="B1043" s="165" t="s">
        <v>391</v>
      </c>
      <c r="C1043" s="165">
        <v>10500</v>
      </c>
      <c r="D1043" s="228"/>
      <c r="E1043" s="228"/>
      <c r="F1043" s="228"/>
      <c r="G1043" s="228"/>
      <c r="H1043" s="228"/>
      <c r="I1043" s="228"/>
      <c r="J1043" s="228"/>
      <c r="K1043" s="228"/>
      <c r="L1043" s="228">
        <v>5000</v>
      </c>
      <c r="M1043" s="228">
        <v>52500000</v>
      </c>
      <c r="N1043" s="228"/>
      <c r="O1043" s="228"/>
      <c r="P1043" s="228">
        <v>5000</v>
      </c>
      <c r="Q1043" s="228">
        <v>52500000</v>
      </c>
    </row>
    <row r="1044" spans="1:17">
      <c r="A1044"/>
      <c r="B1044" s="165" t="s">
        <v>1279</v>
      </c>
      <c r="C1044" s="165">
        <v>10700</v>
      </c>
      <c r="D1044" s="228"/>
      <c r="E1044" s="228"/>
      <c r="F1044" s="228"/>
      <c r="G1044" s="228"/>
      <c r="H1044" s="228"/>
      <c r="I1044" s="228"/>
      <c r="J1044" s="228"/>
      <c r="K1044" s="228"/>
      <c r="L1044" s="228">
        <v>3000</v>
      </c>
      <c r="M1044" s="228">
        <v>32100000</v>
      </c>
      <c r="N1044" s="228"/>
      <c r="O1044" s="228"/>
      <c r="P1044" s="228">
        <v>3000</v>
      </c>
      <c r="Q1044" s="228">
        <v>32100000</v>
      </c>
    </row>
    <row r="1045" spans="1:17">
      <c r="A1045"/>
      <c r="B1045" s="165" t="s">
        <v>257</v>
      </c>
      <c r="C1045" s="165">
        <v>10500</v>
      </c>
      <c r="D1045" s="228"/>
      <c r="E1045" s="228"/>
      <c r="F1045" s="228"/>
      <c r="G1045" s="228"/>
      <c r="H1045" s="228"/>
      <c r="I1045" s="228"/>
      <c r="J1045" s="228"/>
      <c r="K1045" s="228"/>
      <c r="L1045" s="228">
        <v>5000</v>
      </c>
      <c r="M1045" s="228">
        <v>52500000</v>
      </c>
      <c r="N1045" s="228"/>
      <c r="O1045" s="228"/>
      <c r="P1045" s="228">
        <v>5000</v>
      </c>
      <c r="Q1045" s="228">
        <v>52500000</v>
      </c>
    </row>
    <row r="1046" spans="1:17">
      <c r="A1046"/>
      <c r="B1046" s="165" t="s">
        <v>270</v>
      </c>
      <c r="C1046" s="165">
        <v>10700</v>
      </c>
      <c r="D1046" s="228"/>
      <c r="E1046" s="228"/>
      <c r="F1046" s="228"/>
      <c r="G1046" s="228"/>
      <c r="H1046" s="228"/>
      <c r="I1046" s="228"/>
      <c r="J1046" s="228"/>
      <c r="K1046" s="228"/>
      <c r="L1046" s="228">
        <v>3000</v>
      </c>
      <c r="M1046" s="228">
        <v>32100000</v>
      </c>
      <c r="N1046" s="228"/>
      <c r="O1046" s="228"/>
      <c r="P1046" s="228">
        <v>3000</v>
      </c>
      <c r="Q1046" s="228">
        <v>32100000</v>
      </c>
    </row>
    <row r="1047" spans="1:17">
      <c r="A1047"/>
      <c r="B1047" s="165" t="s">
        <v>1429</v>
      </c>
      <c r="C1047" s="165">
        <v>10700</v>
      </c>
      <c r="D1047" s="228"/>
      <c r="E1047" s="228"/>
      <c r="F1047" s="228"/>
      <c r="G1047" s="228"/>
      <c r="H1047" s="228"/>
      <c r="I1047" s="228"/>
      <c r="J1047" s="228"/>
      <c r="K1047" s="228"/>
      <c r="L1047" s="228">
        <v>3000</v>
      </c>
      <c r="M1047" s="228">
        <v>32100000</v>
      </c>
      <c r="N1047" s="228"/>
      <c r="O1047" s="228"/>
      <c r="P1047" s="228">
        <v>3000</v>
      </c>
      <c r="Q1047" s="228">
        <v>32100000</v>
      </c>
    </row>
    <row r="1048" spans="1:17">
      <c r="A1048"/>
      <c r="B1048" s="165" t="s">
        <v>1798</v>
      </c>
      <c r="C1048" s="165">
        <v>10700</v>
      </c>
      <c r="D1048" s="228"/>
      <c r="E1048" s="228"/>
      <c r="F1048" s="228"/>
      <c r="G1048" s="228"/>
      <c r="H1048" s="228"/>
      <c r="I1048" s="228"/>
      <c r="J1048" s="228"/>
      <c r="K1048" s="228"/>
      <c r="L1048" s="228">
        <v>8000</v>
      </c>
      <c r="M1048" s="228">
        <v>85600000</v>
      </c>
      <c r="N1048" s="228"/>
      <c r="O1048" s="228"/>
      <c r="P1048" s="228">
        <v>8000</v>
      </c>
      <c r="Q1048" s="228">
        <v>85600000</v>
      </c>
    </row>
    <row r="1049" spans="1:17">
      <c r="A1049"/>
      <c r="B1049" s="165" t="s">
        <v>710</v>
      </c>
      <c r="C1049" s="165">
        <v>10500</v>
      </c>
      <c r="D1049" s="228"/>
      <c r="E1049" s="228"/>
      <c r="F1049" s="228"/>
      <c r="G1049" s="228"/>
      <c r="H1049" s="228"/>
      <c r="I1049" s="228"/>
      <c r="J1049" s="228"/>
      <c r="K1049" s="228"/>
      <c r="L1049" s="228">
        <v>20000</v>
      </c>
      <c r="M1049" s="228">
        <v>210000000</v>
      </c>
      <c r="N1049" s="228"/>
      <c r="O1049" s="228"/>
      <c r="P1049" s="228">
        <v>20000</v>
      </c>
      <c r="Q1049" s="228">
        <v>210000000</v>
      </c>
    </row>
    <row r="1050" spans="1:17">
      <c r="A1050"/>
      <c r="B1050" s="165" t="s">
        <v>162</v>
      </c>
      <c r="C1050" s="165">
        <v>10500</v>
      </c>
      <c r="D1050" s="228"/>
      <c r="E1050" s="228"/>
      <c r="F1050" s="228"/>
      <c r="G1050" s="228"/>
      <c r="H1050" s="228"/>
      <c r="I1050" s="228"/>
      <c r="J1050" s="228"/>
      <c r="K1050" s="228"/>
      <c r="L1050" s="228">
        <v>10000</v>
      </c>
      <c r="M1050" s="228">
        <v>105000000</v>
      </c>
      <c r="N1050" s="228"/>
      <c r="O1050" s="228"/>
      <c r="P1050" s="228">
        <v>10000</v>
      </c>
      <c r="Q1050" s="228">
        <v>105000000</v>
      </c>
    </row>
    <row r="1051" spans="1:17">
      <c r="A1051"/>
      <c r="B1051" s="165" t="s">
        <v>994</v>
      </c>
      <c r="C1051" s="165">
        <v>10500</v>
      </c>
      <c r="D1051" s="228"/>
      <c r="E1051" s="228"/>
      <c r="F1051" s="228"/>
      <c r="G1051" s="228"/>
      <c r="H1051" s="228"/>
      <c r="I1051" s="228"/>
      <c r="J1051" s="228"/>
      <c r="K1051" s="228"/>
      <c r="L1051" s="228">
        <v>30000</v>
      </c>
      <c r="M1051" s="228">
        <v>315000000</v>
      </c>
      <c r="N1051" s="228"/>
      <c r="O1051" s="228"/>
      <c r="P1051" s="228">
        <v>30000</v>
      </c>
      <c r="Q1051" s="228">
        <v>315000000</v>
      </c>
    </row>
    <row r="1052" spans="1:17">
      <c r="A1052"/>
      <c r="B1052" s="165" t="s">
        <v>285</v>
      </c>
      <c r="C1052" s="165">
        <v>10500</v>
      </c>
      <c r="D1052" s="228"/>
      <c r="E1052" s="228"/>
      <c r="F1052" s="228"/>
      <c r="G1052" s="228"/>
      <c r="H1052" s="228"/>
      <c r="I1052" s="228"/>
      <c r="J1052" s="228"/>
      <c r="K1052" s="228"/>
      <c r="L1052" s="228">
        <v>20000</v>
      </c>
      <c r="M1052" s="228">
        <v>210000000</v>
      </c>
      <c r="N1052" s="228"/>
      <c r="O1052" s="228"/>
      <c r="P1052" s="228">
        <v>20000</v>
      </c>
      <c r="Q1052" s="228">
        <v>210000000</v>
      </c>
    </row>
    <row r="1053" spans="1:17">
      <c r="A1053"/>
      <c r="B1053" s="165" t="s">
        <v>245</v>
      </c>
      <c r="C1053" s="165">
        <v>10700</v>
      </c>
      <c r="D1053" s="228"/>
      <c r="E1053" s="228"/>
      <c r="F1053" s="228"/>
      <c r="G1053" s="228"/>
      <c r="H1053" s="228"/>
      <c r="I1053" s="228"/>
      <c r="J1053" s="228"/>
      <c r="K1053" s="228"/>
      <c r="L1053" s="228">
        <v>10000</v>
      </c>
      <c r="M1053" s="228">
        <v>107000000</v>
      </c>
      <c r="N1053" s="228"/>
      <c r="O1053" s="228"/>
      <c r="P1053" s="228">
        <v>10000</v>
      </c>
      <c r="Q1053" s="228">
        <v>107000000</v>
      </c>
    </row>
    <row r="1054" spans="1:17">
      <c r="A1054"/>
      <c r="B1054" s="165" t="s">
        <v>1237</v>
      </c>
      <c r="C1054" s="165">
        <v>10700</v>
      </c>
      <c r="D1054" s="228"/>
      <c r="E1054" s="228"/>
      <c r="F1054" s="228"/>
      <c r="G1054" s="228"/>
      <c r="H1054" s="228"/>
      <c r="I1054" s="228"/>
      <c r="J1054" s="228"/>
      <c r="K1054" s="228"/>
      <c r="L1054" s="228">
        <v>10000</v>
      </c>
      <c r="M1054" s="228">
        <v>107000000</v>
      </c>
      <c r="N1054" s="228"/>
      <c r="O1054" s="228"/>
      <c r="P1054" s="228">
        <v>10000</v>
      </c>
      <c r="Q1054" s="228">
        <v>107000000</v>
      </c>
    </row>
    <row r="1055" spans="1:17">
      <c r="A1055"/>
      <c r="B1055" s="165" t="s">
        <v>1619</v>
      </c>
      <c r="C1055" s="165">
        <v>12500</v>
      </c>
      <c r="D1055" s="228"/>
      <c r="E1055" s="228"/>
      <c r="F1055" s="228"/>
      <c r="G1055" s="228"/>
      <c r="H1055" s="228"/>
      <c r="I1055" s="228"/>
      <c r="J1055" s="228"/>
      <c r="K1055" s="228"/>
      <c r="L1055" s="228">
        <v>6000</v>
      </c>
      <c r="M1055" s="228">
        <v>75000000</v>
      </c>
      <c r="N1055" s="228"/>
      <c r="O1055" s="228"/>
      <c r="P1055" s="228">
        <v>6000</v>
      </c>
      <c r="Q1055" s="228">
        <v>75000000</v>
      </c>
    </row>
    <row r="1056" spans="1:17">
      <c r="A1056"/>
      <c r="B1056" s="165" t="s">
        <v>148</v>
      </c>
      <c r="C1056" s="165">
        <v>10500</v>
      </c>
      <c r="D1056" s="228"/>
      <c r="E1056" s="228"/>
      <c r="F1056" s="228"/>
      <c r="G1056" s="228"/>
      <c r="H1056" s="228"/>
      <c r="I1056" s="228"/>
      <c r="J1056" s="228"/>
      <c r="K1056" s="228"/>
      <c r="L1056" s="228">
        <v>2000</v>
      </c>
      <c r="M1056" s="228">
        <v>21000000</v>
      </c>
      <c r="N1056" s="228"/>
      <c r="O1056" s="228"/>
      <c r="P1056" s="228">
        <v>2000</v>
      </c>
      <c r="Q1056" s="228">
        <v>21000000</v>
      </c>
    </row>
    <row r="1057" spans="1:17">
      <c r="A1057"/>
      <c r="B1057" s="165" t="s">
        <v>388</v>
      </c>
      <c r="C1057" s="165">
        <v>10700</v>
      </c>
      <c r="D1057" s="228"/>
      <c r="E1057" s="228"/>
      <c r="F1057" s="228"/>
      <c r="G1057" s="228"/>
      <c r="H1057" s="228"/>
      <c r="I1057" s="228"/>
      <c r="J1057" s="228"/>
      <c r="K1057" s="228"/>
      <c r="L1057" s="228">
        <v>5000</v>
      </c>
      <c r="M1057" s="228">
        <v>53500000</v>
      </c>
      <c r="N1057" s="228"/>
      <c r="O1057" s="228"/>
      <c r="P1057" s="228">
        <v>5000</v>
      </c>
      <c r="Q1057" s="228">
        <v>53500000</v>
      </c>
    </row>
    <row r="1058" spans="1:17">
      <c r="A1058"/>
      <c r="B1058" s="165" t="s">
        <v>1167</v>
      </c>
      <c r="C1058" s="165">
        <v>10700</v>
      </c>
      <c r="D1058" s="228">
        <v>0</v>
      </c>
      <c r="E1058" s="228">
        <v>0</v>
      </c>
      <c r="F1058" s="228"/>
      <c r="G1058" s="228"/>
      <c r="H1058" s="228"/>
      <c r="I1058" s="228"/>
      <c r="J1058" s="228"/>
      <c r="K1058" s="228"/>
      <c r="L1058" s="228"/>
      <c r="M1058" s="228"/>
      <c r="N1058" s="228"/>
      <c r="O1058" s="228"/>
      <c r="P1058" s="228">
        <v>0</v>
      </c>
      <c r="Q1058" s="228">
        <v>0</v>
      </c>
    </row>
    <row r="1059" spans="1:17">
      <c r="A1059"/>
      <c r="B1059" s="165" t="s">
        <v>253</v>
      </c>
      <c r="C1059" s="165">
        <v>10500</v>
      </c>
      <c r="D1059" s="228"/>
      <c r="E1059" s="228"/>
      <c r="F1059" s="228"/>
      <c r="G1059" s="228"/>
      <c r="H1059" s="228"/>
      <c r="I1059" s="228"/>
      <c r="J1059" s="228"/>
      <c r="K1059" s="228"/>
      <c r="L1059" s="228">
        <v>9000</v>
      </c>
      <c r="M1059" s="228">
        <v>94500000</v>
      </c>
      <c r="N1059" s="228"/>
      <c r="O1059" s="228"/>
      <c r="P1059" s="228">
        <v>9000</v>
      </c>
      <c r="Q1059" s="228">
        <v>94500000</v>
      </c>
    </row>
    <row r="1060" spans="1:17">
      <c r="A1060"/>
      <c r="B1060"/>
      <c r="C1060" s="165">
        <v>10700</v>
      </c>
      <c r="D1060" s="228"/>
      <c r="E1060" s="228"/>
      <c r="F1060" s="228"/>
      <c r="G1060" s="228"/>
      <c r="H1060" s="228"/>
      <c r="I1060" s="228"/>
      <c r="J1060" s="228"/>
      <c r="K1060" s="228"/>
      <c r="L1060" s="228">
        <v>4000</v>
      </c>
      <c r="M1060" s="228">
        <v>42800000</v>
      </c>
      <c r="N1060" s="228"/>
      <c r="O1060" s="228"/>
      <c r="P1060" s="228">
        <v>4000</v>
      </c>
      <c r="Q1060" s="228">
        <v>42800000</v>
      </c>
    </row>
    <row r="1061" spans="1:17">
      <c r="A1061"/>
      <c r="B1061" s="165" t="s">
        <v>95</v>
      </c>
      <c r="C1061" s="165">
        <v>11700</v>
      </c>
      <c r="D1061" s="228"/>
      <c r="E1061" s="228"/>
      <c r="F1061" s="228"/>
      <c r="G1061" s="228"/>
      <c r="H1061" s="228"/>
      <c r="I1061" s="228"/>
      <c r="J1061" s="228"/>
      <c r="K1061" s="228"/>
      <c r="L1061" s="228">
        <v>1000</v>
      </c>
      <c r="M1061" s="228">
        <v>11700000</v>
      </c>
      <c r="N1061" s="228"/>
      <c r="O1061" s="228"/>
      <c r="P1061" s="228">
        <v>1000</v>
      </c>
      <c r="Q1061" s="228">
        <v>11700000</v>
      </c>
    </row>
    <row r="1062" spans="1:17">
      <c r="A1062"/>
      <c r="B1062" s="165" t="s">
        <v>827</v>
      </c>
      <c r="C1062" s="165">
        <v>10700</v>
      </c>
      <c r="D1062" s="228">
        <v>0</v>
      </c>
      <c r="E1062" s="228">
        <v>0</v>
      </c>
      <c r="F1062" s="228"/>
      <c r="G1062" s="228"/>
      <c r="H1062" s="228"/>
      <c r="I1062" s="228"/>
      <c r="J1062" s="228"/>
      <c r="K1062" s="228"/>
      <c r="L1062" s="228"/>
      <c r="M1062" s="228"/>
      <c r="N1062" s="228"/>
      <c r="O1062" s="228"/>
      <c r="P1062" s="228">
        <v>0</v>
      </c>
      <c r="Q1062" s="228">
        <v>0</v>
      </c>
    </row>
    <row r="1063" spans="1:17">
      <c r="A1063"/>
      <c r="B1063" s="165" t="s">
        <v>120</v>
      </c>
      <c r="C1063" s="165">
        <v>10500</v>
      </c>
      <c r="D1063" s="228"/>
      <c r="E1063" s="228"/>
      <c r="F1063" s="228"/>
      <c r="G1063" s="228"/>
      <c r="H1063" s="228"/>
      <c r="I1063" s="228"/>
      <c r="J1063" s="228"/>
      <c r="K1063" s="228"/>
      <c r="L1063" s="228">
        <v>2000</v>
      </c>
      <c r="M1063" s="228">
        <v>21000000</v>
      </c>
      <c r="N1063" s="228"/>
      <c r="O1063" s="228"/>
      <c r="P1063" s="228">
        <v>2000</v>
      </c>
      <c r="Q1063" s="228">
        <v>21000000</v>
      </c>
    </row>
    <row r="1064" spans="1:17">
      <c r="A1064"/>
      <c r="B1064"/>
      <c r="C1064" s="165">
        <v>10700</v>
      </c>
      <c r="D1064" s="228"/>
      <c r="E1064" s="228"/>
      <c r="F1064" s="228"/>
      <c r="G1064" s="228"/>
      <c r="H1064" s="228"/>
      <c r="I1064" s="228"/>
      <c r="J1064" s="228"/>
      <c r="K1064" s="228"/>
      <c r="L1064" s="228">
        <v>2000</v>
      </c>
      <c r="M1064" s="228">
        <v>21400000</v>
      </c>
      <c r="N1064" s="228"/>
      <c r="O1064" s="228"/>
      <c r="P1064" s="228">
        <v>2000</v>
      </c>
      <c r="Q1064" s="228">
        <v>21400000</v>
      </c>
    </row>
    <row r="1065" spans="1:17">
      <c r="A1065"/>
      <c r="B1065" s="165" t="s">
        <v>1018</v>
      </c>
      <c r="C1065" s="165">
        <v>10700</v>
      </c>
      <c r="D1065" s="228">
        <v>0</v>
      </c>
      <c r="E1065" s="228">
        <v>0</v>
      </c>
      <c r="F1065" s="228"/>
      <c r="G1065" s="228"/>
      <c r="H1065" s="228"/>
      <c r="I1065" s="228"/>
      <c r="J1065" s="228"/>
      <c r="K1065" s="228"/>
      <c r="L1065" s="228"/>
      <c r="M1065" s="228"/>
      <c r="N1065" s="228"/>
      <c r="O1065" s="228"/>
      <c r="P1065" s="228">
        <v>0</v>
      </c>
      <c r="Q1065" s="228">
        <v>0</v>
      </c>
    </row>
    <row r="1066" spans="1:17">
      <c r="A1066"/>
      <c r="B1066" s="165" t="s">
        <v>465</v>
      </c>
      <c r="C1066" s="165">
        <v>10500</v>
      </c>
      <c r="D1066" s="228"/>
      <c r="E1066" s="228"/>
      <c r="F1066" s="228"/>
      <c r="G1066" s="228"/>
      <c r="H1066" s="228"/>
      <c r="I1066" s="228"/>
      <c r="J1066" s="228"/>
      <c r="K1066" s="228"/>
      <c r="L1066" s="228">
        <v>12000</v>
      </c>
      <c r="M1066" s="228">
        <v>126000000</v>
      </c>
      <c r="N1066" s="228"/>
      <c r="O1066" s="228"/>
      <c r="P1066" s="228">
        <v>12000</v>
      </c>
      <c r="Q1066" s="228">
        <v>126000000</v>
      </c>
    </row>
    <row r="1067" spans="1:17">
      <c r="A1067"/>
      <c r="B1067" s="165" t="s">
        <v>1564</v>
      </c>
      <c r="C1067" s="165">
        <v>10700</v>
      </c>
      <c r="D1067" s="228"/>
      <c r="E1067" s="228"/>
      <c r="F1067" s="228"/>
      <c r="G1067" s="228"/>
      <c r="H1067" s="228"/>
      <c r="I1067" s="228"/>
      <c r="J1067" s="228"/>
      <c r="K1067" s="228"/>
      <c r="L1067" s="228">
        <v>7000</v>
      </c>
      <c r="M1067" s="228">
        <v>74900000</v>
      </c>
      <c r="N1067" s="228"/>
      <c r="O1067" s="228"/>
      <c r="P1067" s="228">
        <v>7000</v>
      </c>
      <c r="Q1067" s="228">
        <v>74900000</v>
      </c>
    </row>
    <row r="1068" spans="1:17">
      <c r="A1068"/>
      <c r="B1068" s="165" t="s">
        <v>1504</v>
      </c>
      <c r="C1068" s="165">
        <v>10700</v>
      </c>
      <c r="D1068" s="228"/>
      <c r="E1068" s="228"/>
      <c r="F1068" s="228"/>
      <c r="G1068" s="228"/>
      <c r="H1068" s="228"/>
      <c r="I1068" s="228"/>
      <c r="J1068" s="228"/>
      <c r="K1068" s="228"/>
      <c r="L1068" s="228">
        <v>10000</v>
      </c>
      <c r="M1068" s="228">
        <v>107000000</v>
      </c>
      <c r="N1068" s="228"/>
      <c r="O1068" s="228"/>
      <c r="P1068" s="228">
        <v>10000</v>
      </c>
      <c r="Q1068" s="228">
        <v>107000000</v>
      </c>
    </row>
    <row r="1069" spans="1:17">
      <c r="A1069"/>
      <c r="B1069" s="165" t="s">
        <v>66</v>
      </c>
      <c r="C1069" s="165">
        <v>10500</v>
      </c>
      <c r="D1069" s="228"/>
      <c r="E1069" s="228"/>
      <c r="F1069" s="228"/>
      <c r="G1069" s="228"/>
      <c r="H1069" s="228"/>
      <c r="I1069" s="228"/>
      <c r="J1069" s="228"/>
      <c r="K1069" s="228"/>
      <c r="L1069" s="228">
        <v>10000</v>
      </c>
      <c r="M1069" s="228">
        <v>105000000</v>
      </c>
      <c r="N1069" s="228"/>
      <c r="O1069" s="228"/>
      <c r="P1069" s="228">
        <v>10000</v>
      </c>
      <c r="Q1069" s="228">
        <v>105000000</v>
      </c>
    </row>
    <row r="1070" spans="1:17">
      <c r="A1070"/>
      <c r="B1070" s="165" t="s">
        <v>817</v>
      </c>
      <c r="C1070" s="165">
        <v>10500</v>
      </c>
      <c r="D1070" s="228"/>
      <c r="E1070" s="228"/>
      <c r="F1070" s="228"/>
      <c r="G1070" s="228"/>
      <c r="H1070" s="228"/>
      <c r="I1070" s="228"/>
      <c r="J1070" s="228"/>
      <c r="K1070" s="228"/>
      <c r="L1070" s="228">
        <v>10000</v>
      </c>
      <c r="M1070" s="228">
        <v>105000000</v>
      </c>
      <c r="N1070" s="228"/>
      <c r="O1070" s="228"/>
      <c r="P1070" s="228">
        <v>10000</v>
      </c>
      <c r="Q1070" s="228">
        <v>105000000</v>
      </c>
    </row>
    <row r="1071" spans="1:17">
      <c r="A1071"/>
      <c r="B1071" s="165" t="s">
        <v>145</v>
      </c>
      <c r="C1071" s="165">
        <v>10700</v>
      </c>
      <c r="D1071" s="228"/>
      <c r="E1071" s="228"/>
      <c r="F1071" s="228"/>
      <c r="G1071" s="228"/>
      <c r="H1071" s="228"/>
      <c r="I1071" s="228"/>
      <c r="J1071" s="228"/>
      <c r="K1071" s="228"/>
      <c r="L1071" s="228">
        <v>30000</v>
      </c>
      <c r="M1071" s="228">
        <v>321000000</v>
      </c>
      <c r="N1071" s="228"/>
      <c r="O1071" s="228"/>
      <c r="P1071" s="228">
        <v>30000</v>
      </c>
      <c r="Q1071" s="228">
        <v>321000000</v>
      </c>
    </row>
    <row r="1072" spans="1:17">
      <c r="A1072"/>
      <c r="B1072" s="165" t="s">
        <v>1009</v>
      </c>
      <c r="C1072" s="165">
        <v>10500</v>
      </c>
      <c r="D1072" s="228"/>
      <c r="E1072" s="228"/>
      <c r="F1072" s="228"/>
      <c r="G1072" s="228"/>
      <c r="H1072" s="228"/>
      <c r="I1072" s="228"/>
      <c r="J1072" s="228"/>
      <c r="K1072" s="228"/>
      <c r="L1072" s="228">
        <v>5000</v>
      </c>
      <c r="M1072" s="228">
        <v>52500000</v>
      </c>
      <c r="N1072" s="228"/>
      <c r="O1072" s="228"/>
      <c r="P1072" s="228">
        <v>5000</v>
      </c>
      <c r="Q1072" s="228">
        <v>52500000</v>
      </c>
    </row>
    <row r="1073" spans="1:17">
      <c r="A1073"/>
      <c r="B1073" s="165" t="s">
        <v>291</v>
      </c>
      <c r="C1073" s="165">
        <v>10500</v>
      </c>
      <c r="D1073" s="228"/>
      <c r="E1073" s="228"/>
      <c r="F1073" s="228"/>
      <c r="G1073" s="228"/>
      <c r="H1073" s="228"/>
      <c r="I1073" s="228"/>
      <c r="J1073" s="228"/>
      <c r="K1073" s="228"/>
      <c r="L1073" s="228">
        <v>5000</v>
      </c>
      <c r="M1073" s="228">
        <v>52500000</v>
      </c>
      <c r="N1073" s="228"/>
      <c r="O1073" s="228"/>
      <c r="P1073" s="228">
        <v>5000</v>
      </c>
      <c r="Q1073" s="228">
        <v>52500000</v>
      </c>
    </row>
    <row r="1074" spans="1:17">
      <c r="A1074"/>
      <c r="B1074" s="165" t="s">
        <v>1060</v>
      </c>
      <c r="C1074" s="165">
        <v>10500</v>
      </c>
      <c r="D1074" s="228"/>
      <c r="E1074" s="228"/>
      <c r="F1074" s="228"/>
      <c r="G1074" s="228"/>
      <c r="H1074" s="228"/>
      <c r="I1074" s="228"/>
      <c r="J1074" s="228"/>
      <c r="K1074" s="228"/>
      <c r="L1074" s="228">
        <v>3000</v>
      </c>
      <c r="M1074" s="228">
        <v>31500000</v>
      </c>
      <c r="N1074" s="228"/>
      <c r="O1074" s="228"/>
      <c r="P1074" s="228">
        <v>3000</v>
      </c>
      <c r="Q1074" s="228">
        <v>31500000</v>
      </c>
    </row>
    <row r="1075" spans="1:17">
      <c r="A1075"/>
      <c r="B1075" s="165" t="s">
        <v>1037</v>
      </c>
      <c r="C1075" s="165">
        <v>10700</v>
      </c>
      <c r="D1075" s="228">
        <v>0</v>
      </c>
      <c r="E1075" s="228">
        <v>0</v>
      </c>
      <c r="F1075" s="228"/>
      <c r="G1075" s="228"/>
      <c r="H1075" s="228"/>
      <c r="I1075" s="228"/>
      <c r="J1075" s="228"/>
      <c r="K1075" s="228"/>
      <c r="L1075" s="228"/>
      <c r="M1075" s="228"/>
      <c r="N1075" s="228"/>
      <c r="O1075" s="228"/>
      <c r="P1075" s="228">
        <v>0</v>
      </c>
      <c r="Q1075" s="228">
        <v>0</v>
      </c>
    </row>
    <row r="1076" spans="1:17">
      <c r="A1076"/>
      <c r="B1076" s="165" t="s">
        <v>1142</v>
      </c>
      <c r="C1076" s="165">
        <v>10700</v>
      </c>
      <c r="D1076" s="228"/>
      <c r="E1076" s="228"/>
      <c r="F1076" s="228"/>
      <c r="G1076" s="228"/>
      <c r="H1076" s="228"/>
      <c r="I1076" s="228"/>
      <c r="J1076" s="228"/>
      <c r="K1076" s="228"/>
      <c r="L1076" s="228">
        <v>20000</v>
      </c>
      <c r="M1076" s="228">
        <v>214000000</v>
      </c>
      <c r="N1076" s="228"/>
      <c r="O1076" s="228"/>
      <c r="P1076" s="228">
        <v>20000</v>
      </c>
      <c r="Q1076" s="228">
        <v>214000000</v>
      </c>
    </row>
    <row r="1077" spans="1:17">
      <c r="A1077"/>
      <c r="B1077" s="165" t="s">
        <v>1188</v>
      </c>
      <c r="C1077" s="165">
        <v>10700</v>
      </c>
      <c r="D1077" s="228"/>
      <c r="E1077" s="228"/>
      <c r="F1077" s="228"/>
      <c r="G1077" s="228"/>
      <c r="H1077" s="228"/>
      <c r="I1077" s="228"/>
      <c r="J1077" s="228"/>
      <c r="K1077" s="228"/>
      <c r="L1077" s="228">
        <v>8000</v>
      </c>
      <c r="M1077" s="228">
        <v>85600000</v>
      </c>
      <c r="N1077" s="228"/>
      <c r="O1077" s="228"/>
      <c r="P1077" s="228">
        <v>8000</v>
      </c>
      <c r="Q1077" s="228">
        <v>85600000</v>
      </c>
    </row>
    <row r="1078" spans="1:17">
      <c r="A1078"/>
      <c r="B1078" s="165" t="s">
        <v>100</v>
      </c>
      <c r="C1078" s="165">
        <v>10500</v>
      </c>
      <c r="D1078" s="228"/>
      <c r="E1078" s="228"/>
      <c r="F1078" s="228"/>
      <c r="G1078" s="228"/>
      <c r="H1078" s="228"/>
      <c r="I1078" s="228"/>
      <c r="J1078" s="228"/>
      <c r="K1078" s="228"/>
      <c r="L1078" s="228">
        <v>15000</v>
      </c>
      <c r="M1078" s="228">
        <v>157500000</v>
      </c>
      <c r="N1078" s="228"/>
      <c r="O1078" s="228"/>
      <c r="P1078" s="228">
        <v>15000</v>
      </c>
      <c r="Q1078" s="228">
        <v>157500000</v>
      </c>
    </row>
    <row r="1079" spans="1:17">
      <c r="A1079"/>
      <c r="B1079" s="165" t="s">
        <v>1163</v>
      </c>
      <c r="C1079" s="165">
        <v>10700</v>
      </c>
      <c r="D1079" s="228"/>
      <c r="E1079" s="228"/>
      <c r="F1079" s="228"/>
      <c r="G1079" s="228"/>
      <c r="H1079" s="228"/>
      <c r="I1079" s="228"/>
      <c r="J1079" s="228"/>
      <c r="K1079" s="228"/>
      <c r="L1079" s="228">
        <v>50000</v>
      </c>
      <c r="M1079" s="228">
        <v>535000000</v>
      </c>
      <c r="N1079" s="228"/>
      <c r="O1079" s="228"/>
      <c r="P1079" s="228">
        <v>50000</v>
      </c>
      <c r="Q1079" s="228">
        <v>535000000</v>
      </c>
    </row>
    <row r="1080" spans="1:17">
      <c r="A1080"/>
      <c r="B1080" s="165" t="s">
        <v>268</v>
      </c>
      <c r="C1080" s="165">
        <v>10700</v>
      </c>
      <c r="D1080" s="228"/>
      <c r="E1080" s="228"/>
      <c r="F1080" s="228"/>
      <c r="G1080" s="228"/>
      <c r="H1080" s="228"/>
      <c r="I1080" s="228"/>
      <c r="J1080" s="228"/>
      <c r="K1080" s="228"/>
      <c r="L1080" s="228">
        <v>7000</v>
      </c>
      <c r="M1080" s="228">
        <v>74900000</v>
      </c>
      <c r="N1080" s="228"/>
      <c r="O1080" s="228"/>
      <c r="P1080" s="228">
        <v>7000</v>
      </c>
      <c r="Q1080" s="228">
        <v>74900000</v>
      </c>
    </row>
    <row r="1081" spans="1:17">
      <c r="A1081"/>
      <c r="B1081" s="165" t="s">
        <v>987</v>
      </c>
      <c r="C1081" s="165">
        <v>10700</v>
      </c>
      <c r="D1081" s="228"/>
      <c r="E1081" s="228"/>
      <c r="F1081" s="228"/>
      <c r="G1081" s="228"/>
      <c r="H1081" s="228"/>
      <c r="I1081" s="228"/>
      <c r="J1081" s="228"/>
      <c r="K1081" s="228"/>
      <c r="L1081" s="228">
        <v>5000</v>
      </c>
      <c r="M1081" s="228">
        <v>53500000</v>
      </c>
      <c r="N1081" s="228"/>
      <c r="O1081" s="228"/>
      <c r="P1081" s="228">
        <v>5000</v>
      </c>
      <c r="Q1081" s="228">
        <v>53500000</v>
      </c>
    </row>
    <row r="1082" spans="1:17">
      <c r="A1082"/>
      <c r="B1082" s="165" t="s">
        <v>605</v>
      </c>
      <c r="C1082" s="165">
        <v>10500</v>
      </c>
      <c r="D1082" s="228"/>
      <c r="E1082" s="228"/>
      <c r="F1082" s="228"/>
      <c r="G1082" s="228"/>
      <c r="H1082" s="228"/>
      <c r="I1082" s="228"/>
      <c r="J1082" s="228"/>
      <c r="K1082" s="228"/>
      <c r="L1082" s="228">
        <v>2000</v>
      </c>
      <c r="M1082" s="228">
        <v>21000000</v>
      </c>
      <c r="N1082" s="228"/>
      <c r="O1082" s="228"/>
      <c r="P1082" s="228">
        <v>2000</v>
      </c>
      <c r="Q1082" s="228">
        <v>21000000</v>
      </c>
    </row>
    <row r="1083" spans="1:17">
      <c r="A1083"/>
      <c r="B1083" s="165" t="s">
        <v>814</v>
      </c>
      <c r="C1083" s="165">
        <v>10700</v>
      </c>
      <c r="D1083" s="228"/>
      <c r="E1083" s="228"/>
      <c r="F1083" s="228"/>
      <c r="G1083" s="228"/>
      <c r="H1083" s="228"/>
      <c r="I1083" s="228"/>
      <c r="J1083" s="228"/>
      <c r="K1083" s="228"/>
      <c r="L1083" s="228">
        <v>5000</v>
      </c>
      <c r="M1083" s="228">
        <v>53500000</v>
      </c>
      <c r="N1083" s="228"/>
      <c r="O1083" s="228"/>
      <c r="P1083" s="228">
        <v>5000</v>
      </c>
      <c r="Q1083" s="228">
        <v>53500000</v>
      </c>
    </row>
    <row r="1084" spans="1:17">
      <c r="A1084"/>
      <c r="B1084" s="165" t="s">
        <v>1493</v>
      </c>
      <c r="C1084" s="165">
        <v>10700</v>
      </c>
      <c r="D1084" s="228"/>
      <c r="E1084" s="228"/>
      <c r="F1084" s="228"/>
      <c r="G1084" s="228"/>
      <c r="H1084" s="228"/>
      <c r="I1084" s="228"/>
      <c r="J1084" s="228"/>
      <c r="K1084" s="228"/>
      <c r="L1084" s="228">
        <v>10000</v>
      </c>
      <c r="M1084" s="228">
        <v>107000000</v>
      </c>
      <c r="N1084" s="228"/>
      <c r="O1084" s="228"/>
      <c r="P1084" s="228">
        <v>10000</v>
      </c>
      <c r="Q1084" s="228">
        <v>107000000</v>
      </c>
    </row>
    <row r="1085" spans="1:17">
      <c r="A1085"/>
      <c r="B1085" s="165" t="s">
        <v>201</v>
      </c>
      <c r="C1085" s="165">
        <v>10700</v>
      </c>
      <c r="D1085" s="228"/>
      <c r="E1085" s="228"/>
      <c r="F1085" s="228"/>
      <c r="G1085" s="228"/>
      <c r="H1085" s="228"/>
      <c r="I1085" s="228"/>
      <c r="J1085" s="228"/>
      <c r="K1085" s="228"/>
      <c r="L1085" s="228">
        <v>3000</v>
      </c>
      <c r="M1085" s="228">
        <v>32100000</v>
      </c>
      <c r="N1085" s="228"/>
      <c r="O1085" s="228"/>
      <c r="P1085" s="228">
        <v>3000</v>
      </c>
      <c r="Q1085" s="228">
        <v>32100000</v>
      </c>
    </row>
    <row r="1086" spans="1:17">
      <c r="A1086"/>
      <c r="B1086" s="165" t="s">
        <v>260</v>
      </c>
      <c r="C1086" s="165">
        <v>10700</v>
      </c>
      <c r="D1086" s="228"/>
      <c r="E1086" s="228"/>
      <c r="F1086" s="228"/>
      <c r="G1086" s="228"/>
      <c r="H1086" s="228"/>
      <c r="I1086" s="228"/>
      <c r="J1086" s="228"/>
      <c r="K1086" s="228"/>
      <c r="L1086" s="228">
        <v>10000</v>
      </c>
      <c r="M1086" s="228">
        <v>107000000</v>
      </c>
      <c r="N1086" s="228"/>
      <c r="O1086" s="228"/>
      <c r="P1086" s="228">
        <v>10000</v>
      </c>
      <c r="Q1086" s="228">
        <v>107000000</v>
      </c>
    </row>
    <row r="1087" spans="1:17">
      <c r="A1087"/>
      <c r="B1087" s="165" t="s">
        <v>1886</v>
      </c>
      <c r="C1087" s="165">
        <v>10700</v>
      </c>
      <c r="D1087" s="228"/>
      <c r="E1087" s="228"/>
      <c r="F1087" s="228"/>
      <c r="G1087" s="228"/>
      <c r="H1087" s="228"/>
      <c r="I1087" s="228"/>
      <c r="J1087" s="228"/>
      <c r="K1087" s="228"/>
      <c r="L1087" s="228">
        <v>3500</v>
      </c>
      <c r="M1087" s="228">
        <v>37450000</v>
      </c>
      <c r="N1087" s="228"/>
      <c r="O1087" s="228"/>
      <c r="P1087" s="228">
        <v>3500</v>
      </c>
      <c r="Q1087" s="228">
        <v>37450000</v>
      </c>
    </row>
    <row r="1088" spans="1:17">
      <c r="A1088" s="165" t="s">
        <v>2143</v>
      </c>
      <c r="B1088" s="165" t="s">
        <v>1798</v>
      </c>
      <c r="C1088" s="165">
        <v>12500</v>
      </c>
      <c r="D1088" s="228"/>
      <c r="E1088" s="228"/>
      <c r="F1088" s="228"/>
      <c r="G1088" s="228"/>
      <c r="H1088" s="228"/>
      <c r="I1088" s="228"/>
      <c r="J1088" s="228"/>
      <c r="K1088" s="228"/>
      <c r="L1088" s="228">
        <v>5000</v>
      </c>
      <c r="M1088" s="228">
        <v>62500000</v>
      </c>
      <c r="N1088" s="228"/>
      <c r="O1088" s="228"/>
      <c r="P1088" s="228">
        <v>5000</v>
      </c>
      <c r="Q1088" s="228">
        <v>62500000</v>
      </c>
    </row>
    <row r="1089" spans="1:17">
      <c r="A1089"/>
      <c r="B1089" s="165" t="s">
        <v>827</v>
      </c>
      <c r="C1089" s="165">
        <v>12500</v>
      </c>
      <c r="D1089" s="228"/>
      <c r="E1089" s="228"/>
      <c r="F1089" s="228"/>
      <c r="G1089" s="228"/>
      <c r="H1089" s="228"/>
      <c r="I1089" s="228"/>
      <c r="J1089" s="228"/>
      <c r="K1089" s="228"/>
      <c r="L1089" s="228">
        <v>8000</v>
      </c>
      <c r="M1089" s="228">
        <v>100000000</v>
      </c>
      <c r="N1089" s="228"/>
      <c r="O1089" s="228"/>
      <c r="P1089" s="228">
        <v>8000</v>
      </c>
      <c r="Q1089" s="228">
        <v>100000000</v>
      </c>
    </row>
    <row r="1090" spans="1:17">
      <c r="A1090"/>
      <c r="B1090" s="165" t="s">
        <v>1018</v>
      </c>
      <c r="C1090" s="165">
        <v>12500</v>
      </c>
      <c r="D1090" s="228"/>
      <c r="E1090" s="228"/>
      <c r="F1090" s="228"/>
      <c r="G1090" s="228"/>
      <c r="H1090" s="228"/>
      <c r="I1090" s="228"/>
      <c r="J1090" s="228"/>
      <c r="K1090" s="228"/>
      <c r="L1090" s="228">
        <v>2000</v>
      </c>
      <c r="M1090" s="228">
        <v>25000000</v>
      </c>
      <c r="N1090" s="228"/>
      <c r="O1090" s="228"/>
      <c r="P1090" s="228">
        <v>2000</v>
      </c>
      <c r="Q1090" s="228">
        <v>25000000</v>
      </c>
    </row>
    <row r="1091" spans="1:17">
      <c r="A1091"/>
      <c r="B1091" s="165" t="s">
        <v>1564</v>
      </c>
      <c r="C1091" s="165">
        <v>12500</v>
      </c>
      <c r="D1091" s="228"/>
      <c r="E1091" s="228"/>
      <c r="F1091" s="228"/>
      <c r="G1091" s="228"/>
      <c r="H1091" s="228"/>
      <c r="I1091" s="228"/>
      <c r="J1091" s="228"/>
      <c r="K1091" s="228"/>
      <c r="L1091" s="228">
        <v>3000</v>
      </c>
      <c r="M1091" s="228">
        <v>37500000</v>
      </c>
      <c r="N1091" s="228"/>
      <c r="O1091" s="228"/>
      <c r="P1091" s="228">
        <v>3000</v>
      </c>
      <c r="Q1091" s="228">
        <v>37500000</v>
      </c>
    </row>
    <row r="1092" spans="1:17">
      <c r="A1092"/>
      <c r="B1092" s="165" t="s">
        <v>1037</v>
      </c>
      <c r="C1092" s="165">
        <v>12500</v>
      </c>
      <c r="D1092" s="228"/>
      <c r="E1092" s="228"/>
      <c r="F1092" s="228"/>
      <c r="G1092" s="228"/>
      <c r="H1092" s="228"/>
      <c r="I1092" s="228"/>
      <c r="J1092" s="228"/>
      <c r="K1092" s="228"/>
      <c r="L1092" s="228">
        <v>5000</v>
      </c>
      <c r="M1092" s="228">
        <v>62500000</v>
      </c>
      <c r="N1092" s="228"/>
      <c r="O1092" s="228"/>
      <c r="P1092" s="228">
        <v>5000</v>
      </c>
      <c r="Q1092" s="228">
        <v>62500000</v>
      </c>
    </row>
    <row r="1093" spans="1:17">
      <c r="A1093"/>
      <c r="B1093" s="165" t="s">
        <v>789</v>
      </c>
      <c r="C1093" s="165">
        <v>12500</v>
      </c>
      <c r="D1093" s="228"/>
      <c r="E1093" s="228"/>
      <c r="F1093" s="228"/>
      <c r="G1093" s="228"/>
      <c r="H1093" s="228"/>
      <c r="I1093" s="228"/>
      <c r="J1093" s="228"/>
      <c r="K1093" s="228"/>
      <c r="L1093" s="228">
        <v>6000</v>
      </c>
      <c r="M1093" s="228">
        <v>75000000</v>
      </c>
      <c r="N1093" s="228"/>
      <c r="O1093" s="228"/>
      <c r="P1093" s="228">
        <v>6000</v>
      </c>
      <c r="Q1093" s="228">
        <v>75000000</v>
      </c>
    </row>
    <row r="1094" spans="1:17">
      <c r="A1094" s="165" t="s">
        <v>2144</v>
      </c>
      <c r="B1094" s="165" t="s">
        <v>205</v>
      </c>
      <c r="C1094" s="165">
        <v>12500</v>
      </c>
      <c r="D1094" s="228"/>
      <c r="E1094" s="228"/>
      <c r="F1094" s="228"/>
      <c r="G1094" s="228"/>
      <c r="H1094" s="228"/>
      <c r="I1094" s="228"/>
      <c r="J1094" s="228"/>
      <c r="K1094" s="228"/>
      <c r="L1094" s="228">
        <v>4000</v>
      </c>
      <c r="M1094" s="228">
        <v>50000000</v>
      </c>
      <c r="N1094" s="228"/>
      <c r="O1094" s="228"/>
      <c r="P1094" s="228">
        <v>4000</v>
      </c>
      <c r="Q1094" s="228">
        <v>50000000</v>
      </c>
    </row>
    <row r="1095" spans="1:17">
      <c r="A1095"/>
      <c r="B1095" s="165" t="s">
        <v>76</v>
      </c>
      <c r="C1095" s="165">
        <v>12500</v>
      </c>
      <c r="D1095" s="228"/>
      <c r="E1095" s="228"/>
      <c r="F1095" s="228"/>
      <c r="G1095" s="228"/>
      <c r="H1095" s="228"/>
      <c r="I1095" s="228"/>
      <c r="J1095" s="228"/>
      <c r="K1095" s="228"/>
      <c r="L1095" s="228">
        <v>20000</v>
      </c>
      <c r="M1095" s="228">
        <v>250000000</v>
      </c>
      <c r="N1095" s="228"/>
      <c r="O1095" s="228"/>
      <c r="P1095" s="228">
        <v>20000</v>
      </c>
      <c r="Q1095" s="228">
        <v>250000000</v>
      </c>
    </row>
    <row r="1096" spans="1:17">
      <c r="A1096"/>
      <c r="B1096" s="165" t="s">
        <v>983</v>
      </c>
      <c r="C1096" s="165">
        <v>12500</v>
      </c>
      <c r="D1096" s="228"/>
      <c r="E1096" s="228"/>
      <c r="F1096" s="228"/>
      <c r="G1096" s="228"/>
      <c r="H1096" s="228"/>
      <c r="I1096" s="228"/>
      <c r="J1096" s="228"/>
      <c r="K1096" s="228"/>
      <c r="L1096" s="228">
        <v>10000</v>
      </c>
      <c r="M1096" s="228">
        <v>125000000</v>
      </c>
      <c r="N1096" s="228"/>
      <c r="O1096" s="228"/>
      <c r="P1096" s="228">
        <v>10000</v>
      </c>
      <c r="Q1096" s="228">
        <v>125000000</v>
      </c>
    </row>
    <row r="1097" spans="1:17">
      <c r="A1097"/>
      <c r="B1097" s="165" t="s">
        <v>391</v>
      </c>
      <c r="C1097" s="165">
        <v>12500</v>
      </c>
      <c r="D1097" s="228">
        <v>0</v>
      </c>
      <c r="E1097" s="228">
        <v>0</v>
      </c>
      <c r="F1097" s="228"/>
      <c r="G1097" s="228"/>
      <c r="H1097" s="228"/>
      <c r="I1097" s="228"/>
      <c r="J1097" s="228"/>
      <c r="K1097" s="228"/>
      <c r="L1097" s="228"/>
      <c r="M1097" s="228"/>
      <c r="N1097" s="228"/>
      <c r="O1097" s="228"/>
      <c r="P1097" s="228">
        <v>0</v>
      </c>
      <c r="Q1097" s="228">
        <v>0</v>
      </c>
    </row>
    <row r="1098" spans="1:17">
      <c r="A1098"/>
      <c r="B1098" s="165" t="s">
        <v>1279</v>
      </c>
      <c r="C1098" s="165">
        <v>12500</v>
      </c>
      <c r="D1098" s="228"/>
      <c r="E1098" s="228"/>
      <c r="F1098" s="228"/>
      <c r="G1098" s="228"/>
      <c r="H1098" s="228"/>
      <c r="I1098" s="228"/>
      <c r="J1098" s="228"/>
      <c r="K1098" s="228"/>
      <c r="L1098" s="228">
        <v>10000</v>
      </c>
      <c r="M1098" s="228">
        <v>125000000</v>
      </c>
      <c r="N1098" s="228"/>
      <c r="O1098" s="228"/>
      <c r="P1098" s="228">
        <v>10000</v>
      </c>
      <c r="Q1098" s="228">
        <v>125000000</v>
      </c>
    </row>
    <row r="1099" spans="1:17">
      <c r="A1099"/>
      <c r="B1099" s="165" t="s">
        <v>150</v>
      </c>
      <c r="C1099" s="165">
        <v>12500</v>
      </c>
      <c r="D1099" s="228"/>
      <c r="E1099" s="228"/>
      <c r="F1099" s="228"/>
      <c r="G1099" s="228"/>
      <c r="H1099" s="228"/>
      <c r="I1099" s="228"/>
      <c r="J1099" s="228"/>
      <c r="K1099" s="228"/>
      <c r="L1099" s="228">
        <v>5000</v>
      </c>
      <c r="M1099" s="228">
        <v>62500000</v>
      </c>
      <c r="N1099" s="228"/>
      <c r="O1099" s="228"/>
      <c r="P1099" s="228">
        <v>5000</v>
      </c>
      <c r="Q1099" s="228">
        <v>62500000</v>
      </c>
    </row>
    <row r="1100" spans="1:17">
      <c r="A1100"/>
      <c r="B1100" s="165" t="s">
        <v>980</v>
      </c>
      <c r="C1100" s="165">
        <v>12500</v>
      </c>
      <c r="D1100" s="228"/>
      <c r="E1100" s="228"/>
      <c r="F1100" s="228"/>
      <c r="G1100" s="228"/>
      <c r="H1100" s="228"/>
      <c r="I1100" s="228"/>
      <c r="J1100" s="228"/>
      <c r="K1100" s="228"/>
      <c r="L1100" s="228">
        <v>6000</v>
      </c>
      <c r="M1100" s="228">
        <v>75000000</v>
      </c>
      <c r="N1100" s="228"/>
      <c r="O1100" s="228"/>
      <c r="P1100" s="228">
        <v>6000</v>
      </c>
      <c r="Q1100" s="228">
        <v>75000000</v>
      </c>
    </row>
    <row r="1101" spans="1:17">
      <c r="A1101"/>
      <c r="B1101" s="165" t="s">
        <v>388</v>
      </c>
      <c r="C1101" s="165">
        <v>12500</v>
      </c>
      <c r="D1101" s="228"/>
      <c r="E1101" s="228"/>
      <c r="F1101" s="228"/>
      <c r="G1101" s="228"/>
      <c r="H1101" s="228"/>
      <c r="I1101" s="228"/>
      <c r="J1101" s="228"/>
      <c r="K1101" s="228"/>
      <c r="L1101" s="228">
        <v>12000</v>
      </c>
      <c r="M1101" s="228">
        <v>150000000</v>
      </c>
      <c r="N1101" s="228"/>
      <c r="O1101" s="228"/>
      <c r="P1101" s="228">
        <v>12000</v>
      </c>
      <c r="Q1101" s="228">
        <v>150000000</v>
      </c>
    </row>
    <row r="1102" spans="1:17">
      <c r="A1102"/>
      <c r="B1102" s="165" t="s">
        <v>253</v>
      </c>
      <c r="C1102" s="165">
        <v>12500</v>
      </c>
      <c r="D1102" s="228"/>
      <c r="E1102" s="228"/>
      <c r="F1102" s="228"/>
      <c r="G1102" s="228"/>
      <c r="H1102" s="228"/>
      <c r="I1102" s="228"/>
      <c r="J1102" s="228"/>
      <c r="K1102" s="228"/>
      <c r="L1102" s="228">
        <v>5000</v>
      </c>
      <c r="M1102" s="228">
        <v>62500000</v>
      </c>
      <c r="N1102" s="228"/>
      <c r="O1102" s="228"/>
      <c r="P1102" s="228">
        <v>5000</v>
      </c>
      <c r="Q1102" s="228">
        <v>62500000</v>
      </c>
    </row>
    <row r="1103" spans="1:17">
      <c r="A1103"/>
      <c r="B1103" s="165" t="s">
        <v>827</v>
      </c>
      <c r="C1103" s="165">
        <v>12500</v>
      </c>
      <c r="D1103" s="228">
        <v>0</v>
      </c>
      <c r="E1103" s="228">
        <v>0</v>
      </c>
      <c r="F1103" s="228"/>
      <c r="G1103" s="228"/>
      <c r="H1103" s="228"/>
      <c r="I1103" s="228"/>
      <c r="J1103" s="228"/>
      <c r="K1103" s="228"/>
      <c r="L1103" s="228"/>
      <c r="M1103" s="228"/>
      <c r="N1103" s="228"/>
      <c r="O1103" s="228"/>
      <c r="P1103" s="228">
        <v>0</v>
      </c>
      <c r="Q1103" s="228">
        <v>0</v>
      </c>
    </row>
    <row r="1104" spans="1:17">
      <c r="A1104"/>
      <c r="B1104" s="165" t="s">
        <v>182</v>
      </c>
      <c r="C1104" s="165">
        <v>12500</v>
      </c>
      <c r="D1104" s="228">
        <v>0</v>
      </c>
      <c r="E1104" s="228">
        <v>0</v>
      </c>
      <c r="F1104" s="228"/>
      <c r="G1104" s="228"/>
      <c r="H1104" s="228"/>
      <c r="I1104" s="228"/>
      <c r="J1104" s="228"/>
      <c r="K1104" s="228"/>
      <c r="L1104" s="228"/>
      <c r="M1104" s="228"/>
      <c r="N1104" s="228"/>
      <c r="O1104" s="228"/>
      <c r="P1104" s="228">
        <v>0</v>
      </c>
      <c r="Q1104" s="228">
        <v>0</v>
      </c>
    </row>
    <row r="1105" spans="1:17">
      <c r="A1105"/>
      <c r="B1105" s="165" t="s">
        <v>231</v>
      </c>
      <c r="C1105" s="165">
        <v>12500</v>
      </c>
      <c r="D1105" s="228"/>
      <c r="E1105" s="228"/>
      <c r="F1105" s="228"/>
      <c r="G1105" s="228"/>
      <c r="H1105" s="228"/>
      <c r="I1105" s="228"/>
      <c r="J1105" s="228"/>
      <c r="K1105" s="228"/>
      <c r="L1105" s="228">
        <v>5500</v>
      </c>
      <c r="M1105" s="228">
        <v>68750000</v>
      </c>
      <c r="N1105" s="228"/>
      <c r="O1105" s="228"/>
      <c r="P1105" s="228">
        <v>5500</v>
      </c>
      <c r="Q1105" s="228">
        <v>68750000</v>
      </c>
    </row>
    <row r="1106" spans="1:17">
      <c r="A1106"/>
      <c r="B1106" s="165" t="s">
        <v>255</v>
      </c>
      <c r="C1106" s="165">
        <v>12500</v>
      </c>
      <c r="D1106" s="228"/>
      <c r="E1106" s="228"/>
      <c r="F1106" s="228"/>
      <c r="G1106" s="228"/>
      <c r="H1106" s="228"/>
      <c r="I1106" s="228"/>
      <c r="J1106" s="228"/>
      <c r="K1106" s="228"/>
      <c r="L1106" s="228">
        <v>21000</v>
      </c>
      <c r="M1106" s="228">
        <v>262500000</v>
      </c>
      <c r="N1106" s="228"/>
      <c r="O1106" s="228"/>
      <c r="P1106" s="228">
        <v>21000</v>
      </c>
      <c r="Q1106" s="228">
        <v>262500000</v>
      </c>
    </row>
    <row r="1107" spans="1:17">
      <c r="A1107"/>
      <c r="B1107" s="165" t="s">
        <v>280</v>
      </c>
      <c r="C1107" s="165">
        <v>12500</v>
      </c>
      <c r="D1107" s="228"/>
      <c r="E1107" s="228"/>
      <c r="F1107" s="228"/>
      <c r="G1107" s="228"/>
      <c r="H1107" s="228"/>
      <c r="I1107" s="228"/>
      <c r="J1107" s="228"/>
      <c r="K1107" s="228"/>
      <c r="L1107" s="228">
        <v>12000</v>
      </c>
      <c r="M1107" s="228">
        <v>150000000</v>
      </c>
      <c r="N1107" s="228"/>
      <c r="O1107" s="228"/>
      <c r="P1107" s="228">
        <v>12000</v>
      </c>
      <c r="Q1107" s="228">
        <v>150000000</v>
      </c>
    </row>
    <row r="1108" spans="1:17">
      <c r="A1108"/>
      <c r="B1108" s="165" t="s">
        <v>177</v>
      </c>
      <c r="C1108" s="165">
        <v>12500</v>
      </c>
      <c r="D1108" s="228"/>
      <c r="E1108" s="228"/>
      <c r="F1108" s="228"/>
      <c r="G1108" s="228"/>
      <c r="H1108" s="228"/>
      <c r="I1108" s="228"/>
      <c r="J1108" s="228"/>
      <c r="K1108" s="228"/>
      <c r="L1108" s="228">
        <v>10000</v>
      </c>
      <c r="M1108" s="228">
        <v>125000000</v>
      </c>
      <c r="N1108" s="228"/>
      <c r="O1108" s="228"/>
      <c r="P1108" s="228">
        <v>10000</v>
      </c>
      <c r="Q1108" s="228">
        <v>125000000</v>
      </c>
    </row>
    <row r="1109" spans="1:17">
      <c r="A1109"/>
      <c r="B1109" s="165" t="s">
        <v>476</v>
      </c>
      <c r="C1109" s="165">
        <v>12500</v>
      </c>
      <c r="D1109" s="228"/>
      <c r="E1109" s="228"/>
      <c r="F1109" s="228"/>
      <c r="G1109" s="228"/>
      <c r="H1109" s="228"/>
      <c r="I1109" s="228"/>
      <c r="J1109" s="228"/>
      <c r="K1109" s="228"/>
      <c r="L1109" s="228">
        <v>6000</v>
      </c>
      <c r="M1109" s="228">
        <v>75000000</v>
      </c>
      <c r="N1109" s="228"/>
      <c r="O1109" s="228"/>
      <c r="P1109" s="228">
        <v>6000</v>
      </c>
      <c r="Q1109" s="228">
        <v>75000000</v>
      </c>
    </row>
    <row r="1110" spans="1:17">
      <c r="A1110"/>
      <c r="B1110" s="165" t="s">
        <v>188</v>
      </c>
      <c r="C1110" s="165">
        <v>12500</v>
      </c>
      <c r="D1110" s="228"/>
      <c r="E1110" s="228"/>
      <c r="F1110" s="228"/>
      <c r="G1110" s="228"/>
      <c r="H1110" s="228"/>
      <c r="I1110" s="228"/>
      <c r="J1110" s="228"/>
      <c r="K1110" s="228"/>
      <c r="L1110" s="228">
        <v>10000</v>
      </c>
      <c r="M1110" s="228">
        <v>125000000</v>
      </c>
      <c r="N1110" s="228"/>
      <c r="O1110" s="228"/>
      <c r="P1110" s="228">
        <v>10000</v>
      </c>
      <c r="Q1110" s="228">
        <v>125000000</v>
      </c>
    </row>
    <row r="1111" spans="1:17">
      <c r="A1111"/>
      <c r="B1111" s="165" t="s">
        <v>1697</v>
      </c>
      <c r="C1111" s="165">
        <v>12500</v>
      </c>
      <c r="D1111" s="228">
        <v>0</v>
      </c>
      <c r="E1111" s="228">
        <v>0</v>
      </c>
      <c r="F1111" s="228"/>
      <c r="G1111" s="228"/>
      <c r="H1111" s="228"/>
      <c r="I1111" s="228"/>
      <c r="J1111" s="228"/>
      <c r="K1111" s="228"/>
      <c r="L1111" s="228"/>
      <c r="M1111" s="228"/>
      <c r="N1111" s="228"/>
      <c r="O1111" s="228"/>
      <c r="P1111" s="228">
        <v>0</v>
      </c>
      <c r="Q1111" s="228">
        <v>0</v>
      </c>
    </row>
    <row r="1112" spans="1:17">
      <c r="A1112"/>
      <c r="B1112" s="165" t="s">
        <v>213</v>
      </c>
      <c r="C1112" s="165">
        <v>12500</v>
      </c>
      <c r="D1112" s="228"/>
      <c r="E1112" s="228"/>
      <c r="F1112" s="228"/>
      <c r="G1112" s="228"/>
      <c r="H1112" s="228"/>
      <c r="I1112" s="228"/>
      <c r="J1112" s="228"/>
      <c r="K1112" s="228"/>
      <c r="L1112" s="228">
        <v>15000</v>
      </c>
      <c r="M1112" s="228">
        <v>187500000</v>
      </c>
      <c r="N1112" s="228"/>
      <c r="O1112" s="228"/>
      <c r="P1112" s="228">
        <v>15000</v>
      </c>
      <c r="Q1112" s="228">
        <v>187500000</v>
      </c>
    </row>
    <row r="1113" spans="1:17">
      <c r="A1113"/>
      <c r="B1113" s="165" t="s">
        <v>1037</v>
      </c>
      <c r="C1113" s="165">
        <v>12500</v>
      </c>
      <c r="D1113" s="228">
        <v>0</v>
      </c>
      <c r="E1113" s="228">
        <v>0</v>
      </c>
      <c r="F1113" s="228"/>
      <c r="G1113" s="228"/>
      <c r="H1113" s="228"/>
      <c r="I1113" s="228"/>
      <c r="J1113" s="228"/>
      <c r="K1113" s="228"/>
      <c r="L1113" s="228"/>
      <c r="M1113" s="228"/>
      <c r="N1113" s="228"/>
      <c r="O1113" s="228"/>
      <c r="P1113" s="228">
        <v>0</v>
      </c>
      <c r="Q1113" s="228">
        <v>0</v>
      </c>
    </row>
    <row r="1114" spans="1:17">
      <c r="A1114"/>
      <c r="B1114" s="165" t="s">
        <v>276</v>
      </c>
      <c r="C1114" s="165">
        <v>12500</v>
      </c>
      <c r="D1114" s="228"/>
      <c r="E1114" s="228"/>
      <c r="F1114" s="228"/>
      <c r="G1114" s="228"/>
      <c r="H1114" s="228"/>
      <c r="I1114" s="228"/>
      <c r="J1114" s="228"/>
      <c r="K1114" s="228"/>
      <c r="L1114" s="228">
        <v>6000</v>
      </c>
      <c r="M1114" s="228">
        <v>75000000</v>
      </c>
      <c r="N1114" s="228"/>
      <c r="O1114" s="228"/>
      <c r="P1114" s="228">
        <v>6000</v>
      </c>
      <c r="Q1114" s="228">
        <v>75000000</v>
      </c>
    </row>
    <row r="1115" spans="1:17">
      <c r="A1115"/>
      <c r="B1115" s="165" t="s">
        <v>477</v>
      </c>
      <c r="C1115" s="165">
        <v>12500</v>
      </c>
      <c r="D1115" s="228"/>
      <c r="E1115" s="228"/>
      <c r="F1115" s="228"/>
      <c r="G1115" s="228"/>
      <c r="H1115" s="228"/>
      <c r="I1115" s="228"/>
      <c r="J1115" s="228"/>
      <c r="K1115" s="228"/>
      <c r="L1115" s="228">
        <v>6000</v>
      </c>
      <c r="M1115" s="228">
        <v>75000000</v>
      </c>
      <c r="N1115" s="228"/>
      <c r="O1115" s="228"/>
      <c r="P1115" s="228">
        <v>6000</v>
      </c>
      <c r="Q1115" s="228">
        <v>75000000</v>
      </c>
    </row>
    <row r="1116" spans="1:17">
      <c r="A1116"/>
      <c r="B1116" s="165" t="s">
        <v>216</v>
      </c>
      <c r="C1116" s="165">
        <v>12500</v>
      </c>
      <c r="D1116" s="228"/>
      <c r="E1116" s="228"/>
      <c r="F1116" s="228"/>
      <c r="G1116" s="228"/>
      <c r="H1116" s="228"/>
      <c r="I1116" s="228"/>
      <c r="J1116" s="228"/>
      <c r="K1116" s="228"/>
      <c r="L1116" s="228">
        <v>5000</v>
      </c>
      <c r="M1116" s="228">
        <v>62500000</v>
      </c>
      <c r="N1116" s="228"/>
      <c r="O1116" s="228"/>
      <c r="P1116" s="228">
        <v>5000</v>
      </c>
      <c r="Q1116" s="228">
        <v>62500000</v>
      </c>
    </row>
    <row r="1117" spans="1:17">
      <c r="A1117"/>
      <c r="B1117" s="165" t="s">
        <v>251</v>
      </c>
      <c r="C1117" s="165">
        <v>13500</v>
      </c>
      <c r="D1117" s="228"/>
      <c r="E1117" s="228"/>
      <c r="F1117" s="228"/>
      <c r="G1117" s="228"/>
      <c r="H1117" s="228"/>
      <c r="I1117" s="228"/>
      <c r="J1117" s="228"/>
      <c r="K1117" s="228"/>
      <c r="L1117" s="228">
        <v>18000</v>
      </c>
      <c r="M1117" s="228">
        <v>243000000</v>
      </c>
      <c r="N1117" s="228"/>
      <c r="O1117" s="228"/>
      <c r="P1117" s="228">
        <v>18000</v>
      </c>
      <c r="Q1117" s="228">
        <v>243000000</v>
      </c>
    </row>
    <row r="1118" spans="1:17">
      <c r="A1118"/>
      <c r="B1118"/>
      <c r="C1118" s="165">
        <v>13700</v>
      </c>
      <c r="D1118" s="228"/>
      <c r="E1118" s="228"/>
      <c r="F1118" s="228"/>
      <c r="G1118" s="228"/>
      <c r="H1118" s="228"/>
      <c r="I1118" s="228"/>
      <c r="J1118" s="228"/>
      <c r="K1118" s="228"/>
      <c r="L1118" s="228">
        <v>10000</v>
      </c>
      <c r="M1118" s="228">
        <v>137000000</v>
      </c>
      <c r="N1118" s="228"/>
      <c r="O1118" s="228"/>
      <c r="P1118" s="228">
        <v>10000</v>
      </c>
      <c r="Q1118" s="228">
        <v>137000000</v>
      </c>
    </row>
    <row r="1119" spans="1:17">
      <c r="A1119"/>
      <c r="B1119" s="165" t="s">
        <v>1788</v>
      </c>
      <c r="C1119" s="165">
        <v>12500</v>
      </c>
      <c r="D1119" s="228"/>
      <c r="E1119" s="228"/>
      <c r="F1119" s="228"/>
      <c r="G1119" s="228"/>
      <c r="H1119" s="228"/>
      <c r="I1119" s="228"/>
      <c r="J1119" s="228"/>
      <c r="K1119" s="228"/>
      <c r="L1119" s="228">
        <v>7000</v>
      </c>
      <c r="M1119" s="228">
        <v>87500000</v>
      </c>
      <c r="N1119" s="228"/>
      <c r="O1119" s="228"/>
      <c r="P1119" s="228">
        <v>7000</v>
      </c>
      <c r="Q1119" s="228">
        <v>87500000</v>
      </c>
    </row>
    <row r="1120" spans="1:17">
      <c r="A1120" s="165" t="s">
        <v>2145</v>
      </c>
      <c r="B1120" s="165" t="s">
        <v>983</v>
      </c>
      <c r="C1120" s="165">
        <v>13000</v>
      </c>
      <c r="D1120" s="228"/>
      <c r="E1120" s="228"/>
      <c r="F1120" s="228"/>
      <c r="G1120" s="228"/>
      <c r="H1120" s="228"/>
      <c r="I1120" s="228"/>
      <c r="J1120" s="228"/>
      <c r="K1120" s="228"/>
      <c r="L1120" s="228">
        <v>5000</v>
      </c>
      <c r="M1120" s="228">
        <v>65000000</v>
      </c>
      <c r="N1120" s="228"/>
      <c r="O1120" s="228"/>
      <c r="P1120" s="228">
        <v>5000</v>
      </c>
      <c r="Q1120" s="228">
        <v>65000000</v>
      </c>
    </row>
    <row r="1121" spans="1:17">
      <c r="A1121"/>
      <c r="B1121" s="165" t="s">
        <v>827</v>
      </c>
      <c r="C1121" s="165">
        <v>13000</v>
      </c>
      <c r="D1121" s="228"/>
      <c r="E1121" s="228"/>
      <c r="F1121" s="228"/>
      <c r="G1121" s="228"/>
      <c r="H1121" s="228"/>
      <c r="I1121" s="228"/>
      <c r="J1121" s="228"/>
      <c r="K1121" s="228"/>
      <c r="L1121" s="228">
        <v>7000</v>
      </c>
      <c r="M1121" s="228">
        <v>91000000</v>
      </c>
      <c r="N1121" s="228"/>
      <c r="O1121" s="228"/>
      <c r="P1121" s="228">
        <v>7000</v>
      </c>
      <c r="Q1121" s="228">
        <v>91000000</v>
      </c>
    </row>
    <row r="1122" spans="1:17">
      <c r="A1122"/>
      <c r="B1122" s="165" t="s">
        <v>1018</v>
      </c>
      <c r="C1122" s="165">
        <v>13000</v>
      </c>
      <c r="D1122" s="228"/>
      <c r="E1122" s="228"/>
      <c r="F1122" s="228"/>
      <c r="G1122" s="228"/>
      <c r="H1122" s="228"/>
      <c r="I1122" s="228"/>
      <c r="J1122" s="228"/>
      <c r="K1122" s="228"/>
      <c r="L1122" s="228">
        <v>5000</v>
      </c>
      <c r="M1122" s="228">
        <v>65000000</v>
      </c>
      <c r="N1122" s="228"/>
      <c r="O1122" s="228"/>
      <c r="P1122" s="228">
        <v>5000</v>
      </c>
      <c r="Q1122" s="228">
        <v>65000000</v>
      </c>
    </row>
    <row r="1123" spans="1:17">
      <c r="A1123"/>
      <c r="B1123" s="165" t="s">
        <v>1037</v>
      </c>
      <c r="C1123" s="165">
        <v>13000</v>
      </c>
      <c r="D1123" s="228"/>
      <c r="E1123" s="228"/>
      <c r="F1123" s="228"/>
      <c r="G1123" s="228"/>
      <c r="H1123" s="228"/>
      <c r="I1123" s="228"/>
      <c r="J1123" s="228"/>
      <c r="K1123" s="228"/>
      <c r="L1123" s="228">
        <v>5000</v>
      </c>
      <c r="M1123" s="228">
        <v>65000000</v>
      </c>
      <c r="N1123" s="228"/>
      <c r="O1123" s="228"/>
      <c r="P1123" s="228">
        <v>5000</v>
      </c>
      <c r="Q1123" s="228">
        <v>65000000</v>
      </c>
    </row>
    <row r="1124" spans="1:17">
      <c r="A1124" s="165" t="s">
        <v>2018</v>
      </c>
      <c r="B1124" s="165" t="s">
        <v>842</v>
      </c>
      <c r="C1124" s="165">
        <v>15400</v>
      </c>
      <c r="D1124" s="228"/>
      <c r="E1124" s="228"/>
      <c r="F1124" s="228"/>
      <c r="G1124" s="228"/>
      <c r="H1124" s="228"/>
      <c r="I1124" s="228"/>
      <c r="J1124" s="228"/>
      <c r="K1124" s="228"/>
      <c r="L1124" s="228">
        <v>15040</v>
      </c>
      <c r="M1124" s="228">
        <v>231616000</v>
      </c>
      <c r="N1124" s="228"/>
      <c r="O1124" s="228"/>
      <c r="P1124" s="228">
        <v>15040</v>
      </c>
      <c r="Q1124" s="228">
        <v>231616000</v>
      </c>
    </row>
    <row r="1125" spans="1:17">
      <c r="A1125"/>
      <c r="B1125" s="165" t="s">
        <v>987</v>
      </c>
      <c r="C1125" s="165">
        <v>15300</v>
      </c>
      <c r="D1125" s="228"/>
      <c r="E1125" s="228"/>
      <c r="F1125" s="228"/>
      <c r="G1125" s="228"/>
      <c r="H1125" s="228"/>
      <c r="I1125" s="228"/>
      <c r="J1125" s="228"/>
      <c r="K1125" s="228"/>
      <c r="L1125" s="228">
        <v>5040</v>
      </c>
      <c r="M1125" s="228">
        <v>77112000</v>
      </c>
      <c r="N1125" s="228"/>
      <c r="O1125" s="228"/>
      <c r="P1125" s="228">
        <v>5040</v>
      </c>
      <c r="Q1125" s="228">
        <v>77112000</v>
      </c>
    </row>
    <row r="1126" spans="1:17">
      <c r="A1126"/>
      <c r="B1126" s="165" t="s">
        <v>251</v>
      </c>
      <c r="C1126" s="165">
        <v>15300</v>
      </c>
      <c r="D1126" s="228"/>
      <c r="E1126" s="228"/>
      <c r="F1126" s="228"/>
      <c r="G1126" s="228"/>
      <c r="H1126" s="228"/>
      <c r="I1126" s="228"/>
      <c r="J1126" s="228"/>
      <c r="K1126" s="228"/>
      <c r="L1126" s="228">
        <v>7040</v>
      </c>
      <c r="M1126" s="228">
        <v>107712000</v>
      </c>
      <c r="N1126" s="228"/>
      <c r="O1126" s="228"/>
      <c r="P1126" s="228">
        <v>7040</v>
      </c>
      <c r="Q1126" s="228">
        <v>107712000</v>
      </c>
    </row>
    <row r="1127" spans="1:17">
      <c r="A1127" s="165" t="s">
        <v>2146</v>
      </c>
      <c r="B1127" s="165" t="s">
        <v>1798</v>
      </c>
      <c r="C1127" s="165">
        <v>15300</v>
      </c>
      <c r="D1127" s="228"/>
      <c r="E1127" s="228"/>
      <c r="F1127" s="228"/>
      <c r="G1127" s="228"/>
      <c r="H1127" s="228"/>
      <c r="I1127" s="228"/>
      <c r="J1127" s="228"/>
      <c r="K1127" s="228"/>
      <c r="L1127" s="228">
        <v>10050</v>
      </c>
      <c r="M1127" s="228">
        <v>153765000</v>
      </c>
      <c r="N1127" s="228"/>
      <c r="O1127" s="228"/>
      <c r="P1127" s="228">
        <v>10050</v>
      </c>
      <c r="Q1127" s="228">
        <v>153765000</v>
      </c>
    </row>
    <row r="1128" spans="1:17">
      <c r="A1128"/>
      <c r="B1128" s="165" t="s">
        <v>2004</v>
      </c>
      <c r="C1128" s="165">
        <v>15300</v>
      </c>
      <c r="D1128" s="228"/>
      <c r="E1128" s="228"/>
      <c r="F1128" s="228"/>
      <c r="G1128" s="228"/>
      <c r="H1128" s="228"/>
      <c r="I1128" s="228"/>
      <c r="J1128" s="228"/>
      <c r="K1128" s="228"/>
      <c r="L1128" s="228">
        <v>825</v>
      </c>
      <c r="M1128" s="228">
        <v>12622500</v>
      </c>
      <c r="N1128" s="228"/>
      <c r="O1128" s="228"/>
      <c r="P1128" s="228">
        <v>825</v>
      </c>
      <c r="Q1128" s="228">
        <v>12622500</v>
      </c>
    </row>
    <row r="1129" spans="1:17">
      <c r="A1129" s="165" t="s">
        <v>2147</v>
      </c>
      <c r="B1129" s="165" t="s">
        <v>1026</v>
      </c>
      <c r="C1129" s="165">
        <v>5000</v>
      </c>
      <c r="D1129" s="228"/>
      <c r="E1129" s="228"/>
      <c r="F1129" s="228">
        <v>0</v>
      </c>
      <c r="G1129" s="228">
        <v>0</v>
      </c>
      <c r="H1129" s="228"/>
      <c r="I1129" s="228"/>
      <c r="J1129" s="228"/>
      <c r="K1129" s="228"/>
      <c r="L1129" s="228"/>
      <c r="M1129" s="228"/>
      <c r="N1129" s="228"/>
      <c r="O1129" s="228"/>
      <c r="P1129" s="228">
        <v>0</v>
      </c>
      <c r="Q1129" s="228">
        <v>0</v>
      </c>
    </row>
    <row r="1130" spans="1:17">
      <c r="A1130" s="165" t="s">
        <v>2148</v>
      </c>
      <c r="B1130" s="165" t="s">
        <v>1245</v>
      </c>
      <c r="C1130" s="165">
        <v>7200</v>
      </c>
      <c r="D1130" s="228"/>
      <c r="E1130" s="228"/>
      <c r="F1130" s="228"/>
      <c r="G1130" s="228"/>
      <c r="H1130" s="228"/>
      <c r="I1130" s="228"/>
      <c r="J1130" s="228">
        <v>600</v>
      </c>
      <c r="K1130" s="228">
        <v>4320000</v>
      </c>
      <c r="L1130" s="228"/>
      <c r="M1130" s="228"/>
      <c r="N1130" s="228"/>
      <c r="O1130" s="228"/>
      <c r="P1130" s="228">
        <v>600</v>
      </c>
      <c r="Q1130" s="228">
        <v>4320000</v>
      </c>
    </row>
    <row r="1131" spans="1:17">
      <c r="A1131"/>
      <c r="B1131" s="165" t="s">
        <v>1026</v>
      </c>
      <c r="C1131" s="165">
        <v>6600</v>
      </c>
      <c r="D1131" s="228"/>
      <c r="E1131" s="228"/>
      <c r="F1131" s="228"/>
      <c r="G1131" s="228"/>
      <c r="H1131" s="228"/>
      <c r="I1131" s="228"/>
      <c r="J1131" s="228"/>
      <c r="K1131" s="228"/>
      <c r="L1131" s="228">
        <v>20100</v>
      </c>
      <c r="M1131" s="228">
        <v>132660000</v>
      </c>
      <c r="N1131" s="228"/>
      <c r="O1131" s="228"/>
      <c r="P1131" s="228">
        <v>20100</v>
      </c>
      <c r="Q1131" s="228">
        <v>132660000</v>
      </c>
    </row>
    <row r="1132" spans="1:17">
      <c r="A1132" s="165" t="s">
        <v>2149</v>
      </c>
      <c r="B1132" s="165" t="s">
        <v>148</v>
      </c>
      <c r="C1132" s="165">
        <v>10900</v>
      </c>
      <c r="D1132" s="228"/>
      <c r="E1132" s="228"/>
      <c r="F1132" s="228"/>
      <c r="G1132" s="228"/>
      <c r="H1132" s="228"/>
      <c r="I1132" s="228"/>
      <c r="J1132" s="228"/>
      <c r="K1132" s="228"/>
      <c r="L1132" s="228">
        <v>3000</v>
      </c>
      <c r="M1132" s="228">
        <v>32700000</v>
      </c>
      <c r="N1132" s="228"/>
      <c r="O1132" s="228"/>
      <c r="P1132" s="228">
        <v>3000</v>
      </c>
      <c r="Q1132" s="228">
        <v>32700000</v>
      </c>
    </row>
    <row r="1133" spans="1:17">
      <c r="A1133"/>
      <c r="B1133" s="165" t="s">
        <v>1245</v>
      </c>
      <c r="C1133" s="165">
        <v>10900</v>
      </c>
      <c r="D1133" s="228"/>
      <c r="E1133" s="228"/>
      <c r="F1133" s="228"/>
      <c r="G1133" s="228"/>
      <c r="H1133" s="228"/>
      <c r="I1133" s="228"/>
      <c r="J1133" s="228"/>
      <c r="K1133" s="228"/>
      <c r="L1133" s="228">
        <v>10000</v>
      </c>
      <c r="M1133" s="228">
        <v>109000000</v>
      </c>
      <c r="N1133" s="228"/>
      <c r="O1133" s="228"/>
      <c r="P1133" s="228">
        <v>10000</v>
      </c>
      <c r="Q1133" s="228">
        <v>109000000</v>
      </c>
    </row>
    <row r="1134" spans="1:17">
      <c r="A1134"/>
      <c r="B1134" s="165" t="s">
        <v>1026</v>
      </c>
      <c r="C1134" s="165">
        <v>10600</v>
      </c>
      <c r="D1134" s="228"/>
      <c r="E1134" s="228"/>
      <c r="F1134" s="228"/>
      <c r="G1134" s="228"/>
      <c r="H1134" s="228"/>
      <c r="I1134" s="228"/>
      <c r="J1134" s="228"/>
      <c r="K1134" s="228"/>
      <c r="L1134" s="228">
        <v>5000</v>
      </c>
      <c r="M1134" s="228">
        <v>53000000</v>
      </c>
      <c r="N1134" s="228"/>
      <c r="O1134" s="228"/>
      <c r="P1134" s="228">
        <v>5000</v>
      </c>
      <c r="Q1134" s="228">
        <v>53000000</v>
      </c>
    </row>
    <row r="1135" spans="1:17">
      <c r="A1135" s="165" t="s">
        <v>2150</v>
      </c>
      <c r="B1135" s="165" t="s">
        <v>76</v>
      </c>
      <c r="C1135" s="165">
        <v>5500</v>
      </c>
      <c r="D1135" s="228"/>
      <c r="E1135" s="228"/>
      <c r="F1135" s="228">
        <v>0</v>
      </c>
      <c r="G1135" s="228">
        <v>0</v>
      </c>
      <c r="H1135" s="228"/>
      <c r="I1135" s="228"/>
      <c r="J1135" s="228"/>
      <c r="K1135" s="228"/>
      <c r="L1135" s="228"/>
      <c r="M1135" s="228"/>
      <c r="N1135" s="228"/>
      <c r="O1135" s="228"/>
      <c r="P1135" s="228">
        <v>0</v>
      </c>
      <c r="Q1135" s="228">
        <v>0</v>
      </c>
    </row>
    <row r="1136" spans="1:17">
      <c r="A1136"/>
      <c r="B1136"/>
      <c r="C1136" s="165">
        <v>5800</v>
      </c>
      <c r="D1136" s="228"/>
      <c r="E1136" s="228"/>
      <c r="F1136" s="228"/>
      <c r="G1136" s="228"/>
      <c r="H1136" s="228">
        <v>10200</v>
      </c>
      <c r="I1136" s="228">
        <v>59160000</v>
      </c>
      <c r="J1136" s="228"/>
      <c r="K1136" s="228"/>
      <c r="L1136" s="228"/>
      <c r="M1136" s="228"/>
      <c r="N1136" s="228"/>
      <c r="O1136" s="228"/>
      <c r="P1136" s="228">
        <v>10200</v>
      </c>
      <c r="Q1136" s="228">
        <v>59160000</v>
      </c>
    </row>
    <row r="1137" spans="1:17">
      <c r="A1137"/>
      <c r="B1137" s="165" t="s">
        <v>1241</v>
      </c>
      <c r="C1137" s="165">
        <v>5500</v>
      </c>
      <c r="D1137" s="228"/>
      <c r="E1137" s="228"/>
      <c r="F1137" s="228">
        <v>0</v>
      </c>
      <c r="G1137" s="228">
        <v>0</v>
      </c>
      <c r="H1137" s="228"/>
      <c r="I1137" s="228"/>
      <c r="J1137" s="228"/>
      <c r="K1137" s="228"/>
      <c r="L1137" s="228"/>
      <c r="M1137" s="228"/>
      <c r="N1137" s="228"/>
      <c r="O1137" s="228"/>
      <c r="P1137" s="228">
        <v>0</v>
      </c>
      <c r="Q1137" s="228">
        <v>0</v>
      </c>
    </row>
    <row r="1138" spans="1:17">
      <c r="A1138"/>
      <c r="B1138" s="165" t="s">
        <v>911</v>
      </c>
      <c r="C1138" s="165">
        <v>5500</v>
      </c>
      <c r="D1138" s="228"/>
      <c r="E1138" s="228"/>
      <c r="F1138" s="228">
        <v>0</v>
      </c>
      <c r="G1138" s="228">
        <v>0</v>
      </c>
      <c r="H1138" s="228"/>
      <c r="I1138" s="228"/>
      <c r="J1138" s="228"/>
      <c r="K1138" s="228"/>
      <c r="L1138" s="228"/>
      <c r="M1138" s="228"/>
      <c r="N1138" s="228"/>
      <c r="O1138" s="228"/>
      <c r="P1138" s="228">
        <v>0</v>
      </c>
      <c r="Q1138" s="228">
        <v>0</v>
      </c>
    </row>
    <row r="1139" spans="1:17">
      <c r="A1139"/>
      <c r="B1139" s="165" t="s">
        <v>814</v>
      </c>
      <c r="C1139" s="165">
        <v>5500</v>
      </c>
      <c r="D1139" s="228"/>
      <c r="E1139" s="228"/>
      <c r="F1139" s="228">
        <v>0</v>
      </c>
      <c r="G1139" s="228">
        <v>0</v>
      </c>
      <c r="H1139" s="228"/>
      <c r="I1139" s="228"/>
      <c r="J1139" s="228"/>
      <c r="K1139" s="228"/>
      <c r="L1139" s="228"/>
      <c r="M1139" s="228"/>
      <c r="N1139" s="228"/>
      <c r="O1139" s="228"/>
      <c r="P1139" s="228">
        <v>0</v>
      </c>
      <c r="Q1139" s="228">
        <v>0</v>
      </c>
    </row>
    <row r="1140" spans="1:17">
      <c r="A1140" s="165" t="s">
        <v>2151</v>
      </c>
      <c r="B1140" s="165" t="s">
        <v>1086</v>
      </c>
      <c r="C1140" s="165">
        <v>7600</v>
      </c>
      <c r="D1140" s="228"/>
      <c r="E1140" s="228"/>
      <c r="F1140" s="228"/>
      <c r="G1140" s="228"/>
      <c r="H1140" s="228"/>
      <c r="I1140" s="228"/>
      <c r="J1140" s="228"/>
      <c r="K1140" s="228"/>
      <c r="L1140" s="228">
        <v>3000</v>
      </c>
      <c r="M1140" s="228">
        <v>22800000</v>
      </c>
      <c r="N1140" s="228"/>
      <c r="O1140" s="228"/>
      <c r="P1140" s="228">
        <v>3000</v>
      </c>
      <c r="Q1140" s="228">
        <v>22800000</v>
      </c>
    </row>
    <row r="1141" spans="1:17">
      <c r="A1141" s="165" t="s">
        <v>2152</v>
      </c>
      <c r="B1141" s="165" t="s">
        <v>226</v>
      </c>
      <c r="C1141" s="165">
        <v>3600</v>
      </c>
      <c r="D1141" s="228"/>
      <c r="E1141" s="228"/>
      <c r="F1141" s="228">
        <v>0</v>
      </c>
      <c r="G1141" s="228">
        <v>0</v>
      </c>
      <c r="H1141" s="228"/>
      <c r="I1141" s="228"/>
      <c r="J1141" s="228"/>
      <c r="K1141" s="228"/>
      <c r="L1141" s="228"/>
      <c r="M1141" s="228"/>
      <c r="N1141" s="228"/>
      <c r="O1141" s="228"/>
      <c r="P1141" s="228">
        <v>0</v>
      </c>
      <c r="Q1141" s="228">
        <v>0</v>
      </c>
    </row>
    <row r="1142" spans="1:17">
      <c r="A1142" s="165" t="s">
        <v>1878</v>
      </c>
      <c r="B1142" s="165" t="s">
        <v>168</v>
      </c>
      <c r="C1142" s="165">
        <v>3500</v>
      </c>
      <c r="D1142" s="228"/>
      <c r="E1142" s="228"/>
      <c r="F1142" s="228">
        <v>0</v>
      </c>
      <c r="G1142" s="228">
        <v>0</v>
      </c>
      <c r="H1142" s="228"/>
      <c r="I1142" s="228"/>
      <c r="J1142" s="228"/>
      <c r="K1142" s="228"/>
      <c r="L1142" s="228"/>
      <c r="M1142" s="228"/>
      <c r="N1142" s="228"/>
      <c r="O1142" s="228"/>
      <c r="P1142" s="228">
        <v>0</v>
      </c>
      <c r="Q1142" s="228">
        <v>0</v>
      </c>
    </row>
    <row r="1143" spans="1:17">
      <c r="A1143"/>
      <c r="B1143" s="165" t="s">
        <v>226</v>
      </c>
      <c r="C1143" s="165">
        <v>3600</v>
      </c>
      <c r="D1143" s="228"/>
      <c r="E1143" s="228"/>
      <c r="F1143" s="228">
        <v>0</v>
      </c>
      <c r="G1143" s="228">
        <v>0</v>
      </c>
      <c r="H1143" s="228"/>
      <c r="I1143" s="228"/>
      <c r="J1143" s="228"/>
      <c r="K1143" s="228"/>
      <c r="L1143" s="228"/>
      <c r="M1143" s="228"/>
      <c r="N1143" s="228"/>
      <c r="O1143" s="228"/>
      <c r="P1143" s="228">
        <v>0</v>
      </c>
      <c r="Q1143" s="228">
        <v>0</v>
      </c>
    </row>
    <row r="1144" spans="1:17">
      <c r="A1144"/>
      <c r="B1144" s="165" t="s">
        <v>282</v>
      </c>
      <c r="C1144" s="165">
        <v>3500</v>
      </c>
      <c r="D1144" s="228"/>
      <c r="E1144" s="228"/>
      <c r="F1144" s="228">
        <v>0</v>
      </c>
      <c r="G1144" s="228">
        <v>0</v>
      </c>
      <c r="H1144" s="228"/>
      <c r="I1144" s="228"/>
      <c r="J1144" s="228"/>
      <c r="K1144" s="228"/>
      <c r="L1144" s="228"/>
      <c r="M1144" s="228"/>
      <c r="N1144" s="228"/>
      <c r="O1144" s="228"/>
      <c r="P1144" s="228">
        <v>0</v>
      </c>
      <c r="Q1144" s="228">
        <v>0</v>
      </c>
    </row>
    <row r="1145" spans="1:17">
      <c r="A1145"/>
      <c r="B1145"/>
      <c r="C1145" s="165">
        <v>3700</v>
      </c>
      <c r="D1145" s="228"/>
      <c r="E1145" s="228"/>
      <c r="F1145" s="228">
        <v>-300</v>
      </c>
      <c r="G1145" s="228">
        <v>-1110000</v>
      </c>
      <c r="H1145" s="228"/>
      <c r="I1145" s="228"/>
      <c r="J1145" s="228"/>
      <c r="K1145" s="228"/>
      <c r="L1145" s="228"/>
      <c r="M1145" s="228"/>
      <c r="N1145" s="228"/>
      <c r="O1145" s="228"/>
      <c r="P1145" s="228">
        <v>-300</v>
      </c>
      <c r="Q1145" s="228">
        <v>-1110000</v>
      </c>
    </row>
    <row r="1146" spans="1:17">
      <c r="A1146"/>
      <c r="B1146" s="165" t="s">
        <v>245</v>
      </c>
      <c r="C1146" s="165">
        <v>3700</v>
      </c>
      <c r="D1146" s="228">
        <v>0</v>
      </c>
      <c r="E1146" s="228">
        <v>0</v>
      </c>
      <c r="F1146" s="228"/>
      <c r="G1146" s="228"/>
      <c r="H1146" s="228"/>
      <c r="I1146" s="228"/>
      <c r="J1146" s="228"/>
      <c r="K1146" s="228"/>
      <c r="L1146" s="228"/>
      <c r="M1146" s="228"/>
      <c r="N1146" s="228"/>
      <c r="O1146" s="228"/>
      <c r="P1146" s="228">
        <v>0</v>
      </c>
      <c r="Q1146" s="228">
        <v>0</v>
      </c>
    </row>
    <row r="1147" spans="1:17">
      <c r="A1147"/>
      <c r="B1147" s="165" t="s">
        <v>253</v>
      </c>
      <c r="C1147" s="165">
        <v>3500</v>
      </c>
      <c r="D1147" s="228"/>
      <c r="E1147" s="228"/>
      <c r="F1147" s="228">
        <v>0</v>
      </c>
      <c r="G1147" s="228">
        <v>0</v>
      </c>
      <c r="H1147" s="228"/>
      <c r="I1147" s="228"/>
      <c r="J1147" s="228"/>
      <c r="K1147" s="228"/>
      <c r="L1147" s="228"/>
      <c r="M1147" s="228"/>
      <c r="N1147" s="228"/>
      <c r="O1147" s="228"/>
      <c r="P1147" s="228">
        <v>0</v>
      </c>
      <c r="Q1147" s="228">
        <v>0</v>
      </c>
    </row>
    <row r="1148" spans="1:17">
      <c r="A1148"/>
      <c r="B1148" s="165" t="s">
        <v>1415</v>
      </c>
      <c r="C1148" s="165">
        <v>3700</v>
      </c>
      <c r="D1148" s="228">
        <v>0</v>
      </c>
      <c r="E1148" s="228">
        <v>0</v>
      </c>
      <c r="F1148" s="228"/>
      <c r="G1148" s="228"/>
      <c r="H1148" s="228"/>
      <c r="I1148" s="228"/>
      <c r="J1148" s="228"/>
      <c r="K1148" s="228"/>
      <c r="L1148" s="228"/>
      <c r="M1148" s="228"/>
      <c r="N1148" s="228"/>
      <c r="O1148" s="228"/>
      <c r="P1148" s="228">
        <v>0</v>
      </c>
      <c r="Q1148" s="228">
        <v>0</v>
      </c>
    </row>
    <row r="1149" spans="1:17">
      <c r="A1149"/>
      <c r="B1149" s="165" t="s">
        <v>1018</v>
      </c>
      <c r="C1149" s="165">
        <v>3600</v>
      </c>
      <c r="D1149" s="228">
        <v>0</v>
      </c>
      <c r="E1149" s="228">
        <v>0</v>
      </c>
      <c r="F1149" s="228"/>
      <c r="G1149" s="228"/>
      <c r="H1149" s="228"/>
      <c r="I1149" s="228"/>
      <c r="J1149" s="228"/>
      <c r="K1149" s="228"/>
      <c r="L1149" s="228"/>
      <c r="M1149" s="228"/>
      <c r="N1149" s="228"/>
      <c r="O1149" s="228"/>
      <c r="P1149" s="228">
        <v>0</v>
      </c>
      <c r="Q1149" s="228">
        <v>0</v>
      </c>
    </row>
    <row r="1150" spans="1:17">
      <c r="A1150"/>
      <c r="B1150" s="165" t="s">
        <v>1564</v>
      </c>
      <c r="C1150" s="165">
        <v>3600</v>
      </c>
      <c r="D1150" s="228"/>
      <c r="E1150" s="228"/>
      <c r="F1150" s="228">
        <v>0</v>
      </c>
      <c r="G1150" s="228">
        <v>0</v>
      </c>
      <c r="H1150" s="228"/>
      <c r="I1150" s="228"/>
      <c r="J1150" s="228">
        <v>3900</v>
      </c>
      <c r="K1150" s="228">
        <v>14040000</v>
      </c>
      <c r="L1150" s="228"/>
      <c r="M1150" s="228"/>
      <c r="N1150" s="228"/>
      <c r="O1150" s="228"/>
      <c r="P1150" s="228">
        <v>3900</v>
      </c>
      <c r="Q1150" s="228">
        <v>14040000</v>
      </c>
    </row>
    <row r="1151" spans="1:17">
      <c r="A1151"/>
      <c r="B1151"/>
      <c r="C1151" s="165">
        <v>3800</v>
      </c>
      <c r="D1151" s="228"/>
      <c r="E1151" s="228"/>
      <c r="F1151" s="228"/>
      <c r="G1151" s="228"/>
      <c r="H1151" s="228">
        <v>5100</v>
      </c>
      <c r="I1151" s="228">
        <v>19380000</v>
      </c>
      <c r="J1151" s="228"/>
      <c r="K1151" s="228"/>
      <c r="L1151" s="228"/>
      <c r="M1151" s="228"/>
      <c r="N1151" s="228"/>
      <c r="O1151" s="228"/>
      <c r="P1151" s="228">
        <v>5100</v>
      </c>
      <c r="Q1151" s="228">
        <v>19380000</v>
      </c>
    </row>
    <row r="1152" spans="1:17">
      <c r="A1152"/>
      <c r="B1152" s="165" t="s">
        <v>817</v>
      </c>
      <c r="C1152" s="165">
        <v>3600</v>
      </c>
      <c r="D1152" s="228"/>
      <c r="E1152" s="228"/>
      <c r="F1152" s="228">
        <v>0</v>
      </c>
      <c r="G1152" s="228">
        <v>0</v>
      </c>
      <c r="H1152" s="228"/>
      <c r="I1152" s="228"/>
      <c r="J1152" s="228"/>
      <c r="K1152" s="228"/>
      <c r="L1152" s="228"/>
      <c r="M1152" s="228"/>
      <c r="N1152" s="228"/>
      <c r="O1152" s="228"/>
      <c r="P1152" s="228">
        <v>0</v>
      </c>
      <c r="Q1152" s="228">
        <v>0</v>
      </c>
    </row>
    <row r="1153" spans="1:17">
      <c r="A1153"/>
      <c r="B1153" s="165" t="s">
        <v>188</v>
      </c>
      <c r="C1153" s="165">
        <v>3600</v>
      </c>
      <c r="D1153" s="228"/>
      <c r="E1153" s="228"/>
      <c r="F1153" s="228">
        <v>0</v>
      </c>
      <c r="G1153" s="228">
        <v>0</v>
      </c>
      <c r="H1153" s="228"/>
      <c r="I1153" s="228"/>
      <c r="J1153" s="228"/>
      <c r="K1153" s="228"/>
      <c r="L1153" s="228"/>
      <c r="M1153" s="228"/>
      <c r="N1153" s="228"/>
      <c r="O1153" s="228"/>
      <c r="P1153" s="228">
        <v>0</v>
      </c>
      <c r="Q1153" s="228">
        <v>0</v>
      </c>
    </row>
    <row r="1154" spans="1:17">
      <c r="A1154"/>
      <c r="B1154"/>
      <c r="C1154" s="165">
        <v>3700</v>
      </c>
      <c r="D1154" s="228"/>
      <c r="E1154" s="228"/>
      <c r="F1154" s="228"/>
      <c r="G1154" s="228"/>
      <c r="H1154" s="228">
        <v>10200</v>
      </c>
      <c r="I1154" s="228">
        <v>37740000</v>
      </c>
      <c r="J1154" s="228">
        <v>5100</v>
      </c>
      <c r="K1154" s="228">
        <v>18870000</v>
      </c>
      <c r="L1154" s="228">
        <v>9600</v>
      </c>
      <c r="M1154" s="228">
        <v>35520000</v>
      </c>
      <c r="N1154" s="228"/>
      <c r="O1154" s="228"/>
      <c r="P1154" s="228">
        <v>24900</v>
      </c>
      <c r="Q1154" s="228">
        <v>92130000</v>
      </c>
    </row>
    <row r="1155" spans="1:17">
      <c r="A1155"/>
      <c r="B1155" s="165" t="s">
        <v>291</v>
      </c>
      <c r="C1155" s="165">
        <v>3500</v>
      </c>
      <c r="D1155" s="228"/>
      <c r="E1155" s="228"/>
      <c r="F1155" s="228">
        <v>0</v>
      </c>
      <c r="G1155" s="228">
        <v>0</v>
      </c>
      <c r="H1155" s="228"/>
      <c r="I1155" s="228"/>
      <c r="J1155" s="228">
        <v>3000</v>
      </c>
      <c r="K1155" s="228">
        <v>10500000</v>
      </c>
      <c r="L1155" s="228"/>
      <c r="M1155" s="228"/>
      <c r="N1155" s="228"/>
      <c r="O1155" s="228"/>
      <c r="P1155" s="228">
        <v>3000</v>
      </c>
      <c r="Q1155" s="228">
        <v>10500000</v>
      </c>
    </row>
    <row r="1156" spans="1:17">
      <c r="A1156"/>
      <c r="B1156"/>
      <c r="C1156" s="165">
        <v>3700</v>
      </c>
      <c r="D1156" s="228"/>
      <c r="E1156" s="228"/>
      <c r="F1156" s="228"/>
      <c r="G1156" s="228"/>
      <c r="H1156" s="228"/>
      <c r="I1156" s="228"/>
      <c r="J1156" s="228">
        <v>3000</v>
      </c>
      <c r="K1156" s="228">
        <v>11100000</v>
      </c>
      <c r="L1156" s="228"/>
      <c r="M1156" s="228"/>
      <c r="N1156" s="228"/>
      <c r="O1156" s="228"/>
      <c r="P1156" s="228">
        <v>3000</v>
      </c>
      <c r="Q1156" s="228">
        <v>11100000</v>
      </c>
    </row>
    <row r="1157" spans="1:17">
      <c r="A1157"/>
      <c r="B1157" s="165" t="s">
        <v>1086</v>
      </c>
      <c r="C1157" s="165">
        <v>3500</v>
      </c>
      <c r="D1157" s="228">
        <v>0</v>
      </c>
      <c r="E1157" s="228">
        <v>0</v>
      </c>
      <c r="F1157" s="228"/>
      <c r="G1157" s="228"/>
      <c r="H1157" s="228"/>
      <c r="I1157" s="228"/>
      <c r="J1157" s="228"/>
      <c r="K1157" s="228"/>
      <c r="L1157" s="228"/>
      <c r="M1157" s="228"/>
      <c r="N1157" s="228"/>
      <c r="O1157" s="228"/>
      <c r="P1157" s="228">
        <v>0</v>
      </c>
      <c r="Q1157" s="228">
        <v>0</v>
      </c>
    </row>
    <row r="1158" spans="1:17">
      <c r="A1158"/>
      <c r="B1158"/>
      <c r="C1158" s="165">
        <v>3600</v>
      </c>
      <c r="D1158" s="228">
        <v>0</v>
      </c>
      <c r="E1158" s="228">
        <v>0</v>
      </c>
      <c r="F1158" s="228">
        <v>0</v>
      </c>
      <c r="G1158" s="228">
        <v>0</v>
      </c>
      <c r="H1158" s="228"/>
      <c r="I1158" s="228"/>
      <c r="J1158" s="228"/>
      <c r="K1158" s="228"/>
      <c r="L1158" s="228"/>
      <c r="M1158" s="228"/>
      <c r="N1158" s="228"/>
      <c r="O1158" s="228"/>
      <c r="P1158" s="228">
        <v>0</v>
      </c>
      <c r="Q1158" s="228">
        <v>0</v>
      </c>
    </row>
    <row r="1159" spans="1:17">
      <c r="A1159"/>
      <c r="B1159" s="165" t="s">
        <v>1155</v>
      </c>
      <c r="C1159" s="165">
        <v>3600</v>
      </c>
      <c r="D1159" s="228"/>
      <c r="E1159" s="228"/>
      <c r="F1159" s="228">
        <v>0</v>
      </c>
      <c r="G1159" s="228">
        <v>0</v>
      </c>
      <c r="H1159" s="228"/>
      <c r="I1159" s="228"/>
      <c r="J1159" s="228"/>
      <c r="K1159" s="228"/>
      <c r="L1159" s="228"/>
      <c r="M1159" s="228"/>
      <c r="N1159" s="228"/>
      <c r="O1159" s="228"/>
      <c r="P1159" s="228">
        <v>0</v>
      </c>
      <c r="Q1159" s="228">
        <v>0</v>
      </c>
    </row>
    <row r="1160" spans="1:17">
      <c r="A1160"/>
      <c r="B1160" s="165" t="s">
        <v>239</v>
      </c>
      <c r="C1160" s="165">
        <v>3500</v>
      </c>
      <c r="D1160" s="228"/>
      <c r="E1160" s="228"/>
      <c r="F1160" s="228">
        <v>0</v>
      </c>
      <c r="G1160" s="228">
        <v>0</v>
      </c>
      <c r="H1160" s="228"/>
      <c r="I1160" s="228"/>
      <c r="J1160" s="228"/>
      <c r="K1160" s="228"/>
      <c r="L1160" s="228"/>
      <c r="M1160" s="228"/>
      <c r="N1160" s="228"/>
      <c r="O1160" s="228"/>
      <c r="P1160" s="228">
        <v>0</v>
      </c>
      <c r="Q1160" s="228">
        <v>0</v>
      </c>
    </row>
    <row r="1161" spans="1:17">
      <c r="A1161"/>
      <c r="B1161" s="165" t="s">
        <v>969</v>
      </c>
      <c r="C1161" s="165">
        <v>3500</v>
      </c>
      <c r="D1161" s="228"/>
      <c r="E1161" s="228"/>
      <c r="F1161" s="228">
        <v>0</v>
      </c>
      <c r="G1161" s="228">
        <v>0</v>
      </c>
      <c r="H1161" s="228"/>
      <c r="I1161" s="228"/>
      <c r="J1161" s="228"/>
      <c r="K1161" s="228"/>
      <c r="L1161" s="228"/>
      <c r="M1161" s="228"/>
      <c r="N1161" s="228"/>
      <c r="O1161" s="228"/>
      <c r="P1161" s="228">
        <v>0</v>
      </c>
      <c r="Q1161" s="228">
        <v>0</v>
      </c>
    </row>
    <row r="1162" spans="1:17">
      <c r="A1162"/>
      <c r="B1162" s="165" t="s">
        <v>116</v>
      </c>
      <c r="C1162" s="165">
        <v>3600</v>
      </c>
      <c r="D1162" s="228"/>
      <c r="E1162" s="228"/>
      <c r="F1162" s="228">
        <v>0</v>
      </c>
      <c r="G1162" s="228">
        <v>0</v>
      </c>
      <c r="H1162" s="228"/>
      <c r="I1162" s="228"/>
      <c r="J1162" s="228"/>
      <c r="K1162" s="228"/>
      <c r="L1162" s="228"/>
      <c r="M1162" s="228"/>
      <c r="N1162" s="228"/>
      <c r="O1162" s="228"/>
      <c r="P1162" s="228">
        <v>0</v>
      </c>
      <c r="Q1162" s="228">
        <v>0</v>
      </c>
    </row>
    <row r="1163" spans="1:17">
      <c r="A1163" s="165" t="s">
        <v>2153</v>
      </c>
      <c r="B1163" s="165" t="s">
        <v>1483</v>
      </c>
      <c r="C1163" s="165">
        <v>5300</v>
      </c>
      <c r="D1163" s="228">
        <v>0</v>
      </c>
      <c r="E1163" s="228">
        <v>0</v>
      </c>
      <c r="F1163" s="228"/>
      <c r="G1163" s="228"/>
      <c r="H1163" s="228"/>
      <c r="I1163" s="228"/>
      <c r="J1163" s="228"/>
      <c r="K1163" s="228"/>
      <c r="L1163" s="228"/>
      <c r="M1163" s="228"/>
      <c r="N1163" s="228"/>
      <c r="O1163" s="228"/>
      <c r="P1163" s="228">
        <v>0</v>
      </c>
      <c r="Q1163" s="228">
        <v>0</v>
      </c>
    </row>
    <row r="1164" spans="1:17">
      <c r="A1164"/>
      <c r="B1164" s="165" t="s">
        <v>282</v>
      </c>
      <c r="C1164" s="165">
        <v>5200</v>
      </c>
      <c r="D1164" s="228"/>
      <c r="E1164" s="228"/>
      <c r="F1164" s="228"/>
      <c r="G1164" s="228"/>
      <c r="H1164" s="228">
        <v>10000</v>
      </c>
      <c r="I1164" s="228">
        <v>52000000</v>
      </c>
      <c r="J1164" s="228">
        <v>10000</v>
      </c>
      <c r="K1164" s="228">
        <v>52000000</v>
      </c>
      <c r="L1164" s="228"/>
      <c r="M1164" s="228"/>
      <c r="N1164" s="228"/>
      <c r="O1164" s="228"/>
      <c r="P1164" s="228">
        <v>20000</v>
      </c>
      <c r="Q1164" s="228">
        <v>104000000</v>
      </c>
    </row>
    <row r="1165" spans="1:17">
      <c r="A1165"/>
      <c r="B1165"/>
      <c r="C1165" s="165">
        <v>5300</v>
      </c>
      <c r="D1165" s="228"/>
      <c r="E1165" s="228"/>
      <c r="F1165" s="228"/>
      <c r="G1165" s="228"/>
      <c r="H1165" s="228"/>
      <c r="I1165" s="228"/>
      <c r="J1165" s="228"/>
      <c r="K1165" s="228"/>
      <c r="L1165" s="228">
        <v>45000</v>
      </c>
      <c r="M1165" s="228">
        <v>238500000</v>
      </c>
      <c r="N1165" s="228"/>
      <c r="O1165" s="228"/>
      <c r="P1165" s="228">
        <v>45000</v>
      </c>
      <c r="Q1165" s="228">
        <v>238500000</v>
      </c>
    </row>
    <row r="1166" spans="1:17">
      <c r="A1166"/>
      <c r="B1166"/>
      <c r="C1166" s="165">
        <v>5400</v>
      </c>
      <c r="D1166" s="228"/>
      <c r="E1166" s="228"/>
      <c r="F1166" s="228"/>
      <c r="G1166" s="228"/>
      <c r="H1166" s="228"/>
      <c r="I1166" s="228"/>
      <c r="J1166" s="228"/>
      <c r="K1166" s="228"/>
      <c r="L1166" s="228">
        <v>25000</v>
      </c>
      <c r="M1166" s="228">
        <v>135000000</v>
      </c>
      <c r="N1166" s="228"/>
      <c r="O1166" s="228"/>
      <c r="P1166" s="228">
        <v>25000</v>
      </c>
      <c r="Q1166" s="228">
        <v>135000000</v>
      </c>
    </row>
    <row r="1167" spans="1:17">
      <c r="A1167"/>
      <c r="B1167" s="165" t="s">
        <v>1411</v>
      </c>
      <c r="C1167" s="165">
        <v>5200</v>
      </c>
      <c r="D1167" s="228"/>
      <c r="E1167" s="228"/>
      <c r="F1167" s="228"/>
      <c r="G1167" s="228"/>
      <c r="H1167" s="228">
        <v>10000</v>
      </c>
      <c r="I1167" s="228">
        <v>52000000</v>
      </c>
      <c r="J1167" s="228"/>
      <c r="K1167" s="228"/>
      <c r="L1167" s="228"/>
      <c r="M1167" s="228"/>
      <c r="N1167" s="228"/>
      <c r="O1167" s="228"/>
      <c r="P1167" s="228">
        <v>10000</v>
      </c>
      <c r="Q1167" s="228">
        <v>52000000</v>
      </c>
    </row>
    <row r="1168" spans="1:17">
      <c r="A1168"/>
      <c r="B1168"/>
      <c r="C1168" s="165">
        <v>5300</v>
      </c>
      <c r="D1168" s="228"/>
      <c r="E1168" s="228"/>
      <c r="F1168" s="228"/>
      <c r="G1168" s="228"/>
      <c r="H1168" s="228">
        <v>6000</v>
      </c>
      <c r="I1168" s="228">
        <v>31800000</v>
      </c>
      <c r="J1168" s="228"/>
      <c r="K1168" s="228"/>
      <c r="L1168" s="228"/>
      <c r="M1168" s="228"/>
      <c r="N1168" s="228"/>
      <c r="O1168" s="228"/>
      <c r="P1168" s="228">
        <v>6000</v>
      </c>
      <c r="Q1168" s="228">
        <v>31800000</v>
      </c>
    </row>
    <row r="1169" spans="1:17">
      <c r="A1169"/>
      <c r="B1169" s="165" t="s">
        <v>817</v>
      </c>
      <c r="C1169" s="165">
        <v>5200</v>
      </c>
      <c r="D1169" s="228">
        <v>0</v>
      </c>
      <c r="E1169" s="228">
        <v>0</v>
      </c>
      <c r="F1169" s="228"/>
      <c r="G1169" s="228"/>
      <c r="H1169" s="228"/>
      <c r="I1169" s="228"/>
      <c r="J1169" s="228"/>
      <c r="K1169" s="228"/>
      <c r="L1169" s="228"/>
      <c r="M1169" s="228"/>
      <c r="N1169" s="228"/>
      <c r="O1169" s="228"/>
      <c r="P1169" s="228">
        <v>0</v>
      </c>
      <c r="Q1169" s="228">
        <v>0</v>
      </c>
    </row>
    <row r="1170" spans="1:17">
      <c r="A1170"/>
      <c r="B1170" s="165" t="s">
        <v>158</v>
      </c>
      <c r="C1170" s="165">
        <v>5270</v>
      </c>
      <c r="D1170" s="228"/>
      <c r="E1170" s="228"/>
      <c r="F1170" s="228"/>
      <c r="G1170" s="228"/>
      <c r="H1170" s="228"/>
      <c r="I1170" s="228"/>
      <c r="J1170" s="228">
        <v>2000</v>
      </c>
      <c r="K1170" s="228">
        <v>10540000</v>
      </c>
      <c r="L1170" s="228"/>
      <c r="M1170" s="228"/>
      <c r="N1170" s="228"/>
      <c r="O1170" s="228"/>
      <c r="P1170" s="228">
        <v>2000</v>
      </c>
      <c r="Q1170" s="228">
        <v>10540000</v>
      </c>
    </row>
    <row r="1171" spans="1:17">
      <c r="A1171"/>
      <c r="B1171" s="165" t="s">
        <v>188</v>
      </c>
      <c r="C1171" s="165">
        <v>5200</v>
      </c>
      <c r="D1171" s="228">
        <v>0</v>
      </c>
      <c r="E1171" s="228">
        <v>0</v>
      </c>
      <c r="F1171" s="228"/>
      <c r="G1171" s="228"/>
      <c r="H1171" s="228"/>
      <c r="I1171" s="228"/>
      <c r="J1171" s="228">
        <v>11000</v>
      </c>
      <c r="K1171" s="228">
        <v>57200000</v>
      </c>
      <c r="L1171" s="228"/>
      <c r="M1171" s="228"/>
      <c r="N1171" s="228"/>
      <c r="O1171" s="228"/>
      <c r="P1171" s="228">
        <v>11000</v>
      </c>
      <c r="Q1171" s="228">
        <v>57200000</v>
      </c>
    </row>
    <row r="1172" spans="1:17">
      <c r="A1172"/>
      <c r="B1172" s="165" t="s">
        <v>1589</v>
      </c>
      <c r="C1172" s="165">
        <v>5300</v>
      </c>
      <c r="D1172" s="228"/>
      <c r="E1172" s="228"/>
      <c r="F1172" s="228"/>
      <c r="G1172" s="228"/>
      <c r="H1172" s="228">
        <v>4000</v>
      </c>
      <c r="I1172" s="228">
        <v>21200000</v>
      </c>
      <c r="J1172" s="228"/>
      <c r="K1172" s="228"/>
      <c r="L1172" s="228">
        <v>4000</v>
      </c>
      <c r="M1172" s="228">
        <v>21200000</v>
      </c>
      <c r="N1172" s="228"/>
      <c r="O1172" s="228"/>
      <c r="P1172" s="228">
        <v>8000</v>
      </c>
      <c r="Q1172" s="228">
        <v>42400000</v>
      </c>
    </row>
    <row r="1173" spans="1:17">
      <c r="A1173"/>
      <c r="B1173" s="165" t="s">
        <v>251</v>
      </c>
      <c r="C1173" s="165">
        <v>5000</v>
      </c>
      <c r="D1173" s="228"/>
      <c r="E1173" s="228"/>
      <c r="F1173" s="228">
        <v>0</v>
      </c>
      <c r="G1173" s="228">
        <v>0</v>
      </c>
      <c r="H1173" s="228"/>
      <c r="I1173" s="228"/>
      <c r="J1173" s="228"/>
      <c r="K1173" s="228"/>
      <c r="L1173" s="228"/>
      <c r="M1173" s="228"/>
      <c r="N1173" s="228"/>
      <c r="O1173" s="228"/>
      <c r="P1173" s="228">
        <v>0</v>
      </c>
      <c r="Q1173" s="228">
        <v>0</v>
      </c>
    </row>
    <row r="1174" spans="1:17">
      <c r="A1174" s="165" t="s">
        <v>2154</v>
      </c>
      <c r="B1174" s="165" t="s">
        <v>95</v>
      </c>
      <c r="C1174" s="165">
        <v>7700</v>
      </c>
      <c r="D1174" s="228"/>
      <c r="E1174" s="228"/>
      <c r="F1174" s="228"/>
      <c r="G1174" s="228"/>
      <c r="H1174" s="228"/>
      <c r="I1174" s="228"/>
      <c r="J1174" s="228"/>
      <c r="K1174" s="228"/>
      <c r="L1174" s="228">
        <v>2100</v>
      </c>
      <c r="M1174" s="228">
        <v>16170000</v>
      </c>
      <c r="N1174" s="228"/>
      <c r="O1174" s="228"/>
      <c r="P1174" s="228">
        <v>2100</v>
      </c>
      <c r="Q1174" s="228">
        <v>16170000</v>
      </c>
    </row>
    <row r="1175" spans="1:17">
      <c r="A1175"/>
      <c r="B1175" s="165" t="s">
        <v>1086</v>
      </c>
      <c r="C1175" s="165">
        <v>7800</v>
      </c>
      <c r="D1175" s="228"/>
      <c r="E1175" s="228"/>
      <c r="F1175" s="228"/>
      <c r="G1175" s="228"/>
      <c r="H1175" s="228"/>
      <c r="I1175" s="228"/>
      <c r="J1175" s="228"/>
      <c r="K1175" s="228"/>
      <c r="L1175" s="228">
        <v>2250</v>
      </c>
      <c r="M1175" s="228">
        <v>17550000</v>
      </c>
      <c r="N1175" s="228"/>
      <c r="O1175" s="228"/>
      <c r="P1175" s="228">
        <v>2250</v>
      </c>
      <c r="Q1175" s="228">
        <v>17550000</v>
      </c>
    </row>
    <row r="1176" spans="1:17">
      <c r="A1176"/>
      <c r="B1176" s="165" t="s">
        <v>1587</v>
      </c>
      <c r="C1176" s="165">
        <v>7700</v>
      </c>
      <c r="D1176" s="228"/>
      <c r="E1176" s="228"/>
      <c r="F1176" s="228"/>
      <c r="G1176" s="228"/>
      <c r="H1176" s="228"/>
      <c r="I1176" s="228"/>
      <c r="J1176" s="228"/>
      <c r="K1176" s="228"/>
      <c r="L1176" s="228">
        <v>10050</v>
      </c>
      <c r="M1176" s="228">
        <v>77385000</v>
      </c>
      <c r="N1176" s="228"/>
      <c r="O1176" s="228"/>
      <c r="P1176" s="228">
        <v>10050</v>
      </c>
      <c r="Q1176" s="228">
        <v>77385000</v>
      </c>
    </row>
    <row r="1177" spans="1:17">
      <c r="A1177" s="165" t="s">
        <v>2155</v>
      </c>
      <c r="B1177" s="165" t="s">
        <v>243</v>
      </c>
      <c r="C1177" s="165">
        <v>9300</v>
      </c>
      <c r="D1177" s="228"/>
      <c r="E1177" s="228"/>
      <c r="F1177" s="228"/>
      <c r="G1177" s="228"/>
      <c r="H1177" s="228"/>
      <c r="I1177" s="228"/>
      <c r="J1177" s="228"/>
      <c r="K1177" s="228"/>
      <c r="L1177" s="228">
        <v>5000</v>
      </c>
      <c r="M1177" s="228">
        <v>46500000</v>
      </c>
      <c r="N1177" s="228"/>
      <c r="O1177" s="228"/>
      <c r="P1177" s="228">
        <v>5000</v>
      </c>
      <c r="Q1177" s="228">
        <v>46500000</v>
      </c>
    </row>
    <row r="1178" spans="1:17">
      <c r="A1178"/>
      <c r="B1178" s="165" t="s">
        <v>257</v>
      </c>
      <c r="C1178" s="165">
        <v>9300</v>
      </c>
      <c r="D1178" s="228"/>
      <c r="E1178" s="228"/>
      <c r="F1178" s="228"/>
      <c r="G1178" s="228"/>
      <c r="H1178" s="228"/>
      <c r="I1178" s="228"/>
      <c r="J1178" s="228"/>
      <c r="K1178" s="228"/>
      <c r="L1178" s="228">
        <v>10000</v>
      </c>
      <c r="M1178" s="228">
        <v>93000000</v>
      </c>
      <c r="N1178" s="228"/>
      <c r="O1178" s="228"/>
      <c r="P1178" s="228">
        <v>10000</v>
      </c>
      <c r="Q1178" s="228">
        <v>93000000</v>
      </c>
    </row>
    <row r="1179" spans="1:17">
      <c r="A1179"/>
      <c r="B1179" s="165" t="s">
        <v>274</v>
      </c>
      <c r="C1179" s="165">
        <v>9300</v>
      </c>
      <c r="D1179" s="228"/>
      <c r="E1179" s="228"/>
      <c r="F1179" s="228"/>
      <c r="G1179" s="228"/>
      <c r="H1179" s="228"/>
      <c r="I1179" s="228"/>
      <c r="J1179" s="228"/>
      <c r="K1179" s="228"/>
      <c r="L1179" s="228">
        <v>5000</v>
      </c>
      <c r="M1179" s="228">
        <v>46500000</v>
      </c>
      <c r="N1179" s="228"/>
      <c r="O1179" s="228"/>
      <c r="P1179" s="228">
        <v>5000</v>
      </c>
      <c r="Q1179" s="228">
        <v>46500000</v>
      </c>
    </row>
    <row r="1180" spans="1:17">
      <c r="A1180"/>
      <c r="B1180" s="165" t="s">
        <v>270</v>
      </c>
      <c r="C1180" s="165">
        <v>9300</v>
      </c>
      <c r="D1180" s="228"/>
      <c r="E1180" s="228"/>
      <c r="F1180" s="228"/>
      <c r="G1180" s="228"/>
      <c r="H1180" s="228"/>
      <c r="I1180" s="228"/>
      <c r="J1180" s="228"/>
      <c r="K1180" s="228"/>
      <c r="L1180" s="228">
        <v>6000</v>
      </c>
      <c r="M1180" s="228">
        <v>55800000</v>
      </c>
      <c r="N1180" s="228"/>
      <c r="O1180" s="228"/>
      <c r="P1180" s="228">
        <v>6000</v>
      </c>
      <c r="Q1180" s="228">
        <v>55800000</v>
      </c>
    </row>
    <row r="1181" spans="1:17">
      <c r="A1181"/>
      <c r="B1181" s="165" t="s">
        <v>1429</v>
      </c>
      <c r="C1181" s="165">
        <v>9300</v>
      </c>
      <c r="D1181" s="228"/>
      <c r="E1181" s="228"/>
      <c r="F1181" s="228"/>
      <c r="G1181" s="228"/>
      <c r="H1181" s="228"/>
      <c r="I1181" s="228"/>
      <c r="J1181" s="228"/>
      <c r="K1181" s="228"/>
      <c r="L1181" s="228">
        <v>2000</v>
      </c>
      <c r="M1181" s="228">
        <v>18600000</v>
      </c>
      <c r="N1181" s="228"/>
      <c r="O1181" s="228"/>
      <c r="P1181" s="228">
        <v>2000</v>
      </c>
      <c r="Q1181" s="228">
        <v>18600000</v>
      </c>
    </row>
    <row r="1182" spans="1:17">
      <c r="A1182"/>
      <c r="B1182"/>
      <c r="C1182" s="165">
        <v>9600</v>
      </c>
      <c r="D1182" s="228"/>
      <c r="E1182" s="228"/>
      <c r="F1182" s="228"/>
      <c r="G1182" s="228"/>
      <c r="H1182" s="228"/>
      <c r="I1182" s="228"/>
      <c r="J1182" s="228"/>
      <c r="K1182" s="228"/>
      <c r="L1182" s="228">
        <v>1000</v>
      </c>
      <c r="M1182" s="228">
        <v>9600000</v>
      </c>
      <c r="N1182" s="228"/>
      <c r="O1182" s="228"/>
      <c r="P1182" s="228">
        <v>1000</v>
      </c>
      <c r="Q1182" s="228">
        <v>9600000</v>
      </c>
    </row>
    <row r="1183" spans="1:17">
      <c r="A1183"/>
      <c r="B1183" s="165" t="s">
        <v>1428</v>
      </c>
      <c r="C1183" s="165">
        <v>9300</v>
      </c>
      <c r="D1183" s="228"/>
      <c r="E1183" s="228"/>
      <c r="F1183" s="228"/>
      <c r="G1183" s="228"/>
      <c r="H1183" s="228"/>
      <c r="I1183" s="228"/>
      <c r="J1183" s="228"/>
      <c r="K1183" s="228"/>
      <c r="L1183" s="228">
        <v>5750</v>
      </c>
      <c r="M1183" s="228">
        <v>53475000</v>
      </c>
      <c r="N1183" s="228"/>
      <c r="O1183" s="228"/>
      <c r="P1183" s="228">
        <v>5750</v>
      </c>
      <c r="Q1183" s="228">
        <v>53475000</v>
      </c>
    </row>
    <row r="1184" spans="1:17">
      <c r="A1184"/>
      <c r="B1184"/>
      <c r="C1184" s="165">
        <v>9600</v>
      </c>
      <c r="D1184" s="228"/>
      <c r="E1184" s="228"/>
      <c r="F1184" s="228"/>
      <c r="G1184" s="228"/>
      <c r="H1184" s="228"/>
      <c r="I1184" s="228"/>
      <c r="J1184" s="228"/>
      <c r="K1184" s="228"/>
      <c r="L1184" s="228">
        <v>6250</v>
      </c>
      <c r="M1184" s="228">
        <v>60000000</v>
      </c>
      <c r="N1184" s="228"/>
      <c r="O1184" s="228"/>
      <c r="P1184" s="228">
        <v>6250</v>
      </c>
      <c r="Q1184" s="228">
        <v>60000000</v>
      </c>
    </row>
    <row r="1185" spans="1:17">
      <c r="A1185"/>
      <c r="B1185" s="165" t="s">
        <v>1086</v>
      </c>
      <c r="C1185" s="165">
        <v>9300</v>
      </c>
      <c r="D1185" s="228"/>
      <c r="E1185" s="228"/>
      <c r="F1185" s="228"/>
      <c r="G1185" s="228"/>
      <c r="H1185" s="228"/>
      <c r="I1185" s="228"/>
      <c r="J1185" s="228"/>
      <c r="K1185" s="228"/>
      <c r="L1185" s="228">
        <v>5000</v>
      </c>
      <c r="M1185" s="228">
        <v>46500000</v>
      </c>
      <c r="N1185" s="228"/>
      <c r="O1185" s="228"/>
      <c r="P1185" s="228">
        <v>5000</v>
      </c>
      <c r="Q1185" s="228">
        <v>46500000</v>
      </c>
    </row>
    <row r="1186" spans="1:17">
      <c r="A1186" s="165" t="s">
        <v>2156</v>
      </c>
      <c r="B1186" s="165" t="s">
        <v>1241</v>
      </c>
      <c r="C1186" s="165">
        <v>4000</v>
      </c>
      <c r="D1186" s="228"/>
      <c r="E1186" s="228"/>
      <c r="F1186" s="228">
        <v>0</v>
      </c>
      <c r="G1186" s="228">
        <v>0</v>
      </c>
      <c r="H1186" s="228"/>
      <c r="I1186" s="228"/>
      <c r="J1186" s="228"/>
      <c r="K1186" s="228"/>
      <c r="L1186" s="228"/>
      <c r="M1186" s="228"/>
      <c r="N1186" s="228"/>
      <c r="O1186" s="228"/>
      <c r="P1186" s="228">
        <v>0</v>
      </c>
      <c r="Q1186" s="228">
        <v>0</v>
      </c>
    </row>
    <row r="1187" spans="1:17">
      <c r="A1187" s="165" t="s">
        <v>2157</v>
      </c>
      <c r="B1187" s="165" t="s">
        <v>285</v>
      </c>
      <c r="C1187" s="165">
        <v>7300</v>
      </c>
      <c r="D1187" s="228"/>
      <c r="E1187" s="228"/>
      <c r="F1187" s="228">
        <v>0</v>
      </c>
      <c r="G1187" s="228">
        <v>0</v>
      </c>
      <c r="H1187" s="228"/>
      <c r="I1187" s="228"/>
      <c r="J1187" s="228"/>
      <c r="K1187" s="228"/>
      <c r="L1187" s="228"/>
      <c r="M1187" s="228"/>
      <c r="N1187" s="228"/>
      <c r="O1187" s="228"/>
      <c r="P1187" s="228">
        <v>0</v>
      </c>
      <c r="Q1187" s="228">
        <v>0</v>
      </c>
    </row>
    <row r="1188" spans="1:17">
      <c r="A1188" s="165" t="s">
        <v>2158</v>
      </c>
      <c r="B1188" s="165" t="s">
        <v>1098</v>
      </c>
      <c r="C1188" s="165">
        <v>10100</v>
      </c>
      <c r="D1188" s="228"/>
      <c r="E1188" s="228"/>
      <c r="F1188" s="228"/>
      <c r="G1188" s="228"/>
      <c r="H1188" s="228"/>
      <c r="I1188" s="228"/>
      <c r="J1188" s="228"/>
      <c r="K1188" s="228"/>
      <c r="L1188" s="228">
        <v>2000</v>
      </c>
      <c r="M1188" s="228">
        <v>20200000</v>
      </c>
      <c r="N1188" s="228"/>
      <c r="O1188" s="228"/>
      <c r="P1188" s="228">
        <v>2000</v>
      </c>
      <c r="Q1188" s="228">
        <v>20200000</v>
      </c>
    </row>
    <row r="1189" spans="1:17">
      <c r="A1189" s="165" t="s">
        <v>2159</v>
      </c>
      <c r="B1189" s="165" t="s">
        <v>1086</v>
      </c>
      <c r="C1189" s="165">
        <v>3500</v>
      </c>
      <c r="D1189" s="228"/>
      <c r="E1189" s="228"/>
      <c r="F1189" s="228"/>
      <c r="G1189" s="228"/>
      <c r="H1189" s="228"/>
      <c r="I1189" s="228"/>
      <c r="J1189" s="228"/>
      <c r="K1189" s="228"/>
      <c r="L1189" s="228">
        <v>12000</v>
      </c>
      <c r="M1189" s="228">
        <v>42000000</v>
      </c>
      <c r="N1189" s="228"/>
      <c r="O1189" s="228"/>
      <c r="P1189" s="228">
        <v>12000</v>
      </c>
      <c r="Q1189" s="228">
        <v>42000000</v>
      </c>
    </row>
    <row r="1190" spans="1:17">
      <c r="A1190" s="165" t="s">
        <v>2160</v>
      </c>
      <c r="B1190" s="165" t="s">
        <v>1086</v>
      </c>
      <c r="C1190" s="165">
        <v>5200</v>
      </c>
      <c r="D1190" s="228"/>
      <c r="E1190" s="228"/>
      <c r="F1190" s="228"/>
      <c r="G1190" s="228"/>
      <c r="H1190" s="228"/>
      <c r="I1190" s="228"/>
      <c r="J1190" s="228"/>
      <c r="K1190" s="228"/>
      <c r="L1190" s="228">
        <v>4000</v>
      </c>
      <c r="M1190" s="228">
        <v>20800000</v>
      </c>
      <c r="N1190" s="228"/>
      <c r="O1190" s="228"/>
      <c r="P1190" s="228">
        <v>4000</v>
      </c>
      <c r="Q1190" s="228">
        <v>20800000</v>
      </c>
    </row>
    <row r="1191" spans="1:17">
      <c r="A1191" s="165" t="s">
        <v>2161</v>
      </c>
      <c r="B1191" s="165" t="s">
        <v>462</v>
      </c>
      <c r="C1191" s="165" t="s">
        <v>385</v>
      </c>
      <c r="D1191" s="228"/>
      <c r="E1191" s="228"/>
      <c r="F1191" s="228">
        <v>0</v>
      </c>
      <c r="G1191" s="228">
        <v>0</v>
      </c>
      <c r="H1191" s="228"/>
      <c r="I1191" s="228"/>
      <c r="J1191" s="228"/>
      <c r="K1191" s="228"/>
      <c r="L1191" s="228"/>
      <c r="M1191" s="228"/>
      <c r="N1191" s="228"/>
      <c r="O1191" s="228"/>
      <c r="P1191" s="228">
        <v>0</v>
      </c>
      <c r="Q1191" s="228">
        <v>0</v>
      </c>
    </row>
    <row r="1192" spans="1:17">
      <c r="A1192"/>
      <c r="B1192" s="165" t="s">
        <v>184</v>
      </c>
      <c r="C1192" s="165">
        <v>5000</v>
      </c>
      <c r="D1192" s="228"/>
      <c r="E1192" s="228"/>
      <c r="F1192" s="228">
        <v>0</v>
      </c>
      <c r="G1192" s="228">
        <v>0</v>
      </c>
      <c r="H1192" s="228"/>
      <c r="I1192" s="228"/>
      <c r="J1192" s="228"/>
      <c r="K1192" s="228"/>
      <c r="L1192" s="228"/>
      <c r="M1192" s="228"/>
      <c r="N1192" s="228"/>
      <c r="O1192" s="228"/>
      <c r="P1192" s="228">
        <v>0</v>
      </c>
      <c r="Q1192" s="228">
        <v>0</v>
      </c>
    </row>
    <row r="1193" spans="1:17">
      <c r="A1193"/>
      <c r="B1193" s="165" t="s">
        <v>224</v>
      </c>
      <c r="C1193" s="165">
        <v>5000</v>
      </c>
      <c r="D1193" s="228"/>
      <c r="E1193" s="228"/>
      <c r="F1193" s="228">
        <v>0</v>
      </c>
      <c r="G1193" s="228">
        <v>0</v>
      </c>
      <c r="H1193" s="228"/>
      <c r="I1193" s="228"/>
      <c r="J1193" s="228"/>
      <c r="K1193" s="228"/>
      <c r="L1193" s="228"/>
      <c r="M1193" s="228"/>
      <c r="N1193" s="228"/>
      <c r="O1193" s="228"/>
      <c r="P1193" s="228">
        <v>0</v>
      </c>
      <c r="Q1193" s="228">
        <v>0</v>
      </c>
    </row>
    <row r="1194" spans="1:17">
      <c r="A1194" s="165" t="s">
        <v>2162</v>
      </c>
      <c r="B1194" s="165" t="s">
        <v>1625</v>
      </c>
      <c r="C1194" s="165">
        <v>5000</v>
      </c>
      <c r="D1194" s="228">
        <v>0</v>
      </c>
      <c r="E1194" s="228">
        <v>0</v>
      </c>
      <c r="F1194" s="228"/>
      <c r="G1194" s="228"/>
      <c r="H1194" s="228"/>
      <c r="I1194" s="228"/>
      <c r="J1194" s="228"/>
      <c r="K1194" s="228"/>
      <c r="L1194" s="228"/>
      <c r="M1194" s="228"/>
      <c r="N1194" s="228"/>
      <c r="O1194" s="228"/>
      <c r="P1194" s="228">
        <v>0</v>
      </c>
      <c r="Q1194" s="228">
        <v>0</v>
      </c>
    </row>
    <row r="1195" spans="1:17">
      <c r="A1195" s="165" t="s">
        <v>2163</v>
      </c>
      <c r="B1195" s="165" t="s">
        <v>462</v>
      </c>
      <c r="C1195" s="165" t="s">
        <v>385</v>
      </c>
      <c r="D1195" s="228"/>
      <c r="E1195" s="228"/>
      <c r="F1195" s="228">
        <v>0</v>
      </c>
      <c r="G1195" s="228">
        <v>0</v>
      </c>
      <c r="H1195" s="228"/>
      <c r="I1195" s="228"/>
      <c r="J1195" s="228"/>
      <c r="K1195" s="228"/>
      <c r="L1195" s="228"/>
      <c r="M1195" s="228"/>
      <c r="N1195" s="228"/>
      <c r="O1195" s="228"/>
      <c r="P1195" s="228">
        <v>0</v>
      </c>
      <c r="Q1195" s="228">
        <v>0</v>
      </c>
    </row>
    <row r="1196" spans="1:17">
      <c r="A1196"/>
      <c r="B1196" s="165" t="s">
        <v>184</v>
      </c>
      <c r="C1196" s="165">
        <v>5500</v>
      </c>
      <c r="D1196" s="228"/>
      <c r="E1196" s="228"/>
      <c r="F1196" s="228">
        <v>0</v>
      </c>
      <c r="G1196" s="228">
        <v>0</v>
      </c>
      <c r="H1196" s="228"/>
      <c r="I1196" s="228"/>
      <c r="J1196" s="228"/>
      <c r="K1196" s="228"/>
      <c r="L1196" s="228"/>
      <c r="M1196" s="228"/>
      <c r="N1196" s="228"/>
      <c r="O1196" s="228"/>
      <c r="P1196" s="228">
        <v>0</v>
      </c>
      <c r="Q1196" s="228">
        <v>0</v>
      </c>
    </row>
    <row r="1197" spans="1:17">
      <c r="A1197" s="165" t="s">
        <v>2164</v>
      </c>
      <c r="B1197" s="165" t="s">
        <v>1625</v>
      </c>
      <c r="C1197" s="165">
        <v>5000</v>
      </c>
      <c r="D1197" s="228">
        <v>0</v>
      </c>
      <c r="E1197" s="228">
        <v>0</v>
      </c>
      <c r="F1197" s="228"/>
      <c r="G1197" s="228"/>
      <c r="H1197" s="228"/>
      <c r="I1197" s="228"/>
      <c r="J1197" s="228"/>
      <c r="K1197" s="228"/>
      <c r="L1197" s="228"/>
      <c r="M1197" s="228"/>
      <c r="N1197" s="228"/>
      <c r="O1197" s="228"/>
      <c r="P1197" s="228">
        <v>0</v>
      </c>
      <c r="Q1197" s="228">
        <v>0</v>
      </c>
    </row>
    <row r="1198" spans="1:17">
      <c r="A1198" s="165" t="s">
        <v>2165</v>
      </c>
      <c r="B1198" s="165" t="s">
        <v>1086</v>
      </c>
      <c r="C1198" s="165">
        <v>3500</v>
      </c>
      <c r="D1198" s="228"/>
      <c r="E1198" s="228"/>
      <c r="F1198" s="228"/>
      <c r="G1198" s="228"/>
      <c r="H1198" s="228"/>
      <c r="I1198" s="228"/>
      <c r="J1198" s="228"/>
      <c r="K1198" s="228"/>
      <c r="L1198" s="228">
        <v>8400</v>
      </c>
      <c r="M1198" s="228">
        <v>29400000</v>
      </c>
      <c r="N1198" s="228"/>
      <c r="O1198" s="228"/>
      <c r="P1198" s="228">
        <v>8400</v>
      </c>
      <c r="Q1198" s="228">
        <v>29400000</v>
      </c>
    </row>
    <row r="1199" spans="1:17">
      <c r="A1199" s="165" t="s">
        <v>2166</v>
      </c>
      <c r="B1199" s="165" t="s">
        <v>1241</v>
      </c>
      <c r="C1199" s="165">
        <v>2800</v>
      </c>
      <c r="D1199" s="228"/>
      <c r="E1199" s="228"/>
      <c r="F1199" s="228">
        <v>0</v>
      </c>
      <c r="G1199" s="228">
        <v>0</v>
      </c>
      <c r="H1199" s="228"/>
      <c r="I1199" s="228"/>
      <c r="J1199" s="228"/>
      <c r="K1199" s="228"/>
      <c r="L1199" s="228"/>
      <c r="M1199" s="228"/>
      <c r="N1199" s="228"/>
      <c r="O1199" s="228"/>
      <c r="P1199" s="228">
        <v>0</v>
      </c>
      <c r="Q1199" s="228">
        <v>0</v>
      </c>
    </row>
    <row r="1200" spans="1:17">
      <c r="A1200" s="165" t="s">
        <v>2167</v>
      </c>
      <c r="B1200" s="165" t="s">
        <v>1241</v>
      </c>
      <c r="C1200" s="165">
        <v>3000</v>
      </c>
      <c r="D1200" s="228"/>
      <c r="E1200" s="228"/>
      <c r="F1200" s="228">
        <v>0</v>
      </c>
      <c r="G1200" s="228">
        <v>0</v>
      </c>
      <c r="H1200" s="228"/>
      <c r="I1200" s="228"/>
      <c r="J1200" s="228"/>
      <c r="K1200" s="228"/>
      <c r="L1200" s="228"/>
      <c r="M1200" s="228"/>
      <c r="N1200" s="228"/>
      <c r="O1200" s="228"/>
      <c r="P1200" s="228">
        <v>0</v>
      </c>
      <c r="Q1200" s="228">
        <v>0</v>
      </c>
    </row>
    <row r="1201" spans="1:17">
      <c r="A1201" s="165" t="s">
        <v>2168</v>
      </c>
      <c r="B1201" s="165" t="s">
        <v>1086</v>
      </c>
      <c r="C1201" s="165">
        <v>3600</v>
      </c>
      <c r="D1201" s="228"/>
      <c r="E1201" s="228"/>
      <c r="F1201" s="228"/>
      <c r="G1201" s="228"/>
      <c r="H1201" s="228"/>
      <c r="I1201" s="228"/>
      <c r="J1201" s="228"/>
      <c r="K1201" s="228"/>
      <c r="L1201" s="228">
        <v>5000</v>
      </c>
      <c r="M1201" s="228">
        <v>18000000</v>
      </c>
      <c r="N1201" s="228"/>
      <c r="O1201" s="228"/>
      <c r="P1201" s="228">
        <v>5000</v>
      </c>
      <c r="Q1201" s="228">
        <v>18000000</v>
      </c>
    </row>
    <row r="1202" spans="1:17">
      <c r="A1202" s="165" t="s">
        <v>2169</v>
      </c>
      <c r="B1202" s="165" t="s">
        <v>1241</v>
      </c>
      <c r="C1202" s="165">
        <v>4600</v>
      </c>
      <c r="D1202" s="228"/>
      <c r="E1202" s="228"/>
      <c r="F1202" s="228">
        <v>0</v>
      </c>
      <c r="G1202" s="228">
        <v>0</v>
      </c>
      <c r="H1202" s="228"/>
      <c r="I1202" s="228"/>
      <c r="J1202" s="228"/>
      <c r="K1202" s="228"/>
      <c r="L1202" s="228"/>
      <c r="M1202" s="228"/>
      <c r="N1202" s="228"/>
      <c r="O1202" s="228"/>
      <c r="P1202" s="228">
        <v>0</v>
      </c>
      <c r="Q1202" s="228">
        <v>0</v>
      </c>
    </row>
    <row r="1203" spans="1:17">
      <c r="A1203"/>
      <c r="B1203"/>
      <c r="C1203" s="165">
        <v>4800</v>
      </c>
      <c r="D1203" s="228"/>
      <c r="E1203" s="228"/>
      <c r="F1203" s="228">
        <v>0</v>
      </c>
      <c r="G1203" s="228">
        <v>0</v>
      </c>
      <c r="H1203" s="228"/>
      <c r="I1203" s="228"/>
      <c r="J1203" s="228"/>
      <c r="K1203" s="228"/>
      <c r="L1203" s="228"/>
      <c r="M1203" s="228"/>
      <c r="N1203" s="228"/>
      <c r="O1203" s="228"/>
      <c r="P1203" s="228">
        <v>0</v>
      </c>
      <c r="Q1203" s="228">
        <v>0</v>
      </c>
    </row>
    <row r="1204" spans="1:17">
      <c r="A1204"/>
      <c r="B1204"/>
      <c r="C1204" s="165">
        <v>4900</v>
      </c>
      <c r="D1204" s="228"/>
      <c r="E1204" s="228"/>
      <c r="F1204" s="228">
        <v>0</v>
      </c>
      <c r="G1204" s="228">
        <v>0</v>
      </c>
      <c r="H1204" s="228"/>
      <c r="I1204" s="228"/>
      <c r="J1204" s="228"/>
      <c r="K1204" s="228"/>
      <c r="L1204" s="228"/>
      <c r="M1204" s="228"/>
      <c r="N1204" s="228"/>
      <c r="O1204" s="228"/>
      <c r="P1204" s="228">
        <v>0</v>
      </c>
      <c r="Q1204" s="228">
        <v>0</v>
      </c>
    </row>
    <row r="1205" spans="1:17">
      <c r="A1205"/>
      <c r="B1205" s="165" t="s">
        <v>270</v>
      </c>
      <c r="C1205" s="165">
        <v>4600</v>
      </c>
      <c r="D1205" s="228"/>
      <c r="E1205" s="228"/>
      <c r="F1205" s="228">
        <v>0</v>
      </c>
      <c r="G1205" s="228">
        <v>0</v>
      </c>
      <c r="H1205" s="228"/>
      <c r="I1205" s="228"/>
      <c r="J1205" s="228"/>
      <c r="K1205" s="228"/>
      <c r="L1205" s="228"/>
      <c r="M1205" s="228"/>
      <c r="N1205" s="228"/>
      <c r="O1205" s="228"/>
      <c r="P1205" s="228">
        <v>0</v>
      </c>
      <c r="Q1205" s="228">
        <v>0</v>
      </c>
    </row>
    <row r="1206" spans="1:17">
      <c r="A1206"/>
      <c r="B1206"/>
      <c r="C1206" s="165">
        <v>4650</v>
      </c>
      <c r="D1206" s="228"/>
      <c r="E1206" s="228"/>
      <c r="F1206" s="228">
        <v>0</v>
      </c>
      <c r="G1206" s="228">
        <v>0</v>
      </c>
      <c r="H1206" s="228"/>
      <c r="I1206" s="228"/>
      <c r="J1206" s="228"/>
      <c r="K1206" s="228"/>
      <c r="L1206" s="228"/>
      <c r="M1206" s="228"/>
      <c r="N1206" s="228"/>
      <c r="O1206" s="228"/>
      <c r="P1206" s="228">
        <v>0</v>
      </c>
      <c r="Q1206" s="228">
        <v>0</v>
      </c>
    </row>
    <row r="1207" spans="1:17">
      <c r="A1207"/>
      <c r="B1207"/>
      <c r="C1207" s="165">
        <v>5000</v>
      </c>
      <c r="D1207" s="228"/>
      <c r="E1207" s="228"/>
      <c r="F1207" s="228"/>
      <c r="G1207" s="228"/>
      <c r="H1207" s="228">
        <v>6000</v>
      </c>
      <c r="I1207" s="228">
        <v>30000000</v>
      </c>
      <c r="J1207" s="228"/>
      <c r="K1207" s="228"/>
      <c r="L1207" s="228">
        <v>9000</v>
      </c>
      <c r="M1207" s="228">
        <v>45000000</v>
      </c>
      <c r="N1207" s="228"/>
      <c r="O1207" s="228"/>
      <c r="P1207" s="228">
        <v>15000</v>
      </c>
      <c r="Q1207" s="228">
        <v>75000000</v>
      </c>
    </row>
    <row r="1208" spans="1:17">
      <c r="A1208"/>
      <c r="B1208" s="165" t="s">
        <v>1047</v>
      </c>
      <c r="C1208" s="165">
        <v>4800</v>
      </c>
      <c r="D1208" s="228"/>
      <c r="E1208" s="228"/>
      <c r="F1208" s="228"/>
      <c r="G1208" s="228"/>
      <c r="H1208" s="228">
        <v>6000</v>
      </c>
      <c r="I1208" s="228">
        <v>28800000</v>
      </c>
      <c r="J1208" s="228"/>
      <c r="K1208" s="228"/>
      <c r="L1208" s="228"/>
      <c r="M1208" s="228"/>
      <c r="N1208" s="228"/>
      <c r="O1208" s="228"/>
      <c r="P1208" s="228">
        <v>6000</v>
      </c>
      <c r="Q1208" s="228">
        <v>28800000</v>
      </c>
    </row>
    <row r="1209" spans="1:17">
      <c r="A1209"/>
      <c r="B1209" s="165" t="s">
        <v>1235</v>
      </c>
      <c r="C1209" s="165">
        <v>4800</v>
      </c>
      <c r="D1209" s="228"/>
      <c r="E1209" s="228"/>
      <c r="F1209" s="228">
        <v>0</v>
      </c>
      <c r="G1209" s="228">
        <v>0</v>
      </c>
      <c r="H1209" s="228"/>
      <c r="I1209" s="228"/>
      <c r="J1209" s="228"/>
      <c r="K1209" s="228"/>
      <c r="L1209" s="228"/>
      <c r="M1209" s="228"/>
      <c r="N1209" s="228"/>
      <c r="O1209" s="228"/>
      <c r="P1209" s="228">
        <v>0</v>
      </c>
      <c r="Q1209" s="228">
        <v>0</v>
      </c>
    </row>
    <row r="1210" spans="1:17">
      <c r="A1210"/>
      <c r="B1210" s="165" t="s">
        <v>285</v>
      </c>
      <c r="C1210" s="165">
        <v>4600</v>
      </c>
      <c r="D1210" s="228"/>
      <c r="E1210" s="228"/>
      <c r="F1210" s="228">
        <v>0</v>
      </c>
      <c r="G1210" s="228">
        <v>0</v>
      </c>
      <c r="H1210" s="228"/>
      <c r="I1210" s="228"/>
      <c r="J1210" s="228"/>
      <c r="K1210" s="228"/>
      <c r="L1210" s="228"/>
      <c r="M1210" s="228"/>
      <c r="N1210" s="228"/>
      <c r="O1210" s="228"/>
      <c r="P1210" s="228">
        <v>0</v>
      </c>
      <c r="Q1210" s="228">
        <v>0</v>
      </c>
    </row>
    <row r="1211" spans="1:17">
      <c r="A1211"/>
      <c r="B1211"/>
      <c r="C1211" s="165">
        <v>4900</v>
      </c>
      <c r="D1211" s="228"/>
      <c r="E1211" s="228"/>
      <c r="F1211" s="228"/>
      <c r="G1211" s="228"/>
      <c r="H1211" s="228">
        <v>9900</v>
      </c>
      <c r="I1211" s="228">
        <v>48510000</v>
      </c>
      <c r="J1211" s="228"/>
      <c r="K1211" s="228"/>
      <c r="L1211" s="228"/>
      <c r="M1211" s="228"/>
      <c r="N1211" s="228"/>
      <c r="O1211" s="228"/>
      <c r="P1211" s="228">
        <v>9900</v>
      </c>
      <c r="Q1211" s="228">
        <v>48510000</v>
      </c>
    </row>
    <row r="1212" spans="1:17">
      <c r="A1212"/>
      <c r="B1212" s="165" t="s">
        <v>282</v>
      </c>
      <c r="C1212" s="165">
        <v>4900</v>
      </c>
      <c r="D1212" s="228"/>
      <c r="E1212" s="228"/>
      <c r="F1212" s="228">
        <v>0</v>
      </c>
      <c r="G1212" s="228">
        <v>0</v>
      </c>
      <c r="H1212" s="228">
        <v>10200</v>
      </c>
      <c r="I1212" s="228">
        <v>49980000</v>
      </c>
      <c r="J1212" s="228"/>
      <c r="K1212" s="228"/>
      <c r="L1212" s="228"/>
      <c r="M1212" s="228"/>
      <c r="N1212" s="228"/>
      <c r="O1212" s="228"/>
      <c r="P1212" s="228">
        <v>10200</v>
      </c>
      <c r="Q1212" s="228">
        <v>49980000</v>
      </c>
    </row>
    <row r="1213" spans="1:17">
      <c r="A1213"/>
      <c r="B1213" s="165" t="s">
        <v>288</v>
      </c>
      <c r="C1213" s="165">
        <v>4700</v>
      </c>
      <c r="D1213" s="228"/>
      <c r="E1213" s="228"/>
      <c r="F1213" s="228">
        <v>0</v>
      </c>
      <c r="G1213" s="228">
        <v>0</v>
      </c>
      <c r="H1213" s="228"/>
      <c r="I1213" s="228"/>
      <c r="J1213" s="228"/>
      <c r="K1213" s="228"/>
      <c r="L1213" s="228"/>
      <c r="M1213" s="228"/>
      <c r="N1213" s="228"/>
      <c r="O1213" s="228"/>
      <c r="P1213" s="228">
        <v>0</v>
      </c>
      <c r="Q1213" s="228">
        <v>0</v>
      </c>
    </row>
    <row r="1214" spans="1:17">
      <c r="A1214"/>
      <c r="B1214" s="165" t="s">
        <v>1237</v>
      </c>
      <c r="C1214" s="165">
        <v>4600</v>
      </c>
      <c r="D1214" s="228"/>
      <c r="E1214" s="228"/>
      <c r="F1214" s="228">
        <v>0</v>
      </c>
      <c r="G1214" s="228">
        <v>0</v>
      </c>
      <c r="H1214" s="228"/>
      <c r="I1214" s="228"/>
      <c r="J1214" s="228"/>
      <c r="K1214" s="228"/>
      <c r="L1214" s="228"/>
      <c r="M1214" s="228"/>
      <c r="N1214" s="228"/>
      <c r="O1214" s="228"/>
      <c r="P1214" s="228">
        <v>0</v>
      </c>
      <c r="Q1214" s="228">
        <v>0</v>
      </c>
    </row>
    <row r="1215" spans="1:17">
      <c r="A1215"/>
      <c r="B1215" s="165" t="s">
        <v>1619</v>
      </c>
      <c r="C1215" s="165">
        <v>4800</v>
      </c>
      <c r="D1215" s="228"/>
      <c r="E1215" s="228"/>
      <c r="F1215" s="228">
        <v>0</v>
      </c>
      <c r="G1215" s="228">
        <v>0</v>
      </c>
      <c r="H1215" s="228"/>
      <c r="I1215" s="228"/>
      <c r="J1215" s="228"/>
      <c r="K1215" s="228"/>
      <c r="L1215" s="228"/>
      <c r="M1215" s="228"/>
      <c r="N1215" s="228"/>
      <c r="O1215" s="228"/>
      <c r="P1215" s="228">
        <v>0</v>
      </c>
      <c r="Q1215" s="228">
        <v>0</v>
      </c>
    </row>
    <row r="1216" spans="1:17">
      <c r="A1216"/>
      <c r="B1216" s="165" t="s">
        <v>148</v>
      </c>
      <c r="C1216" s="165">
        <v>4900</v>
      </c>
      <c r="D1216" s="228"/>
      <c r="E1216" s="228"/>
      <c r="F1216" s="228"/>
      <c r="G1216" s="228"/>
      <c r="H1216" s="228"/>
      <c r="I1216" s="228"/>
      <c r="J1216" s="228">
        <v>5100</v>
      </c>
      <c r="K1216" s="228">
        <v>24990000</v>
      </c>
      <c r="L1216" s="228"/>
      <c r="M1216" s="228"/>
      <c r="N1216" s="228"/>
      <c r="O1216" s="228"/>
      <c r="P1216" s="228">
        <v>5100</v>
      </c>
      <c r="Q1216" s="228">
        <v>24990000</v>
      </c>
    </row>
    <row r="1217" spans="1:17">
      <c r="A1217"/>
      <c r="B1217"/>
      <c r="C1217" s="165">
        <v>5000</v>
      </c>
      <c r="D1217" s="228"/>
      <c r="E1217" s="228"/>
      <c r="F1217" s="228"/>
      <c r="G1217" s="228"/>
      <c r="H1217" s="228">
        <v>2400</v>
      </c>
      <c r="I1217" s="228">
        <v>12000000</v>
      </c>
      <c r="J1217" s="228"/>
      <c r="K1217" s="228"/>
      <c r="L1217" s="228"/>
      <c r="M1217" s="228"/>
      <c r="N1217" s="228"/>
      <c r="O1217" s="228"/>
      <c r="P1217" s="228">
        <v>2400</v>
      </c>
      <c r="Q1217" s="228">
        <v>12000000</v>
      </c>
    </row>
    <row r="1218" spans="1:17">
      <c r="A1218"/>
      <c r="B1218" s="165" t="s">
        <v>253</v>
      </c>
      <c r="C1218" s="165">
        <v>4800</v>
      </c>
      <c r="D1218" s="228"/>
      <c r="E1218" s="228"/>
      <c r="F1218" s="228">
        <v>1500</v>
      </c>
      <c r="G1218" s="228">
        <v>7200000</v>
      </c>
      <c r="H1218" s="228">
        <v>9000</v>
      </c>
      <c r="I1218" s="228">
        <v>43200000</v>
      </c>
      <c r="J1218" s="228">
        <v>9000</v>
      </c>
      <c r="K1218" s="228">
        <v>43200000</v>
      </c>
      <c r="L1218" s="228"/>
      <c r="M1218" s="228"/>
      <c r="N1218" s="228"/>
      <c r="O1218" s="228"/>
      <c r="P1218" s="228">
        <v>19500</v>
      </c>
      <c r="Q1218" s="228">
        <v>93600000</v>
      </c>
    </row>
    <row r="1219" spans="1:17">
      <c r="A1219"/>
      <c r="B1219" s="165" t="s">
        <v>1345</v>
      </c>
      <c r="C1219" s="165">
        <v>4600</v>
      </c>
      <c r="D1219" s="228"/>
      <c r="E1219" s="228"/>
      <c r="F1219" s="228">
        <v>0</v>
      </c>
      <c r="G1219" s="228">
        <v>0</v>
      </c>
      <c r="H1219" s="228"/>
      <c r="I1219" s="228"/>
      <c r="J1219" s="228"/>
      <c r="K1219" s="228"/>
      <c r="L1219" s="228"/>
      <c r="M1219" s="228"/>
      <c r="N1219" s="228"/>
      <c r="O1219" s="228"/>
      <c r="P1219" s="228">
        <v>0</v>
      </c>
      <c r="Q1219" s="228">
        <v>0</v>
      </c>
    </row>
    <row r="1220" spans="1:17">
      <c r="A1220"/>
      <c r="B1220" s="165" t="s">
        <v>1214</v>
      </c>
      <c r="C1220" s="165">
        <v>4600</v>
      </c>
      <c r="D1220" s="228"/>
      <c r="E1220" s="228"/>
      <c r="F1220" s="228">
        <v>0</v>
      </c>
      <c r="G1220" s="228">
        <v>0</v>
      </c>
      <c r="H1220" s="228"/>
      <c r="I1220" s="228"/>
      <c r="J1220" s="228"/>
      <c r="K1220" s="228"/>
      <c r="L1220" s="228"/>
      <c r="M1220" s="228"/>
      <c r="N1220" s="228"/>
      <c r="O1220" s="228"/>
      <c r="P1220" s="228">
        <v>0</v>
      </c>
      <c r="Q1220" s="228">
        <v>0</v>
      </c>
    </row>
    <row r="1221" spans="1:17">
      <c r="A1221"/>
      <c r="B1221" s="165" t="s">
        <v>25</v>
      </c>
      <c r="C1221" s="165">
        <v>4600</v>
      </c>
      <c r="D1221" s="228">
        <v>3000</v>
      </c>
      <c r="E1221" s="228">
        <v>13800000</v>
      </c>
      <c r="F1221" s="228"/>
      <c r="G1221" s="228"/>
      <c r="H1221" s="228"/>
      <c r="I1221" s="228"/>
      <c r="J1221" s="228"/>
      <c r="K1221" s="228"/>
      <c r="L1221" s="228"/>
      <c r="M1221" s="228"/>
      <c r="N1221" s="228"/>
      <c r="O1221" s="228"/>
      <c r="P1221" s="228">
        <v>3000</v>
      </c>
      <c r="Q1221" s="228">
        <v>13800000</v>
      </c>
    </row>
    <row r="1222" spans="1:17">
      <c r="A1222"/>
      <c r="B1222" s="165" t="s">
        <v>1366</v>
      </c>
      <c r="C1222" s="165">
        <v>5600</v>
      </c>
      <c r="D1222" s="228"/>
      <c r="E1222" s="228"/>
      <c r="F1222" s="228">
        <v>0</v>
      </c>
      <c r="G1222" s="228">
        <v>0</v>
      </c>
      <c r="H1222" s="228"/>
      <c r="I1222" s="228"/>
      <c r="J1222" s="228"/>
      <c r="K1222" s="228"/>
      <c r="L1222" s="228"/>
      <c r="M1222" s="228"/>
      <c r="N1222" s="228"/>
      <c r="O1222" s="228"/>
      <c r="P1222" s="228">
        <v>0</v>
      </c>
      <c r="Q1222" s="228">
        <v>0</v>
      </c>
    </row>
    <row r="1223" spans="1:17">
      <c r="A1223"/>
      <c r="B1223" s="165" t="s">
        <v>817</v>
      </c>
      <c r="C1223" s="165">
        <v>4600</v>
      </c>
      <c r="D1223" s="228"/>
      <c r="E1223" s="228"/>
      <c r="F1223" s="228">
        <v>0</v>
      </c>
      <c r="G1223" s="228">
        <v>0</v>
      </c>
      <c r="H1223" s="228"/>
      <c r="I1223" s="228"/>
      <c r="J1223" s="228"/>
      <c r="K1223" s="228"/>
      <c r="L1223" s="228"/>
      <c r="M1223" s="228"/>
      <c r="N1223" s="228"/>
      <c r="O1223" s="228"/>
      <c r="P1223" s="228">
        <v>0</v>
      </c>
      <c r="Q1223" s="228">
        <v>0</v>
      </c>
    </row>
    <row r="1224" spans="1:17">
      <c r="A1224"/>
      <c r="B1224"/>
      <c r="C1224" s="165">
        <v>4800</v>
      </c>
      <c r="D1224" s="228"/>
      <c r="E1224" s="228"/>
      <c r="F1224" s="228">
        <v>0</v>
      </c>
      <c r="G1224" s="228">
        <v>0</v>
      </c>
      <c r="H1224" s="228"/>
      <c r="I1224" s="228"/>
      <c r="J1224" s="228"/>
      <c r="K1224" s="228"/>
      <c r="L1224" s="228"/>
      <c r="M1224" s="228"/>
      <c r="N1224" s="228"/>
      <c r="O1224" s="228"/>
      <c r="P1224" s="228">
        <v>0</v>
      </c>
      <c r="Q1224" s="228">
        <v>0</v>
      </c>
    </row>
    <row r="1225" spans="1:17">
      <c r="A1225"/>
      <c r="B1225" s="165" t="s">
        <v>130</v>
      </c>
      <c r="C1225" s="165">
        <v>5000</v>
      </c>
      <c r="D1225" s="228"/>
      <c r="E1225" s="228"/>
      <c r="F1225" s="228"/>
      <c r="G1225" s="228"/>
      <c r="H1225" s="228">
        <v>4500</v>
      </c>
      <c r="I1225" s="228">
        <v>22500000</v>
      </c>
      <c r="J1225" s="228"/>
      <c r="K1225" s="228"/>
      <c r="L1225" s="228"/>
      <c r="M1225" s="228"/>
      <c r="N1225" s="228"/>
      <c r="O1225" s="228"/>
      <c r="P1225" s="228">
        <v>4500</v>
      </c>
      <c r="Q1225" s="228">
        <v>22500000</v>
      </c>
    </row>
    <row r="1226" spans="1:17">
      <c r="A1226"/>
      <c r="B1226" s="165" t="s">
        <v>158</v>
      </c>
      <c r="C1226" s="165">
        <v>4900</v>
      </c>
      <c r="D1226" s="228"/>
      <c r="E1226" s="228"/>
      <c r="F1226" s="228"/>
      <c r="G1226" s="228"/>
      <c r="H1226" s="228">
        <v>6000</v>
      </c>
      <c r="I1226" s="228">
        <v>29400000</v>
      </c>
      <c r="J1226" s="228"/>
      <c r="K1226" s="228"/>
      <c r="L1226" s="228"/>
      <c r="M1226" s="228"/>
      <c r="N1226" s="228"/>
      <c r="O1226" s="228"/>
      <c r="P1226" s="228">
        <v>6000</v>
      </c>
      <c r="Q1226" s="228">
        <v>29400000</v>
      </c>
    </row>
    <row r="1227" spans="1:17">
      <c r="A1227"/>
      <c r="B1227" s="165" t="s">
        <v>188</v>
      </c>
      <c r="C1227" s="165">
        <v>4600</v>
      </c>
      <c r="D1227" s="228"/>
      <c r="E1227" s="228"/>
      <c r="F1227" s="228">
        <v>0</v>
      </c>
      <c r="G1227" s="228">
        <v>0</v>
      </c>
      <c r="H1227" s="228"/>
      <c r="I1227" s="228"/>
      <c r="J1227" s="228"/>
      <c r="K1227" s="228"/>
      <c r="L1227" s="228"/>
      <c r="M1227" s="228"/>
      <c r="N1227" s="228"/>
      <c r="O1227" s="228"/>
      <c r="P1227" s="228">
        <v>0</v>
      </c>
      <c r="Q1227" s="228">
        <v>0</v>
      </c>
    </row>
    <row r="1228" spans="1:17">
      <c r="A1228"/>
      <c r="B1228"/>
      <c r="C1228" s="165">
        <v>4900</v>
      </c>
      <c r="D1228" s="228">
        <v>0</v>
      </c>
      <c r="E1228" s="228">
        <v>0</v>
      </c>
      <c r="F1228" s="228"/>
      <c r="G1228" s="228"/>
      <c r="H1228" s="228"/>
      <c r="I1228" s="228"/>
      <c r="J1228" s="228"/>
      <c r="K1228" s="228"/>
      <c r="L1228" s="228"/>
      <c r="M1228" s="228"/>
      <c r="N1228" s="228"/>
      <c r="O1228" s="228"/>
      <c r="P1228" s="228">
        <v>0</v>
      </c>
      <c r="Q1228" s="228">
        <v>0</v>
      </c>
    </row>
    <row r="1229" spans="1:17">
      <c r="A1229"/>
      <c r="B1229" s="165" t="s">
        <v>1009</v>
      </c>
      <c r="C1229" s="165">
        <v>4500</v>
      </c>
      <c r="D1229" s="228"/>
      <c r="E1229" s="228"/>
      <c r="F1229" s="228">
        <v>0</v>
      </c>
      <c r="G1229" s="228">
        <v>0</v>
      </c>
      <c r="H1229" s="228"/>
      <c r="I1229" s="228"/>
      <c r="J1229" s="228"/>
      <c r="K1229" s="228"/>
      <c r="L1229" s="228"/>
      <c r="M1229" s="228"/>
      <c r="N1229" s="228"/>
      <c r="O1229" s="228"/>
      <c r="P1229" s="228">
        <v>0</v>
      </c>
      <c r="Q1229" s="228">
        <v>0</v>
      </c>
    </row>
    <row r="1230" spans="1:17">
      <c r="A1230"/>
      <c r="B1230"/>
      <c r="C1230" s="165">
        <v>4600</v>
      </c>
      <c r="D1230" s="228"/>
      <c r="E1230" s="228"/>
      <c r="F1230" s="228">
        <v>0</v>
      </c>
      <c r="G1230" s="228">
        <v>0</v>
      </c>
      <c r="H1230" s="228">
        <v>10200</v>
      </c>
      <c r="I1230" s="228">
        <v>46920000</v>
      </c>
      <c r="J1230" s="228"/>
      <c r="K1230" s="228"/>
      <c r="L1230" s="228">
        <v>30000</v>
      </c>
      <c r="M1230" s="228">
        <v>138000000</v>
      </c>
      <c r="N1230" s="228"/>
      <c r="O1230" s="228"/>
      <c r="P1230" s="228">
        <v>40200</v>
      </c>
      <c r="Q1230" s="228">
        <v>184920000</v>
      </c>
    </row>
    <row r="1231" spans="1:17">
      <c r="A1231"/>
      <c r="B1231"/>
      <c r="C1231" s="165">
        <v>4700</v>
      </c>
      <c r="D1231" s="228"/>
      <c r="E1231" s="228"/>
      <c r="F1231" s="228"/>
      <c r="G1231" s="228"/>
      <c r="H1231" s="228"/>
      <c r="I1231" s="228"/>
      <c r="J1231" s="228">
        <v>10200</v>
      </c>
      <c r="K1231" s="228">
        <v>47940000</v>
      </c>
      <c r="L1231" s="228"/>
      <c r="M1231" s="228"/>
      <c r="N1231" s="228"/>
      <c r="O1231" s="228"/>
      <c r="P1231" s="228">
        <v>10200</v>
      </c>
      <c r="Q1231" s="228">
        <v>47940000</v>
      </c>
    </row>
    <row r="1232" spans="1:17">
      <c r="A1232"/>
      <c r="B1232" s="165" t="s">
        <v>291</v>
      </c>
      <c r="C1232" s="165">
        <v>5000</v>
      </c>
      <c r="D1232" s="228"/>
      <c r="E1232" s="228"/>
      <c r="F1232" s="228"/>
      <c r="G1232" s="228"/>
      <c r="H1232" s="228">
        <v>3000</v>
      </c>
      <c r="I1232" s="228">
        <v>15000000</v>
      </c>
      <c r="J1232" s="228"/>
      <c r="K1232" s="228"/>
      <c r="L1232" s="228"/>
      <c r="M1232" s="228"/>
      <c r="N1232" s="228"/>
      <c r="O1232" s="228"/>
      <c r="P1232" s="228">
        <v>3000</v>
      </c>
      <c r="Q1232" s="228">
        <v>15000000</v>
      </c>
    </row>
    <row r="1233" spans="1:17">
      <c r="A1233"/>
      <c r="B1233" s="165" t="s">
        <v>1086</v>
      </c>
      <c r="C1233" s="165">
        <v>4800</v>
      </c>
      <c r="D1233" s="228"/>
      <c r="E1233" s="228"/>
      <c r="F1233" s="228">
        <v>0</v>
      </c>
      <c r="G1233" s="228">
        <v>0</v>
      </c>
      <c r="H1233" s="228"/>
      <c r="I1233" s="228"/>
      <c r="J1233" s="228"/>
      <c r="K1233" s="228"/>
      <c r="L1233" s="228"/>
      <c r="M1233" s="228"/>
      <c r="N1233" s="228"/>
      <c r="O1233" s="228"/>
      <c r="P1233" s="228">
        <v>0</v>
      </c>
      <c r="Q1233" s="228">
        <v>0</v>
      </c>
    </row>
    <row r="1234" spans="1:17">
      <c r="A1234"/>
      <c r="B1234" s="165" t="s">
        <v>1155</v>
      </c>
      <c r="C1234" s="165">
        <v>4385</v>
      </c>
      <c r="D1234" s="228"/>
      <c r="E1234" s="228"/>
      <c r="F1234" s="228">
        <v>0</v>
      </c>
      <c r="G1234" s="228">
        <v>0</v>
      </c>
      <c r="H1234" s="228"/>
      <c r="I1234" s="228"/>
      <c r="J1234" s="228"/>
      <c r="K1234" s="228"/>
      <c r="L1234" s="228"/>
      <c r="M1234" s="228"/>
      <c r="N1234" s="228"/>
      <c r="O1234" s="228"/>
      <c r="P1234" s="228">
        <v>0</v>
      </c>
      <c r="Q1234" s="228">
        <v>0</v>
      </c>
    </row>
    <row r="1235" spans="1:17">
      <c r="A1235"/>
      <c r="B1235" s="165" t="s">
        <v>1245</v>
      </c>
      <c r="C1235" s="165">
        <v>4600</v>
      </c>
      <c r="D1235" s="228"/>
      <c r="E1235" s="228"/>
      <c r="F1235" s="228">
        <v>0</v>
      </c>
      <c r="G1235" s="228">
        <v>0</v>
      </c>
      <c r="H1235" s="228"/>
      <c r="I1235" s="228"/>
      <c r="J1235" s="228"/>
      <c r="K1235" s="228"/>
      <c r="L1235" s="228"/>
      <c r="M1235" s="228"/>
      <c r="N1235" s="228"/>
      <c r="O1235" s="228"/>
      <c r="P1235" s="228">
        <v>0</v>
      </c>
      <c r="Q1235" s="228">
        <v>0</v>
      </c>
    </row>
    <row r="1236" spans="1:17">
      <c r="A1236"/>
      <c r="B1236"/>
      <c r="C1236" s="165">
        <v>4700</v>
      </c>
      <c r="D1236" s="228"/>
      <c r="E1236" s="228"/>
      <c r="F1236" s="228">
        <v>0</v>
      </c>
      <c r="G1236" s="228">
        <v>0</v>
      </c>
      <c r="H1236" s="228"/>
      <c r="I1236" s="228"/>
      <c r="J1236" s="228"/>
      <c r="K1236" s="228"/>
      <c r="L1236" s="228"/>
      <c r="M1236" s="228"/>
      <c r="N1236" s="228"/>
      <c r="O1236" s="228"/>
      <c r="P1236" s="228">
        <v>0</v>
      </c>
      <c r="Q1236" s="228">
        <v>0</v>
      </c>
    </row>
    <row r="1237" spans="1:17">
      <c r="A1237"/>
      <c r="B1237"/>
      <c r="C1237" s="165">
        <v>4800</v>
      </c>
      <c r="D1237" s="228">
        <v>0</v>
      </c>
      <c r="E1237" s="228">
        <v>0</v>
      </c>
      <c r="F1237" s="228"/>
      <c r="G1237" s="228"/>
      <c r="H1237" s="228">
        <v>9900</v>
      </c>
      <c r="I1237" s="228">
        <v>47520000</v>
      </c>
      <c r="J1237" s="228"/>
      <c r="K1237" s="228"/>
      <c r="L1237" s="228"/>
      <c r="M1237" s="228"/>
      <c r="N1237" s="228"/>
      <c r="O1237" s="228"/>
      <c r="P1237" s="228">
        <v>9900</v>
      </c>
      <c r="Q1237" s="228">
        <v>47520000</v>
      </c>
    </row>
    <row r="1238" spans="1:17">
      <c r="A1238"/>
      <c r="B1238"/>
      <c r="C1238" s="165">
        <v>5000</v>
      </c>
      <c r="D1238" s="228"/>
      <c r="E1238" s="228"/>
      <c r="F1238" s="228"/>
      <c r="G1238" s="228"/>
      <c r="H1238" s="228">
        <v>10200</v>
      </c>
      <c r="I1238" s="228">
        <v>51000000</v>
      </c>
      <c r="J1238" s="228"/>
      <c r="K1238" s="228"/>
      <c r="L1238" s="228">
        <v>30000</v>
      </c>
      <c r="M1238" s="228">
        <v>150000000</v>
      </c>
      <c r="N1238" s="228"/>
      <c r="O1238" s="228"/>
      <c r="P1238" s="228">
        <v>40200</v>
      </c>
      <c r="Q1238" s="228">
        <v>201000000</v>
      </c>
    </row>
    <row r="1239" spans="1:17">
      <c r="A1239"/>
      <c r="B1239" s="165" t="s">
        <v>507</v>
      </c>
      <c r="C1239" s="165">
        <v>4800</v>
      </c>
      <c r="D1239" s="228"/>
      <c r="E1239" s="228"/>
      <c r="F1239" s="228">
        <v>0</v>
      </c>
      <c r="G1239" s="228">
        <v>0</v>
      </c>
      <c r="H1239" s="228"/>
      <c r="I1239" s="228"/>
      <c r="J1239" s="228"/>
      <c r="K1239" s="228"/>
      <c r="L1239" s="228"/>
      <c r="M1239" s="228"/>
      <c r="N1239" s="228"/>
      <c r="O1239" s="228"/>
      <c r="P1239" s="228">
        <v>0</v>
      </c>
      <c r="Q1239" s="228">
        <v>0</v>
      </c>
    </row>
    <row r="1240" spans="1:17">
      <c r="A1240"/>
      <c r="B1240" s="165" t="s">
        <v>396</v>
      </c>
      <c r="C1240" s="165">
        <v>4600</v>
      </c>
      <c r="D1240" s="228">
        <v>0</v>
      </c>
      <c r="E1240" s="228">
        <v>0</v>
      </c>
      <c r="F1240" s="228"/>
      <c r="G1240" s="228"/>
      <c r="H1240" s="228"/>
      <c r="I1240" s="228"/>
      <c r="J1240" s="228"/>
      <c r="K1240" s="228"/>
      <c r="L1240" s="228"/>
      <c r="M1240" s="228"/>
      <c r="N1240" s="228"/>
      <c r="O1240" s="228"/>
      <c r="P1240" s="228">
        <v>0</v>
      </c>
      <c r="Q1240" s="228">
        <v>0</v>
      </c>
    </row>
    <row r="1241" spans="1:17">
      <c r="A1241"/>
      <c r="B1241" s="165" t="s">
        <v>264</v>
      </c>
      <c r="C1241" s="165">
        <v>4600</v>
      </c>
      <c r="D1241" s="228"/>
      <c r="E1241" s="228"/>
      <c r="F1241" s="228">
        <v>0</v>
      </c>
      <c r="G1241" s="228">
        <v>0</v>
      </c>
      <c r="H1241" s="228"/>
      <c r="I1241" s="228"/>
      <c r="J1241" s="228"/>
      <c r="K1241" s="228"/>
      <c r="L1241" s="228"/>
      <c r="M1241" s="228"/>
      <c r="N1241" s="228"/>
      <c r="O1241" s="228"/>
      <c r="P1241" s="228">
        <v>0</v>
      </c>
      <c r="Q1241" s="228">
        <v>0</v>
      </c>
    </row>
    <row r="1242" spans="1:17">
      <c r="A1242"/>
      <c r="B1242"/>
      <c r="C1242" s="165">
        <v>5000</v>
      </c>
      <c r="D1242" s="228"/>
      <c r="E1242" s="228"/>
      <c r="F1242" s="228"/>
      <c r="G1242" s="228"/>
      <c r="H1242" s="228"/>
      <c r="I1242" s="228"/>
      <c r="J1242" s="228"/>
      <c r="K1242" s="228"/>
      <c r="L1242" s="228">
        <v>40200</v>
      </c>
      <c r="M1242" s="228">
        <v>201000000</v>
      </c>
      <c r="N1242" s="228"/>
      <c r="O1242" s="228"/>
      <c r="P1242" s="228">
        <v>40200</v>
      </c>
      <c r="Q1242" s="228">
        <v>201000000</v>
      </c>
    </row>
    <row r="1243" spans="1:17">
      <c r="A1243"/>
      <c r="B1243" s="165" t="s">
        <v>1026</v>
      </c>
      <c r="C1243" s="165">
        <v>4495</v>
      </c>
      <c r="D1243" s="228"/>
      <c r="E1243" s="228"/>
      <c r="F1243" s="228">
        <v>0</v>
      </c>
      <c r="G1243" s="228">
        <v>0</v>
      </c>
      <c r="H1243" s="228"/>
      <c r="I1243" s="228"/>
      <c r="J1243" s="228"/>
      <c r="K1243" s="228"/>
      <c r="L1243" s="228"/>
      <c r="M1243" s="228"/>
      <c r="N1243" s="228"/>
      <c r="O1243" s="228"/>
      <c r="P1243" s="228">
        <v>0</v>
      </c>
      <c r="Q1243" s="228">
        <v>0</v>
      </c>
    </row>
    <row r="1244" spans="1:17">
      <c r="A1244"/>
      <c r="B1244"/>
      <c r="C1244" s="165">
        <v>4500</v>
      </c>
      <c r="D1244" s="228"/>
      <c r="E1244" s="228"/>
      <c r="F1244" s="228">
        <v>0</v>
      </c>
      <c r="G1244" s="228">
        <v>0</v>
      </c>
      <c r="H1244" s="228"/>
      <c r="I1244" s="228"/>
      <c r="J1244" s="228"/>
      <c r="K1244" s="228"/>
      <c r="L1244" s="228"/>
      <c r="M1244" s="228"/>
      <c r="N1244" s="228"/>
      <c r="O1244" s="228"/>
      <c r="P1244" s="228">
        <v>0</v>
      </c>
      <c r="Q1244" s="228">
        <v>0</v>
      </c>
    </row>
    <row r="1245" spans="1:17">
      <c r="A1245"/>
      <c r="B1245" s="165" t="s">
        <v>1804</v>
      </c>
      <c r="C1245" s="165">
        <v>4800</v>
      </c>
      <c r="D1245" s="228"/>
      <c r="E1245" s="228"/>
      <c r="F1245" s="228">
        <v>0</v>
      </c>
      <c r="G1245" s="228">
        <v>0</v>
      </c>
      <c r="H1245" s="228"/>
      <c r="I1245" s="228"/>
      <c r="J1245" s="228"/>
      <c r="K1245" s="228"/>
      <c r="L1245" s="228"/>
      <c r="M1245" s="228"/>
      <c r="N1245" s="228"/>
      <c r="O1245" s="228"/>
      <c r="P1245" s="228">
        <v>0</v>
      </c>
      <c r="Q1245" s="228">
        <v>0</v>
      </c>
    </row>
    <row r="1246" spans="1:17">
      <c r="A1246"/>
      <c r="B1246" s="165" t="s">
        <v>969</v>
      </c>
      <c r="C1246" s="165">
        <v>4600</v>
      </c>
      <c r="D1246" s="228">
        <v>-2100</v>
      </c>
      <c r="E1246" s="228">
        <v>-9660000</v>
      </c>
      <c r="F1246" s="228">
        <v>0</v>
      </c>
      <c r="G1246" s="228">
        <v>0</v>
      </c>
      <c r="H1246" s="228"/>
      <c r="I1246" s="228"/>
      <c r="J1246" s="228"/>
      <c r="K1246" s="228"/>
      <c r="L1246" s="228"/>
      <c r="M1246" s="228"/>
      <c r="N1246" s="228"/>
      <c r="O1246" s="228"/>
      <c r="P1246" s="228">
        <v>-2100</v>
      </c>
      <c r="Q1246" s="228">
        <v>-9660000</v>
      </c>
    </row>
    <row r="1247" spans="1:17">
      <c r="A1247"/>
      <c r="B1247" s="165" t="s">
        <v>208</v>
      </c>
      <c r="C1247" s="165">
        <v>4600</v>
      </c>
      <c r="D1247" s="228">
        <v>0</v>
      </c>
      <c r="E1247" s="228">
        <v>0</v>
      </c>
      <c r="F1247" s="228">
        <v>0</v>
      </c>
      <c r="G1247" s="228">
        <v>0</v>
      </c>
      <c r="H1247" s="228"/>
      <c r="I1247" s="228"/>
      <c r="J1247" s="228"/>
      <c r="K1247" s="228"/>
      <c r="L1247" s="228"/>
      <c r="M1247" s="228"/>
      <c r="N1247" s="228"/>
      <c r="O1247" s="228"/>
      <c r="P1247" s="228">
        <v>0</v>
      </c>
      <c r="Q1247" s="228">
        <v>0</v>
      </c>
    </row>
    <row r="1248" spans="1:17">
      <c r="A1248"/>
      <c r="B1248" s="165" t="s">
        <v>91</v>
      </c>
      <c r="C1248" s="165">
        <v>4600</v>
      </c>
      <c r="D1248" s="228">
        <v>0</v>
      </c>
      <c r="E1248" s="228">
        <v>0</v>
      </c>
      <c r="F1248" s="228"/>
      <c r="G1248" s="228"/>
      <c r="H1248" s="228"/>
      <c r="I1248" s="228"/>
      <c r="J1248" s="228"/>
      <c r="K1248" s="228"/>
      <c r="L1248" s="228"/>
      <c r="M1248" s="228"/>
      <c r="N1248" s="228"/>
      <c r="O1248" s="228"/>
      <c r="P1248" s="228">
        <v>0</v>
      </c>
      <c r="Q1248" s="228">
        <v>0</v>
      </c>
    </row>
    <row r="1249" spans="1:17">
      <c r="A1249"/>
      <c r="B1249" s="165" t="s">
        <v>103</v>
      </c>
      <c r="C1249" s="165">
        <v>4800</v>
      </c>
      <c r="D1249" s="228"/>
      <c r="E1249" s="228"/>
      <c r="F1249" s="228">
        <v>0</v>
      </c>
      <c r="G1249" s="228">
        <v>0</v>
      </c>
      <c r="H1249" s="228"/>
      <c r="I1249" s="228"/>
      <c r="J1249" s="228"/>
      <c r="K1249" s="228"/>
      <c r="L1249" s="228"/>
      <c r="M1249" s="228"/>
      <c r="N1249" s="228"/>
      <c r="O1249" s="228"/>
      <c r="P1249" s="228">
        <v>0</v>
      </c>
      <c r="Q1249" s="228">
        <v>0</v>
      </c>
    </row>
    <row r="1250" spans="1:17">
      <c r="A1250" s="165" t="s">
        <v>2170</v>
      </c>
      <c r="B1250" s="165" t="s">
        <v>1245</v>
      </c>
      <c r="C1250" s="165">
        <v>9200</v>
      </c>
      <c r="D1250" s="228"/>
      <c r="E1250" s="228"/>
      <c r="F1250" s="228"/>
      <c r="G1250" s="228"/>
      <c r="H1250" s="228"/>
      <c r="I1250" s="228"/>
      <c r="J1250" s="228"/>
      <c r="K1250" s="228"/>
      <c r="L1250" s="228">
        <v>20000</v>
      </c>
      <c r="M1250" s="228">
        <v>184000000</v>
      </c>
      <c r="N1250" s="228"/>
      <c r="O1250" s="228"/>
      <c r="P1250" s="228">
        <v>20000</v>
      </c>
      <c r="Q1250" s="228">
        <v>184000000</v>
      </c>
    </row>
    <row r="1251" spans="1:17">
      <c r="A1251" s="165" t="s">
        <v>2171</v>
      </c>
      <c r="B1251" s="165" t="s">
        <v>688</v>
      </c>
      <c r="C1251" s="165">
        <v>5500</v>
      </c>
      <c r="D1251" s="228"/>
      <c r="E1251" s="228"/>
      <c r="F1251" s="228">
        <v>0</v>
      </c>
      <c r="G1251" s="228">
        <v>0</v>
      </c>
      <c r="H1251" s="228"/>
      <c r="I1251" s="228"/>
      <c r="J1251" s="228"/>
      <c r="K1251" s="228"/>
      <c r="L1251" s="228"/>
      <c r="M1251" s="228"/>
      <c r="N1251" s="228"/>
      <c r="O1251" s="228"/>
      <c r="P1251" s="228">
        <v>0</v>
      </c>
      <c r="Q1251" s="228">
        <v>0</v>
      </c>
    </row>
    <row r="1252" spans="1:17">
      <c r="A1252"/>
      <c r="B1252" s="165" t="s">
        <v>1241</v>
      </c>
      <c r="C1252" s="165">
        <v>5500</v>
      </c>
      <c r="D1252" s="228"/>
      <c r="E1252" s="228"/>
      <c r="F1252" s="228">
        <v>0</v>
      </c>
      <c r="G1252" s="228">
        <v>0</v>
      </c>
      <c r="H1252" s="228"/>
      <c r="I1252" s="228"/>
      <c r="J1252" s="228"/>
      <c r="K1252" s="228"/>
      <c r="L1252" s="228"/>
      <c r="M1252" s="228"/>
      <c r="N1252" s="228"/>
      <c r="O1252" s="228"/>
      <c r="P1252" s="228">
        <v>0</v>
      </c>
      <c r="Q1252" s="228">
        <v>0</v>
      </c>
    </row>
    <row r="1253" spans="1:17">
      <c r="A1253"/>
      <c r="B1253" s="165" t="s">
        <v>911</v>
      </c>
      <c r="C1253" s="165">
        <v>5500</v>
      </c>
      <c r="D1253" s="228"/>
      <c r="E1253" s="228"/>
      <c r="F1253" s="228">
        <v>0</v>
      </c>
      <c r="G1253" s="228">
        <v>0</v>
      </c>
      <c r="H1253" s="228"/>
      <c r="I1253" s="228"/>
      <c r="J1253" s="228"/>
      <c r="K1253" s="228"/>
      <c r="L1253" s="228"/>
      <c r="M1253" s="228"/>
      <c r="N1253" s="228"/>
      <c r="O1253" s="228"/>
      <c r="P1253" s="228">
        <v>0</v>
      </c>
      <c r="Q1253" s="228">
        <v>0</v>
      </c>
    </row>
    <row r="1254" spans="1:17">
      <c r="A1254"/>
      <c r="B1254" s="165" t="s">
        <v>270</v>
      </c>
      <c r="C1254" s="165">
        <v>5500</v>
      </c>
      <c r="D1254" s="228"/>
      <c r="E1254" s="228"/>
      <c r="F1254" s="228">
        <v>0</v>
      </c>
      <c r="G1254" s="228">
        <v>0</v>
      </c>
      <c r="H1254" s="228"/>
      <c r="I1254" s="228"/>
      <c r="J1254" s="228"/>
      <c r="K1254" s="228"/>
      <c r="L1254" s="228"/>
      <c r="M1254" s="228"/>
      <c r="N1254" s="228"/>
      <c r="O1254" s="228"/>
      <c r="P1254" s="228">
        <v>0</v>
      </c>
      <c r="Q1254" s="228">
        <v>0</v>
      </c>
    </row>
    <row r="1255" spans="1:17">
      <c r="A1255"/>
      <c r="B1255" s="165" t="s">
        <v>162</v>
      </c>
      <c r="C1255" s="165">
        <v>5500</v>
      </c>
      <c r="D1255" s="228"/>
      <c r="E1255" s="228"/>
      <c r="F1255" s="228">
        <v>0</v>
      </c>
      <c r="G1255" s="228">
        <v>0</v>
      </c>
      <c r="H1255" s="228"/>
      <c r="I1255" s="228"/>
      <c r="J1255" s="228"/>
      <c r="K1255" s="228"/>
      <c r="L1255" s="228"/>
      <c r="M1255" s="228"/>
      <c r="N1255" s="228"/>
      <c r="O1255" s="228"/>
      <c r="P1255" s="228">
        <v>0</v>
      </c>
      <c r="Q1255" s="228">
        <v>0</v>
      </c>
    </row>
    <row r="1256" spans="1:17">
      <c r="A1256"/>
      <c r="B1256"/>
      <c r="C1256" s="165">
        <v>5755</v>
      </c>
      <c r="D1256" s="228"/>
      <c r="E1256" s="228"/>
      <c r="F1256" s="228"/>
      <c r="G1256" s="228"/>
      <c r="H1256" s="228">
        <v>10000</v>
      </c>
      <c r="I1256" s="228">
        <v>57550000</v>
      </c>
      <c r="J1256" s="228"/>
      <c r="K1256" s="228"/>
      <c r="L1256" s="228"/>
      <c r="M1256" s="228"/>
      <c r="N1256" s="228"/>
      <c r="O1256" s="228"/>
      <c r="P1256" s="228">
        <v>10000</v>
      </c>
      <c r="Q1256" s="228">
        <v>57550000</v>
      </c>
    </row>
    <row r="1257" spans="1:17">
      <c r="A1257"/>
      <c r="B1257"/>
      <c r="C1257" s="165">
        <v>5770</v>
      </c>
      <c r="D1257" s="228"/>
      <c r="E1257" s="228"/>
      <c r="F1257" s="228"/>
      <c r="G1257" s="228"/>
      <c r="H1257" s="228"/>
      <c r="I1257" s="228"/>
      <c r="J1257" s="228">
        <v>10000</v>
      </c>
      <c r="K1257" s="228">
        <v>57700000</v>
      </c>
      <c r="L1257" s="228"/>
      <c r="M1257" s="228"/>
      <c r="N1257" s="228"/>
      <c r="O1257" s="228"/>
      <c r="P1257" s="228">
        <v>10000</v>
      </c>
      <c r="Q1257" s="228">
        <v>57700000</v>
      </c>
    </row>
    <row r="1258" spans="1:17">
      <c r="A1258"/>
      <c r="B1258"/>
      <c r="C1258" s="165">
        <v>5840</v>
      </c>
      <c r="D1258" s="228"/>
      <c r="E1258" s="228"/>
      <c r="F1258" s="228"/>
      <c r="G1258" s="228"/>
      <c r="H1258" s="228"/>
      <c r="I1258" s="228"/>
      <c r="J1258" s="228"/>
      <c r="K1258" s="228"/>
      <c r="L1258" s="228">
        <v>10000</v>
      </c>
      <c r="M1258" s="228">
        <v>58400000</v>
      </c>
      <c r="N1258" s="228"/>
      <c r="O1258" s="228"/>
      <c r="P1258" s="228">
        <v>10000</v>
      </c>
      <c r="Q1258" s="228">
        <v>58400000</v>
      </c>
    </row>
    <row r="1259" spans="1:17">
      <c r="A1259"/>
      <c r="B1259"/>
      <c r="C1259" s="165">
        <v>6010</v>
      </c>
      <c r="D1259" s="228"/>
      <c r="E1259" s="228"/>
      <c r="F1259" s="228"/>
      <c r="G1259" s="228"/>
      <c r="H1259" s="228"/>
      <c r="I1259" s="228"/>
      <c r="J1259" s="228"/>
      <c r="K1259" s="228"/>
      <c r="L1259" s="228">
        <v>10000</v>
      </c>
      <c r="M1259" s="228">
        <v>60100000</v>
      </c>
      <c r="N1259" s="228"/>
      <c r="O1259" s="228"/>
      <c r="P1259" s="228">
        <v>10000</v>
      </c>
      <c r="Q1259" s="228">
        <v>60100000</v>
      </c>
    </row>
    <row r="1260" spans="1:17">
      <c r="A1260"/>
      <c r="B1260" s="165" t="s">
        <v>1237</v>
      </c>
      <c r="C1260" s="165">
        <v>5500</v>
      </c>
      <c r="D1260" s="228"/>
      <c r="E1260" s="228"/>
      <c r="F1260" s="228">
        <v>0</v>
      </c>
      <c r="G1260" s="228">
        <v>0</v>
      </c>
      <c r="H1260" s="228"/>
      <c r="I1260" s="228"/>
      <c r="J1260" s="228"/>
      <c r="K1260" s="228"/>
      <c r="L1260" s="228"/>
      <c r="M1260" s="228"/>
      <c r="N1260" s="228"/>
      <c r="O1260" s="228"/>
      <c r="P1260" s="228">
        <v>0</v>
      </c>
      <c r="Q1260" s="228">
        <v>0</v>
      </c>
    </row>
    <row r="1261" spans="1:17">
      <c r="A1261"/>
      <c r="B1261" s="165" t="s">
        <v>266</v>
      </c>
      <c r="C1261" s="165">
        <v>5500</v>
      </c>
      <c r="D1261" s="228"/>
      <c r="E1261" s="228"/>
      <c r="F1261" s="228">
        <v>0</v>
      </c>
      <c r="G1261" s="228">
        <v>0</v>
      </c>
      <c r="H1261" s="228"/>
      <c r="I1261" s="228"/>
      <c r="J1261" s="228"/>
      <c r="K1261" s="228"/>
      <c r="L1261" s="228"/>
      <c r="M1261" s="228"/>
      <c r="N1261" s="228"/>
      <c r="O1261" s="228"/>
      <c r="P1261" s="228">
        <v>0</v>
      </c>
      <c r="Q1261" s="228">
        <v>0</v>
      </c>
    </row>
    <row r="1262" spans="1:17">
      <c r="A1262"/>
      <c r="B1262" s="165" t="s">
        <v>25</v>
      </c>
      <c r="C1262" s="165">
        <v>5500</v>
      </c>
      <c r="D1262" s="228">
        <v>3000</v>
      </c>
      <c r="E1262" s="228">
        <v>16500000</v>
      </c>
      <c r="F1262" s="228"/>
      <c r="G1262" s="228"/>
      <c r="H1262" s="228"/>
      <c r="I1262" s="228"/>
      <c r="J1262" s="228"/>
      <c r="K1262" s="228"/>
      <c r="L1262" s="228"/>
      <c r="M1262" s="228"/>
      <c r="N1262" s="228"/>
      <c r="O1262" s="228"/>
      <c r="P1262" s="228">
        <v>3000</v>
      </c>
      <c r="Q1262" s="228">
        <v>16500000</v>
      </c>
    </row>
    <row r="1263" spans="1:17">
      <c r="A1263"/>
      <c r="B1263" s="165" t="s">
        <v>130</v>
      </c>
      <c r="C1263" s="165">
        <v>5500</v>
      </c>
      <c r="D1263" s="228"/>
      <c r="E1263" s="228"/>
      <c r="F1263" s="228">
        <v>0</v>
      </c>
      <c r="G1263" s="228">
        <v>0</v>
      </c>
      <c r="H1263" s="228"/>
      <c r="I1263" s="228"/>
      <c r="J1263" s="228"/>
      <c r="K1263" s="228"/>
      <c r="L1263" s="228"/>
      <c r="M1263" s="228"/>
      <c r="N1263" s="228"/>
      <c r="O1263" s="228"/>
      <c r="P1263" s="228">
        <v>0</v>
      </c>
      <c r="Q1263" s="228">
        <v>0</v>
      </c>
    </row>
    <row r="1264" spans="1:17">
      <c r="A1264"/>
      <c r="B1264" s="165" t="s">
        <v>188</v>
      </c>
      <c r="C1264" s="165">
        <v>5500</v>
      </c>
      <c r="D1264" s="228">
        <v>0</v>
      </c>
      <c r="E1264" s="228">
        <v>0</v>
      </c>
      <c r="F1264" s="228">
        <v>0</v>
      </c>
      <c r="G1264" s="228">
        <v>0</v>
      </c>
      <c r="H1264" s="228"/>
      <c r="I1264" s="228"/>
      <c r="J1264" s="228"/>
      <c r="K1264" s="228"/>
      <c r="L1264" s="228"/>
      <c r="M1264" s="228"/>
      <c r="N1264" s="228"/>
      <c r="O1264" s="228"/>
      <c r="P1264" s="228">
        <v>0</v>
      </c>
      <c r="Q1264" s="228">
        <v>0</v>
      </c>
    </row>
    <row r="1265" spans="1:17">
      <c r="A1265"/>
      <c r="B1265" s="165" t="s">
        <v>1009</v>
      </c>
      <c r="C1265" s="165">
        <v>5500</v>
      </c>
      <c r="D1265" s="228"/>
      <c r="E1265" s="228"/>
      <c r="F1265" s="228">
        <v>0</v>
      </c>
      <c r="G1265" s="228">
        <v>0</v>
      </c>
      <c r="H1265" s="228"/>
      <c r="I1265" s="228"/>
      <c r="J1265" s="228"/>
      <c r="K1265" s="228"/>
      <c r="L1265" s="228"/>
      <c r="M1265" s="228"/>
      <c r="N1265" s="228"/>
      <c r="O1265" s="228"/>
      <c r="P1265" s="228">
        <v>0</v>
      </c>
      <c r="Q1265" s="228">
        <v>0</v>
      </c>
    </row>
    <row r="1266" spans="1:17">
      <c r="A1266"/>
      <c r="B1266" s="165" t="s">
        <v>921</v>
      </c>
      <c r="C1266" s="165">
        <v>5500</v>
      </c>
      <c r="D1266" s="228"/>
      <c r="E1266" s="228"/>
      <c r="F1266" s="228">
        <v>0</v>
      </c>
      <c r="G1266" s="228">
        <v>0</v>
      </c>
      <c r="H1266" s="228"/>
      <c r="I1266" s="228"/>
      <c r="J1266" s="228"/>
      <c r="K1266" s="228"/>
      <c r="L1266" s="228"/>
      <c r="M1266" s="228"/>
      <c r="N1266" s="228"/>
      <c r="O1266" s="228"/>
      <c r="P1266" s="228">
        <v>0</v>
      </c>
      <c r="Q1266" s="228">
        <v>0</v>
      </c>
    </row>
    <row r="1267" spans="1:17">
      <c r="A1267"/>
      <c r="B1267" s="165" t="s">
        <v>1086</v>
      </c>
      <c r="C1267" s="165">
        <v>6500</v>
      </c>
      <c r="D1267" s="228"/>
      <c r="E1267" s="228"/>
      <c r="F1267" s="228">
        <v>0</v>
      </c>
      <c r="G1267" s="228">
        <v>0</v>
      </c>
      <c r="H1267" s="228"/>
      <c r="I1267" s="228"/>
      <c r="J1267" s="228"/>
      <c r="K1267" s="228"/>
      <c r="L1267" s="228"/>
      <c r="M1267" s="228"/>
      <c r="N1267" s="228"/>
      <c r="O1267" s="228"/>
      <c r="P1267" s="228">
        <v>0</v>
      </c>
      <c r="Q1267" s="228">
        <v>0</v>
      </c>
    </row>
    <row r="1268" spans="1:17">
      <c r="A1268"/>
      <c r="B1268" s="165" t="s">
        <v>213</v>
      </c>
      <c r="C1268" s="165">
        <v>5500</v>
      </c>
      <c r="D1268" s="228"/>
      <c r="E1268" s="228"/>
      <c r="F1268" s="228">
        <v>0</v>
      </c>
      <c r="G1268" s="228">
        <v>0</v>
      </c>
      <c r="H1268" s="228"/>
      <c r="I1268" s="228"/>
      <c r="J1268" s="228"/>
      <c r="K1268" s="228"/>
      <c r="L1268" s="228"/>
      <c r="M1268" s="228"/>
      <c r="N1268" s="228"/>
      <c r="O1268" s="228"/>
      <c r="P1268" s="228">
        <v>0</v>
      </c>
      <c r="Q1268" s="228">
        <v>0</v>
      </c>
    </row>
    <row r="1269" spans="1:17">
      <c r="A1269"/>
      <c r="B1269" s="165" t="s">
        <v>278</v>
      </c>
      <c r="C1269" s="165">
        <v>5500</v>
      </c>
      <c r="D1269" s="228">
        <v>0</v>
      </c>
      <c r="E1269" s="228">
        <v>0</v>
      </c>
      <c r="F1269" s="228">
        <v>0</v>
      </c>
      <c r="G1269" s="228">
        <v>0</v>
      </c>
      <c r="H1269" s="228"/>
      <c r="I1269" s="228"/>
      <c r="J1269" s="228"/>
      <c r="K1269" s="228"/>
      <c r="L1269" s="228"/>
      <c r="M1269" s="228"/>
      <c r="N1269" s="228"/>
      <c r="O1269" s="228"/>
      <c r="P1269" s="228">
        <v>0</v>
      </c>
      <c r="Q1269" s="228">
        <v>0</v>
      </c>
    </row>
    <row r="1270" spans="1:17">
      <c r="A1270"/>
      <c r="B1270" s="165" t="s">
        <v>1188</v>
      </c>
      <c r="C1270" s="165">
        <v>5590</v>
      </c>
      <c r="D1270" s="228"/>
      <c r="E1270" s="228"/>
      <c r="F1270" s="228">
        <v>0</v>
      </c>
      <c r="G1270" s="228">
        <v>0</v>
      </c>
      <c r="H1270" s="228"/>
      <c r="I1270" s="228"/>
      <c r="J1270" s="228"/>
      <c r="K1270" s="228"/>
      <c r="L1270" s="228"/>
      <c r="M1270" s="228"/>
      <c r="N1270" s="228"/>
      <c r="O1270" s="228"/>
      <c r="P1270" s="228">
        <v>0</v>
      </c>
      <c r="Q1270" s="228">
        <v>0</v>
      </c>
    </row>
    <row r="1271" spans="1:17">
      <c r="A1271"/>
      <c r="B1271" s="165" t="s">
        <v>1163</v>
      </c>
      <c r="C1271" s="165">
        <v>5500</v>
      </c>
      <c r="D1271" s="228"/>
      <c r="E1271" s="228"/>
      <c r="F1271" s="228"/>
      <c r="G1271" s="228"/>
      <c r="H1271" s="228"/>
      <c r="I1271" s="228"/>
      <c r="J1271" s="228">
        <v>10000</v>
      </c>
      <c r="K1271" s="228">
        <v>55000000</v>
      </c>
      <c r="L1271" s="228"/>
      <c r="M1271" s="228"/>
      <c r="N1271" s="228"/>
      <c r="O1271" s="228"/>
      <c r="P1271" s="228">
        <v>10000</v>
      </c>
      <c r="Q1271" s="228">
        <v>55000000</v>
      </c>
    </row>
    <row r="1272" spans="1:17">
      <c r="A1272"/>
      <c r="B1272" s="165" t="s">
        <v>1066</v>
      </c>
      <c r="C1272" s="165">
        <v>5500</v>
      </c>
      <c r="D1272" s="228"/>
      <c r="E1272" s="228"/>
      <c r="F1272" s="228">
        <v>0</v>
      </c>
      <c r="G1272" s="228">
        <v>0</v>
      </c>
      <c r="H1272" s="228"/>
      <c r="I1272" s="228"/>
      <c r="J1272" s="228"/>
      <c r="K1272" s="228"/>
      <c r="L1272" s="228"/>
      <c r="M1272" s="228"/>
      <c r="N1272" s="228"/>
      <c r="O1272" s="228"/>
      <c r="P1272" s="228">
        <v>0</v>
      </c>
      <c r="Q1272" s="228">
        <v>0</v>
      </c>
    </row>
    <row r="1273" spans="1:17">
      <c r="A1273"/>
      <c r="B1273" s="165" t="s">
        <v>396</v>
      </c>
      <c r="C1273" s="165">
        <v>6900</v>
      </c>
      <c r="D1273" s="228"/>
      <c r="E1273" s="228"/>
      <c r="F1273" s="228">
        <v>0</v>
      </c>
      <c r="G1273" s="228">
        <v>0</v>
      </c>
      <c r="H1273" s="228"/>
      <c r="I1273" s="228"/>
      <c r="J1273" s="228"/>
      <c r="K1273" s="228"/>
      <c r="L1273" s="228"/>
      <c r="M1273" s="228"/>
      <c r="N1273" s="228"/>
      <c r="O1273" s="228"/>
      <c r="P1273" s="228">
        <v>0</v>
      </c>
      <c r="Q1273" s="228">
        <v>0</v>
      </c>
    </row>
    <row r="1274" spans="1:17">
      <c r="A1274"/>
      <c r="B1274"/>
      <c r="C1274" s="165">
        <v>7000</v>
      </c>
      <c r="D1274" s="228"/>
      <c r="E1274" s="228"/>
      <c r="F1274" s="228"/>
      <c r="G1274" s="228"/>
      <c r="H1274" s="228">
        <v>10000</v>
      </c>
      <c r="I1274" s="228">
        <v>70000000</v>
      </c>
      <c r="J1274" s="228"/>
      <c r="K1274" s="228"/>
      <c r="L1274" s="228"/>
      <c r="M1274" s="228"/>
      <c r="N1274" s="228"/>
      <c r="O1274" s="228"/>
      <c r="P1274" s="228">
        <v>10000</v>
      </c>
      <c r="Q1274" s="228">
        <v>70000000</v>
      </c>
    </row>
    <row r="1275" spans="1:17">
      <c r="A1275"/>
      <c r="B1275"/>
      <c r="C1275" s="165">
        <v>7300</v>
      </c>
      <c r="D1275" s="228"/>
      <c r="E1275" s="228"/>
      <c r="F1275" s="228"/>
      <c r="G1275" s="228"/>
      <c r="H1275" s="228"/>
      <c r="I1275" s="228"/>
      <c r="J1275" s="228"/>
      <c r="K1275" s="228"/>
      <c r="L1275" s="228">
        <v>20000</v>
      </c>
      <c r="M1275" s="228">
        <v>146000000</v>
      </c>
      <c r="N1275" s="228"/>
      <c r="O1275" s="228"/>
      <c r="P1275" s="228">
        <v>20000</v>
      </c>
      <c r="Q1275" s="228">
        <v>146000000</v>
      </c>
    </row>
    <row r="1276" spans="1:17">
      <c r="A1276"/>
      <c r="B1276" s="165" t="s">
        <v>103</v>
      </c>
      <c r="C1276" s="165">
        <v>5500</v>
      </c>
      <c r="D1276" s="228"/>
      <c r="E1276" s="228"/>
      <c r="F1276" s="228">
        <v>0</v>
      </c>
      <c r="G1276" s="228">
        <v>0</v>
      </c>
      <c r="H1276" s="228"/>
      <c r="I1276" s="228"/>
      <c r="J1276" s="228"/>
      <c r="K1276" s="228"/>
      <c r="L1276" s="228"/>
      <c r="M1276" s="228"/>
      <c r="N1276" s="228"/>
      <c r="O1276" s="228"/>
      <c r="P1276" s="228">
        <v>0</v>
      </c>
      <c r="Q1276" s="228">
        <v>0</v>
      </c>
    </row>
    <row r="1277" spans="1:17">
      <c r="A1277"/>
      <c r="B1277"/>
      <c r="C1277" s="165">
        <v>7100</v>
      </c>
      <c r="D1277" s="228"/>
      <c r="E1277" s="228"/>
      <c r="F1277" s="228"/>
      <c r="G1277" s="228"/>
      <c r="H1277" s="228">
        <v>20000</v>
      </c>
      <c r="I1277" s="228">
        <v>142000000</v>
      </c>
      <c r="J1277" s="228"/>
      <c r="K1277" s="228"/>
      <c r="L1277" s="228"/>
      <c r="M1277" s="228"/>
      <c r="N1277" s="228"/>
      <c r="O1277" s="228"/>
      <c r="P1277" s="228">
        <v>20000</v>
      </c>
      <c r="Q1277" s="228">
        <v>142000000</v>
      </c>
    </row>
    <row r="1278" spans="1:17">
      <c r="A1278"/>
      <c r="B1278"/>
      <c r="C1278" s="165">
        <v>7200</v>
      </c>
      <c r="D1278" s="228"/>
      <c r="E1278" s="228"/>
      <c r="F1278" s="228"/>
      <c r="G1278" s="228"/>
      <c r="H1278" s="228"/>
      <c r="I1278" s="228"/>
      <c r="J1278" s="228"/>
      <c r="K1278" s="228"/>
      <c r="L1278" s="228">
        <v>22600</v>
      </c>
      <c r="M1278" s="228">
        <v>162720000</v>
      </c>
      <c r="N1278" s="228"/>
      <c r="O1278" s="228"/>
      <c r="P1278" s="228">
        <v>22600</v>
      </c>
      <c r="Q1278" s="228">
        <v>162720000</v>
      </c>
    </row>
    <row r="1279" spans="1:17">
      <c r="A1279" s="165" t="s">
        <v>2172</v>
      </c>
      <c r="B1279" s="165" t="s">
        <v>188</v>
      </c>
      <c r="C1279" s="165">
        <v>11000</v>
      </c>
      <c r="D1279" s="228"/>
      <c r="E1279" s="228"/>
      <c r="F1279" s="228"/>
      <c r="G1279" s="228"/>
      <c r="H1279" s="228"/>
      <c r="I1279" s="228"/>
      <c r="J1279" s="228"/>
      <c r="K1279" s="228"/>
      <c r="L1279" s="228">
        <v>15000</v>
      </c>
      <c r="M1279" s="228">
        <v>165000000</v>
      </c>
      <c r="N1279" s="228"/>
      <c r="O1279" s="228"/>
      <c r="P1279" s="228">
        <v>15000</v>
      </c>
      <c r="Q1279" s="228">
        <v>165000000</v>
      </c>
    </row>
    <row r="1280" spans="1:17">
      <c r="A1280" s="165" t="s">
        <v>2019</v>
      </c>
      <c r="B1280" s="165" t="s">
        <v>168</v>
      </c>
      <c r="C1280" s="165">
        <v>9300</v>
      </c>
      <c r="D1280" s="228"/>
      <c r="E1280" s="228"/>
      <c r="F1280" s="228"/>
      <c r="G1280" s="228"/>
      <c r="H1280" s="228"/>
      <c r="I1280" s="228"/>
      <c r="J1280" s="228"/>
      <c r="K1280" s="228"/>
      <c r="L1280" s="228">
        <v>5100</v>
      </c>
      <c r="M1280" s="228">
        <v>47430000</v>
      </c>
      <c r="N1280" s="228"/>
      <c r="O1280" s="228"/>
      <c r="P1280" s="228">
        <v>5100</v>
      </c>
      <c r="Q1280" s="228">
        <v>47430000</v>
      </c>
    </row>
    <row r="1281" spans="1:17">
      <c r="A1281"/>
      <c r="B1281" s="165" t="s">
        <v>1241</v>
      </c>
      <c r="C1281" s="165">
        <v>8800</v>
      </c>
      <c r="D1281" s="228"/>
      <c r="E1281" s="228"/>
      <c r="F1281" s="228"/>
      <c r="G1281" s="228"/>
      <c r="H1281" s="228"/>
      <c r="I1281" s="228"/>
      <c r="J1281" s="228"/>
      <c r="K1281" s="228"/>
      <c r="L1281" s="228">
        <v>28050</v>
      </c>
      <c r="M1281" s="228">
        <v>246840000</v>
      </c>
      <c r="N1281" s="228"/>
      <c r="O1281" s="228"/>
      <c r="P1281" s="228">
        <v>28050</v>
      </c>
      <c r="Q1281" s="228">
        <v>246840000</v>
      </c>
    </row>
    <row r="1282" spans="1:17">
      <c r="A1282"/>
      <c r="B1282" s="165" t="s">
        <v>1279</v>
      </c>
      <c r="C1282" s="165">
        <v>9100</v>
      </c>
      <c r="D1282" s="228"/>
      <c r="E1282" s="228"/>
      <c r="F1282" s="228"/>
      <c r="G1282" s="228"/>
      <c r="H1282" s="228"/>
      <c r="I1282" s="228"/>
      <c r="J1282" s="228"/>
      <c r="K1282" s="228"/>
      <c r="L1282" s="228">
        <v>2100</v>
      </c>
      <c r="M1282" s="228">
        <v>19110000</v>
      </c>
      <c r="N1282" s="228"/>
      <c r="O1282" s="228"/>
      <c r="P1282" s="228">
        <v>2100</v>
      </c>
      <c r="Q1282" s="228">
        <v>19110000</v>
      </c>
    </row>
    <row r="1283" spans="1:17">
      <c r="A1283"/>
      <c r="B1283" s="165" t="s">
        <v>162</v>
      </c>
      <c r="C1283" s="165">
        <v>9100</v>
      </c>
      <c r="D1283" s="228"/>
      <c r="E1283" s="228"/>
      <c r="F1283" s="228"/>
      <c r="G1283" s="228"/>
      <c r="H1283" s="228"/>
      <c r="I1283" s="228"/>
      <c r="J1283" s="228"/>
      <c r="K1283" s="228"/>
      <c r="L1283" s="228">
        <v>5100</v>
      </c>
      <c r="M1283" s="228">
        <v>46410000</v>
      </c>
      <c r="N1283" s="228"/>
      <c r="O1283" s="228"/>
      <c r="P1283" s="228">
        <v>5100</v>
      </c>
      <c r="Q1283" s="228">
        <v>46410000</v>
      </c>
    </row>
    <row r="1284" spans="1:17">
      <c r="A1284"/>
      <c r="B1284" s="165" t="s">
        <v>1009</v>
      </c>
      <c r="C1284" s="165">
        <v>9100</v>
      </c>
      <c r="D1284" s="228"/>
      <c r="E1284" s="228"/>
      <c r="F1284" s="228"/>
      <c r="G1284" s="228"/>
      <c r="H1284" s="228"/>
      <c r="I1284" s="228"/>
      <c r="J1284" s="228"/>
      <c r="K1284" s="228"/>
      <c r="L1284" s="228">
        <v>10050</v>
      </c>
      <c r="M1284" s="228">
        <v>91455000</v>
      </c>
      <c r="N1284" s="228"/>
      <c r="O1284" s="228"/>
      <c r="P1284" s="228">
        <v>10050</v>
      </c>
      <c r="Q1284" s="228">
        <v>91455000</v>
      </c>
    </row>
    <row r="1285" spans="1:17">
      <c r="A1285"/>
      <c r="B1285" s="165" t="s">
        <v>1086</v>
      </c>
      <c r="C1285" s="165">
        <v>9400</v>
      </c>
      <c r="D1285" s="228"/>
      <c r="E1285" s="228"/>
      <c r="F1285" s="228"/>
      <c r="G1285" s="228"/>
      <c r="H1285" s="228"/>
      <c r="I1285" s="228"/>
      <c r="J1285" s="228"/>
      <c r="K1285" s="228"/>
      <c r="L1285" s="228">
        <v>5100</v>
      </c>
      <c r="M1285" s="228">
        <v>47940000</v>
      </c>
      <c r="N1285" s="228"/>
      <c r="O1285" s="228"/>
      <c r="P1285" s="228">
        <v>5100</v>
      </c>
      <c r="Q1285" s="228">
        <v>47940000</v>
      </c>
    </row>
    <row r="1286" spans="1:17">
      <c r="A1286"/>
      <c r="B1286" s="165" t="s">
        <v>1188</v>
      </c>
      <c r="C1286" s="165">
        <v>8900</v>
      </c>
      <c r="D1286" s="228"/>
      <c r="E1286" s="228"/>
      <c r="F1286" s="228"/>
      <c r="G1286" s="228"/>
      <c r="H1286" s="228">
        <v>3000</v>
      </c>
      <c r="I1286" s="228">
        <v>26700000</v>
      </c>
      <c r="J1286" s="228"/>
      <c r="K1286" s="228"/>
      <c r="L1286" s="228"/>
      <c r="M1286" s="228"/>
      <c r="N1286" s="228"/>
      <c r="O1286" s="228"/>
      <c r="P1286" s="228">
        <v>3000</v>
      </c>
      <c r="Q1286" s="228">
        <v>26700000</v>
      </c>
    </row>
    <row r="1287" spans="1:17">
      <c r="A1287"/>
      <c r="B1287"/>
      <c r="C1287" s="165">
        <v>9100</v>
      </c>
      <c r="D1287" s="228"/>
      <c r="E1287" s="228"/>
      <c r="F1287" s="228"/>
      <c r="G1287" s="228"/>
      <c r="H1287" s="228"/>
      <c r="I1287" s="228"/>
      <c r="J1287" s="228"/>
      <c r="K1287" s="228"/>
      <c r="L1287" s="228">
        <v>6000</v>
      </c>
      <c r="M1287" s="228">
        <v>54600000</v>
      </c>
      <c r="N1287" s="228"/>
      <c r="O1287" s="228"/>
      <c r="P1287" s="228">
        <v>6000</v>
      </c>
      <c r="Q1287" s="228">
        <v>54600000</v>
      </c>
    </row>
    <row r="1288" spans="1:17">
      <c r="A1288"/>
      <c r="B1288"/>
      <c r="C1288" s="165">
        <v>9200</v>
      </c>
      <c r="D1288" s="228"/>
      <c r="E1288" s="228"/>
      <c r="F1288" s="228"/>
      <c r="G1288" s="228"/>
      <c r="H1288" s="228"/>
      <c r="I1288" s="228"/>
      <c r="J1288" s="228"/>
      <c r="K1288" s="228"/>
      <c r="L1288" s="228">
        <v>3000</v>
      </c>
      <c r="M1288" s="228">
        <v>27600000</v>
      </c>
      <c r="N1288" s="228"/>
      <c r="O1288" s="228"/>
      <c r="P1288" s="228">
        <v>3000</v>
      </c>
      <c r="Q1288" s="228">
        <v>27600000</v>
      </c>
    </row>
    <row r="1289" spans="1:17">
      <c r="A1289"/>
      <c r="B1289" s="165" t="s">
        <v>987</v>
      </c>
      <c r="C1289" s="165">
        <v>9400</v>
      </c>
      <c r="D1289" s="228"/>
      <c r="E1289" s="228"/>
      <c r="F1289" s="228"/>
      <c r="G1289" s="228"/>
      <c r="H1289" s="228"/>
      <c r="I1289" s="228"/>
      <c r="J1289" s="228"/>
      <c r="K1289" s="228"/>
      <c r="L1289" s="228">
        <v>10200</v>
      </c>
      <c r="M1289" s="228">
        <v>95880000</v>
      </c>
      <c r="N1289" s="228"/>
      <c r="O1289" s="228"/>
      <c r="P1289" s="228">
        <v>10200</v>
      </c>
      <c r="Q1289" s="228">
        <v>95880000</v>
      </c>
    </row>
    <row r="1290" spans="1:17">
      <c r="A1290" s="165" t="s">
        <v>2023</v>
      </c>
      <c r="B1290" s="165" t="s">
        <v>1279</v>
      </c>
      <c r="C1290" s="165">
        <v>10900</v>
      </c>
      <c r="D1290" s="228"/>
      <c r="E1290" s="228"/>
      <c r="F1290" s="228"/>
      <c r="G1290" s="228"/>
      <c r="H1290" s="228"/>
      <c r="I1290" s="228"/>
      <c r="J1290" s="228"/>
      <c r="K1290" s="228"/>
      <c r="L1290" s="228">
        <v>2000</v>
      </c>
      <c r="M1290" s="228">
        <v>21800000</v>
      </c>
      <c r="N1290" s="228"/>
      <c r="O1290" s="228"/>
      <c r="P1290" s="228">
        <v>2000</v>
      </c>
      <c r="Q1290" s="228">
        <v>21800000</v>
      </c>
    </row>
    <row r="1291" spans="1:17">
      <c r="A1291"/>
      <c r="B1291" s="165" t="s">
        <v>243</v>
      </c>
      <c r="C1291" s="165">
        <v>10100</v>
      </c>
      <c r="D1291" s="228"/>
      <c r="E1291" s="228"/>
      <c r="F1291" s="228"/>
      <c r="G1291" s="228"/>
      <c r="H1291" s="228"/>
      <c r="I1291" s="228"/>
      <c r="J1291" s="228"/>
      <c r="K1291" s="228"/>
      <c r="L1291" s="228">
        <v>5000</v>
      </c>
      <c r="M1291" s="228">
        <v>50500000</v>
      </c>
      <c r="N1291" s="228"/>
      <c r="O1291" s="228"/>
      <c r="P1291" s="228">
        <v>5000</v>
      </c>
      <c r="Q1291" s="228">
        <v>50500000</v>
      </c>
    </row>
    <row r="1292" spans="1:17">
      <c r="A1292"/>
      <c r="B1292" s="165" t="s">
        <v>257</v>
      </c>
      <c r="C1292" s="165">
        <v>11000</v>
      </c>
      <c r="D1292" s="228"/>
      <c r="E1292" s="228"/>
      <c r="F1292" s="228"/>
      <c r="G1292" s="228"/>
      <c r="H1292" s="228"/>
      <c r="I1292" s="228"/>
      <c r="J1292" s="228"/>
      <c r="K1292" s="228"/>
      <c r="L1292" s="228">
        <v>2000</v>
      </c>
      <c r="M1292" s="228">
        <v>22000000</v>
      </c>
      <c r="N1292" s="228"/>
      <c r="O1292" s="228"/>
      <c r="P1292" s="228">
        <v>2000</v>
      </c>
      <c r="Q1292" s="228">
        <v>22000000</v>
      </c>
    </row>
    <row r="1293" spans="1:17">
      <c r="A1293"/>
      <c r="B1293" s="165" t="s">
        <v>274</v>
      </c>
      <c r="C1293" s="165">
        <v>10100</v>
      </c>
      <c r="D1293" s="228"/>
      <c r="E1293" s="228"/>
      <c r="F1293" s="228"/>
      <c r="G1293" s="228"/>
      <c r="H1293" s="228"/>
      <c r="I1293" s="228"/>
      <c r="J1293" s="228"/>
      <c r="K1293" s="228"/>
      <c r="L1293" s="228">
        <v>5000</v>
      </c>
      <c r="M1293" s="228">
        <v>50500000</v>
      </c>
      <c r="N1293" s="228"/>
      <c r="O1293" s="228"/>
      <c r="P1293" s="228">
        <v>5000</v>
      </c>
      <c r="Q1293" s="228">
        <v>50500000</v>
      </c>
    </row>
    <row r="1294" spans="1:17">
      <c r="A1294"/>
      <c r="B1294" s="165" t="s">
        <v>270</v>
      </c>
      <c r="C1294" s="165">
        <v>10100</v>
      </c>
      <c r="D1294" s="228"/>
      <c r="E1294" s="228"/>
      <c r="F1294" s="228"/>
      <c r="G1294" s="228"/>
      <c r="H1294" s="228"/>
      <c r="I1294" s="228"/>
      <c r="J1294" s="228"/>
      <c r="K1294" s="228"/>
      <c r="L1294" s="228">
        <v>8000</v>
      </c>
      <c r="M1294" s="228">
        <v>80800000</v>
      </c>
      <c r="N1294" s="228"/>
      <c r="O1294" s="228"/>
      <c r="P1294" s="228">
        <v>8000</v>
      </c>
      <c r="Q1294" s="228">
        <v>80800000</v>
      </c>
    </row>
    <row r="1295" spans="1:17">
      <c r="A1295"/>
      <c r="B1295" s="165" t="s">
        <v>1428</v>
      </c>
      <c r="C1295" s="165">
        <v>10100</v>
      </c>
      <c r="D1295" s="228"/>
      <c r="E1295" s="228"/>
      <c r="F1295" s="228"/>
      <c r="G1295" s="228"/>
      <c r="H1295" s="228"/>
      <c r="I1295" s="228"/>
      <c r="J1295" s="228"/>
      <c r="K1295" s="228"/>
      <c r="L1295" s="228">
        <v>3500</v>
      </c>
      <c r="M1295" s="228">
        <v>35350000</v>
      </c>
      <c r="N1295" s="228"/>
      <c r="O1295" s="228"/>
      <c r="P1295" s="228">
        <v>3500</v>
      </c>
      <c r="Q1295" s="228">
        <v>35350000</v>
      </c>
    </row>
    <row r="1296" spans="1:17">
      <c r="A1296"/>
      <c r="B1296" s="165" t="s">
        <v>1047</v>
      </c>
      <c r="C1296" s="165">
        <v>11000</v>
      </c>
      <c r="D1296" s="228"/>
      <c r="E1296" s="228"/>
      <c r="F1296" s="228"/>
      <c r="G1296" s="228"/>
      <c r="H1296" s="228"/>
      <c r="I1296" s="228"/>
      <c r="J1296" s="228"/>
      <c r="K1296" s="228"/>
      <c r="L1296" s="228">
        <v>5000</v>
      </c>
      <c r="M1296" s="228">
        <v>55000000</v>
      </c>
      <c r="N1296" s="228"/>
      <c r="O1296" s="228"/>
      <c r="P1296" s="228">
        <v>5000</v>
      </c>
      <c r="Q1296" s="228">
        <v>55000000</v>
      </c>
    </row>
    <row r="1297" spans="1:17">
      <c r="A1297"/>
      <c r="B1297" s="165" t="s">
        <v>1619</v>
      </c>
      <c r="C1297" s="165">
        <v>11000</v>
      </c>
      <c r="D1297" s="228"/>
      <c r="E1297" s="228"/>
      <c r="F1297" s="228"/>
      <c r="G1297" s="228"/>
      <c r="H1297" s="228"/>
      <c r="I1297" s="228"/>
      <c r="J1297" s="228"/>
      <c r="K1297" s="228"/>
      <c r="L1297" s="228">
        <v>6000</v>
      </c>
      <c r="M1297" s="228">
        <v>66000000</v>
      </c>
      <c r="N1297" s="228"/>
      <c r="O1297" s="228"/>
      <c r="P1297" s="228">
        <v>6000</v>
      </c>
      <c r="Q1297" s="228">
        <v>66000000</v>
      </c>
    </row>
    <row r="1298" spans="1:17">
      <c r="A1298"/>
      <c r="B1298" s="165" t="s">
        <v>465</v>
      </c>
      <c r="C1298" s="165">
        <v>10800</v>
      </c>
      <c r="D1298" s="228"/>
      <c r="E1298" s="228"/>
      <c r="F1298" s="228"/>
      <c r="G1298" s="228"/>
      <c r="H1298" s="228"/>
      <c r="I1298" s="228"/>
      <c r="J1298" s="228"/>
      <c r="K1298" s="228"/>
      <c r="L1298" s="228">
        <v>12000</v>
      </c>
      <c r="M1298" s="228">
        <v>129600000</v>
      </c>
      <c r="N1298" s="228"/>
      <c r="O1298" s="228"/>
      <c r="P1298" s="228">
        <v>12000</v>
      </c>
      <c r="Q1298" s="228">
        <v>129600000</v>
      </c>
    </row>
    <row r="1299" spans="1:17">
      <c r="A1299"/>
      <c r="B1299" s="165" t="s">
        <v>1345</v>
      </c>
      <c r="C1299" s="165">
        <v>11000</v>
      </c>
      <c r="D1299" s="228">
        <v>0</v>
      </c>
      <c r="E1299" s="228">
        <v>0</v>
      </c>
      <c r="F1299" s="228"/>
      <c r="G1299" s="228"/>
      <c r="H1299" s="228"/>
      <c r="I1299" s="228"/>
      <c r="J1299" s="228"/>
      <c r="K1299" s="228"/>
      <c r="L1299" s="228"/>
      <c r="M1299" s="228"/>
      <c r="N1299" s="228"/>
      <c r="O1299" s="228"/>
      <c r="P1299" s="228">
        <v>0</v>
      </c>
      <c r="Q1299" s="228">
        <v>0</v>
      </c>
    </row>
    <row r="1300" spans="1:17">
      <c r="A1300"/>
      <c r="B1300" s="165" t="s">
        <v>130</v>
      </c>
      <c r="C1300" s="165">
        <v>10000</v>
      </c>
      <c r="D1300" s="228"/>
      <c r="E1300" s="228"/>
      <c r="F1300" s="228"/>
      <c r="G1300" s="228"/>
      <c r="H1300" s="228"/>
      <c r="I1300" s="228"/>
      <c r="J1300" s="228"/>
      <c r="K1300" s="228"/>
      <c r="L1300" s="228">
        <v>10000</v>
      </c>
      <c r="M1300" s="228">
        <v>100000000</v>
      </c>
      <c r="N1300" s="228"/>
      <c r="O1300" s="228"/>
      <c r="P1300" s="228">
        <v>10000</v>
      </c>
      <c r="Q1300" s="228">
        <v>100000000</v>
      </c>
    </row>
    <row r="1301" spans="1:17">
      <c r="A1301"/>
      <c r="B1301" s="165" t="s">
        <v>1009</v>
      </c>
      <c r="C1301" s="165">
        <v>10100</v>
      </c>
      <c r="D1301" s="228"/>
      <c r="E1301" s="228"/>
      <c r="F1301" s="228"/>
      <c r="G1301" s="228"/>
      <c r="H1301" s="228"/>
      <c r="I1301" s="228"/>
      <c r="J1301" s="228"/>
      <c r="K1301" s="228"/>
      <c r="L1301" s="228">
        <v>10000</v>
      </c>
      <c r="M1301" s="228">
        <v>101000000</v>
      </c>
      <c r="N1301" s="228"/>
      <c r="O1301" s="228"/>
      <c r="P1301" s="228">
        <v>10000</v>
      </c>
      <c r="Q1301" s="228">
        <v>101000000</v>
      </c>
    </row>
    <row r="1302" spans="1:17">
      <c r="A1302"/>
      <c r="B1302" s="165" t="s">
        <v>1060</v>
      </c>
      <c r="C1302" s="165">
        <v>10800</v>
      </c>
      <c r="D1302" s="228"/>
      <c r="E1302" s="228"/>
      <c r="F1302" s="228"/>
      <c r="G1302" s="228"/>
      <c r="H1302" s="228"/>
      <c r="I1302" s="228"/>
      <c r="J1302" s="228"/>
      <c r="K1302" s="228"/>
      <c r="L1302" s="228">
        <v>5000</v>
      </c>
      <c r="M1302" s="228">
        <v>54000000</v>
      </c>
      <c r="N1302" s="228"/>
      <c r="O1302" s="228"/>
      <c r="P1302" s="228">
        <v>5000</v>
      </c>
      <c r="Q1302" s="228">
        <v>54000000</v>
      </c>
    </row>
    <row r="1303" spans="1:17">
      <c r="A1303"/>
      <c r="B1303" s="165" t="s">
        <v>1188</v>
      </c>
      <c r="C1303" s="165">
        <v>11000</v>
      </c>
      <c r="D1303" s="228"/>
      <c r="E1303" s="228"/>
      <c r="F1303" s="228"/>
      <c r="G1303" s="228"/>
      <c r="H1303" s="228"/>
      <c r="I1303" s="228"/>
      <c r="J1303" s="228"/>
      <c r="K1303" s="228"/>
      <c r="L1303" s="228">
        <v>10000</v>
      </c>
      <c r="M1303" s="228">
        <v>110000000</v>
      </c>
      <c r="N1303" s="228"/>
      <c r="O1303" s="228"/>
      <c r="P1303" s="228">
        <v>10000</v>
      </c>
      <c r="Q1303" s="228">
        <v>110000000</v>
      </c>
    </row>
    <row r="1304" spans="1:17">
      <c r="A1304"/>
      <c r="B1304" s="165" t="s">
        <v>842</v>
      </c>
      <c r="C1304" s="165">
        <v>11000</v>
      </c>
      <c r="D1304" s="228"/>
      <c r="E1304" s="228"/>
      <c r="F1304" s="228"/>
      <c r="G1304" s="228"/>
      <c r="H1304" s="228"/>
      <c r="I1304" s="228"/>
      <c r="J1304" s="228"/>
      <c r="K1304" s="228"/>
      <c r="L1304" s="228">
        <v>15000</v>
      </c>
      <c r="M1304" s="228">
        <v>165000000</v>
      </c>
      <c r="N1304" s="228"/>
      <c r="O1304" s="228"/>
      <c r="P1304" s="228">
        <v>15000</v>
      </c>
      <c r="Q1304" s="228">
        <v>165000000</v>
      </c>
    </row>
    <row r="1305" spans="1:17">
      <c r="A1305"/>
      <c r="B1305" s="165" t="s">
        <v>1594</v>
      </c>
      <c r="C1305" s="165">
        <v>11000</v>
      </c>
      <c r="D1305" s="228"/>
      <c r="E1305" s="228"/>
      <c r="F1305" s="228"/>
      <c r="G1305" s="228"/>
      <c r="H1305" s="228"/>
      <c r="I1305" s="228"/>
      <c r="J1305" s="228"/>
      <c r="K1305" s="228"/>
      <c r="L1305" s="228">
        <v>3000</v>
      </c>
      <c r="M1305" s="228">
        <v>33000000</v>
      </c>
      <c r="N1305" s="228"/>
      <c r="O1305" s="228"/>
      <c r="P1305" s="228">
        <v>3000</v>
      </c>
      <c r="Q1305" s="228">
        <v>33000000</v>
      </c>
    </row>
    <row r="1306" spans="1:17">
      <c r="A1306"/>
      <c r="B1306" s="165" t="s">
        <v>605</v>
      </c>
      <c r="C1306" s="165">
        <v>10800</v>
      </c>
      <c r="D1306" s="228"/>
      <c r="E1306" s="228"/>
      <c r="F1306" s="228"/>
      <c r="G1306" s="228"/>
      <c r="H1306" s="228"/>
      <c r="I1306" s="228"/>
      <c r="J1306" s="228"/>
      <c r="K1306" s="228"/>
      <c r="L1306" s="228">
        <v>2500</v>
      </c>
      <c r="M1306" s="228">
        <v>27000000</v>
      </c>
      <c r="N1306" s="228"/>
      <c r="O1306" s="228"/>
      <c r="P1306" s="228">
        <v>2500</v>
      </c>
      <c r="Q1306" s="228">
        <v>27000000</v>
      </c>
    </row>
    <row r="1307" spans="1:17">
      <c r="A1307"/>
      <c r="B1307" s="165" t="s">
        <v>103</v>
      </c>
      <c r="C1307" s="165">
        <v>10100</v>
      </c>
      <c r="D1307" s="228"/>
      <c r="E1307" s="228"/>
      <c r="F1307" s="228"/>
      <c r="G1307" s="228"/>
      <c r="H1307" s="228"/>
      <c r="I1307" s="228"/>
      <c r="J1307" s="228"/>
      <c r="K1307" s="228"/>
      <c r="L1307" s="228">
        <v>20000</v>
      </c>
      <c r="M1307" s="228">
        <v>202000000</v>
      </c>
      <c r="N1307" s="228"/>
      <c r="O1307" s="228"/>
      <c r="P1307" s="228">
        <v>20000</v>
      </c>
      <c r="Q1307" s="228">
        <v>202000000</v>
      </c>
    </row>
    <row r="1308" spans="1:17">
      <c r="A1308"/>
      <c r="B1308" s="165" t="s">
        <v>1403</v>
      </c>
      <c r="C1308" s="165">
        <v>12300</v>
      </c>
      <c r="D1308" s="228"/>
      <c r="E1308" s="228"/>
      <c r="F1308" s="228"/>
      <c r="G1308" s="228"/>
      <c r="H1308" s="228"/>
      <c r="I1308" s="228"/>
      <c r="J1308" s="228"/>
      <c r="K1308" s="228"/>
      <c r="L1308" s="228">
        <v>20000</v>
      </c>
      <c r="M1308" s="228">
        <v>246000000</v>
      </c>
      <c r="N1308" s="228"/>
      <c r="O1308" s="228"/>
      <c r="P1308" s="228">
        <v>20000</v>
      </c>
      <c r="Q1308" s="228">
        <v>246000000</v>
      </c>
    </row>
    <row r="1309" spans="1:17">
      <c r="A1309" s="165" t="s">
        <v>2173</v>
      </c>
      <c r="B1309" s="165" t="s">
        <v>1627</v>
      </c>
      <c r="C1309" s="165">
        <v>8700</v>
      </c>
      <c r="D1309" s="228">
        <v>0</v>
      </c>
      <c r="E1309" s="228">
        <v>0</v>
      </c>
      <c r="F1309" s="228"/>
      <c r="G1309" s="228"/>
      <c r="H1309" s="228"/>
      <c r="I1309" s="228"/>
      <c r="J1309" s="228"/>
      <c r="K1309" s="228"/>
      <c r="L1309" s="228"/>
      <c r="M1309" s="228"/>
      <c r="N1309" s="228"/>
      <c r="O1309" s="228"/>
      <c r="P1309" s="228">
        <v>0</v>
      </c>
      <c r="Q1309" s="228">
        <v>0</v>
      </c>
    </row>
    <row r="1310" spans="1:17">
      <c r="A1310"/>
      <c r="B1310" s="165" t="s">
        <v>25</v>
      </c>
      <c r="C1310" s="165">
        <v>8700</v>
      </c>
      <c r="D1310" s="228"/>
      <c r="E1310" s="228"/>
      <c r="F1310" s="228"/>
      <c r="G1310" s="228"/>
      <c r="H1310" s="228">
        <v>700</v>
      </c>
      <c r="I1310" s="228">
        <v>6090000</v>
      </c>
      <c r="J1310" s="228">
        <v>700</v>
      </c>
      <c r="K1310" s="228">
        <v>6090000</v>
      </c>
      <c r="L1310" s="228">
        <v>700</v>
      </c>
      <c r="M1310" s="228">
        <v>6090000</v>
      </c>
      <c r="N1310" s="228"/>
      <c r="O1310" s="228"/>
      <c r="P1310" s="228">
        <v>2100</v>
      </c>
      <c r="Q1310" s="228">
        <v>18270000</v>
      </c>
    </row>
    <row r="1311" spans="1:17">
      <c r="A1311"/>
      <c r="B1311"/>
      <c r="C1311" s="165" t="s">
        <v>1811</v>
      </c>
      <c r="D1311" s="228">
        <v>0</v>
      </c>
      <c r="E1311" s="228" t="e">
        <v>#VALUE!</v>
      </c>
      <c r="F1311" s="228"/>
      <c r="G1311" s="228"/>
      <c r="H1311" s="228"/>
      <c r="I1311" s="228"/>
      <c r="J1311" s="228"/>
      <c r="K1311" s="228"/>
      <c r="L1311" s="228"/>
      <c r="M1311" s="228"/>
      <c r="N1311" s="228"/>
      <c r="O1311" s="228"/>
      <c r="P1311" s="228">
        <v>0</v>
      </c>
      <c r="Q1311" s="228" t="e">
        <v>#VALUE!</v>
      </c>
    </row>
    <row r="1312" spans="1:17">
      <c r="A1312"/>
      <c r="B1312" s="165" t="s">
        <v>1245</v>
      </c>
      <c r="C1312" s="165">
        <v>8088</v>
      </c>
      <c r="D1312" s="228"/>
      <c r="E1312" s="228"/>
      <c r="F1312" s="228">
        <v>0</v>
      </c>
      <c r="G1312" s="228">
        <v>0</v>
      </c>
      <c r="H1312" s="228"/>
      <c r="I1312" s="228"/>
      <c r="J1312" s="228"/>
      <c r="K1312" s="228"/>
      <c r="L1312" s="228"/>
      <c r="M1312" s="228"/>
      <c r="N1312" s="228"/>
      <c r="O1312" s="228"/>
      <c r="P1312" s="228">
        <v>0</v>
      </c>
      <c r="Q1312" s="228">
        <v>0</v>
      </c>
    </row>
    <row r="1313" spans="1:17">
      <c r="A1313" s="165" t="s">
        <v>2174</v>
      </c>
      <c r="B1313" s="165" t="s">
        <v>1504</v>
      </c>
      <c r="C1313" s="165">
        <v>13900</v>
      </c>
      <c r="D1313" s="228"/>
      <c r="E1313" s="228"/>
      <c r="F1313" s="228"/>
      <c r="G1313" s="228"/>
      <c r="H1313" s="228"/>
      <c r="I1313" s="228"/>
      <c r="J1313" s="228"/>
      <c r="K1313" s="228"/>
      <c r="L1313" s="228">
        <v>2950</v>
      </c>
      <c r="M1313" s="228">
        <v>41005000</v>
      </c>
      <c r="N1313" s="228"/>
      <c r="O1313" s="228"/>
      <c r="P1313" s="228">
        <v>2950</v>
      </c>
      <c r="Q1313" s="228">
        <v>41005000</v>
      </c>
    </row>
    <row r="1314" spans="1:17">
      <c r="A1314" s="165" t="s">
        <v>2175</v>
      </c>
      <c r="B1314" s="165" t="s">
        <v>1241</v>
      </c>
      <c r="C1314" s="165">
        <v>2800</v>
      </c>
      <c r="D1314" s="228"/>
      <c r="E1314" s="228"/>
      <c r="F1314" s="228">
        <v>0</v>
      </c>
      <c r="G1314" s="228">
        <v>0</v>
      </c>
      <c r="H1314" s="228"/>
      <c r="I1314" s="228"/>
      <c r="J1314" s="228"/>
      <c r="K1314" s="228"/>
      <c r="L1314" s="228"/>
      <c r="M1314" s="228"/>
      <c r="N1314" s="228"/>
      <c r="O1314" s="228"/>
      <c r="P1314" s="228">
        <v>0</v>
      </c>
      <c r="Q1314" s="228">
        <v>0</v>
      </c>
    </row>
    <row r="1315" spans="1:17">
      <c r="A1315"/>
      <c r="B1315"/>
      <c r="C1315" s="165">
        <v>2900</v>
      </c>
      <c r="D1315" s="228"/>
      <c r="E1315" s="228"/>
      <c r="F1315" s="228"/>
      <c r="G1315" s="228"/>
      <c r="H1315" s="228"/>
      <c r="I1315" s="228"/>
      <c r="J1315" s="228">
        <v>6000</v>
      </c>
      <c r="K1315" s="228">
        <v>17400000</v>
      </c>
      <c r="L1315" s="228"/>
      <c r="M1315" s="228"/>
      <c r="N1315" s="228"/>
      <c r="O1315" s="228"/>
      <c r="P1315" s="228">
        <v>6000</v>
      </c>
      <c r="Q1315" s="228">
        <v>17400000</v>
      </c>
    </row>
    <row r="1316" spans="1:17">
      <c r="A1316"/>
      <c r="B1316" s="165" t="s">
        <v>231</v>
      </c>
      <c r="C1316" s="165">
        <v>2800</v>
      </c>
      <c r="D1316" s="228"/>
      <c r="E1316" s="228"/>
      <c r="F1316" s="228">
        <v>0</v>
      </c>
      <c r="G1316" s="228">
        <v>0</v>
      </c>
      <c r="H1316" s="228"/>
      <c r="I1316" s="228"/>
      <c r="J1316" s="228"/>
      <c r="K1316" s="228"/>
      <c r="L1316" s="228"/>
      <c r="M1316" s="228"/>
      <c r="N1316" s="228"/>
      <c r="O1316" s="228"/>
      <c r="P1316" s="228">
        <v>0</v>
      </c>
      <c r="Q1316" s="228">
        <v>0</v>
      </c>
    </row>
    <row r="1317" spans="1:17">
      <c r="A1317"/>
      <c r="B1317" s="165" t="s">
        <v>120</v>
      </c>
      <c r="C1317" s="165">
        <v>3100</v>
      </c>
      <c r="D1317" s="228"/>
      <c r="E1317" s="228"/>
      <c r="F1317" s="228"/>
      <c r="G1317" s="228"/>
      <c r="H1317" s="228"/>
      <c r="I1317" s="228"/>
      <c r="J1317" s="228"/>
      <c r="K1317" s="228"/>
      <c r="L1317" s="228">
        <v>3200</v>
      </c>
      <c r="M1317" s="228">
        <v>9920000</v>
      </c>
      <c r="N1317" s="228"/>
      <c r="O1317" s="228"/>
      <c r="P1317" s="228">
        <v>3200</v>
      </c>
      <c r="Q1317" s="228">
        <v>9920000</v>
      </c>
    </row>
    <row r="1318" spans="1:17">
      <c r="A1318"/>
      <c r="B1318" s="165" t="s">
        <v>130</v>
      </c>
      <c r="C1318" s="165">
        <v>2800</v>
      </c>
      <c r="D1318" s="228"/>
      <c r="E1318" s="228"/>
      <c r="F1318" s="228">
        <v>0</v>
      </c>
      <c r="G1318" s="228">
        <v>0</v>
      </c>
      <c r="H1318" s="228"/>
      <c r="I1318" s="228"/>
      <c r="J1318" s="228"/>
      <c r="K1318" s="228"/>
      <c r="L1318" s="228"/>
      <c r="M1318" s="228"/>
      <c r="N1318" s="228"/>
      <c r="O1318" s="228"/>
      <c r="P1318" s="228">
        <v>0</v>
      </c>
      <c r="Q1318" s="228">
        <v>0</v>
      </c>
    </row>
    <row r="1319" spans="1:17">
      <c r="A1319"/>
      <c r="B1319" s="165" t="s">
        <v>1086</v>
      </c>
      <c r="C1319" s="165">
        <v>2800</v>
      </c>
      <c r="D1319" s="228"/>
      <c r="E1319" s="228"/>
      <c r="F1319" s="228">
        <v>0</v>
      </c>
      <c r="G1319" s="228">
        <v>0</v>
      </c>
      <c r="H1319" s="228"/>
      <c r="I1319" s="228"/>
      <c r="J1319" s="228"/>
      <c r="K1319" s="228"/>
      <c r="L1319" s="228"/>
      <c r="M1319" s="228"/>
      <c r="N1319" s="228"/>
      <c r="O1319" s="228"/>
      <c r="P1319" s="228">
        <v>0</v>
      </c>
      <c r="Q1319" s="228">
        <v>0</v>
      </c>
    </row>
    <row r="1320" spans="1:17">
      <c r="A1320"/>
      <c r="B1320" s="165" t="s">
        <v>1209</v>
      </c>
      <c r="C1320" s="165">
        <v>2800</v>
      </c>
      <c r="D1320" s="228"/>
      <c r="E1320" s="228"/>
      <c r="F1320" s="228">
        <v>0</v>
      </c>
      <c r="G1320" s="228">
        <v>0</v>
      </c>
      <c r="H1320" s="228"/>
      <c r="I1320" s="228"/>
      <c r="J1320" s="228"/>
      <c r="K1320" s="228"/>
      <c r="L1320" s="228"/>
      <c r="M1320" s="228"/>
      <c r="N1320" s="228"/>
      <c r="O1320" s="228"/>
      <c r="P1320" s="228">
        <v>0</v>
      </c>
      <c r="Q1320" s="228">
        <v>0</v>
      </c>
    </row>
    <row r="1321" spans="1:17">
      <c r="A1321"/>
      <c r="B1321" s="165" t="s">
        <v>173</v>
      </c>
      <c r="C1321" s="165">
        <v>2800</v>
      </c>
      <c r="D1321" s="228"/>
      <c r="E1321" s="228"/>
      <c r="F1321" s="228">
        <v>0</v>
      </c>
      <c r="G1321" s="228">
        <v>0</v>
      </c>
      <c r="H1321" s="228"/>
      <c r="I1321" s="228"/>
      <c r="J1321" s="228"/>
      <c r="K1321" s="228"/>
      <c r="L1321" s="228"/>
      <c r="M1321" s="228"/>
      <c r="N1321" s="228"/>
      <c r="O1321" s="228"/>
      <c r="P1321" s="228">
        <v>0</v>
      </c>
      <c r="Q1321" s="228">
        <v>0</v>
      </c>
    </row>
    <row r="1322" spans="1:17">
      <c r="A1322" s="165" t="s">
        <v>2176</v>
      </c>
      <c r="B1322" s="165" t="s">
        <v>1241</v>
      </c>
      <c r="C1322" s="165">
        <v>4100</v>
      </c>
      <c r="D1322" s="228"/>
      <c r="E1322" s="228"/>
      <c r="F1322" s="228">
        <v>0</v>
      </c>
      <c r="G1322" s="228">
        <v>0</v>
      </c>
      <c r="H1322" s="228"/>
      <c r="I1322" s="228"/>
      <c r="J1322" s="228"/>
      <c r="K1322" s="228"/>
      <c r="L1322" s="228"/>
      <c r="M1322" s="228"/>
      <c r="N1322" s="228"/>
      <c r="O1322" s="228"/>
      <c r="P1322" s="228">
        <v>0</v>
      </c>
      <c r="Q1322" s="228">
        <v>0</v>
      </c>
    </row>
    <row r="1323" spans="1:17">
      <c r="A1323"/>
      <c r="B1323"/>
      <c r="C1323" s="165">
        <v>4200</v>
      </c>
      <c r="D1323" s="228"/>
      <c r="E1323" s="228"/>
      <c r="F1323" s="228">
        <v>0</v>
      </c>
      <c r="G1323" s="228">
        <v>0</v>
      </c>
      <c r="H1323" s="228"/>
      <c r="I1323" s="228"/>
      <c r="J1323" s="228">
        <v>13200</v>
      </c>
      <c r="K1323" s="228">
        <v>55440000</v>
      </c>
      <c r="L1323" s="228"/>
      <c r="M1323" s="228"/>
      <c r="N1323" s="228"/>
      <c r="O1323" s="228"/>
      <c r="P1323" s="228">
        <v>13200</v>
      </c>
      <c r="Q1323" s="228">
        <v>55440000</v>
      </c>
    </row>
    <row r="1324" spans="1:17">
      <c r="A1324"/>
      <c r="B1324"/>
      <c r="C1324" s="165">
        <v>4300</v>
      </c>
      <c r="D1324" s="228"/>
      <c r="E1324" s="228"/>
      <c r="F1324" s="228"/>
      <c r="G1324" s="228"/>
      <c r="H1324" s="228">
        <v>11700</v>
      </c>
      <c r="I1324" s="228">
        <v>50310000</v>
      </c>
      <c r="J1324" s="228"/>
      <c r="K1324" s="228"/>
      <c r="L1324" s="228"/>
      <c r="M1324" s="228"/>
      <c r="N1324" s="228"/>
      <c r="O1324" s="228"/>
      <c r="P1324" s="228">
        <v>11700</v>
      </c>
      <c r="Q1324" s="228">
        <v>50310000</v>
      </c>
    </row>
    <row r="1325" spans="1:17">
      <c r="A1325"/>
      <c r="B1325" s="165" t="s">
        <v>111</v>
      </c>
      <c r="C1325" s="165">
        <v>4100</v>
      </c>
      <c r="D1325" s="228"/>
      <c r="E1325" s="228"/>
      <c r="F1325" s="228">
        <v>0</v>
      </c>
      <c r="G1325" s="228">
        <v>0</v>
      </c>
      <c r="H1325" s="228"/>
      <c r="I1325" s="228"/>
      <c r="J1325" s="228"/>
      <c r="K1325" s="228"/>
      <c r="L1325" s="228"/>
      <c r="M1325" s="228"/>
      <c r="N1325" s="228"/>
      <c r="O1325" s="228"/>
      <c r="P1325" s="228">
        <v>0</v>
      </c>
      <c r="Q1325" s="228">
        <v>0</v>
      </c>
    </row>
    <row r="1326" spans="1:17">
      <c r="A1326"/>
      <c r="B1326"/>
      <c r="C1326" s="165">
        <v>4200</v>
      </c>
      <c r="D1326" s="228"/>
      <c r="E1326" s="228"/>
      <c r="F1326" s="228">
        <v>0</v>
      </c>
      <c r="G1326" s="228">
        <v>0</v>
      </c>
      <c r="H1326" s="228"/>
      <c r="I1326" s="228"/>
      <c r="J1326" s="228"/>
      <c r="K1326" s="228"/>
      <c r="L1326" s="228"/>
      <c r="M1326" s="228"/>
      <c r="N1326" s="228"/>
      <c r="O1326" s="228"/>
      <c r="P1326" s="228">
        <v>0</v>
      </c>
      <c r="Q1326" s="228">
        <v>0</v>
      </c>
    </row>
    <row r="1327" spans="1:17">
      <c r="A1327"/>
      <c r="B1327" s="165" t="s">
        <v>170</v>
      </c>
      <c r="C1327" s="165">
        <v>4100</v>
      </c>
      <c r="D1327" s="228"/>
      <c r="E1327" s="228"/>
      <c r="F1327" s="228">
        <v>0</v>
      </c>
      <c r="G1327" s="228">
        <v>0</v>
      </c>
      <c r="H1327" s="228"/>
      <c r="I1327" s="228"/>
      <c r="J1327" s="228"/>
      <c r="K1327" s="228"/>
      <c r="L1327" s="228"/>
      <c r="M1327" s="228"/>
      <c r="N1327" s="228"/>
      <c r="O1327" s="228"/>
      <c r="P1327" s="228">
        <v>0</v>
      </c>
      <c r="Q1327" s="228">
        <v>0</v>
      </c>
    </row>
    <row r="1328" spans="1:17">
      <c r="A1328"/>
      <c r="B1328"/>
      <c r="C1328" s="165">
        <v>4300</v>
      </c>
      <c r="D1328" s="228"/>
      <c r="E1328" s="228"/>
      <c r="F1328" s="228">
        <v>0</v>
      </c>
      <c r="G1328" s="228">
        <v>0</v>
      </c>
      <c r="H1328" s="228"/>
      <c r="I1328" s="228"/>
      <c r="J1328" s="228"/>
      <c r="K1328" s="228"/>
      <c r="L1328" s="228"/>
      <c r="M1328" s="228"/>
      <c r="N1328" s="228"/>
      <c r="O1328" s="228"/>
      <c r="P1328" s="228">
        <v>0</v>
      </c>
      <c r="Q1328" s="228">
        <v>0</v>
      </c>
    </row>
    <row r="1329" spans="1:17">
      <c r="A1329"/>
      <c r="B1329"/>
      <c r="C1329" s="165">
        <v>4400</v>
      </c>
      <c r="D1329" s="228"/>
      <c r="E1329" s="228"/>
      <c r="F1329" s="228"/>
      <c r="G1329" s="228"/>
      <c r="H1329" s="228"/>
      <c r="I1329" s="228"/>
      <c r="J1329" s="228"/>
      <c r="K1329" s="228"/>
      <c r="L1329" s="228">
        <v>4800</v>
      </c>
      <c r="M1329" s="228">
        <v>21120000</v>
      </c>
      <c r="N1329" s="228"/>
      <c r="O1329" s="228"/>
      <c r="P1329" s="228">
        <v>4800</v>
      </c>
      <c r="Q1329" s="228">
        <v>21120000</v>
      </c>
    </row>
    <row r="1330" spans="1:17">
      <c r="A1330"/>
      <c r="B1330" s="165" t="s">
        <v>120</v>
      </c>
      <c r="C1330" s="165">
        <v>4600</v>
      </c>
      <c r="D1330" s="228"/>
      <c r="E1330" s="228"/>
      <c r="F1330" s="228"/>
      <c r="G1330" s="228"/>
      <c r="H1330" s="228"/>
      <c r="I1330" s="228"/>
      <c r="J1330" s="228"/>
      <c r="K1330" s="228"/>
      <c r="L1330" s="228">
        <v>13200</v>
      </c>
      <c r="M1330" s="228">
        <v>60720000</v>
      </c>
      <c r="N1330" s="228"/>
      <c r="O1330" s="228"/>
      <c r="P1330" s="228">
        <v>13200</v>
      </c>
      <c r="Q1330" s="228">
        <v>60720000</v>
      </c>
    </row>
    <row r="1331" spans="1:17">
      <c r="A1331"/>
      <c r="B1331" s="165" t="s">
        <v>465</v>
      </c>
      <c r="C1331" s="165">
        <v>4100</v>
      </c>
      <c r="D1331" s="228"/>
      <c r="E1331" s="228"/>
      <c r="F1331" s="228">
        <v>0</v>
      </c>
      <c r="G1331" s="228">
        <v>0</v>
      </c>
      <c r="H1331" s="228"/>
      <c r="I1331" s="228"/>
      <c r="J1331" s="228"/>
      <c r="K1331" s="228"/>
      <c r="L1331" s="228"/>
      <c r="M1331" s="228"/>
      <c r="N1331" s="228"/>
      <c r="O1331" s="228"/>
      <c r="P1331" s="228">
        <v>0</v>
      </c>
      <c r="Q1331" s="228">
        <v>0</v>
      </c>
    </row>
    <row r="1332" spans="1:17">
      <c r="A1332"/>
      <c r="B1332"/>
      <c r="C1332" s="165">
        <v>4400</v>
      </c>
      <c r="D1332" s="228"/>
      <c r="E1332" s="228"/>
      <c r="F1332" s="228">
        <v>0</v>
      </c>
      <c r="G1332" s="228">
        <v>0</v>
      </c>
      <c r="H1332" s="228"/>
      <c r="I1332" s="228"/>
      <c r="J1332" s="228"/>
      <c r="K1332" s="228"/>
      <c r="L1332" s="228"/>
      <c r="M1332" s="228"/>
      <c r="N1332" s="228"/>
      <c r="O1332" s="228"/>
      <c r="P1332" s="228">
        <v>0</v>
      </c>
      <c r="Q1332" s="228">
        <v>0</v>
      </c>
    </row>
    <row r="1333" spans="1:17">
      <c r="A1333"/>
      <c r="B1333"/>
      <c r="C1333" s="165">
        <v>4430</v>
      </c>
      <c r="D1333" s="228"/>
      <c r="E1333" s="228"/>
      <c r="F1333" s="228"/>
      <c r="G1333" s="228"/>
      <c r="H1333" s="228"/>
      <c r="I1333" s="228"/>
      <c r="J1333" s="228">
        <v>900</v>
      </c>
      <c r="K1333" s="228">
        <v>3987000</v>
      </c>
      <c r="L1333" s="228"/>
      <c r="M1333" s="228"/>
      <c r="N1333" s="228"/>
      <c r="O1333" s="228"/>
      <c r="P1333" s="228">
        <v>900</v>
      </c>
      <c r="Q1333" s="228">
        <v>3987000</v>
      </c>
    </row>
    <row r="1334" spans="1:17">
      <c r="A1334"/>
      <c r="B1334" s="165" t="s">
        <v>211</v>
      </c>
      <c r="C1334" s="165">
        <v>4500</v>
      </c>
      <c r="D1334" s="228"/>
      <c r="E1334" s="228"/>
      <c r="F1334" s="228">
        <v>0</v>
      </c>
      <c r="G1334" s="228">
        <v>0</v>
      </c>
      <c r="H1334" s="228"/>
      <c r="I1334" s="228"/>
      <c r="J1334" s="228"/>
      <c r="K1334" s="228"/>
      <c r="L1334" s="228"/>
      <c r="M1334" s="228"/>
      <c r="N1334" s="228"/>
      <c r="O1334" s="228"/>
      <c r="P1334" s="228">
        <v>0</v>
      </c>
      <c r="Q1334" s="228">
        <v>0</v>
      </c>
    </row>
    <row r="1335" spans="1:17">
      <c r="A1335"/>
      <c r="B1335" s="165" t="s">
        <v>1589</v>
      </c>
      <c r="C1335" s="165">
        <v>4300</v>
      </c>
      <c r="D1335" s="228">
        <v>0</v>
      </c>
      <c r="E1335" s="228">
        <v>0</v>
      </c>
      <c r="F1335" s="228"/>
      <c r="G1335" s="228"/>
      <c r="H1335" s="228"/>
      <c r="I1335" s="228"/>
      <c r="J1335" s="228"/>
      <c r="K1335" s="228"/>
      <c r="L1335" s="228"/>
      <c r="M1335" s="228"/>
      <c r="N1335" s="228"/>
      <c r="O1335" s="228"/>
      <c r="P1335" s="228">
        <v>0</v>
      </c>
      <c r="Q1335" s="228">
        <v>0</v>
      </c>
    </row>
    <row r="1336" spans="1:17">
      <c r="A1336"/>
      <c r="B1336" s="165" t="s">
        <v>1086</v>
      </c>
      <c r="C1336" s="165">
        <v>4100</v>
      </c>
      <c r="D1336" s="228"/>
      <c r="E1336" s="228"/>
      <c r="F1336" s="228">
        <v>0</v>
      </c>
      <c r="G1336" s="228">
        <v>0</v>
      </c>
      <c r="H1336" s="228"/>
      <c r="I1336" s="228"/>
      <c r="J1336" s="228"/>
      <c r="K1336" s="228"/>
      <c r="L1336" s="228"/>
      <c r="M1336" s="228"/>
      <c r="N1336" s="228"/>
      <c r="O1336" s="228"/>
      <c r="P1336" s="228">
        <v>0</v>
      </c>
      <c r="Q1336" s="228">
        <v>0</v>
      </c>
    </row>
    <row r="1337" spans="1:17">
      <c r="A1337"/>
      <c r="B1337"/>
      <c r="C1337" s="165">
        <v>4200</v>
      </c>
      <c r="D1337" s="228"/>
      <c r="E1337" s="228"/>
      <c r="F1337" s="228">
        <v>0</v>
      </c>
      <c r="G1337" s="228">
        <v>0</v>
      </c>
      <c r="H1337" s="228"/>
      <c r="I1337" s="228"/>
      <c r="J1337" s="228"/>
      <c r="K1337" s="228"/>
      <c r="L1337" s="228"/>
      <c r="M1337" s="228"/>
      <c r="N1337" s="228"/>
      <c r="O1337" s="228"/>
      <c r="P1337" s="228">
        <v>0</v>
      </c>
      <c r="Q1337" s="228">
        <v>0</v>
      </c>
    </row>
    <row r="1338" spans="1:17">
      <c r="A1338"/>
      <c r="B1338" s="165" t="s">
        <v>1188</v>
      </c>
      <c r="C1338" s="165">
        <v>4160</v>
      </c>
      <c r="D1338" s="228">
        <v>0</v>
      </c>
      <c r="E1338" s="228">
        <v>0</v>
      </c>
      <c r="F1338" s="228"/>
      <c r="G1338" s="228"/>
      <c r="H1338" s="228"/>
      <c r="I1338" s="228"/>
      <c r="J1338" s="228"/>
      <c r="K1338" s="228"/>
      <c r="L1338" s="228"/>
      <c r="M1338" s="228"/>
      <c r="N1338" s="228"/>
      <c r="O1338" s="228"/>
      <c r="P1338" s="228">
        <v>0</v>
      </c>
      <c r="Q1338" s="228">
        <v>0</v>
      </c>
    </row>
    <row r="1339" spans="1:17">
      <c r="A1339"/>
      <c r="B1339"/>
      <c r="C1339" s="165">
        <v>4300</v>
      </c>
      <c r="D1339" s="228"/>
      <c r="E1339" s="228"/>
      <c r="F1339" s="228">
        <v>0</v>
      </c>
      <c r="G1339" s="228">
        <v>0</v>
      </c>
      <c r="H1339" s="228"/>
      <c r="I1339" s="228"/>
      <c r="J1339" s="228"/>
      <c r="K1339" s="228"/>
      <c r="L1339" s="228"/>
      <c r="M1339" s="228"/>
      <c r="N1339" s="228"/>
      <c r="O1339" s="228"/>
      <c r="P1339" s="228">
        <v>0</v>
      </c>
      <c r="Q1339" s="228">
        <v>0</v>
      </c>
    </row>
    <row r="1340" spans="1:17">
      <c r="A1340"/>
      <c r="B1340" s="165" t="s">
        <v>184</v>
      </c>
      <c r="C1340" s="165">
        <v>4200</v>
      </c>
      <c r="D1340" s="228">
        <v>0</v>
      </c>
      <c r="E1340" s="228">
        <v>0</v>
      </c>
      <c r="F1340" s="228"/>
      <c r="G1340" s="228"/>
      <c r="H1340" s="228"/>
      <c r="I1340" s="228"/>
      <c r="J1340" s="228"/>
      <c r="K1340" s="228"/>
      <c r="L1340" s="228"/>
      <c r="M1340" s="228"/>
      <c r="N1340" s="228"/>
      <c r="O1340" s="228"/>
      <c r="P1340" s="228">
        <v>0</v>
      </c>
      <c r="Q1340" s="228">
        <v>0</v>
      </c>
    </row>
    <row r="1341" spans="1:17">
      <c r="A1341"/>
      <c r="B1341" s="165" t="s">
        <v>173</v>
      </c>
      <c r="C1341" s="165">
        <v>4100</v>
      </c>
      <c r="D1341" s="228"/>
      <c r="E1341" s="228"/>
      <c r="F1341" s="228">
        <v>0</v>
      </c>
      <c r="G1341" s="228">
        <v>0</v>
      </c>
      <c r="H1341" s="228"/>
      <c r="I1341" s="228"/>
      <c r="J1341" s="228"/>
      <c r="K1341" s="228"/>
      <c r="L1341" s="228"/>
      <c r="M1341" s="228"/>
      <c r="N1341" s="228"/>
      <c r="O1341" s="228"/>
      <c r="P1341" s="228">
        <v>0</v>
      </c>
      <c r="Q1341" s="228">
        <v>0</v>
      </c>
    </row>
    <row r="1342" spans="1:17">
      <c r="A1342"/>
      <c r="B1342"/>
      <c r="C1342" s="165">
        <v>4200</v>
      </c>
      <c r="D1342" s="228"/>
      <c r="E1342" s="228"/>
      <c r="F1342" s="228">
        <v>0</v>
      </c>
      <c r="G1342" s="228">
        <v>0</v>
      </c>
      <c r="H1342" s="228"/>
      <c r="I1342" s="228"/>
      <c r="J1342" s="228"/>
      <c r="K1342" s="228"/>
      <c r="L1342" s="228"/>
      <c r="M1342" s="228"/>
      <c r="N1342" s="228"/>
      <c r="O1342" s="228"/>
      <c r="P1342" s="228">
        <v>0</v>
      </c>
      <c r="Q1342" s="228">
        <v>0</v>
      </c>
    </row>
    <row r="1343" spans="1:17">
      <c r="A1343"/>
      <c r="B1343" s="165" t="s">
        <v>247</v>
      </c>
      <c r="C1343" s="165">
        <v>4100</v>
      </c>
      <c r="D1343" s="228"/>
      <c r="E1343" s="228"/>
      <c r="F1343" s="228">
        <v>0</v>
      </c>
      <c r="G1343" s="228">
        <v>0</v>
      </c>
      <c r="H1343" s="228"/>
      <c r="I1343" s="228"/>
      <c r="J1343" s="228"/>
      <c r="K1343" s="228"/>
      <c r="L1343" s="228"/>
      <c r="M1343" s="228"/>
      <c r="N1343" s="228"/>
      <c r="O1343" s="228"/>
      <c r="P1343" s="228">
        <v>0</v>
      </c>
      <c r="Q1343" s="228">
        <v>0</v>
      </c>
    </row>
    <row r="1344" spans="1:17">
      <c r="A1344"/>
      <c r="B1344" s="165" t="s">
        <v>201</v>
      </c>
      <c r="C1344" s="165">
        <v>4100</v>
      </c>
      <c r="D1344" s="228"/>
      <c r="E1344" s="228"/>
      <c r="F1344" s="228">
        <v>0</v>
      </c>
      <c r="G1344" s="228">
        <v>0</v>
      </c>
      <c r="H1344" s="228"/>
      <c r="I1344" s="228"/>
      <c r="J1344" s="228"/>
      <c r="K1344" s="228"/>
      <c r="L1344" s="228"/>
      <c r="M1344" s="228"/>
      <c r="N1344" s="228"/>
      <c r="O1344" s="228"/>
      <c r="P1344" s="228">
        <v>0</v>
      </c>
      <c r="Q1344" s="228">
        <v>0</v>
      </c>
    </row>
    <row r="1345" spans="1:17">
      <c r="A1345"/>
      <c r="B1345" s="165" t="s">
        <v>1788</v>
      </c>
      <c r="C1345" s="165">
        <v>4200</v>
      </c>
      <c r="D1345" s="228"/>
      <c r="E1345" s="228"/>
      <c r="F1345" s="228">
        <v>0</v>
      </c>
      <c r="G1345" s="228">
        <v>0</v>
      </c>
      <c r="H1345" s="228"/>
      <c r="I1345" s="228"/>
      <c r="J1345" s="228"/>
      <c r="K1345" s="228"/>
      <c r="L1345" s="228"/>
      <c r="M1345" s="228"/>
      <c r="N1345" s="228"/>
      <c r="O1345" s="228"/>
      <c r="P1345" s="228">
        <v>0</v>
      </c>
      <c r="Q1345" s="228">
        <v>0</v>
      </c>
    </row>
    <row r="1346" spans="1:17">
      <c r="A1346"/>
      <c r="B1346" s="165" t="s">
        <v>234</v>
      </c>
      <c r="C1346" s="165">
        <v>4100</v>
      </c>
      <c r="D1346" s="228"/>
      <c r="E1346" s="228"/>
      <c r="F1346" s="228">
        <v>0</v>
      </c>
      <c r="G1346" s="228">
        <v>0</v>
      </c>
      <c r="H1346" s="228"/>
      <c r="I1346" s="228"/>
      <c r="J1346" s="228"/>
      <c r="K1346" s="228"/>
      <c r="L1346" s="228"/>
      <c r="M1346" s="228"/>
      <c r="N1346" s="228"/>
      <c r="O1346" s="228"/>
      <c r="P1346" s="228">
        <v>0</v>
      </c>
      <c r="Q1346" s="228">
        <v>0</v>
      </c>
    </row>
    <row r="1347" spans="1:17">
      <c r="A1347" s="165" t="s">
        <v>2177</v>
      </c>
      <c r="B1347" s="165" t="s">
        <v>1241</v>
      </c>
      <c r="C1347" s="165">
        <v>6100</v>
      </c>
      <c r="D1347" s="228"/>
      <c r="E1347" s="228"/>
      <c r="F1347" s="228"/>
      <c r="G1347" s="228"/>
      <c r="H1347" s="228"/>
      <c r="I1347" s="228"/>
      <c r="J1347" s="228"/>
      <c r="K1347" s="228"/>
      <c r="L1347" s="228">
        <v>50000</v>
      </c>
      <c r="M1347" s="228">
        <v>305000000</v>
      </c>
      <c r="N1347" s="228"/>
      <c r="O1347" s="228"/>
      <c r="P1347" s="228">
        <v>50000</v>
      </c>
      <c r="Q1347" s="228">
        <v>305000000</v>
      </c>
    </row>
    <row r="1348" spans="1:17">
      <c r="A1348"/>
      <c r="B1348" s="165" t="s">
        <v>289</v>
      </c>
      <c r="C1348" s="165">
        <v>6100</v>
      </c>
      <c r="D1348" s="228"/>
      <c r="E1348" s="228"/>
      <c r="F1348" s="228"/>
      <c r="G1348" s="228"/>
      <c r="H1348" s="228"/>
      <c r="I1348" s="228"/>
      <c r="J1348" s="228"/>
      <c r="K1348" s="228"/>
      <c r="L1348" s="228">
        <v>1000</v>
      </c>
      <c r="M1348" s="228">
        <v>6100000</v>
      </c>
      <c r="N1348" s="228"/>
      <c r="O1348" s="228"/>
      <c r="P1348" s="228">
        <v>1000</v>
      </c>
      <c r="Q1348" s="228">
        <v>6100000</v>
      </c>
    </row>
    <row r="1349" spans="1:17">
      <c r="A1349"/>
      <c r="B1349" s="165" t="s">
        <v>473</v>
      </c>
      <c r="C1349" s="165">
        <v>6100</v>
      </c>
      <c r="D1349" s="228"/>
      <c r="E1349" s="228"/>
      <c r="F1349" s="228"/>
      <c r="G1349" s="228"/>
      <c r="H1349" s="228"/>
      <c r="I1349" s="228"/>
      <c r="J1349" s="228"/>
      <c r="K1349" s="228"/>
      <c r="L1349" s="228">
        <v>3000</v>
      </c>
      <c r="M1349" s="228">
        <v>18300000</v>
      </c>
      <c r="N1349" s="228"/>
      <c r="O1349" s="228"/>
      <c r="P1349" s="228">
        <v>3000</v>
      </c>
      <c r="Q1349" s="228">
        <v>18300000</v>
      </c>
    </row>
    <row r="1350" spans="1:17">
      <c r="A1350"/>
      <c r="B1350" s="165" t="s">
        <v>1047</v>
      </c>
      <c r="C1350" s="165">
        <v>6100</v>
      </c>
      <c r="D1350" s="228"/>
      <c r="E1350" s="228"/>
      <c r="F1350" s="228"/>
      <c r="G1350" s="228"/>
      <c r="H1350" s="228"/>
      <c r="I1350" s="228"/>
      <c r="J1350" s="228"/>
      <c r="K1350" s="228"/>
      <c r="L1350" s="228">
        <v>5000</v>
      </c>
      <c r="M1350" s="228">
        <v>30500000</v>
      </c>
      <c r="N1350" s="228"/>
      <c r="O1350" s="228"/>
      <c r="P1350" s="228">
        <v>5000</v>
      </c>
      <c r="Q1350" s="228">
        <v>30500000</v>
      </c>
    </row>
    <row r="1351" spans="1:17">
      <c r="A1351"/>
      <c r="B1351" s="165" t="s">
        <v>1188</v>
      </c>
      <c r="C1351" s="165">
        <v>5900</v>
      </c>
      <c r="D1351" s="228"/>
      <c r="E1351" s="228"/>
      <c r="F1351" s="228"/>
      <c r="G1351" s="228"/>
      <c r="H1351" s="228">
        <v>2000</v>
      </c>
      <c r="I1351" s="228">
        <v>11800000</v>
      </c>
      <c r="J1351" s="228"/>
      <c r="K1351" s="228"/>
      <c r="L1351" s="228"/>
      <c r="M1351" s="228"/>
      <c r="N1351" s="228"/>
      <c r="O1351" s="228"/>
      <c r="P1351" s="228">
        <v>2000</v>
      </c>
      <c r="Q1351" s="228">
        <v>11800000</v>
      </c>
    </row>
    <row r="1352" spans="1:17">
      <c r="A1352"/>
      <c r="B1352"/>
      <c r="C1352" s="165">
        <v>6100</v>
      </c>
      <c r="D1352" s="228"/>
      <c r="E1352" s="228"/>
      <c r="F1352" s="228"/>
      <c r="G1352" s="228"/>
      <c r="H1352" s="228"/>
      <c r="I1352" s="228"/>
      <c r="J1352" s="228"/>
      <c r="K1352" s="228"/>
      <c r="L1352" s="228">
        <v>4000</v>
      </c>
      <c r="M1352" s="228">
        <v>24400000</v>
      </c>
      <c r="N1352" s="228"/>
      <c r="O1352" s="228"/>
      <c r="P1352" s="228">
        <v>4000</v>
      </c>
      <c r="Q1352" s="228">
        <v>24400000</v>
      </c>
    </row>
    <row r="1353" spans="1:17">
      <c r="A1353"/>
      <c r="B1353"/>
      <c r="C1353" s="165">
        <v>6200</v>
      </c>
      <c r="D1353" s="228"/>
      <c r="E1353" s="228"/>
      <c r="F1353" s="228"/>
      <c r="G1353" s="228"/>
      <c r="H1353" s="228"/>
      <c r="I1353" s="228"/>
      <c r="J1353" s="228"/>
      <c r="K1353" s="228"/>
      <c r="L1353" s="228">
        <v>2000</v>
      </c>
      <c r="M1353" s="228">
        <v>12400000</v>
      </c>
      <c r="N1353" s="228"/>
      <c r="O1353" s="228"/>
      <c r="P1353" s="228">
        <v>2000</v>
      </c>
      <c r="Q1353" s="228">
        <v>12400000</v>
      </c>
    </row>
    <row r="1354" spans="1:17">
      <c r="A1354"/>
      <c r="B1354" s="165" t="s">
        <v>201</v>
      </c>
      <c r="C1354" s="165">
        <v>6200</v>
      </c>
      <c r="D1354" s="228"/>
      <c r="E1354" s="228"/>
      <c r="F1354" s="228"/>
      <c r="G1354" s="228"/>
      <c r="H1354" s="228"/>
      <c r="I1354" s="228"/>
      <c r="J1354" s="228"/>
      <c r="K1354" s="228"/>
      <c r="L1354" s="228">
        <v>3000</v>
      </c>
      <c r="M1354" s="228">
        <v>18600000</v>
      </c>
      <c r="N1354" s="228"/>
      <c r="O1354" s="228"/>
      <c r="P1354" s="228">
        <v>3000</v>
      </c>
      <c r="Q1354" s="228">
        <v>18600000</v>
      </c>
    </row>
    <row r="1355" spans="1:17">
      <c r="A1355"/>
      <c r="B1355" s="165" t="s">
        <v>1788</v>
      </c>
      <c r="C1355" s="165">
        <v>6100</v>
      </c>
      <c r="D1355" s="228"/>
      <c r="E1355" s="228"/>
      <c r="F1355" s="228"/>
      <c r="G1355" s="228"/>
      <c r="H1355" s="228"/>
      <c r="I1355" s="228"/>
      <c r="J1355" s="228"/>
      <c r="K1355" s="228"/>
      <c r="L1355" s="228">
        <v>5000</v>
      </c>
      <c r="M1355" s="228">
        <v>30500000</v>
      </c>
      <c r="N1355" s="228"/>
      <c r="O1355" s="228"/>
      <c r="P1355" s="228">
        <v>5000</v>
      </c>
      <c r="Q1355" s="228">
        <v>30500000</v>
      </c>
    </row>
    <row r="1356" spans="1:17">
      <c r="A1356"/>
      <c r="B1356" s="165" t="s">
        <v>224</v>
      </c>
      <c r="C1356" s="165">
        <v>6100</v>
      </c>
      <c r="D1356" s="228"/>
      <c r="E1356" s="228"/>
      <c r="F1356" s="228"/>
      <c r="G1356" s="228"/>
      <c r="H1356" s="228"/>
      <c r="I1356" s="228"/>
      <c r="J1356" s="228"/>
      <c r="K1356" s="228"/>
      <c r="L1356" s="228">
        <v>1000</v>
      </c>
      <c r="M1356" s="228">
        <v>6100000</v>
      </c>
      <c r="N1356" s="228"/>
      <c r="O1356" s="228"/>
      <c r="P1356" s="228">
        <v>1000</v>
      </c>
      <c r="Q1356" s="228">
        <v>6100000</v>
      </c>
    </row>
    <row r="1357" spans="1:17">
      <c r="A1357"/>
      <c r="B1357" s="165" t="s">
        <v>234</v>
      </c>
      <c r="C1357" s="165">
        <v>6200</v>
      </c>
      <c r="D1357" s="228"/>
      <c r="E1357" s="228"/>
      <c r="F1357" s="228"/>
      <c r="G1357" s="228"/>
      <c r="H1357" s="228"/>
      <c r="I1357" s="228"/>
      <c r="J1357" s="228"/>
      <c r="K1357" s="228"/>
      <c r="L1357" s="228">
        <v>5000</v>
      </c>
      <c r="M1357" s="228">
        <v>31000000</v>
      </c>
      <c r="N1357" s="228"/>
      <c r="O1357" s="228"/>
      <c r="P1357" s="228">
        <v>5000</v>
      </c>
      <c r="Q1357" s="228">
        <v>31000000</v>
      </c>
    </row>
    <row r="1358" spans="1:17">
      <c r="A1358"/>
      <c r="B1358" s="165" t="s">
        <v>1864</v>
      </c>
      <c r="C1358" s="165">
        <v>6200</v>
      </c>
      <c r="D1358" s="228"/>
      <c r="E1358" s="228"/>
      <c r="F1358" s="228"/>
      <c r="G1358" s="228"/>
      <c r="H1358" s="228"/>
      <c r="I1358" s="228"/>
      <c r="J1358" s="228"/>
      <c r="K1358" s="228"/>
      <c r="L1358" s="228">
        <v>1600</v>
      </c>
      <c r="M1358" s="228">
        <v>9920000</v>
      </c>
      <c r="N1358" s="228"/>
      <c r="O1358" s="228"/>
      <c r="P1358" s="228">
        <v>1600</v>
      </c>
      <c r="Q1358" s="228">
        <v>9920000</v>
      </c>
    </row>
    <row r="1359" spans="1:17">
      <c r="A1359" s="165" t="s">
        <v>2178</v>
      </c>
      <c r="B1359" s="165" t="s">
        <v>1627</v>
      </c>
      <c r="C1359" s="165">
        <v>8600</v>
      </c>
      <c r="D1359" s="228">
        <v>0</v>
      </c>
      <c r="E1359" s="228">
        <v>0</v>
      </c>
      <c r="F1359" s="228"/>
      <c r="G1359" s="228"/>
      <c r="H1359" s="228"/>
      <c r="I1359" s="228"/>
      <c r="J1359" s="228"/>
      <c r="K1359" s="228"/>
      <c r="L1359" s="228"/>
      <c r="M1359" s="228"/>
      <c r="N1359" s="228"/>
      <c r="O1359" s="228"/>
      <c r="P1359" s="228">
        <v>0</v>
      </c>
      <c r="Q1359" s="228">
        <v>0</v>
      </c>
    </row>
    <row r="1360" spans="1:17">
      <c r="A1360"/>
      <c r="B1360" s="165" t="s">
        <v>710</v>
      </c>
      <c r="C1360" s="165">
        <v>8700</v>
      </c>
      <c r="D1360" s="228">
        <v>0</v>
      </c>
      <c r="E1360" s="228">
        <v>0</v>
      </c>
      <c r="F1360" s="228"/>
      <c r="G1360" s="228"/>
      <c r="H1360" s="228"/>
      <c r="I1360" s="228"/>
      <c r="J1360" s="228"/>
      <c r="K1360" s="228"/>
      <c r="L1360" s="228"/>
      <c r="M1360" s="228"/>
      <c r="N1360" s="228"/>
      <c r="O1360" s="228"/>
      <c r="P1360" s="228">
        <v>0</v>
      </c>
      <c r="Q1360" s="228">
        <v>0</v>
      </c>
    </row>
    <row r="1361" spans="1:17">
      <c r="A1361"/>
      <c r="B1361" s="165" t="s">
        <v>1504</v>
      </c>
      <c r="C1361" s="165">
        <v>8900</v>
      </c>
      <c r="D1361" s="228"/>
      <c r="E1361" s="228"/>
      <c r="F1361" s="228"/>
      <c r="G1361" s="228"/>
      <c r="H1361" s="228"/>
      <c r="I1361" s="228"/>
      <c r="J1361" s="228"/>
      <c r="K1361" s="228"/>
      <c r="L1361" s="228">
        <v>10000</v>
      </c>
      <c r="M1361" s="228">
        <v>89000000</v>
      </c>
      <c r="N1361" s="228"/>
      <c r="O1361" s="228"/>
      <c r="P1361" s="228">
        <v>10000</v>
      </c>
      <c r="Q1361" s="228">
        <v>89000000</v>
      </c>
    </row>
    <row r="1362" spans="1:17">
      <c r="A1362"/>
      <c r="B1362" s="165" t="s">
        <v>25</v>
      </c>
      <c r="C1362" s="165">
        <v>8600</v>
      </c>
      <c r="D1362" s="228"/>
      <c r="E1362" s="228"/>
      <c r="F1362" s="228">
        <v>400</v>
      </c>
      <c r="G1362" s="228">
        <v>3440000</v>
      </c>
      <c r="H1362" s="228"/>
      <c r="I1362" s="228"/>
      <c r="J1362" s="228"/>
      <c r="K1362" s="228"/>
      <c r="L1362" s="228"/>
      <c r="M1362" s="228"/>
      <c r="N1362" s="228"/>
      <c r="O1362" s="228"/>
      <c r="P1362" s="228">
        <v>400</v>
      </c>
      <c r="Q1362" s="228">
        <v>3440000</v>
      </c>
    </row>
    <row r="1363" spans="1:17">
      <c r="A1363"/>
      <c r="B1363"/>
      <c r="C1363" s="165">
        <v>8700</v>
      </c>
      <c r="D1363" s="228"/>
      <c r="E1363" s="228"/>
      <c r="F1363" s="228"/>
      <c r="G1363" s="228"/>
      <c r="H1363" s="228">
        <v>800</v>
      </c>
      <c r="I1363" s="228">
        <v>6960000</v>
      </c>
      <c r="J1363" s="228">
        <v>800</v>
      </c>
      <c r="K1363" s="228">
        <v>6960000</v>
      </c>
      <c r="L1363" s="228">
        <v>800</v>
      </c>
      <c r="M1363" s="228">
        <v>6960000</v>
      </c>
      <c r="N1363" s="228"/>
      <c r="O1363" s="228"/>
      <c r="P1363" s="228">
        <v>2400</v>
      </c>
      <c r="Q1363" s="228">
        <v>20880000</v>
      </c>
    </row>
    <row r="1364" spans="1:17">
      <c r="A1364"/>
      <c r="B1364"/>
      <c r="C1364" s="165" t="s">
        <v>1811</v>
      </c>
      <c r="D1364" s="228"/>
      <c r="E1364" s="228"/>
      <c r="F1364" s="228"/>
      <c r="G1364" s="228"/>
      <c r="H1364" s="228"/>
      <c r="I1364" s="228"/>
      <c r="J1364" s="228"/>
      <c r="K1364" s="228"/>
      <c r="L1364" s="228">
        <v>4000</v>
      </c>
      <c r="M1364" s="228" t="e">
        <v>#VALUE!</v>
      </c>
      <c r="N1364" s="228"/>
      <c r="O1364" s="228"/>
      <c r="P1364" s="228">
        <v>4000</v>
      </c>
      <c r="Q1364" s="228" t="e">
        <v>#VALUE!</v>
      </c>
    </row>
    <row r="1365" spans="1:17">
      <c r="A1365"/>
      <c r="B1365" s="165" t="s">
        <v>1245</v>
      </c>
      <c r="C1365" s="165">
        <v>8000</v>
      </c>
      <c r="D1365" s="228"/>
      <c r="E1365" s="228"/>
      <c r="F1365" s="228">
        <v>0</v>
      </c>
      <c r="G1365" s="228">
        <v>0</v>
      </c>
      <c r="H1365" s="228"/>
      <c r="I1365" s="228"/>
      <c r="J1365" s="228"/>
      <c r="K1365" s="228"/>
      <c r="L1365" s="228"/>
      <c r="M1365" s="228"/>
      <c r="N1365" s="228"/>
      <c r="O1365" s="228"/>
      <c r="P1365" s="228">
        <v>0</v>
      </c>
      <c r="Q1365" s="228">
        <v>0</v>
      </c>
    </row>
    <row r="1366" spans="1:17">
      <c r="A1366"/>
      <c r="B1366"/>
      <c r="C1366" s="165">
        <v>8063</v>
      </c>
      <c r="D1366" s="228"/>
      <c r="E1366" s="228"/>
      <c r="F1366" s="228">
        <v>0</v>
      </c>
      <c r="G1366" s="228">
        <v>0</v>
      </c>
      <c r="H1366" s="228"/>
      <c r="I1366" s="228"/>
      <c r="J1366" s="228"/>
      <c r="K1366" s="228"/>
      <c r="L1366" s="228"/>
      <c r="M1366" s="228"/>
      <c r="N1366" s="228"/>
      <c r="O1366" s="228"/>
      <c r="P1366" s="228">
        <v>0</v>
      </c>
      <c r="Q1366" s="228">
        <v>0</v>
      </c>
    </row>
    <row r="1367" spans="1:17">
      <c r="A1367"/>
      <c r="B1367"/>
      <c r="C1367" s="165">
        <v>8088</v>
      </c>
      <c r="D1367" s="228"/>
      <c r="E1367" s="228"/>
      <c r="F1367" s="228">
        <v>0</v>
      </c>
      <c r="G1367" s="228">
        <v>0</v>
      </c>
      <c r="H1367" s="228"/>
      <c r="I1367" s="228"/>
      <c r="J1367" s="228"/>
      <c r="K1367" s="228"/>
      <c r="L1367" s="228"/>
      <c r="M1367" s="228"/>
      <c r="N1367" s="228"/>
      <c r="O1367" s="228"/>
      <c r="P1367" s="228">
        <v>0</v>
      </c>
      <c r="Q1367" s="228">
        <v>0</v>
      </c>
    </row>
    <row r="1368" spans="1:17">
      <c r="A1368"/>
      <c r="B1368"/>
      <c r="C1368" s="165">
        <v>8200</v>
      </c>
      <c r="D1368" s="228"/>
      <c r="E1368" s="228"/>
      <c r="F1368" s="228"/>
      <c r="G1368" s="228"/>
      <c r="H1368" s="228">
        <v>4000</v>
      </c>
      <c r="I1368" s="228">
        <v>32800000</v>
      </c>
      <c r="J1368" s="228"/>
      <c r="K1368" s="228"/>
      <c r="L1368" s="228"/>
      <c r="M1368" s="228"/>
      <c r="N1368" s="228"/>
      <c r="O1368" s="228"/>
      <c r="P1368" s="228">
        <v>4000</v>
      </c>
      <c r="Q1368" s="228">
        <v>32800000</v>
      </c>
    </row>
    <row r="1369" spans="1:17">
      <c r="A1369"/>
      <c r="B1369" s="165" t="s">
        <v>605</v>
      </c>
      <c r="C1369" s="165">
        <v>8500</v>
      </c>
      <c r="D1369" s="228"/>
      <c r="E1369" s="228"/>
      <c r="F1369" s="228">
        <v>0</v>
      </c>
      <c r="G1369" s="228">
        <v>0</v>
      </c>
      <c r="H1369" s="228"/>
      <c r="I1369" s="228"/>
      <c r="J1369" s="228"/>
      <c r="K1369" s="228"/>
      <c r="L1369" s="228"/>
      <c r="M1369" s="228"/>
      <c r="N1369" s="228"/>
      <c r="O1369" s="228"/>
      <c r="P1369" s="228">
        <v>0</v>
      </c>
      <c r="Q1369" s="228">
        <v>0</v>
      </c>
    </row>
    <row r="1370" spans="1:17">
      <c r="A1370"/>
      <c r="B1370" s="165" t="s">
        <v>814</v>
      </c>
      <c r="C1370" s="165">
        <v>8000</v>
      </c>
      <c r="D1370" s="228">
        <v>0</v>
      </c>
      <c r="E1370" s="228">
        <v>0</v>
      </c>
      <c r="F1370" s="228">
        <v>0</v>
      </c>
      <c r="G1370" s="228">
        <v>0</v>
      </c>
      <c r="H1370" s="228"/>
      <c r="I1370" s="228"/>
      <c r="J1370" s="228"/>
      <c r="K1370" s="228"/>
      <c r="L1370" s="228"/>
      <c r="M1370" s="228"/>
      <c r="N1370" s="228"/>
      <c r="O1370" s="228"/>
      <c r="P1370" s="228">
        <v>0</v>
      </c>
      <c r="Q1370" s="228">
        <v>0</v>
      </c>
    </row>
    <row r="1371" spans="1:17">
      <c r="A1371" s="165" t="s">
        <v>2179</v>
      </c>
      <c r="B1371" s="165" t="s">
        <v>1555</v>
      </c>
      <c r="C1371" s="165">
        <v>13900</v>
      </c>
      <c r="D1371" s="228"/>
      <c r="E1371" s="228"/>
      <c r="F1371" s="228"/>
      <c r="G1371" s="228"/>
      <c r="H1371" s="228"/>
      <c r="I1371" s="228"/>
      <c r="J1371" s="228"/>
      <c r="K1371" s="228"/>
      <c r="L1371" s="228">
        <v>2100</v>
      </c>
      <c r="M1371" s="228">
        <v>29190000</v>
      </c>
      <c r="N1371" s="228"/>
      <c r="O1371" s="228"/>
      <c r="P1371" s="228">
        <v>2100</v>
      </c>
      <c r="Q1371" s="228">
        <v>29190000</v>
      </c>
    </row>
    <row r="1372" spans="1:17">
      <c r="A1372" s="165" t="s">
        <v>2180</v>
      </c>
      <c r="B1372" s="165" t="s">
        <v>911</v>
      </c>
      <c r="C1372" s="165">
        <v>4350</v>
      </c>
      <c r="D1372" s="228"/>
      <c r="E1372" s="228"/>
      <c r="F1372" s="228">
        <v>0</v>
      </c>
      <c r="G1372" s="228">
        <v>0</v>
      </c>
      <c r="H1372" s="228"/>
      <c r="I1372" s="228"/>
      <c r="J1372" s="228"/>
      <c r="K1372" s="228"/>
      <c r="L1372" s="228"/>
      <c r="M1372" s="228"/>
      <c r="N1372" s="228"/>
      <c r="O1372" s="228"/>
      <c r="P1372" s="228">
        <v>0</v>
      </c>
      <c r="Q1372" s="228">
        <v>0</v>
      </c>
    </row>
    <row r="1373" spans="1:17">
      <c r="A1373" s="165" t="s">
        <v>2181</v>
      </c>
      <c r="B1373" s="165" t="s">
        <v>911</v>
      </c>
      <c r="C1373" s="165">
        <v>7000</v>
      </c>
      <c r="D1373" s="228"/>
      <c r="E1373" s="228"/>
      <c r="F1373" s="228">
        <v>0</v>
      </c>
      <c r="G1373" s="228">
        <v>0</v>
      </c>
      <c r="H1373" s="228"/>
      <c r="I1373" s="228"/>
      <c r="J1373" s="228"/>
      <c r="K1373" s="228"/>
      <c r="L1373" s="228"/>
      <c r="M1373" s="228"/>
      <c r="N1373" s="228"/>
      <c r="O1373" s="228"/>
      <c r="P1373" s="228">
        <v>0</v>
      </c>
      <c r="Q1373" s="228">
        <v>0</v>
      </c>
    </row>
    <row r="1374" spans="1:17">
      <c r="A1374" s="165" t="s">
        <v>2182</v>
      </c>
      <c r="B1374" s="165" t="s">
        <v>1086</v>
      </c>
      <c r="C1374" s="165">
        <v>3500</v>
      </c>
      <c r="D1374" s="228"/>
      <c r="E1374" s="228"/>
      <c r="F1374" s="228"/>
      <c r="G1374" s="228"/>
      <c r="H1374" s="228"/>
      <c r="I1374" s="228"/>
      <c r="J1374" s="228"/>
      <c r="K1374" s="228"/>
      <c r="L1374" s="228">
        <v>9000</v>
      </c>
      <c r="M1374" s="228">
        <v>31500000</v>
      </c>
      <c r="N1374" s="228"/>
      <c r="O1374" s="228"/>
      <c r="P1374" s="228">
        <v>9000</v>
      </c>
      <c r="Q1374" s="228">
        <v>31500000</v>
      </c>
    </row>
    <row r="1375" spans="1:17">
      <c r="A1375" s="165" t="s">
        <v>2183</v>
      </c>
      <c r="B1375" s="165" t="s">
        <v>1098</v>
      </c>
      <c r="C1375" s="165">
        <v>7000</v>
      </c>
      <c r="D1375" s="228"/>
      <c r="E1375" s="228"/>
      <c r="F1375" s="228"/>
      <c r="G1375" s="228"/>
      <c r="H1375" s="228"/>
      <c r="I1375" s="228"/>
      <c r="J1375" s="228"/>
      <c r="K1375" s="228"/>
      <c r="L1375" s="228">
        <v>1000</v>
      </c>
      <c r="M1375" s="228">
        <v>7000000</v>
      </c>
      <c r="N1375" s="228"/>
      <c r="O1375" s="228"/>
      <c r="P1375" s="228">
        <v>1000</v>
      </c>
      <c r="Q1375" s="228">
        <v>7000000</v>
      </c>
    </row>
    <row r="1376" spans="1:17">
      <c r="A1376"/>
      <c r="B1376" s="165" t="s">
        <v>789</v>
      </c>
      <c r="C1376" s="165">
        <v>7000</v>
      </c>
      <c r="D1376" s="228"/>
      <c r="E1376" s="228"/>
      <c r="F1376" s="228"/>
      <c r="G1376" s="228"/>
      <c r="H1376" s="228"/>
      <c r="I1376" s="228"/>
      <c r="J1376" s="228"/>
      <c r="K1376" s="228"/>
      <c r="L1376" s="228">
        <v>2000</v>
      </c>
      <c r="M1376" s="228">
        <v>14000000</v>
      </c>
      <c r="N1376" s="228"/>
      <c r="O1376" s="228"/>
      <c r="P1376" s="228">
        <v>2000</v>
      </c>
      <c r="Q1376" s="228">
        <v>14000000</v>
      </c>
    </row>
    <row r="1377" spans="1:17">
      <c r="A1377" s="165" t="s">
        <v>2184</v>
      </c>
      <c r="B1377" s="165" t="s">
        <v>710</v>
      </c>
      <c r="C1377" s="165">
        <v>4000</v>
      </c>
      <c r="D1377" s="228"/>
      <c r="E1377" s="228"/>
      <c r="F1377" s="228">
        <v>15450</v>
      </c>
      <c r="G1377" s="228">
        <v>61800000</v>
      </c>
      <c r="H1377" s="228"/>
      <c r="I1377" s="228"/>
      <c r="J1377" s="228"/>
      <c r="K1377" s="228"/>
      <c r="L1377" s="228"/>
      <c r="M1377" s="228"/>
      <c r="N1377" s="228"/>
      <c r="O1377" s="228"/>
      <c r="P1377" s="228">
        <v>15450</v>
      </c>
      <c r="Q1377" s="228">
        <v>61800000</v>
      </c>
    </row>
    <row r="1378" spans="1:17">
      <c r="A1378" s="165" t="s">
        <v>2185</v>
      </c>
      <c r="B1378" s="165" t="s">
        <v>710</v>
      </c>
      <c r="C1378" s="165">
        <v>4000</v>
      </c>
      <c r="D1378" s="228"/>
      <c r="E1378" s="228"/>
      <c r="F1378" s="228">
        <v>2125</v>
      </c>
      <c r="G1378" s="228">
        <v>8500000</v>
      </c>
      <c r="H1378" s="228"/>
      <c r="I1378" s="228"/>
      <c r="J1378" s="228"/>
      <c r="K1378" s="228"/>
      <c r="L1378" s="228"/>
      <c r="M1378" s="228"/>
      <c r="N1378" s="228"/>
      <c r="O1378" s="228"/>
      <c r="P1378" s="228">
        <v>2125</v>
      </c>
      <c r="Q1378" s="228">
        <v>8500000</v>
      </c>
    </row>
    <row r="1379" spans="1:17">
      <c r="A1379" s="165" t="s">
        <v>2186</v>
      </c>
      <c r="B1379" s="165" t="s">
        <v>168</v>
      </c>
      <c r="C1379" s="165">
        <v>2600</v>
      </c>
      <c r="D1379" s="228"/>
      <c r="E1379" s="228"/>
      <c r="F1379" s="228">
        <v>0</v>
      </c>
      <c r="G1379" s="228">
        <v>0</v>
      </c>
      <c r="H1379" s="228"/>
      <c r="I1379" s="228"/>
      <c r="J1379" s="228"/>
      <c r="K1379" s="228"/>
      <c r="L1379" s="228"/>
      <c r="M1379" s="228"/>
      <c r="N1379" s="228"/>
      <c r="O1379" s="228"/>
      <c r="P1379" s="228">
        <v>0</v>
      </c>
      <c r="Q1379" s="228">
        <v>0</v>
      </c>
    </row>
    <row r="1380" spans="1:17">
      <c r="A1380"/>
      <c r="B1380"/>
      <c r="C1380" s="165">
        <v>2700</v>
      </c>
      <c r="D1380" s="228">
        <v>0</v>
      </c>
      <c r="E1380" s="228">
        <v>0</v>
      </c>
      <c r="F1380" s="228"/>
      <c r="G1380" s="228"/>
      <c r="H1380" s="228"/>
      <c r="I1380" s="228"/>
      <c r="J1380" s="228"/>
      <c r="K1380" s="228"/>
      <c r="L1380" s="228"/>
      <c r="M1380" s="228"/>
      <c r="N1380" s="228"/>
      <c r="O1380" s="228"/>
      <c r="P1380" s="228">
        <v>0</v>
      </c>
      <c r="Q1380" s="228">
        <v>0</v>
      </c>
    </row>
    <row r="1381" spans="1:17">
      <c r="A1381"/>
      <c r="B1381" s="165" t="s">
        <v>1625</v>
      </c>
      <c r="C1381" s="165">
        <v>2600</v>
      </c>
      <c r="D1381" s="228"/>
      <c r="E1381" s="228"/>
      <c r="F1381" s="228">
        <v>0</v>
      </c>
      <c r="G1381" s="228">
        <v>0</v>
      </c>
      <c r="H1381" s="228"/>
      <c r="I1381" s="228"/>
      <c r="J1381" s="228"/>
      <c r="K1381" s="228"/>
      <c r="L1381" s="228"/>
      <c r="M1381" s="228"/>
      <c r="N1381" s="228"/>
      <c r="O1381" s="228"/>
      <c r="P1381" s="228">
        <v>0</v>
      </c>
      <c r="Q1381" s="228">
        <v>0</v>
      </c>
    </row>
    <row r="1382" spans="1:17">
      <c r="A1382"/>
      <c r="B1382" s="165" t="s">
        <v>1241</v>
      </c>
      <c r="C1382" s="165">
        <v>2800</v>
      </c>
      <c r="D1382" s="228"/>
      <c r="E1382" s="228"/>
      <c r="F1382" s="228">
        <v>0</v>
      </c>
      <c r="G1382" s="228">
        <v>0</v>
      </c>
      <c r="H1382" s="228"/>
      <c r="I1382" s="228"/>
      <c r="J1382" s="228"/>
      <c r="K1382" s="228"/>
      <c r="L1382" s="228"/>
      <c r="M1382" s="228"/>
      <c r="N1382" s="228"/>
      <c r="O1382" s="228"/>
      <c r="P1382" s="228">
        <v>0</v>
      </c>
      <c r="Q1382" s="228">
        <v>0</v>
      </c>
    </row>
    <row r="1383" spans="1:17">
      <c r="A1383"/>
      <c r="B1383" s="165" t="s">
        <v>983</v>
      </c>
      <c r="C1383" s="165">
        <v>2800</v>
      </c>
      <c r="D1383" s="228"/>
      <c r="E1383" s="228"/>
      <c r="F1383" s="228">
        <v>0</v>
      </c>
      <c r="G1383" s="228">
        <v>0</v>
      </c>
      <c r="H1383" s="228"/>
      <c r="I1383" s="228"/>
      <c r="J1383" s="228"/>
      <c r="K1383" s="228"/>
      <c r="L1383" s="228"/>
      <c r="M1383" s="228"/>
      <c r="N1383" s="228"/>
      <c r="O1383" s="228"/>
      <c r="P1383" s="228">
        <v>0</v>
      </c>
      <c r="Q1383" s="228">
        <v>0</v>
      </c>
    </row>
    <row r="1384" spans="1:17">
      <c r="A1384"/>
      <c r="B1384" s="165" t="s">
        <v>270</v>
      </c>
      <c r="C1384" s="165">
        <v>2600</v>
      </c>
      <c r="D1384" s="228"/>
      <c r="E1384" s="228"/>
      <c r="F1384" s="228">
        <v>0</v>
      </c>
      <c r="G1384" s="228">
        <v>0</v>
      </c>
      <c r="H1384" s="228"/>
      <c r="I1384" s="228"/>
      <c r="J1384" s="228"/>
      <c r="K1384" s="228"/>
      <c r="L1384" s="228"/>
      <c r="M1384" s="228"/>
      <c r="N1384" s="228"/>
      <c r="O1384" s="228"/>
      <c r="P1384" s="228">
        <v>0</v>
      </c>
      <c r="Q1384" s="228">
        <v>0</v>
      </c>
    </row>
    <row r="1385" spans="1:17">
      <c r="A1385"/>
      <c r="B1385" s="165" t="s">
        <v>285</v>
      </c>
      <c r="C1385" s="165">
        <v>2800</v>
      </c>
      <c r="D1385" s="228"/>
      <c r="E1385" s="228"/>
      <c r="F1385" s="228">
        <v>0</v>
      </c>
      <c r="G1385" s="228">
        <v>0</v>
      </c>
      <c r="H1385" s="228">
        <v>20000</v>
      </c>
      <c r="I1385" s="228">
        <v>56000000</v>
      </c>
      <c r="J1385" s="228"/>
      <c r="K1385" s="228"/>
      <c r="L1385" s="228"/>
      <c r="M1385" s="228"/>
      <c r="N1385" s="228"/>
      <c r="O1385" s="228"/>
      <c r="P1385" s="228">
        <v>20000</v>
      </c>
      <c r="Q1385" s="228">
        <v>56000000</v>
      </c>
    </row>
    <row r="1386" spans="1:17">
      <c r="A1386"/>
      <c r="B1386"/>
      <c r="C1386" s="165">
        <v>2900</v>
      </c>
      <c r="D1386" s="228"/>
      <c r="E1386" s="228"/>
      <c r="F1386" s="228"/>
      <c r="G1386" s="228"/>
      <c r="H1386" s="228"/>
      <c r="I1386" s="228"/>
      <c r="J1386" s="228"/>
      <c r="K1386" s="228"/>
      <c r="L1386" s="228">
        <v>20000</v>
      </c>
      <c r="M1386" s="228">
        <v>58000000</v>
      </c>
      <c r="N1386" s="228"/>
      <c r="O1386" s="228"/>
      <c r="P1386" s="228">
        <v>20000</v>
      </c>
      <c r="Q1386" s="228">
        <v>58000000</v>
      </c>
    </row>
    <row r="1387" spans="1:17">
      <c r="A1387"/>
      <c r="B1387" s="165" t="s">
        <v>771</v>
      </c>
      <c r="C1387" s="165">
        <v>2800</v>
      </c>
      <c r="D1387" s="228">
        <v>0</v>
      </c>
      <c r="E1387" s="228">
        <v>0</v>
      </c>
      <c r="F1387" s="228"/>
      <c r="G1387" s="228"/>
      <c r="H1387" s="228"/>
      <c r="I1387" s="228"/>
      <c r="J1387" s="228"/>
      <c r="K1387" s="228"/>
      <c r="L1387" s="228"/>
      <c r="M1387" s="228"/>
      <c r="N1387" s="228"/>
      <c r="O1387" s="228"/>
      <c r="P1387" s="228">
        <v>0</v>
      </c>
      <c r="Q1387" s="228">
        <v>0</v>
      </c>
    </row>
    <row r="1388" spans="1:17">
      <c r="A1388"/>
      <c r="B1388" s="165" t="s">
        <v>288</v>
      </c>
      <c r="C1388" s="165">
        <v>2600</v>
      </c>
      <c r="D1388" s="228">
        <v>0</v>
      </c>
      <c r="E1388" s="228">
        <v>0</v>
      </c>
      <c r="F1388" s="228"/>
      <c r="G1388" s="228"/>
      <c r="H1388" s="228"/>
      <c r="I1388" s="228"/>
      <c r="J1388" s="228"/>
      <c r="K1388" s="228"/>
      <c r="L1388" s="228"/>
      <c r="M1388" s="228"/>
      <c r="N1388" s="228"/>
      <c r="O1388" s="228"/>
      <c r="P1388" s="228">
        <v>0</v>
      </c>
      <c r="Q1388" s="228">
        <v>0</v>
      </c>
    </row>
    <row r="1389" spans="1:17">
      <c r="A1389"/>
      <c r="B1389" s="165" t="s">
        <v>253</v>
      </c>
      <c r="C1389" s="165">
        <v>2600</v>
      </c>
      <c r="D1389" s="228"/>
      <c r="E1389" s="228"/>
      <c r="F1389" s="228">
        <v>0</v>
      </c>
      <c r="G1389" s="228">
        <v>0</v>
      </c>
      <c r="H1389" s="228"/>
      <c r="I1389" s="228"/>
      <c r="J1389" s="228"/>
      <c r="K1389" s="228"/>
      <c r="L1389" s="228"/>
      <c r="M1389" s="228"/>
      <c r="N1389" s="228"/>
      <c r="O1389" s="228"/>
      <c r="P1389" s="228">
        <v>0</v>
      </c>
      <c r="Q1389" s="228">
        <v>0</v>
      </c>
    </row>
    <row r="1390" spans="1:17">
      <c r="A1390"/>
      <c r="B1390"/>
      <c r="C1390" s="165">
        <v>2700</v>
      </c>
      <c r="D1390" s="228"/>
      <c r="E1390" s="228"/>
      <c r="F1390" s="228">
        <v>0</v>
      </c>
      <c r="G1390" s="228">
        <v>0</v>
      </c>
      <c r="H1390" s="228"/>
      <c r="I1390" s="228"/>
      <c r="J1390" s="228"/>
      <c r="K1390" s="228"/>
      <c r="L1390" s="228"/>
      <c r="M1390" s="228"/>
      <c r="N1390" s="228"/>
      <c r="O1390" s="228"/>
      <c r="P1390" s="228">
        <v>0</v>
      </c>
      <c r="Q1390" s="228">
        <v>0</v>
      </c>
    </row>
    <row r="1391" spans="1:17">
      <c r="A1391"/>
      <c r="B1391" s="165" t="s">
        <v>1098</v>
      </c>
      <c r="C1391" s="165">
        <v>2700</v>
      </c>
      <c r="D1391" s="228"/>
      <c r="E1391" s="228"/>
      <c r="F1391" s="228">
        <v>0</v>
      </c>
      <c r="G1391" s="228">
        <v>0</v>
      </c>
      <c r="H1391" s="228"/>
      <c r="I1391" s="228"/>
      <c r="J1391" s="228"/>
      <c r="K1391" s="228"/>
      <c r="L1391" s="228"/>
      <c r="M1391" s="228"/>
      <c r="N1391" s="228"/>
      <c r="O1391" s="228"/>
      <c r="P1391" s="228">
        <v>0</v>
      </c>
      <c r="Q1391" s="228">
        <v>0</v>
      </c>
    </row>
    <row r="1392" spans="1:17">
      <c r="A1392"/>
      <c r="B1392" s="165" t="s">
        <v>465</v>
      </c>
      <c r="C1392" s="165">
        <v>2700</v>
      </c>
      <c r="D1392" s="228"/>
      <c r="E1392" s="228"/>
      <c r="F1392" s="228">
        <v>0</v>
      </c>
      <c r="G1392" s="228">
        <v>0</v>
      </c>
      <c r="H1392" s="228"/>
      <c r="I1392" s="228"/>
      <c r="J1392" s="228"/>
      <c r="K1392" s="228"/>
      <c r="L1392" s="228"/>
      <c r="M1392" s="228"/>
      <c r="N1392" s="228"/>
      <c r="O1392" s="228"/>
      <c r="P1392" s="228">
        <v>0</v>
      </c>
      <c r="Q1392" s="228">
        <v>0</v>
      </c>
    </row>
    <row r="1393" spans="1:17">
      <c r="A1393"/>
      <c r="B1393" s="165" t="s">
        <v>1345</v>
      </c>
      <c r="C1393" s="165">
        <v>2700</v>
      </c>
      <c r="D1393" s="228">
        <v>0</v>
      </c>
      <c r="E1393" s="228">
        <v>0</v>
      </c>
      <c r="F1393" s="228"/>
      <c r="G1393" s="228"/>
      <c r="H1393" s="228"/>
      <c r="I1393" s="228"/>
      <c r="J1393" s="228"/>
      <c r="K1393" s="228"/>
      <c r="L1393" s="228"/>
      <c r="M1393" s="228"/>
      <c r="N1393" s="228"/>
      <c r="O1393" s="228"/>
      <c r="P1393" s="228">
        <v>0</v>
      </c>
      <c r="Q1393" s="228">
        <v>0</v>
      </c>
    </row>
    <row r="1394" spans="1:17">
      <c r="A1394"/>
      <c r="B1394" s="165" t="s">
        <v>177</v>
      </c>
      <c r="C1394" s="165">
        <v>2600</v>
      </c>
      <c r="D1394" s="228"/>
      <c r="E1394" s="228"/>
      <c r="F1394" s="228">
        <v>0</v>
      </c>
      <c r="G1394" s="228">
        <v>0</v>
      </c>
      <c r="H1394" s="228"/>
      <c r="I1394" s="228"/>
      <c r="J1394" s="228"/>
      <c r="K1394" s="228"/>
      <c r="L1394" s="228"/>
      <c r="M1394" s="228"/>
      <c r="N1394" s="228"/>
      <c r="O1394" s="228"/>
      <c r="P1394" s="228">
        <v>0</v>
      </c>
      <c r="Q1394" s="228">
        <v>0</v>
      </c>
    </row>
    <row r="1395" spans="1:17">
      <c r="A1395"/>
      <c r="B1395"/>
      <c r="C1395" s="165">
        <v>2800</v>
      </c>
      <c r="D1395" s="228"/>
      <c r="E1395" s="228"/>
      <c r="F1395" s="228">
        <v>0</v>
      </c>
      <c r="G1395" s="228">
        <v>0</v>
      </c>
      <c r="H1395" s="228">
        <v>10000</v>
      </c>
      <c r="I1395" s="228">
        <v>28000000</v>
      </c>
      <c r="J1395" s="228"/>
      <c r="K1395" s="228"/>
      <c r="L1395" s="228"/>
      <c r="M1395" s="228"/>
      <c r="N1395" s="228"/>
      <c r="O1395" s="228"/>
      <c r="P1395" s="228">
        <v>10000</v>
      </c>
      <c r="Q1395" s="228">
        <v>28000000</v>
      </c>
    </row>
    <row r="1396" spans="1:17">
      <c r="A1396"/>
      <c r="B1396" s="165" t="s">
        <v>817</v>
      </c>
      <c r="C1396" s="165">
        <v>2600</v>
      </c>
      <c r="D1396" s="228">
        <v>0</v>
      </c>
      <c r="E1396" s="228">
        <v>0</v>
      </c>
      <c r="F1396" s="228"/>
      <c r="G1396" s="228"/>
      <c r="H1396" s="228"/>
      <c r="I1396" s="228"/>
      <c r="J1396" s="228"/>
      <c r="K1396" s="228"/>
      <c r="L1396" s="228"/>
      <c r="M1396" s="228"/>
      <c r="N1396" s="228"/>
      <c r="O1396" s="228"/>
      <c r="P1396" s="228">
        <v>0</v>
      </c>
      <c r="Q1396" s="228">
        <v>0</v>
      </c>
    </row>
    <row r="1397" spans="1:17">
      <c r="A1397"/>
      <c r="B1397" s="165" t="s">
        <v>130</v>
      </c>
      <c r="C1397" s="165">
        <v>2600</v>
      </c>
      <c r="D1397" s="228"/>
      <c r="E1397" s="228"/>
      <c r="F1397" s="228">
        <v>0</v>
      </c>
      <c r="G1397" s="228">
        <v>0</v>
      </c>
      <c r="H1397" s="228"/>
      <c r="I1397" s="228"/>
      <c r="J1397" s="228"/>
      <c r="K1397" s="228"/>
      <c r="L1397" s="228"/>
      <c r="M1397" s="228"/>
      <c r="N1397" s="228"/>
      <c r="O1397" s="228"/>
      <c r="P1397" s="228">
        <v>0</v>
      </c>
      <c r="Q1397" s="228">
        <v>0</v>
      </c>
    </row>
    <row r="1398" spans="1:17">
      <c r="A1398"/>
      <c r="B1398"/>
      <c r="C1398" s="165">
        <v>2900</v>
      </c>
      <c r="D1398" s="228"/>
      <c r="E1398" s="228"/>
      <c r="F1398" s="228"/>
      <c r="G1398" s="228"/>
      <c r="H1398" s="228">
        <v>4000</v>
      </c>
      <c r="I1398" s="228">
        <v>11600000</v>
      </c>
      <c r="J1398" s="228"/>
      <c r="K1398" s="228"/>
      <c r="L1398" s="228"/>
      <c r="M1398" s="228"/>
      <c r="N1398" s="228"/>
      <c r="O1398" s="228"/>
      <c r="P1398" s="228">
        <v>4000</v>
      </c>
      <c r="Q1398" s="228">
        <v>11600000</v>
      </c>
    </row>
    <row r="1399" spans="1:17">
      <c r="A1399"/>
      <c r="B1399" s="165" t="s">
        <v>197</v>
      </c>
      <c r="C1399" s="165">
        <v>2600</v>
      </c>
      <c r="D1399" s="228">
        <v>0</v>
      </c>
      <c r="E1399" s="228">
        <v>0</v>
      </c>
      <c r="F1399" s="228"/>
      <c r="G1399" s="228"/>
      <c r="H1399" s="228"/>
      <c r="I1399" s="228"/>
      <c r="J1399" s="228"/>
      <c r="K1399" s="228"/>
      <c r="L1399" s="228"/>
      <c r="M1399" s="228"/>
      <c r="N1399" s="228"/>
      <c r="O1399" s="228"/>
      <c r="P1399" s="228">
        <v>0</v>
      </c>
      <c r="Q1399" s="228">
        <v>0</v>
      </c>
    </row>
    <row r="1400" spans="1:17">
      <c r="A1400"/>
      <c r="B1400" s="165" t="s">
        <v>1009</v>
      </c>
      <c r="C1400" s="165">
        <v>2600</v>
      </c>
      <c r="D1400" s="228"/>
      <c r="E1400" s="228"/>
      <c r="F1400" s="228">
        <v>0</v>
      </c>
      <c r="G1400" s="228">
        <v>0</v>
      </c>
      <c r="H1400" s="228"/>
      <c r="I1400" s="228"/>
      <c r="J1400" s="228"/>
      <c r="K1400" s="228"/>
      <c r="L1400" s="228"/>
      <c r="M1400" s="228"/>
      <c r="N1400" s="228"/>
      <c r="O1400" s="228"/>
      <c r="P1400" s="228">
        <v>0</v>
      </c>
      <c r="Q1400" s="228">
        <v>0</v>
      </c>
    </row>
    <row r="1401" spans="1:17">
      <c r="A1401"/>
      <c r="B1401"/>
      <c r="C1401" s="165">
        <v>2640</v>
      </c>
      <c r="D1401" s="228"/>
      <c r="E1401" s="228"/>
      <c r="F1401" s="228">
        <v>0</v>
      </c>
      <c r="G1401" s="228">
        <v>0</v>
      </c>
      <c r="H1401" s="228"/>
      <c r="I1401" s="228"/>
      <c r="J1401" s="228"/>
      <c r="K1401" s="228"/>
      <c r="L1401" s="228"/>
      <c r="M1401" s="228"/>
      <c r="N1401" s="228"/>
      <c r="O1401" s="228"/>
      <c r="P1401" s="228">
        <v>0</v>
      </c>
      <c r="Q1401" s="228">
        <v>0</v>
      </c>
    </row>
    <row r="1402" spans="1:17">
      <c r="A1402"/>
      <c r="B1402"/>
      <c r="C1402" s="165">
        <v>2700</v>
      </c>
      <c r="D1402" s="228">
        <v>0</v>
      </c>
      <c r="E1402" s="228">
        <v>0</v>
      </c>
      <c r="F1402" s="228"/>
      <c r="G1402" s="228"/>
      <c r="H1402" s="228"/>
      <c r="I1402" s="228"/>
      <c r="J1402" s="228"/>
      <c r="K1402" s="228"/>
      <c r="L1402" s="228"/>
      <c r="M1402" s="228"/>
      <c r="N1402" s="228"/>
      <c r="O1402" s="228"/>
      <c r="P1402" s="228">
        <v>0</v>
      </c>
      <c r="Q1402" s="228">
        <v>0</v>
      </c>
    </row>
    <row r="1403" spans="1:17">
      <c r="A1403"/>
      <c r="B1403"/>
      <c r="C1403" s="165">
        <v>2900</v>
      </c>
      <c r="D1403" s="228"/>
      <c r="E1403" s="228"/>
      <c r="F1403" s="228"/>
      <c r="G1403" s="228"/>
      <c r="H1403" s="228">
        <v>20000</v>
      </c>
      <c r="I1403" s="228">
        <v>58000000</v>
      </c>
      <c r="J1403" s="228"/>
      <c r="K1403" s="228"/>
      <c r="L1403" s="228"/>
      <c r="M1403" s="228"/>
      <c r="N1403" s="228"/>
      <c r="O1403" s="228"/>
      <c r="P1403" s="228">
        <v>20000</v>
      </c>
      <c r="Q1403" s="228">
        <v>58000000</v>
      </c>
    </row>
    <row r="1404" spans="1:17">
      <c r="A1404"/>
      <c r="B1404" s="165" t="s">
        <v>921</v>
      </c>
      <c r="C1404" s="165">
        <v>2600</v>
      </c>
      <c r="D1404" s="228"/>
      <c r="E1404" s="228"/>
      <c r="F1404" s="228">
        <v>0</v>
      </c>
      <c r="G1404" s="228">
        <v>0</v>
      </c>
      <c r="H1404" s="228"/>
      <c r="I1404" s="228"/>
      <c r="J1404" s="228"/>
      <c r="K1404" s="228"/>
      <c r="L1404" s="228"/>
      <c r="M1404" s="228"/>
      <c r="N1404" s="228"/>
      <c r="O1404" s="228"/>
      <c r="P1404" s="228">
        <v>0</v>
      </c>
      <c r="Q1404" s="228">
        <v>0</v>
      </c>
    </row>
    <row r="1405" spans="1:17">
      <c r="A1405"/>
      <c r="B1405" s="165" t="s">
        <v>1702</v>
      </c>
      <c r="C1405" s="165">
        <v>2600</v>
      </c>
      <c r="D1405" s="228"/>
      <c r="E1405" s="228"/>
      <c r="F1405" s="228">
        <v>0</v>
      </c>
      <c r="G1405" s="228">
        <v>0</v>
      </c>
      <c r="H1405" s="228"/>
      <c r="I1405" s="228"/>
      <c r="J1405" s="228"/>
      <c r="K1405" s="228"/>
      <c r="L1405" s="228"/>
      <c r="M1405" s="228"/>
      <c r="N1405" s="228"/>
      <c r="O1405" s="228"/>
      <c r="P1405" s="228">
        <v>0</v>
      </c>
      <c r="Q1405" s="228">
        <v>0</v>
      </c>
    </row>
    <row r="1406" spans="1:17">
      <c r="A1406"/>
      <c r="B1406"/>
      <c r="C1406" s="165">
        <v>2700</v>
      </c>
      <c r="D1406" s="228">
        <v>0</v>
      </c>
      <c r="E1406" s="228">
        <v>0</v>
      </c>
      <c r="F1406" s="228"/>
      <c r="G1406" s="228"/>
      <c r="H1406" s="228"/>
      <c r="I1406" s="228"/>
      <c r="J1406" s="228"/>
      <c r="K1406" s="228"/>
      <c r="L1406" s="228"/>
      <c r="M1406" s="228"/>
      <c r="N1406" s="228"/>
      <c r="O1406" s="228"/>
      <c r="P1406" s="228">
        <v>0</v>
      </c>
      <c r="Q1406" s="228">
        <v>0</v>
      </c>
    </row>
    <row r="1407" spans="1:17">
      <c r="A1407"/>
      <c r="B1407"/>
      <c r="C1407" s="165">
        <v>2900</v>
      </c>
      <c r="D1407" s="228"/>
      <c r="E1407" s="228"/>
      <c r="F1407" s="228"/>
      <c r="G1407" s="228"/>
      <c r="H1407" s="228">
        <v>6000</v>
      </c>
      <c r="I1407" s="228">
        <v>17400000</v>
      </c>
      <c r="J1407" s="228"/>
      <c r="K1407" s="228"/>
      <c r="L1407" s="228"/>
      <c r="M1407" s="228"/>
      <c r="N1407" s="228"/>
      <c r="O1407" s="228"/>
      <c r="P1407" s="228">
        <v>6000</v>
      </c>
      <c r="Q1407" s="228">
        <v>17400000</v>
      </c>
    </row>
    <row r="1408" spans="1:17">
      <c r="A1408"/>
      <c r="B1408" s="165" t="s">
        <v>1060</v>
      </c>
      <c r="C1408" s="165">
        <v>2600</v>
      </c>
      <c r="D1408" s="228"/>
      <c r="E1408" s="228"/>
      <c r="F1408" s="228">
        <v>0</v>
      </c>
      <c r="G1408" s="228">
        <v>0</v>
      </c>
      <c r="H1408" s="228"/>
      <c r="I1408" s="228"/>
      <c r="J1408" s="228"/>
      <c r="K1408" s="228"/>
      <c r="L1408" s="228"/>
      <c r="M1408" s="228"/>
      <c r="N1408" s="228"/>
      <c r="O1408" s="228"/>
      <c r="P1408" s="228">
        <v>0</v>
      </c>
      <c r="Q1408" s="228">
        <v>0</v>
      </c>
    </row>
    <row r="1409" spans="1:17">
      <c r="A1409"/>
      <c r="B1409" s="165" t="s">
        <v>1086</v>
      </c>
      <c r="C1409" s="165">
        <v>2600</v>
      </c>
      <c r="D1409" s="228"/>
      <c r="E1409" s="228"/>
      <c r="F1409" s="228">
        <v>0</v>
      </c>
      <c r="G1409" s="228">
        <v>0</v>
      </c>
      <c r="H1409" s="228"/>
      <c r="I1409" s="228"/>
      <c r="J1409" s="228"/>
      <c r="K1409" s="228"/>
      <c r="L1409" s="228"/>
      <c r="M1409" s="228"/>
      <c r="N1409" s="228"/>
      <c r="O1409" s="228"/>
      <c r="P1409" s="228">
        <v>0</v>
      </c>
      <c r="Q1409" s="228">
        <v>0</v>
      </c>
    </row>
    <row r="1410" spans="1:17">
      <c r="A1410"/>
      <c r="B1410" s="165" t="s">
        <v>213</v>
      </c>
      <c r="C1410" s="165">
        <v>2600</v>
      </c>
      <c r="D1410" s="228"/>
      <c r="E1410" s="228"/>
      <c r="F1410" s="228">
        <v>0</v>
      </c>
      <c r="G1410" s="228">
        <v>0</v>
      </c>
      <c r="H1410" s="228"/>
      <c r="I1410" s="228"/>
      <c r="J1410" s="228"/>
      <c r="K1410" s="228"/>
      <c r="L1410" s="228"/>
      <c r="M1410" s="228"/>
      <c r="N1410" s="228"/>
      <c r="O1410" s="228"/>
      <c r="P1410" s="228">
        <v>0</v>
      </c>
      <c r="Q1410" s="228">
        <v>0</v>
      </c>
    </row>
    <row r="1411" spans="1:17">
      <c r="A1411"/>
      <c r="B1411"/>
      <c r="C1411" s="165">
        <v>2700</v>
      </c>
      <c r="D1411" s="228"/>
      <c r="E1411" s="228"/>
      <c r="F1411" s="228">
        <v>0</v>
      </c>
      <c r="G1411" s="228">
        <v>0</v>
      </c>
      <c r="H1411" s="228"/>
      <c r="I1411" s="228"/>
      <c r="J1411" s="228"/>
      <c r="K1411" s="228"/>
      <c r="L1411" s="228"/>
      <c r="M1411" s="228"/>
      <c r="N1411" s="228"/>
      <c r="O1411" s="228"/>
      <c r="P1411" s="228">
        <v>0</v>
      </c>
      <c r="Q1411" s="228">
        <v>0</v>
      </c>
    </row>
    <row r="1412" spans="1:17">
      <c r="A1412"/>
      <c r="B1412" s="165" t="s">
        <v>239</v>
      </c>
      <c r="C1412" s="165">
        <v>2600</v>
      </c>
      <c r="D1412" s="228"/>
      <c r="E1412" s="228"/>
      <c r="F1412" s="228">
        <v>0</v>
      </c>
      <c r="G1412" s="228">
        <v>0</v>
      </c>
      <c r="H1412" s="228"/>
      <c r="I1412" s="228"/>
      <c r="J1412" s="228"/>
      <c r="K1412" s="228"/>
      <c r="L1412" s="228"/>
      <c r="M1412" s="228"/>
      <c r="N1412" s="228"/>
      <c r="O1412" s="228"/>
      <c r="P1412" s="228">
        <v>0</v>
      </c>
      <c r="Q1412" s="228">
        <v>0</v>
      </c>
    </row>
    <row r="1413" spans="1:17">
      <c r="A1413"/>
      <c r="B1413"/>
      <c r="C1413" s="165">
        <v>2700</v>
      </c>
      <c r="D1413" s="228"/>
      <c r="E1413" s="228"/>
      <c r="F1413" s="228"/>
      <c r="G1413" s="228"/>
      <c r="H1413" s="228"/>
      <c r="I1413" s="228"/>
      <c r="J1413" s="228">
        <v>4800</v>
      </c>
      <c r="K1413" s="228">
        <v>12960000</v>
      </c>
      <c r="L1413" s="228"/>
      <c r="M1413" s="228"/>
      <c r="N1413" s="228"/>
      <c r="O1413" s="228"/>
      <c r="P1413" s="228">
        <v>4800</v>
      </c>
      <c r="Q1413" s="228">
        <v>12960000</v>
      </c>
    </row>
    <row r="1414" spans="1:17">
      <c r="A1414"/>
      <c r="B1414" s="165" t="s">
        <v>1209</v>
      </c>
      <c r="C1414" s="165">
        <v>2600</v>
      </c>
      <c r="D1414" s="228"/>
      <c r="E1414" s="228"/>
      <c r="F1414" s="228">
        <v>0</v>
      </c>
      <c r="G1414" s="228">
        <v>0</v>
      </c>
      <c r="H1414" s="228"/>
      <c r="I1414" s="228"/>
      <c r="J1414" s="228"/>
      <c r="K1414" s="228"/>
      <c r="L1414" s="228"/>
      <c r="M1414" s="228"/>
      <c r="N1414" s="228"/>
      <c r="O1414" s="228"/>
      <c r="P1414" s="228">
        <v>0</v>
      </c>
      <c r="Q1414" s="228">
        <v>0</v>
      </c>
    </row>
    <row r="1415" spans="1:17">
      <c r="A1415"/>
      <c r="B1415" s="165" t="s">
        <v>1613</v>
      </c>
      <c r="C1415" s="165">
        <v>2700</v>
      </c>
      <c r="D1415" s="228"/>
      <c r="E1415" s="228"/>
      <c r="F1415" s="228">
        <v>0</v>
      </c>
      <c r="G1415" s="228">
        <v>0</v>
      </c>
      <c r="H1415" s="228"/>
      <c r="I1415" s="228"/>
      <c r="J1415" s="228"/>
      <c r="K1415" s="228"/>
      <c r="L1415" s="228"/>
      <c r="M1415" s="228"/>
      <c r="N1415" s="228"/>
      <c r="O1415" s="228"/>
      <c r="P1415" s="228">
        <v>0</v>
      </c>
      <c r="Q1415" s="228">
        <v>0</v>
      </c>
    </row>
    <row r="1416" spans="1:17">
      <c r="A1416"/>
      <c r="B1416" s="165" t="s">
        <v>1245</v>
      </c>
      <c r="C1416" s="165">
        <v>2600</v>
      </c>
      <c r="D1416" s="228"/>
      <c r="E1416" s="228"/>
      <c r="F1416" s="228">
        <v>0</v>
      </c>
      <c r="G1416" s="228">
        <v>0</v>
      </c>
      <c r="H1416" s="228"/>
      <c r="I1416" s="228"/>
      <c r="J1416" s="228"/>
      <c r="K1416" s="228"/>
      <c r="L1416" s="228"/>
      <c r="M1416" s="228"/>
      <c r="N1416" s="228"/>
      <c r="O1416" s="228"/>
      <c r="P1416" s="228">
        <v>0</v>
      </c>
      <c r="Q1416" s="228">
        <v>0</v>
      </c>
    </row>
    <row r="1417" spans="1:17">
      <c r="A1417"/>
      <c r="B1417"/>
      <c r="C1417" s="165">
        <v>2700</v>
      </c>
      <c r="D1417" s="228">
        <v>0</v>
      </c>
      <c r="E1417" s="228">
        <v>0</v>
      </c>
      <c r="F1417" s="228">
        <v>0</v>
      </c>
      <c r="G1417" s="228">
        <v>0</v>
      </c>
      <c r="H1417" s="228"/>
      <c r="I1417" s="228"/>
      <c r="J1417" s="228">
        <v>2000</v>
      </c>
      <c r="K1417" s="228">
        <v>5400000</v>
      </c>
      <c r="L1417" s="228"/>
      <c r="M1417" s="228"/>
      <c r="N1417" s="228"/>
      <c r="O1417" s="228"/>
      <c r="P1417" s="228">
        <v>2000</v>
      </c>
      <c r="Q1417" s="228">
        <v>5400000</v>
      </c>
    </row>
    <row r="1418" spans="1:17">
      <c r="A1418"/>
      <c r="B1418"/>
      <c r="C1418" s="165">
        <v>2800</v>
      </c>
      <c r="D1418" s="228"/>
      <c r="E1418" s="228"/>
      <c r="F1418" s="228"/>
      <c r="G1418" s="228"/>
      <c r="H1418" s="228"/>
      <c r="I1418" s="228"/>
      <c r="J1418" s="228"/>
      <c r="K1418" s="228"/>
      <c r="L1418" s="228">
        <v>14000</v>
      </c>
      <c r="M1418" s="228">
        <v>39200000</v>
      </c>
      <c r="N1418" s="228"/>
      <c r="O1418" s="228"/>
      <c r="P1418" s="228">
        <v>14000</v>
      </c>
      <c r="Q1418" s="228">
        <v>39200000</v>
      </c>
    </row>
    <row r="1419" spans="1:17">
      <c r="A1419"/>
      <c r="B1419" s="165" t="s">
        <v>1026</v>
      </c>
      <c r="C1419" s="165">
        <v>2600</v>
      </c>
      <c r="D1419" s="228"/>
      <c r="E1419" s="228"/>
      <c r="F1419" s="228">
        <v>0</v>
      </c>
      <c r="G1419" s="228">
        <v>0</v>
      </c>
      <c r="H1419" s="228"/>
      <c r="I1419" s="228"/>
      <c r="J1419" s="228"/>
      <c r="K1419" s="228"/>
      <c r="L1419" s="228"/>
      <c r="M1419" s="228"/>
      <c r="N1419" s="228"/>
      <c r="O1419" s="228"/>
      <c r="P1419" s="228">
        <v>0</v>
      </c>
      <c r="Q1419" s="228">
        <v>0</v>
      </c>
    </row>
    <row r="1420" spans="1:17">
      <c r="A1420"/>
      <c r="B1420" s="165" t="s">
        <v>810</v>
      </c>
      <c r="C1420" s="165">
        <v>2600</v>
      </c>
      <c r="D1420" s="228"/>
      <c r="E1420" s="228"/>
      <c r="F1420" s="228">
        <v>0</v>
      </c>
      <c r="G1420" s="228">
        <v>0</v>
      </c>
      <c r="H1420" s="228"/>
      <c r="I1420" s="228"/>
      <c r="J1420" s="228"/>
      <c r="K1420" s="228"/>
      <c r="L1420" s="228"/>
      <c r="M1420" s="228"/>
      <c r="N1420" s="228"/>
      <c r="O1420" s="228"/>
      <c r="P1420" s="228">
        <v>0</v>
      </c>
      <c r="Q1420" s="228">
        <v>0</v>
      </c>
    </row>
    <row r="1421" spans="1:17">
      <c r="A1421"/>
      <c r="B1421"/>
      <c r="C1421" s="165">
        <v>2700</v>
      </c>
      <c r="D1421" s="228"/>
      <c r="E1421" s="228"/>
      <c r="F1421" s="228">
        <v>0</v>
      </c>
      <c r="G1421" s="228">
        <v>0</v>
      </c>
      <c r="H1421" s="228"/>
      <c r="I1421" s="228"/>
      <c r="J1421" s="228"/>
      <c r="K1421" s="228"/>
      <c r="L1421" s="228"/>
      <c r="M1421" s="228"/>
      <c r="N1421" s="228"/>
      <c r="O1421" s="228"/>
      <c r="P1421" s="228">
        <v>0</v>
      </c>
      <c r="Q1421" s="228">
        <v>0</v>
      </c>
    </row>
    <row r="1422" spans="1:17">
      <c r="A1422"/>
      <c r="B1422" s="165" t="s">
        <v>987</v>
      </c>
      <c r="C1422" s="165">
        <v>2800</v>
      </c>
      <c r="D1422" s="228"/>
      <c r="E1422" s="228"/>
      <c r="F1422" s="228">
        <v>0</v>
      </c>
      <c r="G1422" s="228">
        <v>0</v>
      </c>
      <c r="H1422" s="228"/>
      <c r="I1422" s="228"/>
      <c r="J1422" s="228"/>
      <c r="K1422" s="228"/>
      <c r="L1422" s="228"/>
      <c r="M1422" s="228"/>
      <c r="N1422" s="228"/>
      <c r="O1422" s="228"/>
      <c r="P1422" s="228">
        <v>0</v>
      </c>
      <c r="Q1422" s="228">
        <v>0</v>
      </c>
    </row>
    <row r="1423" spans="1:17">
      <c r="A1423"/>
      <c r="B1423" s="165" t="s">
        <v>814</v>
      </c>
      <c r="C1423" s="165">
        <v>2600</v>
      </c>
      <c r="D1423" s="228"/>
      <c r="E1423" s="228"/>
      <c r="F1423" s="228">
        <v>0</v>
      </c>
      <c r="G1423" s="228">
        <v>0</v>
      </c>
      <c r="H1423" s="228"/>
      <c r="I1423" s="228"/>
      <c r="J1423" s="228"/>
      <c r="K1423" s="228"/>
      <c r="L1423" s="228"/>
      <c r="M1423" s="228"/>
      <c r="N1423" s="228"/>
      <c r="O1423" s="228"/>
      <c r="P1423" s="228">
        <v>0</v>
      </c>
      <c r="Q1423" s="228">
        <v>0</v>
      </c>
    </row>
    <row r="1424" spans="1:17">
      <c r="A1424"/>
      <c r="B1424"/>
      <c r="C1424" s="165">
        <v>2700</v>
      </c>
      <c r="D1424" s="228"/>
      <c r="E1424" s="228"/>
      <c r="F1424" s="228">
        <v>0</v>
      </c>
      <c r="G1424" s="228">
        <v>0</v>
      </c>
      <c r="H1424" s="228"/>
      <c r="I1424" s="228"/>
      <c r="J1424" s="228"/>
      <c r="K1424" s="228"/>
      <c r="L1424" s="228"/>
      <c r="M1424" s="228"/>
      <c r="N1424" s="228"/>
      <c r="O1424" s="228"/>
      <c r="P1424" s="228">
        <v>0</v>
      </c>
      <c r="Q1424" s="228">
        <v>0</v>
      </c>
    </row>
    <row r="1425" spans="1:17">
      <c r="A1425"/>
      <c r="B1425"/>
      <c r="C1425" s="165">
        <v>2750</v>
      </c>
      <c r="D1425" s="228">
        <v>0</v>
      </c>
      <c r="E1425" s="228">
        <v>0</v>
      </c>
      <c r="F1425" s="228"/>
      <c r="G1425" s="228"/>
      <c r="H1425" s="228"/>
      <c r="I1425" s="228"/>
      <c r="J1425" s="228"/>
      <c r="K1425" s="228"/>
      <c r="L1425" s="228"/>
      <c r="M1425" s="228"/>
      <c r="N1425" s="228"/>
      <c r="O1425" s="228"/>
      <c r="P1425" s="228">
        <v>0</v>
      </c>
      <c r="Q1425" s="228">
        <v>0</v>
      </c>
    </row>
    <row r="1426" spans="1:17">
      <c r="A1426"/>
      <c r="B1426" s="165" t="s">
        <v>91</v>
      </c>
      <c r="C1426" s="165">
        <v>2700</v>
      </c>
      <c r="D1426" s="228">
        <v>0</v>
      </c>
      <c r="E1426" s="228">
        <v>0</v>
      </c>
      <c r="F1426" s="228"/>
      <c r="G1426" s="228"/>
      <c r="H1426" s="228"/>
      <c r="I1426" s="228"/>
      <c r="J1426" s="228"/>
      <c r="K1426" s="228"/>
      <c r="L1426" s="228"/>
      <c r="M1426" s="228"/>
      <c r="N1426" s="228"/>
      <c r="O1426" s="228"/>
      <c r="P1426" s="228">
        <v>0</v>
      </c>
      <c r="Q1426" s="228">
        <v>0</v>
      </c>
    </row>
    <row r="1427" spans="1:17">
      <c r="A1427"/>
      <c r="B1427" s="165" t="s">
        <v>224</v>
      </c>
      <c r="C1427" s="165">
        <v>2600</v>
      </c>
      <c r="D1427" s="228"/>
      <c r="E1427" s="228"/>
      <c r="F1427" s="228">
        <v>0</v>
      </c>
      <c r="G1427" s="228">
        <v>0</v>
      </c>
      <c r="H1427" s="228"/>
      <c r="I1427" s="228"/>
      <c r="J1427" s="228"/>
      <c r="K1427" s="228"/>
      <c r="L1427" s="228"/>
      <c r="M1427" s="228"/>
      <c r="N1427" s="228"/>
      <c r="O1427" s="228"/>
      <c r="P1427" s="228">
        <v>0</v>
      </c>
      <c r="Q1427" s="228">
        <v>0</v>
      </c>
    </row>
    <row r="1428" spans="1:17">
      <c r="A1428"/>
      <c r="B1428" s="165" t="s">
        <v>156</v>
      </c>
      <c r="C1428" s="165">
        <v>2600</v>
      </c>
      <c r="D1428" s="228"/>
      <c r="E1428" s="228"/>
      <c r="F1428" s="228">
        <v>0</v>
      </c>
      <c r="G1428" s="228">
        <v>0</v>
      </c>
      <c r="H1428" s="228"/>
      <c r="I1428" s="228"/>
      <c r="J1428" s="228"/>
      <c r="K1428" s="228"/>
      <c r="L1428" s="228"/>
      <c r="M1428" s="228"/>
      <c r="N1428" s="228"/>
      <c r="O1428" s="228"/>
      <c r="P1428" s="228">
        <v>0</v>
      </c>
      <c r="Q1428" s="228">
        <v>0</v>
      </c>
    </row>
    <row r="1429" spans="1:17">
      <c r="A1429"/>
      <c r="B1429" s="165" t="s">
        <v>1880</v>
      </c>
      <c r="C1429" s="165">
        <v>2800</v>
      </c>
      <c r="D1429" s="228">
        <v>0</v>
      </c>
      <c r="E1429" s="228">
        <v>0</v>
      </c>
      <c r="F1429" s="228">
        <v>0</v>
      </c>
      <c r="G1429" s="228">
        <v>0</v>
      </c>
      <c r="H1429" s="228"/>
      <c r="I1429" s="228"/>
      <c r="J1429" s="228"/>
      <c r="K1429" s="228"/>
      <c r="L1429" s="228"/>
      <c r="M1429" s="228"/>
      <c r="N1429" s="228"/>
      <c r="O1429" s="228"/>
      <c r="P1429" s="228">
        <v>0</v>
      </c>
      <c r="Q1429" s="228">
        <v>0</v>
      </c>
    </row>
    <row r="1430" spans="1:17">
      <c r="A1430" s="165" t="s">
        <v>2187</v>
      </c>
      <c r="B1430" s="165" t="s">
        <v>205</v>
      </c>
      <c r="C1430" s="165">
        <v>3000</v>
      </c>
      <c r="D1430" s="228"/>
      <c r="E1430" s="228"/>
      <c r="F1430" s="228">
        <v>0</v>
      </c>
      <c r="G1430" s="228">
        <v>0</v>
      </c>
      <c r="H1430" s="228"/>
      <c r="I1430" s="228"/>
      <c r="J1430" s="228"/>
      <c r="K1430" s="228"/>
      <c r="L1430" s="228"/>
      <c r="M1430" s="228"/>
      <c r="N1430" s="228"/>
      <c r="O1430" s="228"/>
      <c r="P1430" s="228">
        <v>0</v>
      </c>
      <c r="Q1430" s="228">
        <v>0</v>
      </c>
    </row>
    <row r="1431" spans="1:17">
      <c r="A1431"/>
      <c r="B1431" s="165" t="s">
        <v>226</v>
      </c>
      <c r="C1431" s="165">
        <v>10200</v>
      </c>
      <c r="D1431" s="228">
        <v>0</v>
      </c>
      <c r="E1431" s="228">
        <v>0</v>
      </c>
      <c r="F1431" s="228"/>
      <c r="G1431" s="228"/>
      <c r="H1431" s="228"/>
      <c r="I1431" s="228"/>
      <c r="J1431" s="228"/>
      <c r="K1431" s="228"/>
      <c r="L1431" s="228"/>
      <c r="M1431" s="228"/>
      <c r="N1431" s="228"/>
      <c r="O1431" s="228"/>
      <c r="P1431" s="228">
        <v>0</v>
      </c>
      <c r="Q1431" s="228">
        <v>0</v>
      </c>
    </row>
    <row r="1432" spans="1:17">
      <c r="A1432"/>
      <c r="B1432" s="165" t="s">
        <v>253</v>
      </c>
      <c r="C1432" s="165">
        <v>3000</v>
      </c>
      <c r="D1432" s="228"/>
      <c r="E1432" s="228"/>
      <c r="F1432" s="228">
        <v>0</v>
      </c>
      <c r="G1432" s="228">
        <v>0</v>
      </c>
      <c r="H1432" s="228"/>
      <c r="I1432" s="228"/>
      <c r="J1432" s="228"/>
      <c r="K1432" s="228"/>
      <c r="L1432" s="228"/>
      <c r="M1432" s="228"/>
      <c r="N1432" s="228"/>
      <c r="O1432" s="228"/>
      <c r="P1432" s="228">
        <v>0</v>
      </c>
      <c r="Q1432" s="228">
        <v>0</v>
      </c>
    </row>
    <row r="1433" spans="1:17">
      <c r="A1433"/>
      <c r="B1433" s="165" t="s">
        <v>1030</v>
      </c>
      <c r="C1433" s="165">
        <v>3000</v>
      </c>
      <c r="D1433" s="228"/>
      <c r="E1433" s="228"/>
      <c r="F1433" s="228">
        <v>0</v>
      </c>
      <c r="G1433" s="228">
        <v>0</v>
      </c>
      <c r="H1433" s="228"/>
      <c r="I1433" s="228"/>
      <c r="J1433" s="228"/>
      <c r="K1433" s="228"/>
      <c r="L1433" s="228"/>
      <c r="M1433" s="228"/>
      <c r="N1433" s="228"/>
      <c r="O1433" s="228"/>
      <c r="P1433" s="228">
        <v>0</v>
      </c>
      <c r="Q1433" s="228">
        <v>0</v>
      </c>
    </row>
    <row r="1434" spans="1:17">
      <c r="A1434"/>
      <c r="B1434" s="165" t="s">
        <v>1209</v>
      </c>
      <c r="C1434" s="165" t="s">
        <v>385</v>
      </c>
      <c r="D1434" s="228"/>
      <c r="E1434" s="228"/>
      <c r="F1434" s="228">
        <v>0</v>
      </c>
      <c r="G1434" s="228">
        <v>0</v>
      </c>
      <c r="H1434" s="228"/>
      <c r="I1434" s="228"/>
      <c r="J1434" s="228"/>
      <c r="K1434" s="228"/>
      <c r="L1434" s="228"/>
      <c r="M1434" s="228"/>
      <c r="N1434" s="228"/>
      <c r="O1434" s="228"/>
      <c r="P1434" s="228">
        <v>0</v>
      </c>
      <c r="Q1434" s="228">
        <v>0</v>
      </c>
    </row>
    <row r="1435" spans="1:17">
      <c r="A1435"/>
      <c r="B1435" s="165" t="s">
        <v>462</v>
      </c>
      <c r="C1435" s="165" t="s">
        <v>385</v>
      </c>
      <c r="D1435" s="228">
        <v>15000</v>
      </c>
      <c r="E1435" s="228">
        <v>0</v>
      </c>
      <c r="F1435" s="228"/>
      <c r="G1435" s="228"/>
      <c r="H1435" s="228"/>
      <c r="I1435" s="228"/>
      <c r="J1435" s="228"/>
      <c r="K1435" s="228"/>
      <c r="L1435" s="228"/>
      <c r="M1435" s="228"/>
      <c r="N1435" s="228"/>
      <c r="O1435" s="228"/>
      <c r="P1435" s="228">
        <v>15000</v>
      </c>
      <c r="Q1435" s="228">
        <v>0</v>
      </c>
    </row>
    <row r="1436" spans="1:17">
      <c r="A1436"/>
      <c r="B1436" s="165" t="s">
        <v>100</v>
      </c>
      <c r="C1436" s="165">
        <v>3000</v>
      </c>
      <c r="D1436" s="228"/>
      <c r="E1436" s="228"/>
      <c r="F1436" s="228">
        <v>0</v>
      </c>
      <c r="G1436" s="228">
        <v>0</v>
      </c>
      <c r="H1436" s="228"/>
      <c r="I1436" s="228"/>
      <c r="J1436" s="228"/>
      <c r="K1436" s="228"/>
      <c r="L1436" s="228"/>
      <c r="M1436" s="228"/>
      <c r="N1436" s="228"/>
      <c r="O1436" s="228"/>
      <c r="P1436" s="228">
        <v>0</v>
      </c>
      <c r="Q1436" s="228">
        <v>0</v>
      </c>
    </row>
    <row r="1437" spans="1:17">
      <c r="A1437"/>
      <c r="B1437" s="165" t="s">
        <v>1026</v>
      </c>
      <c r="C1437" s="165">
        <v>3000</v>
      </c>
      <c r="D1437" s="228"/>
      <c r="E1437" s="228"/>
      <c r="F1437" s="228">
        <v>0</v>
      </c>
      <c r="G1437" s="228">
        <v>0</v>
      </c>
      <c r="H1437" s="228"/>
      <c r="I1437" s="228"/>
      <c r="J1437" s="228"/>
      <c r="K1437" s="228"/>
      <c r="L1437" s="228"/>
      <c r="M1437" s="228"/>
      <c r="N1437" s="228"/>
      <c r="O1437" s="228"/>
      <c r="P1437" s="228">
        <v>0</v>
      </c>
      <c r="Q1437" s="228">
        <v>0</v>
      </c>
    </row>
    <row r="1438" spans="1:17">
      <c r="A1438" s="165" t="s">
        <v>2188</v>
      </c>
      <c r="B1438" s="165" t="s">
        <v>270</v>
      </c>
      <c r="C1438" s="165">
        <v>4000</v>
      </c>
      <c r="D1438" s="228"/>
      <c r="E1438" s="228"/>
      <c r="F1438" s="228"/>
      <c r="G1438" s="228"/>
      <c r="H1438" s="228">
        <v>9000</v>
      </c>
      <c r="I1438" s="228">
        <v>36000000</v>
      </c>
      <c r="J1438" s="228"/>
      <c r="K1438" s="228"/>
      <c r="L1438" s="228">
        <v>9000</v>
      </c>
      <c r="M1438" s="228">
        <v>36000000</v>
      </c>
      <c r="N1438" s="228"/>
      <c r="O1438" s="228"/>
      <c r="P1438" s="228">
        <v>18000</v>
      </c>
      <c r="Q1438" s="228">
        <v>72000000</v>
      </c>
    </row>
    <row r="1439" spans="1:17">
      <c r="A1439"/>
      <c r="B1439" s="165" t="s">
        <v>1047</v>
      </c>
      <c r="C1439" s="165">
        <v>3800</v>
      </c>
      <c r="D1439" s="228"/>
      <c r="E1439" s="228"/>
      <c r="F1439" s="228">
        <v>0</v>
      </c>
      <c r="G1439" s="228">
        <v>0</v>
      </c>
      <c r="H1439" s="228"/>
      <c r="I1439" s="228"/>
      <c r="J1439" s="228"/>
      <c r="K1439" s="228"/>
      <c r="L1439" s="228"/>
      <c r="M1439" s="228"/>
      <c r="N1439" s="228"/>
      <c r="O1439" s="228"/>
      <c r="P1439" s="228">
        <v>0</v>
      </c>
      <c r="Q1439" s="228">
        <v>0</v>
      </c>
    </row>
    <row r="1440" spans="1:17">
      <c r="A1440"/>
      <c r="B1440"/>
      <c r="C1440" s="165">
        <v>4000</v>
      </c>
      <c r="D1440" s="228"/>
      <c r="E1440" s="228"/>
      <c r="F1440" s="228"/>
      <c r="G1440" s="228"/>
      <c r="H1440" s="228">
        <v>10200</v>
      </c>
      <c r="I1440" s="228">
        <v>40800000</v>
      </c>
      <c r="J1440" s="228"/>
      <c r="K1440" s="228"/>
      <c r="L1440" s="228"/>
      <c r="M1440" s="228"/>
      <c r="N1440" s="228"/>
      <c r="O1440" s="228"/>
      <c r="P1440" s="228">
        <v>10200</v>
      </c>
      <c r="Q1440" s="228">
        <v>40800000</v>
      </c>
    </row>
    <row r="1441" spans="1:17">
      <c r="A1441"/>
      <c r="B1441" s="165" t="s">
        <v>1483</v>
      </c>
      <c r="C1441" s="165">
        <v>3800</v>
      </c>
      <c r="D1441" s="228">
        <v>0</v>
      </c>
      <c r="E1441" s="228">
        <v>0</v>
      </c>
      <c r="F1441" s="228"/>
      <c r="G1441" s="228"/>
      <c r="H1441" s="228"/>
      <c r="I1441" s="228"/>
      <c r="J1441" s="228"/>
      <c r="K1441" s="228"/>
      <c r="L1441" s="228"/>
      <c r="M1441" s="228"/>
      <c r="N1441" s="228"/>
      <c r="O1441" s="228"/>
      <c r="P1441" s="228">
        <v>0</v>
      </c>
      <c r="Q1441" s="228">
        <v>0</v>
      </c>
    </row>
    <row r="1442" spans="1:17">
      <c r="A1442"/>
      <c r="B1442"/>
      <c r="C1442" s="165">
        <v>3900</v>
      </c>
      <c r="D1442" s="228">
        <v>0</v>
      </c>
      <c r="E1442" s="228">
        <v>0</v>
      </c>
      <c r="F1442" s="228"/>
      <c r="G1442" s="228"/>
      <c r="H1442" s="228"/>
      <c r="I1442" s="228"/>
      <c r="J1442" s="228"/>
      <c r="K1442" s="228"/>
      <c r="L1442" s="228"/>
      <c r="M1442" s="228"/>
      <c r="N1442" s="228"/>
      <c r="O1442" s="228"/>
      <c r="P1442" s="228">
        <v>0</v>
      </c>
      <c r="Q1442" s="228">
        <v>0</v>
      </c>
    </row>
    <row r="1443" spans="1:17">
      <c r="A1443"/>
      <c r="B1443" s="165" t="s">
        <v>710</v>
      </c>
      <c r="C1443" s="165">
        <v>4000</v>
      </c>
      <c r="D1443" s="228"/>
      <c r="E1443" s="228"/>
      <c r="F1443" s="228"/>
      <c r="G1443" s="228"/>
      <c r="H1443" s="228"/>
      <c r="I1443" s="228"/>
      <c r="J1443" s="228"/>
      <c r="K1443" s="228"/>
      <c r="L1443" s="228">
        <v>30000</v>
      </c>
      <c r="M1443" s="228">
        <v>120000000</v>
      </c>
      <c r="N1443" s="228"/>
      <c r="O1443" s="228"/>
      <c r="P1443" s="228">
        <v>30000</v>
      </c>
      <c r="Q1443" s="228">
        <v>120000000</v>
      </c>
    </row>
    <row r="1444" spans="1:17">
      <c r="A1444"/>
      <c r="B1444" s="165" t="s">
        <v>285</v>
      </c>
      <c r="C1444" s="165">
        <v>3800</v>
      </c>
      <c r="D1444" s="228"/>
      <c r="E1444" s="228"/>
      <c r="F1444" s="228">
        <v>0</v>
      </c>
      <c r="G1444" s="228">
        <v>0</v>
      </c>
      <c r="H1444" s="228"/>
      <c r="I1444" s="228"/>
      <c r="J1444" s="228"/>
      <c r="K1444" s="228"/>
      <c r="L1444" s="228"/>
      <c r="M1444" s="228"/>
      <c r="N1444" s="228"/>
      <c r="O1444" s="228"/>
      <c r="P1444" s="228">
        <v>0</v>
      </c>
      <c r="Q1444" s="228">
        <v>0</v>
      </c>
    </row>
    <row r="1445" spans="1:17">
      <c r="A1445"/>
      <c r="B1445"/>
      <c r="C1445" s="165">
        <v>4000</v>
      </c>
      <c r="D1445" s="228"/>
      <c r="E1445" s="228"/>
      <c r="F1445" s="228"/>
      <c r="G1445" s="228"/>
      <c r="H1445" s="228"/>
      <c r="I1445" s="228"/>
      <c r="J1445" s="228"/>
      <c r="K1445" s="228"/>
      <c r="L1445" s="228">
        <v>10200</v>
      </c>
      <c r="M1445" s="228">
        <v>40800000</v>
      </c>
      <c r="N1445" s="228"/>
      <c r="O1445" s="228"/>
      <c r="P1445" s="228">
        <v>10200</v>
      </c>
      <c r="Q1445" s="228">
        <v>40800000</v>
      </c>
    </row>
    <row r="1446" spans="1:17">
      <c r="A1446"/>
      <c r="B1446" s="165" t="s">
        <v>771</v>
      </c>
      <c r="C1446" s="165">
        <v>3800</v>
      </c>
      <c r="D1446" s="228"/>
      <c r="E1446" s="228"/>
      <c r="F1446" s="228">
        <v>0</v>
      </c>
      <c r="G1446" s="228">
        <v>0</v>
      </c>
      <c r="H1446" s="228"/>
      <c r="I1446" s="228"/>
      <c r="J1446" s="228"/>
      <c r="K1446" s="228"/>
      <c r="L1446" s="228"/>
      <c r="M1446" s="228"/>
      <c r="N1446" s="228"/>
      <c r="O1446" s="228"/>
      <c r="P1446" s="228">
        <v>0</v>
      </c>
      <c r="Q1446" s="228">
        <v>0</v>
      </c>
    </row>
    <row r="1447" spans="1:17">
      <c r="A1447"/>
      <c r="B1447" s="165" t="s">
        <v>170</v>
      </c>
      <c r="C1447" s="165">
        <v>3800</v>
      </c>
      <c r="D1447" s="228"/>
      <c r="E1447" s="228"/>
      <c r="F1447" s="228">
        <v>0</v>
      </c>
      <c r="G1447" s="228">
        <v>0</v>
      </c>
      <c r="H1447" s="228"/>
      <c r="I1447" s="228"/>
      <c r="J1447" s="228"/>
      <c r="K1447" s="228"/>
      <c r="L1447" s="228"/>
      <c r="M1447" s="228"/>
      <c r="N1447" s="228"/>
      <c r="O1447" s="228"/>
      <c r="P1447" s="228">
        <v>0</v>
      </c>
      <c r="Q1447" s="228">
        <v>0</v>
      </c>
    </row>
    <row r="1448" spans="1:17">
      <c r="A1448"/>
      <c r="B1448"/>
      <c r="C1448" s="165">
        <v>4000</v>
      </c>
      <c r="D1448" s="228"/>
      <c r="E1448" s="228"/>
      <c r="F1448" s="228"/>
      <c r="G1448" s="228"/>
      <c r="H1448" s="228"/>
      <c r="I1448" s="228"/>
      <c r="J1448" s="228"/>
      <c r="K1448" s="228"/>
      <c r="L1448" s="228">
        <v>5200</v>
      </c>
      <c r="M1448" s="228">
        <v>20800000</v>
      </c>
      <c r="N1448" s="228"/>
      <c r="O1448" s="228"/>
      <c r="P1448" s="228">
        <v>5200</v>
      </c>
      <c r="Q1448" s="228">
        <v>20800000</v>
      </c>
    </row>
    <row r="1449" spans="1:17">
      <c r="A1449"/>
      <c r="B1449" s="165" t="s">
        <v>282</v>
      </c>
      <c r="C1449" s="165">
        <v>3800</v>
      </c>
      <c r="D1449" s="228"/>
      <c r="E1449" s="228"/>
      <c r="F1449" s="228">
        <v>0</v>
      </c>
      <c r="G1449" s="228">
        <v>0</v>
      </c>
      <c r="H1449" s="228"/>
      <c r="I1449" s="228"/>
      <c r="J1449" s="228"/>
      <c r="K1449" s="228"/>
      <c r="L1449" s="228"/>
      <c r="M1449" s="228"/>
      <c r="N1449" s="228"/>
      <c r="O1449" s="228"/>
      <c r="P1449" s="228">
        <v>0</v>
      </c>
      <c r="Q1449" s="228">
        <v>0</v>
      </c>
    </row>
    <row r="1450" spans="1:17">
      <c r="A1450"/>
      <c r="B1450" s="165" t="s">
        <v>288</v>
      </c>
      <c r="C1450" s="165">
        <v>3800</v>
      </c>
      <c r="D1450" s="228">
        <v>0</v>
      </c>
      <c r="E1450" s="228">
        <v>0</v>
      </c>
      <c r="F1450" s="228"/>
      <c r="G1450" s="228"/>
      <c r="H1450" s="228"/>
      <c r="I1450" s="228"/>
      <c r="J1450" s="228"/>
      <c r="K1450" s="228"/>
      <c r="L1450" s="228"/>
      <c r="M1450" s="228"/>
      <c r="N1450" s="228"/>
      <c r="O1450" s="228"/>
      <c r="P1450" s="228">
        <v>0</v>
      </c>
      <c r="Q1450" s="228">
        <v>0</v>
      </c>
    </row>
    <row r="1451" spans="1:17">
      <c r="A1451"/>
      <c r="B1451" s="165" t="s">
        <v>1237</v>
      </c>
      <c r="C1451" s="165">
        <v>3800</v>
      </c>
      <c r="D1451" s="228"/>
      <c r="E1451" s="228"/>
      <c r="F1451" s="228">
        <v>0</v>
      </c>
      <c r="G1451" s="228">
        <v>0</v>
      </c>
      <c r="H1451" s="228"/>
      <c r="I1451" s="228"/>
      <c r="J1451" s="228"/>
      <c r="K1451" s="228"/>
      <c r="L1451" s="228"/>
      <c r="M1451" s="228"/>
      <c r="N1451" s="228"/>
      <c r="O1451" s="228"/>
      <c r="P1451" s="228">
        <v>0</v>
      </c>
      <c r="Q1451" s="228">
        <v>0</v>
      </c>
    </row>
    <row r="1452" spans="1:17">
      <c r="A1452"/>
      <c r="B1452"/>
      <c r="C1452" s="165">
        <v>4000</v>
      </c>
      <c r="D1452" s="228"/>
      <c r="E1452" s="228"/>
      <c r="F1452" s="228"/>
      <c r="G1452" s="228"/>
      <c r="H1452" s="228"/>
      <c r="I1452" s="228"/>
      <c r="J1452" s="228"/>
      <c r="K1452" s="228"/>
      <c r="L1452" s="228">
        <v>8100</v>
      </c>
      <c r="M1452" s="228">
        <v>32400000</v>
      </c>
      <c r="N1452" s="228"/>
      <c r="O1452" s="228"/>
      <c r="P1452" s="228">
        <v>8100</v>
      </c>
      <c r="Q1452" s="228">
        <v>32400000</v>
      </c>
    </row>
    <row r="1453" spans="1:17">
      <c r="A1453"/>
      <c r="B1453" s="165" t="s">
        <v>148</v>
      </c>
      <c r="C1453" s="165">
        <v>3800</v>
      </c>
      <c r="D1453" s="228"/>
      <c r="E1453" s="228"/>
      <c r="F1453" s="228">
        <v>0</v>
      </c>
      <c r="G1453" s="228">
        <v>0</v>
      </c>
      <c r="H1453" s="228"/>
      <c r="I1453" s="228"/>
      <c r="J1453" s="228"/>
      <c r="K1453" s="228"/>
      <c r="L1453" s="228"/>
      <c r="M1453" s="228"/>
      <c r="N1453" s="228"/>
      <c r="O1453" s="228"/>
      <c r="P1453" s="228">
        <v>0</v>
      </c>
      <c r="Q1453" s="228">
        <v>0</v>
      </c>
    </row>
    <row r="1454" spans="1:17">
      <c r="A1454"/>
      <c r="B1454"/>
      <c r="C1454" s="165">
        <v>3900</v>
      </c>
      <c r="D1454" s="228">
        <v>0</v>
      </c>
      <c r="E1454" s="228">
        <v>0</v>
      </c>
      <c r="F1454" s="228"/>
      <c r="G1454" s="228"/>
      <c r="H1454" s="228"/>
      <c r="I1454" s="228"/>
      <c r="J1454" s="228"/>
      <c r="K1454" s="228"/>
      <c r="L1454" s="228"/>
      <c r="M1454" s="228"/>
      <c r="N1454" s="228"/>
      <c r="O1454" s="228"/>
      <c r="P1454" s="228">
        <v>0</v>
      </c>
      <c r="Q1454" s="228">
        <v>0</v>
      </c>
    </row>
    <row r="1455" spans="1:17">
      <c r="A1455"/>
      <c r="B1455" s="165" t="s">
        <v>182</v>
      </c>
      <c r="C1455" s="165">
        <v>3800</v>
      </c>
      <c r="D1455" s="228"/>
      <c r="E1455" s="228"/>
      <c r="F1455" s="228">
        <v>0</v>
      </c>
      <c r="G1455" s="228">
        <v>0</v>
      </c>
      <c r="H1455" s="228"/>
      <c r="I1455" s="228"/>
      <c r="J1455" s="228"/>
      <c r="K1455" s="228"/>
      <c r="L1455" s="228"/>
      <c r="M1455" s="228"/>
      <c r="N1455" s="228"/>
      <c r="O1455" s="228"/>
      <c r="P1455" s="228">
        <v>0</v>
      </c>
      <c r="Q1455" s="228">
        <v>0</v>
      </c>
    </row>
    <row r="1456" spans="1:17">
      <c r="A1456"/>
      <c r="B1456" s="165" t="s">
        <v>231</v>
      </c>
      <c r="C1456" s="165">
        <v>3800</v>
      </c>
      <c r="D1456" s="228"/>
      <c r="E1456" s="228"/>
      <c r="F1456" s="228">
        <v>0</v>
      </c>
      <c r="G1456" s="228">
        <v>0</v>
      </c>
      <c r="H1456" s="228"/>
      <c r="I1456" s="228"/>
      <c r="J1456" s="228"/>
      <c r="K1456" s="228"/>
      <c r="L1456" s="228"/>
      <c r="M1456" s="228"/>
      <c r="N1456" s="228"/>
      <c r="O1456" s="228"/>
      <c r="P1456" s="228">
        <v>0</v>
      </c>
      <c r="Q1456" s="228">
        <v>0</v>
      </c>
    </row>
    <row r="1457" spans="1:17">
      <c r="A1457"/>
      <c r="B1457" s="165" t="s">
        <v>1018</v>
      </c>
      <c r="C1457" s="165">
        <v>3800</v>
      </c>
      <c r="D1457" s="228"/>
      <c r="E1457" s="228"/>
      <c r="F1457" s="228">
        <v>0</v>
      </c>
      <c r="G1457" s="228">
        <v>0</v>
      </c>
      <c r="H1457" s="228"/>
      <c r="I1457" s="228"/>
      <c r="J1457" s="228"/>
      <c r="K1457" s="228"/>
      <c r="L1457" s="228"/>
      <c r="M1457" s="228"/>
      <c r="N1457" s="228"/>
      <c r="O1457" s="228"/>
      <c r="P1457" s="228">
        <v>0</v>
      </c>
      <c r="Q1457" s="228">
        <v>0</v>
      </c>
    </row>
    <row r="1458" spans="1:17">
      <c r="A1458"/>
      <c r="B1458" s="165" t="s">
        <v>236</v>
      </c>
      <c r="C1458" s="165">
        <v>3800</v>
      </c>
      <c r="D1458" s="228"/>
      <c r="E1458" s="228"/>
      <c r="F1458" s="228">
        <v>0</v>
      </c>
      <c r="G1458" s="228">
        <v>0</v>
      </c>
      <c r="H1458" s="228"/>
      <c r="I1458" s="228"/>
      <c r="J1458" s="228"/>
      <c r="K1458" s="228"/>
      <c r="L1458" s="228"/>
      <c r="M1458" s="228"/>
      <c r="N1458" s="228"/>
      <c r="O1458" s="228"/>
      <c r="P1458" s="228">
        <v>0</v>
      </c>
      <c r="Q1458" s="228">
        <v>0</v>
      </c>
    </row>
    <row r="1459" spans="1:17">
      <c r="A1459"/>
      <c r="B1459" s="165" t="s">
        <v>1345</v>
      </c>
      <c r="C1459" s="165">
        <v>3800</v>
      </c>
      <c r="D1459" s="228">
        <v>0</v>
      </c>
      <c r="E1459" s="228">
        <v>0</v>
      </c>
      <c r="F1459" s="228"/>
      <c r="G1459" s="228"/>
      <c r="H1459" s="228"/>
      <c r="I1459" s="228"/>
      <c r="J1459" s="228"/>
      <c r="K1459" s="228"/>
      <c r="L1459" s="228"/>
      <c r="M1459" s="228"/>
      <c r="N1459" s="228"/>
      <c r="O1459" s="228"/>
      <c r="P1459" s="228">
        <v>0</v>
      </c>
      <c r="Q1459" s="228">
        <v>0</v>
      </c>
    </row>
    <row r="1460" spans="1:17">
      <c r="A1460"/>
      <c r="B1460" s="165" t="s">
        <v>1214</v>
      </c>
      <c r="C1460" s="165">
        <v>4000</v>
      </c>
      <c r="D1460" s="228"/>
      <c r="E1460" s="228"/>
      <c r="F1460" s="228"/>
      <c r="G1460" s="228"/>
      <c r="H1460" s="228">
        <v>20100</v>
      </c>
      <c r="I1460" s="228">
        <v>80400000</v>
      </c>
      <c r="J1460" s="228"/>
      <c r="K1460" s="228"/>
      <c r="L1460" s="228">
        <v>20100</v>
      </c>
      <c r="M1460" s="228">
        <v>80400000</v>
      </c>
      <c r="N1460" s="228"/>
      <c r="O1460" s="228"/>
      <c r="P1460" s="228">
        <v>40200</v>
      </c>
      <c r="Q1460" s="228">
        <v>160800000</v>
      </c>
    </row>
    <row r="1461" spans="1:17">
      <c r="A1461"/>
      <c r="B1461"/>
      <c r="C1461" s="165">
        <v>4100</v>
      </c>
      <c r="D1461" s="228"/>
      <c r="E1461" s="228"/>
      <c r="F1461" s="228"/>
      <c r="G1461" s="228"/>
      <c r="H1461" s="228"/>
      <c r="I1461" s="228"/>
      <c r="J1461" s="228"/>
      <c r="K1461" s="228"/>
      <c r="L1461" s="228">
        <v>20100</v>
      </c>
      <c r="M1461" s="228">
        <v>82410000</v>
      </c>
      <c r="N1461" s="228"/>
      <c r="O1461" s="228"/>
      <c r="P1461" s="228">
        <v>20100</v>
      </c>
      <c r="Q1461" s="228">
        <v>82410000</v>
      </c>
    </row>
    <row r="1462" spans="1:17">
      <c r="A1462"/>
      <c r="B1462" s="165" t="s">
        <v>177</v>
      </c>
      <c r="C1462" s="165">
        <v>3900</v>
      </c>
      <c r="D1462" s="228"/>
      <c r="E1462" s="228"/>
      <c r="F1462" s="228">
        <v>0</v>
      </c>
      <c r="G1462" s="228">
        <v>0</v>
      </c>
      <c r="H1462" s="228"/>
      <c r="I1462" s="228"/>
      <c r="J1462" s="228"/>
      <c r="K1462" s="228"/>
      <c r="L1462" s="228"/>
      <c r="M1462" s="228"/>
      <c r="N1462" s="228"/>
      <c r="O1462" s="228"/>
      <c r="P1462" s="228">
        <v>0</v>
      </c>
      <c r="Q1462" s="228">
        <v>0</v>
      </c>
    </row>
    <row r="1463" spans="1:17">
      <c r="A1463"/>
      <c r="B1463"/>
      <c r="C1463" s="165">
        <v>4000</v>
      </c>
      <c r="D1463" s="228"/>
      <c r="E1463" s="228"/>
      <c r="F1463" s="228"/>
      <c r="G1463" s="228"/>
      <c r="H1463" s="228"/>
      <c r="I1463" s="228"/>
      <c r="J1463" s="228"/>
      <c r="K1463" s="228"/>
      <c r="L1463" s="228">
        <v>24300</v>
      </c>
      <c r="M1463" s="228">
        <v>97200000</v>
      </c>
      <c r="N1463" s="228"/>
      <c r="O1463" s="228"/>
      <c r="P1463" s="228">
        <v>24300</v>
      </c>
      <c r="Q1463" s="228">
        <v>97200000</v>
      </c>
    </row>
    <row r="1464" spans="1:17">
      <c r="A1464"/>
      <c r="B1464" s="165" t="s">
        <v>1411</v>
      </c>
      <c r="C1464" s="165">
        <v>4000</v>
      </c>
      <c r="D1464" s="228"/>
      <c r="E1464" s="228"/>
      <c r="F1464" s="228"/>
      <c r="G1464" s="228"/>
      <c r="H1464" s="228">
        <v>20100</v>
      </c>
      <c r="I1464" s="228">
        <v>80400000</v>
      </c>
      <c r="J1464" s="228"/>
      <c r="K1464" s="228"/>
      <c r="L1464" s="228"/>
      <c r="M1464" s="228"/>
      <c r="N1464" s="228"/>
      <c r="O1464" s="228"/>
      <c r="P1464" s="228">
        <v>20100</v>
      </c>
      <c r="Q1464" s="228">
        <v>80400000</v>
      </c>
    </row>
    <row r="1465" spans="1:17">
      <c r="A1465"/>
      <c r="B1465" s="165" t="s">
        <v>25</v>
      </c>
      <c r="C1465" s="165">
        <v>3800</v>
      </c>
      <c r="D1465" s="228"/>
      <c r="E1465" s="228"/>
      <c r="F1465" s="228">
        <v>0</v>
      </c>
      <c r="G1465" s="228">
        <v>0</v>
      </c>
      <c r="H1465" s="228"/>
      <c r="I1465" s="228"/>
      <c r="J1465" s="228"/>
      <c r="K1465" s="228"/>
      <c r="L1465" s="228"/>
      <c r="M1465" s="228"/>
      <c r="N1465" s="228"/>
      <c r="O1465" s="228"/>
      <c r="P1465" s="228">
        <v>0</v>
      </c>
      <c r="Q1465" s="228">
        <v>0</v>
      </c>
    </row>
    <row r="1466" spans="1:17">
      <c r="A1466"/>
      <c r="B1466"/>
      <c r="C1466" s="165">
        <v>3900</v>
      </c>
      <c r="D1466" s="228"/>
      <c r="E1466" s="228"/>
      <c r="F1466" s="228"/>
      <c r="G1466" s="228"/>
      <c r="H1466" s="228"/>
      <c r="I1466" s="228"/>
      <c r="J1466" s="228">
        <v>2400</v>
      </c>
      <c r="K1466" s="228">
        <v>9360000</v>
      </c>
      <c r="L1466" s="228"/>
      <c r="M1466" s="228"/>
      <c r="N1466" s="228"/>
      <c r="O1466" s="228"/>
      <c r="P1466" s="228">
        <v>2400</v>
      </c>
      <c r="Q1466" s="228">
        <v>9360000</v>
      </c>
    </row>
    <row r="1467" spans="1:17">
      <c r="A1467"/>
      <c r="B1467" s="165" t="s">
        <v>1366</v>
      </c>
      <c r="C1467" s="165">
        <v>4800</v>
      </c>
      <c r="D1467" s="228"/>
      <c r="E1467" s="228"/>
      <c r="F1467" s="228">
        <v>0</v>
      </c>
      <c r="G1467" s="228">
        <v>0</v>
      </c>
      <c r="H1467" s="228"/>
      <c r="I1467" s="228"/>
      <c r="J1467" s="228"/>
      <c r="K1467" s="228"/>
      <c r="L1467" s="228"/>
      <c r="M1467" s="228"/>
      <c r="N1467" s="228"/>
      <c r="O1467" s="228"/>
      <c r="P1467" s="228">
        <v>0</v>
      </c>
      <c r="Q1467" s="228">
        <v>0</v>
      </c>
    </row>
    <row r="1468" spans="1:17">
      <c r="A1468"/>
      <c r="B1468" s="165" t="s">
        <v>817</v>
      </c>
      <c r="C1468" s="165">
        <v>3800</v>
      </c>
      <c r="D1468" s="228"/>
      <c r="E1468" s="228"/>
      <c r="F1468" s="228">
        <v>0</v>
      </c>
      <c r="G1468" s="228">
        <v>0</v>
      </c>
      <c r="H1468" s="228"/>
      <c r="I1468" s="228"/>
      <c r="J1468" s="228"/>
      <c r="K1468" s="228"/>
      <c r="L1468" s="228"/>
      <c r="M1468" s="228"/>
      <c r="N1468" s="228"/>
      <c r="O1468" s="228"/>
      <c r="P1468" s="228">
        <v>0</v>
      </c>
      <c r="Q1468" s="228">
        <v>0</v>
      </c>
    </row>
    <row r="1469" spans="1:17">
      <c r="A1469"/>
      <c r="B1469"/>
      <c r="C1469" s="165">
        <v>3900</v>
      </c>
      <c r="D1469" s="228"/>
      <c r="E1469" s="228"/>
      <c r="F1469" s="228"/>
      <c r="G1469" s="228"/>
      <c r="H1469" s="228">
        <v>6900</v>
      </c>
      <c r="I1469" s="228">
        <v>26910000</v>
      </c>
      <c r="J1469" s="228">
        <v>3000</v>
      </c>
      <c r="K1469" s="228">
        <v>11700000</v>
      </c>
      <c r="L1469" s="228"/>
      <c r="M1469" s="228"/>
      <c r="N1469" s="228"/>
      <c r="O1469" s="228"/>
      <c r="P1469" s="228">
        <v>9900</v>
      </c>
      <c r="Q1469" s="228">
        <v>38610000</v>
      </c>
    </row>
    <row r="1470" spans="1:17">
      <c r="A1470"/>
      <c r="B1470"/>
      <c r="C1470" s="165">
        <v>4000</v>
      </c>
      <c r="D1470" s="228"/>
      <c r="E1470" s="228"/>
      <c r="F1470" s="228"/>
      <c r="G1470" s="228"/>
      <c r="H1470" s="228">
        <v>10200</v>
      </c>
      <c r="I1470" s="228">
        <v>40800000</v>
      </c>
      <c r="J1470" s="228"/>
      <c r="K1470" s="228"/>
      <c r="L1470" s="228">
        <v>20400</v>
      </c>
      <c r="M1470" s="228">
        <v>81600000</v>
      </c>
      <c r="N1470" s="228"/>
      <c r="O1470" s="228"/>
      <c r="P1470" s="228">
        <v>30600</v>
      </c>
      <c r="Q1470" s="228">
        <v>122400000</v>
      </c>
    </row>
    <row r="1471" spans="1:17">
      <c r="A1471"/>
      <c r="B1471" s="165" t="s">
        <v>130</v>
      </c>
      <c r="C1471" s="165">
        <v>3800</v>
      </c>
      <c r="D1471" s="228"/>
      <c r="E1471" s="228"/>
      <c r="F1471" s="228">
        <v>0</v>
      </c>
      <c r="G1471" s="228">
        <v>0</v>
      </c>
      <c r="H1471" s="228"/>
      <c r="I1471" s="228"/>
      <c r="J1471" s="228"/>
      <c r="K1471" s="228"/>
      <c r="L1471" s="228"/>
      <c r="M1471" s="228"/>
      <c r="N1471" s="228"/>
      <c r="O1471" s="228"/>
      <c r="P1471" s="228">
        <v>0</v>
      </c>
      <c r="Q1471" s="228">
        <v>0</v>
      </c>
    </row>
    <row r="1472" spans="1:17">
      <c r="A1472"/>
      <c r="B1472" s="165" t="s">
        <v>145</v>
      </c>
      <c r="C1472" s="165">
        <v>3900</v>
      </c>
      <c r="D1472" s="228"/>
      <c r="E1472" s="228"/>
      <c r="F1472" s="228">
        <v>0</v>
      </c>
      <c r="G1472" s="228">
        <v>0</v>
      </c>
      <c r="H1472" s="228"/>
      <c r="I1472" s="228"/>
      <c r="J1472" s="228"/>
      <c r="K1472" s="228"/>
      <c r="L1472" s="228"/>
      <c r="M1472" s="228"/>
      <c r="N1472" s="228"/>
      <c r="O1472" s="228"/>
      <c r="P1472" s="228">
        <v>0</v>
      </c>
      <c r="Q1472" s="228">
        <v>0</v>
      </c>
    </row>
    <row r="1473" spans="1:17">
      <c r="A1473"/>
      <c r="B1473"/>
      <c r="C1473" s="165">
        <v>3914</v>
      </c>
      <c r="D1473" s="228"/>
      <c r="E1473" s="228"/>
      <c r="F1473" s="228">
        <v>0</v>
      </c>
      <c r="G1473" s="228">
        <v>0</v>
      </c>
      <c r="H1473" s="228"/>
      <c r="I1473" s="228"/>
      <c r="J1473" s="228"/>
      <c r="K1473" s="228"/>
      <c r="L1473" s="228"/>
      <c r="M1473" s="228"/>
      <c r="N1473" s="228"/>
      <c r="O1473" s="228"/>
      <c r="P1473" s="228">
        <v>0</v>
      </c>
      <c r="Q1473" s="228">
        <v>0</v>
      </c>
    </row>
    <row r="1474" spans="1:17">
      <c r="A1474"/>
      <c r="B1474" s="165" t="s">
        <v>188</v>
      </c>
      <c r="C1474" s="165">
        <v>3800</v>
      </c>
      <c r="D1474" s="228">
        <v>0</v>
      </c>
      <c r="E1474" s="228">
        <v>0</v>
      </c>
      <c r="F1474" s="228">
        <v>0</v>
      </c>
      <c r="G1474" s="228">
        <v>0</v>
      </c>
      <c r="H1474" s="228"/>
      <c r="I1474" s="228"/>
      <c r="J1474" s="228"/>
      <c r="K1474" s="228"/>
      <c r="L1474" s="228"/>
      <c r="M1474" s="228"/>
      <c r="N1474" s="228"/>
      <c r="O1474" s="228"/>
      <c r="P1474" s="228">
        <v>0</v>
      </c>
      <c r="Q1474" s="228">
        <v>0</v>
      </c>
    </row>
    <row r="1475" spans="1:17">
      <c r="A1475"/>
      <c r="B1475" s="165" t="s">
        <v>1009</v>
      </c>
      <c r="C1475" s="165">
        <v>3800</v>
      </c>
      <c r="D1475" s="228"/>
      <c r="E1475" s="228"/>
      <c r="F1475" s="228">
        <v>0</v>
      </c>
      <c r="G1475" s="228">
        <v>0</v>
      </c>
      <c r="H1475" s="228"/>
      <c r="I1475" s="228"/>
      <c r="J1475" s="228"/>
      <c r="K1475" s="228"/>
      <c r="L1475" s="228">
        <v>80100</v>
      </c>
      <c r="M1475" s="228">
        <v>304380000</v>
      </c>
      <c r="N1475" s="228"/>
      <c r="O1475" s="228"/>
      <c r="P1475" s="228">
        <v>80100</v>
      </c>
      <c r="Q1475" s="228">
        <v>304380000</v>
      </c>
    </row>
    <row r="1476" spans="1:17">
      <c r="A1476"/>
      <c r="B1476"/>
      <c r="C1476" s="165">
        <v>3900</v>
      </c>
      <c r="D1476" s="228"/>
      <c r="E1476" s="228"/>
      <c r="F1476" s="228"/>
      <c r="G1476" s="228"/>
      <c r="H1476" s="228"/>
      <c r="I1476" s="228"/>
      <c r="J1476" s="228">
        <v>10200</v>
      </c>
      <c r="K1476" s="228">
        <v>39780000</v>
      </c>
      <c r="L1476" s="228"/>
      <c r="M1476" s="228"/>
      <c r="N1476" s="228"/>
      <c r="O1476" s="228"/>
      <c r="P1476" s="228">
        <v>10200</v>
      </c>
      <c r="Q1476" s="228">
        <v>39780000</v>
      </c>
    </row>
    <row r="1477" spans="1:17">
      <c r="A1477"/>
      <c r="B1477" s="165" t="s">
        <v>921</v>
      </c>
      <c r="C1477" s="165">
        <v>3600</v>
      </c>
      <c r="D1477" s="228"/>
      <c r="E1477" s="228"/>
      <c r="F1477" s="228">
        <v>0</v>
      </c>
      <c r="G1477" s="228">
        <v>0</v>
      </c>
      <c r="H1477" s="228"/>
      <c r="I1477" s="228"/>
      <c r="J1477" s="228"/>
      <c r="K1477" s="228"/>
      <c r="L1477" s="228"/>
      <c r="M1477" s="228"/>
      <c r="N1477" s="228"/>
      <c r="O1477" s="228"/>
      <c r="P1477" s="228">
        <v>0</v>
      </c>
      <c r="Q1477" s="228">
        <v>0</v>
      </c>
    </row>
    <row r="1478" spans="1:17">
      <c r="A1478"/>
      <c r="B1478"/>
      <c r="C1478" s="165">
        <v>3800</v>
      </c>
      <c r="D1478" s="228"/>
      <c r="E1478" s="228"/>
      <c r="F1478" s="228"/>
      <c r="G1478" s="228"/>
      <c r="H1478" s="228">
        <v>5100</v>
      </c>
      <c r="I1478" s="228">
        <v>19380000</v>
      </c>
      <c r="J1478" s="228">
        <v>9900</v>
      </c>
      <c r="K1478" s="228">
        <v>37620000</v>
      </c>
      <c r="L1478" s="228"/>
      <c r="M1478" s="228"/>
      <c r="N1478" s="228"/>
      <c r="O1478" s="228"/>
      <c r="P1478" s="228">
        <v>15000</v>
      </c>
      <c r="Q1478" s="228">
        <v>57000000</v>
      </c>
    </row>
    <row r="1479" spans="1:17">
      <c r="A1479"/>
      <c r="B1479"/>
      <c r="C1479" s="165">
        <v>3920</v>
      </c>
      <c r="D1479" s="228"/>
      <c r="E1479" s="228"/>
      <c r="F1479" s="228"/>
      <c r="G1479" s="228"/>
      <c r="H1479" s="228"/>
      <c r="I1479" s="228"/>
      <c r="J1479" s="228"/>
      <c r="K1479" s="228"/>
      <c r="L1479" s="228">
        <v>25200</v>
      </c>
      <c r="M1479" s="228">
        <v>98784000</v>
      </c>
      <c r="N1479" s="228"/>
      <c r="O1479" s="228"/>
      <c r="P1479" s="228">
        <v>25200</v>
      </c>
      <c r="Q1479" s="228">
        <v>98784000</v>
      </c>
    </row>
    <row r="1480" spans="1:17">
      <c r="A1480"/>
      <c r="B1480"/>
      <c r="C1480" s="165">
        <v>4040</v>
      </c>
      <c r="D1480" s="228"/>
      <c r="E1480" s="228"/>
      <c r="F1480" s="228"/>
      <c r="G1480" s="228"/>
      <c r="H1480" s="228"/>
      <c r="I1480" s="228"/>
      <c r="J1480" s="228"/>
      <c r="K1480" s="228"/>
      <c r="L1480" s="228">
        <v>25200</v>
      </c>
      <c r="M1480" s="228">
        <v>101808000</v>
      </c>
      <c r="N1480" s="228"/>
      <c r="O1480" s="228"/>
      <c r="P1480" s="228">
        <v>25200</v>
      </c>
      <c r="Q1480" s="228">
        <v>101808000</v>
      </c>
    </row>
    <row r="1481" spans="1:17">
      <c r="A1481"/>
      <c r="B1481" s="165" t="s">
        <v>1030</v>
      </c>
      <c r="C1481" s="165">
        <v>3800</v>
      </c>
      <c r="D1481" s="228"/>
      <c r="E1481" s="228"/>
      <c r="F1481" s="228">
        <v>0</v>
      </c>
      <c r="G1481" s="228">
        <v>0</v>
      </c>
      <c r="H1481" s="228"/>
      <c r="I1481" s="228"/>
      <c r="J1481" s="228"/>
      <c r="K1481" s="228"/>
      <c r="L1481" s="228"/>
      <c r="M1481" s="228"/>
      <c r="N1481" s="228"/>
      <c r="O1481" s="228"/>
      <c r="P1481" s="228">
        <v>0</v>
      </c>
      <c r="Q1481" s="228">
        <v>0</v>
      </c>
    </row>
    <row r="1482" spans="1:17">
      <c r="A1482"/>
      <c r="B1482"/>
      <c r="C1482" s="165">
        <v>3900</v>
      </c>
      <c r="D1482" s="228"/>
      <c r="E1482" s="228"/>
      <c r="F1482" s="228">
        <v>0</v>
      </c>
      <c r="G1482" s="228">
        <v>0</v>
      </c>
      <c r="H1482" s="228"/>
      <c r="I1482" s="228"/>
      <c r="J1482" s="228"/>
      <c r="K1482" s="228"/>
      <c r="L1482" s="228"/>
      <c r="M1482" s="228"/>
      <c r="N1482" s="228"/>
      <c r="O1482" s="228"/>
      <c r="P1482" s="228">
        <v>0</v>
      </c>
      <c r="Q1482" s="228">
        <v>0</v>
      </c>
    </row>
    <row r="1483" spans="1:17">
      <c r="A1483"/>
      <c r="B1483" s="165" t="s">
        <v>1702</v>
      </c>
      <c r="C1483" s="165">
        <v>3800</v>
      </c>
      <c r="D1483" s="228">
        <v>0</v>
      </c>
      <c r="E1483" s="228">
        <v>0</v>
      </c>
      <c r="F1483" s="228"/>
      <c r="G1483" s="228"/>
      <c r="H1483" s="228"/>
      <c r="I1483" s="228"/>
      <c r="J1483" s="228"/>
      <c r="K1483" s="228"/>
      <c r="L1483" s="228">
        <v>50100</v>
      </c>
      <c r="M1483" s="228">
        <v>190380000</v>
      </c>
      <c r="N1483" s="228"/>
      <c r="O1483" s="228"/>
      <c r="P1483" s="228">
        <v>50100</v>
      </c>
      <c r="Q1483" s="228">
        <v>190380000</v>
      </c>
    </row>
    <row r="1484" spans="1:17">
      <c r="A1484"/>
      <c r="B1484" s="165" t="s">
        <v>84</v>
      </c>
      <c r="C1484" s="165">
        <v>3800</v>
      </c>
      <c r="D1484" s="228">
        <v>0</v>
      </c>
      <c r="E1484" s="228">
        <v>0</v>
      </c>
      <c r="F1484" s="228"/>
      <c r="G1484" s="228"/>
      <c r="H1484" s="228"/>
      <c r="I1484" s="228"/>
      <c r="J1484" s="228"/>
      <c r="K1484" s="228"/>
      <c r="L1484" s="228"/>
      <c r="M1484" s="228"/>
      <c r="N1484" s="228"/>
      <c r="O1484" s="228"/>
      <c r="P1484" s="228">
        <v>0</v>
      </c>
      <c r="Q1484" s="228">
        <v>0</v>
      </c>
    </row>
    <row r="1485" spans="1:17">
      <c r="A1485"/>
      <c r="B1485"/>
      <c r="C1485" s="165">
        <v>3900</v>
      </c>
      <c r="D1485" s="228">
        <v>0</v>
      </c>
      <c r="E1485" s="228">
        <v>0</v>
      </c>
      <c r="F1485" s="228"/>
      <c r="G1485" s="228"/>
      <c r="H1485" s="228"/>
      <c r="I1485" s="228"/>
      <c r="J1485" s="228"/>
      <c r="K1485" s="228"/>
      <c r="L1485" s="228"/>
      <c r="M1485" s="228"/>
      <c r="N1485" s="228"/>
      <c r="O1485" s="228"/>
      <c r="P1485" s="228">
        <v>0</v>
      </c>
      <c r="Q1485" s="228">
        <v>0</v>
      </c>
    </row>
    <row r="1486" spans="1:17">
      <c r="A1486"/>
      <c r="B1486" s="165" t="s">
        <v>1589</v>
      </c>
      <c r="C1486" s="165">
        <v>3900</v>
      </c>
      <c r="D1486" s="228">
        <v>0</v>
      </c>
      <c r="E1486" s="228">
        <v>0</v>
      </c>
      <c r="F1486" s="228"/>
      <c r="G1486" s="228"/>
      <c r="H1486" s="228"/>
      <c r="I1486" s="228"/>
      <c r="J1486" s="228"/>
      <c r="K1486" s="228"/>
      <c r="L1486" s="228"/>
      <c r="M1486" s="228"/>
      <c r="N1486" s="228"/>
      <c r="O1486" s="228"/>
      <c r="P1486" s="228">
        <v>0</v>
      </c>
      <c r="Q1486" s="228">
        <v>0</v>
      </c>
    </row>
    <row r="1487" spans="1:17">
      <c r="A1487"/>
      <c r="B1487" s="165" t="s">
        <v>801</v>
      </c>
      <c r="C1487" s="165">
        <v>3800</v>
      </c>
      <c r="D1487" s="228">
        <v>0</v>
      </c>
      <c r="E1487" s="228">
        <v>0</v>
      </c>
      <c r="F1487" s="228"/>
      <c r="G1487" s="228"/>
      <c r="H1487" s="228"/>
      <c r="I1487" s="228"/>
      <c r="J1487" s="228"/>
      <c r="K1487" s="228"/>
      <c r="L1487" s="228"/>
      <c r="M1487" s="228"/>
      <c r="N1487" s="228"/>
      <c r="O1487" s="228"/>
      <c r="P1487" s="228">
        <v>0</v>
      </c>
      <c r="Q1487" s="228">
        <v>0</v>
      </c>
    </row>
    <row r="1488" spans="1:17">
      <c r="A1488"/>
      <c r="B1488" s="165" t="s">
        <v>291</v>
      </c>
      <c r="C1488" s="165">
        <v>4000</v>
      </c>
      <c r="D1488" s="228"/>
      <c r="E1488" s="228"/>
      <c r="F1488" s="228"/>
      <c r="G1488" s="228"/>
      <c r="H1488" s="228">
        <v>6000</v>
      </c>
      <c r="I1488" s="228">
        <v>24000000</v>
      </c>
      <c r="J1488" s="228"/>
      <c r="K1488" s="228"/>
      <c r="L1488" s="228"/>
      <c r="M1488" s="228"/>
      <c r="N1488" s="228"/>
      <c r="O1488" s="228"/>
      <c r="P1488" s="228">
        <v>6000</v>
      </c>
      <c r="Q1488" s="228">
        <v>24000000</v>
      </c>
    </row>
    <row r="1489" spans="1:17">
      <c r="A1489"/>
      <c r="B1489" s="165" t="s">
        <v>1086</v>
      </c>
      <c r="C1489" s="165">
        <v>3800</v>
      </c>
      <c r="D1489" s="228"/>
      <c r="E1489" s="228"/>
      <c r="F1489" s="228">
        <v>0</v>
      </c>
      <c r="G1489" s="228">
        <v>0</v>
      </c>
      <c r="H1489" s="228"/>
      <c r="I1489" s="228"/>
      <c r="J1489" s="228"/>
      <c r="K1489" s="228"/>
      <c r="L1489" s="228"/>
      <c r="M1489" s="228"/>
      <c r="N1489" s="228"/>
      <c r="O1489" s="228"/>
      <c r="P1489" s="228">
        <v>0</v>
      </c>
      <c r="Q1489" s="228">
        <v>0</v>
      </c>
    </row>
    <row r="1490" spans="1:17">
      <c r="A1490"/>
      <c r="B1490"/>
      <c r="C1490" s="165">
        <v>4000</v>
      </c>
      <c r="D1490" s="228"/>
      <c r="E1490" s="228"/>
      <c r="F1490" s="228"/>
      <c r="G1490" s="228"/>
      <c r="H1490" s="228">
        <v>5100</v>
      </c>
      <c r="I1490" s="228">
        <v>20400000</v>
      </c>
      <c r="J1490" s="228"/>
      <c r="K1490" s="228"/>
      <c r="L1490" s="228"/>
      <c r="M1490" s="228"/>
      <c r="N1490" s="228"/>
      <c r="O1490" s="228"/>
      <c r="P1490" s="228">
        <v>5100</v>
      </c>
      <c r="Q1490" s="228">
        <v>20400000</v>
      </c>
    </row>
    <row r="1491" spans="1:17">
      <c r="A1491"/>
      <c r="B1491" s="165" t="s">
        <v>213</v>
      </c>
      <c r="C1491" s="165">
        <v>3800</v>
      </c>
      <c r="D1491" s="228"/>
      <c r="E1491" s="228"/>
      <c r="F1491" s="228">
        <v>0</v>
      </c>
      <c r="G1491" s="228">
        <v>0</v>
      </c>
      <c r="H1491" s="228"/>
      <c r="I1491" s="228"/>
      <c r="J1491" s="228"/>
      <c r="K1491" s="228"/>
      <c r="L1491" s="228"/>
      <c r="M1491" s="228"/>
      <c r="N1491" s="228"/>
      <c r="O1491" s="228"/>
      <c r="P1491" s="228">
        <v>0</v>
      </c>
      <c r="Q1491" s="228">
        <v>0</v>
      </c>
    </row>
    <row r="1492" spans="1:17">
      <c r="A1492"/>
      <c r="B1492" s="165" t="s">
        <v>239</v>
      </c>
      <c r="C1492" s="165">
        <v>3800</v>
      </c>
      <c r="D1492" s="228"/>
      <c r="E1492" s="228"/>
      <c r="F1492" s="228">
        <v>0</v>
      </c>
      <c r="G1492" s="228">
        <v>0</v>
      </c>
      <c r="H1492" s="228"/>
      <c r="I1492" s="228"/>
      <c r="J1492" s="228"/>
      <c r="K1492" s="228"/>
      <c r="L1492" s="228"/>
      <c r="M1492" s="228"/>
      <c r="N1492" s="228"/>
      <c r="O1492" s="228"/>
      <c r="P1492" s="228">
        <v>0</v>
      </c>
      <c r="Q1492" s="228">
        <v>0</v>
      </c>
    </row>
    <row r="1493" spans="1:17">
      <c r="A1493"/>
      <c r="B1493"/>
      <c r="C1493" s="165">
        <v>3900</v>
      </c>
      <c r="D1493" s="228"/>
      <c r="E1493" s="228"/>
      <c r="F1493" s="228"/>
      <c r="G1493" s="228"/>
      <c r="H1493" s="228">
        <v>5100</v>
      </c>
      <c r="I1493" s="228">
        <v>19890000</v>
      </c>
      <c r="J1493" s="228"/>
      <c r="K1493" s="228"/>
      <c r="L1493" s="228"/>
      <c r="M1493" s="228"/>
      <c r="N1493" s="228"/>
      <c r="O1493" s="228"/>
      <c r="P1493" s="228">
        <v>5100</v>
      </c>
      <c r="Q1493" s="228">
        <v>19890000</v>
      </c>
    </row>
    <row r="1494" spans="1:17">
      <c r="A1494"/>
      <c r="B1494" s="165" t="s">
        <v>1209</v>
      </c>
      <c r="C1494" s="165">
        <v>3600</v>
      </c>
      <c r="D1494" s="228"/>
      <c r="E1494" s="228"/>
      <c r="F1494" s="228">
        <v>0</v>
      </c>
      <c r="G1494" s="228">
        <v>0</v>
      </c>
      <c r="H1494" s="228"/>
      <c r="I1494" s="228"/>
      <c r="J1494" s="228"/>
      <c r="K1494" s="228"/>
      <c r="L1494" s="228"/>
      <c r="M1494" s="228"/>
      <c r="N1494" s="228"/>
      <c r="O1494" s="228"/>
      <c r="P1494" s="228">
        <v>0</v>
      </c>
      <c r="Q1494" s="228">
        <v>0</v>
      </c>
    </row>
    <row r="1495" spans="1:17">
      <c r="A1495"/>
      <c r="B1495"/>
      <c r="C1495" s="165">
        <v>3900</v>
      </c>
      <c r="D1495" s="228"/>
      <c r="E1495" s="228"/>
      <c r="F1495" s="228"/>
      <c r="G1495" s="228"/>
      <c r="H1495" s="228">
        <v>30000</v>
      </c>
      <c r="I1495" s="228">
        <v>117000000</v>
      </c>
      <c r="J1495" s="228"/>
      <c r="K1495" s="228"/>
      <c r="L1495" s="228"/>
      <c r="M1495" s="228"/>
      <c r="N1495" s="228"/>
      <c r="O1495" s="228"/>
      <c r="P1495" s="228">
        <v>30000</v>
      </c>
      <c r="Q1495" s="228">
        <v>117000000</v>
      </c>
    </row>
    <row r="1496" spans="1:17">
      <c r="A1496"/>
      <c r="B1496" s="165" t="s">
        <v>278</v>
      </c>
      <c r="C1496" s="165">
        <v>4000</v>
      </c>
      <c r="D1496" s="228"/>
      <c r="E1496" s="228"/>
      <c r="F1496" s="228"/>
      <c r="G1496" s="228"/>
      <c r="H1496" s="228">
        <v>10200</v>
      </c>
      <c r="I1496" s="228">
        <v>40800000</v>
      </c>
      <c r="J1496" s="228"/>
      <c r="K1496" s="228"/>
      <c r="L1496" s="228"/>
      <c r="M1496" s="228"/>
      <c r="N1496" s="228"/>
      <c r="O1496" s="228"/>
      <c r="P1496" s="228">
        <v>10200</v>
      </c>
      <c r="Q1496" s="228">
        <v>40800000</v>
      </c>
    </row>
    <row r="1497" spans="1:17">
      <c r="A1497"/>
      <c r="B1497"/>
      <c r="C1497" s="165">
        <v>4100</v>
      </c>
      <c r="D1497" s="228"/>
      <c r="E1497" s="228"/>
      <c r="F1497" s="228"/>
      <c r="G1497" s="228"/>
      <c r="H1497" s="228"/>
      <c r="I1497" s="228"/>
      <c r="J1497" s="228"/>
      <c r="K1497" s="228"/>
      <c r="L1497" s="228">
        <v>10200</v>
      </c>
      <c r="M1497" s="228">
        <v>41820000</v>
      </c>
      <c r="N1497" s="228"/>
      <c r="O1497" s="228"/>
      <c r="P1497" s="228">
        <v>10200</v>
      </c>
      <c r="Q1497" s="228">
        <v>41820000</v>
      </c>
    </row>
    <row r="1498" spans="1:17">
      <c r="A1498"/>
      <c r="B1498" s="165" t="s">
        <v>193</v>
      </c>
      <c r="C1498" s="165">
        <v>3800</v>
      </c>
      <c r="D1498" s="228"/>
      <c r="E1498" s="228"/>
      <c r="F1498" s="228">
        <v>0</v>
      </c>
      <c r="G1498" s="228">
        <v>0</v>
      </c>
      <c r="H1498" s="228"/>
      <c r="I1498" s="228"/>
      <c r="J1498" s="228"/>
      <c r="K1498" s="228"/>
      <c r="L1498" s="228"/>
      <c r="M1498" s="228"/>
      <c r="N1498" s="228"/>
      <c r="O1498" s="228"/>
      <c r="P1498" s="228">
        <v>0</v>
      </c>
      <c r="Q1498" s="228">
        <v>0</v>
      </c>
    </row>
    <row r="1499" spans="1:17">
      <c r="A1499"/>
      <c r="B1499"/>
      <c r="C1499" s="165">
        <v>3900</v>
      </c>
      <c r="D1499" s="228"/>
      <c r="E1499" s="228"/>
      <c r="F1499" s="228">
        <v>0</v>
      </c>
      <c r="G1499" s="228">
        <v>0</v>
      </c>
      <c r="H1499" s="228"/>
      <c r="I1499" s="228"/>
      <c r="J1499" s="228"/>
      <c r="K1499" s="228"/>
      <c r="L1499" s="228"/>
      <c r="M1499" s="228"/>
      <c r="N1499" s="228"/>
      <c r="O1499" s="228"/>
      <c r="P1499" s="228">
        <v>0</v>
      </c>
      <c r="Q1499" s="228">
        <v>0</v>
      </c>
    </row>
    <row r="1500" spans="1:17">
      <c r="A1500"/>
      <c r="B1500"/>
      <c r="C1500" s="165">
        <v>4000</v>
      </c>
      <c r="D1500" s="228">
        <v>5100</v>
      </c>
      <c r="E1500" s="228">
        <v>20400000</v>
      </c>
      <c r="F1500" s="228"/>
      <c r="G1500" s="228"/>
      <c r="H1500" s="228"/>
      <c r="I1500" s="228"/>
      <c r="J1500" s="228"/>
      <c r="K1500" s="228"/>
      <c r="L1500" s="228"/>
      <c r="M1500" s="228"/>
      <c r="N1500" s="228"/>
      <c r="O1500" s="228"/>
      <c r="P1500" s="228">
        <v>5100</v>
      </c>
      <c r="Q1500" s="228">
        <v>20400000</v>
      </c>
    </row>
    <row r="1501" spans="1:17">
      <c r="A1501"/>
      <c r="B1501" s="165" t="s">
        <v>1188</v>
      </c>
      <c r="C1501" s="165">
        <v>3900</v>
      </c>
      <c r="D1501" s="228"/>
      <c r="E1501" s="228"/>
      <c r="F1501" s="228"/>
      <c r="G1501" s="228"/>
      <c r="H1501" s="228">
        <v>5100</v>
      </c>
      <c r="I1501" s="228">
        <v>19890000</v>
      </c>
      <c r="J1501" s="228"/>
      <c r="K1501" s="228"/>
      <c r="L1501" s="228"/>
      <c r="M1501" s="228"/>
      <c r="N1501" s="228"/>
      <c r="O1501" s="228"/>
      <c r="P1501" s="228">
        <v>5100</v>
      </c>
      <c r="Q1501" s="228">
        <v>19890000</v>
      </c>
    </row>
    <row r="1502" spans="1:17">
      <c r="A1502"/>
      <c r="B1502"/>
      <c r="C1502" s="165">
        <v>4000</v>
      </c>
      <c r="D1502" s="228"/>
      <c r="E1502" s="228"/>
      <c r="F1502" s="228"/>
      <c r="G1502" s="228"/>
      <c r="H1502" s="228"/>
      <c r="I1502" s="228"/>
      <c r="J1502" s="228"/>
      <c r="K1502" s="228"/>
      <c r="L1502" s="228">
        <v>4200</v>
      </c>
      <c r="M1502" s="228">
        <v>16800000</v>
      </c>
      <c r="N1502" s="228"/>
      <c r="O1502" s="228"/>
      <c r="P1502" s="228">
        <v>4200</v>
      </c>
      <c r="Q1502" s="228">
        <v>16800000</v>
      </c>
    </row>
    <row r="1503" spans="1:17">
      <c r="A1503"/>
      <c r="B1503"/>
      <c r="C1503" s="165">
        <v>4100</v>
      </c>
      <c r="D1503" s="228"/>
      <c r="E1503" s="228"/>
      <c r="F1503" s="228"/>
      <c r="G1503" s="228"/>
      <c r="H1503" s="228"/>
      <c r="I1503" s="228"/>
      <c r="J1503" s="228"/>
      <c r="K1503" s="228"/>
      <c r="L1503" s="228">
        <v>2100</v>
      </c>
      <c r="M1503" s="228">
        <v>8610000</v>
      </c>
      <c r="N1503" s="228"/>
      <c r="O1503" s="228"/>
      <c r="P1503" s="228">
        <v>2100</v>
      </c>
      <c r="Q1503" s="228">
        <v>8610000</v>
      </c>
    </row>
    <row r="1504" spans="1:17">
      <c r="A1504"/>
      <c r="B1504" s="165" t="s">
        <v>842</v>
      </c>
      <c r="C1504" s="165">
        <v>3600</v>
      </c>
      <c r="D1504" s="228">
        <v>0</v>
      </c>
      <c r="E1504" s="228">
        <v>0</v>
      </c>
      <c r="F1504" s="228"/>
      <c r="G1504" s="228"/>
      <c r="H1504" s="228"/>
      <c r="I1504" s="228"/>
      <c r="J1504" s="228"/>
      <c r="K1504" s="228"/>
      <c r="L1504" s="228"/>
      <c r="M1504" s="228"/>
      <c r="N1504" s="228"/>
      <c r="O1504" s="228"/>
      <c r="P1504" s="228">
        <v>0</v>
      </c>
      <c r="Q1504" s="228">
        <v>0</v>
      </c>
    </row>
    <row r="1505" spans="1:17">
      <c r="A1505"/>
      <c r="B1505" s="165" t="s">
        <v>507</v>
      </c>
      <c r="C1505" s="165">
        <v>4000</v>
      </c>
      <c r="D1505" s="228"/>
      <c r="E1505" s="228"/>
      <c r="F1505" s="228">
        <v>0</v>
      </c>
      <c r="G1505" s="228">
        <v>0</v>
      </c>
      <c r="H1505" s="228"/>
      <c r="I1505" s="228"/>
      <c r="J1505" s="228"/>
      <c r="K1505" s="228"/>
      <c r="L1505" s="228"/>
      <c r="M1505" s="228"/>
      <c r="N1505" s="228"/>
      <c r="O1505" s="228"/>
      <c r="P1505" s="228">
        <v>0</v>
      </c>
      <c r="Q1505" s="228">
        <v>0</v>
      </c>
    </row>
    <row r="1506" spans="1:17">
      <c r="A1506"/>
      <c r="B1506" s="165" t="s">
        <v>100</v>
      </c>
      <c r="C1506" s="165">
        <v>3800</v>
      </c>
      <c r="D1506" s="228"/>
      <c r="E1506" s="228"/>
      <c r="F1506" s="228">
        <v>0</v>
      </c>
      <c r="G1506" s="228">
        <v>0</v>
      </c>
      <c r="H1506" s="228"/>
      <c r="I1506" s="228"/>
      <c r="J1506" s="228"/>
      <c r="K1506" s="228"/>
      <c r="L1506" s="228"/>
      <c r="M1506" s="228"/>
      <c r="N1506" s="228"/>
      <c r="O1506" s="228"/>
      <c r="P1506" s="228">
        <v>0</v>
      </c>
      <c r="Q1506" s="228">
        <v>0</v>
      </c>
    </row>
    <row r="1507" spans="1:17">
      <c r="A1507"/>
      <c r="B1507"/>
      <c r="C1507" s="165">
        <v>4000</v>
      </c>
      <c r="D1507" s="228"/>
      <c r="E1507" s="228"/>
      <c r="F1507" s="228"/>
      <c r="G1507" s="228"/>
      <c r="H1507" s="228">
        <v>11400</v>
      </c>
      <c r="I1507" s="228">
        <v>45600000</v>
      </c>
      <c r="J1507" s="228"/>
      <c r="K1507" s="228"/>
      <c r="L1507" s="228"/>
      <c r="M1507" s="228"/>
      <c r="N1507" s="228"/>
      <c r="O1507" s="228"/>
      <c r="P1507" s="228">
        <v>11400</v>
      </c>
      <c r="Q1507" s="228">
        <v>45600000</v>
      </c>
    </row>
    <row r="1508" spans="1:17">
      <c r="A1508"/>
      <c r="B1508" s="165" t="s">
        <v>184</v>
      </c>
      <c r="C1508" s="165">
        <v>3800</v>
      </c>
      <c r="D1508" s="228">
        <v>0</v>
      </c>
      <c r="E1508" s="228">
        <v>0</v>
      </c>
      <c r="F1508" s="228"/>
      <c r="G1508" s="228"/>
      <c r="H1508" s="228"/>
      <c r="I1508" s="228"/>
      <c r="J1508" s="228"/>
      <c r="K1508" s="228"/>
      <c r="L1508" s="228"/>
      <c r="M1508" s="228"/>
      <c r="N1508" s="228"/>
      <c r="O1508" s="228"/>
      <c r="P1508" s="228">
        <v>0</v>
      </c>
      <c r="Q1508" s="228">
        <v>0</v>
      </c>
    </row>
    <row r="1509" spans="1:17">
      <c r="A1509"/>
      <c r="B1509" s="165" t="s">
        <v>216</v>
      </c>
      <c r="C1509" s="165">
        <v>3800</v>
      </c>
      <c r="D1509" s="228"/>
      <c r="E1509" s="228"/>
      <c r="F1509" s="228">
        <v>0</v>
      </c>
      <c r="G1509" s="228">
        <v>0</v>
      </c>
      <c r="H1509" s="228"/>
      <c r="I1509" s="228"/>
      <c r="J1509" s="228"/>
      <c r="K1509" s="228"/>
      <c r="L1509" s="228"/>
      <c r="M1509" s="228"/>
      <c r="N1509" s="228"/>
      <c r="O1509" s="228"/>
      <c r="P1509" s="228">
        <v>0</v>
      </c>
      <c r="Q1509" s="228">
        <v>0</v>
      </c>
    </row>
    <row r="1510" spans="1:17">
      <c r="A1510"/>
      <c r="B1510" s="165" t="s">
        <v>969</v>
      </c>
      <c r="C1510" s="165">
        <v>4000</v>
      </c>
      <c r="D1510" s="228"/>
      <c r="E1510" s="228"/>
      <c r="F1510" s="228">
        <v>0</v>
      </c>
      <c r="G1510" s="228">
        <v>0</v>
      </c>
      <c r="H1510" s="228"/>
      <c r="I1510" s="228"/>
      <c r="J1510" s="228"/>
      <c r="K1510" s="228"/>
      <c r="L1510" s="228"/>
      <c r="M1510" s="228"/>
      <c r="N1510" s="228"/>
      <c r="O1510" s="228"/>
      <c r="P1510" s="228">
        <v>0</v>
      </c>
      <c r="Q1510" s="228">
        <v>0</v>
      </c>
    </row>
    <row r="1511" spans="1:17">
      <c r="A1511"/>
      <c r="B1511" s="165" t="s">
        <v>987</v>
      </c>
      <c r="C1511" s="165">
        <v>3900</v>
      </c>
      <c r="D1511" s="228"/>
      <c r="E1511" s="228"/>
      <c r="F1511" s="228">
        <v>0</v>
      </c>
      <c r="G1511" s="228">
        <v>0</v>
      </c>
      <c r="H1511" s="228"/>
      <c r="I1511" s="228"/>
      <c r="J1511" s="228"/>
      <c r="K1511" s="228"/>
      <c r="L1511" s="228"/>
      <c r="M1511" s="228"/>
      <c r="N1511" s="228"/>
      <c r="O1511" s="228"/>
      <c r="P1511" s="228">
        <v>0</v>
      </c>
      <c r="Q1511" s="228">
        <v>0</v>
      </c>
    </row>
    <row r="1512" spans="1:17">
      <c r="A1512"/>
      <c r="B1512"/>
      <c r="C1512" s="165">
        <v>4000</v>
      </c>
      <c r="D1512" s="228"/>
      <c r="E1512" s="228"/>
      <c r="F1512" s="228"/>
      <c r="G1512" s="228"/>
      <c r="H1512" s="228">
        <v>5100</v>
      </c>
      <c r="I1512" s="228">
        <v>20400000</v>
      </c>
      <c r="J1512" s="228"/>
      <c r="K1512" s="228"/>
      <c r="L1512" s="228">
        <v>5100</v>
      </c>
      <c r="M1512" s="228">
        <v>20400000</v>
      </c>
      <c r="N1512" s="228"/>
      <c r="O1512" s="228"/>
      <c r="P1512" s="228">
        <v>10200</v>
      </c>
      <c r="Q1512" s="228">
        <v>40800000</v>
      </c>
    </row>
    <row r="1513" spans="1:17">
      <c r="A1513"/>
      <c r="B1513" s="165" t="s">
        <v>814</v>
      </c>
      <c r="C1513" s="165">
        <v>3800</v>
      </c>
      <c r="D1513" s="228">
        <v>0</v>
      </c>
      <c r="E1513" s="228">
        <v>0</v>
      </c>
      <c r="F1513" s="228"/>
      <c r="G1513" s="228"/>
      <c r="H1513" s="228"/>
      <c r="I1513" s="228"/>
      <c r="J1513" s="228"/>
      <c r="K1513" s="228"/>
      <c r="L1513" s="228"/>
      <c r="M1513" s="228"/>
      <c r="N1513" s="228"/>
      <c r="O1513" s="228"/>
      <c r="P1513" s="228">
        <v>0</v>
      </c>
      <c r="Q1513" s="228">
        <v>0</v>
      </c>
    </row>
    <row r="1514" spans="1:17">
      <c r="A1514"/>
      <c r="B1514"/>
      <c r="C1514" s="165">
        <v>3900</v>
      </c>
      <c r="D1514" s="228"/>
      <c r="E1514" s="228"/>
      <c r="F1514" s="228">
        <v>0</v>
      </c>
      <c r="G1514" s="228">
        <v>0</v>
      </c>
      <c r="H1514" s="228">
        <v>15000</v>
      </c>
      <c r="I1514" s="228">
        <v>58500000</v>
      </c>
      <c r="J1514" s="228"/>
      <c r="K1514" s="228"/>
      <c r="L1514" s="228"/>
      <c r="M1514" s="228"/>
      <c r="N1514" s="228"/>
      <c r="O1514" s="228"/>
      <c r="P1514" s="228">
        <v>15000</v>
      </c>
      <c r="Q1514" s="228">
        <v>58500000</v>
      </c>
    </row>
    <row r="1515" spans="1:17">
      <c r="A1515"/>
      <c r="B1515"/>
      <c r="C1515" s="165">
        <v>4000</v>
      </c>
      <c r="D1515" s="228"/>
      <c r="E1515" s="228"/>
      <c r="F1515" s="228"/>
      <c r="G1515" s="228"/>
      <c r="H1515" s="228">
        <v>20100</v>
      </c>
      <c r="I1515" s="228">
        <v>80400000</v>
      </c>
      <c r="J1515" s="228"/>
      <c r="K1515" s="228"/>
      <c r="L1515" s="228"/>
      <c r="M1515" s="228"/>
      <c r="N1515" s="228"/>
      <c r="O1515" s="228"/>
      <c r="P1515" s="228">
        <v>20100</v>
      </c>
      <c r="Q1515" s="228">
        <v>80400000</v>
      </c>
    </row>
    <row r="1516" spans="1:17">
      <c r="A1516"/>
      <c r="B1516" s="165" t="s">
        <v>247</v>
      </c>
      <c r="C1516" s="165">
        <v>3800</v>
      </c>
      <c r="D1516" s="228"/>
      <c r="E1516" s="228"/>
      <c r="F1516" s="228">
        <v>0</v>
      </c>
      <c r="G1516" s="228">
        <v>0</v>
      </c>
      <c r="H1516" s="228"/>
      <c r="I1516" s="228"/>
      <c r="J1516" s="228"/>
      <c r="K1516" s="228"/>
      <c r="L1516" s="228"/>
      <c r="M1516" s="228"/>
      <c r="N1516" s="228"/>
      <c r="O1516" s="228"/>
      <c r="P1516" s="228">
        <v>0</v>
      </c>
      <c r="Q1516" s="228">
        <v>0</v>
      </c>
    </row>
    <row r="1517" spans="1:17">
      <c r="A1517"/>
      <c r="B1517" s="165" t="s">
        <v>91</v>
      </c>
      <c r="C1517" s="165">
        <v>3800</v>
      </c>
      <c r="D1517" s="228">
        <v>0</v>
      </c>
      <c r="E1517" s="228">
        <v>0</v>
      </c>
      <c r="F1517" s="228"/>
      <c r="G1517" s="228"/>
      <c r="H1517" s="228"/>
      <c r="I1517" s="228"/>
      <c r="J1517" s="228"/>
      <c r="K1517" s="228"/>
      <c r="L1517" s="228"/>
      <c r="M1517" s="228"/>
      <c r="N1517" s="228"/>
      <c r="O1517" s="228"/>
      <c r="P1517" s="228">
        <v>0</v>
      </c>
      <c r="Q1517" s="228">
        <v>0</v>
      </c>
    </row>
    <row r="1518" spans="1:17">
      <c r="A1518"/>
      <c r="B1518" s="165" t="s">
        <v>103</v>
      </c>
      <c r="C1518" s="165">
        <v>3800</v>
      </c>
      <c r="D1518" s="228">
        <v>0</v>
      </c>
      <c r="E1518" s="228">
        <v>0</v>
      </c>
      <c r="F1518" s="228"/>
      <c r="G1518" s="228"/>
      <c r="H1518" s="228"/>
      <c r="I1518" s="228"/>
      <c r="J1518" s="228"/>
      <c r="K1518" s="228"/>
      <c r="L1518" s="228"/>
      <c r="M1518" s="228"/>
      <c r="N1518" s="228"/>
      <c r="O1518" s="228"/>
      <c r="P1518" s="228">
        <v>0</v>
      </c>
      <c r="Q1518" s="228">
        <v>0</v>
      </c>
    </row>
    <row r="1519" spans="1:17">
      <c r="A1519" s="165" t="s">
        <v>2189</v>
      </c>
      <c r="B1519" s="165" t="s">
        <v>911</v>
      </c>
      <c r="C1519" s="165">
        <v>3800</v>
      </c>
      <c r="D1519" s="228"/>
      <c r="E1519" s="228"/>
      <c r="F1519" s="228">
        <v>0</v>
      </c>
      <c r="G1519" s="228">
        <v>0</v>
      </c>
      <c r="H1519" s="228"/>
      <c r="I1519" s="228"/>
      <c r="J1519" s="228"/>
      <c r="K1519" s="228"/>
      <c r="L1519" s="228"/>
      <c r="M1519" s="228"/>
      <c r="N1519" s="228"/>
      <c r="O1519" s="228"/>
      <c r="P1519" s="228">
        <v>0</v>
      </c>
      <c r="Q1519" s="228">
        <v>0</v>
      </c>
    </row>
    <row r="1520" spans="1:17">
      <c r="A1520"/>
      <c r="B1520" s="165" t="s">
        <v>282</v>
      </c>
      <c r="C1520" s="165">
        <v>3800</v>
      </c>
      <c r="D1520" s="228"/>
      <c r="E1520" s="228"/>
      <c r="F1520" s="228">
        <v>0</v>
      </c>
      <c r="G1520" s="228">
        <v>0</v>
      </c>
      <c r="H1520" s="228"/>
      <c r="I1520" s="228"/>
      <c r="J1520" s="228"/>
      <c r="K1520" s="228"/>
      <c r="L1520" s="228"/>
      <c r="M1520" s="228"/>
      <c r="N1520" s="228"/>
      <c r="O1520" s="228"/>
      <c r="P1520" s="228">
        <v>0</v>
      </c>
      <c r="Q1520" s="228">
        <v>0</v>
      </c>
    </row>
    <row r="1521" spans="1:17">
      <c r="A1521"/>
      <c r="B1521" s="165" t="s">
        <v>253</v>
      </c>
      <c r="C1521" s="165">
        <v>3800</v>
      </c>
      <c r="D1521" s="228"/>
      <c r="E1521" s="228"/>
      <c r="F1521" s="228">
        <v>0</v>
      </c>
      <c r="G1521" s="228">
        <v>0</v>
      </c>
      <c r="H1521" s="228"/>
      <c r="I1521" s="228"/>
      <c r="J1521" s="228"/>
      <c r="K1521" s="228"/>
      <c r="L1521" s="228"/>
      <c r="M1521" s="228"/>
      <c r="N1521" s="228"/>
      <c r="O1521" s="228"/>
      <c r="P1521" s="228">
        <v>0</v>
      </c>
      <c r="Q1521" s="228">
        <v>0</v>
      </c>
    </row>
    <row r="1522" spans="1:17">
      <c r="A1522"/>
      <c r="B1522" s="165" t="s">
        <v>1214</v>
      </c>
      <c r="C1522" s="165">
        <v>3800</v>
      </c>
      <c r="D1522" s="228"/>
      <c r="E1522" s="228"/>
      <c r="F1522" s="228">
        <v>0</v>
      </c>
      <c r="G1522" s="228">
        <v>0</v>
      </c>
      <c r="H1522" s="228"/>
      <c r="I1522" s="228"/>
      <c r="J1522" s="228"/>
      <c r="K1522" s="228"/>
      <c r="L1522" s="228"/>
      <c r="M1522" s="228"/>
      <c r="N1522" s="228"/>
      <c r="O1522" s="228"/>
      <c r="P1522" s="228">
        <v>0</v>
      </c>
      <c r="Q1522" s="228">
        <v>0</v>
      </c>
    </row>
    <row r="1523" spans="1:17">
      <c r="A1523"/>
      <c r="B1523" s="165" t="s">
        <v>462</v>
      </c>
      <c r="C1523" s="165">
        <v>3500</v>
      </c>
      <c r="D1523" s="228">
        <v>0</v>
      </c>
      <c r="E1523" s="228">
        <v>0</v>
      </c>
      <c r="F1523" s="228"/>
      <c r="G1523" s="228"/>
      <c r="H1523" s="228"/>
      <c r="I1523" s="228"/>
      <c r="J1523" s="228"/>
      <c r="K1523" s="228"/>
      <c r="L1523" s="228"/>
      <c r="M1523" s="228"/>
      <c r="N1523" s="228"/>
      <c r="O1523" s="228"/>
      <c r="P1523" s="228">
        <v>0</v>
      </c>
      <c r="Q1523" s="228">
        <v>0</v>
      </c>
    </row>
    <row r="1524" spans="1:17">
      <c r="A1524"/>
      <c r="B1524" s="165" t="s">
        <v>1245</v>
      </c>
      <c r="C1524" s="165">
        <v>3800</v>
      </c>
      <c r="D1524" s="228"/>
      <c r="E1524" s="228"/>
      <c r="F1524" s="228">
        <v>0</v>
      </c>
      <c r="G1524" s="228">
        <v>0</v>
      </c>
      <c r="H1524" s="228"/>
      <c r="I1524" s="228"/>
      <c r="J1524" s="228"/>
      <c r="K1524" s="228"/>
      <c r="L1524" s="228"/>
      <c r="M1524" s="228"/>
      <c r="N1524" s="228"/>
      <c r="O1524" s="228"/>
      <c r="P1524" s="228">
        <v>0</v>
      </c>
      <c r="Q1524" s="228">
        <v>0</v>
      </c>
    </row>
    <row r="1525" spans="1:17">
      <c r="A1525"/>
      <c r="B1525" s="165" t="s">
        <v>1066</v>
      </c>
      <c r="C1525" s="165">
        <v>3750</v>
      </c>
      <c r="D1525" s="228"/>
      <c r="E1525" s="228"/>
      <c r="F1525" s="228">
        <v>0</v>
      </c>
      <c r="G1525" s="228">
        <v>0</v>
      </c>
      <c r="H1525" s="228"/>
      <c r="I1525" s="228"/>
      <c r="J1525" s="228"/>
      <c r="K1525" s="228"/>
      <c r="L1525" s="228"/>
      <c r="M1525" s="228"/>
      <c r="N1525" s="228"/>
      <c r="O1525" s="228"/>
      <c r="P1525" s="228">
        <v>0</v>
      </c>
      <c r="Q1525" s="228">
        <v>0</v>
      </c>
    </row>
    <row r="1526" spans="1:17">
      <c r="A1526" s="165" t="s">
        <v>2190</v>
      </c>
      <c r="B1526" s="165" t="s">
        <v>983</v>
      </c>
      <c r="C1526" s="165">
        <v>5600</v>
      </c>
      <c r="D1526" s="228"/>
      <c r="E1526" s="228"/>
      <c r="F1526" s="228"/>
      <c r="G1526" s="228"/>
      <c r="H1526" s="228"/>
      <c r="I1526" s="228"/>
      <c r="J1526" s="228"/>
      <c r="K1526" s="228"/>
      <c r="L1526" s="228">
        <v>5000</v>
      </c>
      <c r="M1526" s="228">
        <v>28000000</v>
      </c>
      <c r="N1526" s="228"/>
      <c r="O1526" s="228"/>
      <c r="P1526" s="228">
        <v>5000</v>
      </c>
      <c r="Q1526" s="228">
        <v>28000000</v>
      </c>
    </row>
    <row r="1527" spans="1:17">
      <c r="A1527"/>
      <c r="B1527" s="165" t="s">
        <v>111</v>
      </c>
      <c r="C1527" s="165">
        <v>5000</v>
      </c>
      <c r="D1527" s="228"/>
      <c r="E1527" s="228"/>
      <c r="F1527" s="228">
        <v>0</v>
      </c>
      <c r="G1527" s="228">
        <v>0</v>
      </c>
      <c r="H1527" s="228"/>
      <c r="I1527" s="228"/>
      <c r="J1527" s="228"/>
      <c r="K1527" s="228"/>
      <c r="L1527" s="228"/>
      <c r="M1527" s="228"/>
      <c r="N1527" s="228"/>
      <c r="O1527" s="228"/>
      <c r="P1527" s="228">
        <v>0</v>
      </c>
      <c r="Q1527" s="228">
        <v>0</v>
      </c>
    </row>
    <row r="1528" spans="1:17">
      <c r="A1528"/>
      <c r="B1528" s="165" t="s">
        <v>911</v>
      </c>
      <c r="C1528" s="165">
        <v>5000</v>
      </c>
      <c r="D1528" s="228"/>
      <c r="E1528" s="228"/>
      <c r="F1528" s="228">
        <v>0</v>
      </c>
      <c r="G1528" s="228">
        <v>0</v>
      </c>
      <c r="H1528" s="228"/>
      <c r="I1528" s="228"/>
      <c r="J1528" s="228"/>
      <c r="K1528" s="228"/>
      <c r="L1528" s="228"/>
      <c r="M1528" s="228"/>
      <c r="N1528" s="228"/>
      <c r="O1528" s="228"/>
      <c r="P1528" s="228">
        <v>0</v>
      </c>
      <c r="Q1528" s="228">
        <v>0</v>
      </c>
    </row>
    <row r="1529" spans="1:17">
      <c r="A1529"/>
      <c r="B1529" s="165" t="s">
        <v>150</v>
      </c>
      <c r="C1529" s="165">
        <v>5500</v>
      </c>
      <c r="D1529" s="228"/>
      <c r="E1529" s="228"/>
      <c r="F1529" s="228"/>
      <c r="G1529" s="228"/>
      <c r="H1529" s="228"/>
      <c r="I1529" s="228"/>
      <c r="J1529" s="228"/>
      <c r="K1529" s="228"/>
      <c r="L1529" s="228">
        <v>5000</v>
      </c>
      <c r="M1529" s="228">
        <v>27500000</v>
      </c>
      <c r="N1529" s="228"/>
      <c r="O1529" s="228"/>
      <c r="P1529" s="228">
        <v>5000</v>
      </c>
      <c r="Q1529" s="228">
        <v>27500000</v>
      </c>
    </row>
    <row r="1530" spans="1:17">
      <c r="A1530"/>
      <c r="B1530" s="165" t="s">
        <v>980</v>
      </c>
      <c r="C1530" s="165">
        <v>5600</v>
      </c>
      <c r="D1530" s="228"/>
      <c r="E1530" s="228"/>
      <c r="F1530" s="228"/>
      <c r="G1530" s="228"/>
      <c r="H1530" s="228"/>
      <c r="I1530" s="228"/>
      <c r="J1530" s="228"/>
      <c r="K1530" s="228"/>
      <c r="L1530" s="228">
        <v>5000</v>
      </c>
      <c r="M1530" s="228">
        <v>28000000</v>
      </c>
      <c r="N1530" s="228"/>
      <c r="O1530" s="228"/>
      <c r="P1530" s="228">
        <v>5000</v>
      </c>
      <c r="Q1530" s="228">
        <v>28000000</v>
      </c>
    </row>
    <row r="1531" spans="1:17">
      <c r="A1531"/>
      <c r="B1531" s="165" t="s">
        <v>282</v>
      </c>
      <c r="C1531" s="165">
        <v>5000</v>
      </c>
      <c r="D1531" s="228"/>
      <c r="E1531" s="228"/>
      <c r="F1531" s="228">
        <v>0</v>
      </c>
      <c r="G1531" s="228">
        <v>0</v>
      </c>
      <c r="H1531" s="228"/>
      <c r="I1531" s="228"/>
      <c r="J1531" s="228"/>
      <c r="K1531" s="228"/>
      <c r="L1531" s="228"/>
      <c r="M1531" s="228"/>
      <c r="N1531" s="228"/>
      <c r="O1531" s="228"/>
      <c r="P1531" s="228">
        <v>0</v>
      </c>
      <c r="Q1531" s="228">
        <v>0</v>
      </c>
    </row>
    <row r="1532" spans="1:17">
      <c r="A1532"/>
      <c r="B1532" s="165" t="s">
        <v>231</v>
      </c>
      <c r="C1532" s="165" t="s">
        <v>385</v>
      </c>
      <c r="D1532" s="228">
        <v>5000</v>
      </c>
      <c r="E1532" s="228">
        <v>0</v>
      </c>
      <c r="F1532" s="228"/>
      <c r="G1532" s="228"/>
      <c r="H1532" s="228"/>
      <c r="I1532" s="228"/>
      <c r="J1532" s="228"/>
      <c r="K1532" s="228"/>
      <c r="L1532" s="228"/>
      <c r="M1532" s="228"/>
      <c r="N1532" s="228"/>
      <c r="O1532" s="228"/>
      <c r="P1532" s="228">
        <v>5000</v>
      </c>
      <c r="Q1532" s="228">
        <v>0</v>
      </c>
    </row>
    <row r="1533" spans="1:17">
      <c r="A1533"/>
      <c r="B1533" s="165" t="s">
        <v>236</v>
      </c>
      <c r="C1533" s="165">
        <v>5000</v>
      </c>
      <c r="D1533" s="228"/>
      <c r="E1533" s="228"/>
      <c r="F1533" s="228">
        <v>0</v>
      </c>
      <c r="G1533" s="228">
        <v>0</v>
      </c>
      <c r="H1533" s="228"/>
      <c r="I1533" s="228"/>
      <c r="J1533" s="228"/>
      <c r="K1533" s="228"/>
      <c r="L1533" s="228"/>
      <c r="M1533" s="228"/>
      <c r="N1533" s="228"/>
      <c r="O1533" s="228"/>
      <c r="P1533" s="228">
        <v>0</v>
      </c>
      <c r="Q1533" s="228">
        <v>0</v>
      </c>
    </row>
    <row r="1534" spans="1:17">
      <c r="A1534"/>
      <c r="B1534" s="165" t="s">
        <v>145</v>
      </c>
      <c r="C1534" s="165">
        <v>5000</v>
      </c>
      <c r="D1534" s="228"/>
      <c r="E1534" s="228"/>
      <c r="F1534" s="228">
        <v>0</v>
      </c>
      <c r="G1534" s="228">
        <v>0</v>
      </c>
      <c r="H1534" s="228"/>
      <c r="I1534" s="228"/>
      <c r="J1534" s="228"/>
      <c r="K1534" s="228"/>
      <c r="L1534" s="228"/>
      <c r="M1534" s="228"/>
      <c r="N1534" s="228"/>
      <c r="O1534" s="228"/>
      <c r="P1534" s="228">
        <v>0</v>
      </c>
      <c r="Q1534" s="228">
        <v>0</v>
      </c>
    </row>
    <row r="1535" spans="1:17">
      <c r="A1535"/>
      <c r="B1535" s="165" t="s">
        <v>1009</v>
      </c>
      <c r="C1535" s="165">
        <v>6000</v>
      </c>
      <c r="D1535" s="228"/>
      <c r="E1535" s="228"/>
      <c r="F1535" s="228"/>
      <c r="G1535" s="228"/>
      <c r="H1535" s="228"/>
      <c r="I1535" s="228"/>
      <c r="J1535" s="228"/>
      <c r="K1535" s="228"/>
      <c r="L1535" s="228">
        <v>10000</v>
      </c>
      <c r="M1535" s="228">
        <v>60000000</v>
      </c>
      <c r="N1535" s="228"/>
      <c r="O1535" s="228"/>
      <c r="P1535" s="228">
        <v>10000</v>
      </c>
      <c r="Q1535" s="228">
        <v>60000000</v>
      </c>
    </row>
    <row r="1536" spans="1:17">
      <c r="A1536"/>
      <c r="B1536" s="165" t="s">
        <v>1086</v>
      </c>
      <c r="C1536" s="165">
        <v>5000</v>
      </c>
      <c r="D1536" s="228"/>
      <c r="E1536" s="228"/>
      <c r="F1536" s="228">
        <v>0</v>
      </c>
      <c r="G1536" s="228">
        <v>0</v>
      </c>
      <c r="H1536" s="228"/>
      <c r="I1536" s="228"/>
      <c r="J1536" s="228"/>
      <c r="K1536" s="228"/>
      <c r="L1536" s="228"/>
      <c r="M1536" s="228"/>
      <c r="N1536" s="228"/>
      <c r="O1536" s="228"/>
      <c r="P1536" s="228">
        <v>0</v>
      </c>
      <c r="Q1536" s="228">
        <v>0</v>
      </c>
    </row>
    <row r="1537" spans="1:17">
      <c r="A1537"/>
      <c r="B1537"/>
      <c r="C1537" s="165">
        <v>6400</v>
      </c>
      <c r="D1537" s="228"/>
      <c r="E1537" s="228"/>
      <c r="F1537" s="228"/>
      <c r="G1537" s="228"/>
      <c r="H1537" s="228"/>
      <c r="I1537" s="228"/>
      <c r="J1537" s="228"/>
      <c r="K1537" s="228"/>
      <c r="L1537" s="228">
        <v>3000</v>
      </c>
      <c r="M1537" s="228">
        <v>19200000</v>
      </c>
      <c r="N1537" s="228"/>
      <c r="O1537" s="228"/>
      <c r="P1537" s="228">
        <v>3000</v>
      </c>
      <c r="Q1537" s="228">
        <v>19200000</v>
      </c>
    </row>
    <row r="1538" spans="1:17">
      <c r="A1538"/>
      <c r="B1538" s="165" t="s">
        <v>229</v>
      </c>
      <c r="C1538" s="165">
        <v>5000</v>
      </c>
      <c r="D1538" s="228"/>
      <c r="E1538" s="228"/>
      <c r="F1538" s="228">
        <v>0</v>
      </c>
      <c r="G1538" s="228">
        <v>0</v>
      </c>
      <c r="H1538" s="228"/>
      <c r="I1538" s="228"/>
      <c r="J1538" s="228"/>
      <c r="K1538" s="228"/>
      <c r="L1538" s="228"/>
      <c r="M1538" s="228"/>
      <c r="N1538" s="228"/>
      <c r="O1538" s="228"/>
      <c r="P1538" s="228">
        <v>0</v>
      </c>
      <c r="Q1538" s="228">
        <v>0</v>
      </c>
    </row>
    <row r="1539" spans="1:17">
      <c r="A1539"/>
      <c r="B1539" s="165" t="s">
        <v>193</v>
      </c>
      <c r="C1539" s="165">
        <v>5300</v>
      </c>
      <c r="D1539" s="228"/>
      <c r="E1539" s="228"/>
      <c r="F1539" s="228"/>
      <c r="G1539" s="228"/>
      <c r="H1539" s="228">
        <v>4800</v>
      </c>
      <c r="I1539" s="228">
        <v>25440000</v>
      </c>
      <c r="J1539" s="228"/>
      <c r="K1539" s="228"/>
      <c r="L1539" s="228"/>
      <c r="M1539" s="228"/>
      <c r="N1539" s="228"/>
      <c r="O1539" s="228"/>
      <c r="P1539" s="228">
        <v>4800</v>
      </c>
      <c r="Q1539" s="228">
        <v>25440000</v>
      </c>
    </row>
    <row r="1540" spans="1:17">
      <c r="A1540"/>
      <c r="B1540" s="165" t="s">
        <v>184</v>
      </c>
      <c r="C1540" s="165">
        <v>5000</v>
      </c>
      <c r="D1540" s="228"/>
      <c r="E1540" s="228"/>
      <c r="F1540" s="228">
        <v>0</v>
      </c>
      <c r="G1540" s="228">
        <v>0</v>
      </c>
      <c r="H1540" s="228"/>
      <c r="I1540" s="228"/>
      <c r="J1540" s="228"/>
      <c r="K1540" s="228"/>
      <c r="L1540" s="228"/>
      <c r="M1540" s="228"/>
      <c r="N1540" s="228"/>
      <c r="O1540" s="228"/>
      <c r="P1540" s="228">
        <v>0</v>
      </c>
      <c r="Q1540" s="228">
        <v>0</v>
      </c>
    </row>
    <row r="1541" spans="1:17">
      <c r="A1541"/>
      <c r="B1541" s="165" t="s">
        <v>969</v>
      </c>
      <c r="C1541" s="165">
        <v>5000</v>
      </c>
      <c r="D1541" s="228"/>
      <c r="E1541" s="228"/>
      <c r="F1541" s="228">
        <v>0</v>
      </c>
      <c r="G1541" s="228">
        <v>0</v>
      </c>
      <c r="H1541" s="228"/>
      <c r="I1541" s="228"/>
      <c r="J1541" s="228"/>
      <c r="K1541" s="228"/>
      <c r="L1541" s="228"/>
      <c r="M1541" s="228"/>
      <c r="N1541" s="228"/>
      <c r="O1541" s="228"/>
      <c r="P1541" s="228">
        <v>0</v>
      </c>
      <c r="Q1541" s="228">
        <v>0</v>
      </c>
    </row>
    <row r="1542" spans="1:17">
      <c r="A1542"/>
      <c r="B1542" s="165" t="s">
        <v>201</v>
      </c>
      <c r="C1542" s="165">
        <v>5500</v>
      </c>
      <c r="D1542" s="228"/>
      <c r="E1542" s="228"/>
      <c r="F1542" s="228"/>
      <c r="G1542" s="228"/>
      <c r="H1542" s="228"/>
      <c r="I1542" s="228"/>
      <c r="J1542" s="228"/>
      <c r="K1542" s="228"/>
      <c r="L1542" s="228">
        <v>2000</v>
      </c>
      <c r="M1542" s="228">
        <v>11000000</v>
      </c>
      <c r="N1542" s="228"/>
      <c r="O1542" s="228"/>
      <c r="P1542" s="228">
        <v>2000</v>
      </c>
      <c r="Q1542" s="228">
        <v>11000000</v>
      </c>
    </row>
    <row r="1543" spans="1:17">
      <c r="A1543"/>
      <c r="B1543" s="165" t="s">
        <v>103</v>
      </c>
      <c r="C1543" s="165">
        <v>5000</v>
      </c>
      <c r="D1543" s="228"/>
      <c r="E1543" s="228"/>
      <c r="F1543" s="228">
        <v>0</v>
      </c>
      <c r="G1543" s="228">
        <v>0</v>
      </c>
      <c r="H1543" s="228"/>
      <c r="I1543" s="228"/>
      <c r="J1543" s="228"/>
      <c r="K1543" s="228"/>
      <c r="L1543" s="228"/>
      <c r="M1543" s="228"/>
      <c r="N1543" s="228"/>
      <c r="O1543" s="228"/>
      <c r="P1543" s="228">
        <v>0</v>
      </c>
      <c r="Q1543" s="228">
        <v>0</v>
      </c>
    </row>
    <row r="1544" spans="1:17">
      <c r="A1544" s="165" t="s">
        <v>2191</v>
      </c>
      <c r="B1544" s="165" t="s">
        <v>130</v>
      </c>
      <c r="C1544" s="165">
        <v>8400</v>
      </c>
      <c r="D1544" s="228"/>
      <c r="E1544" s="228"/>
      <c r="F1544" s="228"/>
      <c r="G1544" s="228"/>
      <c r="H1544" s="228"/>
      <c r="I1544" s="228"/>
      <c r="J1544" s="228"/>
      <c r="K1544" s="228"/>
      <c r="L1544" s="228">
        <v>3000</v>
      </c>
      <c r="M1544" s="228">
        <v>25200000</v>
      </c>
      <c r="N1544" s="228"/>
      <c r="O1544" s="228"/>
      <c r="P1544" s="228">
        <v>3000</v>
      </c>
      <c r="Q1544" s="228">
        <v>25200000</v>
      </c>
    </row>
    <row r="1545" spans="1:17">
      <c r="A1545" s="165" t="s">
        <v>2192</v>
      </c>
      <c r="B1545" s="165" t="s">
        <v>1241</v>
      </c>
      <c r="C1545" s="165">
        <v>3100</v>
      </c>
      <c r="D1545" s="228"/>
      <c r="E1545" s="228"/>
      <c r="F1545" s="228">
        <v>0</v>
      </c>
      <c r="G1545" s="228">
        <v>0</v>
      </c>
      <c r="H1545" s="228"/>
      <c r="I1545" s="228"/>
      <c r="J1545" s="228"/>
      <c r="K1545" s="228"/>
      <c r="L1545" s="228"/>
      <c r="M1545" s="228"/>
      <c r="N1545" s="228"/>
      <c r="O1545" s="228"/>
      <c r="P1545" s="228">
        <v>0</v>
      </c>
      <c r="Q1545" s="228">
        <v>0</v>
      </c>
    </row>
    <row r="1546" spans="1:17">
      <c r="A1546" s="165" t="s">
        <v>2193</v>
      </c>
      <c r="B1546" s="165" t="s">
        <v>1241</v>
      </c>
      <c r="C1546" s="165">
        <v>6200</v>
      </c>
      <c r="D1546" s="228"/>
      <c r="E1546" s="228"/>
      <c r="F1546" s="228"/>
      <c r="G1546" s="228"/>
      <c r="H1546" s="228"/>
      <c r="I1546" s="228"/>
      <c r="J1546" s="228"/>
      <c r="K1546" s="228"/>
      <c r="L1546" s="228">
        <v>15000</v>
      </c>
      <c r="M1546" s="228">
        <v>93000000</v>
      </c>
      <c r="N1546" s="228"/>
      <c r="O1546" s="228"/>
      <c r="P1546" s="228">
        <v>15000</v>
      </c>
      <c r="Q1546" s="228">
        <v>93000000</v>
      </c>
    </row>
    <row r="1547" spans="1:17">
      <c r="A1547"/>
      <c r="B1547" s="165" t="s">
        <v>1086</v>
      </c>
      <c r="C1547" s="165">
        <v>6200</v>
      </c>
      <c r="D1547" s="228"/>
      <c r="E1547" s="228"/>
      <c r="F1547" s="228"/>
      <c r="G1547" s="228"/>
      <c r="H1547" s="228"/>
      <c r="I1547" s="228"/>
      <c r="J1547" s="228"/>
      <c r="K1547" s="228"/>
      <c r="L1547" s="228">
        <v>35100</v>
      </c>
      <c r="M1547" s="228">
        <v>217620000</v>
      </c>
      <c r="N1547" s="228"/>
      <c r="O1547" s="228"/>
      <c r="P1547" s="228">
        <v>35100</v>
      </c>
      <c r="Q1547" s="228">
        <v>217620000</v>
      </c>
    </row>
    <row r="1548" spans="1:17">
      <c r="A1548" s="165" t="s">
        <v>2194</v>
      </c>
      <c r="B1548" s="165" t="s">
        <v>270</v>
      </c>
      <c r="C1548" s="165">
        <v>5500</v>
      </c>
      <c r="D1548" s="228"/>
      <c r="E1548" s="228"/>
      <c r="F1548" s="228">
        <v>0</v>
      </c>
      <c r="G1548" s="228">
        <v>0</v>
      </c>
      <c r="H1548" s="228"/>
      <c r="I1548" s="228"/>
      <c r="J1548" s="228"/>
      <c r="K1548" s="228"/>
      <c r="L1548" s="228"/>
      <c r="M1548" s="228"/>
      <c r="N1548" s="228"/>
      <c r="O1548" s="228"/>
      <c r="P1548" s="228">
        <v>0</v>
      </c>
      <c r="Q1548" s="228">
        <v>0</v>
      </c>
    </row>
    <row r="1549" spans="1:17">
      <c r="A1549"/>
      <c r="B1549"/>
      <c r="C1549" s="165">
        <v>6000</v>
      </c>
      <c r="D1549" s="228"/>
      <c r="E1549" s="228"/>
      <c r="F1549" s="228"/>
      <c r="G1549" s="228"/>
      <c r="H1549" s="228">
        <v>6000</v>
      </c>
      <c r="I1549" s="228">
        <v>36000000</v>
      </c>
      <c r="J1549" s="228"/>
      <c r="K1549" s="228"/>
      <c r="L1549" s="228"/>
      <c r="M1549" s="228"/>
      <c r="N1549" s="228"/>
      <c r="O1549" s="228"/>
      <c r="P1549" s="228">
        <v>6000</v>
      </c>
      <c r="Q1549" s="228">
        <v>36000000</v>
      </c>
    </row>
    <row r="1550" spans="1:17">
      <c r="A1550"/>
      <c r="B1550"/>
      <c r="C1550" s="165">
        <v>6090</v>
      </c>
      <c r="D1550" s="228"/>
      <c r="E1550" s="228"/>
      <c r="F1550" s="228"/>
      <c r="G1550" s="228"/>
      <c r="H1550" s="228"/>
      <c r="I1550" s="228"/>
      <c r="J1550" s="228"/>
      <c r="K1550" s="228"/>
      <c r="L1550" s="228">
        <v>6000</v>
      </c>
      <c r="M1550" s="228">
        <v>36540000</v>
      </c>
      <c r="N1550" s="228"/>
      <c r="O1550" s="228"/>
      <c r="P1550" s="228">
        <v>6000</v>
      </c>
      <c r="Q1550" s="228">
        <v>36540000</v>
      </c>
    </row>
    <row r="1551" spans="1:17">
      <c r="A1551"/>
      <c r="B1551" s="165" t="s">
        <v>1047</v>
      </c>
      <c r="C1551" s="165">
        <v>5500</v>
      </c>
      <c r="D1551" s="228"/>
      <c r="E1551" s="228"/>
      <c r="F1551" s="228">
        <v>2000</v>
      </c>
      <c r="G1551" s="228">
        <v>11000000</v>
      </c>
      <c r="H1551" s="228"/>
      <c r="I1551" s="228"/>
      <c r="J1551" s="228"/>
      <c r="K1551" s="228"/>
      <c r="L1551" s="228"/>
      <c r="M1551" s="228"/>
      <c r="N1551" s="228"/>
      <c r="O1551" s="228"/>
      <c r="P1551" s="228">
        <v>2000</v>
      </c>
      <c r="Q1551" s="228">
        <v>11000000</v>
      </c>
    </row>
    <row r="1552" spans="1:17">
      <c r="A1552"/>
      <c r="B1552" s="165" t="s">
        <v>285</v>
      </c>
      <c r="C1552" s="165">
        <v>6000</v>
      </c>
      <c r="D1552" s="228"/>
      <c r="E1552" s="228"/>
      <c r="F1552" s="228">
        <v>0</v>
      </c>
      <c r="G1552" s="228">
        <v>0</v>
      </c>
      <c r="H1552" s="228"/>
      <c r="I1552" s="228"/>
      <c r="J1552" s="228"/>
      <c r="K1552" s="228"/>
      <c r="L1552" s="228"/>
      <c r="M1552" s="228"/>
      <c r="N1552" s="228"/>
      <c r="O1552" s="228"/>
      <c r="P1552" s="228">
        <v>0</v>
      </c>
      <c r="Q1552" s="228">
        <v>0</v>
      </c>
    </row>
    <row r="1553" spans="1:17">
      <c r="A1553"/>
      <c r="B1553" s="165" t="s">
        <v>1411</v>
      </c>
      <c r="C1553" s="165">
        <v>6000</v>
      </c>
      <c r="D1553" s="228"/>
      <c r="E1553" s="228"/>
      <c r="F1553" s="228"/>
      <c r="G1553" s="228"/>
      <c r="H1553" s="228">
        <v>4000</v>
      </c>
      <c r="I1553" s="228">
        <v>24000000</v>
      </c>
      <c r="J1553" s="228"/>
      <c r="K1553" s="228"/>
      <c r="L1553" s="228"/>
      <c r="M1553" s="228"/>
      <c r="N1553" s="228"/>
      <c r="O1553" s="228"/>
      <c r="P1553" s="228">
        <v>4000</v>
      </c>
      <c r="Q1553" s="228">
        <v>24000000</v>
      </c>
    </row>
    <row r="1554" spans="1:17">
      <c r="A1554"/>
      <c r="B1554" s="165" t="s">
        <v>158</v>
      </c>
      <c r="C1554" s="165">
        <v>6000</v>
      </c>
      <c r="D1554" s="228"/>
      <c r="E1554" s="228"/>
      <c r="F1554" s="228">
        <v>0</v>
      </c>
      <c r="G1554" s="228">
        <v>0</v>
      </c>
      <c r="H1554" s="228"/>
      <c r="I1554" s="228"/>
      <c r="J1554" s="228"/>
      <c r="K1554" s="228"/>
      <c r="L1554" s="228"/>
      <c r="M1554" s="228"/>
      <c r="N1554" s="228"/>
      <c r="O1554" s="228"/>
      <c r="P1554" s="228">
        <v>0</v>
      </c>
      <c r="Q1554" s="228">
        <v>0</v>
      </c>
    </row>
    <row r="1555" spans="1:17">
      <c r="A1555"/>
      <c r="B1555" s="165" t="s">
        <v>1142</v>
      </c>
      <c r="C1555" s="165">
        <v>5500</v>
      </c>
      <c r="D1555" s="228">
        <v>0</v>
      </c>
      <c r="E1555" s="228">
        <v>0</v>
      </c>
      <c r="F1555" s="228">
        <v>0</v>
      </c>
      <c r="G1555" s="228">
        <v>0</v>
      </c>
      <c r="H1555" s="228"/>
      <c r="I1555" s="228"/>
      <c r="J1555" s="228"/>
      <c r="K1555" s="228"/>
      <c r="L1555" s="228"/>
      <c r="M1555" s="228"/>
      <c r="N1555" s="228"/>
      <c r="O1555" s="228"/>
      <c r="P1555" s="228">
        <v>0</v>
      </c>
      <c r="Q1555" s="228">
        <v>0</v>
      </c>
    </row>
    <row r="1556" spans="1:17">
      <c r="A1556"/>
      <c r="B1556" s="165" t="s">
        <v>193</v>
      </c>
      <c r="C1556" s="165">
        <v>6000</v>
      </c>
      <c r="D1556" s="228">
        <v>0</v>
      </c>
      <c r="E1556" s="228">
        <v>0</v>
      </c>
      <c r="F1556" s="228"/>
      <c r="G1556" s="228"/>
      <c r="H1556" s="228"/>
      <c r="I1556" s="228"/>
      <c r="J1556" s="228"/>
      <c r="K1556" s="228"/>
      <c r="L1556" s="228"/>
      <c r="M1556" s="228"/>
      <c r="N1556" s="228"/>
      <c r="O1556" s="228"/>
      <c r="P1556" s="228">
        <v>0</v>
      </c>
      <c r="Q1556" s="228">
        <v>0</v>
      </c>
    </row>
    <row r="1557" spans="1:17">
      <c r="A1557"/>
      <c r="B1557" s="165" t="s">
        <v>810</v>
      </c>
      <c r="C1557" s="165">
        <v>5500</v>
      </c>
      <c r="D1557" s="228"/>
      <c r="E1557" s="228"/>
      <c r="F1557" s="228">
        <v>0</v>
      </c>
      <c r="G1557" s="228">
        <v>0</v>
      </c>
      <c r="H1557" s="228"/>
      <c r="I1557" s="228"/>
      <c r="J1557" s="228"/>
      <c r="K1557" s="228"/>
      <c r="L1557" s="228"/>
      <c r="M1557" s="228"/>
      <c r="N1557" s="228"/>
      <c r="O1557" s="228"/>
      <c r="P1557" s="228">
        <v>0</v>
      </c>
      <c r="Q1557" s="228">
        <v>0</v>
      </c>
    </row>
    <row r="1558" spans="1:17">
      <c r="A1558" s="165" t="s">
        <v>2195</v>
      </c>
      <c r="B1558" s="165" t="s">
        <v>285</v>
      </c>
      <c r="C1558" s="165">
        <v>6300</v>
      </c>
      <c r="D1558" s="228"/>
      <c r="E1558" s="228"/>
      <c r="F1558" s="228">
        <v>0</v>
      </c>
      <c r="G1558" s="228">
        <v>0</v>
      </c>
      <c r="H1558" s="228"/>
      <c r="I1558" s="228"/>
      <c r="J1558" s="228"/>
      <c r="K1558" s="228"/>
      <c r="L1558" s="228"/>
      <c r="M1558" s="228"/>
      <c r="N1558" s="228"/>
      <c r="O1558" s="228"/>
      <c r="P1558" s="228">
        <v>0</v>
      </c>
      <c r="Q1558" s="228">
        <v>0</v>
      </c>
    </row>
    <row r="1559" spans="1:17">
      <c r="A1559"/>
      <c r="B1559" s="165" t="s">
        <v>25</v>
      </c>
      <c r="C1559" s="165">
        <v>6300</v>
      </c>
      <c r="D1559" s="228"/>
      <c r="E1559" s="228"/>
      <c r="F1559" s="228"/>
      <c r="G1559" s="228"/>
      <c r="H1559" s="228"/>
      <c r="I1559" s="228"/>
      <c r="J1559" s="228">
        <v>200</v>
      </c>
      <c r="K1559" s="228">
        <v>1260000</v>
      </c>
      <c r="L1559" s="228"/>
      <c r="M1559" s="228"/>
      <c r="N1559" s="228"/>
      <c r="O1559" s="228"/>
      <c r="P1559" s="228">
        <v>200</v>
      </c>
      <c r="Q1559" s="228">
        <v>1260000</v>
      </c>
    </row>
    <row r="1560" spans="1:17">
      <c r="A1560"/>
      <c r="B1560"/>
      <c r="C1560" s="165">
        <v>6400</v>
      </c>
      <c r="D1560" s="228"/>
      <c r="E1560" s="228"/>
      <c r="F1560" s="228"/>
      <c r="G1560" s="228"/>
      <c r="H1560" s="228">
        <v>200</v>
      </c>
      <c r="I1560" s="228">
        <v>1280000</v>
      </c>
      <c r="J1560" s="228"/>
      <c r="K1560" s="228"/>
      <c r="L1560" s="228"/>
      <c r="M1560" s="228"/>
      <c r="N1560" s="228"/>
      <c r="O1560" s="228"/>
      <c r="P1560" s="228">
        <v>200</v>
      </c>
      <c r="Q1560" s="228">
        <v>1280000</v>
      </c>
    </row>
    <row r="1561" spans="1:17">
      <c r="A1561"/>
      <c r="B1561"/>
      <c r="C1561" s="165">
        <v>6500</v>
      </c>
      <c r="D1561" s="228"/>
      <c r="E1561" s="228"/>
      <c r="F1561" s="228"/>
      <c r="G1561" s="228"/>
      <c r="H1561" s="228"/>
      <c r="I1561" s="228"/>
      <c r="J1561" s="228"/>
      <c r="K1561" s="228"/>
      <c r="L1561" s="228">
        <v>200</v>
      </c>
      <c r="M1561" s="228">
        <v>1300000</v>
      </c>
      <c r="N1561" s="228"/>
      <c r="O1561" s="228"/>
      <c r="P1561" s="228">
        <v>200</v>
      </c>
      <c r="Q1561" s="228">
        <v>1300000</v>
      </c>
    </row>
    <row r="1562" spans="1:17">
      <c r="A1562"/>
      <c r="B1562"/>
      <c r="C1562" s="165" t="s">
        <v>1812</v>
      </c>
      <c r="D1562" s="228"/>
      <c r="E1562" s="228"/>
      <c r="F1562" s="228"/>
      <c r="G1562" s="228"/>
      <c r="H1562" s="228"/>
      <c r="I1562" s="228"/>
      <c r="J1562" s="228"/>
      <c r="K1562" s="228"/>
      <c r="L1562" s="228">
        <v>1000</v>
      </c>
      <c r="M1562" s="228" t="e">
        <v>#VALUE!</v>
      </c>
      <c r="N1562" s="228"/>
      <c r="O1562" s="228"/>
      <c r="P1562" s="228">
        <v>1000</v>
      </c>
      <c r="Q1562" s="228" t="e">
        <v>#VALUE!</v>
      </c>
    </row>
    <row r="1563" spans="1:17">
      <c r="A1563" s="165" t="s">
        <v>2196</v>
      </c>
      <c r="B1563" s="165" t="s">
        <v>285</v>
      </c>
      <c r="C1563" s="165">
        <v>7200</v>
      </c>
      <c r="D1563" s="228"/>
      <c r="E1563" s="228"/>
      <c r="F1563" s="228">
        <v>0</v>
      </c>
      <c r="G1563" s="228">
        <v>0</v>
      </c>
      <c r="H1563" s="228"/>
      <c r="I1563" s="228"/>
      <c r="J1563" s="228"/>
      <c r="K1563" s="228"/>
      <c r="L1563" s="228"/>
      <c r="M1563" s="228"/>
      <c r="N1563" s="228"/>
      <c r="O1563" s="228"/>
      <c r="P1563" s="228">
        <v>0</v>
      </c>
      <c r="Q1563" s="228">
        <v>0</v>
      </c>
    </row>
    <row r="1564" spans="1:17">
      <c r="A1564" s="165" t="s">
        <v>2197</v>
      </c>
      <c r="B1564" s="165" t="s">
        <v>646</v>
      </c>
      <c r="C1564" s="165">
        <v>8255</v>
      </c>
      <c r="D1564" s="228"/>
      <c r="E1564" s="228"/>
      <c r="F1564" s="228"/>
      <c r="G1564" s="228"/>
      <c r="H1564" s="228"/>
      <c r="I1564" s="228"/>
      <c r="J1564" s="228"/>
      <c r="K1564" s="228"/>
      <c r="L1564" s="228">
        <v>1200</v>
      </c>
      <c r="M1564" s="228">
        <v>9906000</v>
      </c>
      <c r="N1564" s="228"/>
      <c r="O1564" s="228"/>
      <c r="P1564" s="228">
        <v>1200</v>
      </c>
      <c r="Q1564" s="228">
        <v>9906000</v>
      </c>
    </row>
    <row r="1565" spans="1:17">
      <c r="A1565" s="165" t="s">
        <v>2198</v>
      </c>
      <c r="B1565" s="165" t="s">
        <v>646</v>
      </c>
      <c r="C1565" s="165">
        <v>11900</v>
      </c>
      <c r="D1565" s="228"/>
      <c r="E1565" s="228"/>
      <c r="F1565" s="228"/>
      <c r="G1565" s="228"/>
      <c r="H1565" s="228"/>
      <c r="I1565" s="228"/>
      <c r="J1565" s="228"/>
      <c r="K1565" s="228"/>
      <c r="L1565" s="228">
        <v>600</v>
      </c>
      <c r="M1565" s="228">
        <v>7140000</v>
      </c>
      <c r="N1565" s="228"/>
      <c r="O1565" s="228"/>
      <c r="P1565" s="228">
        <v>600</v>
      </c>
      <c r="Q1565" s="228">
        <v>7140000</v>
      </c>
    </row>
    <row r="1566" spans="1:17">
      <c r="A1566" s="165" t="s">
        <v>385</v>
      </c>
      <c r="B1566" s="165" t="s">
        <v>385</v>
      </c>
      <c r="C1566" s="165" t="s">
        <v>385</v>
      </c>
      <c r="D1566" s="228"/>
      <c r="E1566" s="228"/>
      <c r="F1566" s="228"/>
      <c r="G1566" s="228"/>
      <c r="H1566" s="228"/>
      <c r="I1566" s="228"/>
      <c r="J1566" s="228"/>
      <c r="K1566" s="228"/>
      <c r="L1566" s="228"/>
      <c r="M1566" s="228"/>
      <c r="N1566" s="228">
        <v>0</v>
      </c>
      <c r="O1566" s="228">
        <v>0</v>
      </c>
      <c r="P1566" s="228">
        <v>0</v>
      </c>
      <c r="Q1566" s="228">
        <v>0</v>
      </c>
    </row>
    <row r="1567" spans="1:17">
      <c r="A1567" s="165" t="s">
        <v>2199</v>
      </c>
      <c r="B1567" s="165" t="s">
        <v>76</v>
      </c>
      <c r="C1567" s="165">
        <v>6700</v>
      </c>
      <c r="D1567" s="228"/>
      <c r="E1567" s="228"/>
      <c r="F1567" s="228"/>
      <c r="G1567" s="228"/>
      <c r="H1567" s="228"/>
      <c r="I1567" s="228"/>
      <c r="J1567" s="228"/>
      <c r="K1567" s="228"/>
      <c r="L1567" s="228">
        <v>10000</v>
      </c>
      <c r="M1567" s="228">
        <v>67000000</v>
      </c>
      <c r="N1567" s="228"/>
      <c r="O1567" s="228"/>
      <c r="P1567" s="228">
        <v>10000</v>
      </c>
      <c r="Q1567" s="228">
        <v>67000000</v>
      </c>
    </row>
    <row r="1568" spans="1:17">
      <c r="A1568"/>
      <c r="B1568" s="165" t="s">
        <v>1009</v>
      </c>
      <c r="C1568" s="165">
        <v>6700</v>
      </c>
      <c r="D1568" s="228"/>
      <c r="E1568" s="228"/>
      <c r="F1568" s="228"/>
      <c r="G1568" s="228"/>
      <c r="H1568" s="228"/>
      <c r="I1568" s="228"/>
      <c r="J1568" s="228"/>
      <c r="K1568" s="228"/>
      <c r="L1568" s="228">
        <v>10000</v>
      </c>
      <c r="M1568" s="228">
        <v>67000000</v>
      </c>
      <c r="N1568" s="228"/>
      <c r="O1568" s="228"/>
      <c r="P1568" s="228">
        <v>10000</v>
      </c>
      <c r="Q1568" s="228">
        <v>67000000</v>
      </c>
    </row>
    <row r="1569" spans="1:17">
      <c r="A1569"/>
      <c r="B1569"/>
      <c r="C1569" s="165">
        <v>6800</v>
      </c>
      <c r="D1569" s="228"/>
      <c r="E1569" s="228"/>
      <c r="F1569" s="228"/>
      <c r="G1569" s="228"/>
      <c r="H1569" s="228"/>
      <c r="I1569" s="228"/>
      <c r="J1569" s="228"/>
      <c r="K1569" s="228"/>
      <c r="L1569" s="228">
        <v>10000</v>
      </c>
      <c r="M1569" s="228">
        <v>68000000</v>
      </c>
      <c r="N1569" s="228"/>
      <c r="O1569" s="228"/>
      <c r="P1569" s="228">
        <v>10000</v>
      </c>
      <c r="Q1569" s="228">
        <v>68000000</v>
      </c>
    </row>
    <row r="1570" spans="1:17">
      <c r="A1570"/>
      <c r="B1570"/>
      <c r="C1570" s="165">
        <v>6900</v>
      </c>
      <c r="D1570" s="228"/>
      <c r="E1570" s="228"/>
      <c r="F1570" s="228"/>
      <c r="G1570" s="228"/>
      <c r="H1570" s="228"/>
      <c r="I1570" s="228"/>
      <c r="J1570" s="228"/>
      <c r="K1570" s="228"/>
      <c r="L1570" s="228">
        <v>10000</v>
      </c>
      <c r="M1570" s="228">
        <v>69000000</v>
      </c>
      <c r="N1570" s="228"/>
      <c r="O1570" s="228"/>
      <c r="P1570" s="228">
        <v>10000</v>
      </c>
      <c r="Q1570" s="228">
        <v>69000000</v>
      </c>
    </row>
    <row r="1571" spans="1:17">
      <c r="A1571" s="165" t="s">
        <v>2200</v>
      </c>
      <c r="B1571" s="165" t="s">
        <v>1241</v>
      </c>
      <c r="C1571" s="165">
        <v>4500</v>
      </c>
      <c r="D1571" s="228"/>
      <c r="E1571" s="228"/>
      <c r="F1571" s="228"/>
      <c r="G1571" s="228"/>
      <c r="H1571" s="228">
        <v>14400</v>
      </c>
      <c r="I1571" s="228">
        <v>64800000</v>
      </c>
      <c r="J1571" s="228"/>
      <c r="K1571" s="228"/>
      <c r="L1571" s="228"/>
      <c r="M1571" s="228"/>
      <c r="N1571" s="228"/>
      <c r="O1571" s="228"/>
      <c r="P1571" s="228">
        <v>14400</v>
      </c>
      <c r="Q1571" s="228">
        <v>64800000</v>
      </c>
    </row>
    <row r="1572" spans="1:17">
      <c r="A1572"/>
      <c r="B1572" s="165" t="s">
        <v>1883</v>
      </c>
      <c r="C1572" s="165">
        <v>4500</v>
      </c>
      <c r="D1572" s="228"/>
      <c r="E1572" s="228"/>
      <c r="F1572" s="228"/>
      <c r="G1572" s="228"/>
      <c r="H1572" s="228"/>
      <c r="I1572" s="228"/>
      <c r="J1572" s="228"/>
      <c r="K1572" s="228"/>
      <c r="L1572" s="228">
        <v>5100</v>
      </c>
      <c r="M1572" s="228">
        <v>22950000</v>
      </c>
      <c r="N1572" s="228"/>
      <c r="O1572" s="228"/>
      <c r="P1572" s="228">
        <v>5100</v>
      </c>
      <c r="Q1572" s="228">
        <v>22950000</v>
      </c>
    </row>
    <row r="1573" spans="1:17">
      <c r="A1573" s="165" t="s">
        <v>1857</v>
      </c>
      <c r="B1573"/>
      <c r="C1573"/>
      <c r="D1573" s="228">
        <v>57200</v>
      </c>
      <c r="E1573" s="228" t="e">
        <v>#VALUE!</v>
      </c>
      <c r="F1573" s="228">
        <v>83775</v>
      </c>
      <c r="G1573" s="228">
        <v>448870000</v>
      </c>
      <c r="H1573" s="228">
        <v>1622350</v>
      </c>
      <c r="I1573" s="228" t="e">
        <v>#VALUE!</v>
      </c>
      <c r="J1573" s="228">
        <v>797950</v>
      </c>
      <c r="K1573" s="228">
        <v>4060498150</v>
      </c>
      <c r="L1573" s="228">
        <v>5692575</v>
      </c>
      <c r="M1573" s="228" t="e">
        <v>#VALUE!</v>
      </c>
      <c r="N1573" s="228">
        <v>0</v>
      </c>
      <c r="O1573" s="228">
        <v>0</v>
      </c>
      <c r="P1573" s="228">
        <v>8253850</v>
      </c>
      <c r="Q1573" s="228" t="e">
        <v>#VALUE!</v>
      </c>
    </row>
    <row r="1574" spans="1:17">
      <c r="A1574"/>
      <c r="B1574"/>
      <c r="C1574"/>
      <c r="D1574"/>
      <c r="E1574"/>
      <c r="F1574"/>
      <c r="G1574"/>
      <c r="H1574"/>
      <c r="I1574"/>
      <c r="J1574"/>
      <c r="K1574"/>
      <c r="L1574"/>
      <c r="M1574"/>
      <c r="N1574"/>
      <c r="O1574"/>
    </row>
    <row r="1575" spans="1:17">
      <c r="A1575"/>
      <c r="B1575"/>
      <c r="C1575"/>
      <c r="D1575"/>
      <c r="E1575"/>
      <c r="F1575"/>
      <c r="G1575"/>
      <c r="H1575"/>
      <c r="I1575"/>
      <c r="J1575"/>
      <c r="K1575"/>
      <c r="L1575"/>
      <c r="M1575"/>
      <c r="N1575"/>
      <c r="O1575"/>
    </row>
    <row r="1576" spans="1:17">
      <c r="A1576"/>
      <c r="B1576"/>
      <c r="C1576"/>
      <c r="D1576"/>
      <c r="E1576"/>
      <c r="F1576"/>
      <c r="G1576"/>
      <c r="H1576"/>
      <c r="I1576"/>
      <c r="J1576"/>
      <c r="K1576"/>
      <c r="L1576"/>
      <c r="M1576"/>
      <c r="N1576"/>
      <c r="O1576"/>
    </row>
    <row r="1577" spans="1:17">
      <c r="A1577"/>
      <c r="B1577"/>
      <c r="C1577"/>
      <c r="D1577"/>
      <c r="E1577"/>
      <c r="F1577"/>
      <c r="G1577"/>
      <c r="H1577"/>
      <c r="I1577"/>
      <c r="J1577"/>
      <c r="K1577"/>
      <c r="L1577"/>
      <c r="M1577"/>
      <c r="N1577"/>
      <c r="O1577"/>
    </row>
    <row r="1578" spans="1:17">
      <c r="A1578"/>
      <c r="B1578"/>
      <c r="C1578"/>
      <c r="D1578"/>
      <c r="E1578"/>
      <c r="F1578"/>
      <c r="G1578"/>
      <c r="H1578"/>
      <c r="I1578"/>
      <c r="J1578"/>
      <c r="K1578"/>
      <c r="L1578"/>
      <c r="M1578"/>
      <c r="N1578"/>
      <c r="O1578"/>
    </row>
    <row r="1579" spans="1:17">
      <c r="A1579"/>
      <c r="B1579"/>
      <c r="C1579"/>
      <c r="D1579"/>
      <c r="E1579"/>
      <c r="F1579"/>
      <c r="G1579"/>
      <c r="H1579"/>
      <c r="I1579"/>
      <c r="J1579"/>
      <c r="K1579"/>
      <c r="L1579"/>
      <c r="M1579"/>
      <c r="N1579"/>
      <c r="O1579"/>
    </row>
    <row r="1580" spans="1:17">
      <c r="A1580"/>
      <c r="B1580"/>
      <c r="C1580"/>
      <c r="D1580"/>
      <c r="E1580"/>
      <c r="F1580"/>
      <c r="G1580"/>
      <c r="H1580"/>
      <c r="I1580"/>
      <c r="J1580"/>
      <c r="K1580"/>
      <c r="L1580"/>
      <c r="M1580"/>
      <c r="N1580"/>
      <c r="O1580"/>
    </row>
    <row r="1581" spans="1:17">
      <c r="A1581"/>
      <c r="B1581"/>
      <c r="C1581"/>
      <c r="D1581"/>
      <c r="E1581"/>
      <c r="F1581"/>
      <c r="G1581"/>
      <c r="H1581"/>
      <c r="I1581"/>
      <c r="J1581"/>
      <c r="K1581"/>
      <c r="L1581"/>
      <c r="M1581"/>
      <c r="N1581"/>
      <c r="O1581"/>
    </row>
    <row r="1582" spans="1:17">
      <c r="A1582"/>
      <c r="B1582"/>
      <c r="C1582"/>
      <c r="D1582"/>
      <c r="E1582"/>
      <c r="F1582"/>
      <c r="G1582"/>
      <c r="H1582"/>
      <c r="I1582"/>
      <c r="J1582"/>
      <c r="K1582"/>
      <c r="L1582"/>
      <c r="M1582"/>
      <c r="N1582"/>
      <c r="O1582"/>
    </row>
    <row r="1583" spans="1:17">
      <c r="A1583"/>
      <c r="B1583"/>
      <c r="C1583"/>
      <c r="D1583"/>
      <c r="E1583"/>
      <c r="F1583"/>
      <c r="G1583"/>
      <c r="H1583"/>
      <c r="I1583"/>
      <c r="J1583"/>
      <c r="K1583"/>
      <c r="L1583"/>
      <c r="M1583"/>
      <c r="N1583"/>
      <c r="O1583"/>
    </row>
    <row r="1584" spans="1:17">
      <c r="A1584"/>
      <c r="B1584"/>
      <c r="C1584"/>
      <c r="D1584"/>
      <c r="E1584"/>
      <c r="F1584"/>
      <c r="G1584"/>
      <c r="H1584"/>
      <c r="I1584"/>
      <c r="J1584"/>
      <c r="K1584"/>
      <c r="L1584"/>
      <c r="M1584"/>
      <c r="N1584"/>
      <c r="O1584"/>
    </row>
    <row r="1585" spans="1:15">
      <c r="A1585"/>
      <c r="B1585"/>
      <c r="C1585"/>
      <c r="D1585"/>
      <c r="E1585"/>
      <c r="F1585"/>
      <c r="G1585"/>
      <c r="H1585"/>
      <c r="I1585"/>
      <c r="J1585"/>
      <c r="K1585"/>
      <c r="L1585"/>
      <c r="M1585"/>
      <c r="N1585"/>
      <c r="O1585"/>
    </row>
    <row r="1586" spans="1:15">
      <c r="A1586"/>
      <c r="B1586"/>
      <c r="C1586"/>
      <c r="D1586"/>
      <c r="E1586"/>
      <c r="F1586"/>
      <c r="G1586"/>
      <c r="H1586"/>
      <c r="I1586"/>
      <c r="J1586"/>
      <c r="K1586"/>
      <c r="L1586"/>
      <c r="M1586"/>
      <c r="N1586"/>
      <c r="O1586"/>
    </row>
    <row r="1587" spans="1:15">
      <c r="A1587"/>
      <c r="B1587"/>
      <c r="C1587"/>
      <c r="D1587"/>
      <c r="E1587"/>
      <c r="F1587"/>
      <c r="G1587"/>
      <c r="H1587"/>
      <c r="I1587"/>
      <c r="J1587"/>
      <c r="K1587"/>
      <c r="L1587"/>
      <c r="M1587"/>
      <c r="N1587"/>
      <c r="O1587"/>
    </row>
    <row r="1588" spans="1:15">
      <c r="A1588"/>
      <c r="B1588"/>
      <c r="C1588"/>
      <c r="D1588"/>
      <c r="E1588"/>
      <c r="F1588"/>
      <c r="G1588"/>
      <c r="H1588"/>
      <c r="I1588"/>
      <c r="J1588"/>
      <c r="K1588"/>
      <c r="L1588"/>
      <c r="M1588"/>
      <c r="N1588"/>
      <c r="O1588"/>
    </row>
    <row r="1589" spans="1:15">
      <c r="A1589"/>
      <c r="B1589"/>
      <c r="C1589"/>
      <c r="D1589"/>
      <c r="E1589"/>
      <c r="F1589"/>
      <c r="G1589"/>
      <c r="H1589"/>
      <c r="I1589"/>
      <c r="J1589"/>
      <c r="K1589"/>
      <c r="L1589"/>
      <c r="M1589"/>
      <c r="N1589"/>
      <c r="O1589"/>
    </row>
    <row r="1590" spans="1:15">
      <c r="A1590"/>
      <c r="B1590"/>
      <c r="C1590"/>
      <c r="D1590"/>
      <c r="E1590"/>
      <c r="F1590"/>
      <c r="G1590"/>
      <c r="H1590"/>
      <c r="I1590"/>
      <c r="J1590"/>
      <c r="K1590"/>
      <c r="L1590"/>
      <c r="M1590"/>
      <c r="N1590"/>
      <c r="O1590"/>
    </row>
    <row r="1591" spans="1:15">
      <c r="A1591"/>
      <c r="B1591"/>
      <c r="C1591"/>
      <c r="D1591"/>
      <c r="E1591"/>
      <c r="F1591"/>
      <c r="G1591"/>
      <c r="H1591"/>
      <c r="I1591"/>
      <c r="J1591"/>
      <c r="K1591"/>
      <c r="L1591"/>
      <c r="M1591"/>
      <c r="N1591"/>
      <c r="O1591"/>
    </row>
    <row r="1592" spans="1:15">
      <c r="A1592"/>
      <c r="B1592"/>
      <c r="C1592"/>
      <c r="D1592"/>
      <c r="E1592"/>
      <c r="F1592"/>
      <c r="G1592"/>
      <c r="H1592"/>
      <c r="I1592"/>
      <c r="J1592"/>
      <c r="K1592"/>
      <c r="L1592"/>
      <c r="M1592"/>
      <c r="N1592"/>
      <c r="O1592"/>
    </row>
    <row r="1593" spans="1:15">
      <c r="A1593"/>
      <c r="B1593"/>
      <c r="C1593"/>
      <c r="D1593"/>
      <c r="E1593"/>
      <c r="F1593"/>
      <c r="G1593"/>
      <c r="H1593"/>
      <c r="I1593"/>
      <c r="J1593"/>
      <c r="K1593"/>
      <c r="L1593"/>
      <c r="M1593"/>
      <c r="N1593"/>
      <c r="O1593"/>
    </row>
    <row r="1594" spans="1:15">
      <c r="A1594"/>
      <c r="B1594"/>
      <c r="C1594"/>
      <c r="D1594"/>
      <c r="E1594"/>
      <c r="F1594"/>
      <c r="G1594"/>
      <c r="H1594"/>
      <c r="I1594"/>
      <c r="J1594"/>
      <c r="K1594"/>
      <c r="L1594"/>
      <c r="M1594"/>
      <c r="N1594"/>
      <c r="O1594"/>
    </row>
    <row r="1595" spans="1:15">
      <c r="A1595"/>
      <c r="B1595"/>
      <c r="C1595"/>
      <c r="D1595"/>
      <c r="E1595"/>
      <c r="F1595"/>
      <c r="G1595"/>
      <c r="H1595"/>
      <c r="I1595"/>
      <c r="J1595"/>
      <c r="K1595"/>
      <c r="L1595"/>
      <c r="M1595"/>
      <c r="N1595"/>
      <c r="O1595"/>
    </row>
    <row r="1596" spans="1:15">
      <c r="A1596"/>
      <c r="B1596"/>
      <c r="C1596"/>
      <c r="D1596"/>
      <c r="E1596"/>
      <c r="F1596"/>
      <c r="G1596"/>
      <c r="H1596"/>
      <c r="I1596"/>
      <c r="J1596"/>
      <c r="K1596"/>
      <c r="L1596"/>
      <c r="M1596"/>
      <c r="N1596"/>
      <c r="O1596"/>
    </row>
    <row r="1597" spans="1:15">
      <c r="A1597"/>
      <c r="B1597"/>
      <c r="C1597"/>
      <c r="D1597"/>
      <c r="E1597"/>
      <c r="F1597"/>
      <c r="G1597"/>
      <c r="H1597"/>
      <c r="I1597"/>
      <c r="J1597"/>
      <c r="K1597"/>
      <c r="L1597"/>
      <c r="M1597"/>
      <c r="N1597"/>
      <c r="O1597"/>
    </row>
    <row r="1598" spans="1:15">
      <c r="A1598"/>
      <c r="B1598"/>
      <c r="C1598"/>
      <c r="D1598"/>
      <c r="E1598"/>
      <c r="F1598"/>
      <c r="G1598"/>
      <c r="H1598"/>
      <c r="I1598"/>
      <c r="J1598"/>
      <c r="K1598"/>
      <c r="L1598"/>
      <c r="M1598"/>
      <c r="N1598"/>
      <c r="O1598"/>
    </row>
    <row r="1599" spans="1:15">
      <c r="A1599"/>
      <c r="B1599"/>
      <c r="C1599"/>
      <c r="D1599"/>
      <c r="E1599"/>
      <c r="F1599"/>
      <c r="G1599"/>
      <c r="H1599"/>
      <c r="I1599"/>
      <c r="J1599"/>
      <c r="K1599"/>
      <c r="L1599"/>
      <c r="M1599"/>
      <c r="N1599"/>
      <c r="O1599"/>
    </row>
    <row r="1600" spans="1:15">
      <c r="A1600"/>
      <c r="B1600"/>
      <c r="C1600"/>
      <c r="D1600"/>
      <c r="E1600"/>
      <c r="F1600"/>
      <c r="G1600"/>
      <c r="H1600"/>
      <c r="I1600"/>
      <c r="J1600"/>
      <c r="K1600"/>
      <c r="L1600"/>
      <c r="M1600"/>
      <c r="N1600"/>
      <c r="O1600"/>
    </row>
    <row r="1601" spans="1:15">
      <c r="A1601"/>
      <c r="B1601"/>
      <c r="C1601"/>
      <c r="D1601"/>
      <c r="E1601"/>
      <c r="F1601"/>
      <c r="G1601"/>
      <c r="H1601"/>
      <c r="I1601"/>
      <c r="J1601"/>
      <c r="K1601"/>
      <c r="L1601"/>
      <c r="M1601"/>
      <c r="N1601"/>
      <c r="O1601"/>
    </row>
    <row r="1602" spans="1:15">
      <c r="A1602"/>
      <c r="B1602"/>
      <c r="C1602"/>
      <c r="D1602"/>
      <c r="E1602"/>
      <c r="F1602"/>
      <c r="G1602"/>
      <c r="H1602"/>
      <c r="I1602"/>
      <c r="J1602"/>
      <c r="K1602"/>
      <c r="L1602"/>
      <c r="M1602"/>
      <c r="N1602"/>
      <c r="O1602"/>
    </row>
    <row r="1603" spans="1:15">
      <c r="A1603"/>
      <c r="B1603"/>
      <c r="C1603"/>
      <c r="D1603"/>
      <c r="E1603"/>
      <c r="F1603"/>
      <c r="G1603"/>
      <c r="H1603"/>
      <c r="I1603"/>
      <c r="J1603"/>
      <c r="K1603"/>
      <c r="L1603"/>
      <c r="M1603"/>
      <c r="N1603"/>
      <c r="O1603"/>
    </row>
    <row r="1604" spans="1:15">
      <c r="A1604"/>
      <c r="B1604"/>
      <c r="C1604"/>
      <c r="D1604"/>
      <c r="E1604"/>
      <c r="F1604"/>
      <c r="G1604"/>
      <c r="H1604"/>
      <c r="I1604"/>
      <c r="J1604"/>
      <c r="K1604"/>
      <c r="L1604"/>
      <c r="M1604"/>
      <c r="N1604"/>
      <c r="O1604"/>
    </row>
    <row r="1605" spans="1:15">
      <c r="A1605"/>
      <c r="B1605"/>
      <c r="C1605"/>
      <c r="D1605"/>
      <c r="E1605"/>
      <c r="F1605"/>
      <c r="G1605"/>
      <c r="H1605"/>
      <c r="I1605"/>
      <c r="J1605"/>
      <c r="K1605"/>
      <c r="L1605"/>
      <c r="M1605"/>
      <c r="N1605"/>
      <c r="O1605"/>
    </row>
    <row r="1606" spans="1:15">
      <c r="A1606"/>
      <c r="B1606"/>
      <c r="C1606"/>
      <c r="D1606"/>
      <c r="E1606"/>
      <c r="F1606"/>
      <c r="G1606"/>
      <c r="H1606"/>
      <c r="I1606"/>
      <c r="J1606"/>
      <c r="K1606"/>
      <c r="L1606"/>
      <c r="M1606"/>
      <c r="N1606"/>
      <c r="O1606"/>
    </row>
    <row r="1607" spans="1:15">
      <c r="A1607"/>
      <c r="B1607"/>
      <c r="C1607"/>
      <c r="D1607"/>
      <c r="E1607"/>
      <c r="F1607"/>
      <c r="G1607"/>
      <c r="H1607"/>
      <c r="I1607"/>
      <c r="J1607"/>
      <c r="K1607"/>
      <c r="L1607"/>
      <c r="M1607"/>
      <c r="N1607"/>
      <c r="O1607"/>
    </row>
    <row r="1608" spans="1:15">
      <c r="A1608"/>
      <c r="B1608"/>
      <c r="C1608"/>
      <c r="D1608"/>
      <c r="E1608"/>
      <c r="F1608"/>
      <c r="G1608"/>
      <c r="H1608"/>
      <c r="I1608"/>
      <c r="J1608"/>
      <c r="K1608"/>
      <c r="L1608"/>
      <c r="M1608"/>
      <c r="N1608"/>
      <c r="O1608"/>
    </row>
    <row r="1609" spans="1:15">
      <c r="A1609"/>
      <c r="B1609"/>
      <c r="C1609"/>
      <c r="D1609"/>
      <c r="E1609"/>
      <c r="F1609"/>
      <c r="G1609"/>
      <c r="H1609"/>
      <c r="I1609"/>
      <c r="J1609"/>
      <c r="K1609"/>
      <c r="L1609"/>
      <c r="M1609"/>
      <c r="N1609"/>
      <c r="O1609"/>
    </row>
    <row r="1610" spans="1:15">
      <c r="A1610"/>
      <c r="B1610"/>
      <c r="C1610"/>
      <c r="D1610"/>
      <c r="E1610"/>
      <c r="F1610"/>
      <c r="G1610"/>
      <c r="H1610"/>
      <c r="I1610"/>
      <c r="J1610"/>
      <c r="K1610"/>
      <c r="L1610"/>
      <c r="M1610"/>
      <c r="N1610"/>
      <c r="O1610"/>
    </row>
    <row r="1611" spans="1:15">
      <c r="A1611"/>
      <c r="B1611"/>
      <c r="C1611"/>
      <c r="D1611"/>
      <c r="E1611"/>
      <c r="F1611"/>
      <c r="G1611"/>
      <c r="H1611"/>
      <c r="I1611"/>
      <c r="J1611"/>
      <c r="K1611"/>
      <c r="L1611"/>
      <c r="M1611"/>
      <c r="N1611"/>
      <c r="O1611"/>
    </row>
    <row r="1612" spans="1:15">
      <c r="A1612"/>
      <c r="B1612"/>
      <c r="C1612"/>
      <c r="D1612"/>
      <c r="E1612"/>
      <c r="F1612"/>
      <c r="G1612"/>
      <c r="H1612"/>
      <c r="I1612"/>
      <c r="J1612"/>
      <c r="K1612"/>
      <c r="L1612"/>
      <c r="M1612"/>
      <c r="N1612"/>
      <c r="O1612"/>
    </row>
    <row r="1613" spans="1:15">
      <c r="A1613"/>
      <c r="B1613"/>
      <c r="C1613"/>
      <c r="D1613"/>
      <c r="E1613"/>
      <c r="F1613"/>
      <c r="G1613"/>
      <c r="H1613"/>
      <c r="I1613"/>
      <c r="J1613"/>
      <c r="K1613"/>
      <c r="L1613"/>
      <c r="M1613"/>
      <c r="N1613"/>
      <c r="O1613"/>
    </row>
    <row r="1614" spans="1:15">
      <c r="A1614"/>
      <c r="B1614"/>
      <c r="C1614"/>
      <c r="D1614"/>
      <c r="E1614"/>
      <c r="F1614"/>
      <c r="G1614"/>
      <c r="H1614"/>
      <c r="I1614"/>
      <c r="J1614"/>
      <c r="K1614"/>
      <c r="L1614"/>
      <c r="M1614"/>
      <c r="N1614"/>
      <c r="O1614"/>
    </row>
    <row r="1615" spans="1:15">
      <c r="A1615"/>
      <c r="B1615"/>
      <c r="C1615"/>
      <c r="D1615"/>
      <c r="E1615"/>
      <c r="F1615"/>
      <c r="G1615"/>
      <c r="H1615"/>
      <c r="I1615"/>
      <c r="J1615"/>
      <c r="K1615"/>
      <c r="L1615"/>
      <c r="M1615"/>
      <c r="N1615"/>
      <c r="O1615"/>
    </row>
    <row r="1616" spans="1:15">
      <c r="A1616"/>
      <c r="B1616"/>
      <c r="C1616"/>
      <c r="D1616"/>
      <c r="E1616"/>
      <c r="F1616"/>
      <c r="G1616"/>
      <c r="H1616"/>
      <c r="I1616"/>
      <c r="J1616"/>
      <c r="K1616"/>
      <c r="L1616"/>
      <c r="M1616"/>
      <c r="N1616"/>
      <c r="O1616"/>
    </row>
    <row r="1617" spans="1:15">
      <c r="A1617"/>
      <c r="B1617"/>
      <c r="C1617"/>
      <c r="D1617"/>
      <c r="E1617"/>
      <c r="F1617"/>
      <c r="G1617"/>
      <c r="H1617"/>
      <c r="I1617"/>
      <c r="J1617"/>
      <c r="K1617"/>
      <c r="L1617"/>
      <c r="M1617"/>
      <c r="N1617"/>
      <c r="O1617"/>
    </row>
    <row r="1618" spans="1:15">
      <c r="A1618"/>
      <c r="B1618"/>
      <c r="C1618"/>
      <c r="D1618"/>
      <c r="E1618"/>
      <c r="F1618"/>
      <c r="G1618"/>
      <c r="H1618"/>
      <c r="I1618"/>
      <c r="J1618"/>
      <c r="K1618"/>
      <c r="L1618"/>
      <c r="M1618"/>
      <c r="N1618"/>
      <c r="O1618"/>
    </row>
    <row r="1619" spans="1:15">
      <c r="A1619"/>
      <c r="B1619"/>
      <c r="C1619"/>
      <c r="D1619"/>
      <c r="E1619"/>
      <c r="F1619"/>
      <c r="G1619"/>
      <c r="H1619"/>
      <c r="I1619"/>
      <c r="J1619"/>
      <c r="K1619"/>
      <c r="L1619"/>
      <c r="M1619"/>
      <c r="N1619"/>
      <c r="O1619"/>
    </row>
    <row r="1620" spans="1:15">
      <c r="A1620"/>
      <c r="B1620"/>
      <c r="C1620"/>
      <c r="D1620"/>
      <c r="E1620"/>
      <c r="F1620"/>
      <c r="G1620"/>
      <c r="H1620"/>
      <c r="I1620"/>
      <c r="J1620"/>
      <c r="K1620"/>
      <c r="L1620"/>
      <c r="M1620"/>
      <c r="N1620"/>
      <c r="O1620"/>
    </row>
    <row r="1621" spans="1:15">
      <c r="A1621"/>
      <c r="B1621"/>
      <c r="C1621"/>
      <c r="D1621"/>
      <c r="E1621"/>
      <c r="F1621"/>
      <c r="G1621"/>
      <c r="H1621"/>
      <c r="I1621"/>
      <c r="J1621"/>
      <c r="K1621"/>
      <c r="L1621"/>
      <c r="M1621"/>
      <c r="N1621"/>
      <c r="O1621"/>
    </row>
    <row r="1622" spans="1:15">
      <c r="A1622"/>
      <c r="B1622"/>
      <c r="C1622"/>
      <c r="D1622"/>
      <c r="E1622"/>
      <c r="F1622"/>
      <c r="G1622"/>
      <c r="H1622"/>
      <c r="I1622"/>
      <c r="J1622"/>
      <c r="K1622"/>
      <c r="L1622"/>
      <c r="M1622"/>
      <c r="N1622"/>
      <c r="O1622"/>
    </row>
    <row r="1623" spans="1:15">
      <c r="A1623"/>
      <c r="B1623"/>
      <c r="C1623"/>
      <c r="D1623"/>
      <c r="E1623"/>
      <c r="F1623"/>
      <c r="G1623"/>
      <c r="H1623"/>
      <c r="I1623"/>
      <c r="J1623"/>
      <c r="K1623"/>
      <c r="L1623"/>
      <c r="M1623"/>
      <c r="N1623"/>
      <c r="O1623"/>
    </row>
    <row r="1624" spans="1:15">
      <c r="A1624"/>
      <c r="B1624"/>
      <c r="C1624"/>
      <c r="D1624"/>
      <c r="E1624"/>
      <c r="F1624"/>
      <c r="G1624"/>
      <c r="H1624"/>
      <c r="I1624"/>
      <c r="J1624"/>
      <c r="K1624"/>
      <c r="L1624"/>
      <c r="M1624"/>
      <c r="N1624"/>
      <c r="O1624"/>
    </row>
    <row r="1625" spans="1:15">
      <c r="A1625"/>
      <c r="B1625"/>
      <c r="C1625"/>
      <c r="D1625"/>
      <c r="E1625"/>
      <c r="F1625"/>
      <c r="G1625"/>
      <c r="H1625"/>
      <c r="I1625"/>
      <c r="J1625"/>
      <c r="K1625"/>
      <c r="L1625"/>
      <c r="M1625"/>
      <c r="N1625"/>
      <c r="O1625"/>
    </row>
    <row r="1626" spans="1:15">
      <c r="A1626"/>
      <c r="B1626"/>
      <c r="C1626"/>
      <c r="D1626"/>
      <c r="E1626"/>
      <c r="F1626"/>
      <c r="G1626"/>
      <c r="H1626"/>
      <c r="I1626"/>
      <c r="J1626"/>
      <c r="K1626"/>
      <c r="L1626"/>
      <c r="M1626"/>
      <c r="N1626"/>
      <c r="O1626"/>
    </row>
    <row r="1627" spans="1:15">
      <c r="A1627"/>
      <c r="B1627"/>
      <c r="C1627"/>
      <c r="D1627"/>
      <c r="E1627"/>
      <c r="F1627"/>
      <c r="G1627"/>
      <c r="H1627"/>
      <c r="I1627"/>
      <c r="J1627"/>
      <c r="K1627"/>
      <c r="L1627"/>
      <c r="M1627"/>
      <c r="N1627"/>
      <c r="O1627"/>
    </row>
    <row r="1628" spans="1:15">
      <c r="A1628"/>
      <c r="B1628"/>
      <c r="C1628"/>
      <c r="D1628"/>
      <c r="E1628"/>
      <c r="F1628"/>
      <c r="G1628"/>
      <c r="H1628"/>
      <c r="I1628"/>
      <c r="J1628"/>
      <c r="K1628"/>
      <c r="L1628"/>
      <c r="M1628"/>
      <c r="N1628"/>
      <c r="O1628"/>
    </row>
    <row r="1629" spans="1:15">
      <c r="A1629"/>
      <c r="B1629"/>
      <c r="C1629"/>
      <c r="D1629"/>
      <c r="E1629"/>
      <c r="F1629"/>
      <c r="G1629"/>
      <c r="H1629"/>
      <c r="I1629"/>
      <c r="J1629"/>
      <c r="K1629"/>
      <c r="L1629"/>
      <c r="M1629"/>
      <c r="N1629"/>
      <c r="O1629"/>
    </row>
    <row r="1630" spans="1:15">
      <c r="A1630"/>
      <c r="B1630"/>
      <c r="C1630"/>
      <c r="D1630"/>
      <c r="E1630"/>
      <c r="F1630"/>
      <c r="G1630"/>
      <c r="H1630"/>
      <c r="I1630"/>
      <c r="J1630"/>
      <c r="K1630"/>
      <c r="L1630"/>
      <c r="M1630"/>
      <c r="N1630"/>
      <c r="O1630"/>
    </row>
    <row r="1631" spans="1:15">
      <c r="A1631"/>
      <c r="B1631"/>
      <c r="C1631"/>
      <c r="D1631"/>
      <c r="E1631"/>
      <c r="F1631"/>
      <c r="G1631"/>
      <c r="H1631"/>
      <c r="I1631"/>
      <c r="J1631"/>
      <c r="K1631"/>
      <c r="L1631"/>
      <c r="M1631"/>
      <c r="N1631"/>
      <c r="O1631"/>
    </row>
    <row r="1632" spans="1:15">
      <c r="A1632"/>
      <c r="B1632"/>
      <c r="C1632"/>
      <c r="D1632"/>
      <c r="E1632"/>
      <c r="F1632"/>
      <c r="G1632"/>
      <c r="H1632"/>
      <c r="I1632"/>
      <c r="J1632"/>
      <c r="K1632"/>
      <c r="L1632"/>
      <c r="M1632"/>
      <c r="N1632"/>
      <c r="O1632"/>
    </row>
    <row r="1633" spans="1:15">
      <c r="A1633"/>
      <c r="B1633"/>
      <c r="C1633"/>
      <c r="D1633"/>
      <c r="E1633"/>
      <c r="F1633"/>
      <c r="G1633"/>
      <c r="H1633"/>
      <c r="I1633"/>
      <c r="J1633"/>
      <c r="K1633"/>
      <c r="L1633"/>
      <c r="M1633"/>
      <c r="N1633"/>
      <c r="O1633"/>
    </row>
    <row r="1634" spans="1:15">
      <c r="A1634"/>
      <c r="B1634"/>
      <c r="C1634"/>
      <c r="D1634"/>
      <c r="E1634"/>
      <c r="F1634"/>
      <c r="G1634"/>
      <c r="H1634"/>
      <c r="I1634"/>
      <c r="J1634"/>
      <c r="K1634"/>
      <c r="L1634"/>
      <c r="M1634"/>
      <c r="N1634"/>
      <c r="O1634"/>
    </row>
    <row r="1635" spans="1:15">
      <c r="A1635"/>
      <c r="B1635"/>
      <c r="C1635"/>
      <c r="D1635"/>
      <c r="E1635"/>
      <c r="F1635"/>
      <c r="G1635"/>
      <c r="H1635"/>
      <c r="I1635"/>
      <c r="J1635"/>
      <c r="K1635"/>
      <c r="L1635"/>
      <c r="M1635"/>
      <c r="N1635"/>
      <c r="O1635"/>
    </row>
    <row r="1636" spans="1:15">
      <c r="A1636"/>
      <c r="B1636"/>
      <c r="C1636"/>
      <c r="D1636"/>
      <c r="E1636"/>
      <c r="F1636"/>
      <c r="G1636"/>
      <c r="H1636"/>
      <c r="I1636"/>
      <c r="J1636"/>
      <c r="K1636"/>
      <c r="L1636"/>
      <c r="M1636"/>
      <c r="N1636"/>
      <c r="O1636"/>
    </row>
    <row r="1637" spans="1:15">
      <c r="A1637"/>
      <c r="B1637"/>
      <c r="C1637"/>
      <c r="D1637"/>
      <c r="E1637"/>
      <c r="F1637"/>
      <c r="G1637"/>
      <c r="H1637"/>
      <c r="I1637"/>
      <c r="J1637"/>
      <c r="K1637"/>
      <c r="L1637"/>
      <c r="M1637"/>
      <c r="N1637"/>
      <c r="O1637"/>
    </row>
    <row r="1638" spans="1:15">
      <c r="A1638"/>
      <c r="B1638"/>
      <c r="C1638"/>
      <c r="D1638"/>
      <c r="E1638"/>
      <c r="F1638"/>
      <c r="G1638"/>
      <c r="H1638"/>
      <c r="I1638"/>
      <c r="J1638"/>
      <c r="K1638"/>
      <c r="L1638"/>
      <c r="M1638"/>
      <c r="N1638"/>
      <c r="O1638"/>
    </row>
    <row r="1639" spans="1:15">
      <c r="A1639"/>
      <c r="B1639"/>
      <c r="C1639"/>
      <c r="D1639"/>
      <c r="E1639"/>
      <c r="F1639"/>
      <c r="G1639"/>
      <c r="H1639"/>
      <c r="I1639"/>
      <c r="J1639"/>
      <c r="K1639"/>
      <c r="L1639"/>
      <c r="M1639"/>
      <c r="N1639"/>
      <c r="O1639"/>
    </row>
    <row r="1640" spans="1:15">
      <c r="A1640"/>
      <c r="B1640"/>
      <c r="C1640"/>
      <c r="D1640"/>
      <c r="E1640"/>
      <c r="F1640"/>
      <c r="G1640"/>
      <c r="H1640"/>
      <c r="I1640"/>
      <c r="J1640"/>
      <c r="K1640"/>
      <c r="L1640"/>
      <c r="M1640"/>
      <c r="N1640"/>
      <c r="O1640"/>
    </row>
    <row r="1641" spans="1:15">
      <c r="A1641"/>
      <c r="B1641"/>
      <c r="C1641"/>
      <c r="D1641"/>
      <c r="E1641"/>
      <c r="F1641"/>
      <c r="G1641"/>
      <c r="H1641"/>
      <c r="I1641"/>
      <c r="J1641"/>
      <c r="K1641"/>
      <c r="L1641"/>
      <c r="M1641"/>
      <c r="N1641"/>
      <c r="O1641"/>
    </row>
    <row r="1642" spans="1:15">
      <c r="A1642"/>
      <c r="B1642"/>
      <c r="C1642"/>
      <c r="D1642"/>
      <c r="E1642"/>
      <c r="F1642"/>
      <c r="G1642"/>
      <c r="H1642"/>
      <c r="I1642"/>
      <c r="J1642"/>
      <c r="K1642"/>
      <c r="L1642"/>
      <c r="M1642"/>
      <c r="N1642"/>
      <c r="O1642"/>
    </row>
    <row r="1643" spans="1:15">
      <c r="A1643"/>
      <c r="B1643"/>
      <c r="C1643"/>
      <c r="D1643"/>
      <c r="E1643"/>
      <c r="F1643"/>
      <c r="G1643"/>
      <c r="H1643"/>
      <c r="I1643"/>
      <c r="J1643"/>
      <c r="K1643"/>
      <c r="L1643"/>
      <c r="M1643"/>
      <c r="N1643"/>
      <c r="O1643"/>
    </row>
    <row r="1644" spans="1:15">
      <c r="A1644"/>
      <c r="B1644"/>
      <c r="C1644"/>
      <c r="D1644"/>
      <c r="E1644"/>
      <c r="F1644"/>
      <c r="G1644"/>
      <c r="H1644"/>
      <c r="I1644"/>
      <c r="J1644"/>
      <c r="K1644"/>
      <c r="L1644"/>
      <c r="M1644"/>
      <c r="N1644"/>
      <c r="O1644"/>
    </row>
    <row r="1645" spans="1:15">
      <c r="A1645"/>
      <c r="B1645"/>
      <c r="C1645"/>
      <c r="D1645"/>
      <c r="E1645"/>
      <c r="F1645"/>
      <c r="G1645"/>
      <c r="H1645"/>
      <c r="I1645"/>
      <c r="J1645"/>
      <c r="K1645"/>
      <c r="L1645"/>
      <c r="M1645"/>
      <c r="N1645"/>
      <c r="O1645"/>
    </row>
    <row r="1646" spans="1:15">
      <c r="A1646"/>
      <c r="B1646"/>
      <c r="C1646"/>
      <c r="D1646"/>
      <c r="E1646"/>
      <c r="F1646"/>
      <c r="G1646"/>
      <c r="H1646"/>
      <c r="I1646"/>
      <c r="J1646"/>
      <c r="K1646"/>
      <c r="L1646"/>
      <c r="M1646"/>
      <c r="N1646"/>
      <c r="O1646"/>
    </row>
    <row r="1647" spans="1:15">
      <c r="A1647"/>
      <c r="B1647"/>
      <c r="C1647"/>
      <c r="D1647"/>
      <c r="E1647"/>
      <c r="F1647"/>
      <c r="G1647"/>
      <c r="H1647"/>
      <c r="I1647"/>
      <c r="J1647"/>
      <c r="K1647"/>
      <c r="L1647"/>
      <c r="M1647"/>
      <c r="N1647"/>
      <c r="O1647"/>
    </row>
    <row r="1648" spans="1:15">
      <c r="A1648"/>
      <c r="B1648"/>
      <c r="C1648"/>
      <c r="D1648"/>
      <c r="E1648"/>
      <c r="F1648"/>
      <c r="G1648"/>
      <c r="H1648"/>
      <c r="I1648"/>
      <c r="J1648"/>
      <c r="K1648"/>
      <c r="L1648"/>
      <c r="M1648"/>
      <c r="N1648"/>
      <c r="O1648"/>
    </row>
    <row r="1649" spans="1:15">
      <c r="A1649"/>
      <c r="B1649"/>
      <c r="C1649"/>
      <c r="D1649"/>
      <c r="E1649"/>
      <c r="F1649"/>
      <c r="G1649"/>
      <c r="H1649"/>
      <c r="I1649"/>
      <c r="J1649"/>
      <c r="K1649"/>
      <c r="L1649"/>
      <c r="M1649"/>
      <c r="N1649"/>
      <c r="O1649"/>
    </row>
    <row r="1650" spans="1:15">
      <c r="A1650"/>
      <c r="B1650"/>
      <c r="C1650"/>
      <c r="D1650"/>
      <c r="E1650"/>
      <c r="F1650"/>
      <c r="G1650"/>
      <c r="H1650"/>
      <c r="I1650"/>
      <c r="J1650"/>
      <c r="K1650"/>
      <c r="L1650"/>
      <c r="M1650"/>
      <c r="N1650"/>
      <c r="O1650"/>
    </row>
    <row r="1651" spans="1:15">
      <c r="A1651"/>
      <c r="B1651"/>
      <c r="C1651"/>
      <c r="D1651"/>
      <c r="E1651"/>
      <c r="F1651"/>
      <c r="G1651"/>
      <c r="H1651"/>
      <c r="I1651"/>
      <c r="J1651"/>
      <c r="K1651"/>
      <c r="L1651"/>
      <c r="M1651"/>
      <c r="N1651"/>
      <c r="O1651"/>
    </row>
    <row r="1652" spans="1:15">
      <c r="A1652"/>
      <c r="B1652"/>
      <c r="C1652"/>
      <c r="D1652"/>
      <c r="E1652"/>
      <c r="F1652"/>
      <c r="G1652"/>
      <c r="H1652"/>
      <c r="I1652"/>
      <c r="J1652"/>
      <c r="K1652"/>
      <c r="L1652"/>
      <c r="M1652"/>
      <c r="N1652"/>
      <c r="O1652"/>
    </row>
    <row r="1653" spans="1:15">
      <c r="A1653"/>
      <c r="B1653"/>
      <c r="C1653"/>
      <c r="D1653"/>
      <c r="E1653"/>
      <c r="F1653"/>
      <c r="G1653"/>
      <c r="H1653"/>
      <c r="I1653"/>
      <c r="J1653"/>
      <c r="K1653"/>
      <c r="L1653"/>
      <c r="M1653"/>
      <c r="N1653"/>
      <c r="O1653"/>
    </row>
    <row r="1654" spans="1:15">
      <c r="A1654"/>
      <c r="B1654"/>
      <c r="C1654"/>
      <c r="D1654"/>
      <c r="E1654"/>
      <c r="F1654"/>
      <c r="G1654"/>
      <c r="H1654"/>
      <c r="I1654"/>
      <c r="J1654"/>
      <c r="K1654"/>
      <c r="L1654"/>
      <c r="M1654"/>
      <c r="N1654"/>
      <c r="O1654"/>
    </row>
    <row r="1655" spans="1:15">
      <c r="A1655"/>
      <c r="B1655"/>
      <c r="C1655"/>
      <c r="D1655"/>
      <c r="E1655"/>
      <c r="F1655"/>
      <c r="G1655"/>
      <c r="H1655"/>
      <c r="I1655"/>
      <c r="J1655"/>
      <c r="K1655"/>
      <c r="L1655"/>
      <c r="M1655"/>
      <c r="N1655"/>
      <c r="O1655"/>
    </row>
    <row r="1656" spans="1:15">
      <c r="A1656"/>
      <c r="B1656"/>
      <c r="C1656"/>
      <c r="D1656"/>
      <c r="E1656"/>
      <c r="F1656"/>
      <c r="G1656"/>
      <c r="H1656"/>
      <c r="I1656"/>
      <c r="J1656"/>
      <c r="K1656"/>
      <c r="L1656"/>
      <c r="M1656"/>
      <c r="N1656"/>
      <c r="O1656"/>
    </row>
    <row r="1657" spans="1:15">
      <c r="A1657"/>
      <c r="B1657"/>
      <c r="C1657"/>
      <c r="D1657"/>
      <c r="E1657"/>
      <c r="F1657"/>
      <c r="G1657"/>
      <c r="H1657"/>
      <c r="I1657"/>
      <c r="J1657"/>
      <c r="K1657"/>
      <c r="L1657"/>
      <c r="M1657"/>
      <c r="N1657"/>
      <c r="O1657"/>
    </row>
    <row r="1658" spans="1:15">
      <c r="A1658"/>
      <c r="B1658"/>
      <c r="C1658"/>
      <c r="D1658"/>
      <c r="E1658"/>
      <c r="F1658"/>
      <c r="G1658"/>
      <c r="H1658"/>
      <c r="I1658"/>
      <c r="J1658"/>
      <c r="K1658"/>
      <c r="L1658"/>
      <c r="M1658"/>
      <c r="N1658"/>
      <c r="O1658"/>
    </row>
    <row r="1659" spans="1:15">
      <c r="A1659"/>
      <c r="B1659"/>
      <c r="C1659"/>
      <c r="D1659"/>
      <c r="E1659"/>
      <c r="F1659"/>
      <c r="G1659"/>
      <c r="H1659"/>
      <c r="I1659"/>
      <c r="J1659"/>
      <c r="K1659"/>
      <c r="L1659"/>
      <c r="M1659"/>
      <c r="N1659"/>
      <c r="O1659"/>
    </row>
    <row r="1660" spans="1:15">
      <c r="A1660"/>
      <c r="B1660"/>
      <c r="C1660"/>
      <c r="D1660"/>
      <c r="E1660"/>
      <c r="F1660"/>
      <c r="G1660"/>
      <c r="H1660"/>
      <c r="I1660"/>
      <c r="J1660"/>
      <c r="K1660"/>
      <c r="L1660"/>
      <c r="M1660"/>
      <c r="N1660"/>
      <c r="O1660"/>
    </row>
    <row r="1661" spans="1:15">
      <c r="A1661"/>
      <c r="B1661"/>
      <c r="C1661"/>
      <c r="D1661"/>
      <c r="E1661"/>
      <c r="F1661"/>
      <c r="G1661"/>
      <c r="H1661"/>
      <c r="I1661"/>
      <c r="J1661"/>
      <c r="K1661"/>
      <c r="L1661"/>
      <c r="M1661"/>
      <c r="N1661"/>
      <c r="O1661"/>
    </row>
    <row r="1662" spans="1:15">
      <c r="A1662"/>
      <c r="B1662"/>
      <c r="C1662"/>
      <c r="D1662"/>
      <c r="E1662"/>
      <c r="F1662"/>
      <c r="G1662"/>
      <c r="H1662"/>
      <c r="I1662"/>
      <c r="J1662"/>
      <c r="K1662"/>
      <c r="L1662"/>
      <c r="M1662"/>
      <c r="N1662"/>
      <c r="O1662"/>
    </row>
    <row r="1663" spans="1:15">
      <c r="A1663"/>
      <c r="B1663"/>
      <c r="C1663"/>
      <c r="D1663"/>
      <c r="E1663"/>
      <c r="F1663"/>
      <c r="G1663"/>
      <c r="H1663"/>
      <c r="I1663"/>
      <c r="J1663"/>
      <c r="K1663"/>
      <c r="L1663"/>
      <c r="M1663"/>
      <c r="N1663"/>
      <c r="O1663"/>
    </row>
    <row r="1664" spans="1:15">
      <c r="A1664"/>
      <c r="B1664"/>
      <c r="C1664"/>
      <c r="D1664"/>
      <c r="E1664"/>
      <c r="F1664"/>
      <c r="G1664"/>
      <c r="H1664"/>
      <c r="I1664"/>
      <c r="J1664"/>
      <c r="K1664"/>
      <c r="L1664"/>
      <c r="M1664"/>
      <c r="N1664"/>
      <c r="O1664"/>
    </row>
    <row r="1665" spans="1:15">
      <c r="A1665"/>
      <c r="B1665"/>
      <c r="C1665"/>
      <c r="D1665"/>
      <c r="E1665"/>
      <c r="F1665"/>
      <c r="G1665"/>
      <c r="H1665"/>
      <c r="I1665"/>
      <c r="J1665"/>
      <c r="K1665"/>
      <c r="L1665"/>
      <c r="M1665"/>
      <c r="N1665"/>
      <c r="O1665"/>
    </row>
    <row r="1666" spans="1:15">
      <c r="A1666"/>
      <c r="B1666"/>
      <c r="C1666"/>
      <c r="D1666"/>
      <c r="E1666"/>
      <c r="F1666"/>
      <c r="G1666"/>
      <c r="H1666"/>
      <c r="I1666"/>
      <c r="J1666"/>
      <c r="K1666"/>
      <c r="L1666"/>
      <c r="M1666"/>
      <c r="N1666"/>
      <c r="O1666"/>
    </row>
    <row r="1667" spans="1:15">
      <c r="A1667"/>
      <c r="B1667"/>
      <c r="C1667"/>
      <c r="D1667"/>
      <c r="E1667"/>
      <c r="F1667"/>
      <c r="G1667"/>
      <c r="H1667"/>
      <c r="I1667"/>
      <c r="J1667"/>
      <c r="K1667"/>
      <c r="L1667"/>
      <c r="M1667"/>
      <c r="N1667"/>
      <c r="O1667"/>
    </row>
    <row r="1668" spans="1:15">
      <c r="A1668"/>
      <c r="B1668"/>
      <c r="C1668"/>
      <c r="D1668"/>
      <c r="E1668"/>
      <c r="F1668"/>
      <c r="G1668"/>
      <c r="H1668"/>
      <c r="I1668"/>
      <c r="J1668"/>
      <c r="K1668"/>
      <c r="L1668"/>
      <c r="M1668"/>
      <c r="N1668"/>
      <c r="O1668"/>
    </row>
    <row r="1669" spans="1:15">
      <c r="A1669"/>
      <c r="B1669"/>
      <c r="C1669"/>
      <c r="D1669"/>
      <c r="E1669"/>
      <c r="F1669"/>
      <c r="G1669"/>
      <c r="H1669"/>
      <c r="I1669"/>
      <c r="J1669"/>
      <c r="K1669"/>
      <c r="L1669"/>
      <c r="M1669"/>
      <c r="N1669"/>
      <c r="O1669"/>
    </row>
    <row r="1670" spans="1:15">
      <c r="A1670"/>
      <c r="B1670"/>
      <c r="C1670"/>
      <c r="D1670"/>
      <c r="E1670"/>
      <c r="F1670"/>
      <c r="G1670"/>
      <c r="H1670"/>
      <c r="I1670"/>
      <c r="J1670"/>
      <c r="K1670"/>
      <c r="L1670"/>
      <c r="M1670"/>
      <c r="N1670"/>
      <c r="O1670"/>
    </row>
    <row r="1671" spans="1:15">
      <c r="A1671"/>
      <c r="B1671"/>
      <c r="C1671"/>
      <c r="D1671"/>
      <c r="E1671"/>
      <c r="F1671"/>
      <c r="G1671"/>
      <c r="H1671"/>
      <c r="I1671"/>
      <c r="J1671"/>
      <c r="K1671"/>
      <c r="L1671"/>
      <c r="M1671"/>
      <c r="N1671"/>
      <c r="O1671"/>
    </row>
    <row r="1672" spans="1:15">
      <c r="A1672"/>
      <c r="B1672"/>
      <c r="C1672"/>
      <c r="D1672"/>
      <c r="E1672"/>
      <c r="F1672"/>
      <c r="G1672"/>
      <c r="H1672"/>
      <c r="I1672"/>
      <c r="J1672"/>
      <c r="K1672"/>
      <c r="L1672"/>
      <c r="M1672"/>
      <c r="N1672"/>
      <c r="O1672"/>
    </row>
    <row r="1673" spans="1:15">
      <c r="A1673"/>
      <c r="B1673"/>
      <c r="C1673"/>
      <c r="D1673"/>
      <c r="E1673"/>
      <c r="F1673"/>
      <c r="G1673"/>
      <c r="H1673"/>
      <c r="I1673"/>
      <c r="J1673"/>
      <c r="K1673"/>
      <c r="L1673"/>
      <c r="M1673"/>
      <c r="N1673"/>
      <c r="O1673"/>
    </row>
    <row r="1674" spans="1:15">
      <c r="A1674"/>
      <c r="B1674"/>
      <c r="C1674"/>
      <c r="D1674"/>
      <c r="E1674"/>
      <c r="F1674"/>
      <c r="G1674"/>
      <c r="H1674"/>
      <c r="I1674"/>
      <c r="J1674"/>
      <c r="K1674"/>
      <c r="L1674"/>
      <c r="M1674"/>
      <c r="N1674"/>
      <c r="O1674"/>
    </row>
    <row r="1675" spans="1:15">
      <c r="A1675"/>
      <c r="B1675"/>
      <c r="C1675"/>
      <c r="D1675"/>
      <c r="E1675"/>
      <c r="F1675"/>
      <c r="G1675"/>
      <c r="H1675"/>
      <c r="I1675"/>
      <c r="J1675"/>
      <c r="K1675"/>
      <c r="L1675"/>
      <c r="M1675"/>
      <c r="N1675"/>
      <c r="O1675"/>
    </row>
    <row r="1676" spans="1:15">
      <c r="A1676"/>
      <c r="B1676"/>
      <c r="C1676"/>
      <c r="D1676"/>
      <c r="E1676"/>
      <c r="F1676"/>
      <c r="G1676"/>
      <c r="H1676"/>
      <c r="I1676"/>
      <c r="J1676"/>
      <c r="K1676"/>
      <c r="L1676"/>
      <c r="M1676"/>
      <c r="N1676"/>
      <c r="O1676"/>
    </row>
    <row r="1677" spans="1:15">
      <c r="A1677"/>
      <c r="B1677"/>
      <c r="C1677"/>
      <c r="D1677"/>
      <c r="E1677"/>
      <c r="F1677"/>
      <c r="G1677"/>
      <c r="H1677"/>
      <c r="I1677"/>
      <c r="J1677"/>
      <c r="K1677"/>
      <c r="L1677"/>
      <c r="M1677"/>
      <c r="N1677"/>
      <c r="O1677"/>
    </row>
    <row r="1678" spans="1:15">
      <c r="A1678"/>
      <c r="B1678"/>
      <c r="C1678"/>
      <c r="D1678"/>
      <c r="E1678"/>
      <c r="F1678"/>
      <c r="G1678"/>
      <c r="H1678"/>
      <c r="I1678"/>
      <c r="J1678"/>
      <c r="K1678"/>
      <c r="L1678"/>
      <c r="M1678"/>
      <c r="N1678"/>
      <c r="O1678"/>
    </row>
    <row r="1679" spans="1:15">
      <c r="A1679"/>
      <c r="B1679"/>
      <c r="C1679"/>
      <c r="D1679"/>
      <c r="E1679"/>
      <c r="F1679"/>
      <c r="G1679"/>
      <c r="H1679"/>
      <c r="I1679"/>
      <c r="J1679"/>
      <c r="K1679"/>
      <c r="L1679"/>
      <c r="M1679"/>
      <c r="N1679"/>
      <c r="O1679"/>
    </row>
    <row r="1680" spans="1:15">
      <c r="A1680"/>
      <c r="B1680"/>
      <c r="C1680"/>
      <c r="D1680"/>
      <c r="E1680"/>
      <c r="F1680"/>
      <c r="G1680"/>
      <c r="H1680"/>
      <c r="I1680"/>
      <c r="J1680"/>
      <c r="K1680"/>
      <c r="L1680"/>
      <c r="M1680"/>
      <c r="N1680"/>
      <c r="O1680"/>
    </row>
    <row r="1681" spans="1:15">
      <c r="A1681"/>
      <c r="B1681"/>
      <c r="C1681"/>
      <c r="D1681"/>
      <c r="E1681"/>
      <c r="F1681"/>
      <c r="G1681"/>
      <c r="H1681"/>
      <c r="I1681"/>
      <c r="J1681"/>
      <c r="K1681"/>
      <c r="L1681"/>
      <c r="M1681"/>
      <c r="N1681"/>
      <c r="O1681"/>
    </row>
    <row r="1682" spans="1:15">
      <c r="A1682"/>
      <c r="B1682"/>
      <c r="C1682"/>
      <c r="D1682"/>
      <c r="E1682"/>
      <c r="F1682"/>
      <c r="G1682"/>
      <c r="H1682"/>
      <c r="I1682"/>
      <c r="J1682"/>
      <c r="K1682"/>
      <c r="L1682"/>
      <c r="M1682"/>
      <c r="N1682"/>
      <c r="O1682"/>
    </row>
    <row r="1683" spans="1:15">
      <c r="A1683"/>
      <c r="B1683"/>
      <c r="C1683"/>
      <c r="D1683"/>
      <c r="E1683"/>
      <c r="F1683"/>
      <c r="G1683"/>
      <c r="H1683"/>
      <c r="I1683"/>
      <c r="J1683"/>
      <c r="K1683"/>
      <c r="L1683"/>
      <c r="M1683"/>
      <c r="N1683"/>
      <c r="O1683"/>
    </row>
    <row r="1684" spans="1:15">
      <c r="A1684"/>
      <c r="B1684"/>
      <c r="C1684"/>
      <c r="D1684"/>
      <c r="E1684"/>
      <c r="F1684"/>
      <c r="G1684"/>
      <c r="H1684"/>
      <c r="I1684"/>
      <c r="J1684"/>
      <c r="K1684"/>
      <c r="L1684"/>
      <c r="M1684"/>
      <c r="N1684"/>
      <c r="O1684"/>
    </row>
    <row r="1685" spans="1:15">
      <c r="A1685"/>
      <c r="B1685"/>
      <c r="C1685"/>
      <c r="D1685"/>
      <c r="E1685"/>
      <c r="F1685"/>
      <c r="G1685"/>
      <c r="H1685"/>
      <c r="I1685"/>
      <c r="J1685"/>
      <c r="K1685"/>
      <c r="L1685"/>
      <c r="M1685"/>
      <c r="N1685"/>
      <c r="O1685"/>
    </row>
    <row r="1686" spans="1:15">
      <c r="A1686"/>
      <c r="B1686"/>
      <c r="C1686"/>
      <c r="D1686"/>
      <c r="E1686"/>
      <c r="F1686"/>
      <c r="G1686"/>
      <c r="H1686"/>
      <c r="I1686"/>
      <c r="J1686"/>
      <c r="K1686"/>
      <c r="L1686"/>
      <c r="M1686"/>
      <c r="N1686"/>
      <c r="O1686"/>
    </row>
    <row r="1687" spans="1:15">
      <c r="A1687"/>
      <c r="B1687"/>
      <c r="C1687"/>
      <c r="D1687"/>
      <c r="E1687"/>
      <c r="F1687"/>
      <c r="G1687"/>
      <c r="H1687"/>
      <c r="I1687"/>
      <c r="J1687"/>
      <c r="K1687"/>
      <c r="L1687"/>
      <c r="M1687"/>
      <c r="N1687"/>
      <c r="O1687"/>
    </row>
    <row r="1688" spans="1:15">
      <c r="A1688"/>
      <c r="B1688"/>
      <c r="C1688"/>
      <c r="D1688"/>
      <c r="E1688"/>
      <c r="F1688"/>
      <c r="G1688"/>
      <c r="H1688"/>
      <c r="I1688"/>
      <c r="J1688"/>
      <c r="K1688"/>
      <c r="L1688"/>
      <c r="M1688"/>
      <c r="N1688"/>
      <c r="O1688"/>
    </row>
    <row r="1689" spans="1:15">
      <c r="A1689"/>
      <c r="B1689"/>
      <c r="C1689"/>
      <c r="D1689"/>
      <c r="E1689"/>
      <c r="F1689"/>
      <c r="G1689"/>
      <c r="H1689"/>
      <c r="I1689"/>
      <c r="J1689"/>
      <c r="K1689"/>
      <c r="L1689"/>
      <c r="M1689"/>
      <c r="N1689"/>
      <c r="O1689"/>
    </row>
    <row r="1690" spans="1:15">
      <c r="A1690"/>
      <c r="B1690"/>
      <c r="C1690"/>
      <c r="D1690"/>
      <c r="E1690"/>
      <c r="F1690"/>
      <c r="G1690"/>
      <c r="H1690"/>
      <c r="I1690"/>
      <c r="J1690"/>
      <c r="K1690"/>
      <c r="L1690"/>
      <c r="M1690"/>
      <c r="N1690"/>
      <c r="O1690"/>
    </row>
    <row r="1691" spans="1:15">
      <c r="A1691"/>
      <c r="B1691"/>
      <c r="C1691"/>
      <c r="D1691"/>
      <c r="E1691"/>
      <c r="F1691"/>
      <c r="G1691"/>
      <c r="H1691"/>
      <c r="I1691"/>
      <c r="J1691"/>
      <c r="K1691"/>
      <c r="L1691"/>
      <c r="M1691"/>
      <c r="N1691"/>
      <c r="O1691"/>
    </row>
    <row r="1692" spans="1:15">
      <c r="A1692"/>
      <c r="B1692"/>
      <c r="C1692"/>
      <c r="D1692"/>
      <c r="E1692"/>
      <c r="F1692"/>
      <c r="G1692"/>
      <c r="H1692"/>
      <c r="I1692"/>
      <c r="J1692"/>
      <c r="K1692"/>
      <c r="L1692"/>
      <c r="M1692"/>
      <c r="N1692"/>
      <c r="O1692"/>
    </row>
    <row r="1693" spans="1:15">
      <c r="A1693"/>
      <c r="B1693"/>
      <c r="C1693"/>
      <c r="D1693"/>
      <c r="E1693"/>
      <c r="F1693"/>
      <c r="G1693"/>
      <c r="H1693"/>
      <c r="I1693"/>
      <c r="J1693"/>
      <c r="K1693"/>
      <c r="L1693"/>
      <c r="M1693"/>
      <c r="N1693"/>
      <c r="O1693"/>
    </row>
    <row r="1694" spans="1:15">
      <c r="A1694"/>
      <c r="B1694"/>
      <c r="C1694"/>
      <c r="D1694"/>
      <c r="E1694"/>
      <c r="F1694"/>
      <c r="G1694"/>
      <c r="H1694"/>
      <c r="I1694"/>
      <c r="J1694"/>
      <c r="K1694"/>
      <c r="L1694"/>
      <c r="M1694"/>
      <c r="N1694"/>
      <c r="O1694"/>
    </row>
    <row r="1695" spans="1:15">
      <c r="A1695"/>
      <c r="B1695"/>
      <c r="C1695"/>
      <c r="D1695"/>
      <c r="E1695"/>
      <c r="F1695"/>
      <c r="G1695"/>
      <c r="H1695"/>
      <c r="I1695"/>
      <c r="J1695"/>
      <c r="K1695"/>
      <c r="L1695"/>
      <c r="M1695"/>
      <c r="N1695"/>
      <c r="O1695"/>
    </row>
    <row r="1696" spans="1:15">
      <c r="A1696"/>
      <c r="B1696"/>
      <c r="C1696"/>
      <c r="D1696"/>
      <c r="E1696"/>
      <c r="F1696"/>
      <c r="G1696"/>
      <c r="H1696"/>
      <c r="I1696"/>
      <c r="J1696"/>
      <c r="K1696"/>
      <c r="L1696"/>
      <c r="M1696"/>
      <c r="N1696"/>
      <c r="O1696"/>
    </row>
    <row r="1697" spans="1:15">
      <c r="A1697"/>
      <c r="B1697"/>
      <c r="C1697"/>
      <c r="D1697"/>
      <c r="E1697"/>
      <c r="F1697"/>
      <c r="G1697"/>
      <c r="H1697"/>
      <c r="I1697"/>
      <c r="J1697"/>
      <c r="K1697"/>
      <c r="L1697"/>
      <c r="M1697"/>
      <c r="N1697"/>
      <c r="O1697"/>
    </row>
    <row r="1698" spans="1:15">
      <c r="A1698"/>
      <c r="B1698"/>
      <c r="C1698"/>
      <c r="D1698"/>
      <c r="E1698"/>
      <c r="F1698"/>
      <c r="G1698"/>
      <c r="H1698"/>
      <c r="I1698"/>
      <c r="J1698"/>
      <c r="K1698"/>
      <c r="L1698"/>
      <c r="M1698"/>
      <c r="N1698"/>
      <c r="O1698"/>
    </row>
    <row r="1699" spans="1:15">
      <c r="A1699"/>
      <c r="B1699"/>
      <c r="C1699"/>
      <c r="D1699"/>
      <c r="E1699"/>
      <c r="F1699"/>
      <c r="G1699"/>
      <c r="H1699"/>
      <c r="I1699"/>
      <c r="J1699"/>
      <c r="K1699"/>
      <c r="L1699"/>
      <c r="M1699"/>
      <c r="N1699"/>
      <c r="O1699"/>
    </row>
    <row r="1700" spans="1:15">
      <c r="A1700"/>
      <c r="B1700"/>
      <c r="C1700"/>
      <c r="D1700"/>
      <c r="E1700"/>
      <c r="F1700"/>
      <c r="G1700"/>
      <c r="H1700"/>
      <c r="I1700"/>
      <c r="J1700"/>
      <c r="K1700"/>
      <c r="L1700"/>
      <c r="M1700"/>
      <c r="N1700"/>
      <c r="O1700"/>
    </row>
    <row r="1701" spans="1:15">
      <c r="A1701"/>
      <c r="B1701"/>
      <c r="C1701"/>
      <c r="D1701"/>
      <c r="E1701"/>
      <c r="F1701"/>
      <c r="G1701"/>
      <c r="H1701"/>
      <c r="I1701"/>
      <c r="J1701"/>
      <c r="K1701"/>
      <c r="L1701"/>
      <c r="M1701"/>
      <c r="N1701"/>
      <c r="O1701"/>
    </row>
    <row r="1702" spans="1:15">
      <c r="A1702"/>
      <c r="B1702"/>
      <c r="C1702"/>
      <c r="D1702"/>
      <c r="E1702"/>
      <c r="F1702"/>
      <c r="G1702"/>
      <c r="H1702"/>
      <c r="I1702"/>
      <c r="J1702"/>
      <c r="K1702"/>
      <c r="L1702"/>
      <c r="M1702"/>
      <c r="N1702"/>
      <c r="O1702"/>
    </row>
    <row r="1703" spans="1:15">
      <c r="A1703"/>
      <c r="B1703"/>
      <c r="C1703"/>
      <c r="D1703"/>
      <c r="E1703"/>
      <c r="F1703"/>
      <c r="G1703"/>
      <c r="H1703"/>
      <c r="I1703"/>
      <c r="J1703"/>
      <c r="K1703"/>
      <c r="L1703"/>
      <c r="M1703"/>
      <c r="N1703"/>
      <c r="O1703"/>
    </row>
    <row r="1704" spans="1:15">
      <c r="A1704"/>
      <c r="B1704"/>
      <c r="C1704"/>
      <c r="D1704"/>
      <c r="E1704"/>
      <c r="F1704"/>
      <c r="G1704"/>
      <c r="H1704"/>
      <c r="I1704"/>
      <c r="J1704"/>
      <c r="K1704"/>
      <c r="L1704"/>
      <c r="M1704"/>
      <c r="N1704"/>
      <c r="O1704"/>
    </row>
    <row r="1705" spans="1:15">
      <c r="A1705"/>
      <c r="B1705"/>
      <c r="C1705"/>
      <c r="D1705"/>
      <c r="E1705"/>
      <c r="F1705"/>
      <c r="G1705"/>
      <c r="H1705"/>
      <c r="I1705"/>
      <c r="J1705"/>
      <c r="K1705"/>
      <c r="L1705"/>
      <c r="M1705"/>
      <c r="N1705"/>
      <c r="O1705"/>
    </row>
    <row r="1706" spans="1:15">
      <c r="A1706"/>
      <c r="B1706"/>
      <c r="C1706"/>
      <c r="D1706"/>
      <c r="E1706"/>
      <c r="F1706"/>
      <c r="G1706"/>
      <c r="H1706"/>
      <c r="I1706"/>
      <c r="J1706"/>
      <c r="K1706"/>
      <c r="L1706"/>
      <c r="M1706"/>
      <c r="N1706"/>
      <c r="O1706"/>
    </row>
    <row r="1707" spans="1:15">
      <c r="A1707"/>
      <c r="B1707"/>
      <c r="C1707"/>
      <c r="D1707"/>
      <c r="E1707"/>
      <c r="F1707"/>
      <c r="G1707"/>
      <c r="H1707"/>
      <c r="I1707"/>
      <c r="J1707"/>
      <c r="K1707"/>
      <c r="L1707"/>
      <c r="M1707"/>
      <c r="N1707"/>
      <c r="O1707"/>
    </row>
    <row r="1708" spans="1:15">
      <c r="A1708"/>
      <c r="B1708"/>
      <c r="C1708"/>
      <c r="D1708"/>
      <c r="E1708"/>
      <c r="F1708"/>
      <c r="G1708"/>
      <c r="H1708"/>
      <c r="I1708"/>
      <c r="J1708"/>
      <c r="K1708"/>
      <c r="L1708"/>
      <c r="M1708"/>
      <c r="N1708"/>
      <c r="O1708"/>
    </row>
    <row r="1709" spans="1:15">
      <c r="A1709"/>
      <c r="B1709"/>
      <c r="C1709"/>
      <c r="D1709"/>
      <c r="E1709"/>
      <c r="F1709"/>
      <c r="G1709"/>
      <c r="H1709"/>
      <c r="I1709"/>
      <c r="J1709"/>
      <c r="K1709"/>
      <c r="L1709"/>
      <c r="M1709"/>
      <c r="N1709"/>
      <c r="O1709"/>
    </row>
    <row r="1710" spans="1:15">
      <c r="A1710"/>
      <c r="B1710"/>
      <c r="C1710"/>
      <c r="D1710"/>
      <c r="E1710"/>
      <c r="F1710"/>
      <c r="G1710"/>
      <c r="H1710"/>
      <c r="I1710"/>
      <c r="J1710"/>
      <c r="K1710"/>
      <c r="L1710"/>
      <c r="M1710"/>
      <c r="N1710"/>
      <c r="O1710"/>
    </row>
    <row r="1711" spans="1:15">
      <c r="A1711"/>
      <c r="B1711"/>
      <c r="C1711"/>
      <c r="D1711"/>
      <c r="E1711"/>
      <c r="F1711"/>
      <c r="G1711"/>
      <c r="H1711"/>
      <c r="I1711"/>
      <c r="J1711"/>
      <c r="K1711"/>
      <c r="L1711"/>
      <c r="M1711"/>
      <c r="N1711"/>
      <c r="O1711"/>
    </row>
    <row r="1712" spans="1:15">
      <c r="A1712"/>
      <c r="B1712"/>
      <c r="C1712"/>
      <c r="D1712"/>
      <c r="E1712"/>
      <c r="F1712"/>
      <c r="G1712"/>
      <c r="H1712"/>
      <c r="I1712"/>
      <c r="J1712"/>
      <c r="K1712"/>
      <c r="L1712"/>
      <c r="M1712"/>
      <c r="N1712"/>
      <c r="O1712"/>
    </row>
    <row r="1713" spans="1:15">
      <c r="A1713"/>
      <c r="B1713"/>
      <c r="C1713"/>
      <c r="D1713"/>
      <c r="E1713"/>
      <c r="F1713"/>
      <c r="G1713"/>
      <c r="H1713"/>
      <c r="I1713"/>
      <c r="J1713"/>
      <c r="K1713"/>
      <c r="L1713"/>
      <c r="M1713"/>
      <c r="N1713"/>
      <c r="O1713"/>
    </row>
    <row r="1714" spans="1:15">
      <c r="A1714"/>
      <c r="B1714"/>
      <c r="C1714"/>
      <c r="D1714"/>
      <c r="E1714"/>
      <c r="F1714"/>
      <c r="G1714"/>
      <c r="H1714"/>
      <c r="I1714"/>
      <c r="J1714"/>
      <c r="K1714"/>
      <c r="L1714"/>
      <c r="M1714"/>
      <c r="N1714"/>
      <c r="O1714"/>
    </row>
    <row r="1715" spans="1:15">
      <c r="A1715"/>
      <c r="B1715"/>
      <c r="C1715"/>
      <c r="D1715"/>
      <c r="E1715"/>
      <c r="F1715"/>
      <c r="G1715"/>
      <c r="H1715"/>
      <c r="I1715"/>
      <c r="J1715"/>
      <c r="K1715"/>
      <c r="L1715"/>
      <c r="M1715"/>
      <c r="N1715"/>
      <c r="O1715"/>
    </row>
    <row r="1716" spans="1:15">
      <c r="A1716"/>
      <c r="B1716"/>
      <c r="C1716"/>
      <c r="D1716"/>
      <c r="E1716"/>
      <c r="F1716"/>
      <c r="G1716"/>
      <c r="H1716"/>
      <c r="I1716"/>
      <c r="J1716"/>
      <c r="K1716"/>
      <c r="L1716"/>
      <c r="M1716"/>
      <c r="N1716"/>
      <c r="O1716"/>
    </row>
    <row r="1717" spans="1:15">
      <c r="A1717"/>
      <c r="B1717"/>
      <c r="C1717"/>
      <c r="D1717"/>
      <c r="E1717"/>
      <c r="F1717"/>
      <c r="G1717"/>
      <c r="H1717"/>
      <c r="I1717"/>
      <c r="J1717"/>
      <c r="K1717"/>
      <c r="L1717"/>
      <c r="M1717"/>
      <c r="N1717"/>
      <c r="O1717"/>
    </row>
    <row r="1718" spans="1:15">
      <c r="A1718"/>
      <c r="B1718"/>
      <c r="C1718"/>
      <c r="D1718"/>
      <c r="E1718"/>
      <c r="F1718"/>
      <c r="G1718"/>
      <c r="H1718"/>
      <c r="I1718"/>
      <c r="J1718"/>
      <c r="K1718"/>
      <c r="L1718"/>
      <c r="M1718"/>
      <c r="N1718"/>
      <c r="O1718"/>
    </row>
    <row r="1719" spans="1:15">
      <c r="A1719"/>
      <c r="B1719"/>
      <c r="C1719"/>
      <c r="D1719"/>
      <c r="E1719"/>
      <c r="F1719"/>
      <c r="G1719"/>
      <c r="H1719"/>
      <c r="I1719"/>
      <c r="J1719"/>
      <c r="K1719"/>
      <c r="L1719"/>
      <c r="M1719"/>
      <c r="N1719"/>
      <c r="O1719"/>
    </row>
    <row r="1720" spans="1:15">
      <c r="A1720"/>
      <c r="B1720"/>
      <c r="C1720"/>
      <c r="D1720"/>
      <c r="E1720"/>
      <c r="F1720"/>
      <c r="G1720"/>
      <c r="H1720"/>
      <c r="I1720"/>
      <c r="J1720"/>
      <c r="K1720"/>
      <c r="L1720"/>
      <c r="M1720"/>
      <c r="N1720"/>
      <c r="O1720"/>
    </row>
    <row r="1721" spans="1:15">
      <c r="A1721"/>
      <c r="B1721"/>
      <c r="C1721"/>
      <c r="D1721"/>
      <c r="E1721"/>
      <c r="F1721"/>
      <c r="G1721"/>
      <c r="H1721"/>
      <c r="I1721"/>
      <c r="J1721"/>
      <c r="K1721"/>
      <c r="L1721"/>
      <c r="M1721"/>
      <c r="N1721"/>
      <c r="O1721"/>
    </row>
    <row r="1722" spans="1:15">
      <c r="A1722"/>
      <c r="B1722"/>
      <c r="C1722"/>
      <c r="D1722"/>
      <c r="E1722"/>
      <c r="F1722"/>
      <c r="G1722"/>
      <c r="H1722"/>
      <c r="I1722"/>
      <c r="J1722"/>
      <c r="K1722"/>
      <c r="L1722"/>
      <c r="M1722"/>
      <c r="N1722"/>
      <c r="O1722"/>
    </row>
    <row r="1723" spans="1:15">
      <c r="A1723"/>
      <c r="B1723"/>
      <c r="C1723"/>
      <c r="D1723"/>
      <c r="E1723"/>
      <c r="F1723"/>
      <c r="G1723"/>
      <c r="H1723"/>
      <c r="I1723"/>
      <c r="J1723"/>
      <c r="K1723"/>
      <c r="L1723"/>
      <c r="M1723"/>
      <c r="N1723"/>
      <c r="O1723"/>
    </row>
    <row r="1724" spans="1:15">
      <c r="A1724"/>
      <c r="B1724"/>
      <c r="C1724"/>
      <c r="D1724"/>
      <c r="E1724"/>
      <c r="F1724"/>
      <c r="G1724"/>
      <c r="H1724"/>
      <c r="I1724"/>
      <c r="J1724"/>
      <c r="K1724"/>
      <c r="L1724"/>
      <c r="M1724"/>
      <c r="N1724"/>
      <c r="O1724"/>
    </row>
    <row r="1725" spans="1:15">
      <c r="A1725"/>
      <c r="B1725"/>
      <c r="C1725"/>
      <c r="D1725"/>
      <c r="E1725"/>
      <c r="F1725"/>
      <c r="G1725"/>
      <c r="H1725"/>
      <c r="I1725"/>
      <c r="J1725"/>
      <c r="K1725"/>
      <c r="L1725"/>
      <c r="M1725"/>
      <c r="N1725"/>
      <c r="O1725"/>
    </row>
    <row r="1726" spans="1:15">
      <c r="A1726"/>
      <c r="B1726"/>
      <c r="C1726"/>
      <c r="D1726"/>
      <c r="E1726"/>
      <c r="F1726"/>
      <c r="G1726"/>
      <c r="H1726"/>
      <c r="I1726"/>
      <c r="J1726"/>
      <c r="K1726"/>
      <c r="L1726"/>
      <c r="M1726"/>
      <c r="N1726"/>
      <c r="O1726"/>
    </row>
    <row r="1727" spans="1:15">
      <c r="A1727"/>
      <c r="B1727"/>
      <c r="C1727"/>
      <c r="D1727"/>
      <c r="E1727"/>
      <c r="F1727"/>
      <c r="G1727"/>
      <c r="H1727"/>
      <c r="I1727"/>
      <c r="J1727"/>
      <c r="K1727"/>
      <c r="L1727"/>
      <c r="M1727"/>
      <c r="N1727"/>
      <c r="O1727"/>
    </row>
    <row r="1728" spans="1:15">
      <c r="A1728"/>
      <c r="B1728"/>
      <c r="C1728"/>
      <c r="D1728"/>
      <c r="E1728"/>
      <c r="F1728"/>
      <c r="G1728"/>
      <c r="H1728"/>
      <c r="I1728"/>
      <c r="J1728"/>
      <c r="K1728"/>
      <c r="L1728"/>
      <c r="M1728"/>
      <c r="N1728"/>
      <c r="O1728"/>
    </row>
    <row r="1729" spans="1:15">
      <c r="A1729"/>
      <c r="B1729"/>
      <c r="C1729"/>
      <c r="D1729"/>
      <c r="E1729"/>
      <c r="F1729"/>
      <c r="G1729"/>
      <c r="H1729"/>
      <c r="I1729"/>
      <c r="J1729"/>
      <c r="K1729"/>
      <c r="L1729"/>
      <c r="M1729"/>
      <c r="N1729"/>
      <c r="O1729"/>
    </row>
    <row r="1730" spans="1:15">
      <c r="A1730"/>
      <c r="B1730"/>
      <c r="C1730"/>
      <c r="D1730"/>
      <c r="E1730"/>
      <c r="F1730"/>
      <c r="G1730"/>
      <c r="H1730"/>
      <c r="I1730"/>
      <c r="J1730"/>
      <c r="K1730"/>
      <c r="L1730"/>
      <c r="M1730"/>
      <c r="N1730"/>
      <c r="O1730"/>
    </row>
    <row r="1731" spans="1:15">
      <c r="A1731"/>
      <c r="B1731"/>
      <c r="C1731"/>
      <c r="D1731"/>
      <c r="E1731"/>
      <c r="F1731"/>
      <c r="G1731"/>
      <c r="H1731"/>
      <c r="I1731"/>
      <c r="J1731"/>
      <c r="K1731"/>
      <c r="L1731"/>
      <c r="M1731"/>
      <c r="N1731"/>
      <c r="O1731"/>
    </row>
    <row r="1732" spans="1:15">
      <c r="A1732"/>
      <c r="B1732"/>
      <c r="C1732"/>
      <c r="D1732"/>
      <c r="E1732"/>
      <c r="F1732"/>
      <c r="G1732"/>
      <c r="H1732"/>
      <c r="I1732"/>
      <c r="J1732"/>
      <c r="K1732"/>
      <c r="L1732"/>
      <c r="M1732"/>
      <c r="N1732"/>
      <c r="O1732"/>
    </row>
    <row r="1733" spans="1:15">
      <c r="A1733"/>
      <c r="B1733"/>
      <c r="C1733"/>
      <c r="D1733"/>
      <c r="E1733"/>
      <c r="F1733"/>
      <c r="G1733"/>
      <c r="H1733"/>
      <c r="I1733"/>
      <c r="J1733"/>
      <c r="K1733"/>
      <c r="L1733"/>
      <c r="M1733"/>
      <c r="N1733"/>
      <c r="O1733"/>
    </row>
    <row r="1734" spans="1:15">
      <c r="A1734"/>
      <c r="B1734"/>
      <c r="C1734"/>
      <c r="D1734"/>
      <c r="E1734"/>
      <c r="F1734"/>
      <c r="G1734"/>
      <c r="H1734"/>
      <c r="I1734"/>
      <c r="J1734"/>
      <c r="K1734"/>
      <c r="L1734"/>
      <c r="M1734"/>
      <c r="N1734"/>
      <c r="O1734"/>
    </row>
    <row r="1735" spans="1:15">
      <c r="A1735"/>
      <c r="B1735"/>
      <c r="C1735"/>
      <c r="D1735"/>
      <c r="E1735"/>
      <c r="F1735"/>
      <c r="G1735"/>
      <c r="H1735"/>
      <c r="I1735"/>
      <c r="J1735"/>
      <c r="K1735"/>
      <c r="L1735"/>
      <c r="M1735"/>
      <c r="N1735"/>
      <c r="O1735"/>
    </row>
    <row r="1736" spans="1:15">
      <c r="A1736"/>
      <c r="B1736"/>
      <c r="C1736"/>
      <c r="D1736"/>
      <c r="E1736"/>
      <c r="F1736"/>
      <c r="G1736"/>
      <c r="H1736"/>
      <c r="I1736"/>
      <c r="J1736"/>
      <c r="K1736"/>
      <c r="L1736"/>
      <c r="M1736"/>
      <c r="N1736"/>
      <c r="O1736"/>
    </row>
    <row r="1737" spans="1:15">
      <c r="A1737"/>
      <c r="B1737"/>
      <c r="C1737"/>
      <c r="D1737"/>
      <c r="E1737"/>
      <c r="F1737"/>
      <c r="G1737"/>
      <c r="H1737"/>
      <c r="I1737"/>
      <c r="J1737"/>
      <c r="K1737"/>
      <c r="L1737"/>
      <c r="M1737"/>
      <c r="N1737"/>
      <c r="O1737"/>
    </row>
    <row r="1738" spans="1:15">
      <c r="A1738"/>
      <c r="B1738"/>
      <c r="C1738"/>
      <c r="D1738"/>
      <c r="E1738"/>
      <c r="F1738"/>
      <c r="G1738"/>
      <c r="H1738"/>
      <c r="I1738"/>
      <c r="J1738"/>
      <c r="K1738"/>
      <c r="L1738"/>
      <c r="M1738"/>
      <c r="N1738"/>
      <c r="O1738"/>
    </row>
    <row r="1739" spans="1:15">
      <c r="A1739"/>
      <c r="B1739"/>
      <c r="C1739"/>
      <c r="D1739"/>
      <c r="E1739"/>
      <c r="F1739"/>
      <c r="G1739"/>
      <c r="H1739"/>
      <c r="I1739"/>
      <c r="J1739"/>
      <c r="K1739"/>
      <c r="L1739"/>
      <c r="M1739"/>
      <c r="N1739"/>
      <c r="O1739"/>
    </row>
    <row r="1740" spans="1:15">
      <c r="A1740"/>
      <c r="B1740"/>
      <c r="C1740"/>
      <c r="D1740"/>
      <c r="E1740"/>
      <c r="F1740"/>
      <c r="G1740"/>
      <c r="H1740"/>
      <c r="I1740"/>
      <c r="J1740"/>
      <c r="K1740"/>
      <c r="L1740"/>
      <c r="M1740"/>
      <c r="N1740"/>
      <c r="O1740"/>
    </row>
    <row r="1741" spans="1:15">
      <c r="A1741"/>
      <c r="B1741"/>
      <c r="C1741"/>
      <c r="D1741"/>
      <c r="E1741"/>
      <c r="F1741"/>
      <c r="G1741"/>
      <c r="H1741"/>
      <c r="I1741"/>
      <c r="J1741"/>
      <c r="K1741"/>
      <c r="L1741"/>
      <c r="M1741"/>
      <c r="N1741"/>
      <c r="O1741"/>
    </row>
    <row r="1742" spans="1:15">
      <c r="A1742"/>
      <c r="B1742"/>
      <c r="C1742"/>
      <c r="D1742"/>
      <c r="E1742"/>
      <c r="F1742"/>
      <c r="G1742"/>
      <c r="H1742"/>
      <c r="I1742"/>
      <c r="J1742"/>
      <c r="K1742"/>
      <c r="L1742"/>
      <c r="M1742"/>
      <c r="N1742"/>
      <c r="O1742"/>
    </row>
    <row r="1743" spans="1:15">
      <c r="A1743"/>
      <c r="B1743"/>
      <c r="C1743"/>
      <c r="D1743"/>
      <c r="E1743"/>
      <c r="F1743"/>
      <c r="G1743"/>
      <c r="H1743"/>
      <c r="I1743"/>
      <c r="J1743"/>
      <c r="K1743"/>
      <c r="L1743"/>
      <c r="M1743"/>
      <c r="N1743"/>
      <c r="O1743"/>
    </row>
    <row r="1744" spans="1:15">
      <c r="A1744"/>
      <c r="B1744"/>
      <c r="C1744"/>
      <c r="D1744"/>
      <c r="E1744"/>
      <c r="F1744"/>
      <c r="G1744"/>
      <c r="H1744"/>
      <c r="I1744"/>
      <c r="J1744"/>
      <c r="K1744"/>
      <c r="L1744"/>
      <c r="M1744"/>
      <c r="N1744"/>
      <c r="O1744"/>
    </row>
    <row r="1745" spans="1:15">
      <c r="A1745"/>
      <c r="B1745"/>
      <c r="C1745"/>
      <c r="D1745"/>
      <c r="E1745"/>
      <c r="F1745"/>
      <c r="G1745"/>
      <c r="H1745"/>
      <c r="I1745"/>
      <c r="J1745"/>
      <c r="K1745"/>
      <c r="L1745"/>
      <c r="M1745"/>
      <c r="N1745"/>
      <c r="O1745"/>
    </row>
    <row r="1746" spans="1:15">
      <c r="A1746"/>
      <c r="B1746"/>
      <c r="C1746"/>
      <c r="D1746"/>
      <c r="E1746"/>
      <c r="F1746"/>
      <c r="G1746"/>
      <c r="H1746"/>
      <c r="I1746"/>
      <c r="J1746"/>
      <c r="K1746"/>
      <c r="L1746"/>
      <c r="M1746"/>
      <c r="N1746"/>
      <c r="O1746"/>
    </row>
    <row r="1747" spans="1:15">
      <c r="A1747"/>
      <c r="B1747"/>
      <c r="C1747"/>
      <c r="D1747"/>
      <c r="E1747"/>
      <c r="F1747"/>
      <c r="G1747"/>
      <c r="H1747"/>
      <c r="I1747"/>
      <c r="J1747"/>
      <c r="K1747"/>
      <c r="L1747"/>
      <c r="M1747"/>
      <c r="N1747"/>
      <c r="O1747"/>
    </row>
    <row r="1748" spans="1:15">
      <c r="A1748"/>
      <c r="B1748"/>
      <c r="C1748"/>
      <c r="D1748"/>
      <c r="E1748"/>
      <c r="F1748"/>
      <c r="G1748"/>
      <c r="H1748"/>
      <c r="I1748"/>
      <c r="J1748"/>
      <c r="K1748"/>
      <c r="L1748"/>
      <c r="M1748"/>
      <c r="N1748"/>
      <c r="O1748"/>
    </row>
    <row r="1749" spans="1:15">
      <c r="A1749"/>
      <c r="B1749"/>
      <c r="C1749"/>
      <c r="D1749"/>
      <c r="E1749"/>
      <c r="F1749"/>
      <c r="G1749"/>
      <c r="H1749"/>
      <c r="I1749"/>
      <c r="J1749"/>
      <c r="K1749"/>
      <c r="L1749"/>
      <c r="M1749"/>
      <c r="N1749"/>
      <c r="O1749"/>
    </row>
    <row r="1750" spans="1:15">
      <c r="A1750"/>
      <c r="B1750"/>
      <c r="C1750"/>
      <c r="D1750"/>
      <c r="E1750"/>
      <c r="F1750"/>
      <c r="G1750"/>
      <c r="H1750"/>
      <c r="I1750"/>
      <c r="J1750"/>
      <c r="K1750"/>
      <c r="L1750"/>
      <c r="M1750"/>
      <c r="N1750"/>
      <c r="O1750"/>
    </row>
    <row r="1751" spans="1:15">
      <c r="A1751"/>
      <c r="B1751"/>
      <c r="C1751"/>
      <c r="D1751"/>
      <c r="E1751"/>
      <c r="F1751"/>
      <c r="G1751"/>
      <c r="H1751"/>
      <c r="I1751"/>
      <c r="J1751"/>
      <c r="K1751"/>
      <c r="L1751"/>
      <c r="M1751"/>
      <c r="N1751"/>
      <c r="O1751"/>
    </row>
    <row r="1752" spans="1:15">
      <c r="A1752"/>
      <c r="B1752"/>
      <c r="C1752"/>
      <c r="D1752"/>
      <c r="E1752"/>
      <c r="F1752"/>
      <c r="G1752"/>
      <c r="H1752"/>
      <c r="I1752"/>
      <c r="J1752"/>
      <c r="K1752"/>
      <c r="L1752"/>
      <c r="M1752"/>
      <c r="N1752"/>
      <c r="O1752"/>
    </row>
    <row r="1753" spans="1:15">
      <c r="A1753"/>
      <c r="B1753"/>
      <c r="C1753"/>
      <c r="D1753"/>
      <c r="E1753"/>
      <c r="F1753"/>
      <c r="G1753"/>
      <c r="H1753"/>
      <c r="I1753"/>
      <c r="J1753"/>
      <c r="K1753"/>
      <c r="L1753"/>
      <c r="M1753"/>
      <c r="N1753"/>
      <c r="O1753"/>
    </row>
    <row r="1754" spans="1:15">
      <c r="A1754"/>
      <c r="B1754"/>
      <c r="C1754"/>
      <c r="D1754"/>
      <c r="E1754"/>
      <c r="F1754"/>
      <c r="G1754"/>
      <c r="H1754"/>
      <c r="I1754"/>
      <c r="J1754"/>
      <c r="K1754"/>
      <c r="L1754"/>
      <c r="M1754"/>
      <c r="N1754"/>
      <c r="O1754"/>
    </row>
    <row r="1755" spans="1:15">
      <c r="A1755"/>
      <c r="B1755"/>
      <c r="C1755"/>
      <c r="D1755"/>
      <c r="E1755"/>
      <c r="F1755"/>
      <c r="G1755"/>
      <c r="H1755"/>
      <c r="I1755"/>
      <c r="J1755"/>
      <c r="K1755"/>
      <c r="L1755"/>
      <c r="M1755"/>
      <c r="N1755"/>
      <c r="O1755"/>
    </row>
    <row r="1756" spans="1:15">
      <c r="A1756"/>
      <c r="B1756"/>
      <c r="C1756"/>
      <c r="D1756"/>
      <c r="E1756"/>
      <c r="F1756"/>
      <c r="G1756"/>
      <c r="H1756"/>
      <c r="I1756"/>
      <c r="J1756"/>
      <c r="K1756"/>
      <c r="L1756"/>
      <c r="M1756"/>
      <c r="N1756"/>
      <c r="O1756"/>
    </row>
    <row r="1757" spans="1:15">
      <c r="A1757"/>
      <c r="B1757"/>
      <c r="C1757"/>
      <c r="D1757"/>
      <c r="E1757"/>
      <c r="F1757"/>
      <c r="G1757"/>
      <c r="H1757"/>
      <c r="I1757"/>
      <c r="J1757"/>
      <c r="K1757"/>
      <c r="L1757"/>
      <c r="M1757"/>
      <c r="N1757"/>
      <c r="O1757"/>
    </row>
    <row r="1758" spans="1:15">
      <c r="A1758"/>
      <c r="B1758"/>
      <c r="C1758"/>
      <c r="D1758"/>
      <c r="E1758"/>
      <c r="F1758"/>
      <c r="G1758"/>
      <c r="H1758"/>
      <c r="I1758"/>
      <c r="J1758"/>
      <c r="K1758"/>
      <c r="L1758"/>
      <c r="M1758"/>
      <c r="N1758"/>
      <c r="O1758"/>
    </row>
    <row r="1759" spans="1:15">
      <c r="A1759"/>
      <c r="B1759"/>
      <c r="C1759"/>
      <c r="D1759"/>
      <c r="E1759"/>
      <c r="F1759"/>
      <c r="G1759"/>
      <c r="H1759"/>
      <c r="I1759"/>
      <c r="J1759"/>
      <c r="K1759"/>
      <c r="L1759"/>
      <c r="M1759"/>
      <c r="N1759"/>
      <c r="O1759"/>
    </row>
    <row r="1760" spans="1:15">
      <c r="A1760"/>
      <c r="B1760"/>
      <c r="C1760"/>
      <c r="D1760"/>
      <c r="E1760"/>
      <c r="F1760"/>
      <c r="G1760"/>
      <c r="H1760"/>
      <c r="I1760"/>
      <c r="J1760"/>
      <c r="K1760"/>
      <c r="L1760"/>
      <c r="M1760"/>
      <c r="N1760"/>
      <c r="O1760"/>
    </row>
    <row r="1761" spans="1:15">
      <c r="A1761"/>
      <c r="B1761"/>
      <c r="C1761"/>
      <c r="D1761"/>
      <c r="E1761"/>
      <c r="F1761"/>
      <c r="G1761"/>
      <c r="H1761"/>
      <c r="I1761"/>
      <c r="J1761"/>
      <c r="K1761"/>
      <c r="L1761"/>
      <c r="M1761"/>
      <c r="N1761"/>
      <c r="O1761"/>
    </row>
    <row r="1762" spans="1:15">
      <c r="A1762"/>
      <c r="B1762"/>
      <c r="C1762"/>
      <c r="D1762"/>
      <c r="E1762"/>
      <c r="F1762"/>
      <c r="G1762"/>
      <c r="H1762"/>
      <c r="I1762"/>
      <c r="J1762"/>
      <c r="K1762"/>
      <c r="L1762"/>
      <c r="M1762"/>
      <c r="N1762"/>
      <c r="O1762"/>
    </row>
    <row r="1763" spans="1:15">
      <c r="A1763"/>
      <c r="B1763"/>
      <c r="C1763"/>
      <c r="D1763"/>
      <c r="E1763"/>
      <c r="F1763"/>
      <c r="G1763"/>
      <c r="H1763"/>
      <c r="I1763"/>
      <c r="J1763"/>
      <c r="K1763"/>
      <c r="L1763"/>
      <c r="M1763"/>
      <c r="N1763"/>
      <c r="O1763"/>
    </row>
    <row r="1764" spans="1:15">
      <c r="A1764"/>
      <c r="B1764"/>
      <c r="C1764"/>
      <c r="D1764"/>
      <c r="E1764"/>
      <c r="F1764"/>
      <c r="G1764"/>
      <c r="H1764"/>
      <c r="I1764"/>
      <c r="J1764"/>
      <c r="K1764"/>
      <c r="L1764"/>
      <c r="M1764"/>
      <c r="N1764"/>
      <c r="O1764"/>
    </row>
    <row r="1765" spans="1:15">
      <c r="A1765"/>
      <c r="B1765"/>
      <c r="C1765"/>
      <c r="D1765"/>
      <c r="E1765"/>
      <c r="F1765"/>
      <c r="G1765"/>
      <c r="H1765"/>
      <c r="I1765"/>
      <c r="J1765"/>
      <c r="K1765"/>
      <c r="L1765"/>
      <c r="M1765"/>
      <c r="N1765"/>
      <c r="O1765"/>
    </row>
    <row r="1766" spans="1:15">
      <c r="A1766"/>
      <c r="B1766"/>
      <c r="C1766"/>
      <c r="D1766"/>
      <c r="E1766"/>
      <c r="F1766"/>
      <c r="G1766"/>
      <c r="H1766"/>
      <c r="I1766"/>
      <c r="J1766"/>
      <c r="K1766"/>
      <c r="L1766"/>
      <c r="M1766"/>
      <c r="N1766"/>
      <c r="O1766"/>
    </row>
    <row r="1767" spans="1:15">
      <c r="A1767"/>
      <c r="B1767"/>
      <c r="C1767"/>
      <c r="D1767"/>
      <c r="E1767"/>
      <c r="F1767"/>
      <c r="G1767"/>
      <c r="H1767"/>
      <c r="I1767"/>
      <c r="J1767"/>
      <c r="K1767"/>
      <c r="L1767"/>
      <c r="M1767"/>
      <c r="N1767"/>
      <c r="O1767"/>
    </row>
    <row r="1768" spans="1:15">
      <c r="A1768"/>
      <c r="B1768"/>
      <c r="C1768"/>
      <c r="D1768"/>
      <c r="E1768"/>
      <c r="F1768"/>
      <c r="G1768"/>
      <c r="H1768"/>
      <c r="I1768"/>
      <c r="J1768"/>
      <c r="K1768"/>
      <c r="L1768"/>
      <c r="M1768"/>
      <c r="N1768"/>
      <c r="O1768"/>
    </row>
    <row r="1769" spans="1:15">
      <c r="A1769"/>
      <c r="B1769"/>
      <c r="C1769"/>
      <c r="D1769"/>
      <c r="E1769"/>
      <c r="F1769"/>
      <c r="G1769"/>
      <c r="H1769"/>
      <c r="I1769"/>
      <c r="J1769"/>
      <c r="K1769"/>
      <c r="L1769"/>
      <c r="M1769"/>
      <c r="N1769"/>
      <c r="O1769"/>
    </row>
    <row r="1770" spans="1:15">
      <c r="A1770"/>
      <c r="B1770"/>
      <c r="C1770"/>
      <c r="D1770"/>
      <c r="E1770"/>
      <c r="F1770"/>
      <c r="G1770"/>
      <c r="H1770"/>
      <c r="I1770"/>
      <c r="J1770"/>
      <c r="K1770"/>
      <c r="L1770"/>
      <c r="M1770"/>
      <c r="N1770"/>
      <c r="O1770"/>
    </row>
    <row r="1771" spans="1:15">
      <c r="A1771"/>
      <c r="B1771"/>
      <c r="C1771"/>
      <c r="D1771"/>
      <c r="E1771"/>
      <c r="F1771"/>
      <c r="G1771"/>
      <c r="H1771"/>
      <c r="I1771"/>
      <c r="J1771"/>
      <c r="K1771"/>
      <c r="L1771"/>
      <c r="M1771"/>
      <c r="N1771"/>
      <c r="O1771"/>
    </row>
    <row r="1772" spans="1:15">
      <c r="A1772"/>
      <c r="B1772"/>
      <c r="C1772"/>
      <c r="D1772"/>
      <c r="E1772"/>
      <c r="F1772"/>
      <c r="G1772"/>
      <c r="H1772"/>
      <c r="I1772"/>
      <c r="J1772"/>
      <c r="K1772"/>
      <c r="L1772"/>
      <c r="M1772"/>
      <c r="N1772"/>
      <c r="O1772"/>
    </row>
    <row r="1773" spans="1:15">
      <c r="A1773"/>
      <c r="B1773"/>
      <c r="C1773"/>
      <c r="D1773"/>
      <c r="E1773"/>
      <c r="F1773"/>
      <c r="G1773"/>
      <c r="H1773"/>
      <c r="I1773"/>
      <c r="J1773"/>
      <c r="K1773"/>
      <c r="L1773"/>
      <c r="M1773"/>
      <c r="N1773"/>
      <c r="O1773"/>
    </row>
    <row r="1774" spans="1:15">
      <c r="A1774"/>
      <c r="B1774"/>
      <c r="C1774"/>
      <c r="D1774"/>
      <c r="E1774"/>
      <c r="F1774"/>
      <c r="G1774"/>
      <c r="H1774"/>
      <c r="I1774"/>
      <c r="J1774"/>
      <c r="K1774"/>
      <c r="L1774"/>
      <c r="M1774"/>
      <c r="N1774"/>
      <c r="O1774"/>
    </row>
    <row r="1775" spans="1:15">
      <c r="A1775"/>
      <c r="B1775"/>
      <c r="C1775"/>
      <c r="D1775"/>
      <c r="E1775"/>
      <c r="F1775"/>
      <c r="G1775"/>
      <c r="H1775"/>
      <c r="I1775"/>
      <c r="J1775"/>
      <c r="K1775"/>
      <c r="L1775"/>
      <c r="M1775"/>
      <c r="N1775"/>
      <c r="O1775"/>
    </row>
    <row r="1776" spans="1:15">
      <c r="A1776"/>
      <c r="B1776"/>
      <c r="C1776"/>
      <c r="D1776"/>
      <c r="E1776"/>
      <c r="F1776"/>
      <c r="G1776"/>
      <c r="H1776"/>
      <c r="I1776"/>
      <c r="J1776"/>
      <c r="K1776"/>
      <c r="L1776"/>
      <c r="M1776"/>
      <c r="N1776"/>
      <c r="O1776"/>
    </row>
    <row r="1777" spans="1:15">
      <c r="A1777"/>
      <c r="B1777"/>
      <c r="C1777"/>
      <c r="D1777"/>
      <c r="E1777"/>
      <c r="F1777"/>
      <c r="G1777"/>
      <c r="H1777"/>
      <c r="I1777"/>
      <c r="J1777"/>
      <c r="K1777"/>
      <c r="L1777"/>
      <c r="M1777"/>
      <c r="N1777"/>
      <c r="O1777"/>
    </row>
    <row r="1778" spans="1:15">
      <c r="A1778"/>
      <c r="B1778"/>
      <c r="C1778"/>
      <c r="D1778"/>
      <c r="E1778"/>
      <c r="F1778"/>
      <c r="G1778"/>
      <c r="H1778"/>
      <c r="I1778"/>
      <c r="J1778"/>
      <c r="K1778"/>
      <c r="L1778"/>
      <c r="M1778"/>
      <c r="N1778"/>
      <c r="O1778"/>
    </row>
    <row r="1779" spans="1:15">
      <c r="A1779"/>
      <c r="B1779"/>
      <c r="C1779"/>
      <c r="D1779"/>
      <c r="E1779"/>
      <c r="F1779"/>
      <c r="G1779"/>
      <c r="H1779"/>
      <c r="I1779"/>
      <c r="J1779"/>
      <c r="K1779"/>
      <c r="L1779"/>
      <c r="M1779"/>
      <c r="N1779"/>
      <c r="O1779"/>
    </row>
    <row r="1780" spans="1:15">
      <c r="A1780"/>
      <c r="B1780"/>
      <c r="C1780"/>
      <c r="D1780"/>
      <c r="E1780"/>
      <c r="F1780"/>
      <c r="G1780"/>
      <c r="H1780"/>
      <c r="I1780"/>
      <c r="J1780"/>
      <c r="K1780"/>
      <c r="L1780"/>
      <c r="M1780"/>
      <c r="N1780"/>
      <c r="O1780"/>
    </row>
    <row r="1781" spans="1:15">
      <c r="A1781"/>
      <c r="B1781"/>
      <c r="C1781"/>
      <c r="D1781"/>
      <c r="E1781"/>
      <c r="F1781"/>
      <c r="G1781"/>
      <c r="H1781"/>
      <c r="I1781"/>
      <c r="J1781"/>
      <c r="K1781"/>
      <c r="L1781"/>
      <c r="M1781"/>
      <c r="N1781"/>
      <c r="O1781"/>
    </row>
    <row r="1782" spans="1:15">
      <c r="A1782"/>
      <c r="B1782"/>
      <c r="C1782"/>
      <c r="D1782"/>
      <c r="E1782"/>
      <c r="F1782"/>
      <c r="G1782"/>
      <c r="H1782"/>
      <c r="I1782"/>
      <c r="J1782"/>
      <c r="K1782"/>
      <c r="L1782"/>
      <c r="M1782"/>
      <c r="N1782"/>
      <c r="O1782"/>
    </row>
    <row r="1783" spans="1:15">
      <c r="A1783"/>
      <c r="B1783"/>
      <c r="C1783"/>
      <c r="D1783"/>
      <c r="E1783"/>
      <c r="F1783"/>
      <c r="G1783"/>
      <c r="H1783"/>
      <c r="I1783"/>
      <c r="J1783"/>
      <c r="K1783"/>
      <c r="L1783"/>
      <c r="M1783"/>
      <c r="N1783"/>
      <c r="O1783"/>
    </row>
    <row r="1784" spans="1:15">
      <c r="A1784"/>
      <c r="B1784"/>
      <c r="C1784"/>
      <c r="D1784"/>
      <c r="E1784"/>
      <c r="F1784"/>
      <c r="G1784"/>
      <c r="H1784"/>
      <c r="I1784"/>
      <c r="J1784"/>
      <c r="K1784"/>
      <c r="L1784"/>
      <c r="M1784"/>
      <c r="N1784"/>
      <c r="O1784"/>
    </row>
    <row r="1785" spans="1:15">
      <c r="A1785"/>
      <c r="B1785"/>
      <c r="C1785"/>
      <c r="D1785"/>
      <c r="E1785"/>
      <c r="F1785"/>
      <c r="G1785"/>
      <c r="H1785"/>
      <c r="I1785"/>
      <c r="J1785"/>
      <c r="K1785"/>
      <c r="L1785"/>
      <c r="M1785"/>
      <c r="N1785"/>
      <c r="O1785"/>
    </row>
    <row r="1786" spans="1:15">
      <c r="A1786"/>
      <c r="B1786"/>
      <c r="C1786"/>
      <c r="D1786"/>
      <c r="E1786"/>
      <c r="F1786"/>
      <c r="G1786"/>
      <c r="H1786"/>
      <c r="I1786"/>
      <c r="J1786"/>
      <c r="K1786"/>
      <c r="L1786"/>
      <c r="M1786"/>
      <c r="N1786"/>
      <c r="O1786"/>
    </row>
    <row r="1787" spans="1:15">
      <c r="A1787"/>
      <c r="B1787"/>
      <c r="C1787"/>
      <c r="D1787"/>
      <c r="E1787"/>
      <c r="F1787"/>
      <c r="G1787"/>
      <c r="H1787"/>
      <c r="I1787"/>
      <c r="J1787"/>
      <c r="K1787"/>
      <c r="L1787"/>
      <c r="M1787"/>
      <c r="N1787"/>
      <c r="O1787"/>
    </row>
    <row r="1788" spans="1:15">
      <c r="A1788"/>
      <c r="B1788"/>
      <c r="C1788"/>
      <c r="D1788"/>
      <c r="E1788"/>
      <c r="F1788"/>
      <c r="G1788"/>
      <c r="H1788"/>
      <c r="I1788"/>
      <c r="J1788"/>
      <c r="K1788"/>
      <c r="L1788"/>
      <c r="M1788"/>
      <c r="N1788"/>
      <c r="O1788"/>
    </row>
    <row r="1789" spans="1:15">
      <c r="A1789"/>
      <c r="B1789"/>
      <c r="C1789"/>
      <c r="D1789"/>
      <c r="E1789"/>
      <c r="F1789"/>
      <c r="G1789"/>
      <c r="H1789"/>
      <c r="I1789"/>
      <c r="J1789"/>
      <c r="K1789"/>
      <c r="L1789"/>
      <c r="M1789"/>
      <c r="N1789"/>
      <c r="O1789"/>
    </row>
    <row r="1790" spans="1:15">
      <c r="A1790"/>
      <c r="B1790"/>
      <c r="C1790"/>
      <c r="D1790"/>
      <c r="E1790"/>
      <c r="F1790"/>
      <c r="G1790"/>
      <c r="H1790"/>
      <c r="I1790"/>
      <c r="J1790"/>
      <c r="K1790"/>
      <c r="L1790"/>
      <c r="M1790"/>
      <c r="N1790"/>
      <c r="O1790"/>
    </row>
    <row r="1791" spans="1:15">
      <c r="A1791"/>
      <c r="B1791"/>
      <c r="C1791"/>
      <c r="D1791"/>
      <c r="E1791"/>
      <c r="F1791"/>
      <c r="G1791"/>
      <c r="H1791"/>
      <c r="I1791"/>
      <c r="J1791"/>
      <c r="K1791"/>
      <c r="L1791"/>
      <c r="M1791"/>
      <c r="N1791"/>
      <c r="O1791"/>
    </row>
    <row r="1792" spans="1:15">
      <c r="A1792"/>
      <c r="B1792"/>
      <c r="C1792"/>
      <c r="D1792"/>
      <c r="E1792"/>
      <c r="F1792"/>
      <c r="G1792"/>
      <c r="H1792"/>
      <c r="I1792"/>
      <c r="J1792"/>
      <c r="K1792"/>
      <c r="L1792"/>
      <c r="M1792"/>
      <c r="N1792"/>
      <c r="O1792"/>
    </row>
    <row r="1793" spans="1:15">
      <c r="A1793"/>
      <c r="B1793"/>
      <c r="C1793"/>
      <c r="D1793"/>
      <c r="E1793"/>
      <c r="F1793"/>
      <c r="G1793"/>
      <c r="H1793"/>
      <c r="I1793"/>
      <c r="J1793"/>
      <c r="K1793"/>
      <c r="L1793"/>
      <c r="M1793"/>
      <c r="N1793"/>
      <c r="O1793"/>
    </row>
    <row r="1794" spans="1:15">
      <c r="A1794"/>
      <c r="B1794"/>
      <c r="C1794"/>
      <c r="D1794"/>
      <c r="E1794"/>
      <c r="F1794"/>
      <c r="G1794"/>
      <c r="H1794"/>
      <c r="I1794"/>
      <c r="J1794"/>
      <c r="K1794"/>
      <c r="L1794"/>
      <c r="M1794"/>
      <c r="N1794"/>
      <c r="O1794"/>
    </row>
    <row r="1795" spans="1:15">
      <c r="A1795"/>
      <c r="B1795"/>
      <c r="C1795"/>
      <c r="D1795"/>
      <c r="E1795"/>
      <c r="F1795"/>
      <c r="G1795"/>
      <c r="H1795"/>
      <c r="I1795"/>
      <c r="J1795"/>
      <c r="K1795"/>
      <c r="L1795"/>
      <c r="M1795"/>
      <c r="N1795"/>
      <c r="O1795"/>
    </row>
    <row r="1796" spans="1:15">
      <c r="A1796"/>
      <c r="B1796"/>
      <c r="C1796"/>
      <c r="D1796"/>
      <c r="E1796"/>
      <c r="F1796"/>
      <c r="G1796"/>
      <c r="H1796"/>
      <c r="I1796"/>
      <c r="J1796"/>
      <c r="K1796"/>
      <c r="L1796"/>
      <c r="M1796"/>
      <c r="N1796"/>
      <c r="O1796"/>
    </row>
    <row r="1797" spans="1:15">
      <c r="A1797"/>
      <c r="B1797"/>
      <c r="C1797"/>
      <c r="D1797"/>
      <c r="E1797"/>
      <c r="F1797"/>
      <c r="G1797"/>
      <c r="H1797"/>
      <c r="I1797"/>
      <c r="J1797"/>
      <c r="K1797"/>
      <c r="L1797"/>
      <c r="M1797"/>
      <c r="N1797"/>
      <c r="O1797"/>
    </row>
    <row r="1798" spans="1:15">
      <c r="A1798"/>
      <c r="B1798"/>
      <c r="C1798"/>
      <c r="D1798"/>
      <c r="E1798"/>
      <c r="F1798"/>
      <c r="G1798"/>
      <c r="H1798"/>
      <c r="I1798"/>
      <c r="J1798"/>
      <c r="K1798"/>
      <c r="L1798"/>
      <c r="M1798"/>
      <c r="N1798"/>
      <c r="O1798"/>
    </row>
    <row r="1799" spans="1:15">
      <c r="A1799"/>
      <c r="B1799"/>
      <c r="C1799"/>
      <c r="D1799"/>
      <c r="E1799"/>
      <c r="F1799"/>
      <c r="G1799"/>
      <c r="H1799"/>
      <c r="I1799"/>
      <c r="J1799"/>
      <c r="K1799"/>
      <c r="L1799"/>
      <c r="M1799"/>
      <c r="N1799"/>
      <c r="O1799"/>
    </row>
    <row r="1800" spans="1:15">
      <c r="A1800"/>
      <c r="B1800"/>
      <c r="C1800"/>
      <c r="D1800"/>
      <c r="E1800"/>
      <c r="F1800"/>
      <c r="G1800"/>
      <c r="H1800"/>
      <c r="I1800"/>
      <c r="J1800"/>
      <c r="K1800"/>
      <c r="L1800"/>
      <c r="M1800"/>
      <c r="N1800"/>
      <c r="O1800"/>
    </row>
    <row r="1801" spans="1:15">
      <c r="A1801"/>
      <c r="B1801"/>
      <c r="C1801"/>
      <c r="D1801"/>
      <c r="E1801"/>
      <c r="F1801"/>
      <c r="G1801"/>
      <c r="H1801"/>
      <c r="I1801"/>
      <c r="J1801"/>
      <c r="K1801"/>
      <c r="L1801"/>
      <c r="M1801"/>
      <c r="N1801"/>
      <c r="O1801"/>
    </row>
    <row r="1802" spans="1:15">
      <c r="A1802"/>
      <c r="B1802"/>
      <c r="C1802"/>
      <c r="D1802"/>
      <c r="E1802"/>
      <c r="F1802"/>
      <c r="G1802"/>
      <c r="H1802"/>
      <c r="I1802"/>
      <c r="J1802"/>
      <c r="K1802"/>
      <c r="L1802"/>
      <c r="M1802"/>
      <c r="N1802"/>
      <c r="O1802"/>
    </row>
    <row r="1803" spans="1:15">
      <c r="A1803"/>
      <c r="B1803"/>
      <c r="C1803"/>
      <c r="D1803"/>
      <c r="E1803"/>
      <c r="F1803"/>
      <c r="G1803"/>
      <c r="H1803"/>
      <c r="I1803"/>
      <c r="J1803"/>
      <c r="K1803"/>
      <c r="L1803"/>
      <c r="M1803"/>
      <c r="N1803"/>
      <c r="O1803"/>
    </row>
    <row r="1804" spans="1:15">
      <c r="A1804"/>
      <c r="B1804"/>
      <c r="C1804"/>
      <c r="D1804"/>
      <c r="E1804"/>
      <c r="F1804"/>
      <c r="G1804"/>
      <c r="H1804"/>
      <c r="I1804"/>
      <c r="J1804"/>
      <c r="K1804"/>
      <c r="L1804"/>
      <c r="M1804"/>
      <c r="N1804"/>
      <c r="O1804"/>
    </row>
    <row r="1805" spans="1:15">
      <c r="A1805"/>
      <c r="B1805"/>
      <c r="C1805"/>
      <c r="D1805"/>
      <c r="E1805"/>
      <c r="F1805"/>
      <c r="G1805"/>
      <c r="H1805"/>
      <c r="I1805"/>
      <c r="J1805"/>
      <c r="K1805"/>
      <c r="L1805"/>
      <c r="M1805"/>
      <c r="N1805"/>
      <c r="O1805"/>
    </row>
    <row r="1806" spans="1:15">
      <c r="A1806"/>
      <c r="B1806"/>
      <c r="C1806"/>
      <c r="D1806"/>
      <c r="E1806"/>
      <c r="F1806"/>
      <c r="G1806"/>
      <c r="H1806"/>
      <c r="I1806"/>
      <c r="J1806"/>
      <c r="K1806"/>
      <c r="L1806"/>
      <c r="M1806"/>
      <c r="N1806"/>
      <c r="O1806"/>
    </row>
    <row r="1807" spans="1:15">
      <c r="A1807"/>
      <c r="B1807"/>
      <c r="C1807"/>
      <c r="D1807"/>
      <c r="E1807"/>
      <c r="F1807"/>
      <c r="G1807"/>
      <c r="H1807"/>
      <c r="I1807"/>
      <c r="J1807"/>
      <c r="K1807"/>
      <c r="L1807"/>
      <c r="M1807"/>
      <c r="N1807"/>
      <c r="O1807"/>
    </row>
    <row r="1808" spans="1:15">
      <c r="A1808"/>
      <c r="B1808"/>
      <c r="C1808"/>
      <c r="D1808"/>
      <c r="E1808"/>
      <c r="F1808"/>
      <c r="G1808"/>
      <c r="H1808"/>
      <c r="I1808"/>
      <c r="J1808"/>
      <c r="K1808"/>
      <c r="L1808"/>
      <c r="M1808"/>
      <c r="N1808"/>
      <c r="O1808"/>
    </row>
    <row r="1809" spans="1:15">
      <c r="A1809"/>
      <c r="B1809"/>
      <c r="C1809"/>
      <c r="D1809"/>
      <c r="E1809"/>
      <c r="F1809"/>
      <c r="G1809"/>
      <c r="H1809"/>
      <c r="I1809"/>
      <c r="J1809"/>
      <c r="K1809"/>
      <c r="L1809"/>
      <c r="M1809"/>
      <c r="N1809"/>
      <c r="O1809"/>
    </row>
    <row r="1810" spans="1:15">
      <c r="A1810"/>
      <c r="B1810"/>
      <c r="C1810"/>
      <c r="D1810"/>
      <c r="E1810"/>
      <c r="F1810"/>
      <c r="G1810"/>
      <c r="H1810"/>
      <c r="I1810"/>
      <c r="J1810"/>
      <c r="K1810"/>
      <c r="L1810"/>
      <c r="M1810"/>
      <c r="N1810"/>
      <c r="O1810"/>
    </row>
    <row r="1811" spans="1:15">
      <c r="A1811"/>
      <c r="B1811"/>
      <c r="C1811"/>
      <c r="D1811"/>
      <c r="E1811"/>
      <c r="F1811"/>
      <c r="G1811"/>
      <c r="H1811"/>
      <c r="I1811"/>
      <c r="J1811"/>
      <c r="K1811"/>
      <c r="L1811"/>
      <c r="M1811"/>
      <c r="N1811"/>
      <c r="O1811"/>
    </row>
    <row r="1812" spans="1:15">
      <c r="A1812"/>
      <c r="B1812"/>
      <c r="C1812"/>
      <c r="D1812"/>
      <c r="E1812"/>
      <c r="F1812"/>
      <c r="G1812"/>
      <c r="H1812"/>
      <c r="I1812"/>
      <c r="J1812"/>
      <c r="K1812"/>
      <c r="L1812"/>
      <c r="M1812"/>
      <c r="N1812"/>
      <c r="O1812"/>
    </row>
    <row r="1813" spans="1:15">
      <c r="A1813"/>
      <c r="B1813"/>
      <c r="C1813"/>
      <c r="D1813"/>
      <c r="E1813"/>
      <c r="F1813"/>
      <c r="G1813"/>
      <c r="H1813"/>
      <c r="I1813"/>
      <c r="J1813"/>
      <c r="K1813"/>
      <c r="L1813"/>
      <c r="M1813"/>
      <c r="N1813"/>
      <c r="O1813"/>
    </row>
    <row r="1814" spans="1:15">
      <c r="A1814"/>
      <c r="B1814"/>
      <c r="C1814"/>
      <c r="D1814"/>
      <c r="E1814"/>
      <c r="F1814"/>
      <c r="G1814"/>
      <c r="H1814"/>
      <c r="I1814"/>
      <c r="J1814"/>
      <c r="K1814"/>
      <c r="L1814"/>
      <c r="M1814"/>
      <c r="N1814"/>
      <c r="O1814"/>
    </row>
    <row r="1815" spans="1:15">
      <c r="A1815"/>
      <c r="B1815"/>
      <c r="C1815"/>
      <c r="D1815"/>
      <c r="E1815"/>
      <c r="F1815"/>
      <c r="G1815"/>
      <c r="H1815"/>
      <c r="I1815"/>
      <c r="J1815"/>
      <c r="K1815"/>
      <c r="L1815"/>
      <c r="M1815"/>
      <c r="N1815"/>
      <c r="O1815"/>
    </row>
    <row r="1816" spans="1:15">
      <c r="A1816"/>
      <c r="B1816"/>
      <c r="C1816"/>
      <c r="D1816"/>
      <c r="E1816"/>
      <c r="F1816"/>
      <c r="G1816"/>
      <c r="H1816"/>
      <c r="I1816"/>
      <c r="J1816"/>
      <c r="K1816"/>
      <c r="L1816"/>
      <c r="M1816"/>
      <c r="N1816"/>
      <c r="O1816"/>
    </row>
    <row r="1817" spans="1:15">
      <c r="A1817"/>
      <c r="B1817"/>
      <c r="C1817"/>
      <c r="D1817"/>
      <c r="E1817"/>
      <c r="F1817"/>
      <c r="G1817"/>
      <c r="H1817"/>
      <c r="I1817"/>
      <c r="J1817"/>
      <c r="K1817"/>
      <c r="L1817"/>
      <c r="M1817"/>
      <c r="N1817"/>
      <c r="O1817"/>
    </row>
    <row r="1818" spans="1:15">
      <c r="A1818"/>
      <c r="B1818"/>
      <c r="C1818"/>
      <c r="D1818"/>
      <c r="E1818"/>
      <c r="F1818"/>
      <c r="G1818"/>
      <c r="H1818"/>
      <c r="I1818"/>
      <c r="J1818"/>
      <c r="K1818"/>
      <c r="L1818"/>
      <c r="M1818"/>
      <c r="N1818"/>
      <c r="O1818"/>
    </row>
    <row r="1819" spans="1:15">
      <c r="A1819"/>
      <c r="B1819"/>
      <c r="C1819"/>
      <c r="D1819"/>
      <c r="E1819"/>
      <c r="F1819"/>
      <c r="G1819"/>
      <c r="H1819"/>
      <c r="I1819"/>
      <c r="J1819"/>
      <c r="K1819"/>
      <c r="L1819"/>
      <c r="M1819"/>
      <c r="N1819"/>
      <c r="O1819"/>
    </row>
    <row r="1820" spans="1:15">
      <c r="A1820"/>
      <c r="B1820"/>
      <c r="C1820"/>
      <c r="D1820"/>
      <c r="E1820"/>
      <c r="F1820"/>
      <c r="G1820"/>
      <c r="H1820"/>
      <c r="I1820"/>
      <c r="J1820"/>
      <c r="K1820"/>
      <c r="L1820"/>
      <c r="M1820"/>
      <c r="N1820"/>
      <c r="O1820"/>
    </row>
    <row r="1821" spans="1:15">
      <c r="A1821"/>
      <c r="B1821"/>
      <c r="C1821"/>
      <c r="D1821"/>
      <c r="E1821"/>
      <c r="F1821"/>
      <c r="G1821"/>
      <c r="H1821"/>
      <c r="I1821"/>
      <c r="J1821"/>
      <c r="K1821"/>
      <c r="L1821"/>
      <c r="M1821"/>
      <c r="N1821"/>
      <c r="O1821"/>
    </row>
    <row r="1822" spans="1:15">
      <c r="A1822"/>
      <c r="B1822"/>
      <c r="C1822"/>
      <c r="D1822"/>
      <c r="E1822"/>
      <c r="F1822"/>
      <c r="G1822"/>
      <c r="H1822"/>
      <c r="I1822"/>
      <c r="J1822"/>
      <c r="K1822"/>
      <c r="L1822"/>
      <c r="M1822"/>
      <c r="N1822"/>
      <c r="O1822"/>
    </row>
    <row r="1823" spans="1:15">
      <c r="A1823"/>
      <c r="B1823"/>
      <c r="C1823"/>
      <c r="D1823"/>
      <c r="E1823"/>
      <c r="F1823"/>
      <c r="G1823"/>
      <c r="H1823"/>
      <c r="I1823"/>
      <c r="J1823"/>
      <c r="K1823"/>
      <c r="L1823"/>
      <c r="M1823"/>
      <c r="N1823"/>
      <c r="O1823"/>
    </row>
    <row r="1824" spans="1:15">
      <c r="A1824"/>
      <c r="B1824"/>
      <c r="C1824"/>
      <c r="D1824"/>
      <c r="E1824"/>
      <c r="F1824"/>
      <c r="G1824"/>
      <c r="H1824"/>
      <c r="I1824"/>
      <c r="J1824"/>
      <c r="K1824"/>
      <c r="L1824"/>
      <c r="M1824"/>
      <c r="N1824"/>
      <c r="O1824"/>
    </row>
    <row r="1825" spans="1:15">
      <c r="A1825"/>
      <c r="B1825"/>
      <c r="C1825"/>
      <c r="D1825"/>
      <c r="E1825"/>
      <c r="F1825"/>
      <c r="G1825"/>
      <c r="H1825"/>
      <c r="I1825"/>
      <c r="J1825"/>
      <c r="K1825"/>
      <c r="L1825"/>
      <c r="M1825"/>
      <c r="N1825"/>
      <c r="O1825"/>
    </row>
    <row r="1826" spans="1:15">
      <c r="A1826"/>
      <c r="B1826"/>
      <c r="C1826"/>
      <c r="D1826"/>
      <c r="E1826"/>
      <c r="F1826"/>
      <c r="G1826"/>
      <c r="H1826"/>
      <c r="I1826"/>
      <c r="J1826"/>
      <c r="K1826"/>
      <c r="L1826"/>
      <c r="M1826"/>
      <c r="N1826"/>
      <c r="O1826"/>
    </row>
    <row r="1827" spans="1:15">
      <c r="A1827"/>
      <c r="B1827"/>
      <c r="C1827"/>
      <c r="D1827"/>
      <c r="E1827"/>
      <c r="F1827"/>
      <c r="G1827"/>
      <c r="H1827"/>
      <c r="I1827"/>
      <c r="J1827"/>
      <c r="K1827"/>
      <c r="L1827"/>
      <c r="M1827"/>
      <c r="N1827"/>
      <c r="O1827"/>
    </row>
    <row r="1828" spans="1:15">
      <c r="A1828"/>
      <c r="B1828"/>
      <c r="C1828"/>
      <c r="D1828"/>
      <c r="E1828"/>
      <c r="F1828"/>
      <c r="G1828"/>
      <c r="H1828"/>
      <c r="I1828"/>
      <c r="J1828"/>
      <c r="K1828"/>
      <c r="L1828"/>
      <c r="M1828"/>
      <c r="N1828"/>
      <c r="O1828"/>
    </row>
    <row r="1829" spans="1:15">
      <c r="A1829"/>
      <c r="B1829"/>
      <c r="C1829"/>
      <c r="D1829"/>
      <c r="E1829"/>
      <c r="F1829"/>
      <c r="G1829"/>
      <c r="H1829"/>
      <c r="I1829"/>
      <c r="J1829"/>
      <c r="K1829"/>
      <c r="L1829"/>
      <c r="M1829"/>
      <c r="N1829"/>
      <c r="O1829"/>
    </row>
    <row r="1830" spans="1:15">
      <c r="A1830"/>
      <c r="B1830"/>
      <c r="C1830"/>
      <c r="D1830"/>
      <c r="E1830"/>
      <c r="F1830"/>
      <c r="G1830"/>
      <c r="H1830"/>
      <c r="I1830"/>
      <c r="J1830"/>
      <c r="K1830"/>
      <c r="L1830"/>
      <c r="M1830"/>
      <c r="N1830"/>
      <c r="O1830"/>
    </row>
    <row r="1831" spans="1:15">
      <c r="A1831"/>
      <c r="B1831"/>
      <c r="C1831"/>
      <c r="D1831"/>
      <c r="E1831"/>
      <c r="F1831"/>
      <c r="G1831"/>
      <c r="H1831"/>
      <c r="I1831"/>
      <c r="J1831"/>
      <c r="K1831"/>
      <c r="L1831"/>
      <c r="M1831"/>
      <c r="N1831"/>
      <c r="O1831"/>
    </row>
    <row r="1832" spans="1:15">
      <c r="A1832"/>
      <c r="B1832"/>
      <c r="C1832"/>
      <c r="D1832"/>
      <c r="E1832"/>
      <c r="F1832"/>
      <c r="G1832"/>
      <c r="H1832"/>
      <c r="I1832"/>
      <c r="J1832"/>
      <c r="K1832"/>
      <c r="L1832"/>
      <c r="M1832"/>
      <c r="N1832"/>
      <c r="O1832"/>
    </row>
    <row r="1833" spans="1:15">
      <c r="A1833"/>
      <c r="B1833"/>
      <c r="C1833"/>
      <c r="D1833"/>
      <c r="E1833"/>
      <c r="F1833"/>
      <c r="G1833"/>
      <c r="H1833"/>
      <c r="I1833"/>
      <c r="J1833"/>
      <c r="K1833"/>
      <c r="L1833"/>
      <c r="M1833"/>
      <c r="N1833"/>
      <c r="O1833"/>
    </row>
    <row r="1834" spans="1:15">
      <c r="A1834"/>
      <c r="B1834"/>
      <c r="C1834"/>
      <c r="D1834"/>
      <c r="E1834"/>
      <c r="F1834"/>
      <c r="G1834"/>
      <c r="H1834"/>
      <c r="I1834"/>
      <c r="J1834"/>
      <c r="K1834"/>
      <c r="L1834"/>
      <c r="M1834"/>
      <c r="N1834"/>
      <c r="O1834"/>
    </row>
    <row r="1835" spans="1:15">
      <c r="A1835"/>
      <c r="B1835"/>
      <c r="C1835"/>
      <c r="D1835"/>
      <c r="E1835"/>
      <c r="F1835"/>
      <c r="G1835"/>
      <c r="H1835"/>
      <c r="I1835"/>
      <c r="J1835"/>
      <c r="K1835"/>
      <c r="L1835"/>
      <c r="M1835"/>
      <c r="N1835"/>
      <c r="O1835"/>
    </row>
    <row r="1836" spans="1:15">
      <c r="A1836"/>
      <c r="B1836"/>
      <c r="C1836"/>
      <c r="D1836"/>
      <c r="E1836"/>
      <c r="F1836"/>
      <c r="G1836"/>
      <c r="H1836"/>
      <c r="I1836"/>
      <c r="J1836"/>
      <c r="K1836"/>
      <c r="L1836"/>
      <c r="M1836"/>
      <c r="N1836"/>
      <c r="O1836"/>
    </row>
    <row r="1837" spans="1:15">
      <c r="A1837"/>
      <c r="B1837"/>
      <c r="C1837"/>
      <c r="D1837"/>
      <c r="E1837"/>
      <c r="F1837"/>
      <c r="G1837"/>
      <c r="H1837"/>
      <c r="I1837"/>
      <c r="J1837"/>
      <c r="K1837"/>
      <c r="L1837"/>
      <c r="M1837"/>
      <c r="N1837"/>
      <c r="O1837"/>
    </row>
    <row r="1838" spans="1:15">
      <c r="A1838"/>
      <c r="B1838"/>
      <c r="C1838"/>
      <c r="D1838"/>
      <c r="E1838"/>
      <c r="F1838"/>
      <c r="G1838"/>
      <c r="H1838"/>
      <c r="I1838"/>
      <c r="J1838"/>
      <c r="K1838"/>
      <c r="L1838"/>
      <c r="M1838"/>
      <c r="N1838"/>
      <c r="O1838"/>
    </row>
    <row r="1839" spans="1:15">
      <c r="A1839"/>
      <c r="B1839"/>
      <c r="C1839"/>
      <c r="D1839"/>
      <c r="E1839"/>
      <c r="F1839"/>
      <c r="G1839"/>
      <c r="H1839"/>
      <c r="I1839"/>
      <c r="J1839"/>
      <c r="K1839"/>
      <c r="L1839"/>
      <c r="M1839"/>
      <c r="N1839"/>
      <c r="O1839"/>
    </row>
    <row r="1840" spans="1:15">
      <c r="A1840"/>
      <c r="B1840"/>
      <c r="C1840"/>
      <c r="D1840"/>
      <c r="E1840"/>
      <c r="F1840"/>
      <c r="G1840"/>
      <c r="H1840"/>
      <c r="I1840"/>
      <c r="J1840"/>
      <c r="K1840"/>
      <c r="L1840"/>
      <c r="M1840"/>
      <c r="N1840"/>
      <c r="O1840"/>
    </row>
    <row r="1841" spans="1:15">
      <c r="A1841"/>
      <c r="B1841"/>
      <c r="C1841"/>
      <c r="D1841"/>
      <c r="E1841"/>
      <c r="F1841"/>
      <c r="G1841"/>
      <c r="H1841"/>
      <c r="I1841"/>
      <c r="J1841"/>
      <c r="K1841"/>
      <c r="L1841"/>
      <c r="M1841"/>
      <c r="N1841"/>
      <c r="O1841"/>
    </row>
    <row r="1842" spans="1:15">
      <c r="A1842"/>
      <c r="B1842"/>
      <c r="C1842"/>
      <c r="D1842"/>
      <c r="E1842"/>
      <c r="F1842"/>
      <c r="G1842"/>
      <c r="H1842"/>
      <c r="I1842"/>
      <c r="J1842"/>
      <c r="K1842"/>
      <c r="L1842"/>
      <c r="M1842"/>
      <c r="N1842"/>
      <c r="O1842"/>
    </row>
    <row r="1843" spans="1:15">
      <c r="A1843"/>
      <c r="B1843"/>
      <c r="C1843"/>
      <c r="D1843"/>
      <c r="E1843"/>
      <c r="F1843"/>
      <c r="G1843"/>
      <c r="H1843"/>
      <c r="I1843"/>
      <c r="J1843"/>
      <c r="K1843"/>
      <c r="L1843"/>
      <c r="M1843"/>
      <c r="N1843"/>
      <c r="O1843"/>
    </row>
    <row r="1844" spans="1:15">
      <c r="A1844"/>
      <c r="B1844"/>
      <c r="C1844"/>
      <c r="D1844"/>
      <c r="E1844"/>
      <c r="F1844"/>
      <c r="G1844"/>
      <c r="H1844"/>
      <c r="I1844"/>
      <c r="J1844"/>
      <c r="K1844"/>
      <c r="L1844"/>
      <c r="M1844"/>
      <c r="N1844"/>
      <c r="O1844"/>
    </row>
    <row r="1845" spans="1:15">
      <c r="A1845"/>
      <c r="B1845"/>
      <c r="C1845"/>
      <c r="D1845"/>
      <c r="E1845"/>
      <c r="F1845"/>
      <c r="G1845"/>
      <c r="H1845"/>
      <c r="I1845"/>
      <c r="J1845"/>
      <c r="K1845"/>
      <c r="L1845"/>
      <c r="M1845"/>
      <c r="N1845"/>
      <c r="O1845"/>
    </row>
    <row r="1846" spans="1:15">
      <c r="A1846"/>
      <c r="B1846"/>
      <c r="C1846"/>
      <c r="D1846"/>
      <c r="E1846"/>
      <c r="F1846"/>
      <c r="G1846"/>
      <c r="H1846"/>
      <c r="I1846"/>
      <c r="J1846"/>
      <c r="K1846"/>
      <c r="L1846"/>
      <c r="M1846"/>
      <c r="N1846"/>
      <c r="O1846"/>
    </row>
    <row r="1847" spans="1:15">
      <c r="A1847"/>
      <c r="B1847"/>
      <c r="C1847"/>
      <c r="D1847"/>
      <c r="E1847"/>
      <c r="F1847"/>
      <c r="G1847"/>
      <c r="H1847"/>
      <c r="I1847"/>
      <c r="J1847"/>
      <c r="K1847"/>
      <c r="L1847"/>
      <c r="M1847"/>
      <c r="N1847"/>
      <c r="O1847"/>
    </row>
    <row r="1848" spans="1:15">
      <c r="A1848"/>
      <c r="B1848"/>
      <c r="C1848"/>
      <c r="D1848"/>
      <c r="E1848"/>
      <c r="F1848"/>
      <c r="G1848"/>
      <c r="H1848"/>
      <c r="I1848"/>
      <c r="J1848"/>
      <c r="K1848"/>
      <c r="L1848"/>
      <c r="M1848"/>
      <c r="N1848"/>
      <c r="O1848"/>
    </row>
    <row r="1849" spans="1:15">
      <c r="A1849"/>
      <c r="B1849"/>
      <c r="C1849"/>
      <c r="D1849"/>
      <c r="E1849"/>
      <c r="F1849"/>
      <c r="G1849"/>
      <c r="H1849"/>
      <c r="I1849"/>
      <c r="J1849"/>
      <c r="K1849"/>
      <c r="L1849"/>
      <c r="M1849"/>
      <c r="N1849"/>
      <c r="O1849"/>
    </row>
    <row r="1850" spans="1:15">
      <c r="A1850"/>
      <c r="B1850"/>
      <c r="C1850"/>
      <c r="D1850"/>
      <c r="E1850"/>
      <c r="F1850"/>
      <c r="G1850"/>
      <c r="H1850"/>
      <c r="I1850"/>
      <c r="J1850"/>
      <c r="K1850"/>
      <c r="L1850"/>
      <c r="M1850"/>
      <c r="N1850"/>
      <c r="O1850"/>
    </row>
    <row r="1851" spans="1:15">
      <c r="A1851"/>
      <c r="B1851"/>
      <c r="C1851"/>
      <c r="D1851"/>
      <c r="E1851"/>
      <c r="F1851"/>
      <c r="G1851"/>
      <c r="H1851"/>
      <c r="I1851"/>
      <c r="J1851"/>
      <c r="K1851"/>
      <c r="L1851"/>
      <c r="M1851"/>
      <c r="N1851"/>
      <c r="O1851"/>
    </row>
    <row r="1852" spans="1:15">
      <c r="A1852"/>
      <c r="B1852"/>
      <c r="C1852"/>
      <c r="D1852"/>
      <c r="E1852"/>
      <c r="F1852"/>
      <c r="G1852"/>
      <c r="H1852"/>
      <c r="I1852"/>
      <c r="J1852"/>
      <c r="K1852"/>
      <c r="L1852"/>
      <c r="M1852"/>
      <c r="N1852"/>
      <c r="O1852"/>
    </row>
    <row r="1853" spans="1:15">
      <c r="A1853"/>
      <c r="B1853"/>
      <c r="C1853"/>
      <c r="D1853"/>
      <c r="E1853"/>
      <c r="F1853"/>
      <c r="G1853"/>
      <c r="H1853"/>
      <c r="I1853"/>
      <c r="J1853"/>
      <c r="K1853"/>
      <c r="L1853"/>
      <c r="M1853"/>
      <c r="N1853"/>
      <c r="O1853"/>
    </row>
    <row r="1854" spans="1:15">
      <c r="A1854"/>
      <c r="B1854"/>
      <c r="C1854"/>
      <c r="D1854"/>
      <c r="E1854"/>
      <c r="F1854"/>
      <c r="G1854"/>
      <c r="H1854"/>
      <c r="I1854"/>
      <c r="J1854"/>
      <c r="K1854"/>
      <c r="L1854"/>
      <c r="M1854"/>
      <c r="N1854"/>
      <c r="O1854"/>
    </row>
    <row r="1855" spans="1:15">
      <c r="A1855"/>
      <c r="B1855"/>
      <c r="C1855"/>
      <c r="D1855"/>
      <c r="E1855"/>
      <c r="F1855"/>
      <c r="G1855"/>
      <c r="H1855"/>
      <c r="I1855"/>
      <c r="J1855"/>
      <c r="K1855"/>
      <c r="L1855"/>
      <c r="M1855"/>
      <c r="N1855"/>
      <c r="O1855"/>
    </row>
    <row r="1856" spans="1:15">
      <c r="A1856"/>
      <c r="B1856"/>
      <c r="C1856"/>
      <c r="D1856"/>
      <c r="E1856"/>
      <c r="F1856"/>
      <c r="G1856"/>
      <c r="H1856"/>
      <c r="I1856"/>
      <c r="J1856"/>
      <c r="K1856"/>
      <c r="L1856"/>
      <c r="M1856"/>
      <c r="N1856"/>
      <c r="O1856"/>
    </row>
    <row r="1857" spans="1:15">
      <c r="A1857"/>
      <c r="B1857"/>
      <c r="C1857"/>
      <c r="D1857"/>
      <c r="E1857"/>
      <c r="F1857"/>
      <c r="G1857"/>
      <c r="H1857"/>
      <c r="I1857"/>
      <c r="J1857"/>
      <c r="K1857"/>
      <c r="L1857"/>
      <c r="M1857"/>
      <c r="N1857"/>
      <c r="O1857"/>
    </row>
    <row r="1858" spans="1:15">
      <c r="A1858"/>
      <c r="B1858"/>
      <c r="C1858"/>
      <c r="D1858"/>
      <c r="E1858"/>
      <c r="F1858"/>
      <c r="G1858"/>
      <c r="H1858"/>
      <c r="I1858"/>
      <c r="J1858"/>
      <c r="K1858"/>
      <c r="L1858"/>
      <c r="M1858"/>
      <c r="N1858"/>
      <c r="O1858"/>
    </row>
    <row r="1859" spans="1:15">
      <c r="A1859"/>
      <c r="B1859"/>
      <c r="C1859"/>
      <c r="D1859"/>
      <c r="E1859"/>
      <c r="F1859"/>
      <c r="G1859"/>
      <c r="H1859"/>
      <c r="I1859"/>
      <c r="J1859"/>
      <c r="K1859"/>
      <c r="L1859"/>
      <c r="M1859"/>
      <c r="N1859"/>
      <c r="O1859"/>
    </row>
    <row r="1860" spans="1:15">
      <c r="A1860"/>
      <c r="B1860"/>
      <c r="C1860"/>
      <c r="D1860"/>
      <c r="E1860"/>
      <c r="F1860"/>
      <c r="G1860"/>
      <c r="H1860"/>
      <c r="I1860"/>
      <c r="J1860"/>
      <c r="K1860"/>
      <c r="L1860"/>
      <c r="M1860"/>
      <c r="N1860"/>
      <c r="O1860"/>
    </row>
    <row r="1861" spans="1:15">
      <c r="A1861"/>
      <c r="B1861"/>
      <c r="C1861"/>
      <c r="D1861"/>
      <c r="E1861"/>
      <c r="F1861"/>
      <c r="G1861"/>
      <c r="H1861"/>
      <c r="I1861"/>
      <c r="J1861"/>
      <c r="K1861"/>
      <c r="L1861"/>
      <c r="M1861"/>
      <c r="N1861"/>
      <c r="O1861"/>
    </row>
    <row r="1862" spans="1:15">
      <c r="A1862"/>
      <c r="B1862"/>
      <c r="C1862"/>
      <c r="D1862"/>
      <c r="E1862"/>
      <c r="F1862"/>
      <c r="G1862"/>
      <c r="H1862"/>
      <c r="I1862"/>
      <c r="J1862"/>
      <c r="K1862"/>
      <c r="L1862"/>
      <c r="M1862"/>
      <c r="N1862"/>
      <c r="O1862"/>
    </row>
    <row r="1863" spans="1:15">
      <c r="A1863"/>
      <c r="B1863"/>
      <c r="C1863"/>
      <c r="D1863"/>
      <c r="E1863"/>
      <c r="F1863"/>
      <c r="G1863"/>
      <c r="H1863"/>
      <c r="I1863"/>
      <c r="J1863"/>
      <c r="K1863"/>
      <c r="L1863"/>
      <c r="M1863"/>
      <c r="N1863"/>
      <c r="O1863"/>
    </row>
    <row r="1864" spans="1:15">
      <c r="A1864"/>
      <c r="B1864"/>
      <c r="C1864"/>
      <c r="D1864"/>
      <c r="E1864"/>
      <c r="F1864"/>
      <c r="G1864"/>
      <c r="H1864"/>
      <c r="I1864"/>
      <c r="J1864"/>
      <c r="K1864"/>
      <c r="L1864"/>
      <c r="M1864"/>
      <c r="N1864"/>
      <c r="O1864"/>
    </row>
    <row r="1865" spans="1:15">
      <c r="A1865"/>
      <c r="B1865"/>
      <c r="C1865"/>
      <c r="D1865"/>
      <c r="E1865"/>
      <c r="F1865"/>
      <c r="G1865"/>
      <c r="H1865"/>
      <c r="I1865"/>
      <c r="J1865"/>
      <c r="K1865"/>
      <c r="L1865"/>
      <c r="M1865"/>
      <c r="N1865"/>
      <c r="O1865"/>
    </row>
    <row r="1866" spans="1:15">
      <c r="A1866"/>
      <c r="B1866"/>
      <c r="C1866"/>
      <c r="D1866"/>
      <c r="E1866"/>
      <c r="F1866"/>
      <c r="G1866"/>
      <c r="H1866"/>
      <c r="I1866"/>
      <c r="J1866"/>
      <c r="K1866"/>
      <c r="L1866"/>
      <c r="M1866"/>
      <c r="N1866"/>
      <c r="O1866"/>
    </row>
    <row r="1867" spans="1:15">
      <c r="A1867"/>
      <c r="B1867"/>
      <c r="C1867"/>
      <c r="D1867"/>
      <c r="E1867"/>
      <c r="F1867"/>
      <c r="G1867"/>
      <c r="H1867"/>
      <c r="I1867"/>
      <c r="J1867"/>
      <c r="K1867"/>
      <c r="L1867"/>
      <c r="M1867"/>
      <c r="N1867"/>
      <c r="O1867"/>
    </row>
    <row r="1868" spans="1:15">
      <c r="A1868"/>
      <c r="B1868"/>
      <c r="C1868"/>
      <c r="D1868"/>
      <c r="E1868"/>
      <c r="F1868"/>
      <c r="G1868"/>
      <c r="H1868"/>
      <c r="I1868"/>
      <c r="J1868"/>
      <c r="K1868"/>
      <c r="L1868"/>
      <c r="M1868"/>
      <c r="N1868"/>
      <c r="O1868"/>
    </row>
    <row r="1869" spans="1:15">
      <c r="A1869"/>
      <c r="B1869"/>
      <c r="C1869"/>
      <c r="D1869"/>
      <c r="E1869"/>
      <c r="F1869"/>
      <c r="G1869"/>
      <c r="H1869"/>
      <c r="I1869"/>
      <c r="J1869"/>
      <c r="K1869"/>
      <c r="L1869"/>
      <c r="M1869"/>
      <c r="N1869"/>
      <c r="O1869"/>
    </row>
    <row r="1870" spans="1:15">
      <c r="A1870"/>
      <c r="B1870"/>
      <c r="C1870"/>
      <c r="D1870"/>
      <c r="E1870"/>
      <c r="F1870"/>
      <c r="G1870"/>
      <c r="H1870"/>
      <c r="I1870"/>
      <c r="J1870"/>
      <c r="K1870"/>
      <c r="L1870"/>
      <c r="M1870"/>
      <c r="N1870"/>
      <c r="O1870"/>
    </row>
    <row r="1871" spans="1:15">
      <c r="A1871"/>
      <c r="B1871"/>
      <c r="C1871"/>
      <c r="D1871"/>
      <c r="E1871"/>
      <c r="F1871"/>
      <c r="G1871"/>
      <c r="H1871"/>
      <c r="I1871"/>
      <c r="J1871"/>
      <c r="K1871"/>
      <c r="L1871"/>
      <c r="M1871"/>
      <c r="N1871"/>
      <c r="O1871"/>
    </row>
    <row r="1872" spans="1:15">
      <c r="A1872"/>
      <c r="B1872"/>
      <c r="C1872"/>
      <c r="D1872"/>
      <c r="E1872"/>
      <c r="F1872"/>
      <c r="G1872"/>
      <c r="H1872"/>
      <c r="I1872"/>
      <c r="J1872"/>
      <c r="K1872"/>
      <c r="L1872"/>
      <c r="M1872"/>
      <c r="N1872"/>
      <c r="O1872"/>
    </row>
    <row r="1873" spans="1:15">
      <c r="A1873"/>
      <c r="B1873"/>
      <c r="C1873"/>
      <c r="D1873"/>
      <c r="E1873"/>
      <c r="F1873"/>
      <c r="G1873"/>
      <c r="H1873"/>
      <c r="I1873"/>
      <c r="J1873"/>
      <c r="K1873"/>
      <c r="L1873"/>
      <c r="M1873"/>
      <c r="N1873"/>
      <c r="O1873"/>
    </row>
    <row r="1874" spans="1:15">
      <c r="A1874"/>
      <c r="B1874"/>
      <c r="C1874"/>
      <c r="D1874"/>
      <c r="E1874"/>
      <c r="F1874"/>
      <c r="G1874"/>
      <c r="H1874"/>
      <c r="I1874"/>
      <c r="J1874"/>
      <c r="K1874"/>
      <c r="L1874"/>
      <c r="M1874"/>
      <c r="N1874"/>
      <c r="O1874"/>
    </row>
    <row r="1875" spans="1:15">
      <c r="A1875"/>
      <c r="B1875"/>
      <c r="C1875"/>
      <c r="D1875"/>
      <c r="E1875"/>
      <c r="F1875"/>
      <c r="G1875"/>
      <c r="H1875"/>
      <c r="I1875"/>
      <c r="J1875"/>
      <c r="K1875"/>
      <c r="L1875"/>
      <c r="M1875"/>
      <c r="N1875"/>
      <c r="O1875"/>
    </row>
    <row r="1876" spans="1:15">
      <c r="A1876"/>
      <c r="B1876"/>
      <c r="C1876"/>
      <c r="D1876"/>
      <c r="E1876"/>
      <c r="F1876"/>
      <c r="G1876"/>
      <c r="H1876"/>
      <c r="I1876"/>
      <c r="J1876"/>
      <c r="K1876"/>
      <c r="L1876"/>
      <c r="M1876"/>
      <c r="N1876"/>
      <c r="O1876"/>
    </row>
    <row r="1877" spans="1:15">
      <c r="A1877"/>
      <c r="B1877"/>
      <c r="C1877"/>
      <c r="D1877"/>
      <c r="E1877"/>
      <c r="F1877"/>
      <c r="G1877"/>
      <c r="H1877"/>
      <c r="I1877"/>
      <c r="J1877"/>
      <c r="K1877"/>
      <c r="L1877"/>
      <c r="M1877"/>
      <c r="N1877"/>
      <c r="O1877"/>
    </row>
    <row r="1878" spans="1:15">
      <c r="A1878"/>
      <c r="B1878"/>
      <c r="C1878"/>
      <c r="D1878"/>
      <c r="E1878"/>
      <c r="F1878"/>
      <c r="G1878"/>
      <c r="H1878"/>
      <c r="I1878"/>
      <c r="J1878"/>
      <c r="K1878"/>
      <c r="L1878"/>
      <c r="M1878"/>
      <c r="N1878"/>
      <c r="O1878"/>
    </row>
    <row r="1879" spans="1:15">
      <c r="A1879"/>
      <c r="B1879"/>
      <c r="C1879"/>
      <c r="D1879"/>
      <c r="E1879"/>
      <c r="F1879"/>
      <c r="G1879"/>
      <c r="H1879"/>
      <c r="I1879"/>
      <c r="J1879"/>
      <c r="K1879"/>
      <c r="L1879"/>
      <c r="M1879"/>
      <c r="N1879"/>
      <c r="O1879"/>
    </row>
    <row r="1880" spans="1:15">
      <c r="A1880"/>
      <c r="B1880"/>
      <c r="C1880"/>
      <c r="D1880"/>
      <c r="E1880"/>
      <c r="F1880"/>
      <c r="G1880"/>
      <c r="H1880"/>
      <c r="I1880"/>
      <c r="J1880"/>
      <c r="K1880"/>
      <c r="L1880"/>
      <c r="M1880"/>
      <c r="N1880"/>
      <c r="O1880"/>
    </row>
    <row r="1881" spans="1:15">
      <c r="A1881"/>
      <c r="B1881"/>
      <c r="C1881"/>
      <c r="D1881"/>
      <c r="E1881"/>
      <c r="F1881"/>
      <c r="G1881"/>
      <c r="H1881"/>
      <c r="I1881"/>
      <c r="J1881"/>
      <c r="K1881"/>
      <c r="L1881"/>
      <c r="M1881"/>
      <c r="N1881"/>
      <c r="O1881"/>
    </row>
    <row r="1882" spans="1:15">
      <c r="A1882"/>
      <c r="B1882"/>
      <c r="C1882"/>
      <c r="D1882"/>
      <c r="E1882"/>
      <c r="F1882"/>
      <c r="G1882"/>
      <c r="H1882"/>
      <c r="I1882"/>
      <c r="J1882"/>
      <c r="K1882"/>
      <c r="L1882"/>
      <c r="M1882"/>
      <c r="N1882"/>
      <c r="O1882"/>
    </row>
    <row r="1883" spans="1:15">
      <c r="A1883"/>
      <c r="B1883"/>
      <c r="C1883"/>
      <c r="D1883"/>
      <c r="E1883"/>
      <c r="F1883"/>
      <c r="G1883"/>
      <c r="H1883"/>
      <c r="I1883"/>
      <c r="J1883"/>
      <c r="K1883"/>
      <c r="L1883"/>
      <c r="M1883"/>
      <c r="N1883"/>
      <c r="O1883"/>
    </row>
    <row r="1884" spans="1:15">
      <c r="A1884"/>
      <c r="B1884"/>
      <c r="C1884"/>
      <c r="D1884"/>
      <c r="E1884"/>
      <c r="F1884"/>
      <c r="G1884"/>
      <c r="H1884"/>
      <c r="I1884"/>
      <c r="J1884"/>
      <c r="K1884"/>
      <c r="L1884"/>
      <c r="M1884"/>
      <c r="N1884"/>
      <c r="O1884"/>
    </row>
    <row r="1885" spans="1:15">
      <c r="A1885"/>
      <c r="B1885"/>
      <c r="C1885"/>
      <c r="D1885"/>
      <c r="E1885"/>
      <c r="F1885"/>
      <c r="G1885"/>
      <c r="H1885"/>
      <c r="I1885"/>
      <c r="J1885"/>
      <c r="K1885"/>
      <c r="L1885"/>
      <c r="M1885"/>
      <c r="N1885"/>
      <c r="O1885"/>
    </row>
    <row r="1886" spans="1:15">
      <c r="A1886"/>
      <c r="B1886"/>
      <c r="C1886"/>
      <c r="D1886"/>
      <c r="E1886"/>
      <c r="F1886"/>
      <c r="G1886"/>
      <c r="H1886"/>
      <c r="I1886"/>
      <c r="J1886"/>
      <c r="K1886"/>
      <c r="L1886"/>
      <c r="M1886"/>
      <c r="N1886"/>
      <c r="O1886"/>
    </row>
    <row r="1887" spans="1:15">
      <c r="A1887"/>
      <c r="B1887"/>
      <c r="C1887"/>
      <c r="D1887"/>
      <c r="E1887"/>
      <c r="F1887"/>
      <c r="G1887"/>
      <c r="H1887"/>
      <c r="I1887"/>
      <c r="J1887"/>
      <c r="K1887"/>
      <c r="L1887"/>
      <c r="M1887"/>
      <c r="N1887"/>
      <c r="O1887"/>
    </row>
    <row r="1888" spans="1:15">
      <c r="A1888"/>
      <c r="B1888"/>
      <c r="C1888"/>
      <c r="D1888"/>
      <c r="E1888"/>
      <c r="F1888"/>
      <c r="G1888"/>
      <c r="H1888"/>
      <c r="I1888"/>
      <c r="J1888"/>
      <c r="K1888"/>
      <c r="L1888"/>
      <c r="M1888"/>
      <c r="N1888"/>
      <c r="O1888"/>
    </row>
    <row r="1889" spans="1:15">
      <c r="A1889"/>
      <c r="B1889"/>
      <c r="C1889"/>
      <c r="D1889"/>
      <c r="E1889"/>
      <c r="F1889"/>
      <c r="G1889"/>
      <c r="H1889"/>
      <c r="I1889"/>
      <c r="J1889"/>
      <c r="K1889"/>
      <c r="L1889"/>
      <c r="M1889"/>
      <c r="N1889"/>
      <c r="O1889"/>
    </row>
    <row r="1890" spans="1:15">
      <c r="A1890"/>
      <c r="B1890"/>
      <c r="C1890"/>
      <c r="D1890"/>
      <c r="E1890"/>
      <c r="F1890"/>
      <c r="G1890"/>
      <c r="H1890"/>
      <c r="I1890"/>
      <c r="J1890"/>
      <c r="K1890"/>
      <c r="L1890"/>
      <c r="M1890"/>
      <c r="N1890"/>
      <c r="O1890"/>
    </row>
    <row r="1891" spans="1:15">
      <c r="A1891"/>
      <c r="B1891"/>
      <c r="C1891"/>
      <c r="D1891"/>
      <c r="E1891"/>
      <c r="F1891"/>
      <c r="G1891"/>
      <c r="H1891"/>
      <c r="I1891"/>
      <c r="J1891"/>
      <c r="K1891"/>
      <c r="L1891"/>
      <c r="M1891"/>
      <c r="N1891"/>
      <c r="O1891"/>
    </row>
    <row r="1892" spans="1:15">
      <c r="A1892"/>
      <c r="B1892"/>
      <c r="C1892"/>
      <c r="D1892"/>
      <c r="E1892"/>
      <c r="F1892"/>
      <c r="G1892"/>
      <c r="H1892"/>
      <c r="I1892"/>
      <c r="J1892"/>
      <c r="K1892"/>
      <c r="L1892"/>
      <c r="M1892"/>
      <c r="N1892"/>
      <c r="O1892"/>
    </row>
    <row r="1893" spans="1:15">
      <c r="A1893"/>
      <c r="B1893"/>
      <c r="C1893"/>
      <c r="D1893"/>
      <c r="E1893"/>
      <c r="F1893"/>
      <c r="G1893"/>
      <c r="H1893"/>
      <c r="I1893"/>
      <c r="J1893"/>
      <c r="K1893"/>
      <c r="L1893"/>
      <c r="M1893"/>
      <c r="N1893"/>
      <c r="O1893"/>
    </row>
    <row r="1894" spans="1:15">
      <c r="A1894"/>
      <c r="B1894"/>
      <c r="C1894"/>
      <c r="D1894"/>
      <c r="E1894"/>
      <c r="F1894"/>
      <c r="G1894"/>
      <c r="H1894"/>
      <c r="I1894"/>
      <c r="J1894"/>
      <c r="K1894"/>
      <c r="L1894"/>
      <c r="M1894"/>
      <c r="N1894"/>
      <c r="O1894"/>
    </row>
    <row r="1895" spans="1:15">
      <c r="A1895"/>
      <c r="B1895"/>
      <c r="C1895"/>
      <c r="D1895"/>
      <c r="E1895"/>
      <c r="F1895"/>
      <c r="G1895"/>
      <c r="H1895"/>
      <c r="I1895"/>
      <c r="J1895"/>
      <c r="K1895"/>
      <c r="L1895"/>
      <c r="M1895"/>
      <c r="N1895"/>
      <c r="O1895"/>
    </row>
    <row r="1896" spans="1:15">
      <c r="A1896"/>
      <c r="B1896"/>
      <c r="C1896"/>
      <c r="D1896"/>
      <c r="E1896"/>
      <c r="F1896"/>
      <c r="G1896"/>
      <c r="H1896"/>
      <c r="I1896"/>
      <c r="J1896"/>
      <c r="K1896"/>
      <c r="L1896"/>
      <c r="M1896"/>
      <c r="N1896"/>
      <c r="O1896"/>
    </row>
    <row r="1897" spans="1:15">
      <c r="A1897"/>
      <c r="B1897"/>
      <c r="C1897"/>
      <c r="D1897"/>
      <c r="E1897"/>
      <c r="F1897"/>
      <c r="G1897"/>
      <c r="H1897"/>
      <c r="I1897"/>
      <c r="J1897"/>
      <c r="K1897"/>
      <c r="L1897"/>
      <c r="M1897"/>
      <c r="N1897"/>
      <c r="O1897"/>
    </row>
    <row r="1898" spans="1:15">
      <c r="A1898"/>
      <c r="B1898"/>
      <c r="C1898"/>
      <c r="D1898"/>
      <c r="E1898"/>
      <c r="F1898"/>
      <c r="G1898"/>
      <c r="H1898"/>
      <c r="I1898"/>
      <c r="J1898"/>
      <c r="K1898"/>
      <c r="L1898"/>
      <c r="M1898"/>
      <c r="N1898"/>
      <c r="O1898"/>
    </row>
    <row r="1899" spans="1:15">
      <c r="A1899"/>
      <c r="B1899"/>
      <c r="C1899"/>
      <c r="D1899"/>
      <c r="E1899"/>
      <c r="F1899"/>
      <c r="G1899"/>
      <c r="H1899"/>
      <c r="I1899"/>
      <c r="J1899"/>
      <c r="K1899"/>
      <c r="L1899"/>
      <c r="M1899"/>
      <c r="N1899"/>
      <c r="O1899"/>
    </row>
    <row r="1900" spans="1:15">
      <c r="A1900"/>
      <c r="B1900"/>
      <c r="C1900"/>
      <c r="D1900"/>
      <c r="E1900"/>
      <c r="F1900"/>
      <c r="G1900"/>
      <c r="H1900"/>
      <c r="I1900"/>
      <c r="J1900"/>
      <c r="K1900"/>
      <c r="L1900"/>
      <c r="M1900"/>
      <c r="N1900"/>
      <c r="O1900"/>
    </row>
    <row r="1901" spans="1:15">
      <c r="A1901"/>
      <c r="B1901"/>
      <c r="C1901"/>
      <c r="D1901"/>
      <c r="E1901"/>
      <c r="F1901"/>
      <c r="G1901"/>
      <c r="H1901"/>
      <c r="I1901"/>
      <c r="J1901"/>
      <c r="K1901"/>
      <c r="L1901"/>
      <c r="M1901"/>
      <c r="N1901"/>
      <c r="O1901"/>
    </row>
    <row r="1902" spans="1:15">
      <c r="A1902"/>
      <c r="B1902"/>
      <c r="C1902"/>
      <c r="D1902"/>
      <c r="E1902"/>
      <c r="F1902"/>
      <c r="G1902"/>
      <c r="H1902"/>
      <c r="I1902"/>
      <c r="J1902"/>
      <c r="K1902"/>
      <c r="L1902"/>
      <c r="M1902"/>
      <c r="N1902"/>
      <c r="O1902"/>
    </row>
    <row r="1903" spans="1:15">
      <c r="A1903"/>
      <c r="B1903"/>
      <c r="C1903"/>
      <c r="D1903"/>
      <c r="E1903"/>
      <c r="F1903"/>
      <c r="G1903"/>
      <c r="H1903"/>
      <c r="I1903"/>
      <c r="J1903"/>
      <c r="K1903"/>
      <c r="L1903"/>
      <c r="M1903"/>
      <c r="N1903"/>
      <c r="O1903"/>
    </row>
    <row r="1904" spans="1:15">
      <c r="A1904"/>
      <c r="B1904"/>
      <c r="C1904"/>
      <c r="D1904"/>
      <c r="E1904"/>
      <c r="F1904"/>
      <c r="G1904"/>
      <c r="H1904"/>
      <c r="I1904"/>
      <c r="J1904"/>
      <c r="K1904"/>
      <c r="L1904"/>
      <c r="M1904"/>
      <c r="N1904"/>
      <c r="O1904"/>
    </row>
    <row r="1905" spans="1:15">
      <c r="A1905"/>
      <c r="B1905"/>
      <c r="C1905"/>
      <c r="D1905"/>
      <c r="E1905"/>
      <c r="F1905"/>
      <c r="G1905"/>
      <c r="H1905"/>
      <c r="I1905"/>
      <c r="J1905"/>
      <c r="K1905"/>
      <c r="L1905"/>
      <c r="M1905"/>
      <c r="N1905"/>
      <c r="O1905"/>
    </row>
    <row r="1906" spans="1:15">
      <c r="A1906"/>
      <c r="B1906"/>
      <c r="C1906"/>
      <c r="D1906"/>
      <c r="E1906"/>
      <c r="F1906"/>
      <c r="G1906"/>
      <c r="H1906"/>
      <c r="I1906"/>
      <c r="J1906"/>
      <c r="K1906"/>
      <c r="L1906"/>
      <c r="M1906"/>
      <c r="N1906"/>
      <c r="O1906"/>
    </row>
    <row r="1907" spans="1:15">
      <c r="A1907"/>
      <c r="B1907"/>
      <c r="C1907"/>
      <c r="D1907"/>
      <c r="E1907"/>
      <c r="F1907"/>
      <c r="G1907"/>
      <c r="H1907"/>
      <c r="I1907"/>
      <c r="J1907"/>
      <c r="K1907"/>
      <c r="L1907"/>
      <c r="M1907"/>
      <c r="N1907"/>
      <c r="O1907"/>
    </row>
    <row r="1908" spans="1:15">
      <c r="A1908"/>
      <c r="B1908"/>
      <c r="C1908"/>
      <c r="D1908"/>
      <c r="E1908"/>
      <c r="F1908"/>
      <c r="G1908"/>
      <c r="H1908"/>
      <c r="I1908"/>
      <c r="J1908"/>
      <c r="K1908"/>
      <c r="L1908"/>
      <c r="M1908"/>
      <c r="N1908"/>
      <c r="O1908"/>
    </row>
    <row r="1909" spans="1:15">
      <c r="A1909"/>
      <c r="B1909"/>
      <c r="C1909"/>
      <c r="D1909"/>
      <c r="E1909"/>
      <c r="F1909"/>
      <c r="G1909"/>
      <c r="H1909"/>
      <c r="I1909"/>
      <c r="J1909"/>
      <c r="K1909"/>
      <c r="L1909"/>
      <c r="M1909"/>
      <c r="N1909"/>
      <c r="O1909"/>
    </row>
    <row r="1910" spans="1:15">
      <c r="A1910"/>
      <c r="B1910"/>
      <c r="C1910"/>
      <c r="D1910"/>
      <c r="E1910"/>
      <c r="F1910"/>
      <c r="G1910"/>
      <c r="H1910"/>
      <c r="I1910"/>
      <c r="J1910"/>
      <c r="K1910"/>
      <c r="L1910"/>
      <c r="M1910"/>
      <c r="N1910"/>
      <c r="O1910"/>
    </row>
    <row r="1911" spans="1:15">
      <c r="A1911"/>
      <c r="B1911"/>
      <c r="C1911"/>
      <c r="D1911"/>
      <c r="E1911"/>
      <c r="F1911"/>
      <c r="G1911"/>
      <c r="H1911"/>
      <c r="I1911"/>
      <c r="J1911"/>
      <c r="K1911"/>
      <c r="L1911"/>
      <c r="M1911"/>
      <c r="N1911"/>
      <c r="O1911"/>
    </row>
    <row r="1912" spans="1:15">
      <c r="A1912"/>
      <c r="B1912"/>
      <c r="C1912"/>
      <c r="D1912"/>
      <c r="E1912"/>
      <c r="F1912"/>
      <c r="G1912"/>
      <c r="H1912"/>
      <c r="I1912"/>
      <c r="J1912"/>
      <c r="K1912"/>
      <c r="L1912"/>
      <c r="M1912"/>
      <c r="N1912"/>
      <c r="O1912"/>
    </row>
    <row r="1913" spans="1:15">
      <c r="A1913"/>
      <c r="B1913"/>
      <c r="C1913"/>
      <c r="D1913"/>
      <c r="E1913"/>
      <c r="F1913"/>
      <c r="G1913"/>
      <c r="H1913"/>
      <c r="I1913"/>
      <c r="J1913"/>
      <c r="K1913"/>
      <c r="L1913"/>
      <c r="M1913"/>
      <c r="N1913"/>
      <c r="O1913"/>
    </row>
    <row r="1914" spans="1:15">
      <c r="A1914"/>
      <c r="B1914"/>
      <c r="C1914"/>
      <c r="D1914"/>
      <c r="E1914"/>
      <c r="F1914"/>
      <c r="G1914"/>
      <c r="H1914"/>
      <c r="I1914"/>
      <c r="J1914"/>
      <c r="K1914"/>
      <c r="L1914"/>
      <c r="M1914"/>
      <c r="N1914"/>
      <c r="O1914"/>
    </row>
    <row r="1915" spans="1:15">
      <c r="A1915"/>
      <c r="B1915"/>
      <c r="C1915"/>
      <c r="D1915"/>
      <c r="E1915"/>
      <c r="F1915"/>
      <c r="G1915"/>
      <c r="H1915"/>
      <c r="I1915"/>
      <c r="J1915"/>
      <c r="K1915"/>
      <c r="L1915"/>
      <c r="M1915"/>
      <c r="N1915"/>
      <c r="O1915"/>
    </row>
    <row r="1916" spans="1:15">
      <c r="A1916"/>
      <c r="B1916"/>
      <c r="C1916"/>
      <c r="D1916"/>
      <c r="E1916"/>
      <c r="F1916"/>
      <c r="G1916"/>
      <c r="H1916"/>
      <c r="I1916"/>
      <c r="J1916"/>
      <c r="K1916"/>
      <c r="L1916"/>
      <c r="M1916"/>
      <c r="N1916"/>
      <c r="O1916"/>
    </row>
    <row r="1917" spans="1:15">
      <c r="A1917"/>
      <c r="B1917"/>
      <c r="C1917"/>
      <c r="D1917"/>
      <c r="E1917"/>
      <c r="F1917"/>
      <c r="G1917"/>
      <c r="H1917"/>
      <c r="I1917"/>
      <c r="J1917"/>
      <c r="K1917"/>
      <c r="L1917"/>
      <c r="M1917"/>
      <c r="N1917"/>
      <c r="O1917"/>
    </row>
    <row r="1918" spans="1:15">
      <c r="A1918"/>
      <c r="B1918"/>
      <c r="C1918"/>
      <c r="D1918"/>
      <c r="E1918"/>
      <c r="F1918"/>
      <c r="G1918"/>
      <c r="H1918"/>
      <c r="I1918"/>
      <c r="J1918"/>
      <c r="K1918"/>
      <c r="L1918"/>
      <c r="M1918"/>
      <c r="N1918"/>
      <c r="O1918"/>
    </row>
    <row r="1919" spans="1:15">
      <c r="A1919"/>
      <c r="B1919"/>
      <c r="C1919"/>
      <c r="D1919"/>
      <c r="E1919"/>
      <c r="F1919"/>
      <c r="G1919"/>
      <c r="H1919"/>
      <c r="I1919"/>
      <c r="J1919"/>
      <c r="K1919"/>
      <c r="L1919"/>
      <c r="M1919"/>
      <c r="N1919"/>
      <c r="O1919"/>
    </row>
    <row r="1920" spans="1:15">
      <c r="A1920"/>
      <c r="B1920"/>
      <c r="C1920"/>
      <c r="D1920"/>
      <c r="E1920"/>
      <c r="F1920"/>
      <c r="G1920"/>
      <c r="H1920"/>
      <c r="I1920"/>
      <c r="J1920"/>
      <c r="K1920"/>
      <c r="L1920"/>
      <c r="M1920"/>
      <c r="N1920"/>
      <c r="O1920"/>
    </row>
    <row r="1921" spans="1:15">
      <c r="A1921"/>
      <c r="B1921"/>
      <c r="C1921"/>
      <c r="D1921"/>
      <c r="E1921"/>
      <c r="F1921"/>
      <c r="G1921"/>
      <c r="H1921"/>
      <c r="I1921"/>
      <c r="J1921"/>
      <c r="K1921"/>
      <c r="L1921"/>
      <c r="M1921"/>
      <c r="N1921"/>
      <c r="O1921"/>
    </row>
    <row r="1922" spans="1:15">
      <c r="A1922"/>
      <c r="B1922"/>
      <c r="C1922"/>
      <c r="D1922"/>
      <c r="E1922"/>
      <c r="F1922"/>
      <c r="G1922"/>
      <c r="H1922"/>
      <c r="I1922"/>
      <c r="J1922"/>
      <c r="K1922"/>
      <c r="L1922"/>
      <c r="M1922"/>
      <c r="N1922"/>
      <c r="O1922"/>
    </row>
    <row r="1923" spans="1:15">
      <c r="A1923"/>
      <c r="B1923"/>
      <c r="C1923"/>
      <c r="D1923"/>
      <c r="E1923"/>
      <c r="F1923"/>
      <c r="G1923"/>
      <c r="H1923"/>
      <c r="I1923"/>
      <c r="J1923"/>
      <c r="K1923"/>
      <c r="L1923"/>
      <c r="M1923"/>
      <c r="N1923"/>
      <c r="O1923"/>
    </row>
    <row r="1924" spans="1:15">
      <c r="A1924"/>
      <c r="B1924"/>
      <c r="C1924"/>
      <c r="D1924"/>
      <c r="E1924"/>
      <c r="F1924"/>
      <c r="G1924"/>
      <c r="H1924"/>
      <c r="I1924"/>
      <c r="J1924"/>
      <c r="K1924"/>
      <c r="L1924"/>
      <c r="M1924"/>
      <c r="N1924"/>
      <c r="O1924"/>
    </row>
    <row r="1925" spans="1:15">
      <c r="A1925"/>
      <c r="B1925"/>
      <c r="C1925"/>
      <c r="D1925"/>
      <c r="E1925"/>
      <c r="F1925"/>
      <c r="G1925"/>
      <c r="H1925"/>
      <c r="I1925"/>
      <c r="J1925"/>
      <c r="K1925"/>
      <c r="L1925"/>
      <c r="M1925"/>
      <c r="N1925"/>
      <c r="O1925"/>
    </row>
    <row r="1926" spans="1:15">
      <c r="A1926"/>
      <c r="B1926"/>
      <c r="C1926"/>
      <c r="D1926"/>
      <c r="E1926"/>
      <c r="F1926"/>
      <c r="G1926"/>
      <c r="H1926"/>
      <c r="I1926"/>
      <c r="J1926"/>
      <c r="K1926"/>
      <c r="L1926"/>
      <c r="M1926"/>
      <c r="N1926"/>
      <c r="O1926"/>
    </row>
    <row r="1927" spans="1:15">
      <c r="A1927"/>
      <c r="B1927"/>
      <c r="C1927"/>
      <c r="D1927"/>
      <c r="E1927"/>
      <c r="F1927"/>
      <c r="G1927"/>
      <c r="H1927"/>
      <c r="I1927"/>
      <c r="J1927"/>
      <c r="K1927"/>
      <c r="L1927"/>
      <c r="M1927"/>
      <c r="N1927"/>
      <c r="O1927"/>
    </row>
    <row r="1928" spans="1:15">
      <c r="A1928"/>
      <c r="B1928"/>
      <c r="C1928"/>
      <c r="D1928"/>
      <c r="E1928"/>
      <c r="F1928"/>
      <c r="G1928"/>
      <c r="H1928"/>
      <c r="I1928"/>
      <c r="J1928"/>
      <c r="K1928"/>
      <c r="L1928"/>
      <c r="M1928"/>
      <c r="N1928"/>
      <c r="O1928"/>
    </row>
    <row r="1929" spans="1:15">
      <c r="A1929"/>
      <c r="B1929"/>
      <c r="C1929"/>
      <c r="D1929"/>
      <c r="E1929"/>
      <c r="F1929"/>
      <c r="G1929"/>
      <c r="H1929"/>
      <c r="I1929"/>
      <c r="J1929"/>
      <c r="K1929"/>
      <c r="L1929"/>
      <c r="M1929"/>
      <c r="N1929"/>
      <c r="O1929"/>
    </row>
    <row r="1930" spans="1:15">
      <c r="A1930"/>
      <c r="B1930"/>
      <c r="C1930"/>
      <c r="D1930"/>
      <c r="E1930"/>
      <c r="F1930"/>
      <c r="G1930"/>
      <c r="H1930"/>
      <c r="I1930"/>
      <c r="J1930"/>
      <c r="K1930"/>
      <c r="L1930"/>
      <c r="M1930"/>
      <c r="N1930"/>
      <c r="O1930"/>
    </row>
    <row r="1931" spans="1:15">
      <c r="A1931"/>
      <c r="B1931"/>
      <c r="C1931"/>
      <c r="D1931"/>
      <c r="E1931"/>
      <c r="F1931"/>
      <c r="G1931"/>
      <c r="H1931"/>
      <c r="I1931"/>
      <c r="J1931"/>
      <c r="K1931"/>
      <c r="L1931"/>
      <c r="M1931"/>
      <c r="N1931"/>
      <c r="O1931"/>
    </row>
    <row r="1932" spans="1:15">
      <c r="A1932"/>
      <c r="B1932"/>
      <c r="C1932"/>
      <c r="D1932"/>
      <c r="E1932"/>
      <c r="F1932"/>
      <c r="G1932"/>
      <c r="H1932"/>
      <c r="I1932"/>
      <c r="J1932"/>
      <c r="K1932"/>
      <c r="L1932"/>
      <c r="M1932"/>
      <c r="N1932"/>
      <c r="O1932"/>
    </row>
    <row r="1933" spans="1:15">
      <c r="A1933"/>
      <c r="B1933"/>
      <c r="C1933"/>
      <c r="D1933"/>
      <c r="E1933"/>
      <c r="F1933"/>
      <c r="G1933"/>
      <c r="H1933"/>
      <c r="I1933"/>
      <c r="J1933"/>
      <c r="K1933"/>
      <c r="L1933"/>
      <c r="M1933"/>
      <c r="N1933"/>
      <c r="O1933"/>
    </row>
    <row r="1934" spans="1:15">
      <c r="A1934"/>
      <c r="B1934"/>
      <c r="C1934"/>
      <c r="D1934"/>
      <c r="E1934"/>
      <c r="F1934"/>
      <c r="G1934"/>
      <c r="H1934"/>
      <c r="I1934"/>
      <c r="J1934"/>
      <c r="K1934"/>
      <c r="L1934"/>
      <c r="M1934"/>
      <c r="N1934"/>
      <c r="O1934"/>
    </row>
    <row r="1935" spans="1:15">
      <c r="A1935"/>
      <c r="B1935"/>
      <c r="C1935"/>
      <c r="D1935"/>
      <c r="E1935"/>
      <c r="F1935"/>
      <c r="G1935"/>
      <c r="H1935"/>
      <c r="I1935"/>
      <c r="J1935"/>
      <c r="K1935"/>
      <c r="L1935"/>
      <c r="M1935"/>
      <c r="N1935"/>
      <c r="O1935"/>
    </row>
    <row r="1936" spans="1:15">
      <c r="A1936"/>
      <c r="B1936"/>
      <c r="C1936"/>
      <c r="D1936"/>
      <c r="E1936"/>
      <c r="F1936"/>
      <c r="G1936"/>
      <c r="H1936"/>
      <c r="I1936"/>
      <c r="J1936"/>
      <c r="K1936"/>
      <c r="L1936"/>
      <c r="M1936"/>
      <c r="N1936"/>
      <c r="O1936"/>
    </row>
    <row r="1937" spans="1:15">
      <c r="A1937"/>
      <c r="B1937"/>
      <c r="C1937"/>
      <c r="D1937"/>
      <c r="E1937"/>
      <c r="F1937"/>
      <c r="G1937"/>
      <c r="H1937"/>
      <c r="I1937"/>
      <c r="J1937"/>
      <c r="K1937"/>
      <c r="L1937"/>
      <c r="M1937"/>
      <c r="N1937"/>
      <c r="O1937"/>
    </row>
    <row r="1938" spans="1:15">
      <c r="A1938"/>
      <c r="B1938"/>
      <c r="C1938"/>
      <c r="D1938"/>
      <c r="E1938"/>
      <c r="F1938"/>
      <c r="G1938"/>
      <c r="H1938"/>
      <c r="I1938"/>
      <c r="J1938"/>
      <c r="K1938"/>
      <c r="L1938"/>
      <c r="M1938"/>
      <c r="N1938"/>
      <c r="O1938"/>
    </row>
    <row r="1939" spans="1:15">
      <c r="A1939"/>
      <c r="B1939"/>
      <c r="C1939"/>
      <c r="D1939"/>
      <c r="E1939"/>
      <c r="F1939"/>
      <c r="G1939"/>
      <c r="H1939"/>
      <c r="I1939"/>
      <c r="J1939"/>
      <c r="K1939"/>
      <c r="L1939"/>
      <c r="M1939"/>
      <c r="N1939"/>
      <c r="O1939"/>
    </row>
    <row r="1940" spans="1:15">
      <c r="A1940"/>
      <c r="B1940"/>
      <c r="C1940"/>
      <c r="D1940"/>
      <c r="E1940"/>
      <c r="F1940"/>
      <c r="G1940"/>
      <c r="H1940"/>
      <c r="I1940"/>
      <c r="J1940"/>
      <c r="K1940"/>
      <c r="L1940"/>
      <c r="M1940"/>
      <c r="N1940"/>
      <c r="O1940"/>
    </row>
    <row r="1941" spans="1:15">
      <c r="A1941"/>
      <c r="B1941"/>
      <c r="C1941"/>
      <c r="D1941"/>
      <c r="E1941"/>
      <c r="F1941"/>
      <c r="G1941"/>
      <c r="H1941"/>
      <c r="I1941"/>
      <c r="J1941"/>
      <c r="K1941"/>
      <c r="L1941"/>
      <c r="M1941"/>
      <c r="N1941"/>
      <c r="O1941"/>
    </row>
    <row r="1942" spans="1:15">
      <c r="A1942"/>
      <c r="B1942"/>
      <c r="C1942"/>
      <c r="D1942"/>
      <c r="E1942"/>
      <c r="F1942"/>
      <c r="G1942"/>
      <c r="H1942"/>
      <c r="I1942"/>
      <c r="J1942"/>
      <c r="K1942"/>
      <c r="L1942"/>
      <c r="M1942"/>
      <c r="N1942"/>
      <c r="O1942"/>
    </row>
    <row r="1943" spans="1:15">
      <c r="A1943"/>
      <c r="B1943"/>
      <c r="C1943"/>
      <c r="D1943"/>
      <c r="E1943"/>
      <c r="F1943"/>
      <c r="G1943"/>
      <c r="H1943"/>
      <c r="I1943"/>
      <c r="J1943"/>
      <c r="K1943"/>
      <c r="L1943"/>
      <c r="M1943"/>
      <c r="N1943"/>
      <c r="O1943"/>
    </row>
    <row r="1944" spans="1:15">
      <c r="A1944"/>
      <c r="B1944"/>
      <c r="C1944"/>
      <c r="D1944"/>
      <c r="E1944"/>
      <c r="F1944"/>
      <c r="G1944"/>
      <c r="H1944"/>
      <c r="I1944"/>
      <c r="J1944"/>
      <c r="K1944"/>
      <c r="L1944"/>
      <c r="M1944"/>
      <c r="N1944"/>
      <c r="O1944"/>
    </row>
    <row r="1945" spans="1:15">
      <c r="A1945"/>
      <c r="B1945"/>
      <c r="C1945"/>
      <c r="D1945"/>
      <c r="E1945"/>
      <c r="F1945"/>
      <c r="G1945"/>
      <c r="H1945"/>
      <c r="I1945"/>
      <c r="J1945"/>
      <c r="K1945"/>
      <c r="L1945"/>
      <c r="M1945"/>
      <c r="N1945"/>
      <c r="O1945"/>
    </row>
    <row r="1946" spans="1:15">
      <c r="A1946"/>
      <c r="B1946"/>
      <c r="C1946"/>
      <c r="D1946"/>
      <c r="E1946"/>
      <c r="F1946"/>
      <c r="G1946"/>
      <c r="H1946"/>
      <c r="I1946"/>
      <c r="J1946"/>
      <c r="K1946"/>
      <c r="L1946"/>
      <c r="M1946"/>
      <c r="N1946"/>
      <c r="O1946"/>
    </row>
    <row r="1947" spans="1:15">
      <c r="A1947"/>
      <c r="B1947"/>
      <c r="C1947"/>
      <c r="D1947"/>
      <c r="E1947"/>
      <c r="F1947"/>
      <c r="G1947"/>
      <c r="H1947"/>
      <c r="I1947"/>
      <c r="J1947"/>
      <c r="K1947"/>
      <c r="L1947"/>
      <c r="M1947"/>
      <c r="N1947"/>
      <c r="O1947"/>
    </row>
    <row r="1948" spans="1:15">
      <c r="A1948"/>
      <c r="B1948"/>
      <c r="C1948"/>
      <c r="D1948"/>
      <c r="E1948"/>
      <c r="F1948"/>
      <c r="G1948"/>
      <c r="H1948"/>
      <c r="I1948"/>
      <c r="J1948"/>
      <c r="K1948"/>
      <c r="L1948"/>
      <c r="M1948"/>
      <c r="N1948"/>
      <c r="O1948"/>
    </row>
    <row r="1949" spans="1:15">
      <c r="A1949"/>
      <c r="B1949"/>
      <c r="C1949"/>
      <c r="D1949"/>
      <c r="E1949"/>
      <c r="F1949"/>
      <c r="G1949"/>
      <c r="H1949"/>
      <c r="I1949"/>
      <c r="J1949"/>
      <c r="K1949"/>
      <c r="L1949"/>
      <c r="M1949"/>
      <c r="N1949"/>
      <c r="O1949"/>
    </row>
    <row r="1950" spans="1:15">
      <c r="A1950"/>
      <c r="B1950"/>
      <c r="C1950"/>
      <c r="D1950"/>
      <c r="E1950"/>
      <c r="F1950"/>
      <c r="G1950"/>
      <c r="H1950"/>
      <c r="I1950"/>
      <c r="J1950"/>
      <c r="K1950"/>
      <c r="L1950"/>
      <c r="M1950"/>
      <c r="N1950"/>
      <c r="O1950"/>
    </row>
    <row r="1951" spans="1:15">
      <c r="A1951"/>
      <c r="B1951"/>
      <c r="C1951"/>
      <c r="D1951"/>
      <c r="E1951"/>
      <c r="F1951"/>
      <c r="G1951"/>
      <c r="H1951"/>
      <c r="I1951"/>
      <c r="J1951"/>
      <c r="K1951"/>
      <c r="L1951"/>
      <c r="M1951"/>
      <c r="N1951"/>
      <c r="O1951"/>
    </row>
    <row r="1952" spans="1:15">
      <c r="A1952"/>
      <c r="B1952"/>
      <c r="C1952"/>
      <c r="D1952"/>
      <c r="E1952"/>
      <c r="F1952"/>
      <c r="G1952"/>
      <c r="H1952"/>
      <c r="I1952"/>
      <c r="J1952"/>
      <c r="K1952"/>
      <c r="L1952"/>
      <c r="M1952"/>
      <c r="N1952"/>
      <c r="O1952"/>
    </row>
    <row r="1953" spans="1:15">
      <c r="A1953"/>
      <c r="B1953"/>
      <c r="C1953"/>
      <c r="D1953"/>
      <c r="E1953"/>
      <c r="F1953"/>
      <c r="G1953"/>
      <c r="H1953"/>
      <c r="I1953"/>
      <c r="J1953"/>
      <c r="K1953"/>
      <c r="L1953"/>
      <c r="M1953"/>
      <c r="N1953"/>
      <c r="O1953"/>
    </row>
    <row r="1954" spans="1:15">
      <c r="A1954"/>
      <c r="B1954"/>
      <c r="C1954"/>
      <c r="D1954"/>
      <c r="E1954"/>
      <c r="F1954"/>
      <c r="G1954"/>
      <c r="H1954"/>
      <c r="I1954"/>
      <c r="J1954"/>
      <c r="K1954"/>
      <c r="L1954"/>
      <c r="M1954"/>
      <c r="N1954"/>
      <c r="O1954"/>
    </row>
    <row r="1955" spans="1:15">
      <c r="A1955"/>
      <c r="B1955"/>
      <c r="C1955"/>
      <c r="D1955"/>
      <c r="E1955"/>
      <c r="F1955"/>
      <c r="G1955"/>
      <c r="H1955"/>
      <c r="I1955"/>
      <c r="J1955"/>
      <c r="K1955"/>
      <c r="L1955"/>
      <c r="M1955"/>
      <c r="N1955"/>
      <c r="O1955"/>
    </row>
    <row r="1956" spans="1:15">
      <c r="A1956"/>
      <c r="B1956"/>
      <c r="C1956"/>
      <c r="D1956"/>
      <c r="E1956"/>
      <c r="F1956"/>
      <c r="G1956"/>
      <c r="H1956"/>
      <c r="I1956"/>
      <c r="J1956"/>
      <c r="K1956"/>
      <c r="L1956"/>
      <c r="M1956"/>
      <c r="N1956"/>
      <c r="O1956"/>
    </row>
    <row r="1957" spans="1:15">
      <c r="A1957"/>
      <c r="B1957"/>
      <c r="C1957"/>
      <c r="D1957"/>
      <c r="E1957"/>
      <c r="F1957"/>
      <c r="G1957"/>
      <c r="H1957"/>
      <c r="I1957"/>
      <c r="J1957"/>
      <c r="K1957"/>
      <c r="L1957"/>
      <c r="M1957"/>
      <c r="N1957"/>
      <c r="O1957"/>
    </row>
    <row r="1958" spans="1:15">
      <c r="A1958"/>
      <c r="B1958"/>
      <c r="C1958"/>
      <c r="D1958"/>
      <c r="E1958"/>
      <c r="F1958"/>
      <c r="G1958"/>
      <c r="H1958"/>
      <c r="I1958"/>
      <c r="J1958"/>
      <c r="K1958"/>
      <c r="L1958"/>
      <c r="M1958"/>
      <c r="N1958"/>
      <c r="O1958"/>
    </row>
    <row r="1959" spans="1:15">
      <c r="A1959"/>
      <c r="B1959"/>
      <c r="C1959"/>
      <c r="D1959"/>
      <c r="E1959"/>
      <c r="F1959"/>
      <c r="G1959"/>
      <c r="H1959"/>
      <c r="I1959"/>
      <c r="J1959"/>
      <c r="K1959"/>
      <c r="L1959"/>
      <c r="M1959"/>
      <c r="N1959"/>
      <c r="O1959"/>
    </row>
    <row r="1960" spans="1:15">
      <c r="A1960"/>
      <c r="B1960"/>
      <c r="C1960"/>
      <c r="D1960"/>
      <c r="E1960"/>
      <c r="F1960"/>
      <c r="G1960"/>
      <c r="H1960"/>
      <c r="I1960"/>
      <c r="J1960"/>
      <c r="K1960"/>
      <c r="L1960"/>
      <c r="M1960"/>
      <c r="N1960"/>
      <c r="O1960"/>
    </row>
    <row r="1961" spans="1:15">
      <c r="A1961"/>
      <c r="B1961"/>
      <c r="C1961"/>
      <c r="D1961"/>
      <c r="E1961"/>
      <c r="F1961"/>
      <c r="G1961"/>
      <c r="H1961"/>
      <c r="I1961"/>
      <c r="J1961"/>
      <c r="K1961"/>
      <c r="L1961"/>
      <c r="M1961"/>
      <c r="N1961"/>
      <c r="O1961"/>
    </row>
    <row r="1962" spans="1:15">
      <c r="A1962"/>
      <c r="B1962"/>
      <c r="C1962"/>
      <c r="D1962"/>
      <c r="E1962"/>
      <c r="F1962"/>
      <c r="G1962"/>
      <c r="H1962"/>
      <c r="I1962"/>
      <c r="J1962"/>
      <c r="K1962"/>
      <c r="L1962"/>
      <c r="M1962"/>
      <c r="N1962"/>
      <c r="O1962"/>
    </row>
    <row r="1963" spans="1:15">
      <c r="A1963"/>
      <c r="B1963"/>
      <c r="C1963"/>
      <c r="D1963"/>
      <c r="E1963"/>
      <c r="F1963"/>
      <c r="G1963"/>
      <c r="H1963"/>
      <c r="I1963"/>
      <c r="J1963"/>
      <c r="K1963"/>
      <c r="L1963"/>
      <c r="M1963"/>
      <c r="N1963"/>
      <c r="O1963"/>
    </row>
    <row r="1964" spans="1:15">
      <c r="A1964"/>
      <c r="B1964"/>
      <c r="C1964"/>
      <c r="D1964"/>
      <c r="E1964"/>
      <c r="F1964"/>
      <c r="G1964"/>
      <c r="H1964"/>
      <c r="I1964"/>
      <c r="J1964"/>
      <c r="K1964"/>
      <c r="L1964"/>
      <c r="M1964"/>
      <c r="N1964"/>
      <c r="O1964"/>
    </row>
    <row r="1965" spans="1:15">
      <c r="A1965"/>
      <c r="B1965"/>
      <c r="C1965"/>
      <c r="D1965"/>
      <c r="E1965"/>
      <c r="F1965"/>
      <c r="G1965"/>
      <c r="H1965"/>
      <c r="I1965"/>
      <c r="J1965"/>
      <c r="K1965"/>
      <c r="L1965"/>
      <c r="M1965"/>
      <c r="N1965"/>
      <c r="O1965"/>
    </row>
    <row r="1966" spans="1:15">
      <c r="A1966"/>
      <c r="B1966"/>
      <c r="C1966"/>
      <c r="D1966"/>
      <c r="E1966"/>
      <c r="F1966"/>
      <c r="G1966"/>
      <c r="H1966"/>
      <c r="I1966"/>
      <c r="J1966"/>
      <c r="K1966"/>
      <c r="L1966"/>
      <c r="M1966"/>
      <c r="N1966"/>
      <c r="O1966"/>
    </row>
    <row r="1967" spans="1:15">
      <c r="A1967"/>
      <c r="B1967"/>
      <c r="C1967"/>
      <c r="D1967"/>
      <c r="E1967"/>
      <c r="F1967"/>
      <c r="G1967"/>
      <c r="H1967"/>
      <c r="I1967"/>
      <c r="J1967"/>
      <c r="K1967"/>
      <c r="L1967"/>
      <c r="M1967"/>
      <c r="N1967"/>
      <c r="O1967"/>
    </row>
    <row r="1968" spans="1:15">
      <c r="A1968"/>
      <c r="B1968"/>
      <c r="C1968"/>
      <c r="D1968"/>
      <c r="E1968"/>
      <c r="F1968"/>
      <c r="G1968"/>
      <c r="H1968"/>
      <c r="I1968"/>
      <c r="J1968"/>
      <c r="K1968"/>
      <c r="L1968"/>
      <c r="M1968"/>
      <c r="N1968"/>
      <c r="O1968"/>
    </row>
    <row r="1969" spans="1:15">
      <c r="A1969"/>
      <c r="B1969"/>
      <c r="C1969"/>
      <c r="D1969"/>
      <c r="E1969"/>
      <c r="F1969"/>
      <c r="G1969"/>
      <c r="H1969"/>
      <c r="I1969"/>
      <c r="J1969"/>
      <c r="K1969"/>
      <c r="L1969"/>
      <c r="M1969"/>
      <c r="N1969"/>
      <c r="O1969"/>
    </row>
    <row r="1970" spans="1:15">
      <c r="A1970"/>
      <c r="B1970"/>
      <c r="C1970"/>
      <c r="D1970"/>
      <c r="E1970"/>
      <c r="F1970"/>
      <c r="G1970"/>
      <c r="H1970"/>
      <c r="I1970"/>
      <c r="J1970"/>
      <c r="K1970"/>
      <c r="L1970"/>
      <c r="M1970"/>
      <c r="N1970"/>
      <c r="O1970"/>
    </row>
    <row r="1971" spans="1:15">
      <c r="A1971"/>
      <c r="B1971"/>
      <c r="C1971"/>
      <c r="D1971"/>
      <c r="E1971"/>
      <c r="F1971"/>
      <c r="G1971"/>
      <c r="H1971"/>
      <c r="I1971"/>
      <c r="J1971"/>
      <c r="K1971"/>
      <c r="L1971"/>
      <c r="M1971"/>
      <c r="N1971"/>
      <c r="O1971"/>
    </row>
    <row r="1972" spans="1:15">
      <c r="A1972"/>
      <c r="B1972"/>
      <c r="C1972"/>
      <c r="D1972"/>
      <c r="E1972"/>
      <c r="F1972"/>
      <c r="G1972"/>
      <c r="H1972"/>
      <c r="I1972"/>
      <c r="J1972"/>
      <c r="K1972"/>
      <c r="L1972"/>
      <c r="M1972"/>
      <c r="N1972"/>
      <c r="O1972"/>
    </row>
    <row r="1973" spans="1:15">
      <c r="A1973"/>
      <c r="B1973"/>
      <c r="C1973"/>
      <c r="D1973"/>
      <c r="E1973"/>
      <c r="F1973"/>
      <c r="G1973"/>
      <c r="H1973"/>
      <c r="I1973"/>
      <c r="J1973"/>
      <c r="K1973"/>
      <c r="L1973"/>
      <c r="M1973"/>
      <c r="N1973"/>
      <c r="O1973"/>
    </row>
    <row r="1974" spans="1:15">
      <c r="A1974"/>
      <c r="B1974"/>
      <c r="C1974"/>
      <c r="D1974"/>
      <c r="E1974"/>
      <c r="F1974"/>
      <c r="G1974"/>
      <c r="H1974"/>
      <c r="I1974"/>
      <c r="J1974"/>
      <c r="K1974"/>
      <c r="L1974"/>
      <c r="M1974"/>
      <c r="N1974"/>
      <c r="O1974"/>
    </row>
    <row r="1975" spans="1:15">
      <c r="A1975"/>
      <c r="B1975"/>
      <c r="C1975"/>
      <c r="D1975"/>
      <c r="E1975"/>
      <c r="F1975"/>
      <c r="G1975"/>
      <c r="H1975"/>
      <c r="I1975"/>
      <c r="J1975"/>
      <c r="K1975"/>
      <c r="L1975"/>
      <c r="M1975"/>
      <c r="N1975"/>
      <c r="O1975"/>
    </row>
    <row r="1976" spans="1:15">
      <c r="A1976"/>
      <c r="B1976"/>
      <c r="C1976"/>
      <c r="D1976"/>
      <c r="E1976"/>
      <c r="F1976"/>
      <c r="G1976"/>
      <c r="H1976"/>
      <c r="I1976"/>
      <c r="J1976"/>
      <c r="K1976"/>
      <c r="L1976"/>
      <c r="M1976"/>
      <c r="N1976"/>
      <c r="O1976"/>
    </row>
    <row r="1977" spans="1:15">
      <c r="A1977"/>
      <c r="B1977"/>
      <c r="C1977"/>
      <c r="D1977"/>
      <c r="E1977"/>
      <c r="F1977"/>
      <c r="G1977"/>
      <c r="H1977"/>
      <c r="I1977"/>
      <c r="J1977"/>
      <c r="K1977"/>
      <c r="L1977"/>
      <c r="M1977"/>
      <c r="N1977"/>
      <c r="O1977"/>
    </row>
    <row r="1978" spans="1:15">
      <c r="A1978"/>
      <c r="B1978"/>
      <c r="C1978"/>
      <c r="D1978"/>
      <c r="E1978"/>
      <c r="F1978"/>
      <c r="G1978"/>
      <c r="H1978"/>
      <c r="I1978"/>
      <c r="J1978"/>
      <c r="K1978"/>
      <c r="L1978"/>
      <c r="M1978"/>
      <c r="N1978"/>
      <c r="O1978"/>
    </row>
    <row r="1979" spans="1:15">
      <c r="A1979"/>
      <c r="B1979"/>
      <c r="C1979"/>
      <c r="D1979"/>
      <c r="E1979"/>
      <c r="F1979"/>
      <c r="G1979"/>
      <c r="H1979"/>
      <c r="I1979"/>
      <c r="J1979"/>
      <c r="K1979"/>
      <c r="L1979"/>
      <c r="M1979"/>
      <c r="N1979"/>
      <c r="O1979"/>
    </row>
    <row r="1980" spans="1:15">
      <c r="A1980"/>
      <c r="B1980"/>
      <c r="C1980"/>
      <c r="D1980"/>
      <c r="E1980"/>
      <c r="F1980"/>
      <c r="G1980"/>
      <c r="H1980"/>
      <c r="I1980"/>
      <c r="J1980"/>
      <c r="K1980"/>
      <c r="L1980"/>
      <c r="M1980"/>
      <c r="N1980"/>
      <c r="O1980"/>
    </row>
    <row r="1981" spans="1:15">
      <c r="A1981"/>
      <c r="B1981"/>
      <c r="C1981"/>
      <c r="D1981"/>
      <c r="E1981"/>
      <c r="F1981"/>
      <c r="G1981"/>
      <c r="H1981"/>
      <c r="I1981"/>
      <c r="J1981"/>
      <c r="K1981"/>
      <c r="L1981"/>
      <c r="M1981"/>
      <c r="N1981"/>
      <c r="O1981"/>
    </row>
    <row r="1982" spans="1:15">
      <c r="A1982"/>
      <c r="B1982"/>
      <c r="C1982"/>
      <c r="D1982"/>
      <c r="E1982"/>
      <c r="F1982"/>
      <c r="G1982"/>
      <c r="H1982"/>
      <c r="I1982"/>
      <c r="J1982"/>
      <c r="K1982"/>
      <c r="L1982"/>
      <c r="M1982"/>
      <c r="N1982"/>
      <c r="O1982"/>
    </row>
    <row r="1983" spans="1:15">
      <c r="A1983"/>
      <c r="B1983"/>
      <c r="C1983"/>
      <c r="D1983"/>
      <c r="E1983"/>
      <c r="F1983"/>
      <c r="G1983"/>
      <c r="H1983"/>
      <c r="I1983"/>
      <c r="J1983"/>
      <c r="K1983"/>
      <c r="L1983"/>
      <c r="M1983"/>
      <c r="N1983"/>
      <c r="O1983"/>
    </row>
    <row r="1984" spans="1:15">
      <c r="A1984"/>
      <c r="B1984"/>
      <c r="C1984"/>
      <c r="D1984"/>
      <c r="E1984"/>
      <c r="F1984"/>
      <c r="G1984"/>
      <c r="H1984"/>
      <c r="I1984"/>
      <c r="J1984"/>
      <c r="K1984"/>
      <c r="L1984"/>
      <c r="M1984"/>
      <c r="N1984"/>
      <c r="O1984"/>
    </row>
    <row r="1985" spans="1:15">
      <c r="A1985"/>
      <c r="B1985"/>
      <c r="C1985"/>
      <c r="D1985"/>
      <c r="E1985"/>
      <c r="F1985"/>
      <c r="G1985"/>
      <c r="H1985"/>
      <c r="I1985"/>
      <c r="J1985"/>
      <c r="K1985"/>
      <c r="L1985"/>
      <c r="M1985"/>
      <c r="N1985"/>
      <c r="O1985"/>
    </row>
    <row r="1986" spans="1:15">
      <c r="A1986"/>
      <c r="B1986"/>
      <c r="C1986"/>
      <c r="D1986"/>
      <c r="E1986"/>
      <c r="F1986"/>
      <c r="G1986"/>
      <c r="H1986"/>
      <c r="I1986"/>
      <c r="J1986"/>
      <c r="K1986"/>
      <c r="L1986"/>
      <c r="M1986"/>
      <c r="N1986"/>
      <c r="O1986"/>
    </row>
    <row r="1987" spans="1:15">
      <c r="A1987"/>
      <c r="B1987"/>
      <c r="C1987"/>
      <c r="D1987"/>
      <c r="E1987"/>
      <c r="F1987"/>
      <c r="G1987"/>
      <c r="H1987"/>
      <c r="I1987"/>
      <c r="J1987"/>
      <c r="K1987"/>
      <c r="L1987"/>
      <c r="M1987"/>
      <c r="N1987"/>
      <c r="O1987"/>
    </row>
    <row r="1988" spans="1:15">
      <c r="A1988"/>
      <c r="B1988"/>
      <c r="C1988"/>
      <c r="D1988"/>
      <c r="E1988"/>
      <c r="F1988"/>
      <c r="G1988"/>
      <c r="H1988"/>
      <c r="I1988"/>
      <c r="J1988"/>
      <c r="K1988"/>
      <c r="L1988"/>
      <c r="M1988"/>
      <c r="N1988"/>
      <c r="O1988"/>
    </row>
    <row r="1989" spans="1:15">
      <c r="A1989"/>
      <c r="B1989"/>
      <c r="C1989"/>
      <c r="D1989"/>
      <c r="E1989"/>
      <c r="F1989"/>
      <c r="G1989"/>
      <c r="H1989"/>
      <c r="I1989"/>
      <c r="J1989"/>
      <c r="K1989"/>
      <c r="L1989"/>
      <c r="M1989"/>
      <c r="N1989"/>
      <c r="O1989"/>
    </row>
    <row r="1990" spans="1:15">
      <c r="A1990"/>
      <c r="B1990"/>
      <c r="C1990"/>
      <c r="D1990"/>
      <c r="E1990"/>
      <c r="F1990"/>
      <c r="G1990"/>
      <c r="H1990"/>
      <c r="I1990"/>
      <c r="J1990"/>
      <c r="K1990"/>
      <c r="L1990"/>
      <c r="M1990"/>
      <c r="N1990"/>
      <c r="O1990"/>
    </row>
    <row r="1991" spans="1:15">
      <c r="A1991"/>
      <c r="B1991"/>
      <c r="C1991"/>
      <c r="D1991"/>
      <c r="E1991"/>
      <c r="F1991"/>
      <c r="G1991"/>
      <c r="H1991"/>
      <c r="I1991"/>
      <c r="J1991"/>
      <c r="K1991"/>
      <c r="L1991"/>
      <c r="M1991"/>
      <c r="N1991"/>
      <c r="O1991"/>
    </row>
    <row r="1992" spans="1:15">
      <c r="A1992"/>
      <c r="B1992"/>
      <c r="C1992"/>
      <c r="D1992"/>
      <c r="E1992"/>
      <c r="F1992"/>
      <c r="G1992"/>
      <c r="H1992"/>
      <c r="I1992"/>
      <c r="J1992"/>
      <c r="K1992"/>
      <c r="L1992"/>
      <c r="M1992"/>
      <c r="N1992"/>
      <c r="O1992"/>
    </row>
    <row r="1993" spans="1:15">
      <c r="A1993"/>
      <c r="B1993"/>
      <c r="C1993"/>
      <c r="D1993"/>
      <c r="E1993"/>
      <c r="F1993"/>
      <c r="G1993"/>
      <c r="H1993"/>
      <c r="I1993"/>
      <c r="J1993"/>
      <c r="K1993"/>
      <c r="L1993"/>
      <c r="M1993"/>
      <c r="N1993"/>
      <c r="O1993"/>
    </row>
    <row r="1994" spans="1:15">
      <c r="A1994"/>
      <c r="B1994"/>
      <c r="C1994"/>
      <c r="D1994"/>
      <c r="E1994"/>
      <c r="F1994"/>
      <c r="G1994"/>
      <c r="H1994"/>
      <c r="I1994"/>
      <c r="J1994"/>
      <c r="K1994"/>
      <c r="L1994"/>
      <c r="M1994"/>
      <c r="N1994"/>
      <c r="O1994"/>
    </row>
    <row r="1995" spans="1:15">
      <c r="A1995"/>
      <c r="B1995"/>
      <c r="C1995"/>
      <c r="D1995"/>
      <c r="E1995"/>
      <c r="F1995"/>
      <c r="G1995"/>
      <c r="H1995"/>
      <c r="I1995"/>
      <c r="J1995"/>
      <c r="K1995"/>
      <c r="L1995"/>
      <c r="M1995"/>
      <c r="N1995"/>
      <c r="O1995"/>
    </row>
    <row r="1996" spans="1:15">
      <c r="A1996"/>
      <c r="B1996"/>
      <c r="C1996"/>
      <c r="D1996"/>
      <c r="E1996"/>
      <c r="F1996"/>
      <c r="G1996"/>
      <c r="H1996"/>
      <c r="I1996"/>
      <c r="J1996"/>
      <c r="K1996"/>
      <c r="L1996"/>
      <c r="M1996"/>
      <c r="N1996"/>
      <c r="O1996"/>
    </row>
    <row r="1997" spans="1:15">
      <c r="A1997"/>
      <c r="B1997"/>
      <c r="C1997"/>
      <c r="D1997"/>
      <c r="E1997"/>
      <c r="F1997"/>
      <c r="G1997"/>
      <c r="H1997"/>
      <c r="I1997"/>
      <c r="J1997"/>
      <c r="K1997"/>
      <c r="L1997"/>
      <c r="M1997"/>
      <c r="N1997"/>
      <c r="O1997"/>
    </row>
    <row r="1998" spans="1:15">
      <c r="A1998"/>
      <c r="B1998"/>
      <c r="C1998"/>
      <c r="D1998"/>
      <c r="E1998"/>
      <c r="F1998"/>
      <c r="G1998"/>
      <c r="H1998"/>
      <c r="I1998"/>
      <c r="J1998"/>
      <c r="K1998"/>
      <c r="L1998"/>
      <c r="M1998"/>
      <c r="N1998"/>
      <c r="O1998"/>
    </row>
    <row r="1999" spans="1:15">
      <c r="A1999"/>
      <c r="B1999"/>
      <c r="C1999"/>
      <c r="D1999"/>
      <c r="E1999"/>
      <c r="F1999"/>
      <c r="G1999"/>
      <c r="H1999"/>
      <c r="I1999"/>
      <c r="J1999"/>
      <c r="K1999"/>
      <c r="L1999"/>
      <c r="M1999"/>
      <c r="N1999"/>
      <c r="O1999"/>
    </row>
    <row r="2000" spans="1:15">
      <c r="A2000"/>
      <c r="B2000"/>
      <c r="C2000"/>
      <c r="D2000"/>
      <c r="E2000"/>
      <c r="F2000"/>
      <c r="G2000"/>
      <c r="H2000"/>
      <c r="I2000"/>
      <c r="J2000"/>
      <c r="K2000"/>
      <c r="L2000"/>
      <c r="M2000"/>
      <c r="N2000"/>
      <c r="O2000"/>
    </row>
    <row r="2001" spans="1:15">
      <c r="A2001"/>
      <c r="B2001"/>
      <c r="C2001"/>
      <c r="D2001"/>
      <c r="E2001"/>
      <c r="F2001"/>
      <c r="G2001"/>
      <c r="H2001"/>
      <c r="I2001"/>
      <c r="J2001"/>
      <c r="K2001"/>
      <c r="L2001"/>
      <c r="M2001"/>
      <c r="N2001"/>
      <c r="O2001"/>
    </row>
    <row r="2002" spans="1:15">
      <c r="A2002"/>
      <c r="B2002"/>
      <c r="C2002"/>
      <c r="D2002"/>
      <c r="E2002"/>
      <c r="F2002"/>
      <c r="G2002"/>
      <c r="H2002"/>
      <c r="I2002"/>
      <c r="J2002"/>
      <c r="K2002"/>
      <c r="L2002"/>
      <c r="M2002"/>
      <c r="N2002"/>
      <c r="O2002"/>
    </row>
    <row r="2003" spans="1:15">
      <c r="A2003"/>
      <c r="B2003"/>
      <c r="C2003"/>
      <c r="D2003"/>
      <c r="E2003"/>
      <c r="F2003"/>
      <c r="G2003"/>
      <c r="H2003"/>
      <c r="I2003"/>
      <c r="J2003"/>
      <c r="K2003"/>
      <c r="L2003"/>
      <c r="M2003"/>
      <c r="N2003"/>
      <c r="O2003"/>
    </row>
    <row r="2004" spans="1:15">
      <c r="A2004"/>
      <c r="B2004"/>
      <c r="C2004"/>
      <c r="D2004"/>
      <c r="E2004"/>
      <c r="F2004"/>
      <c r="G2004"/>
      <c r="H2004"/>
      <c r="I2004"/>
      <c r="J2004"/>
      <c r="K2004"/>
      <c r="L2004"/>
      <c r="M2004"/>
      <c r="N2004"/>
      <c r="O2004"/>
    </row>
    <row r="2005" spans="1:15">
      <c r="A2005"/>
      <c r="B2005"/>
      <c r="C2005"/>
      <c r="D2005"/>
      <c r="E2005"/>
      <c r="F2005"/>
      <c r="G2005"/>
      <c r="H2005"/>
      <c r="I2005"/>
      <c r="J2005"/>
      <c r="K2005"/>
      <c r="L2005"/>
      <c r="M2005"/>
      <c r="N2005"/>
      <c r="O2005"/>
    </row>
    <row r="2006" spans="1:15">
      <c r="A2006"/>
      <c r="B2006"/>
      <c r="C2006"/>
      <c r="D2006"/>
      <c r="E2006"/>
      <c r="F2006"/>
      <c r="G2006"/>
      <c r="H2006"/>
      <c r="I2006"/>
      <c r="J2006"/>
      <c r="K2006"/>
      <c r="L2006"/>
      <c r="M2006"/>
      <c r="N2006"/>
      <c r="O2006"/>
    </row>
    <row r="2007" spans="1:15">
      <c r="A2007"/>
      <c r="B2007"/>
      <c r="C2007"/>
      <c r="D2007"/>
      <c r="E2007"/>
      <c r="F2007"/>
      <c r="G2007"/>
      <c r="H2007"/>
      <c r="I2007"/>
      <c r="J2007"/>
      <c r="K2007"/>
      <c r="L2007"/>
      <c r="M2007"/>
      <c r="N2007"/>
      <c r="O2007"/>
    </row>
    <row r="2008" spans="1:15">
      <c r="A2008"/>
      <c r="B2008"/>
      <c r="C2008"/>
      <c r="D2008"/>
      <c r="E2008"/>
      <c r="F2008"/>
      <c r="G2008"/>
      <c r="H2008"/>
      <c r="I2008"/>
      <c r="J2008"/>
      <c r="K2008"/>
      <c r="L2008"/>
      <c r="M2008"/>
      <c r="N2008"/>
      <c r="O2008"/>
    </row>
    <row r="2009" spans="1:15">
      <c r="A2009"/>
      <c r="B2009"/>
      <c r="C2009"/>
      <c r="D2009"/>
      <c r="E2009"/>
      <c r="F2009"/>
      <c r="G2009"/>
      <c r="H2009"/>
      <c r="I2009"/>
      <c r="J2009"/>
      <c r="K2009"/>
      <c r="L2009"/>
      <c r="M2009"/>
      <c r="N2009"/>
      <c r="O2009"/>
    </row>
    <row r="2010" spans="1:15">
      <c r="A2010"/>
      <c r="B2010"/>
      <c r="C2010"/>
      <c r="D2010"/>
      <c r="E2010"/>
      <c r="F2010"/>
      <c r="G2010"/>
      <c r="H2010"/>
      <c r="I2010"/>
      <c r="J2010"/>
      <c r="K2010"/>
      <c r="L2010"/>
      <c r="M2010"/>
      <c r="N2010"/>
      <c r="O2010"/>
    </row>
    <row r="2011" spans="1:15">
      <c r="A2011"/>
      <c r="B2011"/>
      <c r="C2011"/>
      <c r="D2011"/>
      <c r="E2011"/>
      <c r="F2011"/>
      <c r="G2011"/>
      <c r="H2011"/>
      <c r="I2011"/>
      <c r="J2011"/>
      <c r="K2011"/>
      <c r="L2011"/>
      <c r="M2011"/>
      <c r="N2011"/>
      <c r="O2011"/>
    </row>
    <row r="2012" spans="1:15">
      <c r="A2012"/>
      <c r="B2012"/>
      <c r="C2012"/>
      <c r="D2012"/>
      <c r="E2012"/>
      <c r="F2012"/>
      <c r="G2012"/>
      <c r="H2012"/>
      <c r="I2012"/>
      <c r="J2012"/>
      <c r="K2012"/>
      <c r="L2012"/>
      <c r="M2012"/>
      <c r="N2012"/>
      <c r="O2012"/>
    </row>
    <row r="2013" spans="1:15">
      <c r="A2013"/>
      <c r="B2013"/>
      <c r="C2013"/>
      <c r="D2013"/>
      <c r="E2013"/>
      <c r="F2013"/>
      <c r="G2013"/>
      <c r="H2013"/>
      <c r="I2013"/>
      <c r="J2013"/>
      <c r="K2013"/>
      <c r="L2013"/>
      <c r="M2013"/>
      <c r="N2013"/>
      <c r="O2013"/>
    </row>
    <row r="2014" spans="1:15">
      <c r="A2014"/>
      <c r="B2014"/>
      <c r="C2014"/>
      <c r="D2014"/>
      <c r="E2014"/>
      <c r="F2014"/>
      <c r="G2014"/>
      <c r="H2014"/>
      <c r="I2014"/>
      <c r="J2014"/>
      <c r="K2014"/>
      <c r="L2014"/>
      <c r="M2014"/>
      <c r="N2014"/>
      <c r="O2014"/>
    </row>
    <row r="2015" spans="1:15">
      <c r="A2015"/>
      <c r="B2015"/>
      <c r="C2015"/>
      <c r="D2015"/>
      <c r="E2015"/>
      <c r="F2015"/>
      <c r="G2015"/>
      <c r="H2015"/>
      <c r="I2015"/>
      <c r="J2015"/>
      <c r="K2015"/>
      <c r="L2015"/>
      <c r="M2015"/>
      <c r="N2015"/>
      <c r="O2015"/>
    </row>
    <row r="2016" spans="1:15">
      <c r="A2016"/>
      <c r="B2016"/>
      <c r="C2016"/>
      <c r="D2016"/>
      <c r="E2016"/>
      <c r="F2016"/>
      <c r="G2016"/>
      <c r="H2016"/>
      <c r="I2016"/>
      <c r="J2016"/>
      <c r="K2016"/>
      <c r="L2016"/>
      <c r="M2016"/>
      <c r="N2016"/>
      <c r="O2016"/>
    </row>
    <row r="2017" spans="1:15">
      <c r="A2017"/>
      <c r="B2017"/>
      <c r="C2017"/>
      <c r="D2017"/>
      <c r="E2017"/>
      <c r="F2017"/>
      <c r="G2017"/>
      <c r="H2017"/>
      <c r="I2017"/>
      <c r="J2017"/>
      <c r="K2017"/>
      <c r="L2017"/>
      <c r="M2017"/>
      <c r="N2017"/>
      <c r="O2017"/>
    </row>
    <row r="2018" spans="1:15">
      <c r="A2018"/>
      <c r="B2018"/>
      <c r="C2018"/>
      <c r="D2018"/>
      <c r="E2018"/>
      <c r="F2018"/>
      <c r="G2018"/>
      <c r="H2018"/>
      <c r="I2018"/>
      <c r="J2018"/>
      <c r="K2018"/>
      <c r="L2018"/>
      <c r="M2018"/>
      <c r="N2018"/>
      <c r="O2018"/>
    </row>
    <row r="2019" spans="1:15">
      <c r="A2019"/>
      <c r="B2019"/>
      <c r="C2019"/>
      <c r="D2019"/>
      <c r="E2019"/>
      <c r="F2019"/>
      <c r="G2019"/>
      <c r="H2019"/>
      <c r="I2019"/>
      <c r="J2019"/>
      <c r="K2019"/>
      <c r="L2019"/>
      <c r="M2019"/>
      <c r="N2019"/>
      <c r="O2019"/>
    </row>
    <row r="2020" spans="1:15">
      <c r="A2020"/>
      <c r="B2020"/>
      <c r="C2020"/>
      <c r="D2020"/>
      <c r="E2020"/>
      <c r="F2020"/>
      <c r="G2020"/>
      <c r="H2020"/>
      <c r="I2020"/>
      <c r="J2020"/>
      <c r="K2020"/>
      <c r="L2020"/>
      <c r="M2020"/>
      <c r="N2020"/>
      <c r="O2020"/>
    </row>
    <row r="2021" spans="1:15">
      <c r="A2021"/>
      <c r="B2021"/>
      <c r="C2021"/>
      <c r="D2021"/>
      <c r="E2021"/>
      <c r="F2021"/>
      <c r="G2021"/>
      <c r="H2021"/>
      <c r="I2021"/>
      <c r="J2021"/>
      <c r="K2021"/>
      <c r="L2021"/>
      <c r="M2021"/>
      <c r="N2021"/>
      <c r="O2021"/>
    </row>
    <row r="2022" spans="1:15">
      <c r="A2022"/>
      <c r="B2022"/>
      <c r="C2022"/>
      <c r="D2022"/>
      <c r="E2022"/>
      <c r="F2022"/>
      <c r="G2022"/>
      <c r="H2022"/>
      <c r="I2022"/>
      <c r="J2022"/>
      <c r="K2022"/>
      <c r="L2022"/>
      <c r="M2022"/>
      <c r="N2022"/>
      <c r="O2022"/>
    </row>
    <row r="2023" spans="1:15">
      <c r="A2023"/>
      <c r="B2023"/>
      <c r="C2023"/>
      <c r="D2023"/>
      <c r="E2023"/>
      <c r="F2023"/>
      <c r="G2023"/>
      <c r="H2023"/>
      <c r="I2023"/>
      <c r="J2023"/>
      <c r="K2023"/>
      <c r="L2023"/>
      <c r="M2023"/>
      <c r="N2023"/>
      <c r="O2023"/>
    </row>
    <row r="2024" spans="1:15">
      <c r="A2024"/>
      <c r="B2024"/>
      <c r="C2024"/>
      <c r="D2024"/>
      <c r="E2024"/>
      <c r="F2024"/>
      <c r="G2024"/>
      <c r="H2024"/>
      <c r="I2024"/>
      <c r="J2024"/>
      <c r="K2024"/>
      <c r="L2024"/>
      <c r="M2024"/>
      <c r="N2024"/>
      <c r="O2024"/>
    </row>
    <row r="2025" spans="1:15">
      <c r="A2025"/>
      <c r="B2025"/>
      <c r="C2025"/>
      <c r="D2025"/>
      <c r="E2025"/>
      <c r="F2025"/>
      <c r="G2025"/>
      <c r="H2025"/>
      <c r="I2025"/>
      <c r="J2025"/>
      <c r="K2025"/>
      <c r="L2025"/>
      <c r="M2025"/>
      <c r="N2025"/>
      <c r="O2025"/>
    </row>
    <row r="2026" spans="1:15">
      <c r="A2026"/>
      <c r="B2026"/>
      <c r="C2026"/>
      <c r="D2026"/>
      <c r="E2026"/>
      <c r="F2026"/>
      <c r="G2026"/>
      <c r="H2026"/>
      <c r="I2026"/>
      <c r="J2026"/>
      <c r="K2026"/>
      <c r="L2026"/>
      <c r="M2026"/>
      <c r="N2026"/>
      <c r="O2026"/>
    </row>
    <row r="2027" spans="1:15">
      <c r="A2027"/>
      <c r="B2027"/>
      <c r="C2027"/>
      <c r="D2027"/>
      <c r="E2027"/>
      <c r="F2027"/>
      <c r="G2027"/>
      <c r="H2027"/>
      <c r="I2027"/>
      <c r="J2027"/>
      <c r="K2027"/>
      <c r="L2027"/>
      <c r="M2027"/>
      <c r="N2027"/>
      <c r="O2027"/>
    </row>
    <row r="2028" spans="1:15">
      <c r="A2028"/>
      <c r="B2028"/>
      <c r="C2028"/>
      <c r="D2028"/>
      <c r="E2028"/>
      <c r="F2028"/>
      <c r="G2028"/>
      <c r="H2028"/>
      <c r="I2028"/>
      <c r="J2028"/>
      <c r="K2028"/>
      <c r="L2028"/>
      <c r="M2028"/>
      <c r="N2028"/>
      <c r="O2028"/>
    </row>
    <row r="2029" spans="1:15">
      <c r="A2029"/>
      <c r="B2029"/>
      <c r="C2029"/>
      <c r="D2029"/>
      <c r="E2029"/>
      <c r="F2029"/>
      <c r="G2029"/>
      <c r="H2029"/>
      <c r="I2029"/>
      <c r="J2029"/>
      <c r="K2029"/>
      <c r="L2029"/>
      <c r="M2029"/>
      <c r="N2029"/>
      <c r="O2029"/>
    </row>
    <row r="2030" spans="1:15">
      <c r="A2030"/>
      <c r="B2030"/>
      <c r="C2030"/>
      <c r="D2030"/>
      <c r="E2030"/>
      <c r="F2030"/>
      <c r="G2030"/>
      <c r="H2030"/>
      <c r="I2030"/>
      <c r="J2030"/>
      <c r="K2030"/>
      <c r="L2030"/>
      <c r="M2030"/>
      <c r="N2030"/>
      <c r="O2030"/>
    </row>
    <row r="2031" spans="1:15">
      <c r="A2031"/>
      <c r="B2031"/>
      <c r="C2031"/>
      <c r="D2031"/>
      <c r="E2031"/>
      <c r="F2031"/>
      <c r="G2031"/>
      <c r="H2031"/>
      <c r="I2031"/>
      <c r="J2031"/>
      <c r="K2031"/>
      <c r="L2031"/>
      <c r="M2031"/>
      <c r="N2031"/>
      <c r="O2031"/>
    </row>
    <row r="2032" spans="1:15">
      <c r="A2032"/>
      <c r="B2032"/>
      <c r="C2032"/>
      <c r="D2032"/>
      <c r="E2032"/>
      <c r="F2032"/>
      <c r="G2032"/>
      <c r="H2032"/>
      <c r="I2032"/>
      <c r="J2032"/>
      <c r="K2032"/>
      <c r="L2032"/>
      <c r="M2032"/>
      <c r="N2032"/>
      <c r="O2032"/>
    </row>
    <row r="2033" spans="1:15">
      <c r="A2033"/>
      <c r="B2033"/>
      <c r="C2033"/>
      <c r="D2033"/>
      <c r="E2033"/>
      <c r="F2033"/>
      <c r="G2033"/>
      <c r="H2033"/>
      <c r="I2033"/>
      <c r="J2033"/>
      <c r="K2033"/>
      <c r="L2033"/>
      <c r="M2033"/>
      <c r="N2033"/>
      <c r="O2033"/>
    </row>
    <row r="2034" spans="1:15">
      <c r="A2034"/>
      <c r="B2034"/>
      <c r="C2034"/>
      <c r="D2034"/>
      <c r="E2034"/>
      <c r="F2034"/>
      <c r="G2034"/>
      <c r="H2034"/>
      <c r="I2034"/>
      <c r="J2034"/>
      <c r="K2034"/>
      <c r="L2034"/>
      <c r="M2034"/>
      <c r="N2034"/>
      <c r="O2034"/>
    </row>
    <row r="2035" spans="1:15">
      <c r="A2035"/>
      <c r="B2035"/>
      <c r="C2035"/>
      <c r="D2035"/>
      <c r="E2035"/>
      <c r="F2035"/>
      <c r="G2035"/>
      <c r="H2035"/>
      <c r="I2035"/>
      <c r="J2035"/>
      <c r="K2035"/>
      <c r="L2035"/>
      <c r="M2035"/>
      <c r="N2035"/>
      <c r="O2035"/>
    </row>
    <row r="2036" spans="1:15">
      <c r="A2036"/>
      <c r="B2036"/>
      <c r="C2036"/>
      <c r="D2036"/>
      <c r="E2036"/>
      <c r="F2036"/>
      <c r="G2036"/>
      <c r="H2036"/>
      <c r="I2036"/>
      <c r="J2036"/>
      <c r="K2036"/>
      <c r="L2036"/>
      <c r="M2036"/>
      <c r="N2036"/>
      <c r="O2036"/>
    </row>
    <row r="2037" spans="1:15">
      <c r="A2037"/>
      <c r="B2037"/>
      <c r="C2037"/>
      <c r="D2037"/>
      <c r="E2037"/>
      <c r="F2037"/>
      <c r="G2037"/>
      <c r="H2037"/>
      <c r="I2037"/>
      <c r="J2037"/>
      <c r="K2037"/>
      <c r="L2037"/>
      <c r="M2037"/>
      <c r="N2037"/>
      <c r="O2037"/>
    </row>
    <row r="2038" spans="1:15">
      <c r="A2038"/>
      <c r="B2038"/>
      <c r="C2038"/>
      <c r="D2038"/>
      <c r="E2038"/>
      <c r="F2038"/>
      <c r="G2038"/>
      <c r="H2038"/>
      <c r="I2038"/>
      <c r="J2038"/>
      <c r="K2038"/>
      <c r="L2038"/>
      <c r="M2038"/>
      <c r="N2038"/>
      <c r="O2038"/>
    </row>
    <row r="2039" spans="1:15">
      <c r="A2039"/>
      <c r="B2039"/>
      <c r="C2039"/>
      <c r="D2039"/>
      <c r="E2039"/>
      <c r="F2039"/>
      <c r="G2039"/>
      <c r="H2039"/>
      <c r="I2039"/>
      <c r="J2039"/>
      <c r="K2039"/>
      <c r="L2039"/>
      <c r="M2039"/>
      <c r="N2039"/>
      <c r="O2039"/>
    </row>
    <row r="2040" spans="1:15">
      <c r="A2040"/>
      <c r="B2040"/>
      <c r="C2040"/>
      <c r="D2040"/>
      <c r="E2040"/>
      <c r="F2040"/>
      <c r="G2040"/>
      <c r="H2040"/>
      <c r="I2040"/>
      <c r="J2040"/>
      <c r="K2040"/>
      <c r="L2040"/>
      <c r="M2040"/>
      <c r="N2040"/>
      <c r="O2040"/>
    </row>
    <row r="2041" spans="1:15">
      <c r="A2041"/>
      <c r="B2041"/>
      <c r="C2041"/>
      <c r="D2041"/>
      <c r="E2041"/>
      <c r="F2041"/>
      <c r="G2041"/>
      <c r="H2041"/>
      <c r="I2041"/>
      <c r="J2041"/>
      <c r="K2041"/>
      <c r="L2041"/>
      <c r="M2041"/>
      <c r="N2041"/>
      <c r="O2041"/>
    </row>
    <row r="2042" spans="1:15">
      <c r="A2042"/>
      <c r="B2042"/>
      <c r="C2042"/>
      <c r="D2042"/>
      <c r="E2042"/>
      <c r="F2042"/>
      <c r="G2042"/>
      <c r="H2042"/>
      <c r="I2042"/>
      <c r="J2042"/>
      <c r="K2042"/>
      <c r="L2042"/>
      <c r="M2042"/>
      <c r="N2042"/>
      <c r="O2042"/>
    </row>
    <row r="2043" spans="1:15">
      <c r="A2043"/>
      <c r="B2043"/>
      <c r="C2043"/>
      <c r="D2043"/>
      <c r="E2043"/>
      <c r="F2043"/>
      <c r="G2043"/>
      <c r="H2043"/>
      <c r="I2043"/>
      <c r="J2043"/>
      <c r="K2043"/>
      <c r="L2043"/>
      <c r="M2043"/>
      <c r="N2043"/>
      <c r="O2043"/>
    </row>
    <row r="2044" spans="1:15">
      <c r="A2044"/>
      <c r="B2044"/>
      <c r="C2044"/>
      <c r="D2044"/>
      <c r="E2044"/>
      <c r="F2044"/>
      <c r="G2044"/>
      <c r="H2044"/>
      <c r="I2044"/>
      <c r="J2044"/>
      <c r="K2044"/>
      <c r="L2044"/>
      <c r="M2044"/>
      <c r="N2044"/>
      <c r="O2044"/>
    </row>
    <row r="2045" spans="1:15">
      <c r="A2045"/>
      <c r="B2045"/>
      <c r="C2045"/>
      <c r="D2045"/>
      <c r="E2045"/>
      <c r="F2045"/>
      <c r="G2045"/>
      <c r="H2045"/>
      <c r="I2045"/>
      <c r="J2045"/>
      <c r="K2045"/>
      <c r="L2045"/>
      <c r="M2045"/>
      <c r="N2045"/>
      <c r="O2045"/>
    </row>
    <row r="2046" spans="1:15">
      <c r="A2046"/>
      <c r="B2046"/>
      <c r="C2046"/>
      <c r="D2046"/>
      <c r="E2046"/>
      <c r="F2046"/>
      <c r="G2046"/>
      <c r="H2046"/>
      <c r="I2046"/>
      <c r="J2046"/>
      <c r="K2046"/>
      <c r="L2046"/>
      <c r="M2046"/>
      <c r="N2046"/>
      <c r="O2046"/>
    </row>
    <row r="2047" spans="1:15">
      <c r="A2047"/>
      <c r="B2047"/>
      <c r="C2047"/>
      <c r="D2047"/>
      <c r="E2047"/>
      <c r="F2047"/>
      <c r="G2047"/>
      <c r="H2047"/>
      <c r="I2047"/>
      <c r="J2047"/>
      <c r="K2047"/>
      <c r="L2047"/>
      <c r="M2047"/>
      <c r="N2047"/>
      <c r="O2047"/>
    </row>
    <row r="2048" spans="1:15">
      <c r="A2048"/>
      <c r="B2048"/>
      <c r="C2048"/>
      <c r="D2048"/>
      <c r="E2048"/>
      <c r="F2048"/>
      <c r="G2048"/>
      <c r="H2048"/>
      <c r="I2048"/>
      <c r="J2048"/>
      <c r="K2048"/>
      <c r="L2048"/>
      <c r="M2048"/>
      <c r="N2048"/>
      <c r="O2048"/>
    </row>
    <row r="2049" spans="1:15">
      <c r="A2049"/>
      <c r="B2049"/>
      <c r="C2049"/>
      <c r="D2049"/>
      <c r="E2049"/>
      <c r="F2049"/>
      <c r="G2049"/>
      <c r="H2049"/>
      <c r="I2049"/>
      <c r="J2049"/>
      <c r="K2049"/>
      <c r="L2049"/>
      <c r="M2049"/>
      <c r="N2049"/>
      <c r="O2049"/>
    </row>
    <row r="2050" spans="1:15">
      <c r="A2050"/>
      <c r="B2050"/>
      <c r="C2050"/>
      <c r="D2050"/>
      <c r="E2050"/>
      <c r="F2050"/>
      <c r="G2050"/>
      <c r="H2050"/>
      <c r="I2050"/>
      <c r="J2050"/>
      <c r="K2050"/>
      <c r="L2050"/>
      <c r="M2050"/>
      <c r="N2050"/>
      <c r="O2050"/>
    </row>
    <row r="2051" spans="1:15">
      <c r="A2051"/>
      <c r="B2051"/>
      <c r="C2051"/>
      <c r="D2051"/>
      <c r="E2051"/>
      <c r="F2051"/>
      <c r="G2051"/>
      <c r="H2051"/>
      <c r="I2051"/>
      <c r="J2051"/>
      <c r="K2051"/>
      <c r="L2051"/>
      <c r="M2051"/>
      <c r="N2051"/>
      <c r="O2051"/>
    </row>
    <row r="2052" spans="1:15">
      <c r="A2052"/>
      <c r="B2052"/>
      <c r="C2052"/>
      <c r="D2052"/>
      <c r="E2052"/>
      <c r="F2052"/>
      <c r="G2052"/>
      <c r="H2052"/>
      <c r="I2052"/>
      <c r="J2052"/>
      <c r="K2052"/>
      <c r="L2052"/>
      <c r="M2052"/>
      <c r="N2052"/>
      <c r="O2052"/>
    </row>
    <row r="2053" spans="1:15">
      <c r="A2053"/>
      <c r="B2053"/>
      <c r="C2053"/>
      <c r="D2053"/>
      <c r="E2053"/>
      <c r="F2053"/>
      <c r="G2053"/>
      <c r="H2053"/>
      <c r="I2053"/>
      <c r="J2053"/>
      <c r="K2053"/>
      <c r="L2053"/>
      <c r="M2053"/>
      <c r="N2053"/>
      <c r="O2053"/>
    </row>
    <row r="2054" spans="1:15">
      <c r="A2054"/>
      <c r="B2054"/>
      <c r="C2054"/>
      <c r="D2054"/>
      <c r="E2054"/>
      <c r="F2054"/>
      <c r="G2054"/>
      <c r="H2054"/>
      <c r="I2054"/>
      <c r="J2054"/>
      <c r="K2054"/>
      <c r="L2054"/>
      <c r="M2054"/>
      <c r="N2054"/>
      <c r="O2054"/>
    </row>
    <row r="2055" spans="1:15">
      <c r="A2055"/>
      <c r="B2055"/>
      <c r="C2055"/>
      <c r="D2055"/>
      <c r="E2055"/>
      <c r="F2055"/>
      <c r="G2055"/>
      <c r="H2055"/>
      <c r="I2055"/>
      <c r="J2055"/>
      <c r="K2055"/>
      <c r="L2055"/>
      <c r="M2055"/>
      <c r="N2055"/>
      <c r="O2055"/>
    </row>
    <row r="2056" spans="1:15">
      <c r="A2056"/>
      <c r="B2056"/>
      <c r="C2056"/>
      <c r="D2056"/>
      <c r="E2056"/>
      <c r="F2056"/>
      <c r="G2056"/>
      <c r="H2056"/>
      <c r="I2056"/>
      <c r="J2056"/>
      <c r="K2056"/>
      <c r="L2056"/>
      <c r="M2056"/>
      <c r="N2056"/>
      <c r="O2056"/>
    </row>
    <row r="2057" spans="1:15">
      <c r="A2057"/>
      <c r="B2057"/>
      <c r="C2057"/>
      <c r="D2057"/>
      <c r="E2057"/>
      <c r="F2057"/>
      <c r="G2057"/>
      <c r="H2057"/>
      <c r="I2057"/>
      <c r="J2057"/>
      <c r="K2057"/>
      <c r="L2057"/>
      <c r="M2057"/>
      <c r="N2057"/>
      <c r="O2057"/>
    </row>
    <row r="2058" spans="1:15">
      <c r="A2058"/>
      <c r="B2058"/>
      <c r="C2058"/>
      <c r="D2058"/>
      <c r="E2058"/>
      <c r="F2058"/>
      <c r="G2058"/>
      <c r="H2058"/>
      <c r="I2058"/>
      <c r="J2058"/>
      <c r="K2058"/>
      <c r="L2058"/>
      <c r="M2058"/>
      <c r="N2058"/>
      <c r="O2058"/>
    </row>
    <row r="2059" spans="1:15">
      <c r="A2059"/>
      <c r="B2059"/>
      <c r="C2059"/>
      <c r="D2059"/>
      <c r="E2059"/>
      <c r="F2059"/>
      <c r="G2059"/>
      <c r="H2059"/>
      <c r="I2059"/>
      <c r="J2059"/>
      <c r="K2059"/>
      <c r="L2059"/>
      <c r="M2059"/>
      <c r="N2059"/>
      <c r="O2059"/>
    </row>
    <row r="2060" spans="1:15">
      <c r="A2060"/>
      <c r="B2060"/>
      <c r="C2060"/>
      <c r="D2060"/>
      <c r="E2060"/>
      <c r="F2060"/>
      <c r="G2060"/>
      <c r="H2060"/>
      <c r="I2060"/>
      <c r="J2060"/>
      <c r="K2060"/>
      <c r="L2060"/>
      <c r="M2060"/>
      <c r="N2060"/>
      <c r="O2060"/>
    </row>
    <row r="2061" spans="1:15">
      <c r="A2061"/>
      <c r="B2061"/>
      <c r="C2061"/>
      <c r="D2061"/>
      <c r="E2061"/>
      <c r="F2061"/>
      <c r="G2061"/>
      <c r="H2061"/>
      <c r="I2061"/>
      <c r="J2061"/>
      <c r="K2061"/>
      <c r="L2061"/>
      <c r="M2061"/>
      <c r="N2061"/>
      <c r="O2061"/>
    </row>
    <row r="2062" spans="1:15">
      <c r="A2062"/>
      <c r="B2062"/>
      <c r="C2062"/>
      <c r="D2062"/>
      <c r="E2062"/>
      <c r="F2062"/>
      <c r="G2062"/>
      <c r="H2062"/>
      <c r="I2062"/>
      <c r="J2062"/>
      <c r="K2062"/>
      <c r="L2062"/>
      <c r="M2062"/>
      <c r="N2062"/>
      <c r="O2062"/>
    </row>
    <row r="2063" spans="1:15">
      <c r="A2063"/>
      <c r="B2063"/>
      <c r="C2063"/>
      <c r="D2063"/>
      <c r="E2063"/>
      <c r="F2063"/>
      <c r="G2063"/>
      <c r="H2063"/>
      <c r="I2063"/>
      <c r="J2063"/>
      <c r="K2063"/>
      <c r="L2063"/>
      <c r="M2063"/>
      <c r="N2063"/>
      <c r="O2063"/>
    </row>
    <row r="2064" spans="1:15">
      <c r="A2064"/>
      <c r="B2064"/>
      <c r="C2064"/>
      <c r="D2064"/>
      <c r="E2064"/>
      <c r="F2064"/>
      <c r="G2064"/>
      <c r="H2064"/>
      <c r="I2064"/>
      <c r="J2064"/>
      <c r="K2064"/>
      <c r="L2064"/>
      <c r="M2064"/>
      <c r="N2064"/>
      <c r="O2064"/>
    </row>
    <row r="2065" spans="1:15">
      <c r="A2065"/>
      <c r="B2065"/>
      <c r="C2065"/>
      <c r="D2065"/>
      <c r="E2065"/>
      <c r="F2065"/>
      <c r="G2065"/>
      <c r="H2065"/>
      <c r="I2065"/>
      <c r="J2065"/>
      <c r="K2065"/>
      <c r="L2065"/>
      <c r="M2065"/>
      <c r="N2065"/>
      <c r="O2065"/>
    </row>
    <row r="2066" spans="1:15">
      <c r="A2066"/>
      <c r="B2066"/>
      <c r="C2066"/>
      <c r="D2066"/>
      <c r="E2066"/>
      <c r="F2066"/>
      <c r="G2066"/>
      <c r="H2066"/>
      <c r="I2066"/>
      <c r="J2066"/>
      <c r="K2066"/>
      <c r="L2066"/>
      <c r="M2066"/>
      <c r="N2066"/>
      <c r="O2066"/>
    </row>
    <row r="2067" spans="1:15">
      <c r="A2067"/>
      <c r="B2067"/>
      <c r="C2067"/>
      <c r="D2067"/>
      <c r="E2067"/>
      <c r="F2067"/>
      <c r="G2067"/>
      <c r="H2067"/>
      <c r="I2067"/>
      <c r="J2067"/>
      <c r="K2067"/>
      <c r="L2067"/>
      <c r="M2067"/>
      <c r="N2067"/>
      <c r="O2067"/>
    </row>
    <row r="2068" spans="1:15">
      <c r="A2068"/>
      <c r="B2068"/>
      <c r="C2068"/>
      <c r="D2068"/>
      <c r="E2068"/>
      <c r="F2068"/>
      <c r="G2068"/>
      <c r="H2068"/>
      <c r="I2068"/>
      <c r="J2068"/>
      <c r="K2068"/>
      <c r="L2068"/>
      <c r="M2068"/>
      <c r="N2068"/>
      <c r="O2068"/>
    </row>
    <row r="2069" spans="1:15">
      <c r="A2069"/>
      <c r="B2069"/>
      <c r="C2069"/>
      <c r="D2069"/>
      <c r="E2069"/>
      <c r="F2069"/>
      <c r="G2069"/>
      <c r="H2069"/>
      <c r="I2069"/>
      <c r="J2069"/>
      <c r="K2069"/>
      <c r="L2069"/>
      <c r="M2069"/>
      <c r="N2069"/>
      <c r="O2069"/>
    </row>
    <row r="2070" spans="1:15">
      <c r="A2070"/>
      <c r="B2070"/>
      <c r="C2070"/>
      <c r="D2070"/>
      <c r="E2070"/>
      <c r="F2070"/>
      <c r="G2070"/>
      <c r="H2070"/>
      <c r="I2070"/>
      <c r="J2070"/>
      <c r="K2070"/>
      <c r="L2070"/>
      <c r="M2070"/>
      <c r="N2070"/>
      <c r="O2070"/>
    </row>
    <row r="2071" spans="1:15">
      <c r="A2071"/>
      <c r="B2071"/>
      <c r="C2071"/>
      <c r="D2071"/>
      <c r="E2071"/>
      <c r="F2071"/>
      <c r="G2071"/>
      <c r="H2071"/>
      <c r="I2071"/>
      <c r="J2071"/>
      <c r="K2071"/>
      <c r="L2071"/>
      <c r="M2071"/>
      <c r="N2071"/>
      <c r="O2071"/>
    </row>
    <row r="2072" spans="1:15">
      <c r="A2072"/>
      <c r="B2072"/>
      <c r="C2072"/>
      <c r="D2072"/>
      <c r="E2072"/>
      <c r="F2072"/>
      <c r="G2072"/>
      <c r="H2072"/>
      <c r="I2072"/>
      <c r="J2072"/>
      <c r="K2072"/>
      <c r="L2072"/>
      <c r="M2072"/>
      <c r="N2072"/>
      <c r="O2072"/>
    </row>
    <row r="2073" spans="1:15">
      <c r="A2073"/>
      <c r="B2073"/>
      <c r="C2073"/>
      <c r="D2073"/>
      <c r="E2073"/>
      <c r="F2073"/>
      <c r="G2073"/>
      <c r="H2073"/>
      <c r="I2073"/>
      <c r="J2073"/>
      <c r="K2073"/>
      <c r="L2073"/>
      <c r="M2073"/>
      <c r="N2073"/>
      <c r="O2073"/>
    </row>
    <row r="2074" spans="1:15">
      <c r="A2074"/>
      <c r="B2074"/>
      <c r="C2074"/>
      <c r="D2074"/>
      <c r="E2074"/>
      <c r="F2074"/>
      <c r="G2074"/>
      <c r="H2074"/>
      <c r="I2074"/>
      <c r="J2074"/>
      <c r="K2074"/>
      <c r="L2074"/>
      <c r="M2074"/>
      <c r="N2074"/>
      <c r="O2074"/>
    </row>
    <row r="2075" spans="1:15">
      <c r="A2075"/>
      <c r="B2075"/>
      <c r="C2075"/>
      <c r="D2075"/>
      <c r="E2075"/>
      <c r="F2075"/>
      <c r="G2075"/>
      <c r="H2075"/>
      <c r="I2075"/>
      <c r="J2075"/>
      <c r="K2075"/>
      <c r="L2075"/>
      <c r="M2075"/>
      <c r="N2075"/>
      <c r="O2075"/>
    </row>
    <row r="2076" spans="1:15">
      <c r="A2076"/>
      <c r="B2076"/>
      <c r="C2076"/>
      <c r="D2076"/>
      <c r="E2076"/>
      <c r="F2076"/>
      <c r="G2076"/>
      <c r="H2076"/>
      <c r="I2076"/>
      <c r="J2076"/>
      <c r="K2076"/>
      <c r="L2076"/>
      <c r="M2076"/>
      <c r="N2076"/>
      <c r="O2076"/>
    </row>
    <row r="2077" spans="1:15">
      <c r="A2077"/>
      <c r="B2077"/>
      <c r="C2077"/>
      <c r="D2077"/>
      <c r="E2077"/>
      <c r="F2077"/>
      <c r="G2077"/>
      <c r="H2077"/>
      <c r="I2077"/>
      <c r="J2077"/>
      <c r="K2077"/>
      <c r="L2077"/>
      <c r="M2077"/>
      <c r="N2077"/>
      <c r="O2077"/>
    </row>
    <row r="2078" spans="1:15">
      <c r="A2078"/>
      <c r="B2078"/>
      <c r="C2078"/>
      <c r="D2078"/>
      <c r="E2078"/>
      <c r="F2078"/>
      <c r="G2078"/>
      <c r="H2078"/>
      <c r="I2078"/>
      <c r="J2078"/>
      <c r="K2078"/>
      <c r="L2078"/>
      <c r="M2078"/>
      <c r="N2078"/>
      <c r="O2078"/>
    </row>
    <row r="2079" spans="1:15">
      <c r="A2079"/>
      <c r="B2079"/>
      <c r="C2079"/>
      <c r="D2079"/>
      <c r="E2079"/>
      <c r="F2079"/>
      <c r="G2079"/>
      <c r="H2079"/>
      <c r="I2079"/>
      <c r="J2079"/>
      <c r="K2079"/>
      <c r="L2079"/>
      <c r="M2079"/>
      <c r="N2079"/>
      <c r="O2079"/>
    </row>
    <row r="2080" spans="1:15">
      <c r="A2080"/>
      <c r="B2080"/>
      <c r="C2080"/>
      <c r="D2080"/>
      <c r="E2080"/>
      <c r="F2080"/>
      <c r="G2080"/>
      <c r="H2080"/>
      <c r="I2080"/>
      <c r="J2080"/>
      <c r="K2080"/>
      <c r="L2080"/>
      <c r="M2080"/>
      <c r="N2080"/>
      <c r="O2080"/>
    </row>
    <row r="2081" spans="1:15">
      <c r="A2081"/>
      <c r="B2081"/>
      <c r="C2081"/>
      <c r="D2081"/>
      <c r="E2081"/>
      <c r="F2081"/>
      <c r="G2081"/>
      <c r="H2081"/>
      <c r="I2081"/>
      <c r="J2081"/>
      <c r="K2081"/>
      <c r="L2081"/>
      <c r="M2081"/>
      <c r="N2081"/>
      <c r="O2081"/>
    </row>
    <row r="2082" spans="1:15">
      <c r="A2082"/>
      <c r="B2082"/>
      <c r="C2082"/>
      <c r="D2082"/>
      <c r="E2082"/>
      <c r="F2082"/>
      <c r="G2082"/>
      <c r="H2082"/>
      <c r="I2082"/>
      <c r="J2082"/>
      <c r="K2082"/>
      <c r="L2082"/>
      <c r="M2082"/>
      <c r="N2082"/>
      <c r="O2082"/>
    </row>
    <row r="2083" spans="1:15">
      <c r="A2083"/>
      <c r="B2083"/>
      <c r="C2083"/>
      <c r="D2083"/>
      <c r="E2083"/>
      <c r="F2083"/>
      <c r="G2083"/>
      <c r="H2083"/>
      <c r="I2083"/>
      <c r="J2083"/>
      <c r="K2083"/>
      <c r="L2083"/>
      <c r="M2083"/>
      <c r="N2083"/>
      <c r="O2083"/>
    </row>
    <row r="2084" spans="1:15">
      <c r="A2084"/>
      <c r="B2084"/>
      <c r="C2084"/>
      <c r="D2084"/>
      <c r="E2084"/>
      <c r="F2084"/>
      <c r="G2084"/>
      <c r="H2084"/>
      <c r="I2084"/>
      <c r="J2084"/>
      <c r="K2084"/>
      <c r="L2084"/>
      <c r="M2084"/>
      <c r="N2084"/>
      <c r="O2084"/>
    </row>
    <row r="2085" spans="1:15">
      <c r="A2085"/>
      <c r="B2085"/>
      <c r="C2085"/>
      <c r="D2085"/>
      <c r="E2085"/>
      <c r="F2085"/>
      <c r="G2085"/>
      <c r="H2085"/>
      <c r="I2085"/>
      <c r="J2085"/>
      <c r="K2085"/>
      <c r="L2085"/>
      <c r="M2085"/>
      <c r="N2085"/>
      <c r="O2085"/>
    </row>
    <row r="2086" spans="1:15">
      <c r="A2086"/>
      <c r="B2086"/>
      <c r="C2086"/>
      <c r="D2086"/>
      <c r="E2086"/>
      <c r="F2086"/>
      <c r="G2086"/>
      <c r="H2086"/>
      <c r="I2086"/>
      <c r="J2086"/>
      <c r="K2086"/>
      <c r="L2086"/>
      <c r="M2086"/>
      <c r="N2086"/>
      <c r="O2086"/>
    </row>
    <row r="2087" spans="1:15">
      <c r="A2087"/>
      <c r="B2087"/>
      <c r="C2087"/>
      <c r="D2087"/>
      <c r="E2087"/>
      <c r="F2087"/>
      <c r="G2087"/>
      <c r="H2087"/>
      <c r="I2087"/>
      <c r="J2087"/>
      <c r="K2087"/>
      <c r="L2087"/>
      <c r="M2087"/>
      <c r="N2087"/>
      <c r="O2087"/>
    </row>
    <row r="2088" spans="1:15">
      <c r="A2088"/>
      <c r="B2088"/>
      <c r="C2088"/>
      <c r="D2088"/>
      <c r="E2088"/>
      <c r="F2088"/>
      <c r="G2088"/>
      <c r="H2088"/>
      <c r="I2088"/>
      <c r="J2088"/>
      <c r="K2088"/>
      <c r="L2088"/>
      <c r="M2088"/>
      <c r="N2088"/>
      <c r="O2088"/>
    </row>
    <row r="2089" spans="1:15">
      <c r="A2089"/>
      <c r="B2089"/>
      <c r="C2089"/>
      <c r="D2089"/>
      <c r="E2089"/>
      <c r="F2089"/>
      <c r="G2089"/>
      <c r="H2089"/>
      <c r="I2089"/>
      <c r="J2089"/>
      <c r="K2089"/>
      <c r="L2089"/>
      <c r="M2089"/>
      <c r="N2089"/>
      <c r="O2089"/>
    </row>
    <row r="2090" spans="1:15">
      <c r="A2090"/>
      <c r="B2090"/>
      <c r="C2090"/>
      <c r="D2090"/>
      <c r="E2090"/>
      <c r="F2090"/>
      <c r="G2090"/>
      <c r="H2090"/>
      <c r="I2090"/>
      <c r="J2090"/>
      <c r="K2090"/>
      <c r="L2090"/>
      <c r="M2090"/>
      <c r="N2090"/>
      <c r="O2090"/>
    </row>
    <row r="2091" spans="1:15">
      <c r="A2091"/>
      <c r="B2091"/>
      <c r="C2091"/>
      <c r="D2091"/>
      <c r="E2091"/>
      <c r="F2091"/>
      <c r="G2091"/>
      <c r="H2091"/>
      <c r="I2091"/>
      <c r="J2091"/>
      <c r="K2091"/>
      <c r="L2091"/>
      <c r="M2091"/>
      <c r="N2091"/>
      <c r="O2091"/>
    </row>
    <row r="2092" spans="1:15">
      <c r="A2092"/>
      <c r="B2092"/>
      <c r="C2092"/>
      <c r="D2092"/>
      <c r="E2092"/>
      <c r="F2092"/>
      <c r="G2092"/>
      <c r="H2092"/>
      <c r="I2092"/>
      <c r="J2092"/>
      <c r="K2092"/>
      <c r="L2092"/>
      <c r="M2092"/>
      <c r="N2092"/>
      <c r="O2092"/>
    </row>
    <row r="2093" spans="1:15">
      <c r="A2093"/>
      <c r="B2093"/>
      <c r="C2093"/>
      <c r="D2093"/>
      <c r="E2093"/>
      <c r="F2093"/>
      <c r="G2093"/>
      <c r="H2093"/>
      <c r="I2093"/>
      <c r="J2093"/>
      <c r="K2093"/>
      <c r="L2093"/>
      <c r="M2093"/>
      <c r="N2093"/>
      <c r="O2093"/>
    </row>
    <row r="2094" spans="1:15">
      <c r="A2094"/>
      <c r="B2094"/>
      <c r="C2094"/>
      <c r="D2094"/>
      <c r="E2094"/>
      <c r="F2094"/>
      <c r="G2094"/>
      <c r="H2094"/>
      <c r="I2094"/>
      <c r="J2094"/>
      <c r="K2094"/>
      <c r="L2094"/>
      <c r="M2094"/>
      <c r="N2094"/>
      <c r="O2094"/>
    </row>
    <row r="2095" spans="1:15">
      <c r="A2095"/>
      <c r="B2095"/>
      <c r="C2095"/>
      <c r="D2095"/>
      <c r="E2095"/>
      <c r="F2095"/>
      <c r="G2095"/>
      <c r="H2095"/>
      <c r="I2095"/>
      <c r="J2095"/>
      <c r="K2095"/>
      <c r="L2095"/>
      <c r="M2095"/>
      <c r="N2095"/>
      <c r="O2095"/>
    </row>
    <row r="2096" spans="1:15">
      <c r="A2096"/>
      <c r="B2096"/>
      <c r="C2096"/>
      <c r="D2096"/>
      <c r="E2096"/>
      <c r="F2096"/>
      <c r="G2096"/>
      <c r="H2096"/>
      <c r="I2096"/>
      <c r="J2096"/>
      <c r="K2096"/>
      <c r="L2096"/>
      <c r="M2096"/>
      <c r="N2096"/>
      <c r="O2096"/>
    </row>
    <row r="2097" spans="1:15">
      <c r="A2097"/>
      <c r="B2097"/>
      <c r="C2097"/>
      <c r="D2097"/>
      <c r="E2097"/>
      <c r="F2097"/>
      <c r="G2097"/>
      <c r="H2097"/>
      <c r="I2097"/>
      <c r="J2097"/>
      <c r="K2097"/>
      <c r="L2097"/>
      <c r="M2097"/>
      <c r="N2097"/>
      <c r="O2097"/>
    </row>
    <row r="2098" spans="1:15">
      <c r="A2098"/>
      <c r="B2098"/>
      <c r="C2098"/>
      <c r="D2098"/>
      <c r="E2098"/>
      <c r="F2098"/>
      <c r="G2098"/>
      <c r="H2098"/>
      <c r="I2098"/>
      <c r="J2098"/>
      <c r="K2098"/>
      <c r="L2098"/>
      <c r="M2098"/>
      <c r="N2098"/>
      <c r="O2098"/>
    </row>
    <row r="2099" spans="1:15">
      <c r="A2099"/>
      <c r="B2099"/>
      <c r="C2099"/>
      <c r="D2099"/>
      <c r="E2099"/>
      <c r="F2099"/>
      <c r="G2099"/>
      <c r="H2099"/>
      <c r="I2099"/>
      <c r="J2099"/>
      <c r="K2099"/>
      <c r="L2099"/>
      <c r="M2099"/>
      <c r="N2099"/>
      <c r="O2099"/>
    </row>
    <row r="2100" spans="1:15">
      <c r="A2100"/>
      <c r="B2100"/>
      <c r="C2100"/>
      <c r="D2100"/>
      <c r="E2100"/>
      <c r="F2100"/>
      <c r="G2100"/>
      <c r="H2100"/>
      <c r="I2100"/>
      <c r="J2100"/>
      <c r="K2100"/>
      <c r="L2100"/>
      <c r="M2100"/>
      <c r="N2100"/>
      <c r="O2100"/>
    </row>
    <row r="2101" spans="1:15">
      <c r="A2101"/>
      <c r="B2101"/>
      <c r="C2101"/>
      <c r="D2101"/>
      <c r="E2101"/>
      <c r="F2101"/>
      <c r="G2101"/>
      <c r="H2101"/>
      <c r="I2101"/>
      <c r="J2101"/>
      <c r="K2101"/>
      <c r="L2101"/>
      <c r="M2101"/>
      <c r="N2101"/>
      <c r="O2101"/>
    </row>
    <row r="2102" spans="1:15">
      <c r="A2102"/>
      <c r="B2102"/>
      <c r="C2102"/>
      <c r="D2102"/>
      <c r="E2102"/>
      <c r="F2102"/>
      <c r="G2102"/>
      <c r="H2102"/>
      <c r="I2102"/>
      <c r="J2102"/>
      <c r="K2102"/>
      <c r="L2102"/>
      <c r="M2102"/>
      <c r="N2102"/>
      <c r="O2102"/>
    </row>
    <row r="2103" spans="1:15">
      <c r="A2103"/>
      <c r="B2103"/>
      <c r="C2103"/>
      <c r="D2103"/>
      <c r="E2103"/>
      <c r="F2103"/>
      <c r="G2103"/>
      <c r="H2103"/>
      <c r="I2103"/>
      <c r="J2103"/>
      <c r="K2103"/>
      <c r="L2103"/>
      <c r="M2103"/>
      <c r="N2103"/>
      <c r="O2103"/>
    </row>
    <row r="2104" spans="1:15">
      <c r="A2104"/>
      <c r="B2104"/>
      <c r="C2104"/>
      <c r="D2104"/>
      <c r="E2104"/>
      <c r="F2104"/>
      <c r="G2104"/>
      <c r="H2104"/>
      <c r="I2104"/>
      <c r="J2104"/>
      <c r="K2104"/>
      <c r="L2104"/>
      <c r="M2104"/>
      <c r="N2104"/>
      <c r="O2104"/>
    </row>
    <row r="2105" spans="1:15">
      <c r="A2105"/>
      <c r="B2105"/>
      <c r="C2105"/>
      <c r="D2105"/>
      <c r="E2105"/>
      <c r="F2105"/>
      <c r="G2105"/>
      <c r="H2105"/>
      <c r="I2105"/>
      <c r="J2105"/>
      <c r="K2105"/>
      <c r="L2105"/>
      <c r="M2105"/>
      <c r="N2105"/>
      <c r="O2105"/>
    </row>
    <row r="2106" spans="1:15">
      <c r="A2106"/>
      <c r="B2106"/>
      <c r="C2106"/>
      <c r="D2106"/>
      <c r="E2106"/>
      <c r="F2106"/>
      <c r="G2106"/>
      <c r="H2106"/>
      <c r="I2106"/>
      <c r="J2106"/>
      <c r="K2106"/>
      <c r="L2106"/>
      <c r="M2106"/>
      <c r="N2106"/>
      <c r="O2106"/>
    </row>
    <row r="2107" spans="1:15">
      <c r="A2107"/>
      <c r="B2107"/>
      <c r="C2107"/>
      <c r="D2107"/>
      <c r="E2107"/>
      <c r="F2107"/>
      <c r="G2107"/>
      <c r="H2107"/>
      <c r="I2107"/>
      <c r="J2107"/>
      <c r="K2107"/>
      <c r="L2107"/>
      <c r="M2107"/>
      <c r="N2107"/>
      <c r="O2107"/>
    </row>
    <row r="2108" spans="1:15">
      <c r="A2108"/>
      <c r="B2108"/>
      <c r="C2108"/>
      <c r="D2108"/>
      <c r="E2108"/>
      <c r="F2108"/>
      <c r="G2108"/>
      <c r="H2108"/>
      <c r="I2108"/>
      <c r="J2108"/>
      <c r="K2108"/>
      <c r="L2108"/>
      <c r="M2108"/>
      <c r="N2108"/>
      <c r="O2108"/>
    </row>
    <row r="2109" spans="1:15">
      <c r="A2109"/>
      <c r="B2109"/>
      <c r="C2109"/>
      <c r="D2109"/>
      <c r="E2109"/>
      <c r="F2109"/>
      <c r="G2109"/>
      <c r="H2109"/>
      <c r="I2109"/>
      <c r="J2109"/>
      <c r="K2109"/>
      <c r="L2109"/>
      <c r="M2109"/>
      <c r="N2109"/>
      <c r="O2109"/>
    </row>
    <row r="2110" spans="1:15">
      <c r="A2110"/>
      <c r="B2110"/>
      <c r="C2110"/>
      <c r="D2110"/>
      <c r="E2110"/>
      <c r="F2110"/>
      <c r="G2110"/>
      <c r="H2110"/>
      <c r="I2110"/>
      <c r="J2110"/>
      <c r="K2110"/>
      <c r="L2110"/>
      <c r="M2110"/>
      <c r="N2110"/>
      <c r="O2110"/>
    </row>
    <row r="2111" spans="1:15">
      <c r="A2111"/>
      <c r="B2111"/>
      <c r="C2111"/>
      <c r="D2111"/>
      <c r="E2111"/>
      <c r="F2111"/>
      <c r="G2111"/>
      <c r="H2111"/>
      <c r="I2111"/>
      <c r="J2111"/>
      <c r="K2111"/>
      <c r="L2111"/>
      <c r="M2111"/>
      <c r="N2111"/>
      <c r="O2111"/>
    </row>
    <row r="2112" spans="1:15">
      <c r="A2112"/>
      <c r="B2112"/>
      <c r="C2112"/>
      <c r="D2112"/>
      <c r="E2112"/>
      <c r="F2112"/>
      <c r="G2112"/>
      <c r="H2112"/>
      <c r="I2112"/>
      <c r="J2112"/>
      <c r="K2112"/>
      <c r="L2112"/>
      <c r="M2112"/>
      <c r="N2112"/>
      <c r="O2112"/>
    </row>
    <row r="2113" spans="1:15">
      <c r="A2113"/>
      <c r="B2113"/>
      <c r="C2113"/>
      <c r="D2113"/>
      <c r="E2113"/>
      <c r="F2113"/>
      <c r="G2113"/>
      <c r="H2113"/>
      <c r="I2113"/>
      <c r="J2113"/>
      <c r="K2113"/>
      <c r="L2113"/>
      <c r="M2113"/>
      <c r="N2113"/>
      <c r="O2113"/>
    </row>
    <row r="2114" spans="1:15">
      <c r="A2114"/>
      <c r="B2114"/>
      <c r="C2114"/>
      <c r="D2114"/>
      <c r="E2114"/>
      <c r="F2114"/>
      <c r="G2114"/>
      <c r="H2114"/>
      <c r="I2114"/>
      <c r="J2114"/>
      <c r="K2114"/>
      <c r="L2114"/>
      <c r="M2114"/>
      <c r="N2114"/>
      <c r="O2114"/>
    </row>
    <row r="2115" spans="1:15">
      <c r="A2115"/>
      <c r="B2115"/>
      <c r="C2115"/>
      <c r="D2115"/>
      <c r="E2115"/>
      <c r="F2115"/>
      <c r="G2115"/>
      <c r="H2115"/>
      <c r="I2115"/>
      <c r="J2115"/>
      <c r="K2115"/>
      <c r="L2115"/>
      <c r="M2115"/>
      <c r="N2115"/>
      <c r="O2115"/>
    </row>
    <row r="2116" spans="1:15">
      <c r="A2116"/>
      <c r="B2116"/>
      <c r="C2116"/>
      <c r="D2116"/>
      <c r="E2116"/>
      <c r="F2116"/>
      <c r="G2116"/>
      <c r="H2116"/>
      <c r="I2116"/>
      <c r="J2116"/>
      <c r="K2116"/>
      <c r="L2116"/>
      <c r="M2116"/>
      <c r="N2116"/>
      <c r="O2116"/>
    </row>
    <row r="2117" spans="1:15">
      <c r="A2117"/>
      <c r="B2117"/>
      <c r="C2117"/>
      <c r="D2117"/>
      <c r="E2117"/>
      <c r="F2117"/>
      <c r="G2117"/>
      <c r="H2117"/>
      <c r="I2117"/>
      <c r="J2117"/>
      <c r="K2117"/>
      <c r="L2117"/>
      <c r="M2117"/>
      <c r="N2117"/>
      <c r="O2117"/>
    </row>
    <row r="2118" spans="1:15">
      <c r="A2118"/>
      <c r="B2118"/>
      <c r="C2118"/>
      <c r="D2118"/>
      <c r="E2118"/>
      <c r="F2118"/>
      <c r="G2118"/>
      <c r="H2118"/>
      <c r="I2118"/>
      <c r="J2118"/>
      <c r="K2118"/>
      <c r="L2118"/>
      <c r="M2118"/>
      <c r="N2118"/>
      <c r="O2118"/>
    </row>
    <row r="2119" spans="1:15">
      <c r="A2119"/>
      <c r="B2119"/>
      <c r="C2119"/>
      <c r="D2119"/>
      <c r="E2119"/>
      <c r="F2119"/>
      <c r="G2119"/>
      <c r="H2119"/>
      <c r="I2119"/>
      <c r="J2119"/>
      <c r="K2119"/>
      <c r="L2119"/>
      <c r="M2119"/>
      <c r="N2119"/>
      <c r="O2119"/>
    </row>
    <row r="2120" spans="1:15">
      <c r="A2120"/>
      <c r="B2120"/>
      <c r="C2120"/>
      <c r="D2120"/>
      <c r="E2120"/>
      <c r="F2120"/>
      <c r="G2120"/>
      <c r="H2120"/>
      <c r="I2120"/>
      <c r="J2120"/>
      <c r="K2120"/>
      <c r="L2120"/>
      <c r="M2120"/>
      <c r="N2120"/>
      <c r="O2120"/>
    </row>
    <row r="2121" spans="1:15">
      <c r="A2121"/>
      <c r="B2121"/>
      <c r="C2121"/>
      <c r="D2121"/>
      <c r="E2121"/>
      <c r="F2121"/>
      <c r="G2121"/>
      <c r="H2121"/>
      <c r="I2121"/>
      <c r="J2121"/>
      <c r="K2121"/>
      <c r="L2121"/>
      <c r="M2121"/>
      <c r="N2121"/>
      <c r="O2121"/>
    </row>
    <row r="2122" spans="1:15">
      <c r="A2122"/>
      <c r="B2122"/>
      <c r="C2122"/>
      <c r="D2122"/>
      <c r="E2122"/>
      <c r="F2122"/>
      <c r="G2122"/>
      <c r="H2122"/>
      <c r="I2122"/>
      <c r="J2122"/>
      <c r="K2122"/>
      <c r="L2122"/>
      <c r="M2122"/>
      <c r="N2122"/>
      <c r="O2122"/>
    </row>
    <row r="2123" spans="1:15">
      <c r="A2123"/>
      <c r="B2123"/>
      <c r="C2123"/>
      <c r="D2123"/>
      <c r="E2123"/>
      <c r="F2123"/>
      <c r="G2123"/>
      <c r="H2123"/>
      <c r="I2123"/>
      <c r="J2123"/>
      <c r="K2123"/>
      <c r="L2123"/>
      <c r="M2123"/>
      <c r="N2123"/>
      <c r="O2123"/>
    </row>
    <row r="2124" spans="1:15">
      <c r="A2124"/>
      <c r="B2124"/>
      <c r="C2124"/>
      <c r="D2124"/>
      <c r="E2124"/>
      <c r="F2124"/>
      <c r="G2124"/>
      <c r="H2124"/>
      <c r="I2124"/>
      <c r="J2124"/>
      <c r="K2124"/>
      <c r="L2124"/>
      <c r="M2124"/>
      <c r="N2124"/>
      <c r="O2124"/>
    </row>
    <row r="2125" spans="1:15">
      <c r="A2125"/>
      <c r="B2125"/>
      <c r="C2125"/>
      <c r="D2125"/>
      <c r="E2125"/>
      <c r="F2125"/>
      <c r="G2125"/>
      <c r="H2125"/>
      <c r="I2125"/>
      <c r="J2125"/>
      <c r="K2125"/>
      <c r="L2125"/>
      <c r="M2125"/>
      <c r="N2125"/>
      <c r="O2125"/>
    </row>
    <row r="2126" spans="1:15">
      <c r="A2126"/>
      <c r="B2126"/>
      <c r="C2126"/>
      <c r="D2126"/>
      <c r="E2126"/>
      <c r="F2126"/>
      <c r="G2126"/>
      <c r="H2126"/>
      <c r="I2126"/>
      <c r="J2126"/>
      <c r="K2126"/>
      <c r="L2126"/>
      <c r="M2126"/>
      <c r="N2126"/>
      <c r="O2126"/>
    </row>
    <row r="2127" spans="1:15">
      <c r="A2127"/>
      <c r="B2127"/>
      <c r="C2127"/>
      <c r="D2127"/>
      <c r="E2127"/>
      <c r="F2127"/>
      <c r="G2127"/>
      <c r="H2127"/>
      <c r="I2127"/>
      <c r="J2127"/>
      <c r="K2127"/>
      <c r="L2127"/>
      <c r="M2127"/>
      <c r="N2127"/>
      <c r="O2127"/>
    </row>
    <row r="2128" spans="1:15">
      <c r="A2128"/>
      <c r="B2128"/>
      <c r="C2128"/>
      <c r="D2128"/>
      <c r="E2128"/>
      <c r="F2128"/>
      <c r="G2128"/>
      <c r="H2128"/>
      <c r="I2128"/>
      <c r="J2128"/>
      <c r="K2128"/>
      <c r="L2128"/>
      <c r="M2128"/>
      <c r="N2128"/>
      <c r="O2128"/>
    </row>
    <row r="2129" spans="1:15">
      <c r="A2129"/>
      <c r="B2129"/>
      <c r="C2129"/>
      <c r="D2129"/>
      <c r="E2129"/>
      <c r="F2129"/>
      <c r="G2129"/>
      <c r="H2129"/>
      <c r="I2129"/>
      <c r="J2129"/>
      <c r="K2129"/>
      <c r="L2129"/>
      <c r="M2129"/>
      <c r="N2129"/>
      <c r="O2129"/>
    </row>
    <row r="2130" spans="1:15">
      <c r="A2130"/>
      <c r="B2130"/>
      <c r="C2130"/>
      <c r="D2130"/>
      <c r="E2130"/>
      <c r="F2130"/>
      <c r="G2130"/>
      <c r="H2130"/>
      <c r="I2130"/>
      <c r="J2130"/>
      <c r="K2130"/>
      <c r="L2130"/>
      <c r="M2130"/>
      <c r="N2130"/>
      <c r="O2130"/>
    </row>
    <row r="2131" spans="1:15">
      <c r="A2131"/>
      <c r="B2131"/>
      <c r="C2131"/>
      <c r="D2131"/>
      <c r="E2131"/>
      <c r="F2131"/>
      <c r="G2131"/>
      <c r="H2131"/>
      <c r="I2131"/>
      <c r="J2131"/>
      <c r="K2131"/>
      <c r="L2131"/>
      <c r="M2131"/>
      <c r="N2131"/>
      <c r="O2131"/>
    </row>
    <row r="2132" spans="1:15">
      <c r="A2132"/>
      <c r="B2132"/>
      <c r="C2132"/>
      <c r="D2132"/>
      <c r="E2132"/>
      <c r="F2132"/>
      <c r="G2132"/>
      <c r="H2132"/>
      <c r="I2132"/>
      <c r="J2132"/>
      <c r="K2132"/>
      <c r="L2132"/>
      <c r="M2132"/>
      <c r="N2132"/>
      <c r="O2132"/>
    </row>
    <row r="2133" spans="1:15">
      <c r="A2133"/>
      <c r="B2133"/>
      <c r="C2133"/>
      <c r="D2133"/>
      <c r="E2133"/>
      <c r="F2133"/>
      <c r="G2133"/>
      <c r="H2133"/>
      <c r="I2133"/>
      <c r="J2133"/>
      <c r="K2133"/>
      <c r="L2133"/>
      <c r="M2133"/>
      <c r="N2133"/>
      <c r="O2133"/>
    </row>
    <row r="2134" spans="1:15">
      <c r="A2134"/>
      <c r="B2134"/>
      <c r="C2134"/>
      <c r="D2134"/>
      <c r="E2134"/>
      <c r="F2134"/>
      <c r="G2134"/>
      <c r="H2134"/>
      <c r="I2134"/>
      <c r="J2134"/>
      <c r="K2134"/>
      <c r="L2134"/>
      <c r="M2134"/>
      <c r="N2134"/>
      <c r="O2134"/>
    </row>
    <row r="2135" spans="1:15">
      <c r="A2135"/>
      <c r="B2135"/>
      <c r="C2135"/>
      <c r="D2135"/>
      <c r="E2135"/>
      <c r="F2135"/>
      <c r="G2135"/>
      <c r="H2135"/>
      <c r="I2135"/>
      <c r="J2135"/>
      <c r="K2135"/>
      <c r="L2135"/>
      <c r="M2135"/>
      <c r="N2135"/>
      <c r="O2135"/>
    </row>
    <row r="2136" spans="1:15">
      <c r="A2136"/>
      <c r="B2136"/>
      <c r="C2136"/>
      <c r="D2136"/>
      <c r="E2136"/>
      <c r="F2136"/>
      <c r="G2136"/>
      <c r="H2136"/>
      <c r="I2136"/>
      <c r="J2136"/>
      <c r="K2136"/>
      <c r="L2136"/>
      <c r="M2136"/>
      <c r="N2136"/>
      <c r="O2136"/>
    </row>
    <row r="2137" spans="1:15">
      <c r="A2137"/>
      <c r="B2137"/>
      <c r="C2137"/>
      <c r="D2137"/>
      <c r="E2137"/>
      <c r="F2137"/>
      <c r="G2137"/>
      <c r="H2137"/>
      <c r="I2137"/>
      <c r="J2137"/>
      <c r="K2137"/>
      <c r="L2137"/>
      <c r="M2137"/>
      <c r="N2137"/>
      <c r="O2137"/>
    </row>
    <row r="2138" spans="1:15">
      <c r="A2138"/>
      <c r="B2138"/>
      <c r="C2138"/>
      <c r="D2138"/>
      <c r="E2138"/>
      <c r="F2138"/>
      <c r="G2138"/>
      <c r="H2138"/>
      <c r="I2138"/>
      <c r="J2138"/>
      <c r="K2138"/>
      <c r="L2138"/>
      <c r="M2138"/>
      <c r="N2138"/>
      <c r="O2138"/>
    </row>
    <row r="2139" spans="1:15">
      <c r="A2139"/>
      <c r="B2139"/>
      <c r="C2139"/>
      <c r="D2139"/>
      <c r="E2139"/>
      <c r="F2139"/>
      <c r="G2139"/>
      <c r="H2139"/>
      <c r="I2139"/>
      <c r="J2139"/>
      <c r="K2139"/>
      <c r="L2139"/>
      <c r="M2139"/>
      <c r="N2139"/>
      <c r="O2139"/>
    </row>
    <row r="2140" spans="1:15">
      <c r="A2140"/>
      <c r="B2140"/>
      <c r="C2140"/>
      <c r="D2140"/>
      <c r="E2140"/>
      <c r="F2140"/>
      <c r="G2140"/>
      <c r="H2140"/>
      <c r="I2140"/>
      <c r="J2140"/>
      <c r="K2140"/>
      <c r="L2140"/>
      <c r="M2140"/>
      <c r="N2140"/>
      <c r="O2140"/>
    </row>
    <row r="2141" spans="1:15">
      <c r="A2141"/>
      <c r="B2141"/>
      <c r="C2141"/>
      <c r="D2141"/>
      <c r="E2141"/>
      <c r="F2141"/>
      <c r="G2141"/>
      <c r="H2141"/>
      <c r="I2141"/>
      <c r="J2141"/>
      <c r="K2141"/>
      <c r="L2141"/>
      <c r="M2141"/>
      <c r="N2141"/>
      <c r="O2141"/>
    </row>
    <row r="2142" spans="1:15">
      <c r="A2142"/>
      <c r="B2142"/>
      <c r="C2142"/>
      <c r="D2142"/>
      <c r="E2142"/>
      <c r="F2142"/>
      <c r="G2142"/>
      <c r="H2142"/>
      <c r="I2142"/>
      <c r="J2142"/>
      <c r="K2142"/>
      <c r="L2142"/>
      <c r="M2142"/>
      <c r="N2142"/>
      <c r="O2142"/>
    </row>
    <row r="2143" spans="1:15">
      <c r="A2143"/>
      <c r="B2143"/>
      <c r="C2143"/>
      <c r="D2143"/>
      <c r="E2143"/>
      <c r="F2143"/>
      <c r="G2143"/>
      <c r="H2143"/>
      <c r="I2143"/>
      <c r="J2143"/>
      <c r="K2143"/>
      <c r="L2143"/>
      <c r="M2143"/>
      <c r="N2143"/>
      <c r="O2143"/>
    </row>
    <row r="2144" spans="1:15">
      <c r="A2144"/>
      <c r="B2144"/>
      <c r="C2144"/>
      <c r="D2144"/>
      <c r="E2144"/>
      <c r="F2144"/>
      <c r="G2144"/>
      <c r="H2144"/>
      <c r="I2144"/>
      <c r="J2144"/>
      <c r="K2144"/>
      <c r="L2144"/>
      <c r="M2144"/>
      <c r="N2144"/>
      <c r="O2144"/>
    </row>
    <row r="2145" spans="1:15">
      <c r="A2145"/>
      <c r="B2145"/>
      <c r="C2145"/>
      <c r="D2145"/>
      <c r="E2145"/>
      <c r="F2145"/>
      <c r="G2145"/>
      <c r="H2145"/>
      <c r="I2145"/>
      <c r="J2145"/>
      <c r="K2145"/>
      <c r="L2145"/>
      <c r="M2145"/>
      <c r="N2145"/>
      <c r="O2145"/>
    </row>
    <row r="2146" spans="1:15">
      <c r="A2146"/>
      <c r="B2146"/>
      <c r="C2146"/>
      <c r="D2146"/>
      <c r="E2146"/>
      <c r="F2146"/>
      <c r="G2146"/>
      <c r="H2146"/>
      <c r="I2146"/>
      <c r="J2146"/>
      <c r="K2146"/>
      <c r="L2146"/>
      <c r="M2146"/>
      <c r="N2146"/>
      <c r="O2146"/>
    </row>
    <row r="2147" spans="1:15">
      <c r="A2147"/>
      <c r="B2147"/>
      <c r="C2147"/>
      <c r="D2147"/>
      <c r="E2147"/>
      <c r="F2147"/>
      <c r="G2147"/>
      <c r="H2147"/>
      <c r="I2147"/>
      <c r="J2147"/>
      <c r="K2147"/>
      <c r="L2147"/>
      <c r="M2147"/>
      <c r="N2147"/>
      <c r="O2147"/>
    </row>
    <row r="2148" spans="1:15">
      <c r="A2148"/>
      <c r="B2148"/>
      <c r="C2148"/>
      <c r="D2148"/>
      <c r="E2148"/>
      <c r="F2148"/>
      <c r="G2148"/>
      <c r="H2148"/>
      <c r="I2148"/>
      <c r="J2148"/>
      <c r="K2148"/>
      <c r="L2148"/>
      <c r="M2148"/>
      <c r="N2148"/>
      <c r="O2148"/>
    </row>
    <row r="2149" spans="1:15">
      <c r="A2149"/>
      <c r="B2149"/>
      <c r="C2149"/>
      <c r="D2149"/>
      <c r="E2149"/>
      <c r="F2149"/>
      <c r="G2149"/>
      <c r="H2149"/>
      <c r="I2149"/>
      <c r="J2149"/>
      <c r="K2149"/>
      <c r="L2149"/>
      <c r="M2149"/>
      <c r="N2149"/>
      <c r="O2149"/>
    </row>
    <row r="2150" spans="1:15">
      <c r="A2150"/>
      <c r="B2150"/>
      <c r="C2150"/>
      <c r="D2150"/>
      <c r="E2150"/>
      <c r="F2150"/>
      <c r="G2150"/>
      <c r="H2150"/>
      <c r="I2150"/>
      <c r="J2150"/>
      <c r="K2150"/>
      <c r="L2150"/>
      <c r="M2150"/>
      <c r="N2150"/>
      <c r="O2150"/>
    </row>
    <row r="2151" spans="1:15">
      <c r="A2151"/>
      <c r="B2151"/>
      <c r="C2151"/>
      <c r="D2151"/>
      <c r="E2151"/>
      <c r="F2151"/>
      <c r="G2151"/>
      <c r="H2151"/>
      <c r="I2151"/>
      <c r="J2151"/>
      <c r="K2151"/>
      <c r="L2151"/>
      <c r="M2151"/>
      <c r="N2151"/>
      <c r="O2151"/>
    </row>
    <row r="2152" spans="1:15">
      <c r="A2152"/>
      <c r="B2152"/>
      <c r="C2152"/>
      <c r="D2152"/>
      <c r="E2152"/>
      <c r="F2152"/>
      <c r="G2152"/>
      <c r="H2152"/>
      <c r="I2152"/>
      <c r="J2152"/>
      <c r="K2152"/>
      <c r="L2152"/>
      <c r="M2152"/>
      <c r="N2152"/>
      <c r="O2152"/>
    </row>
    <row r="2153" spans="1:15">
      <c r="A2153"/>
      <c r="B2153"/>
      <c r="C2153"/>
      <c r="D2153"/>
      <c r="E2153"/>
      <c r="F2153"/>
      <c r="G2153"/>
      <c r="H2153"/>
      <c r="I2153"/>
      <c r="J2153"/>
      <c r="K2153"/>
      <c r="L2153"/>
      <c r="M2153"/>
      <c r="N2153"/>
      <c r="O2153"/>
    </row>
    <row r="2154" spans="1:15">
      <c r="A2154"/>
      <c r="B2154"/>
      <c r="C2154"/>
      <c r="D2154"/>
      <c r="E2154"/>
      <c r="F2154"/>
      <c r="G2154"/>
      <c r="H2154"/>
      <c r="I2154"/>
      <c r="J2154"/>
      <c r="K2154"/>
      <c r="L2154"/>
      <c r="M2154"/>
      <c r="N2154"/>
      <c r="O2154"/>
    </row>
    <row r="2155" spans="1:15">
      <c r="A2155"/>
      <c r="B2155"/>
      <c r="C2155"/>
      <c r="D2155"/>
      <c r="E2155"/>
      <c r="F2155"/>
      <c r="G2155"/>
      <c r="H2155"/>
      <c r="I2155"/>
      <c r="J2155"/>
      <c r="K2155"/>
      <c r="L2155"/>
      <c r="M2155"/>
      <c r="N2155"/>
      <c r="O2155"/>
    </row>
    <row r="2156" spans="1:15">
      <c r="A2156"/>
      <c r="B2156"/>
      <c r="C2156"/>
      <c r="D2156"/>
      <c r="E2156"/>
      <c r="F2156"/>
      <c r="G2156"/>
      <c r="H2156"/>
      <c r="I2156"/>
      <c r="J2156"/>
      <c r="K2156"/>
      <c r="L2156"/>
      <c r="M2156"/>
      <c r="N2156"/>
      <c r="O2156"/>
    </row>
    <row r="2157" spans="1:15">
      <c r="A2157"/>
      <c r="B2157"/>
      <c r="C2157"/>
      <c r="D2157"/>
      <c r="E2157"/>
      <c r="F2157"/>
      <c r="G2157"/>
      <c r="H2157"/>
      <c r="I2157"/>
      <c r="J2157"/>
      <c r="K2157"/>
      <c r="L2157"/>
      <c r="M2157"/>
      <c r="N2157"/>
      <c r="O2157"/>
    </row>
    <row r="2158" spans="1:15">
      <c r="A2158"/>
      <c r="B2158"/>
      <c r="C2158"/>
      <c r="D2158"/>
      <c r="E2158"/>
      <c r="F2158"/>
      <c r="G2158"/>
      <c r="H2158"/>
      <c r="I2158"/>
      <c r="J2158"/>
      <c r="K2158"/>
      <c r="L2158"/>
      <c r="M2158"/>
      <c r="N2158"/>
      <c r="O2158"/>
    </row>
    <row r="2159" spans="1:15">
      <c r="A2159"/>
      <c r="B2159"/>
      <c r="C2159"/>
      <c r="D2159"/>
      <c r="E2159"/>
      <c r="F2159"/>
      <c r="G2159"/>
      <c r="H2159"/>
      <c r="I2159"/>
      <c r="J2159"/>
      <c r="K2159"/>
      <c r="L2159"/>
      <c r="M2159"/>
      <c r="N2159"/>
      <c r="O2159"/>
    </row>
    <row r="2160" spans="1:15">
      <c r="A2160"/>
      <c r="B2160"/>
      <c r="C2160"/>
      <c r="D2160"/>
      <c r="E2160"/>
      <c r="F2160"/>
      <c r="G2160"/>
      <c r="H2160"/>
      <c r="I2160"/>
      <c r="J2160"/>
      <c r="K2160"/>
      <c r="L2160"/>
      <c r="M2160"/>
      <c r="N2160"/>
      <c r="O2160"/>
    </row>
    <row r="2161" spans="1:15">
      <c r="A2161"/>
      <c r="B2161"/>
      <c r="C2161"/>
      <c r="D2161"/>
      <c r="E2161"/>
      <c r="F2161"/>
      <c r="G2161"/>
      <c r="H2161"/>
      <c r="I2161"/>
      <c r="J2161"/>
      <c r="K2161"/>
      <c r="L2161"/>
      <c r="M2161"/>
      <c r="N2161"/>
      <c r="O2161"/>
    </row>
    <row r="2162" spans="1:15">
      <c r="A2162"/>
      <c r="B2162"/>
      <c r="C2162"/>
      <c r="D2162"/>
      <c r="E2162"/>
      <c r="F2162"/>
      <c r="G2162"/>
      <c r="H2162"/>
      <c r="I2162"/>
      <c r="J2162"/>
      <c r="K2162"/>
      <c r="L2162"/>
      <c r="M2162"/>
      <c r="N2162"/>
      <c r="O2162"/>
    </row>
    <row r="2163" spans="1:15">
      <c r="A2163"/>
      <c r="B2163"/>
      <c r="C2163"/>
      <c r="D2163"/>
      <c r="E2163"/>
      <c r="F2163"/>
      <c r="G2163"/>
      <c r="H2163"/>
      <c r="I2163"/>
      <c r="J2163"/>
      <c r="K2163"/>
      <c r="L2163"/>
      <c r="M2163"/>
      <c r="N2163"/>
      <c r="O2163"/>
    </row>
    <row r="2164" spans="1:15">
      <c r="A2164"/>
      <c r="B2164"/>
      <c r="C2164"/>
      <c r="D2164"/>
      <c r="E2164"/>
      <c r="F2164"/>
      <c r="G2164"/>
      <c r="H2164"/>
      <c r="I2164"/>
      <c r="J2164"/>
      <c r="K2164"/>
      <c r="L2164"/>
      <c r="M2164"/>
      <c r="N2164"/>
      <c r="O2164"/>
    </row>
    <row r="2165" spans="1:15">
      <c r="A2165"/>
      <c r="B2165"/>
      <c r="C2165"/>
      <c r="D2165"/>
      <c r="E2165"/>
      <c r="F2165"/>
      <c r="G2165"/>
      <c r="H2165"/>
      <c r="I2165"/>
      <c r="J2165"/>
      <c r="K2165"/>
      <c r="L2165"/>
      <c r="M2165"/>
      <c r="N2165"/>
      <c r="O2165"/>
    </row>
    <row r="2166" spans="1:15">
      <c r="A2166"/>
      <c r="B2166"/>
      <c r="C2166"/>
      <c r="D2166"/>
      <c r="E2166"/>
      <c r="F2166"/>
      <c r="G2166"/>
      <c r="H2166"/>
      <c r="I2166"/>
      <c r="J2166"/>
      <c r="K2166"/>
      <c r="L2166"/>
      <c r="M2166"/>
      <c r="N2166"/>
      <c r="O2166"/>
    </row>
    <row r="2167" spans="1:15">
      <c r="A2167"/>
      <c r="B2167"/>
      <c r="C2167"/>
      <c r="D2167"/>
      <c r="E2167"/>
      <c r="F2167"/>
      <c r="G2167"/>
      <c r="H2167"/>
      <c r="I2167"/>
      <c r="J2167"/>
      <c r="K2167"/>
      <c r="L2167"/>
      <c r="M2167"/>
      <c r="N2167"/>
      <c r="O2167"/>
    </row>
    <row r="2168" spans="1:15">
      <c r="A2168"/>
      <c r="B2168"/>
      <c r="C2168"/>
      <c r="D2168"/>
      <c r="E2168"/>
      <c r="F2168"/>
      <c r="G2168"/>
      <c r="H2168"/>
      <c r="I2168"/>
      <c r="J2168"/>
      <c r="K2168"/>
      <c r="L2168"/>
      <c r="M2168"/>
      <c r="N2168"/>
      <c r="O2168"/>
    </row>
    <row r="2169" spans="1:15">
      <c r="A2169"/>
      <c r="B2169"/>
      <c r="C2169"/>
      <c r="D2169"/>
      <c r="E2169"/>
      <c r="F2169"/>
      <c r="G2169"/>
      <c r="H2169"/>
      <c r="I2169"/>
      <c r="J2169"/>
      <c r="K2169"/>
      <c r="L2169"/>
      <c r="M2169"/>
      <c r="N2169"/>
      <c r="O2169"/>
    </row>
    <row r="2170" spans="1:15">
      <c r="A2170"/>
      <c r="B2170"/>
      <c r="C2170"/>
      <c r="D2170"/>
      <c r="E2170"/>
      <c r="F2170"/>
      <c r="G2170"/>
      <c r="H2170"/>
      <c r="I2170"/>
      <c r="J2170"/>
      <c r="K2170"/>
      <c r="L2170"/>
      <c r="M2170"/>
      <c r="N2170"/>
      <c r="O2170"/>
    </row>
    <row r="2171" spans="1:15">
      <c r="A2171"/>
      <c r="B2171"/>
      <c r="C2171"/>
      <c r="D2171"/>
      <c r="E2171"/>
      <c r="F2171"/>
      <c r="G2171"/>
      <c r="H2171"/>
      <c r="I2171"/>
      <c r="J2171"/>
      <c r="K2171"/>
      <c r="L2171"/>
      <c r="M2171"/>
      <c r="N2171"/>
      <c r="O2171"/>
    </row>
    <row r="2172" spans="1:15">
      <c r="A2172"/>
      <c r="B2172"/>
      <c r="C2172"/>
      <c r="D2172"/>
      <c r="E2172"/>
      <c r="F2172"/>
      <c r="G2172"/>
      <c r="H2172"/>
      <c r="I2172"/>
      <c r="J2172"/>
      <c r="K2172"/>
      <c r="L2172"/>
      <c r="M2172"/>
      <c r="N2172"/>
      <c r="O2172"/>
    </row>
    <row r="2173" spans="1:15">
      <c r="A2173"/>
      <c r="B2173"/>
      <c r="C2173"/>
      <c r="D2173"/>
      <c r="E2173"/>
      <c r="F2173"/>
      <c r="G2173"/>
      <c r="H2173"/>
      <c r="I2173"/>
      <c r="J2173"/>
      <c r="K2173"/>
      <c r="L2173"/>
      <c r="M2173"/>
      <c r="N2173"/>
      <c r="O2173"/>
    </row>
    <row r="2174" spans="1:15">
      <c r="A2174"/>
      <c r="B2174"/>
      <c r="C2174"/>
      <c r="D2174"/>
      <c r="E2174"/>
      <c r="F2174"/>
      <c r="G2174"/>
      <c r="H2174"/>
      <c r="I2174"/>
      <c r="J2174"/>
      <c r="K2174"/>
      <c r="L2174"/>
      <c r="M2174"/>
      <c r="N2174"/>
      <c r="O2174"/>
    </row>
    <row r="2175" spans="1:15">
      <c r="A2175"/>
      <c r="B2175"/>
      <c r="C2175"/>
      <c r="D2175"/>
      <c r="E2175"/>
      <c r="F2175"/>
      <c r="G2175"/>
      <c r="H2175"/>
      <c r="I2175"/>
      <c r="J2175"/>
      <c r="K2175"/>
      <c r="L2175"/>
      <c r="M2175"/>
      <c r="N2175"/>
      <c r="O2175"/>
    </row>
    <row r="2176" spans="1:15">
      <c r="A2176"/>
      <c r="B2176"/>
      <c r="C2176"/>
      <c r="D2176"/>
      <c r="E2176"/>
      <c r="F2176"/>
      <c r="G2176"/>
      <c r="H2176"/>
      <c r="I2176"/>
      <c r="J2176"/>
      <c r="K2176"/>
      <c r="L2176"/>
      <c r="M2176"/>
      <c r="N2176"/>
      <c r="O2176"/>
    </row>
    <row r="2177" spans="1:15">
      <c r="A2177"/>
      <c r="B2177"/>
      <c r="C2177"/>
      <c r="D2177"/>
      <c r="E2177"/>
      <c r="F2177"/>
      <c r="G2177"/>
      <c r="H2177"/>
      <c r="I2177"/>
      <c r="J2177"/>
      <c r="K2177"/>
      <c r="L2177"/>
      <c r="M2177"/>
      <c r="N2177"/>
      <c r="O2177"/>
    </row>
    <row r="2178" spans="1:15">
      <c r="A2178"/>
      <c r="B2178"/>
      <c r="C2178"/>
      <c r="D2178"/>
      <c r="E2178"/>
      <c r="F2178"/>
      <c r="G2178"/>
      <c r="H2178"/>
      <c r="I2178"/>
      <c r="J2178"/>
      <c r="K2178"/>
      <c r="L2178"/>
      <c r="M2178"/>
      <c r="N2178"/>
      <c r="O2178"/>
    </row>
    <row r="2179" spans="1:15">
      <c r="A2179"/>
      <c r="B2179"/>
      <c r="C2179"/>
      <c r="D2179"/>
      <c r="E2179"/>
      <c r="F2179"/>
      <c r="G2179"/>
      <c r="H2179"/>
      <c r="I2179"/>
      <c r="J2179"/>
      <c r="K2179"/>
      <c r="L2179"/>
      <c r="M2179"/>
      <c r="N2179"/>
      <c r="O2179"/>
    </row>
    <row r="2180" spans="1:15">
      <c r="A2180"/>
      <c r="B2180"/>
      <c r="C2180"/>
      <c r="D2180"/>
      <c r="E2180"/>
      <c r="F2180"/>
      <c r="G2180"/>
      <c r="H2180"/>
      <c r="I2180"/>
      <c r="J2180"/>
      <c r="K2180"/>
      <c r="L2180"/>
      <c r="M2180"/>
      <c r="N2180"/>
      <c r="O2180"/>
    </row>
    <row r="2181" spans="1:15">
      <c r="A2181"/>
      <c r="B2181"/>
      <c r="C2181"/>
      <c r="D2181"/>
      <c r="E2181"/>
      <c r="F2181"/>
      <c r="G2181"/>
      <c r="H2181"/>
      <c r="I2181"/>
      <c r="J2181"/>
      <c r="K2181"/>
      <c r="L2181"/>
      <c r="M2181"/>
      <c r="N2181"/>
      <c r="O2181"/>
    </row>
    <row r="2182" spans="1:15">
      <c r="A2182"/>
      <c r="B2182"/>
      <c r="C2182"/>
      <c r="D2182"/>
      <c r="E2182"/>
      <c r="F2182"/>
      <c r="G2182"/>
      <c r="H2182"/>
      <c r="I2182"/>
      <c r="J2182"/>
      <c r="K2182"/>
      <c r="L2182"/>
      <c r="M2182"/>
      <c r="N2182"/>
      <c r="O2182"/>
    </row>
    <row r="2183" spans="1:15">
      <c r="A2183"/>
      <c r="B2183"/>
      <c r="C2183"/>
      <c r="D2183"/>
      <c r="E2183"/>
      <c r="F2183"/>
      <c r="G2183"/>
      <c r="H2183"/>
      <c r="I2183"/>
      <c r="J2183"/>
      <c r="K2183"/>
      <c r="L2183"/>
      <c r="M2183"/>
      <c r="N2183"/>
      <c r="O2183"/>
    </row>
    <row r="2184" spans="1:15">
      <c r="A2184"/>
      <c r="B2184"/>
      <c r="C2184"/>
      <c r="D2184"/>
      <c r="E2184"/>
      <c r="F2184"/>
      <c r="G2184"/>
      <c r="H2184"/>
      <c r="I2184"/>
      <c r="J2184"/>
      <c r="K2184"/>
      <c r="L2184"/>
      <c r="M2184"/>
      <c r="N2184"/>
      <c r="O2184"/>
    </row>
    <row r="2185" spans="1:15">
      <c r="A2185"/>
      <c r="B2185"/>
      <c r="C2185"/>
      <c r="D2185"/>
      <c r="E2185"/>
      <c r="F2185"/>
      <c r="G2185"/>
      <c r="H2185"/>
      <c r="I2185"/>
      <c r="J2185"/>
      <c r="K2185"/>
      <c r="L2185"/>
      <c r="M2185"/>
      <c r="N2185"/>
      <c r="O2185"/>
    </row>
    <row r="2186" spans="1:15">
      <c r="A2186"/>
      <c r="B2186"/>
      <c r="C2186"/>
      <c r="D2186"/>
      <c r="E2186"/>
      <c r="F2186"/>
      <c r="G2186"/>
      <c r="H2186"/>
      <c r="I2186"/>
      <c r="J2186"/>
      <c r="K2186"/>
      <c r="L2186"/>
      <c r="M2186"/>
      <c r="N2186"/>
      <c r="O2186"/>
    </row>
    <row r="2187" spans="1:15">
      <c r="A2187"/>
      <c r="B2187"/>
      <c r="C2187"/>
      <c r="D2187"/>
      <c r="E2187"/>
      <c r="F2187"/>
      <c r="G2187"/>
      <c r="H2187"/>
      <c r="I2187"/>
      <c r="J2187"/>
      <c r="K2187"/>
      <c r="L2187"/>
      <c r="M2187"/>
      <c r="N2187"/>
      <c r="O2187"/>
    </row>
    <row r="2188" spans="1:15">
      <c r="A2188"/>
      <c r="B2188"/>
      <c r="C2188"/>
      <c r="D2188"/>
      <c r="E2188"/>
      <c r="F2188"/>
      <c r="G2188"/>
      <c r="H2188"/>
      <c r="I2188"/>
      <c r="J2188"/>
      <c r="K2188"/>
      <c r="L2188"/>
      <c r="M2188"/>
      <c r="N2188"/>
      <c r="O2188"/>
    </row>
    <row r="2189" spans="1:15">
      <c r="A2189"/>
      <c r="B2189"/>
      <c r="C2189"/>
      <c r="D2189"/>
      <c r="E2189"/>
      <c r="F2189"/>
      <c r="G2189"/>
      <c r="H2189"/>
      <c r="I2189"/>
      <c r="J2189"/>
      <c r="K2189"/>
      <c r="L2189"/>
      <c r="M2189"/>
      <c r="N2189"/>
      <c r="O2189"/>
    </row>
    <row r="2190" spans="1:15">
      <c r="A2190"/>
      <c r="B2190"/>
      <c r="C2190"/>
      <c r="D2190"/>
      <c r="E2190"/>
      <c r="F2190"/>
      <c r="G2190"/>
      <c r="H2190"/>
      <c r="I2190"/>
      <c r="J2190"/>
      <c r="K2190"/>
      <c r="L2190"/>
      <c r="M2190"/>
      <c r="N2190"/>
      <c r="O2190"/>
    </row>
    <row r="2191" spans="1:15">
      <c r="A2191"/>
      <c r="B2191"/>
      <c r="C2191"/>
      <c r="D2191"/>
      <c r="E2191"/>
      <c r="F2191"/>
      <c r="G2191"/>
      <c r="H2191"/>
      <c r="I2191"/>
      <c r="J2191"/>
      <c r="K2191"/>
      <c r="L2191"/>
      <c r="M2191"/>
      <c r="N2191"/>
      <c r="O2191"/>
    </row>
    <row r="2192" spans="1:15">
      <c r="A2192"/>
      <c r="B2192"/>
      <c r="C2192"/>
      <c r="D2192"/>
      <c r="E2192"/>
      <c r="F2192"/>
      <c r="G2192"/>
      <c r="H2192"/>
      <c r="I2192"/>
      <c r="J2192"/>
      <c r="K2192"/>
      <c r="L2192"/>
      <c r="M2192"/>
      <c r="N2192"/>
      <c r="O2192"/>
    </row>
    <row r="2193" spans="1:15">
      <c r="A2193"/>
      <c r="B2193"/>
      <c r="C2193"/>
      <c r="D2193"/>
      <c r="E2193"/>
      <c r="F2193"/>
      <c r="G2193"/>
      <c r="H2193"/>
      <c r="I2193"/>
      <c r="J2193"/>
      <c r="K2193"/>
      <c r="L2193"/>
      <c r="M2193"/>
      <c r="N2193"/>
      <c r="O2193"/>
    </row>
    <row r="2194" spans="1:15">
      <c r="A2194"/>
      <c r="B2194"/>
      <c r="C2194"/>
      <c r="D2194"/>
      <c r="E2194"/>
      <c r="F2194"/>
      <c r="G2194"/>
      <c r="H2194"/>
      <c r="I2194"/>
      <c r="J2194"/>
      <c r="K2194"/>
      <c r="L2194"/>
      <c r="M2194"/>
      <c r="N2194"/>
      <c r="O2194"/>
    </row>
    <row r="2195" spans="1:15">
      <c r="A2195"/>
      <c r="B2195"/>
      <c r="C2195"/>
      <c r="D2195"/>
      <c r="E2195"/>
      <c r="F2195"/>
      <c r="G2195"/>
      <c r="H2195"/>
      <c r="I2195"/>
      <c r="J2195"/>
      <c r="K2195"/>
      <c r="L2195"/>
      <c r="M2195"/>
      <c r="N2195"/>
      <c r="O2195"/>
    </row>
    <row r="2196" spans="1:15">
      <c r="A2196"/>
      <c r="B2196"/>
      <c r="C2196"/>
      <c r="D2196"/>
      <c r="E2196"/>
      <c r="F2196"/>
      <c r="G2196"/>
      <c r="H2196"/>
      <c r="I2196"/>
      <c r="J2196"/>
      <c r="K2196"/>
      <c r="L2196"/>
      <c r="M2196"/>
      <c r="N2196"/>
      <c r="O2196"/>
    </row>
    <row r="2197" spans="1:15">
      <c r="A2197"/>
      <c r="B2197"/>
      <c r="C2197"/>
      <c r="D2197"/>
      <c r="E2197"/>
      <c r="F2197"/>
      <c r="G2197"/>
      <c r="H2197"/>
      <c r="I2197"/>
      <c r="J2197"/>
      <c r="K2197"/>
      <c r="L2197"/>
      <c r="M2197"/>
      <c r="N2197"/>
      <c r="O2197"/>
    </row>
    <row r="2198" spans="1:15">
      <c r="A2198"/>
      <c r="B2198"/>
      <c r="C2198"/>
      <c r="D2198"/>
      <c r="E2198"/>
      <c r="F2198"/>
      <c r="G2198"/>
      <c r="H2198"/>
      <c r="I2198"/>
      <c r="J2198"/>
      <c r="K2198"/>
      <c r="L2198"/>
      <c r="M2198"/>
      <c r="N2198"/>
      <c r="O2198"/>
    </row>
    <row r="2199" spans="1:15">
      <c r="A2199"/>
      <c r="B2199"/>
      <c r="C2199"/>
      <c r="D2199"/>
      <c r="E2199"/>
      <c r="F2199"/>
      <c r="G2199"/>
      <c r="H2199"/>
      <c r="I2199"/>
      <c r="J2199"/>
      <c r="K2199"/>
      <c r="L2199"/>
      <c r="M2199"/>
      <c r="N2199"/>
      <c r="O2199"/>
    </row>
    <row r="2200" spans="1:15">
      <c r="A2200"/>
      <c r="B2200"/>
      <c r="C2200"/>
      <c r="D2200"/>
      <c r="E2200"/>
      <c r="F2200"/>
      <c r="G2200"/>
      <c r="H2200"/>
      <c r="I2200"/>
      <c r="J2200"/>
      <c r="K2200"/>
      <c r="L2200"/>
      <c r="M2200"/>
      <c r="N2200"/>
      <c r="O2200"/>
    </row>
    <row r="2201" spans="1:15">
      <c r="A2201"/>
      <c r="B2201"/>
      <c r="C2201"/>
      <c r="D2201"/>
      <c r="E2201"/>
      <c r="F2201"/>
      <c r="G2201"/>
      <c r="H2201"/>
      <c r="I2201"/>
      <c r="J2201"/>
      <c r="K2201"/>
      <c r="L2201"/>
      <c r="M2201"/>
      <c r="N2201"/>
      <c r="O2201"/>
    </row>
    <row r="2202" spans="1:15">
      <c r="A2202"/>
      <c r="B2202"/>
      <c r="C2202"/>
      <c r="D2202"/>
      <c r="E2202"/>
      <c r="F2202"/>
      <c r="G2202"/>
      <c r="H2202"/>
      <c r="I2202"/>
      <c r="J2202"/>
      <c r="K2202"/>
      <c r="L2202"/>
      <c r="M2202"/>
      <c r="N2202"/>
      <c r="O2202"/>
    </row>
    <row r="2203" spans="1:15">
      <c r="A2203"/>
      <c r="B2203"/>
      <c r="C2203"/>
      <c r="D2203"/>
      <c r="E2203"/>
      <c r="F2203"/>
      <c r="G2203"/>
      <c r="H2203"/>
      <c r="I2203"/>
      <c r="J2203"/>
      <c r="K2203"/>
      <c r="L2203"/>
      <c r="M2203"/>
      <c r="N2203"/>
      <c r="O2203"/>
    </row>
    <row r="2204" spans="1:15">
      <c r="A2204"/>
      <c r="B2204"/>
      <c r="C2204"/>
      <c r="D2204"/>
      <c r="E2204"/>
      <c r="F2204"/>
      <c r="G2204"/>
      <c r="H2204"/>
      <c r="I2204"/>
      <c r="J2204"/>
      <c r="K2204"/>
      <c r="L2204"/>
      <c r="M2204"/>
      <c r="N2204"/>
      <c r="O2204"/>
    </row>
    <row r="2205" spans="1:15">
      <c r="A2205"/>
      <c r="B2205"/>
      <c r="C2205"/>
      <c r="D2205"/>
      <c r="E2205"/>
      <c r="F2205"/>
      <c r="G2205"/>
      <c r="H2205"/>
      <c r="I2205"/>
      <c r="J2205"/>
      <c r="K2205"/>
      <c r="L2205"/>
      <c r="M2205"/>
      <c r="N2205"/>
      <c r="O2205"/>
    </row>
    <row r="2206" spans="1:15">
      <c r="A2206"/>
      <c r="B2206"/>
      <c r="C2206"/>
      <c r="D2206"/>
      <c r="E2206"/>
      <c r="F2206"/>
      <c r="G2206"/>
      <c r="H2206"/>
      <c r="I2206"/>
      <c r="J2206"/>
      <c r="K2206"/>
      <c r="L2206"/>
      <c r="M2206"/>
      <c r="N2206"/>
      <c r="O2206"/>
    </row>
    <row r="2207" spans="1:15">
      <c r="A2207"/>
      <c r="B2207"/>
      <c r="C2207"/>
      <c r="D2207"/>
      <c r="E2207"/>
      <c r="F2207"/>
      <c r="G2207"/>
      <c r="H2207"/>
      <c r="I2207"/>
      <c r="J2207"/>
      <c r="K2207"/>
      <c r="L2207"/>
      <c r="M2207"/>
      <c r="N2207"/>
      <c r="O2207"/>
    </row>
    <row r="2208" spans="1:15">
      <c r="A2208"/>
      <c r="B2208"/>
      <c r="C2208"/>
      <c r="D2208"/>
      <c r="E2208"/>
      <c r="F2208"/>
      <c r="G2208"/>
      <c r="H2208"/>
      <c r="I2208"/>
      <c r="J2208"/>
      <c r="K2208"/>
      <c r="L2208"/>
      <c r="M2208"/>
      <c r="N2208"/>
      <c r="O2208"/>
    </row>
    <row r="2209" spans="1:15">
      <c r="A2209"/>
      <c r="B2209"/>
      <c r="C2209"/>
      <c r="D2209"/>
      <c r="E2209"/>
      <c r="F2209"/>
      <c r="G2209"/>
      <c r="H2209"/>
      <c r="I2209"/>
      <c r="J2209"/>
      <c r="K2209"/>
      <c r="L2209"/>
      <c r="M2209"/>
      <c r="N2209"/>
      <c r="O2209"/>
    </row>
    <row r="2210" spans="1:15">
      <c r="A2210"/>
      <c r="B2210"/>
      <c r="C2210"/>
      <c r="D2210"/>
      <c r="E2210"/>
      <c r="F2210"/>
      <c r="G2210"/>
      <c r="H2210"/>
      <c r="I2210"/>
      <c r="J2210"/>
      <c r="K2210"/>
      <c r="L2210"/>
      <c r="M2210"/>
      <c r="N2210"/>
      <c r="O2210"/>
    </row>
    <row r="2211" spans="1:15">
      <c r="A2211"/>
      <c r="B2211"/>
      <c r="C2211"/>
      <c r="D2211"/>
      <c r="E2211"/>
      <c r="F2211"/>
      <c r="G2211"/>
      <c r="H2211"/>
      <c r="I2211"/>
      <c r="J2211"/>
      <c r="K2211"/>
      <c r="L2211"/>
      <c r="M2211"/>
      <c r="N2211"/>
      <c r="O2211"/>
    </row>
    <row r="2212" spans="1:15">
      <c r="A2212"/>
      <c r="B2212"/>
      <c r="C2212"/>
      <c r="D2212"/>
      <c r="E2212"/>
      <c r="F2212"/>
      <c r="G2212"/>
      <c r="H2212"/>
      <c r="I2212"/>
      <c r="J2212"/>
      <c r="K2212"/>
      <c r="L2212"/>
      <c r="M2212"/>
      <c r="N2212"/>
      <c r="O2212"/>
    </row>
    <row r="2213" spans="1:15">
      <c r="A2213"/>
      <c r="B2213"/>
      <c r="C2213"/>
      <c r="D2213"/>
      <c r="E2213"/>
      <c r="F2213"/>
      <c r="G2213"/>
      <c r="H2213"/>
      <c r="I2213"/>
      <c r="J2213"/>
      <c r="K2213"/>
      <c r="L2213"/>
      <c r="M2213"/>
      <c r="N2213"/>
      <c r="O2213"/>
    </row>
    <row r="2214" spans="1:15">
      <c r="A2214"/>
      <c r="B2214"/>
      <c r="C2214"/>
      <c r="D2214"/>
      <c r="E2214"/>
      <c r="F2214"/>
      <c r="G2214"/>
      <c r="H2214"/>
      <c r="I2214"/>
      <c r="J2214"/>
      <c r="K2214"/>
      <c r="L2214"/>
      <c r="M2214"/>
      <c r="N2214"/>
      <c r="O2214"/>
    </row>
    <row r="2215" spans="1:15">
      <c r="A2215"/>
      <c r="B2215"/>
      <c r="C2215"/>
      <c r="D2215"/>
      <c r="E2215"/>
      <c r="F2215"/>
      <c r="G2215"/>
      <c r="H2215"/>
      <c r="I2215"/>
      <c r="J2215"/>
      <c r="K2215"/>
      <c r="L2215"/>
      <c r="M2215"/>
      <c r="N2215"/>
      <c r="O2215"/>
    </row>
    <row r="2216" spans="1:15">
      <c r="A2216"/>
      <c r="B2216"/>
      <c r="C2216"/>
      <c r="D2216"/>
      <c r="E2216"/>
      <c r="F2216"/>
      <c r="G2216"/>
      <c r="H2216"/>
      <c r="I2216"/>
      <c r="J2216"/>
      <c r="K2216"/>
      <c r="L2216"/>
      <c r="M2216"/>
      <c r="N2216"/>
      <c r="O2216"/>
    </row>
    <row r="2217" spans="1:15">
      <c r="A2217"/>
      <c r="B2217"/>
      <c r="C2217"/>
      <c r="D2217"/>
      <c r="E2217"/>
      <c r="F2217"/>
      <c r="G2217"/>
      <c r="H2217"/>
      <c r="I2217"/>
      <c r="J2217"/>
      <c r="K2217"/>
      <c r="L2217"/>
      <c r="M2217"/>
      <c r="N2217"/>
      <c r="O2217"/>
    </row>
    <row r="2218" spans="1:15">
      <c r="A2218"/>
      <c r="B2218"/>
      <c r="C2218"/>
      <c r="D2218"/>
      <c r="E2218"/>
      <c r="F2218"/>
      <c r="G2218"/>
      <c r="H2218"/>
      <c r="I2218"/>
      <c r="J2218"/>
      <c r="K2218"/>
      <c r="L2218"/>
      <c r="M2218"/>
      <c r="N2218"/>
      <c r="O2218"/>
    </row>
    <row r="2219" spans="1:15">
      <c r="A2219"/>
      <c r="B2219"/>
      <c r="C2219"/>
      <c r="D2219"/>
      <c r="E2219"/>
      <c r="F2219"/>
      <c r="G2219"/>
      <c r="H2219"/>
      <c r="I2219"/>
      <c r="J2219"/>
      <c r="K2219"/>
      <c r="L2219"/>
      <c r="M2219"/>
      <c r="N2219"/>
      <c r="O2219"/>
    </row>
    <row r="2220" spans="1:15">
      <c r="A2220"/>
      <c r="B2220"/>
      <c r="C2220"/>
      <c r="D2220"/>
      <c r="E2220"/>
      <c r="F2220"/>
      <c r="G2220"/>
      <c r="H2220"/>
      <c r="I2220"/>
      <c r="J2220"/>
      <c r="K2220"/>
      <c r="L2220"/>
      <c r="M2220"/>
      <c r="N2220"/>
      <c r="O2220"/>
    </row>
    <row r="2221" spans="1:15">
      <c r="A2221"/>
      <c r="B2221"/>
      <c r="C2221"/>
      <c r="D2221"/>
      <c r="E2221"/>
      <c r="F2221"/>
      <c r="G2221"/>
      <c r="H2221"/>
      <c r="I2221"/>
      <c r="J2221"/>
      <c r="K2221"/>
      <c r="L2221"/>
      <c r="M2221"/>
      <c r="N2221"/>
      <c r="O2221"/>
    </row>
    <row r="2222" spans="1:15">
      <c r="A2222"/>
      <c r="B2222"/>
      <c r="C2222"/>
      <c r="D2222"/>
      <c r="E2222"/>
      <c r="F2222"/>
      <c r="G2222"/>
      <c r="H2222"/>
      <c r="I2222"/>
      <c r="J2222"/>
      <c r="K2222"/>
      <c r="L2222"/>
      <c r="M2222"/>
      <c r="N2222"/>
      <c r="O2222"/>
    </row>
    <row r="2223" spans="1:15">
      <c r="A2223"/>
      <c r="B2223"/>
      <c r="C2223"/>
      <c r="D2223"/>
      <c r="E2223"/>
      <c r="F2223"/>
      <c r="G2223"/>
      <c r="H2223"/>
      <c r="I2223"/>
      <c r="J2223"/>
      <c r="K2223"/>
      <c r="L2223"/>
      <c r="M2223"/>
      <c r="N2223"/>
      <c r="O2223"/>
    </row>
    <row r="2224" spans="1:15">
      <c r="A2224"/>
      <c r="B2224"/>
      <c r="C2224"/>
      <c r="D2224"/>
      <c r="E2224"/>
      <c r="F2224"/>
      <c r="G2224"/>
      <c r="H2224"/>
      <c r="I2224"/>
      <c r="J2224"/>
      <c r="K2224"/>
      <c r="L2224"/>
      <c r="M2224"/>
      <c r="N2224"/>
      <c r="O2224"/>
    </row>
    <row r="2225" spans="1:15">
      <c r="A2225"/>
      <c r="B2225"/>
      <c r="C2225"/>
      <c r="D2225"/>
      <c r="E2225"/>
      <c r="F2225"/>
      <c r="G2225"/>
      <c r="H2225"/>
      <c r="I2225"/>
      <c r="J2225"/>
      <c r="K2225"/>
      <c r="L2225"/>
      <c r="M2225"/>
      <c r="N2225"/>
      <c r="O2225"/>
    </row>
    <row r="2226" spans="1:15">
      <c r="A2226"/>
      <c r="B2226"/>
      <c r="C2226"/>
      <c r="D2226"/>
      <c r="E2226"/>
      <c r="F2226"/>
      <c r="G2226"/>
      <c r="H2226"/>
      <c r="I2226"/>
      <c r="J2226"/>
      <c r="K2226"/>
      <c r="L2226"/>
      <c r="M2226"/>
      <c r="N2226"/>
      <c r="O2226"/>
    </row>
    <row r="2227" spans="1:15">
      <c r="A2227"/>
      <c r="B2227"/>
      <c r="C2227"/>
      <c r="D2227"/>
      <c r="E2227"/>
      <c r="F2227"/>
      <c r="G2227"/>
      <c r="H2227"/>
      <c r="I2227"/>
      <c r="J2227"/>
      <c r="K2227"/>
      <c r="L2227"/>
      <c r="M2227"/>
      <c r="N2227"/>
      <c r="O2227"/>
    </row>
    <row r="2228" spans="1:15">
      <c r="A2228"/>
      <c r="B2228"/>
      <c r="C2228"/>
      <c r="D2228"/>
      <c r="E2228"/>
      <c r="F2228"/>
      <c r="G2228"/>
      <c r="H2228"/>
      <c r="I2228"/>
      <c r="J2228"/>
      <c r="K2228"/>
      <c r="L2228"/>
      <c r="M2228"/>
      <c r="N2228"/>
      <c r="O2228"/>
    </row>
    <row r="2229" spans="1:15">
      <c r="A2229"/>
      <c r="B2229"/>
      <c r="C2229"/>
      <c r="D2229"/>
      <c r="E2229"/>
      <c r="F2229"/>
      <c r="G2229"/>
      <c r="H2229"/>
      <c r="I2229"/>
      <c r="J2229"/>
      <c r="K2229"/>
      <c r="L2229"/>
      <c r="M2229"/>
      <c r="N2229"/>
      <c r="O2229"/>
    </row>
    <row r="2230" spans="1:15">
      <c r="A2230"/>
      <c r="B2230"/>
      <c r="C2230"/>
      <c r="D2230"/>
      <c r="E2230"/>
      <c r="F2230"/>
      <c r="G2230"/>
      <c r="H2230"/>
      <c r="I2230"/>
      <c r="J2230"/>
      <c r="K2230"/>
      <c r="L2230"/>
      <c r="M2230"/>
      <c r="N2230"/>
      <c r="O2230"/>
    </row>
    <row r="2231" spans="1:15">
      <c r="A2231"/>
      <c r="B2231"/>
      <c r="C2231"/>
      <c r="D2231"/>
      <c r="E2231"/>
      <c r="F2231"/>
      <c r="G2231"/>
      <c r="H2231"/>
      <c r="I2231"/>
      <c r="J2231"/>
      <c r="K2231"/>
      <c r="L2231"/>
      <c r="M2231"/>
      <c r="N2231"/>
      <c r="O2231"/>
    </row>
    <row r="2232" spans="1:15">
      <c r="A2232"/>
      <c r="B2232"/>
      <c r="C2232"/>
      <c r="D2232"/>
      <c r="E2232"/>
      <c r="F2232"/>
      <c r="G2232"/>
      <c r="H2232"/>
      <c r="I2232"/>
      <c r="J2232"/>
      <c r="K2232"/>
      <c r="L2232"/>
      <c r="M2232"/>
      <c r="N2232"/>
      <c r="O2232"/>
    </row>
    <row r="2233" spans="1:15">
      <c r="A2233"/>
      <c r="B2233"/>
      <c r="C2233"/>
      <c r="D2233"/>
      <c r="E2233"/>
      <c r="F2233"/>
      <c r="G2233"/>
      <c r="H2233"/>
      <c r="I2233"/>
      <c r="J2233"/>
      <c r="K2233"/>
      <c r="L2233"/>
      <c r="M2233"/>
      <c r="N2233"/>
      <c r="O2233"/>
    </row>
    <row r="2234" spans="1:15">
      <c r="A2234"/>
      <c r="B2234"/>
      <c r="C2234"/>
      <c r="D2234"/>
      <c r="E2234"/>
      <c r="F2234"/>
      <c r="G2234"/>
      <c r="H2234"/>
      <c r="I2234"/>
      <c r="J2234"/>
      <c r="K2234"/>
      <c r="L2234"/>
      <c r="M2234"/>
      <c r="N2234"/>
      <c r="O2234"/>
    </row>
    <row r="2235" spans="1:15">
      <c r="A2235"/>
      <c r="B2235"/>
      <c r="C2235"/>
      <c r="D2235"/>
      <c r="E2235"/>
      <c r="F2235"/>
      <c r="G2235"/>
      <c r="H2235"/>
      <c r="I2235"/>
      <c r="J2235"/>
      <c r="K2235"/>
      <c r="L2235"/>
      <c r="M2235"/>
      <c r="N2235"/>
      <c r="O2235"/>
    </row>
    <row r="2236" spans="1:15">
      <c r="A2236"/>
      <c r="B2236"/>
      <c r="C2236"/>
      <c r="D2236"/>
      <c r="E2236"/>
      <c r="F2236"/>
      <c r="G2236"/>
      <c r="H2236"/>
      <c r="I2236"/>
      <c r="J2236"/>
      <c r="K2236"/>
      <c r="L2236"/>
      <c r="M2236"/>
      <c r="N2236"/>
      <c r="O2236"/>
    </row>
    <row r="2237" spans="1:15">
      <c r="A2237"/>
      <c r="B2237"/>
      <c r="C2237"/>
      <c r="D2237"/>
      <c r="E2237"/>
      <c r="F2237"/>
      <c r="G2237"/>
      <c r="H2237"/>
      <c r="I2237"/>
      <c r="J2237"/>
      <c r="K2237"/>
      <c r="L2237"/>
      <c r="M2237"/>
      <c r="N2237"/>
      <c r="O2237"/>
    </row>
    <row r="2238" spans="1:15">
      <c r="A2238"/>
      <c r="B2238"/>
      <c r="C2238"/>
      <c r="D2238"/>
      <c r="E2238"/>
      <c r="F2238"/>
      <c r="G2238"/>
      <c r="H2238"/>
      <c r="I2238"/>
      <c r="J2238"/>
      <c r="K2238"/>
      <c r="L2238"/>
      <c r="M2238"/>
      <c r="N2238"/>
      <c r="O2238"/>
    </row>
    <row r="2239" spans="1:15">
      <c r="A2239"/>
      <c r="B2239"/>
      <c r="C2239"/>
      <c r="D2239"/>
      <c r="E2239"/>
      <c r="F2239"/>
      <c r="G2239"/>
      <c r="H2239"/>
      <c r="I2239"/>
      <c r="J2239"/>
      <c r="K2239"/>
      <c r="L2239"/>
      <c r="M2239"/>
      <c r="N2239"/>
      <c r="O2239"/>
    </row>
    <row r="2240" spans="1:15">
      <c r="A2240"/>
      <c r="B2240"/>
      <c r="C2240"/>
      <c r="D2240"/>
      <c r="E2240"/>
      <c r="F2240"/>
      <c r="G2240"/>
      <c r="H2240"/>
      <c r="I2240"/>
      <c r="J2240"/>
      <c r="K2240"/>
      <c r="L2240"/>
      <c r="M2240"/>
      <c r="N2240"/>
      <c r="O2240"/>
    </row>
    <row r="2241" spans="1:15">
      <c r="A2241"/>
      <c r="B2241"/>
      <c r="C2241"/>
      <c r="D2241"/>
      <c r="E2241"/>
      <c r="F2241"/>
      <c r="G2241"/>
      <c r="H2241"/>
      <c r="I2241"/>
      <c r="J2241"/>
      <c r="K2241"/>
      <c r="L2241"/>
      <c r="M2241"/>
      <c r="N2241"/>
      <c r="O2241"/>
    </row>
    <row r="2242" spans="1:15">
      <c r="A2242"/>
      <c r="B2242"/>
      <c r="C2242"/>
      <c r="D2242"/>
      <c r="E2242"/>
      <c r="F2242"/>
      <c r="G2242"/>
      <c r="H2242"/>
      <c r="I2242"/>
      <c r="J2242"/>
      <c r="K2242"/>
      <c r="L2242"/>
      <c r="M2242"/>
      <c r="N2242"/>
      <c r="O2242"/>
    </row>
    <row r="2243" spans="1:15">
      <c r="A2243"/>
      <c r="B2243"/>
      <c r="C2243"/>
      <c r="D2243"/>
      <c r="E2243"/>
      <c r="F2243"/>
      <c r="G2243"/>
      <c r="H2243"/>
      <c r="I2243"/>
      <c r="J2243"/>
      <c r="K2243"/>
      <c r="L2243"/>
      <c r="M2243"/>
      <c r="N2243"/>
      <c r="O2243"/>
    </row>
    <row r="2244" spans="1:15">
      <c r="A2244"/>
      <c r="B2244"/>
      <c r="C2244"/>
      <c r="D2244"/>
      <c r="E2244"/>
      <c r="F2244"/>
      <c r="G2244"/>
      <c r="H2244"/>
      <c r="I2244"/>
      <c r="J2244"/>
      <c r="K2244"/>
      <c r="L2244"/>
      <c r="M2244"/>
      <c r="N2244"/>
      <c r="O2244"/>
    </row>
    <row r="2245" spans="1:15">
      <c r="A2245"/>
      <c r="B2245"/>
      <c r="C2245"/>
      <c r="D2245"/>
      <c r="E2245"/>
      <c r="F2245"/>
      <c r="G2245"/>
      <c r="H2245"/>
      <c r="I2245"/>
      <c r="J2245"/>
      <c r="K2245"/>
      <c r="L2245"/>
      <c r="M2245"/>
      <c r="N2245"/>
      <c r="O2245"/>
    </row>
    <row r="2246" spans="1:15">
      <c r="A2246"/>
      <c r="B2246"/>
      <c r="C2246"/>
      <c r="D2246"/>
      <c r="E2246"/>
      <c r="F2246"/>
      <c r="G2246"/>
      <c r="H2246"/>
      <c r="I2246"/>
      <c r="J2246"/>
      <c r="K2246"/>
      <c r="L2246"/>
      <c r="M2246"/>
      <c r="N2246"/>
      <c r="O2246"/>
    </row>
    <row r="2247" spans="1:15">
      <c r="A2247"/>
      <c r="B2247"/>
      <c r="C2247"/>
      <c r="D2247"/>
      <c r="E2247"/>
      <c r="F2247"/>
      <c r="G2247"/>
      <c r="H2247"/>
      <c r="I2247"/>
      <c r="J2247"/>
      <c r="K2247"/>
      <c r="L2247"/>
      <c r="M2247"/>
      <c r="N2247"/>
      <c r="O2247"/>
    </row>
    <row r="2248" spans="1:15">
      <c r="A2248"/>
      <c r="B2248"/>
      <c r="C2248"/>
      <c r="D2248"/>
      <c r="E2248"/>
      <c r="F2248"/>
      <c r="G2248"/>
      <c r="H2248"/>
      <c r="I2248"/>
      <c r="J2248"/>
      <c r="K2248"/>
      <c r="L2248"/>
      <c r="M2248"/>
      <c r="N2248"/>
      <c r="O2248"/>
    </row>
    <row r="2249" spans="1:15">
      <c r="A2249"/>
      <c r="B2249"/>
      <c r="C2249"/>
      <c r="D2249"/>
      <c r="E2249"/>
      <c r="F2249"/>
      <c r="G2249"/>
      <c r="H2249"/>
      <c r="I2249"/>
      <c r="J2249"/>
      <c r="K2249"/>
      <c r="L2249"/>
      <c r="M2249"/>
      <c r="N2249"/>
      <c r="O2249"/>
    </row>
    <row r="2250" spans="1:15">
      <c r="A2250"/>
      <c r="B2250"/>
      <c r="C2250"/>
      <c r="D2250"/>
      <c r="E2250"/>
      <c r="F2250"/>
      <c r="G2250"/>
      <c r="H2250"/>
      <c r="I2250"/>
      <c r="J2250"/>
      <c r="K2250"/>
      <c r="L2250"/>
      <c r="M2250"/>
      <c r="N2250"/>
      <c r="O2250"/>
    </row>
    <row r="2251" spans="1:15">
      <c r="A2251"/>
      <c r="B2251"/>
      <c r="C2251"/>
      <c r="D2251"/>
      <c r="E2251"/>
      <c r="F2251"/>
      <c r="G2251"/>
      <c r="H2251"/>
      <c r="I2251"/>
      <c r="J2251"/>
      <c r="K2251"/>
      <c r="L2251"/>
      <c r="M2251"/>
      <c r="N2251"/>
      <c r="O2251"/>
    </row>
    <row r="2252" spans="1:15">
      <c r="A2252"/>
      <c r="B2252"/>
      <c r="C2252"/>
      <c r="D2252"/>
      <c r="E2252"/>
      <c r="F2252"/>
      <c r="G2252"/>
      <c r="H2252"/>
      <c r="I2252"/>
      <c r="J2252"/>
      <c r="K2252"/>
      <c r="L2252"/>
      <c r="M2252"/>
      <c r="N2252"/>
      <c r="O2252"/>
    </row>
    <row r="2253" spans="1:15">
      <c r="A2253"/>
      <c r="B2253"/>
      <c r="C2253"/>
      <c r="D2253"/>
      <c r="E2253"/>
      <c r="F2253"/>
      <c r="G2253"/>
      <c r="H2253"/>
      <c r="I2253"/>
      <c r="J2253"/>
      <c r="K2253"/>
      <c r="L2253"/>
      <c r="M2253"/>
      <c r="N2253"/>
      <c r="O2253"/>
    </row>
    <row r="2254" spans="1:15">
      <c r="A2254"/>
      <c r="B2254"/>
      <c r="C2254"/>
      <c r="D2254"/>
      <c r="E2254"/>
      <c r="F2254"/>
      <c r="G2254"/>
      <c r="H2254"/>
      <c r="I2254"/>
      <c r="J2254"/>
      <c r="K2254"/>
      <c r="L2254"/>
      <c r="M2254"/>
      <c r="N2254"/>
      <c r="O2254"/>
    </row>
    <row r="2255" spans="1:15">
      <c r="A2255"/>
      <c r="B2255"/>
      <c r="C2255"/>
      <c r="D2255"/>
      <c r="E2255"/>
      <c r="F2255"/>
      <c r="G2255"/>
      <c r="H2255"/>
      <c r="I2255"/>
      <c r="J2255"/>
      <c r="K2255"/>
      <c r="L2255"/>
      <c r="M2255"/>
      <c r="N2255"/>
      <c r="O2255"/>
    </row>
    <row r="2256" spans="1:15">
      <c r="A2256"/>
      <c r="B2256"/>
      <c r="C2256"/>
      <c r="D2256"/>
      <c r="E2256"/>
      <c r="F2256"/>
      <c r="G2256"/>
      <c r="H2256"/>
      <c r="I2256"/>
      <c r="J2256"/>
      <c r="K2256"/>
      <c r="L2256"/>
      <c r="M2256"/>
      <c r="N2256"/>
      <c r="O2256"/>
    </row>
    <row r="2257" spans="1:15">
      <c r="A2257"/>
      <c r="B2257"/>
      <c r="C2257"/>
      <c r="D2257"/>
      <c r="E2257"/>
      <c r="F2257"/>
      <c r="G2257"/>
      <c r="H2257"/>
      <c r="I2257"/>
      <c r="J2257"/>
      <c r="K2257"/>
      <c r="L2257"/>
      <c r="M2257"/>
      <c r="N2257"/>
      <c r="O2257"/>
    </row>
    <row r="2258" spans="1:15">
      <c r="A2258"/>
      <c r="B2258"/>
      <c r="C2258"/>
      <c r="D2258"/>
      <c r="E2258"/>
      <c r="F2258"/>
      <c r="G2258"/>
      <c r="H2258"/>
      <c r="I2258"/>
      <c r="J2258"/>
      <c r="K2258"/>
      <c r="L2258"/>
      <c r="M2258"/>
      <c r="N2258"/>
      <c r="O2258"/>
    </row>
    <row r="2259" spans="1:15">
      <c r="A2259"/>
      <c r="B2259"/>
      <c r="C2259"/>
      <c r="D2259"/>
      <c r="E2259"/>
      <c r="F2259"/>
      <c r="G2259"/>
      <c r="H2259"/>
      <c r="I2259"/>
      <c r="J2259"/>
      <c r="K2259"/>
      <c r="L2259"/>
      <c r="M2259"/>
      <c r="N2259"/>
      <c r="O2259"/>
    </row>
    <row r="2260" spans="1:15">
      <c r="A2260"/>
      <c r="B2260"/>
      <c r="C2260"/>
      <c r="D2260"/>
      <c r="E2260"/>
      <c r="F2260"/>
      <c r="G2260"/>
      <c r="H2260"/>
      <c r="I2260"/>
      <c r="J2260"/>
      <c r="K2260"/>
      <c r="L2260"/>
      <c r="M2260"/>
      <c r="N2260"/>
      <c r="O2260"/>
    </row>
    <row r="2261" spans="1:15">
      <c r="A2261"/>
      <c r="B2261"/>
      <c r="C2261"/>
      <c r="D2261"/>
      <c r="E2261"/>
      <c r="F2261"/>
      <c r="G2261"/>
      <c r="H2261"/>
      <c r="I2261"/>
      <c r="J2261"/>
      <c r="K2261"/>
      <c r="L2261"/>
      <c r="M2261"/>
      <c r="N2261"/>
      <c r="O2261"/>
    </row>
    <row r="2262" spans="1:15">
      <c r="A2262"/>
      <c r="B2262"/>
      <c r="C2262"/>
      <c r="D2262"/>
      <c r="E2262"/>
      <c r="F2262"/>
      <c r="G2262"/>
      <c r="H2262"/>
      <c r="I2262"/>
      <c r="J2262"/>
      <c r="K2262"/>
      <c r="L2262"/>
      <c r="M2262"/>
      <c r="N2262"/>
      <c r="O2262"/>
    </row>
    <row r="2263" spans="1:15">
      <c r="A2263"/>
      <c r="B2263"/>
      <c r="C2263"/>
      <c r="D2263"/>
      <c r="E2263"/>
      <c r="F2263"/>
      <c r="G2263"/>
      <c r="H2263"/>
      <c r="I2263"/>
      <c r="J2263"/>
      <c r="K2263"/>
      <c r="L2263"/>
      <c r="M2263"/>
      <c r="N2263"/>
      <c r="O2263"/>
    </row>
    <row r="2264" spans="1:15">
      <c r="A2264"/>
      <c r="B2264"/>
      <c r="C2264"/>
      <c r="D2264"/>
      <c r="E2264"/>
      <c r="F2264"/>
      <c r="G2264"/>
      <c r="H2264"/>
      <c r="I2264"/>
      <c r="J2264"/>
      <c r="K2264"/>
      <c r="L2264"/>
      <c r="M2264"/>
      <c r="N2264"/>
      <c r="O2264"/>
    </row>
    <row r="2265" spans="1:15">
      <c r="A2265"/>
      <c r="B2265"/>
      <c r="C2265"/>
      <c r="D2265"/>
      <c r="E2265"/>
      <c r="F2265"/>
      <c r="G2265"/>
      <c r="H2265"/>
      <c r="I2265"/>
      <c r="J2265"/>
      <c r="K2265"/>
      <c r="L2265"/>
      <c r="M2265"/>
      <c r="N2265"/>
      <c r="O2265"/>
    </row>
    <row r="2266" spans="1:15">
      <c r="A2266"/>
      <c r="B2266"/>
      <c r="C2266"/>
      <c r="D2266"/>
      <c r="E2266"/>
      <c r="F2266"/>
      <c r="G2266"/>
      <c r="H2266"/>
      <c r="I2266"/>
      <c r="J2266"/>
      <c r="K2266"/>
      <c r="L2266"/>
      <c r="M2266"/>
      <c r="N2266"/>
      <c r="O2266"/>
    </row>
    <row r="2267" spans="1:15">
      <c r="A2267"/>
      <c r="B2267"/>
      <c r="C2267"/>
      <c r="D2267"/>
      <c r="E2267"/>
      <c r="F2267"/>
      <c r="G2267"/>
      <c r="H2267"/>
      <c r="I2267"/>
      <c r="J2267"/>
      <c r="K2267"/>
      <c r="L2267"/>
      <c r="M2267"/>
      <c r="N2267"/>
      <c r="O2267"/>
    </row>
    <row r="2268" spans="1:15">
      <c r="A2268"/>
      <c r="B2268"/>
      <c r="C2268"/>
      <c r="D2268"/>
      <c r="E2268"/>
      <c r="F2268"/>
      <c r="G2268"/>
      <c r="H2268"/>
      <c r="I2268"/>
      <c r="J2268"/>
      <c r="K2268"/>
      <c r="L2268"/>
      <c r="M2268"/>
      <c r="N2268"/>
      <c r="O2268"/>
    </row>
    <row r="2269" spans="1:15">
      <c r="A2269"/>
      <c r="B2269"/>
      <c r="C2269"/>
      <c r="D2269"/>
      <c r="E2269"/>
      <c r="F2269"/>
      <c r="G2269"/>
      <c r="H2269"/>
      <c r="I2269"/>
      <c r="J2269"/>
      <c r="K2269"/>
      <c r="L2269"/>
      <c r="M2269"/>
      <c r="N2269"/>
      <c r="O2269"/>
    </row>
    <row r="2270" spans="1:15">
      <c r="A2270"/>
      <c r="B2270"/>
      <c r="C2270"/>
      <c r="D2270"/>
      <c r="E2270"/>
      <c r="F2270"/>
      <c r="G2270"/>
      <c r="H2270"/>
      <c r="I2270"/>
      <c r="J2270"/>
      <c r="K2270"/>
      <c r="L2270"/>
      <c r="M2270"/>
      <c r="N2270"/>
      <c r="O2270"/>
    </row>
    <row r="2271" spans="1:15">
      <c r="A2271"/>
      <c r="B2271"/>
      <c r="C2271"/>
      <c r="D2271"/>
      <c r="E2271"/>
      <c r="F2271"/>
      <c r="G2271"/>
      <c r="H2271"/>
      <c r="I2271"/>
      <c r="J2271"/>
      <c r="K2271"/>
      <c r="L2271"/>
      <c r="M2271"/>
      <c r="N2271"/>
      <c r="O2271"/>
    </row>
    <row r="2272" spans="1:15">
      <c r="A2272"/>
      <c r="B2272"/>
      <c r="C2272"/>
      <c r="D2272"/>
      <c r="E2272"/>
      <c r="F2272"/>
      <c r="G2272"/>
      <c r="H2272"/>
      <c r="I2272"/>
      <c r="J2272"/>
      <c r="K2272"/>
      <c r="L2272"/>
      <c r="M2272"/>
      <c r="N2272"/>
      <c r="O2272"/>
    </row>
    <row r="2273" spans="1:15">
      <c r="A2273"/>
      <c r="B2273"/>
      <c r="C2273"/>
      <c r="D2273"/>
      <c r="E2273"/>
      <c r="F2273"/>
      <c r="G2273"/>
      <c r="H2273"/>
      <c r="I2273"/>
      <c r="J2273"/>
      <c r="K2273"/>
      <c r="L2273"/>
      <c r="M2273"/>
      <c r="N2273"/>
      <c r="O2273"/>
    </row>
    <row r="2274" spans="1:15">
      <c r="A2274"/>
      <c r="B2274"/>
      <c r="C2274"/>
      <c r="D2274"/>
      <c r="E2274"/>
      <c r="F2274"/>
      <c r="G2274"/>
      <c r="H2274"/>
      <c r="I2274"/>
      <c r="J2274"/>
      <c r="K2274"/>
      <c r="L2274"/>
      <c r="M2274"/>
      <c r="N2274"/>
      <c r="O2274"/>
    </row>
    <row r="2275" spans="1:15">
      <c r="A2275"/>
      <c r="B2275"/>
      <c r="C2275"/>
      <c r="D2275"/>
      <c r="E2275"/>
      <c r="F2275"/>
      <c r="G2275"/>
      <c r="H2275"/>
      <c r="I2275"/>
      <c r="J2275"/>
      <c r="K2275"/>
      <c r="L2275"/>
      <c r="M2275"/>
      <c r="N2275"/>
      <c r="O2275"/>
    </row>
    <row r="2276" spans="1:15">
      <c r="A2276"/>
      <c r="B2276"/>
      <c r="C2276"/>
      <c r="D2276"/>
      <c r="E2276"/>
      <c r="F2276"/>
      <c r="G2276"/>
      <c r="H2276"/>
      <c r="I2276"/>
      <c r="J2276"/>
      <c r="K2276"/>
      <c r="L2276"/>
      <c r="M2276"/>
      <c r="N2276"/>
      <c r="O2276"/>
    </row>
    <row r="2277" spans="1:15">
      <c r="A2277"/>
      <c r="B2277"/>
      <c r="C2277"/>
      <c r="D2277"/>
      <c r="E2277"/>
      <c r="F2277"/>
      <c r="G2277"/>
      <c r="H2277"/>
      <c r="I2277"/>
      <c r="J2277"/>
      <c r="K2277"/>
      <c r="L2277"/>
      <c r="M2277"/>
      <c r="N2277"/>
      <c r="O2277"/>
    </row>
    <row r="2278" spans="1:15">
      <c r="A2278"/>
      <c r="B2278"/>
      <c r="C2278"/>
      <c r="D2278"/>
      <c r="E2278"/>
      <c r="F2278"/>
      <c r="G2278"/>
      <c r="H2278"/>
      <c r="I2278"/>
      <c r="J2278"/>
      <c r="K2278"/>
      <c r="L2278"/>
      <c r="M2278"/>
      <c r="N2278"/>
      <c r="O2278"/>
    </row>
    <row r="2279" spans="1:15">
      <c r="A2279"/>
      <c r="B2279"/>
      <c r="C2279"/>
      <c r="D2279"/>
      <c r="E2279"/>
      <c r="F2279"/>
      <c r="G2279"/>
      <c r="H2279"/>
      <c r="I2279"/>
      <c r="J2279"/>
      <c r="K2279"/>
      <c r="L2279"/>
      <c r="M2279"/>
      <c r="N2279"/>
      <c r="O2279"/>
    </row>
    <row r="2280" spans="1:15">
      <c r="A2280"/>
      <c r="B2280"/>
      <c r="C2280"/>
      <c r="D2280"/>
      <c r="E2280"/>
      <c r="F2280"/>
      <c r="G2280"/>
      <c r="H2280"/>
      <c r="I2280"/>
      <c r="J2280"/>
      <c r="K2280"/>
      <c r="L2280"/>
      <c r="M2280"/>
      <c r="N2280"/>
      <c r="O2280"/>
    </row>
    <row r="2281" spans="1:15">
      <c r="A2281"/>
      <c r="B2281"/>
      <c r="C2281"/>
      <c r="D2281"/>
      <c r="E2281"/>
      <c r="F2281"/>
      <c r="G2281"/>
      <c r="H2281"/>
      <c r="I2281"/>
      <c r="J2281"/>
      <c r="K2281"/>
      <c r="L2281"/>
      <c r="M2281"/>
      <c r="N2281"/>
      <c r="O2281"/>
    </row>
    <row r="2282" spans="1:15">
      <c r="A2282"/>
      <c r="B2282"/>
      <c r="C2282"/>
      <c r="D2282"/>
      <c r="E2282"/>
      <c r="F2282"/>
      <c r="G2282"/>
      <c r="H2282"/>
      <c r="I2282"/>
      <c r="J2282"/>
      <c r="K2282"/>
      <c r="L2282"/>
      <c r="M2282"/>
      <c r="N2282"/>
      <c r="O2282"/>
    </row>
    <row r="2283" spans="1:15">
      <c r="A2283"/>
      <c r="B2283"/>
      <c r="C2283"/>
      <c r="D2283"/>
      <c r="E2283"/>
      <c r="F2283"/>
      <c r="G2283"/>
      <c r="H2283"/>
      <c r="I2283"/>
      <c r="J2283"/>
      <c r="K2283"/>
      <c r="L2283"/>
      <c r="M2283"/>
      <c r="N2283"/>
      <c r="O2283"/>
    </row>
    <row r="2284" spans="1:15">
      <c r="A2284"/>
      <c r="B2284"/>
      <c r="C2284"/>
      <c r="D2284"/>
      <c r="E2284"/>
      <c r="F2284"/>
      <c r="G2284"/>
      <c r="H2284"/>
      <c r="I2284"/>
      <c r="J2284"/>
      <c r="K2284"/>
      <c r="L2284"/>
      <c r="M2284"/>
      <c r="N2284"/>
      <c r="O2284"/>
    </row>
    <row r="2285" spans="1:15">
      <c r="A2285"/>
      <c r="B2285"/>
      <c r="C2285"/>
      <c r="D2285"/>
      <c r="E2285"/>
      <c r="F2285"/>
      <c r="G2285"/>
      <c r="H2285"/>
      <c r="I2285"/>
      <c r="J2285"/>
      <c r="K2285"/>
      <c r="L2285"/>
      <c r="M2285"/>
      <c r="N2285"/>
      <c r="O2285"/>
    </row>
    <row r="2286" spans="1:15">
      <c r="A2286"/>
      <c r="B2286"/>
      <c r="C2286"/>
      <c r="D2286"/>
      <c r="E2286"/>
      <c r="F2286"/>
      <c r="G2286"/>
      <c r="H2286"/>
      <c r="I2286"/>
      <c r="J2286"/>
      <c r="K2286"/>
      <c r="L2286"/>
      <c r="M2286"/>
      <c r="N2286"/>
      <c r="O2286"/>
    </row>
    <row r="2287" spans="1:15">
      <c r="A2287"/>
      <c r="B2287"/>
      <c r="C2287"/>
      <c r="D2287"/>
      <c r="E2287"/>
      <c r="F2287"/>
      <c r="G2287"/>
      <c r="H2287"/>
      <c r="I2287"/>
      <c r="J2287"/>
      <c r="K2287"/>
      <c r="L2287"/>
      <c r="M2287"/>
      <c r="N2287"/>
      <c r="O2287"/>
    </row>
    <row r="2288" spans="1:15">
      <c r="A2288"/>
      <c r="B2288"/>
      <c r="C2288"/>
      <c r="D2288"/>
      <c r="E2288"/>
      <c r="F2288"/>
      <c r="G2288"/>
      <c r="H2288"/>
      <c r="I2288"/>
      <c r="J2288"/>
      <c r="K2288"/>
      <c r="L2288"/>
      <c r="M2288"/>
      <c r="N2288"/>
      <c r="O2288"/>
    </row>
    <row r="2289" spans="1:15">
      <c r="A2289"/>
      <c r="B2289"/>
      <c r="C2289"/>
      <c r="D2289"/>
      <c r="E2289"/>
      <c r="F2289"/>
      <c r="G2289"/>
      <c r="H2289"/>
      <c r="I2289"/>
      <c r="J2289"/>
      <c r="K2289"/>
      <c r="L2289"/>
      <c r="M2289"/>
      <c r="N2289"/>
      <c r="O2289"/>
    </row>
    <row r="2290" spans="1:15">
      <c r="A2290"/>
      <c r="B2290"/>
      <c r="C2290"/>
      <c r="D2290"/>
      <c r="E2290"/>
      <c r="F2290"/>
      <c r="G2290"/>
      <c r="H2290"/>
      <c r="I2290"/>
      <c r="J2290"/>
      <c r="K2290"/>
      <c r="L2290"/>
      <c r="M2290"/>
      <c r="N2290"/>
      <c r="O2290"/>
    </row>
    <row r="2291" spans="1:15">
      <c r="A2291"/>
      <c r="B2291"/>
      <c r="C2291"/>
      <c r="D2291"/>
      <c r="E2291"/>
      <c r="F2291"/>
      <c r="G2291"/>
      <c r="H2291"/>
      <c r="I2291"/>
      <c r="J2291"/>
      <c r="K2291"/>
      <c r="L2291"/>
      <c r="M2291"/>
      <c r="N2291"/>
      <c r="O2291"/>
    </row>
    <row r="2292" spans="1:15">
      <c r="A2292"/>
      <c r="B2292"/>
      <c r="C2292"/>
      <c r="D2292"/>
      <c r="E2292"/>
      <c r="F2292"/>
      <c r="G2292"/>
      <c r="H2292"/>
      <c r="I2292"/>
      <c r="J2292"/>
      <c r="K2292"/>
      <c r="L2292"/>
      <c r="M2292"/>
      <c r="N2292"/>
      <c r="O2292"/>
    </row>
    <row r="2293" spans="1:15">
      <c r="A2293"/>
      <c r="B2293"/>
      <c r="C2293"/>
      <c r="D2293"/>
      <c r="E2293"/>
      <c r="F2293"/>
      <c r="G2293"/>
      <c r="H2293"/>
      <c r="I2293"/>
      <c r="J2293"/>
      <c r="K2293"/>
      <c r="L2293"/>
      <c r="M2293"/>
      <c r="N2293"/>
      <c r="O2293"/>
    </row>
    <row r="2294" spans="1:15">
      <c r="A2294"/>
      <c r="B2294"/>
      <c r="C2294"/>
      <c r="D2294"/>
      <c r="E2294"/>
      <c r="F2294"/>
      <c r="G2294"/>
      <c r="H2294"/>
      <c r="I2294"/>
      <c r="J2294"/>
      <c r="K2294"/>
      <c r="L2294"/>
      <c r="M2294"/>
      <c r="N2294"/>
      <c r="O2294"/>
    </row>
    <row r="2295" spans="1:15">
      <c r="A2295"/>
      <c r="B2295"/>
      <c r="C2295"/>
      <c r="D2295"/>
      <c r="E2295"/>
      <c r="F2295"/>
      <c r="G2295"/>
      <c r="H2295"/>
      <c r="I2295"/>
      <c r="J2295"/>
      <c r="K2295"/>
      <c r="L2295"/>
      <c r="M2295"/>
      <c r="N2295"/>
      <c r="O2295"/>
    </row>
    <row r="2296" spans="1:15">
      <c r="A2296"/>
      <c r="B2296"/>
      <c r="C2296"/>
      <c r="D2296"/>
      <c r="E2296"/>
      <c r="F2296"/>
      <c r="G2296"/>
      <c r="H2296"/>
      <c r="I2296"/>
      <c r="J2296"/>
      <c r="K2296"/>
      <c r="L2296"/>
      <c r="M2296"/>
      <c r="N2296"/>
      <c r="O2296"/>
    </row>
    <row r="2297" spans="1:15">
      <c r="A2297"/>
      <c r="B2297"/>
      <c r="C2297"/>
      <c r="D2297"/>
      <c r="E2297"/>
      <c r="F2297"/>
      <c r="G2297"/>
      <c r="H2297"/>
      <c r="I2297"/>
      <c r="J2297"/>
      <c r="K2297"/>
      <c r="L2297"/>
      <c r="M2297"/>
      <c r="N2297"/>
      <c r="O2297"/>
    </row>
    <row r="2298" spans="1:15">
      <c r="A2298"/>
      <c r="B2298"/>
      <c r="C2298"/>
      <c r="D2298"/>
      <c r="E2298"/>
      <c r="F2298"/>
      <c r="G2298"/>
      <c r="H2298"/>
      <c r="I2298"/>
      <c r="J2298"/>
      <c r="K2298"/>
      <c r="L2298"/>
      <c r="M2298"/>
      <c r="N2298"/>
      <c r="O2298"/>
    </row>
    <row r="2299" spans="1:15">
      <c r="A2299"/>
      <c r="B2299"/>
      <c r="C2299"/>
      <c r="D2299"/>
      <c r="E2299"/>
      <c r="F2299"/>
      <c r="G2299"/>
      <c r="H2299"/>
      <c r="I2299"/>
      <c r="J2299"/>
      <c r="K2299"/>
      <c r="L2299"/>
      <c r="M2299"/>
      <c r="N2299"/>
      <c r="O2299"/>
    </row>
    <row r="2300" spans="1:15">
      <c r="A2300"/>
      <c r="B2300"/>
      <c r="C2300"/>
      <c r="D2300"/>
      <c r="E2300"/>
      <c r="F2300"/>
      <c r="G2300"/>
      <c r="H2300"/>
      <c r="I2300"/>
      <c r="J2300"/>
      <c r="K2300"/>
      <c r="L2300"/>
      <c r="M2300"/>
      <c r="N2300"/>
      <c r="O2300"/>
    </row>
    <row r="2301" spans="1:15">
      <c r="A2301"/>
      <c r="B2301"/>
      <c r="C2301"/>
      <c r="D2301"/>
      <c r="E2301"/>
      <c r="F2301"/>
      <c r="G2301"/>
      <c r="H2301"/>
      <c r="I2301"/>
      <c r="J2301"/>
      <c r="K2301"/>
      <c r="L2301"/>
      <c r="M2301"/>
      <c r="N2301"/>
      <c r="O2301"/>
    </row>
    <row r="2302" spans="1:15">
      <c r="A2302"/>
      <c r="B2302"/>
      <c r="C2302"/>
      <c r="D2302"/>
      <c r="E2302"/>
      <c r="F2302"/>
      <c r="G2302"/>
      <c r="H2302"/>
      <c r="I2302"/>
      <c r="J2302"/>
      <c r="K2302"/>
      <c r="L2302"/>
      <c r="M2302"/>
      <c r="N2302"/>
      <c r="O2302"/>
    </row>
    <row r="2303" spans="1:15">
      <c r="A2303"/>
      <c r="B2303"/>
      <c r="C2303"/>
      <c r="D2303"/>
      <c r="E2303"/>
      <c r="F2303"/>
      <c r="G2303"/>
      <c r="H2303"/>
      <c r="I2303"/>
      <c r="J2303"/>
      <c r="K2303"/>
      <c r="L2303"/>
      <c r="M2303"/>
      <c r="N2303"/>
      <c r="O2303"/>
    </row>
    <row r="2304" spans="1:15">
      <c r="A2304"/>
      <c r="B2304"/>
      <c r="C2304"/>
      <c r="D2304"/>
      <c r="E2304"/>
      <c r="F2304"/>
      <c r="G2304"/>
      <c r="H2304"/>
      <c r="I2304"/>
      <c r="J2304"/>
      <c r="K2304"/>
      <c r="L2304"/>
      <c r="M2304"/>
      <c r="N2304"/>
      <c r="O2304"/>
    </row>
    <row r="2305" spans="1:15">
      <c r="A2305"/>
      <c r="B2305"/>
      <c r="C2305"/>
      <c r="D2305"/>
      <c r="E2305"/>
      <c r="F2305"/>
      <c r="G2305"/>
      <c r="H2305"/>
      <c r="I2305"/>
      <c r="J2305"/>
      <c r="K2305"/>
      <c r="L2305"/>
      <c r="M2305"/>
      <c r="N2305"/>
      <c r="O2305"/>
    </row>
    <row r="2306" spans="1:15">
      <c r="A2306"/>
      <c r="B2306"/>
      <c r="C2306"/>
      <c r="D2306"/>
      <c r="E2306"/>
      <c r="F2306"/>
      <c r="G2306"/>
      <c r="H2306"/>
      <c r="I2306"/>
      <c r="J2306"/>
      <c r="K2306"/>
      <c r="L2306"/>
      <c r="M2306"/>
      <c r="N2306"/>
      <c r="O2306"/>
    </row>
    <row r="2307" spans="1:15">
      <c r="A2307"/>
      <c r="B2307"/>
      <c r="C2307"/>
      <c r="D2307"/>
      <c r="E2307"/>
      <c r="F2307"/>
      <c r="G2307"/>
      <c r="H2307"/>
      <c r="I2307"/>
      <c r="J2307"/>
      <c r="K2307"/>
      <c r="L2307"/>
      <c r="M2307"/>
      <c r="N2307"/>
      <c r="O2307"/>
    </row>
    <row r="2308" spans="1:15">
      <c r="A2308"/>
      <c r="B2308"/>
      <c r="C2308"/>
      <c r="D2308"/>
      <c r="E2308"/>
      <c r="F2308"/>
      <c r="G2308"/>
      <c r="H2308"/>
      <c r="I2308"/>
      <c r="J2308"/>
      <c r="K2308"/>
      <c r="L2308"/>
      <c r="M2308"/>
      <c r="N2308"/>
      <c r="O2308"/>
    </row>
    <row r="2309" spans="1:15">
      <c r="A2309"/>
      <c r="B2309"/>
      <c r="C2309"/>
      <c r="D2309"/>
      <c r="E2309"/>
      <c r="F2309"/>
      <c r="G2309"/>
      <c r="H2309"/>
      <c r="I2309"/>
      <c r="J2309"/>
      <c r="K2309"/>
      <c r="L2309"/>
      <c r="M2309"/>
      <c r="N2309"/>
      <c r="O2309"/>
    </row>
    <row r="2310" spans="1:15">
      <c r="A2310"/>
      <c r="B2310"/>
      <c r="C2310"/>
      <c r="D2310"/>
      <c r="E2310"/>
      <c r="F2310"/>
      <c r="G2310"/>
      <c r="H2310"/>
      <c r="I2310"/>
      <c r="J2310"/>
      <c r="K2310"/>
      <c r="L2310"/>
      <c r="M2310"/>
      <c r="N2310"/>
      <c r="O2310"/>
    </row>
    <row r="2311" spans="1:15">
      <c r="A2311"/>
      <c r="B2311"/>
      <c r="C2311"/>
      <c r="D2311"/>
      <c r="E2311"/>
      <c r="F2311"/>
      <c r="G2311"/>
      <c r="H2311"/>
      <c r="I2311"/>
      <c r="J2311"/>
      <c r="K2311"/>
      <c r="L2311"/>
      <c r="M2311"/>
      <c r="N2311"/>
      <c r="O2311"/>
    </row>
    <row r="2312" spans="1:15">
      <c r="A2312"/>
      <c r="B2312"/>
      <c r="C2312"/>
      <c r="D2312"/>
      <c r="E2312"/>
      <c r="F2312"/>
      <c r="G2312"/>
      <c r="H2312"/>
      <c r="I2312"/>
      <c r="J2312"/>
      <c r="K2312"/>
      <c r="L2312"/>
      <c r="M2312"/>
      <c r="N2312"/>
      <c r="O2312"/>
    </row>
    <row r="2313" spans="1:15">
      <c r="A2313"/>
      <c r="B2313"/>
      <c r="C2313"/>
      <c r="D2313"/>
      <c r="E2313"/>
      <c r="F2313"/>
      <c r="G2313"/>
      <c r="H2313"/>
      <c r="I2313"/>
      <c r="J2313"/>
      <c r="K2313"/>
      <c r="L2313"/>
      <c r="M2313"/>
      <c r="N2313"/>
      <c r="O2313"/>
    </row>
    <row r="2314" spans="1:15">
      <c r="A2314"/>
      <c r="B2314"/>
      <c r="C2314"/>
      <c r="D2314"/>
      <c r="E2314"/>
      <c r="F2314"/>
      <c r="G2314"/>
      <c r="H2314"/>
      <c r="I2314"/>
      <c r="J2314"/>
      <c r="K2314"/>
      <c r="L2314"/>
      <c r="M2314"/>
      <c r="N2314"/>
      <c r="O2314"/>
    </row>
    <row r="2315" spans="1:15">
      <c r="A2315"/>
      <c r="B2315"/>
      <c r="C2315"/>
      <c r="D2315"/>
      <c r="E2315"/>
      <c r="F2315"/>
      <c r="G2315"/>
      <c r="H2315"/>
      <c r="I2315"/>
      <c r="J2315"/>
      <c r="K2315"/>
      <c r="L2315"/>
      <c r="M2315"/>
      <c r="N2315"/>
      <c r="O2315"/>
    </row>
    <row r="2316" spans="1:15">
      <c r="A2316"/>
      <c r="B2316"/>
      <c r="C2316"/>
      <c r="D2316"/>
      <c r="E2316"/>
      <c r="F2316"/>
      <c r="G2316"/>
      <c r="H2316"/>
      <c r="I2316"/>
      <c r="J2316"/>
      <c r="K2316"/>
      <c r="L2316"/>
      <c r="M2316"/>
      <c r="N2316"/>
      <c r="O2316"/>
    </row>
    <row r="2317" spans="1:15">
      <c r="A2317"/>
      <c r="B2317"/>
      <c r="C2317"/>
      <c r="D2317"/>
      <c r="E2317"/>
      <c r="F2317"/>
      <c r="G2317"/>
      <c r="H2317"/>
      <c r="I2317"/>
      <c r="J2317"/>
      <c r="K2317"/>
      <c r="L2317"/>
      <c r="M2317"/>
      <c r="N2317"/>
      <c r="O2317"/>
    </row>
    <row r="2318" spans="1:15">
      <c r="A2318"/>
      <c r="B2318"/>
      <c r="C2318"/>
      <c r="D2318"/>
      <c r="E2318"/>
      <c r="F2318"/>
      <c r="G2318"/>
      <c r="H2318"/>
      <c r="I2318"/>
      <c r="J2318"/>
      <c r="K2318"/>
      <c r="L2318"/>
      <c r="M2318"/>
      <c r="N2318"/>
      <c r="O2318"/>
    </row>
    <row r="2319" spans="1:15">
      <c r="A2319"/>
      <c r="B2319"/>
      <c r="C2319"/>
      <c r="D2319"/>
      <c r="E2319"/>
      <c r="F2319"/>
      <c r="G2319"/>
      <c r="H2319"/>
      <c r="I2319"/>
      <c r="J2319"/>
      <c r="K2319"/>
      <c r="L2319"/>
      <c r="M2319"/>
      <c r="N2319"/>
      <c r="O2319"/>
    </row>
    <row r="2320" spans="1:15">
      <c r="A2320"/>
      <c r="B2320"/>
      <c r="C2320"/>
      <c r="D2320"/>
      <c r="E2320"/>
      <c r="F2320"/>
      <c r="G2320"/>
      <c r="H2320"/>
      <c r="I2320"/>
      <c r="J2320"/>
      <c r="K2320"/>
      <c r="L2320"/>
      <c r="M2320"/>
      <c r="N2320"/>
      <c r="O2320"/>
    </row>
    <row r="2321" spans="1:15">
      <c r="A2321"/>
      <c r="B2321"/>
      <c r="C2321"/>
      <c r="D2321"/>
      <c r="E2321"/>
      <c r="F2321"/>
      <c r="G2321"/>
      <c r="H2321"/>
      <c r="I2321"/>
      <c r="J2321"/>
      <c r="K2321"/>
      <c r="L2321"/>
      <c r="M2321"/>
      <c r="N2321"/>
      <c r="O2321"/>
    </row>
    <row r="2322" spans="1:15">
      <c r="A2322"/>
      <c r="B2322"/>
      <c r="C2322"/>
      <c r="D2322"/>
      <c r="E2322"/>
      <c r="F2322"/>
      <c r="G2322"/>
      <c r="H2322"/>
      <c r="I2322"/>
      <c r="J2322"/>
      <c r="K2322"/>
      <c r="L2322"/>
      <c r="M2322"/>
      <c r="N2322"/>
      <c r="O2322"/>
    </row>
    <row r="2323" spans="1:15">
      <c r="A2323"/>
      <c r="B2323"/>
      <c r="C2323"/>
      <c r="D2323"/>
      <c r="E2323"/>
      <c r="F2323"/>
      <c r="G2323"/>
      <c r="H2323"/>
      <c r="I2323"/>
      <c r="J2323"/>
      <c r="K2323"/>
      <c r="L2323"/>
      <c r="M2323"/>
      <c r="N2323"/>
      <c r="O2323"/>
    </row>
    <row r="2324" spans="1:15">
      <c r="A2324"/>
      <c r="B2324"/>
      <c r="C2324"/>
      <c r="D2324"/>
      <c r="E2324"/>
      <c r="F2324"/>
      <c r="G2324"/>
      <c r="H2324"/>
      <c r="I2324"/>
      <c r="J2324"/>
      <c r="K2324"/>
      <c r="L2324"/>
      <c r="M2324"/>
      <c r="N2324"/>
      <c r="O2324"/>
    </row>
    <row r="2325" spans="1:15">
      <c r="A2325"/>
      <c r="B2325"/>
      <c r="C2325"/>
      <c r="D2325"/>
      <c r="E2325"/>
      <c r="F2325"/>
      <c r="G2325"/>
      <c r="H2325"/>
      <c r="I2325"/>
      <c r="J2325"/>
      <c r="K2325"/>
      <c r="L2325"/>
      <c r="M2325"/>
      <c r="N2325"/>
      <c r="O2325"/>
    </row>
    <row r="2326" spans="1:15">
      <c r="A2326"/>
      <c r="B2326"/>
      <c r="C2326"/>
      <c r="D2326"/>
      <c r="E2326"/>
      <c r="F2326"/>
      <c r="G2326"/>
      <c r="H2326"/>
      <c r="I2326"/>
      <c r="J2326"/>
      <c r="K2326"/>
      <c r="L2326"/>
      <c r="M2326"/>
      <c r="N2326"/>
      <c r="O2326"/>
    </row>
    <row r="2327" spans="1:15">
      <c r="A2327"/>
      <c r="B2327"/>
      <c r="C2327"/>
      <c r="D2327"/>
      <c r="E2327"/>
      <c r="F2327"/>
      <c r="G2327"/>
      <c r="H2327"/>
      <c r="I2327"/>
      <c r="J2327"/>
      <c r="K2327"/>
      <c r="L2327"/>
      <c r="M2327"/>
      <c r="N2327"/>
      <c r="O2327"/>
    </row>
    <row r="2328" spans="1:15">
      <c r="A2328"/>
      <c r="B2328"/>
      <c r="C2328"/>
      <c r="D2328"/>
      <c r="E2328"/>
      <c r="F2328"/>
      <c r="G2328"/>
      <c r="H2328"/>
      <c r="I2328"/>
      <c r="J2328"/>
      <c r="K2328"/>
      <c r="L2328"/>
      <c r="M2328"/>
      <c r="N2328"/>
      <c r="O2328"/>
    </row>
    <row r="2329" spans="1:15">
      <c r="A2329"/>
      <c r="B2329"/>
      <c r="C2329"/>
      <c r="D2329"/>
      <c r="E2329"/>
      <c r="F2329"/>
      <c r="G2329"/>
      <c r="H2329"/>
      <c r="I2329"/>
      <c r="J2329"/>
      <c r="K2329"/>
      <c r="L2329"/>
      <c r="M2329"/>
      <c r="N2329"/>
      <c r="O2329"/>
    </row>
    <row r="2330" spans="1:15">
      <c r="A2330"/>
      <c r="B2330"/>
      <c r="C2330"/>
      <c r="D2330"/>
      <c r="E2330"/>
      <c r="F2330"/>
      <c r="G2330"/>
      <c r="H2330"/>
      <c r="I2330"/>
      <c r="J2330"/>
      <c r="K2330"/>
      <c r="L2330"/>
      <c r="M2330"/>
      <c r="N2330"/>
      <c r="O2330"/>
    </row>
    <row r="2331" spans="1:15">
      <c r="A2331"/>
      <c r="B2331"/>
      <c r="C2331"/>
      <c r="D2331"/>
      <c r="E2331"/>
      <c r="F2331"/>
      <c r="G2331"/>
      <c r="H2331"/>
      <c r="I2331"/>
      <c r="J2331"/>
      <c r="K2331"/>
      <c r="L2331"/>
      <c r="M2331"/>
      <c r="N2331"/>
      <c r="O2331"/>
    </row>
    <row r="2332" spans="1:15">
      <c r="A2332"/>
      <c r="B2332"/>
      <c r="C2332"/>
      <c r="D2332"/>
      <c r="E2332"/>
      <c r="F2332"/>
      <c r="G2332"/>
      <c r="H2332"/>
      <c r="I2332"/>
      <c r="J2332"/>
      <c r="K2332"/>
      <c r="L2332"/>
      <c r="M2332"/>
      <c r="N2332"/>
      <c r="O2332"/>
    </row>
    <row r="2333" spans="1:15">
      <c r="A2333"/>
      <c r="B2333"/>
      <c r="C2333"/>
      <c r="D2333"/>
      <c r="E2333"/>
      <c r="F2333"/>
      <c r="G2333"/>
      <c r="H2333"/>
      <c r="I2333"/>
      <c r="J2333"/>
      <c r="K2333"/>
      <c r="L2333"/>
      <c r="M2333"/>
      <c r="N2333"/>
      <c r="O2333"/>
    </row>
    <row r="2334" spans="1:15">
      <c r="A2334"/>
      <c r="B2334"/>
      <c r="C2334"/>
      <c r="D2334"/>
      <c r="E2334"/>
      <c r="F2334"/>
      <c r="G2334"/>
      <c r="H2334"/>
      <c r="I2334"/>
      <c r="J2334"/>
      <c r="K2334"/>
      <c r="L2334"/>
      <c r="M2334"/>
      <c r="N2334"/>
      <c r="O2334"/>
    </row>
    <row r="2335" spans="1:15">
      <c r="A2335"/>
      <c r="B2335"/>
      <c r="C2335"/>
      <c r="D2335"/>
      <c r="E2335"/>
      <c r="F2335"/>
      <c r="G2335"/>
      <c r="H2335"/>
      <c r="I2335"/>
      <c r="J2335"/>
      <c r="K2335"/>
      <c r="L2335"/>
      <c r="M2335"/>
      <c r="N2335"/>
      <c r="O2335"/>
    </row>
    <row r="2336" spans="1:15">
      <c r="A2336"/>
      <c r="B2336"/>
      <c r="C2336"/>
      <c r="D2336"/>
      <c r="E2336"/>
      <c r="F2336"/>
      <c r="G2336"/>
      <c r="H2336"/>
      <c r="I2336"/>
      <c r="J2336"/>
      <c r="K2336"/>
      <c r="L2336"/>
      <c r="M2336"/>
      <c r="N2336"/>
      <c r="O2336"/>
    </row>
    <row r="2337" spans="1:15">
      <c r="A2337"/>
      <c r="B2337"/>
      <c r="C2337"/>
      <c r="D2337"/>
      <c r="E2337"/>
      <c r="F2337"/>
      <c r="G2337"/>
      <c r="H2337"/>
      <c r="I2337"/>
      <c r="J2337"/>
      <c r="K2337"/>
      <c r="L2337"/>
      <c r="M2337"/>
      <c r="N2337"/>
      <c r="O2337"/>
    </row>
    <row r="2338" spans="1:15">
      <c r="A2338"/>
      <c r="B2338"/>
      <c r="C2338"/>
      <c r="D2338"/>
      <c r="E2338"/>
      <c r="F2338"/>
      <c r="G2338"/>
      <c r="H2338"/>
      <c r="I2338"/>
      <c r="J2338"/>
      <c r="K2338"/>
      <c r="L2338"/>
      <c r="M2338"/>
      <c r="N2338"/>
      <c r="O2338"/>
    </row>
    <row r="2339" spans="1:15">
      <c r="A2339"/>
      <c r="B2339"/>
      <c r="C2339"/>
      <c r="D2339"/>
      <c r="E2339"/>
      <c r="F2339"/>
      <c r="G2339"/>
      <c r="H2339"/>
      <c r="I2339"/>
      <c r="J2339"/>
      <c r="K2339"/>
      <c r="L2339"/>
      <c r="M2339"/>
      <c r="N2339"/>
      <c r="O2339"/>
    </row>
    <row r="2340" spans="1:15">
      <c r="A2340"/>
      <c r="B2340"/>
      <c r="C2340"/>
      <c r="D2340"/>
      <c r="E2340"/>
      <c r="F2340"/>
      <c r="G2340"/>
      <c r="H2340"/>
      <c r="I2340"/>
      <c r="J2340"/>
      <c r="K2340"/>
      <c r="L2340"/>
      <c r="M2340"/>
      <c r="N2340"/>
      <c r="O2340"/>
    </row>
    <row r="2341" spans="1:15">
      <c r="A2341"/>
      <c r="B2341"/>
      <c r="C2341"/>
      <c r="D2341"/>
      <c r="E2341"/>
      <c r="F2341"/>
      <c r="G2341"/>
      <c r="H2341"/>
      <c r="I2341"/>
      <c r="J2341"/>
      <c r="K2341"/>
      <c r="L2341"/>
      <c r="M2341"/>
      <c r="N2341"/>
      <c r="O2341"/>
    </row>
    <row r="2342" spans="1:15">
      <c r="A2342"/>
      <c r="B2342"/>
      <c r="C2342"/>
      <c r="D2342"/>
      <c r="E2342"/>
      <c r="F2342"/>
      <c r="G2342"/>
      <c r="H2342"/>
      <c r="I2342"/>
      <c r="J2342"/>
      <c r="K2342"/>
      <c r="L2342"/>
      <c r="M2342"/>
      <c r="N2342"/>
      <c r="O2342"/>
    </row>
    <row r="2343" spans="1:15">
      <c r="A2343"/>
      <c r="B2343"/>
      <c r="C2343"/>
      <c r="D2343"/>
      <c r="E2343"/>
      <c r="F2343"/>
      <c r="G2343"/>
      <c r="H2343"/>
      <c r="I2343"/>
      <c r="J2343"/>
      <c r="K2343"/>
      <c r="L2343"/>
      <c r="M2343"/>
      <c r="N2343"/>
      <c r="O2343"/>
    </row>
    <row r="2344" spans="1:15">
      <c r="A2344"/>
      <c r="B2344"/>
      <c r="C2344"/>
      <c r="D2344"/>
      <c r="E2344"/>
      <c r="F2344"/>
      <c r="G2344"/>
      <c r="H2344"/>
      <c r="I2344"/>
      <c r="J2344"/>
      <c r="K2344"/>
      <c r="L2344"/>
      <c r="M2344"/>
      <c r="N2344"/>
      <c r="O2344"/>
    </row>
    <row r="2345" spans="1:15">
      <c r="A2345"/>
      <c r="B2345"/>
      <c r="C2345"/>
      <c r="D2345"/>
      <c r="E2345"/>
      <c r="F2345"/>
      <c r="G2345"/>
      <c r="H2345"/>
      <c r="I2345"/>
      <c r="J2345"/>
      <c r="K2345"/>
      <c r="L2345"/>
      <c r="M2345"/>
      <c r="N2345"/>
      <c r="O2345"/>
    </row>
    <row r="2346" spans="1:15">
      <c r="A2346"/>
      <c r="B2346"/>
      <c r="C2346"/>
      <c r="D2346"/>
      <c r="E2346"/>
      <c r="F2346"/>
      <c r="G2346"/>
      <c r="H2346"/>
      <c r="I2346"/>
      <c r="J2346"/>
      <c r="K2346"/>
      <c r="L2346"/>
      <c r="M2346"/>
      <c r="N2346"/>
      <c r="O2346"/>
    </row>
    <row r="2347" spans="1:15">
      <c r="A2347"/>
      <c r="B2347"/>
      <c r="C2347"/>
      <c r="D2347"/>
      <c r="E2347"/>
      <c r="F2347"/>
      <c r="G2347"/>
      <c r="H2347"/>
      <c r="I2347"/>
      <c r="J2347"/>
      <c r="K2347"/>
      <c r="L2347"/>
      <c r="M2347"/>
      <c r="N2347"/>
      <c r="O2347"/>
    </row>
    <row r="2348" spans="1:15">
      <c r="A2348"/>
      <c r="B2348"/>
      <c r="C2348"/>
      <c r="D2348"/>
      <c r="E2348"/>
      <c r="F2348"/>
      <c r="G2348"/>
      <c r="H2348"/>
      <c r="I2348"/>
      <c r="J2348"/>
      <c r="K2348"/>
      <c r="L2348"/>
      <c r="M2348"/>
      <c r="N2348"/>
      <c r="O2348"/>
    </row>
    <row r="2349" spans="1:15">
      <c r="A2349"/>
      <c r="B2349"/>
      <c r="C2349"/>
      <c r="D2349"/>
      <c r="E2349"/>
      <c r="F2349"/>
      <c r="G2349"/>
      <c r="H2349"/>
      <c r="I2349"/>
      <c r="J2349"/>
      <c r="K2349"/>
      <c r="L2349"/>
      <c r="M2349"/>
      <c r="N2349"/>
      <c r="O2349"/>
    </row>
    <row r="2350" spans="1:15">
      <c r="A2350"/>
      <c r="B2350"/>
      <c r="C2350"/>
      <c r="D2350"/>
      <c r="E2350"/>
      <c r="F2350"/>
      <c r="G2350"/>
      <c r="H2350"/>
      <c r="I2350"/>
      <c r="J2350"/>
      <c r="K2350"/>
      <c r="L2350"/>
      <c r="M2350"/>
      <c r="N2350"/>
      <c r="O2350"/>
    </row>
    <row r="2351" spans="1:15">
      <c r="A2351"/>
      <c r="B2351"/>
      <c r="C2351"/>
      <c r="D2351"/>
      <c r="E2351"/>
      <c r="F2351"/>
      <c r="G2351"/>
      <c r="H2351"/>
      <c r="I2351"/>
      <c r="J2351"/>
      <c r="K2351"/>
      <c r="L2351"/>
      <c r="M2351"/>
      <c r="N2351"/>
      <c r="O2351"/>
    </row>
    <row r="2352" spans="1:15">
      <c r="A2352"/>
      <c r="B2352"/>
      <c r="C2352"/>
      <c r="D2352"/>
      <c r="E2352"/>
      <c r="F2352"/>
      <c r="G2352"/>
      <c r="H2352"/>
      <c r="I2352"/>
      <c r="J2352"/>
      <c r="K2352"/>
      <c r="L2352"/>
      <c r="M2352"/>
      <c r="N2352"/>
      <c r="O2352"/>
    </row>
    <row r="2353" spans="1:15">
      <c r="A2353"/>
      <c r="B2353"/>
      <c r="C2353"/>
      <c r="D2353"/>
      <c r="E2353"/>
      <c r="F2353"/>
      <c r="G2353"/>
      <c r="H2353"/>
      <c r="I2353"/>
      <c r="J2353"/>
      <c r="K2353"/>
      <c r="L2353"/>
      <c r="M2353"/>
      <c r="N2353"/>
      <c r="O2353"/>
    </row>
    <row r="2354" spans="1:15">
      <c r="A2354"/>
      <c r="B2354"/>
      <c r="C2354"/>
      <c r="D2354"/>
      <c r="E2354"/>
      <c r="F2354"/>
      <c r="G2354"/>
      <c r="H2354"/>
      <c r="I2354"/>
      <c r="J2354"/>
      <c r="K2354"/>
      <c r="L2354"/>
      <c r="M2354"/>
      <c r="N2354"/>
      <c r="O2354"/>
    </row>
    <row r="2355" spans="1:15">
      <c r="A2355"/>
      <c r="B2355"/>
      <c r="C2355"/>
      <c r="D2355"/>
      <c r="E2355"/>
      <c r="F2355"/>
      <c r="G2355"/>
      <c r="H2355"/>
      <c r="I2355"/>
      <c r="J2355"/>
      <c r="K2355"/>
      <c r="L2355"/>
      <c r="M2355"/>
      <c r="N2355"/>
      <c r="O2355"/>
    </row>
    <row r="2356" spans="1:15">
      <c r="A2356"/>
      <c r="B2356"/>
      <c r="C2356"/>
      <c r="D2356"/>
      <c r="E2356"/>
      <c r="F2356"/>
      <c r="G2356"/>
      <c r="H2356"/>
      <c r="I2356"/>
      <c r="J2356"/>
      <c r="K2356"/>
      <c r="L2356"/>
      <c r="M2356"/>
      <c r="N2356"/>
      <c r="O2356"/>
    </row>
    <row r="2357" spans="1:15">
      <c r="A2357"/>
      <c r="B2357"/>
      <c r="C2357"/>
      <c r="D2357"/>
      <c r="E2357"/>
      <c r="F2357"/>
      <c r="G2357"/>
      <c r="H2357"/>
      <c r="I2357"/>
      <c r="J2357"/>
      <c r="K2357"/>
      <c r="L2357"/>
      <c r="M2357"/>
      <c r="N2357"/>
      <c r="O2357"/>
    </row>
    <row r="2358" spans="1:15">
      <c r="A2358"/>
      <c r="B2358"/>
      <c r="C2358"/>
      <c r="D2358"/>
      <c r="E2358"/>
      <c r="F2358"/>
      <c r="G2358"/>
      <c r="H2358"/>
      <c r="I2358"/>
      <c r="J2358"/>
      <c r="K2358"/>
      <c r="L2358"/>
      <c r="M2358"/>
      <c r="N2358"/>
      <c r="O2358"/>
    </row>
    <row r="2359" spans="1:15">
      <c r="A2359"/>
      <c r="B2359"/>
      <c r="C2359"/>
      <c r="D2359"/>
      <c r="E2359"/>
      <c r="F2359"/>
      <c r="G2359"/>
      <c r="H2359"/>
      <c r="I2359"/>
      <c r="J2359"/>
      <c r="K2359"/>
      <c r="L2359"/>
      <c r="M2359"/>
      <c r="N2359"/>
      <c r="O2359"/>
    </row>
    <row r="2360" spans="1:15">
      <c r="A2360"/>
      <c r="B2360"/>
      <c r="C2360"/>
      <c r="D2360"/>
      <c r="E2360"/>
      <c r="F2360"/>
      <c r="G2360"/>
      <c r="H2360"/>
      <c r="I2360"/>
      <c r="J2360"/>
      <c r="K2360"/>
      <c r="L2360"/>
      <c r="M2360"/>
      <c r="N2360"/>
      <c r="O2360"/>
    </row>
    <row r="2361" spans="1:15">
      <c r="A2361"/>
      <c r="B2361"/>
      <c r="C2361"/>
      <c r="D2361"/>
      <c r="E2361"/>
      <c r="F2361"/>
      <c r="G2361"/>
      <c r="H2361"/>
      <c r="I2361"/>
      <c r="J2361"/>
      <c r="K2361"/>
      <c r="L2361"/>
      <c r="M2361"/>
      <c r="N2361"/>
      <c r="O2361"/>
    </row>
    <row r="2362" spans="1:15">
      <c r="A2362"/>
      <c r="B2362"/>
      <c r="C2362"/>
      <c r="D2362"/>
      <c r="E2362"/>
      <c r="F2362"/>
      <c r="G2362"/>
      <c r="H2362"/>
      <c r="I2362"/>
      <c r="J2362"/>
      <c r="K2362"/>
      <c r="L2362"/>
      <c r="M2362"/>
      <c r="N2362"/>
      <c r="O2362"/>
    </row>
    <row r="2363" spans="1:15">
      <c r="A2363"/>
      <c r="B2363"/>
      <c r="C2363"/>
      <c r="D2363"/>
      <c r="E2363"/>
      <c r="F2363"/>
      <c r="G2363"/>
      <c r="H2363"/>
      <c r="I2363"/>
      <c r="J2363"/>
      <c r="K2363"/>
      <c r="L2363"/>
      <c r="M2363"/>
      <c r="N2363"/>
      <c r="O2363"/>
    </row>
    <row r="2364" spans="1:15">
      <c r="A2364"/>
      <c r="B2364"/>
      <c r="C2364"/>
      <c r="D2364"/>
      <c r="E2364"/>
      <c r="F2364"/>
      <c r="G2364"/>
      <c r="H2364"/>
      <c r="I2364"/>
      <c r="J2364"/>
      <c r="K2364"/>
      <c r="L2364"/>
      <c r="M2364"/>
      <c r="N2364"/>
      <c r="O2364"/>
    </row>
    <row r="2365" spans="1:15">
      <c r="A2365"/>
      <c r="B2365"/>
      <c r="C2365"/>
      <c r="D2365"/>
      <c r="E2365"/>
      <c r="F2365"/>
      <c r="G2365"/>
      <c r="H2365"/>
      <c r="I2365"/>
      <c r="J2365"/>
      <c r="K2365"/>
      <c r="L2365"/>
      <c r="M2365"/>
      <c r="N2365"/>
      <c r="O2365"/>
    </row>
    <row r="2366" spans="1:15">
      <c r="A2366"/>
      <c r="B2366"/>
      <c r="C2366"/>
      <c r="D2366"/>
      <c r="E2366"/>
      <c r="F2366"/>
      <c r="G2366"/>
      <c r="H2366"/>
      <c r="I2366"/>
      <c r="J2366"/>
      <c r="K2366"/>
      <c r="L2366"/>
      <c r="M2366"/>
      <c r="N2366"/>
      <c r="O2366"/>
    </row>
    <row r="2367" spans="1:15">
      <c r="A2367"/>
      <c r="B2367"/>
      <c r="C2367"/>
      <c r="D2367"/>
      <c r="E2367"/>
      <c r="F2367"/>
      <c r="G2367"/>
      <c r="H2367"/>
      <c r="I2367"/>
      <c r="J2367"/>
      <c r="K2367"/>
      <c r="L2367"/>
      <c r="M2367"/>
      <c r="N2367"/>
      <c r="O2367"/>
    </row>
    <row r="2368" spans="1:15">
      <c r="A2368"/>
      <c r="B2368"/>
      <c r="C2368"/>
      <c r="D2368"/>
      <c r="E2368"/>
      <c r="F2368"/>
      <c r="G2368"/>
      <c r="H2368"/>
      <c r="I2368"/>
      <c r="J2368"/>
      <c r="K2368"/>
      <c r="L2368"/>
      <c r="M2368"/>
      <c r="N2368"/>
      <c r="O2368"/>
    </row>
    <row r="2369" spans="1:15">
      <c r="A2369"/>
      <c r="B2369"/>
      <c r="C2369"/>
      <c r="D2369"/>
      <c r="E2369"/>
      <c r="F2369"/>
      <c r="G2369"/>
      <c r="H2369"/>
      <c r="I2369"/>
      <c r="J2369"/>
      <c r="K2369"/>
      <c r="L2369"/>
      <c r="M2369"/>
      <c r="N2369"/>
      <c r="O2369"/>
    </row>
    <row r="2370" spans="1:15">
      <c r="A2370"/>
      <c r="B2370"/>
      <c r="C2370"/>
      <c r="D2370"/>
      <c r="E2370"/>
      <c r="F2370"/>
      <c r="G2370"/>
      <c r="H2370"/>
      <c r="I2370"/>
      <c r="J2370"/>
      <c r="K2370"/>
      <c r="L2370"/>
      <c r="M2370"/>
      <c r="N2370"/>
      <c r="O2370"/>
    </row>
    <row r="2371" spans="1:15">
      <c r="A2371"/>
      <c r="B2371"/>
      <c r="C2371"/>
      <c r="D2371"/>
      <c r="E2371"/>
      <c r="F2371"/>
      <c r="G2371"/>
      <c r="H2371"/>
      <c r="I2371"/>
      <c r="J2371"/>
      <c r="K2371"/>
      <c r="L2371"/>
      <c r="M2371"/>
      <c r="N2371"/>
      <c r="O2371"/>
    </row>
    <row r="2372" spans="1:15">
      <c r="A2372"/>
      <c r="B2372"/>
      <c r="C2372"/>
      <c r="D2372"/>
      <c r="E2372"/>
      <c r="F2372"/>
      <c r="G2372"/>
      <c r="H2372"/>
      <c r="I2372"/>
      <c r="J2372"/>
      <c r="K2372"/>
      <c r="L2372"/>
      <c r="M2372"/>
      <c r="N2372"/>
      <c r="O2372"/>
    </row>
    <row r="2373" spans="1:15">
      <c r="A2373"/>
      <c r="B2373"/>
      <c r="C2373"/>
      <c r="D2373"/>
      <c r="E2373"/>
      <c r="F2373"/>
      <c r="G2373"/>
      <c r="H2373"/>
      <c r="I2373"/>
      <c r="J2373"/>
      <c r="K2373"/>
      <c r="L2373"/>
      <c r="M2373"/>
      <c r="N2373"/>
      <c r="O2373"/>
    </row>
    <row r="2374" spans="1:15">
      <c r="A2374"/>
      <c r="B2374"/>
      <c r="C2374"/>
      <c r="D2374"/>
      <c r="E2374"/>
      <c r="F2374"/>
      <c r="G2374"/>
      <c r="H2374"/>
      <c r="I2374"/>
      <c r="J2374"/>
      <c r="K2374"/>
      <c r="L2374"/>
      <c r="M2374"/>
      <c r="N2374"/>
      <c r="O2374"/>
    </row>
    <row r="2375" spans="1:15">
      <c r="A2375"/>
      <c r="B2375"/>
      <c r="C2375"/>
      <c r="D2375"/>
      <c r="E2375"/>
      <c r="F2375"/>
      <c r="G2375"/>
      <c r="H2375"/>
      <c r="I2375"/>
      <c r="J2375"/>
      <c r="K2375"/>
      <c r="L2375"/>
      <c r="M2375"/>
      <c r="N2375"/>
      <c r="O2375"/>
    </row>
    <row r="2376" spans="1:15">
      <c r="A2376"/>
      <c r="B2376"/>
      <c r="C2376"/>
      <c r="D2376"/>
      <c r="E2376"/>
      <c r="F2376"/>
      <c r="G2376"/>
      <c r="H2376"/>
      <c r="I2376"/>
      <c r="J2376"/>
      <c r="K2376"/>
      <c r="L2376"/>
      <c r="M2376"/>
      <c r="N2376"/>
      <c r="O2376"/>
    </row>
    <row r="2377" spans="1:15">
      <c r="A2377"/>
      <c r="B2377"/>
      <c r="C2377"/>
      <c r="D2377"/>
      <c r="E2377"/>
      <c r="F2377"/>
      <c r="G2377"/>
      <c r="H2377"/>
      <c r="I2377"/>
      <c r="J2377"/>
      <c r="K2377"/>
      <c r="L2377"/>
      <c r="M2377"/>
      <c r="N2377"/>
      <c r="O2377"/>
    </row>
    <row r="2378" spans="1:15">
      <c r="A2378"/>
      <c r="B2378"/>
      <c r="C2378"/>
      <c r="D2378"/>
      <c r="E2378"/>
      <c r="F2378"/>
      <c r="G2378"/>
      <c r="H2378"/>
      <c r="I2378"/>
      <c r="J2378"/>
      <c r="K2378"/>
      <c r="L2378"/>
      <c r="M2378"/>
      <c r="N2378"/>
      <c r="O2378"/>
    </row>
    <row r="2379" spans="1:15">
      <c r="A2379"/>
      <c r="B2379"/>
      <c r="C2379"/>
      <c r="D2379"/>
      <c r="E2379"/>
      <c r="F2379"/>
      <c r="G2379"/>
      <c r="H2379"/>
      <c r="I2379"/>
      <c r="J2379"/>
      <c r="K2379"/>
      <c r="L2379"/>
      <c r="M2379"/>
      <c r="N2379"/>
      <c r="O2379"/>
    </row>
    <row r="2380" spans="1:15">
      <c r="A2380"/>
      <c r="B2380"/>
      <c r="C2380"/>
      <c r="D2380"/>
      <c r="E2380"/>
      <c r="F2380"/>
      <c r="G2380"/>
      <c r="H2380"/>
      <c r="I2380"/>
      <c r="J2380"/>
      <c r="K2380"/>
      <c r="L2380"/>
      <c r="M2380"/>
      <c r="N2380"/>
      <c r="O2380"/>
    </row>
    <row r="2381" spans="1:15">
      <c r="A2381"/>
      <c r="B2381"/>
      <c r="C2381"/>
      <c r="D2381"/>
      <c r="E2381"/>
      <c r="F2381"/>
      <c r="G2381"/>
      <c r="H2381"/>
      <c r="I2381"/>
      <c r="J2381"/>
      <c r="K2381"/>
      <c r="L2381"/>
      <c r="M2381"/>
      <c r="N2381"/>
      <c r="O2381"/>
    </row>
    <row r="2382" spans="1:15">
      <c r="A2382"/>
      <c r="B2382"/>
      <c r="C2382"/>
      <c r="D2382"/>
      <c r="E2382"/>
      <c r="F2382"/>
      <c r="G2382"/>
      <c r="H2382"/>
      <c r="I2382"/>
      <c r="J2382"/>
      <c r="K2382"/>
      <c r="L2382"/>
      <c r="M2382"/>
      <c r="N2382"/>
      <c r="O2382"/>
    </row>
    <row r="2383" spans="1:15">
      <c r="A2383"/>
      <c r="B2383"/>
      <c r="C2383"/>
      <c r="D2383"/>
      <c r="E2383"/>
      <c r="F2383"/>
      <c r="G2383"/>
      <c r="H2383"/>
      <c r="I2383"/>
      <c r="J2383"/>
      <c r="K2383"/>
      <c r="L2383"/>
      <c r="M2383"/>
      <c r="N2383"/>
      <c r="O2383"/>
    </row>
    <row r="2384" spans="1:15">
      <c r="A2384"/>
      <c r="B2384"/>
      <c r="C2384"/>
      <c r="D2384"/>
      <c r="E2384"/>
      <c r="F2384"/>
      <c r="G2384"/>
      <c r="H2384"/>
      <c r="I2384"/>
      <c r="J2384"/>
      <c r="K2384"/>
      <c r="L2384"/>
      <c r="M2384"/>
      <c r="N2384"/>
      <c r="O2384"/>
    </row>
    <row r="2385" spans="1:15">
      <c r="A2385"/>
      <c r="B2385"/>
      <c r="C2385"/>
      <c r="D2385"/>
      <c r="E2385"/>
      <c r="F2385"/>
      <c r="G2385"/>
      <c r="H2385"/>
      <c r="I2385"/>
      <c r="J2385"/>
      <c r="K2385"/>
      <c r="L2385"/>
      <c r="M2385"/>
      <c r="N2385"/>
      <c r="O2385"/>
    </row>
    <row r="2386" spans="1:15">
      <c r="A2386"/>
      <c r="B2386"/>
      <c r="C2386"/>
      <c r="D2386"/>
      <c r="E2386"/>
      <c r="F2386"/>
      <c r="G2386"/>
      <c r="H2386"/>
      <c r="I2386"/>
      <c r="J2386"/>
      <c r="K2386"/>
      <c r="L2386"/>
      <c r="M2386"/>
      <c r="N2386"/>
      <c r="O2386"/>
    </row>
    <row r="2387" spans="1:15">
      <c r="A2387"/>
      <c r="B2387"/>
      <c r="C2387"/>
      <c r="D2387"/>
      <c r="E2387"/>
      <c r="F2387"/>
      <c r="G2387"/>
      <c r="H2387"/>
      <c r="I2387"/>
      <c r="J2387"/>
      <c r="K2387"/>
      <c r="L2387"/>
      <c r="M2387"/>
      <c r="N2387"/>
      <c r="O2387"/>
    </row>
    <row r="2388" spans="1:15">
      <c r="A2388"/>
      <c r="B2388"/>
      <c r="C2388"/>
      <c r="D2388"/>
      <c r="E2388"/>
      <c r="F2388"/>
      <c r="G2388"/>
      <c r="H2388"/>
      <c r="I2388"/>
      <c r="J2388"/>
      <c r="K2388"/>
      <c r="L2388"/>
      <c r="M2388"/>
      <c r="N2388"/>
      <c r="O2388"/>
    </row>
    <row r="2389" spans="1:15">
      <c r="A2389"/>
      <c r="B2389"/>
      <c r="C2389"/>
      <c r="D2389"/>
      <c r="E2389"/>
      <c r="F2389"/>
      <c r="G2389"/>
      <c r="H2389"/>
      <c r="I2389"/>
      <c r="J2389"/>
      <c r="K2389"/>
      <c r="L2389"/>
      <c r="M2389"/>
      <c r="N2389"/>
      <c r="O2389"/>
    </row>
    <row r="2390" spans="1:15">
      <c r="A2390"/>
      <c r="B2390"/>
      <c r="C2390"/>
      <c r="D2390"/>
      <c r="E2390"/>
      <c r="F2390"/>
      <c r="G2390"/>
      <c r="H2390"/>
      <c r="I2390"/>
      <c r="J2390"/>
      <c r="K2390"/>
      <c r="L2390"/>
      <c r="M2390"/>
      <c r="N2390"/>
      <c r="O2390"/>
    </row>
    <row r="2391" spans="1:15">
      <c r="A2391"/>
      <c r="B2391"/>
      <c r="C2391"/>
      <c r="D2391"/>
      <c r="E2391"/>
      <c r="F2391"/>
      <c r="G2391"/>
      <c r="H2391"/>
      <c r="I2391"/>
      <c r="J2391"/>
      <c r="K2391"/>
      <c r="L2391"/>
      <c r="M2391"/>
      <c r="N2391"/>
      <c r="O2391"/>
    </row>
    <row r="2392" spans="1:15">
      <c r="A2392"/>
      <c r="B2392"/>
      <c r="C2392"/>
      <c r="D2392"/>
      <c r="E2392"/>
      <c r="F2392"/>
      <c r="G2392"/>
      <c r="H2392"/>
      <c r="I2392"/>
      <c r="J2392"/>
      <c r="K2392"/>
      <c r="L2392"/>
      <c r="M2392"/>
      <c r="N2392"/>
      <c r="O2392"/>
    </row>
    <row r="2393" spans="1:15">
      <c r="A2393"/>
      <c r="B2393"/>
      <c r="C2393"/>
      <c r="D2393"/>
      <c r="E2393"/>
      <c r="F2393"/>
      <c r="G2393"/>
      <c r="H2393"/>
      <c r="I2393"/>
      <c r="J2393"/>
      <c r="K2393"/>
      <c r="L2393"/>
      <c r="M2393"/>
      <c r="N2393"/>
      <c r="O2393"/>
    </row>
    <row r="2394" spans="1:15">
      <c r="A2394"/>
      <c r="B2394"/>
      <c r="C2394"/>
      <c r="D2394"/>
      <c r="E2394"/>
      <c r="F2394"/>
      <c r="G2394"/>
      <c r="H2394"/>
      <c r="I2394"/>
      <c r="J2394"/>
      <c r="K2394"/>
      <c r="L2394"/>
      <c r="M2394"/>
      <c r="N2394"/>
      <c r="O2394"/>
    </row>
    <row r="2395" spans="1:15">
      <c r="A2395"/>
      <c r="B2395"/>
      <c r="C2395"/>
      <c r="D2395"/>
      <c r="E2395"/>
      <c r="F2395"/>
      <c r="G2395"/>
      <c r="H2395"/>
      <c r="I2395"/>
      <c r="J2395"/>
      <c r="K2395"/>
      <c r="L2395"/>
      <c r="M2395"/>
      <c r="N2395"/>
      <c r="O2395"/>
    </row>
    <row r="2396" spans="1:15">
      <c r="A2396"/>
      <c r="B2396"/>
      <c r="C2396"/>
      <c r="D2396"/>
      <c r="E2396"/>
      <c r="F2396"/>
      <c r="G2396"/>
      <c r="H2396"/>
      <c r="I2396"/>
      <c r="J2396"/>
      <c r="K2396"/>
      <c r="L2396"/>
      <c r="M2396"/>
      <c r="N2396"/>
      <c r="O2396"/>
    </row>
    <row r="2397" spans="1:15">
      <c r="A2397"/>
      <c r="B2397"/>
      <c r="C2397"/>
      <c r="D2397"/>
      <c r="E2397"/>
      <c r="F2397"/>
      <c r="G2397"/>
      <c r="H2397"/>
      <c r="I2397"/>
      <c r="J2397"/>
      <c r="K2397"/>
      <c r="L2397"/>
      <c r="M2397"/>
      <c r="N2397"/>
      <c r="O2397"/>
    </row>
    <row r="2398" spans="1:15">
      <c r="A2398"/>
      <c r="B2398"/>
      <c r="C2398"/>
      <c r="D2398"/>
      <c r="E2398"/>
      <c r="F2398"/>
      <c r="G2398"/>
      <c r="H2398"/>
      <c r="I2398"/>
      <c r="J2398"/>
      <c r="K2398"/>
      <c r="L2398"/>
      <c r="M2398"/>
      <c r="N2398"/>
      <c r="O2398"/>
    </row>
    <row r="2399" spans="1:15">
      <c r="A2399"/>
      <c r="B2399"/>
      <c r="C2399"/>
      <c r="D2399"/>
      <c r="E2399"/>
      <c r="F2399"/>
      <c r="G2399"/>
      <c r="H2399"/>
      <c r="I2399"/>
      <c r="J2399"/>
      <c r="K2399"/>
      <c r="L2399"/>
      <c r="M2399"/>
      <c r="N2399"/>
      <c r="O2399"/>
    </row>
    <row r="2400" spans="1:15">
      <c r="A2400"/>
      <c r="B2400"/>
      <c r="C2400"/>
      <c r="D2400"/>
      <c r="E2400"/>
      <c r="F2400"/>
      <c r="G2400"/>
      <c r="H2400"/>
      <c r="I2400"/>
      <c r="J2400"/>
      <c r="K2400"/>
      <c r="L2400"/>
      <c r="M2400"/>
      <c r="N2400"/>
      <c r="O2400"/>
    </row>
    <row r="2401" spans="1:15">
      <c r="A2401"/>
      <c r="B2401"/>
      <c r="C2401"/>
      <c r="D2401"/>
      <c r="E2401"/>
      <c r="F2401"/>
      <c r="G2401"/>
      <c r="H2401"/>
      <c r="I2401"/>
      <c r="J2401"/>
      <c r="K2401"/>
      <c r="L2401"/>
      <c r="M2401"/>
      <c r="N2401"/>
      <c r="O2401"/>
    </row>
    <row r="2402" spans="1:15">
      <c r="A2402"/>
      <c r="B2402"/>
      <c r="C2402"/>
      <c r="D2402"/>
      <c r="E2402"/>
      <c r="F2402"/>
      <c r="G2402"/>
      <c r="H2402"/>
      <c r="I2402"/>
      <c r="J2402"/>
      <c r="K2402"/>
      <c r="L2402"/>
      <c r="M2402"/>
      <c r="N2402"/>
      <c r="O2402"/>
    </row>
    <row r="2403" spans="1:15">
      <c r="A2403"/>
      <c r="B2403"/>
      <c r="C2403"/>
      <c r="D2403"/>
      <c r="E2403"/>
      <c r="F2403"/>
      <c r="G2403"/>
      <c r="H2403"/>
      <c r="I2403"/>
      <c r="J2403"/>
      <c r="K2403"/>
      <c r="L2403"/>
      <c r="M2403"/>
      <c r="N2403"/>
      <c r="O2403"/>
    </row>
    <row r="2404" spans="1:15">
      <c r="A2404"/>
      <c r="B2404"/>
      <c r="C2404"/>
      <c r="D2404"/>
      <c r="E2404"/>
      <c r="F2404"/>
      <c r="G2404"/>
      <c r="H2404"/>
      <c r="I2404"/>
      <c r="J2404"/>
      <c r="K2404"/>
      <c r="L2404"/>
      <c r="M2404"/>
      <c r="N2404"/>
      <c r="O2404"/>
    </row>
    <row r="2405" spans="1:15">
      <c r="A2405"/>
      <c r="B2405"/>
      <c r="C2405"/>
      <c r="D2405"/>
      <c r="E2405"/>
      <c r="F2405"/>
      <c r="G2405"/>
      <c r="H2405"/>
      <c r="I2405"/>
      <c r="J2405"/>
      <c r="K2405"/>
      <c r="L2405"/>
      <c r="M2405"/>
      <c r="N2405"/>
      <c r="O2405"/>
    </row>
    <row r="2406" spans="1:15">
      <c r="A2406"/>
      <c r="B2406"/>
      <c r="C2406"/>
      <c r="D2406"/>
      <c r="E2406"/>
      <c r="F2406"/>
      <c r="G2406"/>
      <c r="H2406"/>
      <c r="I2406"/>
      <c r="J2406"/>
      <c r="K2406"/>
      <c r="L2406"/>
      <c r="M2406"/>
      <c r="N2406"/>
      <c r="O2406"/>
    </row>
    <row r="2407" spans="1:15">
      <c r="A2407"/>
      <c r="B2407"/>
      <c r="C2407"/>
      <c r="D2407"/>
      <c r="E2407"/>
      <c r="F2407"/>
      <c r="G2407"/>
      <c r="H2407"/>
      <c r="I2407"/>
      <c r="J2407"/>
      <c r="K2407"/>
      <c r="L2407"/>
      <c r="M2407"/>
      <c r="N2407"/>
      <c r="O2407"/>
    </row>
    <row r="2408" spans="1:15">
      <c r="A2408"/>
      <c r="B2408"/>
      <c r="C2408"/>
      <c r="D2408"/>
      <c r="E2408"/>
      <c r="F2408"/>
      <c r="G2408"/>
      <c r="H2408"/>
      <c r="I2408"/>
      <c r="J2408"/>
      <c r="K2408"/>
      <c r="L2408"/>
      <c r="M2408"/>
      <c r="N2408"/>
      <c r="O2408"/>
    </row>
    <row r="2409" spans="1:15">
      <c r="A2409"/>
      <c r="B2409"/>
      <c r="C2409"/>
      <c r="D2409"/>
      <c r="E2409"/>
      <c r="F2409"/>
      <c r="G2409"/>
      <c r="H2409"/>
      <c r="I2409"/>
      <c r="J2409"/>
      <c r="K2409"/>
      <c r="L2409"/>
      <c r="M2409"/>
      <c r="N2409"/>
      <c r="O2409"/>
    </row>
    <row r="2410" spans="1:15">
      <c r="A2410"/>
      <c r="B2410"/>
      <c r="C2410"/>
      <c r="D2410"/>
      <c r="E2410"/>
      <c r="F2410"/>
      <c r="G2410"/>
      <c r="H2410"/>
      <c r="I2410"/>
      <c r="J2410"/>
      <c r="K2410"/>
      <c r="L2410"/>
      <c r="M2410"/>
      <c r="N2410"/>
      <c r="O2410"/>
    </row>
    <row r="2411" spans="1:15">
      <c r="A2411"/>
      <c r="B2411"/>
      <c r="C2411"/>
      <c r="D2411"/>
      <c r="E2411"/>
      <c r="F2411"/>
      <c r="G2411"/>
      <c r="H2411"/>
      <c r="I2411"/>
      <c r="J2411"/>
      <c r="K2411"/>
      <c r="L2411"/>
      <c r="M2411"/>
      <c r="N2411"/>
      <c r="O2411"/>
    </row>
    <row r="2412" spans="1:15">
      <c r="A2412"/>
      <c r="B2412"/>
      <c r="C2412"/>
      <c r="D2412"/>
      <c r="E2412"/>
      <c r="F2412"/>
      <c r="G2412"/>
      <c r="H2412"/>
      <c r="I2412"/>
      <c r="J2412"/>
      <c r="K2412"/>
      <c r="L2412"/>
      <c r="M2412"/>
      <c r="N2412"/>
      <c r="O2412"/>
    </row>
    <row r="2413" spans="1:15">
      <c r="A2413"/>
      <c r="B2413"/>
      <c r="C2413"/>
      <c r="D2413"/>
      <c r="E2413"/>
      <c r="F2413"/>
      <c r="G2413"/>
      <c r="H2413"/>
      <c r="I2413"/>
      <c r="J2413"/>
      <c r="K2413"/>
      <c r="L2413"/>
      <c r="M2413"/>
      <c r="N2413"/>
      <c r="O2413"/>
    </row>
    <row r="2414" spans="1:15">
      <c r="A2414"/>
      <c r="B2414"/>
      <c r="C2414"/>
      <c r="D2414"/>
      <c r="E2414"/>
      <c r="F2414"/>
      <c r="G2414"/>
      <c r="H2414"/>
      <c r="I2414"/>
      <c r="J2414"/>
      <c r="K2414"/>
      <c r="L2414"/>
      <c r="M2414"/>
      <c r="N2414"/>
      <c r="O2414"/>
    </row>
    <row r="2415" spans="1:15">
      <c r="A2415"/>
      <c r="B2415"/>
      <c r="C2415"/>
      <c r="D2415"/>
      <c r="E2415"/>
      <c r="F2415"/>
      <c r="G2415"/>
      <c r="H2415"/>
      <c r="I2415"/>
      <c r="J2415"/>
      <c r="K2415"/>
      <c r="L2415"/>
      <c r="M2415"/>
      <c r="N2415"/>
      <c r="O2415"/>
    </row>
    <row r="2416" spans="1:15">
      <c r="A2416"/>
      <c r="B2416"/>
      <c r="C2416"/>
      <c r="D2416"/>
      <c r="E2416"/>
      <c r="F2416"/>
      <c r="G2416"/>
      <c r="H2416"/>
      <c r="I2416"/>
      <c r="J2416"/>
      <c r="K2416"/>
      <c r="L2416"/>
      <c r="M2416"/>
      <c r="N2416"/>
      <c r="O2416"/>
    </row>
    <row r="2417" spans="1:15">
      <c r="A2417"/>
      <c r="B2417"/>
      <c r="C2417"/>
      <c r="D2417"/>
      <c r="E2417"/>
      <c r="F2417"/>
      <c r="G2417"/>
      <c r="H2417"/>
      <c r="I2417"/>
      <c r="J2417"/>
      <c r="K2417"/>
      <c r="L2417"/>
      <c r="M2417"/>
      <c r="N2417"/>
      <c r="O2417"/>
    </row>
    <row r="2418" spans="1:15">
      <c r="A2418"/>
      <c r="B2418"/>
      <c r="C2418"/>
      <c r="D2418"/>
      <c r="E2418"/>
      <c r="F2418"/>
      <c r="G2418"/>
      <c r="H2418"/>
      <c r="I2418"/>
      <c r="J2418"/>
      <c r="K2418"/>
      <c r="L2418"/>
      <c r="M2418"/>
      <c r="N2418"/>
      <c r="O2418"/>
    </row>
    <row r="2419" spans="1:15">
      <c r="A2419"/>
      <c r="B2419"/>
      <c r="C2419"/>
      <c r="D2419"/>
      <c r="E2419"/>
      <c r="F2419"/>
      <c r="G2419"/>
      <c r="H2419"/>
      <c r="I2419"/>
      <c r="J2419"/>
      <c r="K2419"/>
      <c r="L2419"/>
      <c r="M2419"/>
      <c r="N2419"/>
      <c r="O2419"/>
    </row>
    <row r="2420" spans="1:15">
      <c r="A2420"/>
      <c r="B2420"/>
      <c r="C2420"/>
      <c r="D2420"/>
      <c r="E2420"/>
      <c r="F2420"/>
      <c r="G2420"/>
      <c r="H2420"/>
      <c r="I2420"/>
      <c r="J2420"/>
      <c r="K2420"/>
      <c r="L2420"/>
      <c r="M2420"/>
      <c r="N2420"/>
      <c r="O2420"/>
    </row>
    <row r="2421" spans="1:15">
      <c r="A2421"/>
      <c r="B2421"/>
      <c r="C2421"/>
      <c r="D2421"/>
      <c r="E2421"/>
      <c r="F2421"/>
      <c r="G2421"/>
      <c r="H2421"/>
      <c r="I2421"/>
      <c r="J2421"/>
      <c r="K2421"/>
      <c r="L2421"/>
      <c r="M2421"/>
      <c r="N2421"/>
      <c r="O2421"/>
    </row>
    <row r="2422" spans="1:15">
      <c r="A2422"/>
      <c r="B2422"/>
      <c r="C2422"/>
      <c r="D2422"/>
      <c r="E2422"/>
      <c r="F2422"/>
      <c r="G2422"/>
      <c r="H2422"/>
      <c r="I2422"/>
      <c r="J2422"/>
      <c r="K2422"/>
      <c r="L2422"/>
      <c r="M2422"/>
      <c r="N2422"/>
      <c r="O2422"/>
    </row>
    <row r="2423" spans="1:15">
      <c r="A2423"/>
      <c r="B2423"/>
      <c r="C2423"/>
      <c r="D2423"/>
      <c r="E2423"/>
      <c r="F2423"/>
      <c r="G2423"/>
      <c r="H2423"/>
      <c r="I2423"/>
      <c r="J2423"/>
      <c r="K2423"/>
      <c r="L2423"/>
      <c r="M2423"/>
      <c r="N2423"/>
      <c r="O2423"/>
    </row>
    <row r="2424" spans="1:15">
      <c r="A2424"/>
      <c r="B2424"/>
      <c r="C2424"/>
      <c r="D2424"/>
      <c r="E2424"/>
      <c r="F2424"/>
      <c r="G2424"/>
      <c r="H2424"/>
      <c r="I2424"/>
      <c r="J2424"/>
      <c r="K2424"/>
      <c r="L2424"/>
      <c r="M2424"/>
      <c r="N2424"/>
      <c r="O2424"/>
    </row>
    <row r="2425" spans="1:15">
      <c r="A2425"/>
      <c r="B2425"/>
      <c r="C2425"/>
      <c r="D2425"/>
      <c r="E2425"/>
      <c r="F2425"/>
      <c r="G2425"/>
      <c r="H2425"/>
      <c r="I2425"/>
      <c r="J2425"/>
      <c r="K2425"/>
      <c r="L2425"/>
      <c r="M2425"/>
      <c r="N2425"/>
      <c r="O2425"/>
    </row>
    <row r="2426" spans="1:15">
      <c r="A2426"/>
      <c r="B2426"/>
      <c r="C2426"/>
      <c r="D2426"/>
      <c r="E2426"/>
      <c r="F2426"/>
      <c r="G2426"/>
      <c r="H2426"/>
      <c r="I2426"/>
      <c r="J2426"/>
      <c r="K2426"/>
      <c r="L2426"/>
      <c r="M2426"/>
      <c r="N2426"/>
      <c r="O2426"/>
    </row>
    <row r="2427" spans="1:15">
      <c r="A2427"/>
      <c r="B2427"/>
      <c r="C2427"/>
      <c r="D2427"/>
      <c r="E2427"/>
      <c r="F2427"/>
      <c r="G2427"/>
      <c r="H2427"/>
      <c r="I2427"/>
      <c r="J2427"/>
      <c r="K2427"/>
      <c r="L2427"/>
      <c r="M2427"/>
      <c r="N2427"/>
      <c r="O2427"/>
    </row>
    <row r="2428" spans="1:15">
      <c r="A2428"/>
      <c r="B2428"/>
      <c r="C2428"/>
      <c r="D2428"/>
      <c r="E2428"/>
      <c r="F2428"/>
      <c r="G2428"/>
      <c r="H2428"/>
      <c r="I2428"/>
      <c r="J2428"/>
      <c r="K2428"/>
      <c r="L2428"/>
      <c r="M2428"/>
      <c r="N2428"/>
      <c r="O2428"/>
    </row>
    <row r="2429" spans="1:15">
      <c r="A2429"/>
      <c r="B2429"/>
      <c r="C2429"/>
      <c r="D2429"/>
      <c r="E2429"/>
      <c r="F2429"/>
      <c r="G2429"/>
      <c r="H2429"/>
      <c r="I2429"/>
      <c r="J2429"/>
      <c r="K2429"/>
      <c r="L2429"/>
      <c r="M2429"/>
      <c r="N2429"/>
      <c r="O2429"/>
    </row>
    <row r="2430" spans="1:15">
      <c r="A2430"/>
      <c r="B2430"/>
      <c r="C2430"/>
      <c r="D2430"/>
      <c r="E2430"/>
      <c r="F2430"/>
      <c r="G2430"/>
      <c r="H2430"/>
      <c r="I2430"/>
      <c r="J2430"/>
      <c r="K2430"/>
      <c r="L2430"/>
      <c r="M2430"/>
      <c r="N2430"/>
      <c r="O2430"/>
    </row>
    <row r="2431" spans="1:15">
      <c r="A2431"/>
      <c r="B2431"/>
      <c r="C2431"/>
      <c r="D2431"/>
      <c r="E2431"/>
      <c r="F2431"/>
      <c r="G2431"/>
      <c r="H2431"/>
      <c r="I2431"/>
      <c r="J2431"/>
      <c r="K2431"/>
      <c r="L2431"/>
      <c r="M2431"/>
      <c r="N2431"/>
      <c r="O2431"/>
    </row>
    <row r="2432" spans="1:15">
      <c r="A2432"/>
      <c r="B2432"/>
      <c r="C2432"/>
      <c r="D2432"/>
      <c r="E2432"/>
      <c r="F2432"/>
      <c r="G2432"/>
      <c r="H2432"/>
      <c r="I2432"/>
      <c r="J2432"/>
      <c r="K2432"/>
      <c r="L2432"/>
      <c r="M2432"/>
      <c r="N2432"/>
      <c r="O2432"/>
    </row>
    <row r="2433" spans="1:15">
      <c r="A2433"/>
      <c r="B2433"/>
      <c r="C2433"/>
      <c r="D2433"/>
      <c r="E2433"/>
      <c r="F2433"/>
      <c r="G2433"/>
      <c r="H2433"/>
      <c r="I2433"/>
      <c r="J2433"/>
      <c r="K2433"/>
      <c r="L2433"/>
      <c r="M2433"/>
      <c r="N2433"/>
      <c r="O2433"/>
    </row>
    <row r="2434" spans="1:15">
      <c r="A2434"/>
      <c r="B2434"/>
      <c r="C2434"/>
      <c r="D2434"/>
      <c r="E2434"/>
      <c r="F2434"/>
      <c r="G2434"/>
      <c r="H2434"/>
      <c r="I2434"/>
      <c r="J2434"/>
      <c r="K2434"/>
      <c r="L2434"/>
      <c r="M2434"/>
      <c r="N2434"/>
      <c r="O2434"/>
    </row>
    <row r="2435" spans="1:15">
      <c r="A2435"/>
      <c r="B2435"/>
      <c r="C2435"/>
      <c r="D2435"/>
      <c r="E2435"/>
      <c r="F2435"/>
      <c r="G2435"/>
      <c r="H2435"/>
      <c r="I2435"/>
      <c r="J2435"/>
      <c r="K2435"/>
      <c r="L2435"/>
      <c r="M2435"/>
      <c r="N2435"/>
      <c r="O2435"/>
    </row>
    <row r="2436" spans="1:15">
      <c r="A2436"/>
      <c r="B2436"/>
      <c r="C2436"/>
      <c r="D2436"/>
      <c r="E2436"/>
      <c r="F2436"/>
      <c r="G2436"/>
      <c r="H2436"/>
      <c r="I2436"/>
      <c r="J2436"/>
      <c r="K2436"/>
      <c r="L2436"/>
      <c r="M2436"/>
      <c r="N2436"/>
      <c r="O2436"/>
    </row>
    <row r="2437" spans="1:15">
      <c r="A2437"/>
      <c r="B2437"/>
      <c r="C2437"/>
      <c r="D2437"/>
      <c r="E2437"/>
      <c r="F2437"/>
      <c r="G2437"/>
      <c r="H2437"/>
      <c r="I2437"/>
      <c r="J2437"/>
      <c r="K2437"/>
      <c r="L2437"/>
      <c r="M2437"/>
      <c r="N2437"/>
      <c r="O2437"/>
    </row>
    <row r="2438" spans="1:15">
      <c r="A2438"/>
      <c r="B2438"/>
      <c r="C2438"/>
      <c r="D2438"/>
      <c r="E2438"/>
      <c r="F2438"/>
      <c r="G2438"/>
      <c r="H2438"/>
      <c r="I2438"/>
      <c r="J2438"/>
      <c r="K2438"/>
      <c r="L2438"/>
      <c r="M2438"/>
      <c r="N2438"/>
      <c r="O2438"/>
    </row>
    <row r="2439" spans="1:15">
      <c r="A2439"/>
      <c r="B2439"/>
      <c r="C2439"/>
      <c r="D2439"/>
      <c r="E2439"/>
      <c r="F2439"/>
      <c r="G2439"/>
      <c r="H2439"/>
      <c r="I2439"/>
      <c r="J2439"/>
      <c r="K2439"/>
      <c r="L2439"/>
      <c r="M2439"/>
      <c r="N2439"/>
      <c r="O2439"/>
    </row>
    <row r="2440" spans="1:15">
      <c r="A2440"/>
      <c r="B2440"/>
      <c r="C2440"/>
      <c r="D2440"/>
      <c r="E2440"/>
      <c r="F2440"/>
      <c r="G2440"/>
      <c r="H2440"/>
      <c r="I2440"/>
      <c r="J2440"/>
      <c r="K2440"/>
      <c r="L2440"/>
      <c r="M2440"/>
      <c r="N2440"/>
      <c r="O2440"/>
    </row>
    <row r="2441" spans="1:15">
      <c r="A2441"/>
      <c r="B2441"/>
      <c r="C2441"/>
      <c r="D2441"/>
      <c r="E2441"/>
      <c r="F2441"/>
      <c r="G2441"/>
      <c r="H2441"/>
      <c r="I2441"/>
      <c r="J2441"/>
      <c r="K2441"/>
      <c r="L2441"/>
      <c r="M2441"/>
      <c r="N2441"/>
      <c r="O2441"/>
    </row>
    <row r="2442" spans="1:15">
      <c r="A2442"/>
      <c r="B2442"/>
      <c r="C2442"/>
      <c r="D2442"/>
      <c r="E2442"/>
      <c r="F2442"/>
      <c r="G2442"/>
      <c r="H2442"/>
      <c r="I2442"/>
      <c r="J2442"/>
      <c r="K2442"/>
      <c r="L2442"/>
      <c r="M2442"/>
      <c r="N2442"/>
      <c r="O2442"/>
    </row>
    <row r="2443" spans="1:15">
      <c r="A2443"/>
      <c r="B2443"/>
      <c r="C2443"/>
      <c r="D2443"/>
      <c r="E2443"/>
      <c r="F2443"/>
      <c r="G2443"/>
      <c r="H2443"/>
      <c r="I2443"/>
      <c r="J2443"/>
      <c r="K2443"/>
      <c r="L2443"/>
      <c r="M2443"/>
      <c r="N2443"/>
      <c r="O2443"/>
    </row>
    <row r="2444" spans="1:15">
      <c r="A2444"/>
      <c r="B2444"/>
      <c r="C2444"/>
      <c r="D2444"/>
      <c r="E2444"/>
      <c r="F2444"/>
      <c r="G2444"/>
      <c r="H2444"/>
      <c r="I2444"/>
      <c r="J2444"/>
      <c r="K2444"/>
      <c r="L2444"/>
      <c r="M2444"/>
      <c r="N2444"/>
      <c r="O2444"/>
    </row>
    <row r="2445" spans="1:15">
      <c r="A2445"/>
      <c r="B2445"/>
      <c r="C2445"/>
      <c r="D2445"/>
      <c r="E2445"/>
      <c r="F2445"/>
      <c r="G2445"/>
      <c r="H2445"/>
      <c r="I2445"/>
      <c r="J2445"/>
      <c r="K2445"/>
      <c r="L2445"/>
      <c r="M2445"/>
      <c r="N2445"/>
      <c r="O2445"/>
    </row>
    <row r="2446" spans="1:15">
      <c r="A2446"/>
      <c r="B2446"/>
      <c r="C2446"/>
      <c r="D2446"/>
      <c r="E2446"/>
      <c r="F2446"/>
      <c r="G2446"/>
      <c r="H2446"/>
      <c r="I2446"/>
      <c r="J2446"/>
      <c r="K2446"/>
      <c r="L2446"/>
      <c r="M2446"/>
      <c r="N2446"/>
      <c r="O2446"/>
    </row>
    <row r="2447" spans="1:15">
      <c r="A2447"/>
      <c r="B2447"/>
      <c r="C2447"/>
      <c r="D2447"/>
      <c r="E2447"/>
      <c r="F2447"/>
      <c r="G2447"/>
      <c r="H2447"/>
      <c r="I2447"/>
      <c r="J2447"/>
      <c r="K2447"/>
      <c r="L2447"/>
      <c r="M2447"/>
      <c r="N2447"/>
      <c r="O2447"/>
    </row>
    <row r="2448" spans="1:15">
      <c r="A2448"/>
      <c r="B2448"/>
      <c r="C2448"/>
      <c r="D2448"/>
      <c r="E2448"/>
      <c r="F2448"/>
      <c r="G2448"/>
      <c r="H2448"/>
      <c r="I2448"/>
      <c r="J2448"/>
      <c r="K2448"/>
      <c r="L2448"/>
      <c r="M2448"/>
      <c r="N2448"/>
      <c r="O2448"/>
    </row>
    <row r="2449" spans="1:15">
      <c r="A2449"/>
      <c r="B2449"/>
      <c r="C2449"/>
      <c r="D2449"/>
      <c r="E2449"/>
      <c r="F2449"/>
      <c r="G2449"/>
      <c r="H2449"/>
      <c r="I2449"/>
      <c r="J2449"/>
      <c r="K2449"/>
      <c r="L2449"/>
      <c r="M2449"/>
      <c r="N2449"/>
      <c r="O2449"/>
    </row>
    <row r="2450" spans="1:15">
      <c r="A2450"/>
      <c r="B2450"/>
      <c r="C2450"/>
      <c r="D2450"/>
      <c r="E2450"/>
      <c r="F2450"/>
      <c r="G2450"/>
      <c r="H2450"/>
      <c r="I2450"/>
      <c r="J2450"/>
      <c r="K2450"/>
      <c r="L2450"/>
      <c r="M2450"/>
      <c r="N2450"/>
      <c r="O2450"/>
    </row>
    <row r="2451" spans="1:15">
      <c r="A2451"/>
      <c r="B2451"/>
      <c r="C2451"/>
      <c r="D2451"/>
      <c r="E2451"/>
      <c r="F2451"/>
      <c r="G2451"/>
      <c r="H2451"/>
      <c r="I2451"/>
      <c r="J2451"/>
      <c r="K2451"/>
      <c r="L2451"/>
      <c r="M2451"/>
      <c r="N2451"/>
      <c r="O2451"/>
    </row>
    <row r="2452" spans="1:15">
      <c r="A2452"/>
      <c r="B2452"/>
      <c r="C2452"/>
      <c r="D2452"/>
      <c r="E2452"/>
      <c r="F2452"/>
      <c r="G2452"/>
      <c r="H2452"/>
      <c r="I2452"/>
      <c r="J2452"/>
      <c r="K2452"/>
      <c r="L2452"/>
      <c r="M2452"/>
      <c r="N2452"/>
      <c r="O2452"/>
    </row>
    <row r="2453" spans="1:15">
      <c r="A2453"/>
      <c r="B2453"/>
      <c r="C2453"/>
      <c r="D2453"/>
      <c r="E2453"/>
      <c r="F2453"/>
      <c r="G2453"/>
      <c r="H2453"/>
      <c r="I2453"/>
      <c r="J2453"/>
      <c r="K2453"/>
      <c r="L2453"/>
      <c r="M2453"/>
      <c r="N2453"/>
      <c r="O2453"/>
    </row>
    <row r="2454" spans="1:15">
      <c r="A2454"/>
      <c r="B2454"/>
      <c r="C2454"/>
      <c r="D2454"/>
      <c r="E2454"/>
      <c r="F2454"/>
      <c r="G2454"/>
      <c r="H2454"/>
      <c r="I2454"/>
      <c r="J2454"/>
      <c r="K2454"/>
      <c r="L2454"/>
      <c r="M2454"/>
      <c r="N2454"/>
      <c r="O2454"/>
    </row>
    <row r="2455" spans="1:15">
      <c r="A2455"/>
      <c r="B2455"/>
      <c r="C2455"/>
      <c r="D2455"/>
      <c r="E2455"/>
      <c r="F2455"/>
      <c r="G2455"/>
      <c r="H2455"/>
      <c r="I2455"/>
      <c r="J2455"/>
      <c r="K2455"/>
      <c r="L2455"/>
      <c r="M2455"/>
      <c r="N2455"/>
      <c r="O2455"/>
    </row>
    <row r="2456" spans="1:15">
      <c r="A2456"/>
      <c r="B2456"/>
      <c r="C2456"/>
      <c r="D2456"/>
      <c r="E2456"/>
      <c r="F2456"/>
      <c r="G2456"/>
      <c r="H2456"/>
      <c r="I2456"/>
      <c r="J2456"/>
      <c r="K2456"/>
      <c r="L2456"/>
      <c r="M2456"/>
      <c r="N2456"/>
      <c r="O2456"/>
    </row>
    <row r="2457" spans="1:15">
      <c r="A2457"/>
      <c r="B2457"/>
      <c r="C2457"/>
      <c r="D2457"/>
      <c r="E2457"/>
      <c r="F2457"/>
      <c r="G2457"/>
      <c r="H2457"/>
      <c r="I2457"/>
      <c r="J2457"/>
      <c r="K2457"/>
      <c r="L2457"/>
      <c r="M2457"/>
      <c r="N2457"/>
      <c r="O2457"/>
    </row>
    <row r="2458" spans="1:15">
      <c r="A2458"/>
      <c r="B2458"/>
      <c r="C2458"/>
      <c r="D2458"/>
      <c r="E2458"/>
      <c r="F2458"/>
      <c r="G2458"/>
      <c r="H2458"/>
      <c r="I2458"/>
      <c r="J2458"/>
      <c r="K2458"/>
      <c r="L2458"/>
      <c r="M2458"/>
      <c r="N2458"/>
      <c r="O2458"/>
    </row>
    <row r="2459" spans="1:15">
      <c r="A2459"/>
      <c r="B2459"/>
      <c r="C2459"/>
      <c r="D2459"/>
      <c r="E2459"/>
      <c r="F2459"/>
      <c r="G2459"/>
      <c r="H2459"/>
      <c r="I2459"/>
      <c r="J2459"/>
      <c r="K2459"/>
      <c r="L2459"/>
      <c r="M2459"/>
      <c r="N2459"/>
      <c r="O2459"/>
    </row>
    <row r="2460" spans="1:15">
      <c r="A2460"/>
      <c r="B2460"/>
      <c r="C2460"/>
      <c r="D2460"/>
      <c r="E2460"/>
      <c r="F2460"/>
      <c r="G2460"/>
      <c r="H2460"/>
      <c r="I2460"/>
      <c r="J2460"/>
      <c r="K2460"/>
      <c r="L2460"/>
      <c r="M2460"/>
      <c r="N2460"/>
      <c r="O2460"/>
    </row>
    <row r="2461" spans="1:15">
      <c r="A2461"/>
      <c r="B2461"/>
      <c r="C2461"/>
      <c r="D2461"/>
      <c r="E2461"/>
      <c r="F2461"/>
      <c r="G2461"/>
      <c r="H2461"/>
      <c r="I2461"/>
      <c r="J2461"/>
      <c r="K2461"/>
      <c r="L2461"/>
      <c r="M2461"/>
      <c r="N2461"/>
      <c r="O2461"/>
    </row>
    <row r="2462" spans="1:15">
      <c r="A2462"/>
      <c r="B2462"/>
      <c r="C2462"/>
      <c r="D2462"/>
      <c r="E2462"/>
      <c r="F2462"/>
      <c r="G2462"/>
      <c r="H2462"/>
      <c r="I2462"/>
      <c r="J2462"/>
      <c r="K2462"/>
      <c r="L2462"/>
      <c r="M2462"/>
      <c r="N2462"/>
      <c r="O2462"/>
    </row>
    <row r="2463" spans="1:15">
      <c r="A2463"/>
      <c r="B2463"/>
      <c r="C2463"/>
      <c r="D2463"/>
      <c r="E2463"/>
      <c r="F2463"/>
      <c r="G2463"/>
      <c r="H2463"/>
      <c r="I2463"/>
      <c r="J2463"/>
      <c r="K2463"/>
      <c r="L2463"/>
      <c r="M2463"/>
      <c r="N2463"/>
      <c r="O2463"/>
    </row>
    <row r="2464" spans="1:15">
      <c r="A2464"/>
      <c r="B2464"/>
      <c r="C2464"/>
      <c r="D2464"/>
      <c r="E2464"/>
      <c r="F2464"/>
      <c r="G2464"/>
      <c r="H2464"/>
      <c r="I2464"/>
      <c r="J2464"/>
      <c r="K2464"/>
      <c r="L2464"/>
      <c r="M2464"/>
      <c r="N2464"/>
      <c r="O2464"/>
    </row>
    <row r="2465" spans="1:15">
      <c r="A2465"/>
      <c r="B2465"/>
      <c r="C2465"/>
      <c r="D2465"/>
      <c r="E2465"/>
      <c r="F2465"/>
      <c r="G2465"/>
      <c r="H2465"/>
      <c r="I2465"/>
      <c r="J2465"/>
      <c r="K2465"/>
      <c r="L2465"/>
      <c r="M2465"/>
      <c r="N2465"/>
      <c r="O2465"/>
    </row>
    <row r="2466" spans="1:15">
      <c r="A2466"/>
      <c r="B2466"/>
      <c r="C2466"/>
      <c r="D2466"/>
      <c r="E2466"/>
      <c r="F2466"/>
      <c r="G2466"/>
      <c r="H2466"/>
      <c r="I2466"/>
      <c r="J2466"/>
      <c r="K2466"/>
      <c r="L2466"/>
      <c r="M2466"/>
      <c r="N2466"/>
      <c r="O2466"/>
    </row>
    <row r="2467" spans="1:15">
      <c r="A2467"/>
      <c r="B2467"/>
      <c r="C2467"/>
      <c r="D2467"/>
      <c r="E2467"/>
      <c r="F2467"/>
      <c r="G2467"/>
      <c r="H2467"/>
      <c r="I2467"/>
      <c r="J2467"/>
      <c r="K2467"/>
      <c r="L2467"/>
      <c r="M2467"/>
      <c r="N2467"/>
      <c r="O2467"/>
    </row>
    <row r="2468" spans="1:15">
      <c r="A2468"/>
      <c r="B2468"/>
      <c r="C2468"/>
      <c r="D2468"/>
      <c r="E2468"/>
      <c r="F2468"/>
      <c r="G2468"/>
      <c r="H2468"/>
      <c r="I2468"/>
      <c r="J2468"/>
      <c r="K2468"/>
      <c r="L2468"/>
      <c r="M2468"/>
      <c r="N2468"/>
      <c r="O2468"/>
    </row>
    <row r="2469" spans="1:15">
      <c r="A2469"/>
      <c r="B2469"/>
      <c r="C2469"/>
      <c r="D2469"/>
      <c r="E2469"/>
      <c r="F2469"/>
      <c r="G2469"/>
      <c r="H2469"/>
      <c r="I2469"/>
      <c r="J2469"/>
      <c r="K2469"/>
      <c r="L2469"/>
      <c r="M2469"/>
      <c r="N2469"/>
      <c r="O2469"/>
    </row>
    <row r="2470" spans="1:15">
      <c r="A2470"/>
      <c r="B2470"/>
      <c r="C2470"/>
      <c r="D2470"/>
      <c r="E2470"/>
      <c r="F2470"/>
      <c r="G2470"/>
      <c r="H2470"/>
      <c r="I2470"/>
      <c r="J2470"/>
      <c r="K2470"/>
      <c r="L2470"/>
      <c r="M2470"/>
      <c r="N2470"/>
      <c r="O2470"/>
    </row>
    <row r="2471" spans="1:15">
      <c r="A2471"/>
      <c r="B2471"/>
      <c r="C2471"/>
      <c r="D2471"/>
      <c r="E2471"/>
      <c r="F2471"/>
      <c r="G2471"/>
      <c r="H2471"/>
      <c r="I2471"/>
      <c r="J2471"/>
      <c r="K2471"/>
      <c r="L2471"/>
      <c r="M2471"/>
      <c r="N2471"/>
      <c r="O2471"/>
    </row>
    <row r="2472" spans="1:15">
      <c r="A2472"/>
      <c r="B2472"/>
      <c r="C2472"/>
      <c r="D2472"/>
      <c r="E2472"/>
      <c r="F2472"/>
      <c r="G2472"/>
      <c r="H2472"/>
      <c r="I2472"/>
      <c r="J2472"/>
      <c r="K2472"/>
      <c r="L2472"/>
      <c r="M2472"/>
      <c r="N2472"/>
      <c r="O2472"/>
    </row>
    <row r="2473" spans="1:15">
      <c r="A2473"/>
      <c r="B2473"/>
      <c r="C2473"/>
      <c r="D2473"/>
      <c r="E2473"/>
      <c r="F2473"/>
      <c r="G2473"/>
      <c r="H2473"/>
      <c r="I2473"/>
      <c r="J2473"/>
      <c r="K2473"/>
      <c r="L2473"/>
      <c r="M2473"/>
      <c r="N2473"/>
      <c r="O2473"/>
    </row>
    <row r="2474" spans="1:15">
      <c r="A2474"/>
      <c r="B2474"/>
      <c r="C2474"/>
      <c r="D2474"/>
      <c r="E2474"/>
      <c r="F2474"/>
      <c r="G2474"/>
      <c r="H2474"/>
      <c r="I2474"/>
      <c r="J2474"/>
      <c r="K2474"/>
      <c r="L2474"/>
      <c r="M2474"/>
      <c r="N2474"/>
      <c r="O2474"/>
    </row>
    <row r="2475" spans="1:15">
      <c r="A2475"/>
      <c r="B2475"/>
      <c r="C2475"/>
      <c r="D2475"/>
      <c r="E2475"/>
      <c r="F2475"/>
      <c r="G2475"/>
      <c r="H2475"/>
      <c r="I2475"/>
      <c r="J2475"/>
      <c r="K2475"/>
      <c r="L2475"/>
      <c r="M2475"/>
      <c r="N2475"/>
      <c r="O2475"/>
    </row>
    <row r="2476" spans="1:15">
      <c r="A2476"/>
      <c r="B2476"/>
      <c r="C2476"/>
      <c r="D2476"/>
      <c r="E2476"/>
      <c r="F2476"/>
      <c r="G2476"/>
      <c r="H2476"/>
      <c r="I2476"/>
      <c r="J2476"/>
      <c r="K2476"/>
      <c r="L2476"/>
      <c r="M2476"/>
      <c r="N2476"/>
      <c r="O2476"/>
    </row>
    <row r="2477" spans="1:15">
      <c r="A2477"/>
      <c r="B2477"/>
      <c r="C2477"/>
      <c r="D2477"/>
      <c r="E2477"/>
      <c r="F2477"/>
      <c r="G2477"/>
      <c r="H2477"/>
      <c r="I2477"/>
      <c r="J2477"/>
      <c r="K2477"/>
      <c r="L2477"/>
      <c r="M2477"/>
      <c r="N2477"/>
      <c r="O2477"/>
    </row>
    <row r="2478" spans="1:15">
      <c r="A2478"/>
      <c r="B2478"/>
      <c r="C2478"/>
      <c r="D2478"/>
      <c r="E2478"/>
      <c r="F2478"/>
      <c r="G2478"/>
      <c r="H2478"/>
      <c r="I2478"/>
      <c r="J2478"/>
      <c r="K2478"/>
      <c r="L2478"/>
      <c r="M2478"/>
      <c r="N2478"/>
      <c r="O2478"/>
    </row>
    <row r="2479" spans="1:15">
      <c r="A2479"/>
      <c r="B2479"/>
      <c r="C2479"/>
      <c r="D2479"/>
      <c r="E2479"/>
      <c r="F2479"/>
      <c r="G2479"/>
      <c r="H2479"/>
      <c r="I2479"/>
      <c r="J2479"/>
      <c r="K2479"/>
      <c r="L2479"/>
      <c r="M2479"/>
      <c r="N2479"/>
      <c r="O2479"/>
    </row>
    <row r="2480" spans="1:15">
      <c r="A2480"/>
      <c r="B2480"/>
      <c r="C2480"/>
      <c r="D2480"/>
      <c r="E2480"/>
      <c r="F2480"/>
      <c r="G2480"/>
      <c r="H2480"/>
      <c r="I2480"/>
      <c r="J2480"/>
      <c r="K2480"/>
      <c r="L2480"/>
      <c r="M2480"/>
      <c r="N2480"/>
      <c r="O2480"/>
    </row>
    <row r="2481" spans="1:15">
      <c r="A2481"/>
      <c r="B2481"/>
      <c r="C2481"/>
      <c r="D2481"/>
      <c r="E2481"/>
      <c r="F2481"/>
      <c r="G2481"/>
      <c r="H2481"/>
      <c r="I2481"/>
      <c r="J2481"/>
      <c r="K2481"/>
      <c r="L2481"/>
      <c r="M2481"/>
      <c r="N2481"/>
      <c r="O2481"/>
    </row>
    <row r="2482" spans="1:15">
      <c r="A2482"/>
      <c r="B2482"/>
      <c r="C2482"/>
      <c r="D2482"/>
      <c r="E2482"/>
      <c r="F2482"/>
      <c r="G2482"/>
      <c r="H2482"/>
      <c r="I2482"/>
      <c r="J2482"/>
      <c r="K2482"/>
      <c r="L2482"/>
      <c r="M2482"/>
      <c r="N2482"/>
      <c r="O2482"/>
    </row>
    <row r="2483" spans="1:15">
      <c r="A2483"/>
      <c r="B2483"/>
      <c r="C2483"/>
      <c r="D2483"/>
      <c r="E2483"/>
      <c r="F2483"/>
      <c r="G2483"/>
      <c r="H2483"/>
      <c r="I2483"/>
      <c r="J2483"/>
      <c r="K2483"/>
      <c r="L2483"/>
      <c r="M2483"/>
      <c r="N2483"/>
      <c r="O2483"/>
    </row>
    <row r="2484" spans="1:15">
      <c r="A2484"/>
      <c r="B2484"/>
      <c r="C2484"/>
      <c r="D2484"/>
      <c r="E2484"/>
      <c r="F2484"/>
      <c r="G2484"/>
      <c r="H2484"/>
      <c r="I2484"/>
      <c r="J2484"/>
      <c r="K2484"/>
      <c r="L2484"/>
      <c r="M2484"/>
      <c r="N2484"/>
      <c r="O2484"/>
    </row>
    <row r="2485" spans="1:15">
      <c r="A2485"/>
      <c r="B2485"/>
      <c r="C2485"/>
      <c r="D2485"/>
      <c r="E2485"/>
      <c r="F2485"/>
      <c r="G2485"/>
      <c r="H2485"/>
      <c r="I2485"/>
      <c r="J2485"/>
      <c r="K2485"/>
      <c r="L2485"/>
      <c r="M2485"/>
      <c r="N2485"/>
      <c r="O2485"/>
    </row>
    <row r="2486" spans="1:15">
      <c r="A2486"/>
      <c r="B2486"/>
      <c r="C2486"/>
      <c r="D2486"/>
      <c r="E2486"/>
      <c r="F2486"/>
      <c r="G2486"/>
      <c r="H2486"/>
      <c r="I2486"/>
      <c r="J2486"/>
      <c r="K2486"/>
      <c r="L2486"/>
      <c r="M2486"/>
      <c r="N2486"/>
      <c r="O2486"/>
    </row>
    <row r="2487" spans="1:15">
      <c r="A2487"/>
      <c r="B2487"/>
      <c r="C2487"/>
      <c r="D2487"/>
      <c r="E2487"/>
      <c r="F2487"/>
      <c r="G2487"/>
      <c r="H2487"/>
      <c r="I2487"/>
      <c r="J2487"/>
      <c r="K2487"/>
      <c r="L2487"/>
      <c r="M2487"/>
      <c r="N2487"/>
      <c r="O2487"/>
    </row>
    <row r="2488" spans="1:15">
      <c r="A2488"/>
      <c r="B2488"/>
      <c r="C2488"/>
      <c r="D2488"/>
      <c r="E2488"/>
      <c r="F2488"/>
      <c r="G2488"/>
      <c r="H2488"/>
      <c r="I2488"/>
      <c r="J2488"/>
      <c r="K2488"/>
      <c r="L2488"/>
      <c r="M2488"/>
      <c r="N2488"/>
      <c r="O2488"/>
    </row>
    <row r="2489" spans="1:15">
      <c r="A2489"/>
      <c r="B2489"/>
      <c r="C2489"/>
      <c r="D2489"/>
      <c r="E2489"/>
      <c r="F2489"/>
      <c r="G2489"/>
      <c r="H2489"/>
      <c r="I2489"/>
      <c r="J2489"/>
      <c r="K2489"/>
      <c r="L2489"/>
      <c r="M2489"/>
      <c r="N2489"/>
      <c r="O2489"/>
    </row>
    <row r="2490" spans="1:15">
      <c r="A2490"/>
      <c r="B2490"/>
      <c r="C2490"/>
      <c r="D2490"/>
      <c r="E2490"/>
      <c r="F2490"/>
      <c r="G2490"/>
      <c r="H2490"/>
      <c r="I2490"/>
      <c r="J2490"/>
      <c r="K2490"/>
      <c r="L2490"/>
      <c r="M2490"/>
      <c r="N2490"/>
      <c r="O2490"/>
    </row>
    <row r="2491" spans="1:15">
      <c r="A2491"/>
      <c r="B2491"/>
      <c r="C2491"/>
      <c r="D2491"/>
      <c r="E2491"/>
      <c r="F2491"/>
      <c r="G2491"/>
      <c r="H2491"/>
      <c r="I2491"/>
      <c r="J2491"/>
      <c r="K2491"/>
      <c r="L2491"/>
      <c r="M2491"/>
      <c r="N2491"/>
      <c r="O2491"/>
    </row>
    <row r="2492" spans="1:15">
      <c r="A2492"/>
      <c r="B2492"/>
      <c r="C2492"/>
      <c r="D2492"/>
      <c r="E2492"/>
      <c r="F2492"/>
      <c r="G2492"/>
      <c r="H2492"/>
      <c r="I2492"/>
      <c r="J2492"/>
      <c r="K2492"/>
      <c r="L2492"/>
      <c r="M2492"/>
      <c r="N2492"/>
      <c r="O2492"/>
    </row>
    <row r="2493" spans="1:15">
      <c r="A2493"/>
      <c r="B2493"/>
      <c r="C2493"/>
      <c r="D2493"/>
      <c r="E2493"/>
      <c r="F2493"/>
      <c r="G2493"/>
      <c r="H2493"/>
      <c r="I2493"/>
      <c r="J2493"/>
      <c r="K2493"/>
      <c r="L2493"/>
      <c r="M2493"/>
      <c r="N2493"/>
      <c r="O2493"/>
    </row>
    <row r="2494" spans="1:15">
      <c r="A2494"/>
      <c r="B2494"/>
      <c r="C2494"/>
      <c r="D2494"/>
      <c r="E2494"/>
      <c r="F2494"/>
      <c r="G2494"/>
      <c r="H2494"/>
      <c r="I2494"/>
      <c r="J2494"/>
      <c r="K2494"/>
      <c r="L2494"/>
      <c r="M2494"/>
      <c r="N2494"/>
      <c r="O2494"/>
    </row>
    <row r="2495" spans="1:15">
      <c r="A2495"/>
      <c r="B2495"/>
      <c r="C2495"/>
      <c r="D2495"/>
      <c r="E2495"/>
      <c r="F2495"/>
      <c r="G2495"/>
      <c r="H2495"/>
      <c r="I2495"/>
      <c r="J2495"/>
      <c r="K2495"/>
      <c r="L2495"/>
      <c r="M2495"/>
      <c r="N2495"/>
      <c r="O2495"/>
    </row>
    <row r="2496" spans="1:15">
      <c r="A2496"/>
      <c r="B2496"/>
      <c r="C2496"/>
      <c r="D2496"/>
      <c r="E2496"/>
      <c r="F2496"/>
      <c r="G2496"/>
      <c r="H2496"/>
      <c r="I2496"/>
      <c r="J2496"/>
      <c r="K2496"/>
      <c r="L2496"/>
      <c r="M2496"/>
      <c r="N2496"/>
      <c r="O2496"/>
    </row>
    <row r="2497" spans="1:15">
      <c r="A2497"/>
      <c r="B2497"/>
      <c r="C2497"/>
      <c r="D2497"/>
      <c r="E2497"/>
      <c r="F2497"/>
      <c r="G2497"/>
      <c r="H2497"/>
      <c r="I2497"/>
      <c r="J2497"/>
      <c r="K2497"/>
      <c r="L2497"/>
      <c r="M2497"/>
      <c r="N2497"/>
      <c r="O2497"/>
    </row>
    <row r="2498" spans="1:15">
      <c r="A2498"/>
      <c r="B2498"/>
      <c r="C2498"/>
      <c r="D2498"/>
      <c r="E2498"/>
      <c r="F2498"/>
      <c r="G2498"/>
      <c r="H2498"/>
      <c r="I2498"/>
      <c r="J2498"/>
      <c r="K2498"/>
      <c r="L2498"/>
      <c r="M2498"/>
      <c r="N2498"/>
      <c r="O2498"/>
    </row>
    <row r="2499" spans="1:15">
      <c r="A2499"/>
      <c r="B2499"/>
      <c r="C2499"/>
      <c r="D2499"/>
      <c r="E2499"/>
      <c r="F2499"/>
      <c r="G2499"/>
      <c r="H2499"/>
      <c r="I2499"/>
      <c r="J2499"/>
      <c r="K2499"/>
      <c r="L2499"/>
      <c r="M2499"/>
      <c r="N2499"/>
      <c r="O2499"/>
    </row>
    <row r="2500" spans="1:15">
      <c r="A2500"/>
      <c r="B2500"/>
      <c r="C2500"/>
      <c r="D2500"/>
      <c r="E2500"/>
      <c r="F2500"/>
      <c r="G2500"/>
      <c r="H2500"/>
      <c r="I2500"/>
      <c r="J2500"/>
      <c r="K2500"/>
      <c r="L2500"/>
      <c r="M2500"/>
      <c r="N2500"/>
      <c r="O2500"/>
    </row>
    <row r="2501" spans="1:15">
      <c r="A2501"/>
      <c r="B2501"/>
      <c r="C2501"/>
      <c r="D2501"/>
      <c r="E2501"/>
      <c r="F2501"/>
      <c r="G2501"/>
      <c r="H2501"/>
      <c r="I2501"/>
      <c r="J2501"/>
      <c r="K2501"/>
      <c r="L2501"/>
      <c r="M2501"/>
      <c r="N2501"/>
      <c r="O2501"/>
    </row>
    <row r="2502" spans="1:15">
      <c r="A2502"/>
      <c r="B2502"/>
      <c r="C2502"/>
      <c r="D2502"/>
      <c r="E2502"/>
      <c r="F2502"/>
      <c r="G2502"/>
      <c r="H2502"/>
      <c r="I2502"/>
      <c r="J2502"/>
      <c r="K2502"/>
      <c r="L2502"/>
      <c r="M2502"/>
      <c r="N2502"/>
      <c r="O2502"/>
    </row>
    <row r="2503" spans="1:15">
      <c r="A2503"/>
      <c r="B2503"/>
      <c r="C2503"/>
      <c r="D2503"/>
      <c r="E2503"/>
      <c r="F2503"/>
      <c r="G2503"/>
      <c r="H2503"/>
      <c r="I2503"/>
      <c r="J2503"/>
      <c r="K2503"/>
      <c r="L2503"/>
      <c r="M2503"/>
      <c r="N2503"/>
      <c r="O2503"/>
    </row>
    <row r="2504" spans="1:15">
      <c r="A2504"/>
      <c r="B2504"/>
      <c r="C2504"/>
      <c r="D2504"/>
      <c r="E2504"/>
      <c r="F2504"/>
      <c r="G2504"/>
      <c r="H2504"/>
      <c r="I2504"/>
      <c r="J2504"/>
      <c r="K2504"/>
      <c r="L2504"/>
      <c r="M2504"/>
      <c r="N2504"/>
      <c r="O2504"/>
    </row>
    <row r="2505" spans="1:15">
      <c r="A2505"/>
      <c r="B2505"/>
      <c r="C2505"/>
      <c r="D2505"/>
      <c r="E2505"/>
      <c r="F2505"/>
      <c r="G2505"/>
      <c r="H2505"/>
      <c r="I2505"/>
      <c r="J2505"/>
      <c r="K2505"/>
      <c r="L2505"/>
      <c r="M2505"/>
      <c r="N2505"/>
      <c r="O2505"/>
    </row>
    <row r="2506" spans="1:15">
      <c r="A2506"/>
      <c r="B2506"/>
      <c r="C2506"/>
      <c r="D2506"/>
      <c r="E2506"/>
      <c r="F2506"/>
      <c r="G2506"/>
      <c r="H2506"/>
      <c r="I2506"/>
      <c r="J2506"/>
      <c r="K2506"/>
      <c r="L2506"/>
      <c r="M2506"/>
      <c r="N2506"/>
      <c r="O2506"/>
    </row>
    <row r="2507" spans="1:15">
      <c r="A2507"/>
      <c r="B2507"/>
      <c r="C2507"/>
      <c r="D2507"/>
      <c r="E2507"/>
      <c r="F2507"/>
      <c r="G2507"/>
      <c r="H2507"/>
      <c r="I2507"/>
      <c r="J2507"/>
      <c r="K2507"/>
      <c r="L2507"/>
      <c r="M2507"/>
      <c r="N2507"/>
      <c r="O2507"/>
    </row>
    <row r="2508" spans="1:15">
      <c r="A2508"/>
      <c r="B2508"/>
      <c r="C2508"/>
      <c r="D2508"/>
      <c r="E2508"/>
      <c r="F2508"/>
      <c r="G2508"/>
      <c r="H2508"/>
      <c r="I2508"/>
      <c r="J2508"/>
      <c r="K2508"/>
      <c r="L2508"/>
      <c r="M2508"/>
      <c r="N2508"/>
      <c r="O2508"/>
    </row>
    <row r="2509" spans="1:15">
      <c r="A2509"/>
      <c r="B2509"/>
      <c r="C2509"/>
      <c r="D2509"/>
      <c r="E2509"/>
      <c r="F2509"/>
      <c r="G2509"/>
      <c r="H2509"/>
      <c r="I2509"/>
      <c r="J2509"/>
      <c r="K2509"/>
      <c r="L2509"/>
      <c r="M2509"/>
      <c r="N2509"/>
      <c r="O2509"/>
    </row>
    <row r="2510" spans="1:15">
      <c r="A2510"/>
      <c r="B2510"/>
      <c r="C2510"/>
      <c r="D2510"/>
      <c r="E2510"/>
      <c r="F2510"/>
      <c r="G2510"/>
      <c r="H2510"/>
      <c r="I2510"/>
      <c r="J2510"/>
      <c r="K2510"/>
      <c r="L2510"/>
      <c r="M2510"/>
      <c r="N2510"/>
      <c r="O2510"/>
    </row>
    <row r="2511" spans="1:15">
      <c r="A2511"/>
      <c r="B2511"/>
      <c r="C2511"/>
      <c r="D2511"/>
      <c r="E2511"/>
      <c r="F2511"/>
      <c r="G2511"/>
      <c r="H2511"/>
      <c r="I2511"/>
      <c r="J2511"/>
      <c r="K2511"/>
      <c r="L2511"/>
      <c r="M2511"/>
      <c r="N2511"/>
      <c r="O2511"/>
    </row>
    <row r="2512" spans="1:15">
      <c r="A2512"/>
      <c r="B2512"/>
      <c r="C2512"/>
      <c r="D2512"/>
      <c r="E2512"/>
      <c r="F2512"/>
      <c r="G2512"/>
      <c r="H2512"/>
      <c r="I2512"/>
      <c r="J2512"/>
      <c r="K2512"/>
      <c r="L2512"/>
      <c r="M2512"/>
      <c r="N2512"/>
      <c r="O2512"/>
    </row>
    <row r="2513" spans="1:15">
      <c r="A2513"/>
      <c r="B2513"/>
      <c r="C2513"/>
      <c r="D2513"/>
      <c r="E2513"/>
      <c r="F2513"/>
      <c r="G2513"/>
      <c r="H2513"/>
      <c r="I2513"/>
      <c r="J2513"/>
      <c r="K2513"/>
      <c r="L2513"/>
      <c r="M2513"/>
      <c r="N2513"/>
      <c r="O2513"/>
    </row>
    <row r="2514" spans="1:15">
      <c r="A2514"/>
      <c r="B2514"/>
      <c r="C2514"/>
      <c r="D2514"/>
      <c r="E2514"/>
      <c r="F2514"/>
      <c r="G2514"/>
      <c r="H2514"/>
      <c r="I2514"/>
      <c r="J2514"/>
      <c r="K2514"/>
      <c r="L2514"/>
      <c r="M2514"/>
      <c r="N2514"/>
      <c r="O2514"/>
    </row>
    <row r="2515" spans="1:15">
      <c r="A2515"/>
      <c r="B2515"/>
      <c r="C2515"/>
      <c r="D2515"/>
      <c r="E2515"/>
      <c r="F2515"/>
      <c r="G2515"/>
      <c r="H2515"/>
      <c r="I2515"/>
      <c r="J2515"/>
      <c r="K2515"/>
      <c r="L2515"/>
      <c r="M2515"/>
      <c r="N2515"/>
      <c r="O2515"/>
    </row>
    <row r="2516" spans="1:15">
      <c r="A2516"/>
      <c r="B2516"/>
      <c r="C2516"/>
      <c r="D2516"/>
      <c r="E2516"/>
      <c r="F2516"/>
      <c r="G2516"/>
      <c r="H2516"/>
      <c r="I2516"/>
      <c r="J2516"/>
      <c r="K2516"/>
      <c r="L2516"/>
      <c r="M2516"/>
      <c r="N2516"/>
      <c r="O2516"/>
    </row>
    <row r="2517" spans="1:15">
      <c r="A2517"/>
      <c r="B2517"/>
      <c r="C2517"/>
      <c r="D2517"/>
      <c r="E2517"/>
      <c r="F2517"/>
      <c r="G2517"/>
      <c r="H2517"/>
      <c r="I2517"/>
      <c r="J2517"/>
      <c r="K2517"/>
      <c r="L2517"/>
      <c r="M2517"/>
      <c r="N2517"/>
      <c r="O2517"/>
    </row>
    <row r="2518" spans="1:15">
      <c r="A2518"/>
      <c r="B2518"/>
      <c r="C2518"/>
      <c r="D2518"/>
      <c r="E2518"/>
      <c r="F2518"/>
      <c r="G2518"/>
      <c r="H2518"/>
      <c r="I2518"/>
      <c r="J2518"/>
      <c r="K2518"/>
      <c r="L2518"/>
      <c r="M2518"/>
      <c r="N2518"/>
      <c r="O2518"/>
    </row>
    <row r="2519" spans="1:15">
      <c r="A2519"/>
      <c r="B2519"/>
      <c r="C2519"/>
      <c r="D2519"/>
      <c r="E2519"/>
      <c r="F2519"/>
      <c r="G2519"/>
      <c r="H2519"/>
      <c r="I2519"/>
      <c r="J2519"/>
      <c r="K2519"/>
      <c r="L2519"/>
      <c r="M2519"/>
      <c r="N2519"/>
      <c r="O2519"/>
    </row>
    <row r="2520" spans="1:15">
      <c r="A2520"/>
      <c r="B2520"/>
      <c r="C2520"/>
      <c r="D2520"/>
      <c r="E2520"/>
      <c r="F2520"/>
      <c r="G2520"/>
      <c r="H2520"/>
      <c r="I2520"/>
      <c r="J2520"/>
      <c r="K2520"/>
      <c r="L2520"/>
      <c r="M2520"/>
      <c r="N2520"/>
      <c r="O2520"/>
    </row>
    <row r="2521" spans="1:15">
      <c r="A2521"/>
      <c r="B2521"/>
      <c r="C2521"/>
      <c r="D2521"/>
      <c r="E2521"/>
      <c r="F2521"/>
      <c r="G2521"/>
      <c r="H2521"/>
      <c r="I2521"/>
      <c r="J2521"/>
      <c r="K2521"/>
      <c r="L2521"/>
      <c r="M2521"/>
      <c r="N2521"/>
      <c r="O2521"/>
    </row>
    <row r="2522" spans="1:15">
      <c r="A2522"/>
      <c r="B2522"/>
      <c r="C2522"/>
      <c r="D2522"/>
      <c r="E2522"/>
      <c r="F2522"/>
      <c r="G2522"/>
      <c r="H2522"/>
      <c r="I2522"/>
      <c r="J2522"/>
      <c r="K2522"/>
      <c r="L2522"/>
      <c r="M2522"/>
      <c r="N2522"/>
      <c r="O2522"/>
    </row>
    <row r="2523" spans="1:15">
      <c r="A2523"/>
      <c r="B2523"/>
      <c r="C2523"/>
      <c r="D2523"/>
      <c r="E2523"/>
      <c r="F2523"/>
      <c r="G2523"/>
      <c r="H2523"/>
      <c r="I2523"/>
      <c r="J2523"/>
      <c r="K2523"/>
      <c r="L2523"/>
      <c r="M2523"/>
      <c r="N2523"/>
      <c r="O2523"/>
    </row>
    <row r="2524" spans="1:15">
      <c r="A2524"/>
      <c r="B2524"/>
      <c r="C2524"/>
      <c r="D2524"/>
      <c r="E2524"/>
      <c r="F2524"/>
      <c r="G2524"/>
      <c r="H2524"/>
      <c r="I2524"/>
      <c r="J2524"/>
      <c r="K2524"/>
      <c r="L2524"/>
      <c r="M2524"/>
      <c r="N2524"/>
      <c r="O2524"/>
    </row>
    <row r="2525" spans="1:15">
      <c r="A2525"/>
      <c r="B2525"/>
      <c r="C2525"/>
      <c r="D2525"/>
      <c r="E2525"/>
      <c r="F2525"/>
      <c r="G2525"/>
      <c r="H2525"/>
      <c r="I2525"/>
      <c r="J2525"/>
      <c r="K2525"/>
      <c r="L2525"/>
      <c r="M2525"/>
      <c r="N2525"/>
      <c r="O2525"/>
    </row>
    <row r="2526" spans="1:15">
      <c r="A2526"/>
      <c r="B2526"/>
      <c r="C2526"/>
      <c r="D2526"/>
      <c r="E2526"/>
      <c r="F2526"/>
      <c r="G2526"/>
      <c r="H2526"/>
      <c r="I2526"/>
      <c r="J2526"/>
      <c r="K2526"/>
      <c r="L2526"/>
      <c r="M2526"/>
      <c r="N2526"/>
      <c r="O2526"/>
    </row>
    <row r="2527" spans="1:15">
      <c r="A2527"/>
      <c r="B2527"/>
      <c r="C2527"/>
      <c r="D2527"/>
      <c r="E2527"/>
      <c r="F2527"/>
      <c r="G2527"/>
      <c r="H2527"/>
      <c r="I2527"/>
      <c r="J2527"/>
      <c r="K2527"/>
      <c r="L2527"/>
      <c r="M2527"/>
      <c r="N2527"/>
      <c r="O2527"/>
    </row>
    <row r="2528" spans="1:15">
      <c r="A2528"/>
      <c r="B2528"/>
      <c r="C2528"/>
      <c r="D2528"/>
      <c r="E2528"/>
      <c r="F2528"/>
      <c r="G2528"/>
      <c r="H2528"/>
      <c r="I2528"/>
      <c r="J2528"/>
      <c r="K2528"/>
      <c r="L2528"/>
      <c r="M2528"/>
      <c r="N2528"/>
      <c r="O2528"/>
    </row>
    <row r="2529" spans="1:15">
      <c r="A2529"/>
      <c r="B2529"/>
      <c r="C2529"/>
      <c r="D2529"/>
      <c r="E2529"/>
      <c r="F2529"/>
      <c r="G2529"/>
      <c r="H2529"/>
      <c r="I2529"/>
      <c r="J2529"/>
      <c r="K2529"/>
      <c r="L2529"/>
      <c r="M2529"/>
      <c r="N2529"/>
      <c r="O2529"/>
    </row>
    <row r="2530" spans="1:15">
      <c r="A2530"/>
      <c r="B2530"/>
      <c r="C2530"/>
      <c r="D2530"/>
      <c r="E2530"/>
      <c r="F2530"/>
      <c r="G2530"/>
      <c r="H2530"/>
      <c r="I2530"/>
      <c r="J2530"/>
      <c r="K2530"/>
      <c r="L2530"/>
      <c r="M2530"/>
      <c r="N2530"/>
      <c r="O2530"/>
    </row>
    <row r="2531" spans="1:15">
      <c r="A2531"/>
      <c r="B2531"/>
      <c r="C2531"/>
      <c r="D2531"/>
      <c r="E2531"/>
      <c r="F2531"/>
      <c r="G2531"/>
      <c r="H2531"/>
      <c r="I2531"/>
      <c r="J2531"/>
      <c r="K2531"/>
      <c r="L2531"/>
      <c r="M2531"/>
      <c r="N2531"/>
      <c r="O2531"/>
    </row>
    <row r="2532" spans="1:15">
      <c r="A2532"/>
      <c r="B2532"/>
      <c r="C2532"/>
      <c r="D2532"/>
      <c r="E2532"/>
      <c r="F2532"/>
      <c r="G2532"/>
      <c r="H2532"/>
      <c r="I2532"/>
      <c r="J2532"/>
      <c r="K2532"/>
      <c r="L2532"/>
      <c r="M2532"/>
      <c r="N2532"/>
      <c r="O2532"/>
    </row>
    <row r="2533" spans="1:15">
      <c r="A2533"/>
      <c r="B2533"/>
      <c r="C2533"/>
      <c r="D2533"/>
      <c r="E2533"/>
      <c r="F2533"/>
      <c r="G2533"/>
      <c r="H2533"/>
      <c r="I2533"/>
      <c r="J2533"/>
      <c r="K2533"/>
      <c r="L2533"/>
      <c r="M2533"/>
      <c r="N2533"/>
      <c r="O2533"/>
    </row>
    <row r="2534" spans="1:15">
      <c r="A2534"/>
      <c r="B2534"/>
      <c r="C2534"/>
      <c r="D2534"/>
      <c r="E2534"/>
      <c r="F2534"/>
      <c r="G2534"/>
      <c r="H2534"/>
      <c r="I2534"/>
      <c r="J2534"/>
      <c r="K2534"/>
      <c r="L2534"/>
      <c r="M2534"/>
      <c r="N2534"/>
      <c r="O2534"/>
    </row>
    <row r="2535" spans="1:15">
      <c r="A2535"/>
      <c r="B2535"/>
      <c r="C2535"/>
      <c r="D2535"/>
      <c r="E2535"/>
      <c r="F2535"/>
      <c r="G2535"/>
      <c r="H2535"/>
      <c r="I2535"/>
      <c r="J2535"/>
      <c r="K2535"/>
      <c r="L2535"/>
      <c r="M2535"/>
      <c r="N2535"/>
      <c r="O2535"/>
    </row>
    <row r="2536" spans="1:15">
      <c r="A2536"/>
      <c r="B2536"/>
      <c r="C2536"/>
      <c r="D2536"/>
      <c r="E2536"/>
      <c r="F2536"/>
      <c r="G2536"/>
      <c r="H2536"/>
      <c r="I2536"/>
      <c r="J2536"/>
      <c r="K2536"/>
      <c r="L2536"/>
      <c r="M2536"/>
      <c r="N2536"/>
      <c r="O2536"/>
    </row>
    <row r="2537" spans="1:15">
      <c r="A2537"/>
      <c r="B2537"/>
      <c r="C2537"/>
      <c r="D2537"/>
      <c r="E2537"/>
      <c r="F2537"/>
      <c r="G2537"/>
      <c r="H2537"/>
      <c r="I2537"/>
      <c r="J2537"/>
      <c r="K2537"/>
      <c r="L2537"/>
      <c r="M2537"/>
      <c r="N2537"/>
      <c r="O2537"/>
    </row>
    <row r="2538" spans="1:15">
      <c r="A2538"/>
      <c r="B2538"/>
      <c r="C2538"/>
      <c r="D2538"/>
      <c r="E2538"/>
      <c r="F2538"/>
      <c r="G2538"/>
      <c r="H2538"/>
      <c r="I2538"/>
      <c r="J2538"/>
      <c r="K2538"/>
      <c r="L2538"/>
      <c r="M2538"/>
      <c r="N2538"/>
      <c r="O2538"/>
    </row>
    <row r="2539" spans="1:15">
      <c r="A2539"/>
      <c r="B2539"/>
      <c r="C2539"/>
      <c r="D2539"/>
      <c r="E2539"/>
      <c r="F2539"/>
      <c r="G2539"/>
      <c r="H2539"/>
      <c r="I2539"/>
      <c r="J2539"/>
      <c r="K2539"/>
      <c r="L2539"/>
      <c r="M2539"/>
      <c r="N2539"/>
      <c r="O2539"/>
    </row>
    <row r="2540" spans="1:15">
      <c r="A2540"/>
      <c r="B2540"/>
      <c r="C2540"/>
      <c r="D2540"/>
      <c r="E2540"/>
      <c r="F2540"/>
      <c r="G2540"/>
      <c r="H2540"/>
      <c r="I2540"/>
      <c r="J2540"/>
      <c r="K2540"/>
      <c r="L2540"/>
      <c r="M2540"/>
      <c r="N2540"/>
      <c r="O2540"/>
    </row>
    <row r="2541" spans="1:15">
      <c r="A2541"/>
      <c r="B2541"/>
      <c r="C2541"/>
      <c r="D2541"/>
      <c r="E2541"/>
      <c r="F2541"/>
      <c r="G2541"/>
      <c r="H2541"/>
      <c r="I2541"/>
      <c r="J2541"/>
      <c r="K2541"/>
      <c r="L2541"/>
      <c r="M2541"/>
      <c r="N2541"/>
      <c r="O2541"/>
    </row>
    <row r="2542" spans="1:15">
      <c r="A2542"/>
      <c r="B2542"/>
      <c r="C2542"/>
      <c r="D2542"/>
      <c r="E2542"/>
      <c r="F2542"/>
      <c r="G2542"/>
      <c r="H2542"/>
      <c r="I2542"/>
      <c r="J2542"/>
      <c r="K2542"/>
      <c r="L2542"/>
      <c r="M2542"/>
      <c r="N2542"/>
      <c r="O2542"/>
    </row>
    <row r="2543" spans="1:15">
      <c r="A2543"/>
      <c r="B2543"/>
      <c r="C2543"/>
      <c r="D2543"/>
      <c r="E2543"/>
      <c r="F2543"/>
      <c r="G2543"/>
      <c r="H2543"/>
      <c r="I2543"/>
      <c r="J2543"/>
      <c r="K2543"/>
      <c r="L2543"/>
      <c r="M2543"/>
      <c r="N2543"/>
      <c r="O2543"/>
    </row>
    <row r="2544" spans="1:15">
      <c r="A2544"/>
      <c r="B2544"/>
      <c r="C2544"/>
      <c r="D2544"/>
      <c r="E2544"/>
      <c r="F2544"/>
      <c r="G2544"/>
      <c r="H2544"/>
      <c r="I2544"/>
      <c r="J2544"/>
      <c r="K2544"/>
      <c r="L2544"/>
      <c r="M2544"/>
      <c r="N2544"/>
      <c r="O2544"/>
    </row>
    <row r="2545" spans="1:15">
      <c r="A2545"/>
      <c r="B2545"/>
      <c r="C2545"/>
      <c r="D2545"/>
      <c r="E2545"/>
      <c r="F2545"/>
      <c r="G2545"/>
      <c r="H2545"/>
      <c r="I2545"/>
      <c r="J2545"/>
      <c r="K2545"/>
      <c r="L2545"/>
      <c r="M2545"/>
      <c r="N2545"/>
      <c r="O2545"/>
    </row>
    <row r="2546" spans="1:15">
      <c r="A2546"/>
      <c r="B2546"/>
      <c r="C2546"/>
      <c r="D2546"/>
      <c r="E2546"/>
      <c r="F2546"/>
      <c r="G2546"/>
      <c r="H2546"/>
      <c r="I2546"/>
      <c r="J2546"/>
      <c r="K2546"/>
      <c r="L2546"/>
      <c r="M2546"/>
      <c r="N2546"/>
      <c r="O2546"/>
    </row>
    <row r="2547" spans="1:15">
      <c r="A2547"/>
      <c r="B2547"/>
      <c r="C2547"/>
      <c r="D2547"/>
      <c r="E2547"/>
      <c r="F2547"/>
      <c r="G2547"/>
      <c r="H2547"/>
      <c r="I2547"/>
      <c r="J2547"/>
      <c r="K2547"/>
      <c r="L2547"/>
      <c r="M2547"/>
      <c r="N2547"/>
      <c r="O2547"/>
    </row>
    <row r="2548" spans="1:15">
      <c r="A2548"/>
      <c r="B2548"/>
      <c r="C2548"/>
      <c r="D2548"/>
      <c r="E2548"/>
      <c r="F2548"/>
      <c r="G2548"/>
      <c r="H2548"/>
      <c r="I2548"/>
      <c r="J2548"/>
      <c r="K2548"/>
      <c r="L2548"/>
      <c r="M2548"/>
      <c r="N2548"/>
      <c r="O2548"/>
    </row>
    <row r="2549" spans="1:15">
      <c r="A2549"/>
      <c r="B2549"/>
      <c r="C2549"/>
      <c r="D2549"/>
      <c r="E2549"/>
      <c r="F2549"/>
      <c r="G2549"/>
      <c r="H2549"/>
      <c r="I2549"/>
      <c r="J2549"/>
      <c r="K2549"/>
      <c r="L2549"/>
      <c r="M2549"/>
      <c r="N2549"/>
      <c r="O2549"/>
    </row>
    <row r="2550" spans="1:15">
      <c r="A2550"/>
      <c r="B2550"/>
      <c r="C2550"/>
      <c r="D2550"/>
      <c r="E2550"/>
      <c r="F2550"/>
      <c r="G2550"/>
      <c r="H2550"/>
      <c r="I2550"/>
      <c r="J2550"/>
      <c r="K2550"/>
      <c r="L2550"/>
      <c r="M2550"/>
      <c r="N2550"/>
      <c r="O2550"/>
    </row>
    <row r="2551" spans="1:15">
      <c r="A2551"/>
      <c r="B2551"/>
      <c r="C2551"/>
      <c r="D2551"/>
      <c r="E2551"/>
      <c r="F2551"/>
      <c r="G2551"/>
      <c r="H2551"/>
      <c r="I2551"/>
      <c r="J2551"/>
      <c r="K2551"/>
      <c r="L2551"/>
      <c r="M2551"/>
      <c r="N2551"/>
      <c r="O2551"/>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G574"/>
  <sheetViews>
    <sheetView topLeftCell="A106" workbookViewId="0">
      <selection activeCell="B6" sqref="B6"/>
    </sheetView>
  </sheetViews>
  <sheetFormatPr defaultRowHeight="15"/>
  <cols>
    <col min="1" max="1" width="26.5703125" customWidth="1"/>
    <col min="2" max="2" width="22.5703125" bestFit="1" customWidth="1"/>
    <col min="3" max="3" width="10.5703125" customWidth="1"/>
    <col min="4" max="4" width="16" customWidth="1"/>
    <col min="5" max="5" width="12.7109375" bestFit="1" customWidth="1"/>
    <col min="6" max="6" width="21.7109375" customWidth="1"/>
    <col min="7" max="7" width="28.28515625" customWidth="1"/>
  </cols>
  <sheetData>
    <row r="3" spans="1:7">
      <c r="F3" s="81" t="s">
        <v>384</v>
      </c>
    </row>
    <row r="4" spans="1:7">
      <c r="A4" s="81" t="s">
        <v>5</v>
      </c>
      <c r="B4" s="81" t="s">
        <v>6</v>
      </c>
      <c r="C4" s="81" t="s">
        <v>13</v>
      </c>
      <c r="D4" s="81" t="s">
        <v>14</v>
      </c>
      <c r="E4" s="81" t="s">
        <v>12</v>
      </c>
      <c r="F4" s="165" t="s">
        <v>353</v>
      </c>
      <c r="G4" s="165" t="s">
        <v>354</v>
      </c>
    </row>
    <row r="5" spans="1:7">
      <c r="A5" s="165" t="s">
        <v>168</v>
      </c>
      <c r="B5" s="165" t="s">
        <v>2011</v>
      </c>
      <c r="C5" s="165" t="s">
        <v>29</v>
      </c>
      <c r="D5" s="250">
        <v>43709</v>
      </c>
      <c r="E5" s="165">
        <v>10500</v>
      </c>
      <c r="F5" s="166">
        <v>20000</v>
      </c>
      <c r="G5" s="166">
        <v>210000000</v>
      </c>
    </row>
    <row r="6" spans="1:7">
      <c r="B6" s="165" t="s">
        <v>2015</v>
      </c>
      <c r="C6" s="165" t="s">
        <v>29</v>
      </c>
      <c r="D6" s="250">
        <v>43709</v>
      </c>
      <c r="E6" s="165">
        <v>10500</v>
      </c>
      <c r="F6" s="166">
        <v>20000</v>
      </c>
      <c r="G6" s="166">
        <v>210000000</v>
      </c>
    </row>
    <row r="7" spans="1:7">
      <c r="B7" s="165" t="s">
        <v>2019</v>
      </c>
      <c r="C7" s="165" t="s">
        <v>29</v>
      </c>
      <c r="D7" s="250">
        <v>43709</v>
      </c>
      <c r="E7" s="165">
        <v>9300</v>
      </c>
      <c r="F7" s="166">
        <v>5100</v>
      </c>
      <c r="G7" s="166">
        <v>47430000</v>
      </c>
    </row>
    <row r="8" spans="1:7">
      <c r="A8" s="165" t="s">
        <v>2201</v>
      </c>
      <c r="B8" s="165"/>
      <c r="C8" s="165"/>
      <c r="D8" s="165"/>
      <c r="E8" s="165"/>
      <c r="F8" s="166">
        <v>45100</v>
      </c>
      <c r="G8" s="166">
        <v>467430000</v>
      </c>
    </row>
    <row r="9" spans="1:7">
      <c r="A9" s="165" t="s">
        <v>688</v>
      </c>
      <c r="B9" s="165" t="s">
        <v>2064</v>
      </c>
      <c r="C9" s="165" t="s">
        <v>29</v>
      </c>
      <c r="D9" s="250">
        <v>43709</v>
      </c>
      <c r="E9" s="165">
        <v>15200</v>
      </c>
      <c r="F9" s="166">
        <v>5040</v>
      </c>
      <c r="G9" s="166">
        <v>76608000</v>
      </c>
    </row>
    <row r="10" spans="1:7">
      <c r="A10" s="165" t="s">
        <v>2202</v>
      </c>
      <c r="B10" s="165"/>
      <c r="C10" s="165"/>
      <c r="D10" s="165"/>
      <c r="E10" s="165"/>
      <c r="F10" s="166">
        <v>5040</v>
      </c>
      <c r="G10" s="166">
        <v>76608000</v>
      </c>
    </row>
    <row r="11" spans="1:7">
      <c r="A11" s="165" t="s">
        <v>203</v>
      </c>
      <c r="B11" s="165" t="s">
        <v>2063</v>
      </c>
      <c r="C11" s="165" t="s">
        <v>29</v>
      </c>
      <c r="D11" s="250">
        <v>43709</v>
      </c>
      <c r="E11" s="165">
        <v>12500</v>
      </c>
      <c r="F11" s="166">
        <v>15000</v>
      </c>
      <c r="G11" s="166">
        <v>187500000</v>
      </c>
    </row>
    <row r="12" spans="1:7">
      <c r="B12" s="165" t="s">
        <v>2137</v>
      </c>
      <c r="C12" s="165" t="s">
        <v>29</v>
      </c>
      <c r="D12" s="250">
        <v>43709</v>
      </c>
      <c r="E12" s="165">
        <v>14200</v>
      </c>
      <c r="F12" s="166">
        <v>5000</v>
      </c>
      <c r="G12" s="166">
        <v>71000000</v>
      </c>
    </row>
    <row r="13" spans="1:7">
      <c r="A13" s="165" t="s">
        <v>2205</v>
      </c>
      <c r="B13" s="165"/>
      <c r="C13" s="165"/>
      <c r="D13" s="165"/>
      <c r="E13" s="165"/>
      <c r="F13" s="166">
        <v>20000</v>
      </c>
      <c r="G13" s="166">
        <v>258500000</v>
      </c>
    </row>
    <row r="14" spans="1:7">
      <c r="A14" s="165" t="s">
        <v>205</v>
      </c>
      <c r="B14" s="165" t="s">
        <v>2042</v>
      </c>
      <c r="C14" s="165" t="s">
        <v>29</v>
      </c>
      <c r="D14" s="250">
        <v>43709</v>
      </c>
      <c r="E14" s="165">
        <v>10800</v>
      </c>
      <c r="F14" s="166">
        <v>2000</v>
      </c>
      <c r="G14" s="166">
        <v>21600000</v>
      </c>
    </row>
    <row r="15" spans="1:7">
      <c r="E15" s="165">
        <v>11000</v>
      </c>
      <c r="F15" s="166">
        <v>2000</v>
      </c>
      <c r="G15" s="166">
        <v>22000000</v>
      </c>
    </row>
    <row r="16" spans="1:7">
      <c r="B16" s="165" t="s">
        <v>2063</v>
      </c>
      <c r="C16" s="165" t="s">
        <v>29</v>
      </c>
      <c r="D16" s="250">
        <v>43709</v>
      </c>
      <c r="E16" s="165">
        <v>12500</v>
      </c>
      <c r="F16" s="166">
        <v>10000</v>
      </c>
      <c r="G16" s="166">
        <v>125000000</v>
      </c>
    </row>
    <row r="17" spans="1:7">
      <c r="B17" s="165" t="s">
        <v>2064</v>
      </c>
      <c r="C17" s="165" t="s">
        <v>29</v>
      </c>
      <c r="D17" s="250">
        <v>43709</v>
      </c>
      <c r="E17" s="165">
        <v>15200</v>
      </c>
      <c r="F17" s="166">
        <v>2000</v>
      </c>
      <c r="G17" s="166">
        <v>30400000</v>
      </c>
    </row>
    <row r="18" spans="1:7">
      <c r="B18" s="165" t="s">
        <v>2144</v>
      </c>
      <c r="C18" s="165" t="s">
        <v>29</v>
      </c>
      <c r="D18" s="250">
        <v>43709</v>
      </c>
      <c r="E18" s="165">
        <v>12500</v>
      </c>
      <c r="F18" s="166">
        <v>4000</v>
      </c>
      <c r="G18" s="166">
        <v>50000000</v>
      </c>
    </row>
    <row r="19" spans="1:7">
      <c r="A19" s="165" t="s">
        <v>2206</v>
      </c>
      <c r="B19" s="165"/>
      <c r="C19" s="165"/>
      <c r="D19" s="165"/>
      <c r="E19" s="165"/>
      <c r="F19" s="166">
        <v>20000</v>
      </c>
      <c r="G19" s="166">
        <v>249000000</v>
      </c>
    </row>
    <row r="20" spans="1:7">
      <c r="A20" s="165" t="s">
        <v>76</v>
      </c>
      <c r="B20" s="165" t="s">
        <v>2063</v>
      </c>
      <c r="C20" s="165" t="s">
        <v>29</v>
      </c>
      <c r="D20" s="250">
        <v>43709</v>
      </c>
      <c r="E20" s="165">
        <v>12500</v>
      </c>
      <c r="F20" s="166">
        <v>20000</v>
      </c>
      <c r="G20" s="166">
        <v>250000000</v>
      </c>
    </row>
    <row r="21" spans="1:7">
      <c r="B21" s="165" t="s">
        <v>2144</v>
      </c>
      <c r="C21" s="165" t="s">
        <v>29</v>
      </c>
      <c r="D21" s="250">
        <v>43709</v>
      </c>
      <c r="E21" s="165">
        <v>12500</v>
      </c>
      <c r="F21" s="166">
        <v>20000</v>
      </c>
      <c r="G21" s="166">
        <v>250000000</v>
      </c>
    </row>
    <row r="22" spans="1:7">
      <c r="A22" s="165" t="s">
        <v>2207</v>
      </c>
      <c r="B22" s="165"/>
      <c r="C22" s="165"/>
      <c r="D22" s="165"/>
      <c r="E22" s="165"/>
      <c r="F22" s="166">
        <v>40000</v>
      </c>
      <c r="G22" s="166">
        <v>500000000</v>
      </c>
    </row>
    <row r="23" spans="1:7">
      <c r="A23" s="165" t="s">
        <v>1379</v>
      </c>
      <c r="B23" s="165" t="s">
        <v>2011</v>
      </c>
      <c r="C23" s="165" t="s">
        <v>29</v>
      </c>
      <c r="D23" s="250">
        <v>43709</v>
      </c>
      <c r="E23" s="165">
        <v>10600</v>
      </c>
      <c r="F23" s="166">
        <v>3000</v>
      </c>
      <c r="G23" s="166">
        <v>31800000</v>
      </c>
    </row>
    <row r="24" spans="1:7">
      <c r="B24" s="165" t="s">
        <v>2064</v>
      </c>
      <c r="C24" s="165" t="s">
        <v>29</v>
      </c>
      <c r="D24" s="250">
        <v>43709</v>
      </c>
      <c r="E24" s="165">
        <v>15200</v>
      </c>
      <c r="F24" s="166">
        <v>1600</v>
      </c>
      <c r="G24" s="166">
        <v>24320000</v>
      </c>
    </row>
    <row r="25" spans="1:7">
      <c r="B25" s="165" t="s">
        <v>2015</v>
      </c>
      <c r="C25" s="165" t="s">
        <v>29</v>
      </c>
      <c r="D25" s="250">
        <v>43709</v>
      </c>
      <c r="E25" s="165">
        <v>10700</v>
      </c>
      <c r="F25" s="166">
        <v>500</v>
      </c>
      <c r="G25" s="166">
        <v>5350000</v>
      </c>
    </row>
    <row r="26" spans="1:7">
      <c r="A26" s="165" t="s">
        <v>2208</v>
      </c>
      <c r="B26" s="165"/>
      <c r="C26" s="165"/>
      <c r="D26" s="165"/>
      <c r="E26" s="165"/>
      <c r="F26" s="166">
        <v>5100</v>
      </c>
      <c r="G26" s="166">
        <v>61470000</v>
      </c>
    </row>
    <row r="27" spans="1:7">
      <c r="A27" s="165" t="s">
        <v>1241</v>
      </c>
      <c r="B27" s="165" t="s">
        <v>2060</v>
      </c>
      <c r="C27" s="165" t="s">
        <v>29</v>
      </c>
      <c r="D27" s="250">
        <v>43709</v>
      </c>
      <c r="E27" s="165">
        <v>7500</v>
      </c>
      <c r="F27" s="166">
        <v>3000</v>
      </c>
      <c r="G27" s="166">
        <v>22500000</v>
      </c>
    </row>
    <row r="28" spans="1:7">
      <c r="B28" s="165" t="s">
        <v>2011</v>
      </c>
      <c r="C28" s="165" t="s">
        <v>29</v>
      </c>
      <c r="D28" s="250">
        <v>43709</v>
      </c>
      <c r="E28" s="165">
        <v>10600</v>
      </c>
      <c r="F28" s="166">
        <v>10000</v>
      </c>
      <c r="G28" s="166">
        <v>106000000</v>
      </c>
    </row>
    <row r="29" spans="1:7">
      <c r="B29" s="165" t="s">
        <v>2125</v>
      </c>
      <c r="C29" s="165" t="s">
        <v>29</v>
      </c>
      <c r="D29" s="250">
        <v>43709</v>
      </c>
      <c r="E29" s="165">
        <v>3300</v>
      </c>
      <c r="F29" s="166">
        <v>13200</v>
      </c>
      <c r="G29" s="166">
        <v>43560000</v>
      </c>
    </row>
    <row r="30" spans="1:7">
      <c r="B30" s="165" t="s">
        <v>2127</v>
      </c>
      <c r="C30" s="165" t="s">
        <v>29</v>
      </c>
      <c r="D30" s="250">
        <v>43709</v>
      </c>
      <c r="E30" s="165">
        <v>6100</v>
      </c>
      <c r="F30" s="166">
        <v>5000</v>
      </c>
      <c r="G30" s="166">
        <v>30500000</v>
      </c>
    </row>
    <row r="31" spans="1:7">
      <c r="B31" s="165" t="s">
        <v>1872</v>
      </c>
      <c r="C31" s="165" t="s">
        <v>29</v>
      </c>
      <c r="D31" s="250">
        <v>43709</v>
      </c>
      <c r="E31" s="165">
        <v>7500</v>
      </c>
      <c r="F31" s="166">
        <v>28050</v>
      </c>
      <c r="G31" s="166">
        <v>210375000</v>
      </c>
    </row>
    <row r="32" spans="1:7">
      <c r="E32" s="165">
        <v>8500</v>
      </c>
      <c r="F32" s="166">
        <v>6000</v>
      </c>
      <c r="G32" s="166">
        <v>51000000</v>
      </c>
    </row>
    <row r="33" spans="1:7">
      <c r="B33" s="165" t="s">
        <v>2015</v>
      </c>
      <c r="C33" s="165" t="s">
        <v>29</v>
      </c>
      <c r="D33" s="250">
        <v>43709</v>
      </c>
      <c r="E33" s="165">
        <v>10500</v>
      </c>
      <c r="F33" s="166">
        <v>51000</v>
      </c>
      <c r="G33" s="166">
        <v>535500000</v>
      </c>
    </row>
    <row r="34" spans="1:7">
      <c r="B34" s="165" t="s">
        <v>2019</v>
      </c>
      <c r="C34" s="165" t="s">
        <v>29</v>
      </c>
      <c r="D34" s="250">
        <v>43709</v>
      </c>
      <c r="E34" s="165">
        <v>8800</v>
      </c>
      <c r="F34" s="166">
        <v>28050</v>
      </c>
      <c r="G34" s="166">
        <v>246840000</v>
      </c>
    </row>
    <row r="35" spans="1:7">
      <c r="B35" s="165" t="s">
        <v>2177</v>
      </c>
      <c r="C35" s="165" t="s">
        <v>29</v>
      </c>
      <c r="D35" s="250">
        <v>43709</v>
      </c>
      <c r="E35" s="165">
        <v>6100</v>
      </c>
      <c r="F35" s="166">
        <v>50000</v>
      </c>
      <c r="G35" s="166">
        <v>305000000</v>
      </c>
    </row>
    <row r="36" spans="1:7">
      <c r="B36" s="165" t="s">
        <v>2193</v>
      </c>
      <c r="C36" s="165" t="s">
        <v>29</v>
      </c>
      <c r="D36" s="250">
        <v>43709</v>
      </c>
      <c r="E36" s="165">
        <v>6200</v>
      </c>
      <c r="F36" s="166">
        <v>15000</v>
      </c>
      <c r="G36" s="166">
        <v>93000000</v>
      </c>
    </row>
    <row r="37" spans="1:7">
      <c r="A37" s="165" t="s">
        <v>2209</v>
      </c>
      <c r="B37" s="165"/>
      <c r="C37" s="165"/>
      <c r="D37" s="165"/>
      <c r="E37" s="165"/>
      <c r="F37" s="166">
        <v>209300</v>
      </c>
      <c r="G37" s="166">
        <v>1644275000</v>
      </c>
    </row>
    <row r="38" spans="1:7">
      <c r="A38" s="165" t="s">
        <v>983</v>
      </c>
      <c r="B38" s="165" t="s">
        <v>2060</v>
      </c>
      <c r="C38" s="165" t="s">
        <v>29</v>
      </c>
      <c r="D38" s="250">
        <v>43709</v>
      </c>
      <c r="E38" s="165">
        <v>8000</v>
      </c>
      <c r="F38" s="166">
        <v>5100</v>
      </c>
      <c r="G38" s="166">
        <v>40800000</v>
      </c>
    </row>
    <row r="39" spans="1:7">
      <c r="B39" s="165" t="s">
        <v>2011</v>
      </c>
      <c r="C39" s="165" t="s">
        <v>29</v>
      </c>
      <c r="D39" s="250">
        <v>43709</v>
      </c>
      <c r="E39" s="165">
        <v>10600</v>
      </c>
      <c r="F39" s="166">
        <v>5000</v>
      </c>
      <c r="G39" s="166">
        <v>53000000</v>
      </c>
    </row>
    <row r="40" spans="1:7">
      <c r="B40" s="165" t="s">
        <v>2063</v>
      </c>
      <c r="C40" s="165" t="s">
        <v>29</v>
      </c>
      <c r="D40" s="250">
        <v>43709</v>
      </c>
      <c r="E40" s="165">
        <v>12500</v>
      </c>
      <c r="F40" s="166">
        <v>15000</v>
      </c>
      <c r="G40" s="166">
        <v>187500000</v>
      </c>
    </row>
    <row r="41" spans="1:7">
      <c r="B41" s="165" t="s">
        <v>2144</v>
      </c>
      <c r="C41" s="165" t="s">
        <v>29</v>
      </c>
      <c r="D41" s="250">
        <v>43709</v>
      </c>
      <c r="E41" s="165">
        <v>12500</v>
      </c>
      <c r="F41" s="166">
        <v>10000</v>
      </c>
      <c r="G41" s="166">
        <v>125000000</v>
      </c>
    </row>
    <row r="42" spans="1:7">
      <c r="B42" s="165" t="s">
        <v>2145</v>
      </c>
      <c r="C42" s="165" t="s">
        <v>29</v>
      </c>
      <c r="D42" s="250">
        <v>43709</v>
      </c>
      <c r="E42" s="165">
        <v>13000</v>
      </c>
      <c r="F42" s="166">
        <v>5000</v>
      </c>
      <c r="G42" s="166">
        <v>65000000</v>
      </c>
    </row>
    <row r="43" spans="1:7">
      <c r="B43" s="165" t="s">
        <v>2190</v>
      </c>
      <c r="C43" s="165" t="s">
        <v>29</v>
      </c>
      <c r="D43" s="250">
        <v>43709</v>
      </c>
      <c r="E43" s="165">
        <v>5600</v>
      </c>
      <c r="F43" s="166">
        <v>5000</v>
      </c>
      <c r="G43" s="166">
        <v>28000000</v>
      </c>
    </row>
    <row r="44" spans="1:7">
      <c r="A44" s="165" t="s">
        <v>2210</v>
      </c>
      <c r="B44" s="165"/>
      <c r="C44" s="165"/>
      <c r="D44" s="165"/>
      <c r="E44" s="165"/>
      <c r="F44" s="166">
        <v>45100</v>
      </c>
      <c r="G44" s="166">
        <v>499300000</v>
      </c>
    </row>
    <row r="45" spans="1:7">
      <c r="A45" s="165" t="s">
        <v>391</v>
      </c>
      <c r="B45" s="165" t="s">
        <v>2107</v>
      </c>
      <c r="C45" s="165" t="s">
        <v>29</v>
      </c>
      <c r="D45" s="250">
        <v>43709</v>
      </c>
      <c r="E45" s="165">
        <v>16000</v>
      </c>
      <c r="F45" s="166">
        <v>5100</v>
      </c>
      <c r="G45" s="166">
        <v>81600000</v>
      </c>
    </row>
    <row r="46" spans="1:7">
      <c r="B46" s="165" t="s">
        <v>2117</v>
      </c>
      <c r="C46" s="165" t="s">
        <v>29</v>
      </c>
      <c r="D46" s="250">
        <v>43709</v>
      </c>
      <c r="E46" s="165">
        <v>7200</v>
      </c>
      <c r="F46" s="166">
        <v>3000</v>
      </c>
      <c r="G46" s="166">
        <v>21600000</v>
      </c>
    </row>
    <row r="47" spans="1:7">
      <c r="B47" s="165" t="s">
        <v>2127</v>
      </c>
      <c r="C47" s="165" t="s">
        <v>29</v>
      </c>
      <c r="D47" s="250">
        <v>43709</v>
      </c>
      <c r="E47" s="165">
        <v>6100</v>
      </c>
      <c r="F47" s="166">
        <v>7000</v>
      </c>
      <c r="G47" s="166">
        <v>42700000</v>
      </c>
    </row>
    <row r="48" spans="1:7">
      <c r="B48" s="165" t="s">
        <v>2015</v>
      </c>
      <c r="C48" s="165" t="s">
        <v>29</v>
      </c>
      <c r="D48" s="250">
        <v>43709</v>
      </c>
      <c r="E48" s="165">
        <v>10500</v>
      </c>
      <c r="F48" s="166">
        <v>5000</v>
      </c>
      <c r="G48" s="166">
        <v>52500000</v>
      </c>
    </row>
    <row r="49" spans="1:7">
      <c r="A49" s="165" t="s">
        <v>2211</v>
      </c>
      <c r="B49" s="165"/>
      <c r="C49" s="165"/>
      <c r="D49" s="165"/>
      <c r="E49" s="165"/>
      <c r="F49" s="166">
        <v>20100</v>
      </c>
      <c r="G49" s="166">
        <v>198400000</v>
      </c>
    </row>
    <row r="50" spans="1:7">
      <c r="A50" s="165" t="s">
        <v>111</v>
      </c>
      <c r="B50" s="165" t="s">
        <v>2035</v>
      </c>
      <c r="C50" s="165" t="s">
        <v>29</v>
      </c>
      <c r="D50" s="250">
        <v>43709</v>
      </c>
      <c r="E50" s="165">
        <v>8500</v>
      </c>
      <c r="F50" s="166">
        <v>2100</v>
      </c>
      <c r="G50" s="166">
        <v>17850000</v>
      </c>
    </row>
    <row r="51" spans="1:7">
      <c r="B51" s="165" t="s">
        <v>2011</v>
      </c>
      <c r="C51" s="165" t="s">
        <v>29</v>
      </c>
      <c r="D51" s="250">
        <v>43709</v>
      </c>
      <c r="E51" s="165">
        <v>10500</v>
      </c>
      <c r="F51" s="166">
        <v>2000</v>
      </c>
      <c r="G51" s="166">
        <v>21000000</v>
      </c>
    </row>
    <row r="52" spans="1:7">
      <c r="B52" s="165" t="s">
        <v>2069</v>
      </c>
      <c r="C52" s="165" t="s">
        <v>29</v>
      </c>
      <c r="D52" s="250">
        <v>43709</v>
      </c>
      <c r="E52" s="165">
        <v>14200</v>
      </c>
      <c r="F52" s="166">
        <v>3000</v>
      </c>
      <c r="G52" s="166">
        <v>42600000</v>
      </c>
    </row>
    <row r="53" spans="1:7">
      <c r="B53" s="165" t="s">
        <v>2117</v>
      </c>
      <c r="C53" s="165" t="s">
        <v>29</v>
      </c>
      <c r="D53" s="250">
        <v>43709</v>
      </c>
      <c r="E53" s="165">
        <v>7200</v>
      </c>
      <c r="F53" s="166">
        <v>20100</v>
      </c>
      <c r="G53" s="166">
        <v>144720000</v>
      </c>
    </row>
    <row r="54" spans="1:7">
      <c r="B54" s="165" t="s">
        <v>2137</v>
      </c>
      <c r="C54" s="165" t="s">
        <v>29</v>
      </c>
      <c r="D54" s="250">
        <v>43709</v>
      </c>
      <c r="E54" s="165">
        <v>14200</v>
      </c>
      <c r="F54" s="166">
        <v>6000</v>
      </c>
      <c r="G54" s="166">
        <v>85200000</v>
      </c>
    </row>
    <row r="55" spans="1:7">
      <c r="A55" s="165" t="s">
        <v>2212</v>
      </c>
      <c r="B55" s="165"/>
      <c r="C55" s="165"/>
      <c r="D55" s="165"/>
      <c r="E55" s="165"/>
      <c r="F55" s="166">
        <v>33200</v>
      </c>
      <c r="G55" s="166">
        <v>311370000</v>
      </c>
    </row>
    <row r="56" spans="1:7">
      <c r="A56" s="165" t="s">
        <v>289</v>
      </c>
      <c r="B56" s="165" t="s">
        <v>2011</v>
      </c>
      <c r="C56" s="165" t="s">
        <v>29</v>
      </c>
      <c r="D56" s="250">
        <v>43709</v>
      </c>
      <c r="E56" s="165">
        <v>10500</v>
      </c>
      <c r="F56" s="166">
        <v>750</v>
      </c>
      <c r="G56" s="166">
        <v>7875000</v>
      </c>
    </row>
    <row r="57" spans="1:7">
      <c r="B57" s="165" t="s">
        <v>2016</v>
      </c>
      <c r="C57" s="165" t="s">
        <v>29</v>
      </c>
      <c r="D57" s="250">
        <v>43709</v>
      </c>
      <c r="E57" s="165">
        <v>13500</v>
      </c>
      <c r="F57" s="166">
        <v>1250</v>
      </c>
      <c r="G57" s="166">
        <v>16875000</v>
      </c>
    </row>
    <row r="58" spans="1:7">
      <c r="B58" s="165" t="s">
        <v>2127</v>
      </c>
      <c r="C58" s="165" t="s">
        <v>29</v>
      </c>
      <c r="D58" s="250">
        <v>43709</v>
      </c>
      <c r="E58" s="165">
        <v>6100</v>
      </c>
      <c r="F58" s="166">
        <v>1000</v>
      </c>
      <c r="G58" s="166">
        <v>6100000</v>
      </c>
    </row>
    <row r="59" spans="1:7">
      <c r="B59" s="165" t="s">
        <v>2177</v>
      </c>
      <c r="C59" s="165" t="s">
        <v>29</v>
      </c>
      <c r="D59" s="250">
        <v>43709</v>
      </c>
      <c r="E59" s="165">
        <v>6100</v>
      </c>
      <c r="F59" s="166">
        <v>1000</v>
      </c>
      <c r="G59" s="166">
        <v>6100000</v>
      </c>
    </row>
    <row r="60" spans="1:7">
      <c r="A60" s="165" t="s">
        <v>2213</v>
      </c>
      <c r="B60" s="165"/>
      <c r="C60" s="165"/>
      <c r="D60" s="165"/>
      <c r="E60" s="165"/>
      <c r="F60" s="166">
        <v>4000</v>
      </c>
      <c r="G60" s="166">
        <v>36950000</v>
      </c>
    </row>
    <row r="61" spans="1:7">
      <c r="A61" s="165" t="s">
        <v>473</v>
      </c>
      <c r="B61" s="165" t="s">
        <v>2042</v>
      </c>
      <c r="C61" s="165" t="s">
        <v>29</v>
      </c>
      <c r="D61" s="250">
        <v>43709</v>
      </c>
      <c r="E61" s="165">
        <v>10800</v>
      </c>
      <c r="F61" s="166">
        <v>5000</v>
      </c>
      <c r="G61" s="166">
        <v>54000000</v>
      </c>
    </row>
    <row r="62" spans="1:7">
      <c r="B62" s="165" t="s">
        <v>2016</v>
      </c>
      <c r="C62" s="165" t="s">
        <v>29</v>
      </c>
      <c r="D62" s="250">
        <v>43709</v>
      </c>
      <c r="E62" s="165">
        <v>13500</v>
      </c>
      <c r="F62" s="166">
        <v>4000</v>
      </c>
      <c r="G62" s="166">
        <v>54000000</v>
      </c>
    </row>
    <row r="63" spans="1:7">
      <c r="B63" s="165" t="s">
        <v>2177</v>
      </c>
      <c r="C63" s="165" t="s">
        <v>29</v>
      </c>
      <c r="D63" s="250">
        <v>43709</v>
      </c>
      <c r="E63" s="165">
        <v>6100</v>
      </c>
      <c r="F63" s="166">
        <v>3000</v>
      </c>
      <c r="G63" s="166">
        <v>18300000</v>
      </c>
    </row>
    <row r="64" spans="1:7">
      <c r="A64" s="165" t="s">
        <v>2214</v>
      </c>
      <c r="B64" s="165"/>
      <c r="C64" s="165"/>
      <c r="D64" s="165"/>
      <c r="E64" s="165"/>
      <c r="F64" s="166">
        <v>12000</v>
      </c>
      <c r="G64" s="166">
        <v>126300000</v>
      </c>
    </row>
    <row r="65" spans="1:7">
      <c r="A65" s="165" t="s">
        <v>1279</v>
      </c>
      <c r="B65" s="165" t="s">
        <v>2011</v>
      </c>
      <c r="C65" s="165" t="s">
        <v>29</v>
      </c>
      <c r="D65" s="250">
        <v>43709</v>
      </c>
      <c r="E65" s="165">
        <v>10600</v>
      </c>
      <c r="F65" s="166">
        <v>1000</v>
      </c>
      <c r="G65" s="166">
        <v>10600000</v>
      </c>
    </row>
    <row r="66" spans="1:7">
      <c r="B66" s="165" t="s">
        <v>2063</v>
      </c>
      <c r="C66" s="165" t="s">
        <v>29</v>
      </c>
      <c r="D66" s="250">
        <v>43709</v>
      </c>
      <c r="E66" s="165">
        <v>12500</v>
      </c>
      <c r="F66" s="166">
        <v>5000</v>
      </c>
      <c r="G66" s="166">
        <v>62500000</v>
      </c>
    </row>
    <row r="67" spans="1:7">
      <c r="B67" s="165" t="s">
        <v>2093</v>
      </c>
      <c r="C67" s="165" t="s">
        <v>29</v>
      </c>
      <c r="D67" s="250">
        <v>43709</v>
      </c>
      <c r="E67" s="165">
        <v>11400</v>
      </c>
      <c r="F67" s="166">
        <v>3000</v>
      </c>
      <c r="G67" s="166">
        <v>34200000</v>
      </c>
    </row>
    <row r="68" spans="1:7">
      <c r="B68" s="165" t="s">
        <v>2106</v>
      </c>
      <c r="C68" s="165" t="s">
        <v>29</v>
      </c>
      <c r="D68" s="250">
        <v>43709</v>
      </c>
      <c r="E68" s="165">
        <v>15200</v>
      </c>
      <c r="F68" s="166">
        <v>11000</v>
      </c>
      <c r="G68" s="166">
        <v>167200000</v>
      </c>
    </row>
    <row r="69" spans="1:7">
      <c r="B69" s="165" t="s">
        <v>2015</v>
      </c>
      <c r="C69" s="165" t="s">
        <v>29</v>
      </c>
      <c r="D69" s="250">
        <v>43709</v>
      </c>
      <c r="E69" s="165">
        <v>10700</v>
      </c>
      <c r="F69" s="166">
        <v>3000</v>
      </c>
      <c r="G69" s="166">
        <v>32100000</v>
      </c>
    </row>
    <row r="70" spans="1:7">
      <c r="B70" s="165" t="s">
        <v>2144</v>
      </c>
      <c r="C70" s="165" t="s">
        <v>29</v>
      </c>
      <c r="D70" s="250">
        <v>43709</v>
      </c>
      <c r="E70" s="165">
        <v>12500</v>
      </c>
      <c r="F70" s="166">
        <v>10000</v>
      </c>
      <c r="G70" s="166">
        <v>125000000</v>
      </c>
    </row>
    <row r="71" spans="1:7">
      <c r="B71" s="165" t="s">
        <v>2019</v>
      </c>
      <c r="C71" s="165" t="s">
        <v>29</v>
      </c>
      <c r="D71" s="250">
        <v>43709</v>
      </c>
      <c r="E71" s="165">
        <v>9100</v>
      </c>
      <c r="F71" s="166">
        <v>2100</v>
      </c>
      <c r="G71" s="166">
        <v>19110000</v>
      </c>
    </row>
    <row r="72" spans="1:7">
      <c r="B72" s="165" t="s">
        <v>2023</v>
      </c>
      <c r="C72" s="165" t="s">
        <v>29</v>
      </c>
      <c r="D72" s="250">
        <v>43709</v>
      </c>
      <c r="E72" s="165">
        <v>10900</v>
      </c>
      <c r="F72" s="166">
        <v>2000</v>
      </c>
      <c r="G72" s="166">
        <v>21800000</v>
      </c>
    </row>
    <row r="73" spans="1:7">
      <c r="A73" s="165" t="s">
        <v>2215</v>
      </c>
      <c r="B73" s="165"/>
      <c r="C73" s="165"/>
      <c r="D73" s="165"/>
      <c r="E73" s="165"/>
      <c r="F73" s="166">
        <v>37100</v>
      </c>
      <c r="G73" s="166">
        <v>472510000</v>
      </c>
    </row>
    <row r="74" spans="1:7">
      <c r="A74" s="165" t="s">
        <v>911</v>
      </c>
      <c r="B74" s="165" t="s">
        <v>2011</v>
      </c>
      <c r="C74" s="165" t="s">
        <v>29</v>
      </c>
      <c r="D74" s="250">
        <v>43709</v>
      </c>
      <c r="E74" s="165">
        <v>10500</v>
      </c>
      <c r="F74" s="166">
        <v>20000</v>
      </c>
      <c r="G74" s="166">
        <v>210000000</v>
      </c>
    </row>
    <row r="75" spans="1:7">
      <c r="B75" s="165" t="s">
        <v>2101</v>
      </c>
      <c r="C75" s="165" t="s">
        <v>29</v>
      </c>
      <c r="D75" s="250">
        <v>43709</v>
      </c>
      <c r="E75" s="165">
        <v>8200</v>
      </c>
      <c r="F75" s="166">
        <v>20100</v>
      </c>
      <c r="G75" s="166">
        <v>164820000</v>
      </c>
    </row>
    <row r="76" spans="1:7">
      <c r="A76" s="165" t="s">
        <v>2216</v>
      </c>
      <c r="B76" s="165"/>
      <c r="C76" s="165"/>
      <c r="D76" s="165"/>
      <c r="E76" s="165"/>
      <c r="F76" s="166">
        <v>40100</v>
      </c>
      <c r="G76" s="166">
        <v>374820000</v>
      </c>
    </row>
    <row r="77" spans="1:7">
      <c r="A77" s="165" t="s">
        <v>243</v>
      </c>
      <c r="B77" s="165" t="s">
        <v>2016</v>
      </c>
      <c r="C77" s="165" t="s">
        <v>29</v>
      </c>
      <c r="D77" s="250">
        <v>43709</v>
      </c>
      <c r="E77" s="165">
        <v>13500</v>
      </c>
      <c r="F77" s="166">
        <v>10000</v>
      </c>
      <c r="G77" s="166">
        <v>135000000</v>
      </c>
    </row>
    <row r="78" spans="1:7">
      <c r="B78" s="165" t="s">
        <v>2136</v>
      </c>
      <c r="C78" s="165" t="s">
        <v>29</v>
      </c>
      <c r="D78" s="250">
        <v>43709</v>
      </c>
      <c r="E78" s="165">
        <v>13000</v>
      </c>
      <c r="F78" s="166">
        <v>10000</v>
      </c>
      <c r="G78" s="166">
        <v>130000000</v>
      </c>
    </row>
    <row r="79" spans="1:7">
      <c r="B79" s="165" t="s">
        <v>2155</v>
      </c>
      <c r="C79" s="165" t="s">
        <v>29</v>
      </c>
      <c r="D79" s="250">
        <v>43709</v>
      </c>
      <c r="E79" s="165">
        <v>9300</v>
      </c>
      <c r="F79" s="166">
        <v>5000</v>
      </c>
      <c r="G79" s="166">
        <v>46500000</v>
      </c>
    </row>
    <row r="80" spans="1:7">
      <c r="B80" s="165" t="s">
        <v>2023</v>
      </c>
      <c r="C80" s="165" t="s">
        <v>29</v>
      </c>
      <c r="D80" s="250">
        <v>43709</v>
      </c>
      <c r="E80" s="165">
        <v>10100</v>
      </c>
      <c r="F80" s="166">
        <v>5000</v>
      </c>
      <c r="G80" s="166">
        <v>50500000</v>
      </c>
    </row>
    <row r="81" spans="1:7">
      <c r="A81" s="165" t="s">
        <v>2217</v>
      </c>
      <c r="B81" s="165"/>
      <c r="C81" s="165"/>
      <c r="D81" s="165"/>
      <c r="E81" s="165"/>
      <c r="F81" s="166">
        <v>30000</v>
      </c>
      <c r="G81" s="166">
        <v>362000000</v>
      </c>
    </row>
    <row r="82" spans="1:7">
      <c r="A82" s="165" t="s">
        <v>257</v>
      </c>
      <c r="B82" s="165" t="s">
        <v>2011</v>
      </c>
      <c r="C82" s="165" t="s">
        <v>29</v>
      </c>
      <c r="D82" s="250">
        <v>43709</v>
      </c>
      <c r="E82" s="165">
        <v>10500</v>
      </c>
      <c r="F82" s="166">
        <v>3000</v>
      </c>
      <c r="G82" s="166">
        <v>31500000</v>
      </c>
    </row>
    <row r="83" spans="1:7">
      <c r="B83" s="165" t="s">
        <v>2136</v>
      </c>
      <c r="C83" s="165" t="s">
        <v>29</v>
      </c>
      <c r="D83" s="250">
        <v>43709</v>
      </c>
      <c r="E83" s="165">
        <v>13000</v>
      </c>
      <c r="F83" s="166">
        <v>10000</v>
      </c>
      <c r="G83" s="166">
        <v>130000000</v>
      </c>
    </row>
    <row r="84" spans="1:7">
      <c r="B84" s="165" t="s">
        <v>2015</v>
      </c>
      <c r="C84" s="165" t="s">
        <v>29</v>
      </c>
      <c r="D84" s="250">
        <v>43709</v>
      </c>
      <c r="E84" s="165">
        <v>10500</v>
      </c>
      <c r="F84" s="166">
        <v>5000</v>
      </c>
      <c r="G84" s="166">
        <v>52500000</v>
      </c>
    </row>
    <row r="85" spans="1:7">
      <c r="B85" s="165" t="s">
        <v>2155</v>
      </c>
      <c r="C85" s="165" t="s">
        <v>29</v>
      </c>
      <c r="D85" s="250">
        <v>43709</v>
      </c>
      <c r="E85" s="165">
        <v>9300</v>
      </c>
      <c r="F85" s="166">
        <v>10000</v>
      </c>
      <c r="G85" s="166">
        <v>93000000</v>
      </c>
    </row>
    <row r="86" spans="1:7">
      <c r="B86" s="165" t="s">
        <v>2023</v>
      </c>
      <c r="C86" s="165" t="s">
        <v>29</v>
      </c>
      <c r="D86" s="250">
        <v>43709</v>
      </c>
      <c r="E86" s="165">
        <v>11000</v>
      </c>
      <c r="F86" s="166">
        <v>2000</v>
      </c>
      <c r="G86" s="166">
        <v>22000000</v>
      </c>
    </row>
    <row r="87" spans="1:7">
      <c r="A87" s="165" t="s">
        <v>2218</v>
      </c>
      <c r="B87" s="165"/>
      <c r="C87" s="165"/>
      <c r="D87" s="165"/>
      <c r="E87" s="165"/>
      <c r="F87" s="166">
        <v>30000</v>
      </c>
      <c r="G87" s="166">
        <v>329000000</v>
      </c>
    </row>
    <row r="88" spans="1:7">
      <c r="A88" s="165" t="s">
        <v>274</v>
      </c>
      <c r="B88" s="165" t="s">
        <v>2042</v>
      </c>
      <c r="C88" s="165" t="s">
        <v>29</v>
      </c>
      <c r="D88" s="250">
        <v>43709</v>
      </c>
      <c r="E88" s="165">
        <v>10800</v>
      </c>
      <c r="F88" s="166">
        <v>5000</v>
      </c>
      <c r="G88" s="166">
        <v>54000000</v>
      </c>
    </row>
    <row r="89" spans="1:7">
      <c r="B89" s="165" t="s">
        <v>2106</v>
      </c>
      <c r="C89" s="165" t="s">
        <v>29</v>
      </c>
      <c r="D89" s="250">
        <v>43709</v>
      </c>
      <c r="E89" s="165">
        <v>15200</v>
      </c>
      <c r="F89" s="166">
        <v>5000</v>
      </c>
      <c r="G89" s="166">
        <v>76000000</v>
      </c>
    </row>
    <row r="90" spans="1:7">
      <c r="B90" s="165" t="s">
        <v>2136</v>
      </c>
      <c r="C90" s="165" t="s">
        <v>29</v>
      </c>
      <c r="D90" s="250">
        <v>43709</v>
      </c>
      <c r="E90" s="165">
        <v>13000</v>
      </c>
      <c r="F90" s="166">
        <v>5000</v>
      </c>
      <c r="G90" s="166">
        <v>65000000</v>
      </c>
    </row>
    <row r="91" spans="1:7">
      <c r="B91" s="165" t="s">
        <v>2155</v>
      </c>
      <c r="C91" s="165" t="s">
        <v>29</v>
      </c>
      <c r="D91" s="250">
        <v>43709</v>
      </c>
      <c r="E91" s="165">
        <v>9300</v>
      </c>
      <c r="F91" s="166">
        <v>5000</v>
      </c>
      <c r="G91" s="166">
        <v>46500000</v>
      </c>
    </row>
    <row r="92" spans="1:7">
      <c r="B92" s="165" t="s">
        <v>2023</v>
      </c>
      <c r="C92" s="165" t="s">
        <v>29</v>
      </c>
      <c r="D92" s="250">
        <v>43709</v>
      </c>
      <c r="E92" s="165">
        <v>10100</v>
      </c>
      <c r="F92" s="166">
        <v>5000</v>
      </c>
      <c r="G92" s="166">
        <v>50500000</v>
      </c>
    </row>
    <row r="93" spans="1:7">
      <c r="A93" s="165" t="s">
        <v>2219</v>
      </c>
      <c r="B93" s="165"/>
      <c r="C93" s="165"/>
      <c r="D93" s="165"/>
      <c r="E93" s="165"/>
      <c r="F93" s="166">
        <v>25000</v>
      </c>
      <c r="G93" s="166">
        <v>292000000</v>
      </c>
    </row>
    <row r="94" spans="1:7">
      <c r="A94" s="165" t="s">
        <v>270</v>
      </c>
      <c r="B94" s="165" t="s">
        <v>2042</v>
      </c>
      <c r="C94" s="165" t="s">
        <v>29</v>
      </c>
      <c r="D94" s="250">
        <v>43709</v>
      </c>
      <c r="E94" s="165">
        <v>11000</v>
      </c>
      <c r="F94" s="166">
        <v>3000</v>
      </c>
      <c r="G94" s="166">
        <v>33000000</v>
      </c>
    </row>
    <row r="95" spans="1:7">
      <c r="B95" s="165" t="s">
        <v>2011</v>
      </c>
      <c r="C95" s="165" t="s">
        <v>29</v>
      </c>
      <c r="D95" s="250">
        <v>43709</v>
      </c>
      <c r="E95" s="165">
        <v>10500</v>
      </c>
      <c r="F95" s="166">
        <v>8000</v>
      </c>
      <c r="G95" s="166">
        <v>84000000</v>
      </c>
    </row>
    <row r="96" spans="1:7">
      <c r="B96" s="165" t="s">
        <v>2087</v>
      </c>
      <c r="C96" s="165" t="s">
        <v>29</v>
      </c>
      <c r="D96" s="250">
        <v>43709</v>
      </c>
      <c r="E96" s="165">
        <v>10100</v>
      </c>
      <c r="F96" s="166">
        <v>3000</v>
      </c>
      <c r="G96" s="166">
        <v>30300000</v>
      </c>
    </row>
    <row r="97" spans="1:7">
      <c r="B97" s="165" t="s">
        <v>2016</v>
      </c>
      <c r="C97" s="165" t="s">
        <v>29</v>
      </c>
      <c r="D97" s="250">
        <v>43709</v>
      </c>
      <c r="E97" s="165">
        <v>13500</v>
      </c>
      <c r="F97" s="166">
        <v>4000</v>
      </c>
      <c r="G97" s="166">
        <v>54000000</v>
      </c>
    </row>
    <row r="98" spans="1:7">
      <c r="B98" s="165" t="s">
        <v>2106</v>
      </c>
      <c r="C98" s="165" t="s">
        <v>29</v>
      </c>
      <c r="D98" s="250">
        <v>43709</v>
      </c>
      <c r="E98" s="165">
        <v>15200</v>
      </c>
      <c r="F98" s="166">
        <v>7000</v>
      </c>
      <c r="G98" s="166">
        <v>106400000</v>
      </c>
    </row>
    <row r="99" spans="1:7">
      <c r="B99" s="165" t="s">
        <v>2136</v>
      </c>
      <c r="C99" s="165" t="s">
        <v>29</v>
      </c>
      <c r="D99" s="250">
        <v>43709</v>
      </c>
      <c r="E99" s="165">
        <v>13000</v>
      </c>
      <c r="F99" s="166">
        <v>10000</v>
      </c>
      <c r="G99" s="166">
        <v>130000000</v>
      </c>
    </row>
    <row r="100" spans="1:7">
      <c r="B100" s="165" t="s">
        <v>2015</v>
      </c>
      <c r="C100" s="165" t="s">
        <v>29</v>
      </c>
      <c r="D100" s="250">
        <v>43709</v>
      </c>
      <c r="E100" s="165">
        <v>10700</v>
      </c>
      <c r="F100" s="166">
        <v>3000</v>
      </c>
      <c r="G100" s="166">
        <v>32100000</v>
      </c>
    </row>
    <row r="101" spans="1:7">
      <c r="B101" s="165" t="s">
        <v>2155</v>
      </c>
      <c r="C101" s="165" t="s">
        <v>29</v>
      </c>
      <c r="D101" s="250">
        <v>43709</v>
      </c>
      <c r="E101" s="165">
        <v>9300</v>
      </c>
      <c r="F101" s="166">
        <v>6000</v>
      </c>
      <c r="G101" s="166">
        <v>55800000</v>
      </c>
    </row>
    <row r="102" spans="1:7">
      <c r="B102" s="165" t="s">
        <v>2023</v>
      </c>
      <c r="C102" s="165" t="s">
        <v>29</v>
      </c>
      <c r="D102" s="250">
        <v>43709</v>
      </c>
      <c r="E102" s="165">
        <v>10100</v>
      </c>
      <c r="F102" s="166">
        <v>8000</v>
      </c>
      <c r="G102" s="166">
        <v>80800000</v>
      </c>
    </row>
    <row r="103" spans="1:7">
      <c r="A103" s="165" t="s">
        <v>2220</v>
      </c>
      <c r="B103" s="165"/>
      <c r="C103" s="165"/>
      <c r="D103" s="165"/>
      <c r="E103" s="165"/>
      <c r="F103" s="166">
        <v>52000</v>
      </c>
      <c r="G103" s="166">
        <v>606400000</v>
      </c>
    </row>
    <row r="104" spans="1:7">
      <c r="A104" s="165" t="s">
        <v>1429</v>
      </c>
      <c r="B104" s="165" t="s">
        <v>2011</v>
      </c>
      <c r="C104" s="165" t="s">
        <v>29</v>
      </c>
      <c r="D104" s="250">
        <v>43709</v>
      </c>
      <c r="E104" s="165">
        <v>10600</v>
      </c>
      <c r="F104" s="166">
        <v>4000</v>
      </c>
      <c r="G104" s="166">
        <v>42400000</v>
      </c>
    </row>
    <row r="105" spans="1:7">
      <c r="B105" s="165" t="s">
        <v>2016</v>
      </c>
      <c r="C105" s="165" t="s">
        <v>29</v>
      </c>
      <c r="D105" s="250">
        <v>43709</v>
      </c>
      <c r="E105" s="165">
        <v>13500</v>
      </c>
      <c r="F105" s="166">
        <v>3000</v>
      </c>
      <c r="G105" s="166">
        <v>40500000</v>
      </c>
    </row>
    <row r="106" spans="1:7">
      <c r="B106" s="165" t="s">
        <v>2136</v>
      </c>
      <c r="C106" s="165" t="s">
        <v>29</v>
      </c>
      <c r="D106" s="250">
        <v>43709</v>
      </c>
      <c r="E106" s="165">
        <v>13000</v>
      </c>
      <c r="F106" s="166">
        <v>7000</v>
      </c>
      <c r="G106" s="166">
        <v>91000000</v>
      </c>
    </row>
    <row r="107" spans="1:7">
      <c r="B107" s="165" t="s">
        <v>2015</v>
      </c>
      <c r="C107" s="165" t="s">
        <v>29</v>
      </c>
      <c r="D107" s="250">
        <v>43709</v>
      </c>
      <c r="E107" s="165">
        <v>10700</v>
      </c>
      <c r="F107" s="166">
        <v>3000</v>
      </c>
      <c r="G107" s="166">
        <v>32100000</v>
      </c>
    </row>
    <row r="108" spans="1:7">
      <c r="B108" s="165" t="s">
        <v>2155</v>
      </c>
      <c r="C108" s="165" t="s">
        <v>29</v>
      </c>
      <c r="D108" s="250">
        <v>43709</v>
      </c>
      <c r="E108" s="165">
        <v>9300</v>
      </c>
      <c r="F108" s="166">
        <v>2000</v>
      </c>
      <c r="G108" s="166">
        <v>18600000</v>
      </c>
    </row>
    <row r="109" spans="1:7">
      <c r="E109" s="165">
        <v>9600</v>
      </c>
      <c r="F109" s="166">
        <v>1000</v>
      </c>
      <c r="G109" s="166">
        <v>9600000</v>
      </c>
    </row>
    <row r="110" spans="1:7">
      <c r="A110" s="165" t="s">
        <v>2221</v>
      </c>
      <c r="B110" s="165"/>
      <c r="C110" s="165"/>
      <c r="D110" s="165"/>
      <c r="E110" s="165"/>
      <c r="F110" s="166">
        <v>20000</v>
      </c>
      <c r="G110" s="166">
        <v>234200000</v>
      </c>
    </row>
    <row r="111" spans="1:7">
      <c r="A111" s="165" t="s">
        <v>1428</v>
      </c>
      <c r="B111" s="165" t="s">
        <v>2011</v>
      </c>
      <c r="C111" s="165" t="s">
        <v>29</v>
      </c>
      <c r="D111" s="250">
        <v>43709</v>
      </c>
      <c r="E111" s="165">
        <v>10500</v>
      </c>
      <c r="F111" s="166">
        <v>750</v>
      </c>
      <c r="G111" s="166">
        <v>7875000</v>
      </c>
    </row>
    <row r="112" spans="1:7">
      <c r="E112" s="165">
        <v>10600</v>
      </c>
      <c r="F112" s="166">
        <v>1250</v>
      </c>
      <c r="G112" s="166">
        <v>13250000</v>
      </c>
    </row>
    <row r="113" spans="1:7">
      <c r="B113" s="165" t="s">
        <v>2136</v>
      </c>
      <c r="C113" s="165" t="s">
        <v>29</v>
      </c>
      <c r="D113" s="250">
        <v>43709</v>
      </c>
      <c r="E113" s="165">
        <v>13000</v>
      </c>
      <c r="F113" s="166">
        <v>10500</v>
      </c>
      <c r="G113" s="166">
        <v>136500000</v>
      </c>
    </row>
    <row r="114" spans="1:7">
      <c r="B114" s="165" t="s">
        <v>2155</v>
      </c>
      <c r="C114" s="165" t="s">
        <v>29</v>
      </c>
      <c r="D114" s="250">
        <v>43709</v>
      </c>
      <c r="E114" s="165">
        <v>9300</v>
      </c>
      <c r="F114" s="166">
        <v>5750</v>
      </c>
      <c r="G114" s="166">
        <v>53475000</v>
      </c>
    </row>
    <row r="115" spans="1:7">
      <c r="E115" s="165">
        <v>9600</v>
      </c>
      <c r="F115" s="166">
        <v>6250</v>
      </c>
      <c r="G115" s="166">
        <v>60000000</v>
      </c>
    </row>
    <row r="116" spans="1:7">
      <c r="B116" s="165" t="s">
        <v>2023</v>
      </c>
      <c r="C116" s="165" t="s">
        <v>29</v>
      </c>
      <c r="D116" s="250">
        <v>43709</v>
      </c>
      <c r="E116" s="165">
        <v>10100</v>
      </c>
      <c r="F116" s="166">
        <v>3500</v>
      </c>
      <c r="G116" s="166">
        <v>35350000</v>
      </c>
    </row>
    <row r="117" spans="1:7">
      <c r="A117" s="165" t="s">
        <v>2222</v>
      </c>
      <c r="B117" s="165"/>
      <c r="C117" s="165"/>
      <c r="D117" s="165"/>
      <c r="E117" s="165"/>
      <c r="F117" s="166">
        <v>28000</v>
      </c>
      <c r="G117" s="166">
        <v>306450000</v>
      </c>
    </row>
    <row r="118" spans="1:7">
      <c r="A118" s="165" t="s">
        <v>150</v>
      </c>
      <c r="B118" s="165" t="s">
        <v>2060</v>
      </c>
      <c r="C118" s="165" t="s">
        <v>29</v>
      </c>
      <c r="D118" s="250">
        <v>43709</v>
      </c>
      <c r="E118" s="165">
        <v>7200</v>
      </c>
      <c r="F118" s="166">
        <v>5100</v>
      </c>
      <c r="G118" s="166">
        <v>36720000</v>
      </c>
    </row>
    <row r="119" spans="1:7">
      <c r="B119" s="165" t="s">
        <v>2062</v>
      </c>
      <c r="C119" s="165" t="s">
        <v>29</v>
      </c>
      <c r="D119" s="250">
        <v>43709</v>
      </c>
      <c r="E119" s="165">
        <v>12000</v>
      </c>
      <c r="F119" s="166">
        <v>1000</v>
      </c>
      <c r="G119" s="166">
        <v>12000000</v>
      </c>
    </row>
    <row r="120" spans="1:7">
      <c r="B120" s="165" t="s">
        <v>2063</v>
      </c>
      <c r="C120" s="165" t="s">
        <v>29</v>
      </c>
      <c r="D120" s="250">
        <v>43709</v>
      </c>
      <c r="E120" s="165">
        <v>12500</v>
      </c>
      <c r="F120" s="166">
        <v>4000</v>
      </c>
      <c r="G120" s="166">
        <v>50000000</v>
      </c>
    </row>
    <row r="121" spans="1:7">
      <c r="B121" s="165" t="s">
        <v>2087</v>
      </c>
      <c r="C121" s="165" t="s">
        <v>29</v>
      </c>
      <c r="D121" s="250">
        <v>43709</v>
      </c>
      <c r="E121" s="165">
        <v>10000</v>
      </c>
      <c r="F121" s="166">
        <v>10050</v>
      </c>
      <c r="G121" s="166">
        <v>100500000</v>
      </c>
    </row>
    <row r="122" spans="1:7">
      <c r="B122" s="165" t="s">
        <v>2136</v>
      </c>
      <c r="C122" s="165" t="s">
        <v>29</v>
      </c>
      <c r="D122" s="250">
        <v>43709</v>
      </c>
      <c r="E122" s="165">
        <v>13000</v>
      </c>
      <c r="F122" s="166">
        <v>5000</v>
      </c>
      <c r="G122" s="166">
        <v>65000000</v>
      </c>
    </row>
    <row r="123" spans="1:7">
      <c r="B123" s="165" t="s">
        <v>2190</v>
      </c>
      <c r="C123" s="165" t="s">
        <v>29</v>
      </c>
      <c r="D123" s="250">
        <v>43709</v>
      </c>
      <c r="E123" s="165">
        <v>5500</v>
      </c>
      <c r="F123" s="166">
        <v>5000</v>
      </c>
      <c r="G123" s="166">
        <v>27500000</v>
      </c>
    </row>
    <row r="124" spans="1:7">
      <c r="A124" s="165" t="s">
        <v>2223</v>
      </c>
      <c r="B124" s="165"/>
      <c r="C124" s="165"/>
      <c r="D124" s="165"/>
      <c r="E124" s="165"/>
      <c r="F124" s="166">
        <v>30150</v>
      </c>
      <c r="G124" s="166">
        <v>291720000</v>
      </c>
    </row>
    <row r="125" spans="1:7">
      <c r="A125" s="165" t="s">
        <v>1047</v>
      </c>
      <c r="B125" s="165" t="s">
        <v>2063</v>
      </c>
      <c r="C125" s="165" t="s">
        <v>29</v>
      </c>
      <c r="D125" s="250">
        <v>43709</v>
      </c>
      <c r="E125" s="165">
        <v>12500</v>
      </c>
      <c r="F125" s="166">
        <v>5000</v>
      </c>
      <c r="G125" s="166">
        <v>62500000</v>
      </c>
    </row>
    <row r="126" spans="1:7">
      <c r="B126" s="165" t="s">
        <v>2136</v>
      </c>
      <c r="C126" s="165" t="s">
        <v>29</v>
      </c>
      <c r="D126" s="250">
        <v>43709</v>
      </c>
      <c r="E126" s="165">
        <v>13000</v>
      </c>
      <c r="F126" s="166">
        <v>10000</v>
      </c>
      <c r="G126" s="166">
        <v>130000000</v>
      </c>
    </row>
    <row r="127" spans="1:7">
      <c r="B127" s="165" t="s">
        <v>2023</v>
      </c>
      <c r="C127" s="165" t="s">
        <v>29</v>
      </c>
      <c r="D127" s="250">
        <v>43709</v>
      </c>
      <c r="E127" s="165">
        <v>11000</v>
      </c>
      <c r="F127" s="166">
        <v>5000</v>
      </c>
      <c r="G127" s="166">
        <v>55000000</v>
      </c>
    </row>
    <row r="128" spans="1:7">
      <c r="B128" s="165" t="s">
        <v>2177</v>
      </c>
      <c r="C128" s="165" t="s">
        <v>29</v>
      </c>
      <c r="D128" s="250">
        <v>43709</v>
      </c>
      <c r="E128" s="165">
        <v>6100</v>
      </c>
      <c r="F128" s="166">
        <v>5000</v>
      </c>
      <c r="G128" s="166">
        <v>30500000</v>
      </c>
    </row>
    <row r="129" spans="1:7">
      <c r="A129" s="165" t="s">
        <v>2224</v>
      </c>
      <c r="B129" s="165"/>
      <c r="C129" s="165"/>
      <c r="D129" s="165"/>
      <c r="E129" s="165"/>
      <c r="F129" s="166">
        <v>25000</v>
      </c>
      <c r="G129" s="166">
        <v>278000000</v>
      </c>
    </row>
    <row r="130" spans="1:7">
      <c r="A130" s="165" t="s">
        <v>1798</v>
      </c>
      <c r="B130" s="165" t="s">
        <v>2060</v>
      </c>
      <c r="C130" s="165" t="s">
        <v>29</v>
      </c>
      <c r="D130" s="250">
        <v>43709</v>
      </c>
      <c r="E130" s="165">
        <v>8000</v>
      </c>
      <c r="F130" s="166">
        <v>5100</v>
      </c>
      <c r="G130" s="166">
        <v>40800000</v>
      </c>
    </row>
    <row r="131" spans="1:7">
      <c r="B131" s="165" t="s">
        <v>2011</v>
      </c>
      <c r="C131" s="165" t="s">
        <v>29</v>
      </c>
      <c r="D131" s="250">
        <v>43709</v>
      </c>
      <c r="E131" s="165">
        <v>10600</v>
      </c>
      <c r="F131" s="166">
        <v>7000</v>
      </c>
      <c r="G131" s="166">
        <v>74200000</v>
      </c>
    </row>
    <row r="132" spans="1:7">
      <c r="B132" s="165" t="s">
        <v>2064</v>
      </c>
      <c r="C132" s="165" t="s">
        <v>29</v>
      </c>
      <c r="D132" s="250">
        <v>43709</v>
      </c>
      <c r="E132" s="165">
        <v>15200</v>
      </c>
      <c r="F132" s="166">
        <v>10000</v>
      </c>
      <c r="G132" s="166">
        <v>152000000</v>
      </c>
    </row>
    <row r="133" spans="1:7">
      <c r="B133" s="165" t="s">
        <v>2015</v>
      </c>
      <c r="C133" s="165" t="s">
        <v>29</v>
      </c>
      <c r="D133" s="250">
        <v>43709</v>
      </c>
      <c r="E133" s="165">
        <v>10700</v>
      </c>
      <c r="F133" s="166">
        <v>8000</v>
      </c>
      <c r="G133" s="166">
        <v>85600000</v>
      </c>
    </row>
    <row r="134" spans="1:7">
      <c r="B134" s="165" t="s">
        <v>2143</v>
      </c>
      <c r="C134" s="165" t="s">
        <v>29</v>
      </c>
      <c r="D134" s="250">
        <v>43709</v>
      </c>
      <c r="E134" s="165">
        <v>12500</v>
      </c>
      <c r="F134" s="166">
        <v>5000</v>
      </c>
      <c r="G134" s="166">
        <v>62500000</v>
      </c>
    </row>
    <row r="135" spans="1:7">
      <c r="B135" s="165" t="s">
        <v>2146</v>
      </c>
      <c r="C135" s="165" t="s">
        <v>29</v>
      </c>
      <c r="D135" s="250">
        <v>43709</v>
      </c>
      <c r="E135" s="165">
        <v>15300</v>
      </c>
      <c r="F135" s="166">
        <v>10050</v>
      </c>
      <c r="G135" s="166">
        <v>153765000</v>
      </c>
    </row>
    <row r="136" spans="1:7">
      <c r="A136" s="165" t="s">
        <v>2227</v>
      </c>
      <c r="B136" s="165"/>
      <c r="C136" s="165"/>
      <c r="D136" s="165"/>
      <c r="E136" s="165"/>
      <c r="F136" s="166">
        <v>45150</v>
      </c>
      <c r="G136" s="166">
        <v>568865000</v>
      </c>
    </row>
    <row r="137" spans="1:7">
      <c r="A137" s="165" t="s">
        <v>710</v>
      </c>
      <c r="B137" s="165" t="s">
        <v>2042</v>
      </c>
      <c r="C137" s="165" t="s">
        <v>29</v>
      </c>
      <c r="D137" s="250">
        <v>43709</v>
      </c>
      <c r="E137" s="165">
        <v>10800</v>
      </c>
      <c r="F137" s="166">
        <v>10000</v>
      </c>
      <c r="G137" s="166">
        <v>108000000</v>
      </c>
    </row>
    <row r="138" spans="1:7">
      <c r="B138" s="165" t="s">
        <v>2060</v>
      </c>
      <c r="C138" s="165" t="s">
        <v>29</v>
      </c>
      <c r="D138" s="250">
        <v>43709</v>
      </c>
      <c r="E138" s="165">
        <v>7500</v>
      </c>
      <c r="F138" s="166">
        <v>10050</v>
      </c>
      <c r="G138" s="166">
        <v>75375000</v>
      </c>
    </row>
    <row r="139" spans="1:7">
      <c r="B139" s="165" t="s">
        <v>2011</v>
      </c>
      <c r="C139" s="165" t="s">
        <v>29</v>
      </c>
      <c r="D139" s="250">
        <v>43709</v>
      </c>
      <c r="E139" s="165">
        <v>10500</v>
      </c>
      <c r="F139" s="166">
        <v>10000</v>
      </c>
      <c r="G139" s="166">
        <v>105000000</v>
      </c>
    </row>
    <row r="140" spans="1:7">
      <c r="B140" s="165" t="s">
        <v>2015</v>
      </c>
      <c r="C140" s="165" t="s">
        <v>29</v>
      </c>
      <c r="D140" s="250">
        <v>43709</v>
      </c>
      <c r="E140" s="165">
        <v>10500</v>
      </c>
      <c r="F140" s="166">
        <v>20000</v>
      </c>
      <c r="G140" s="166">
        <v>210000000</v>
      </c>
    </row>
    <row r="141" spans="1:7">
      <c r="A141" s="165" t="s">
        <v>2228</v>
      </c>
      <c r="B141" s="165"/>
      <c r="C141" s="165"/>
      <c r="D141" s="165"/>
      <c r="E141" s="165"/>
      <c r="F141" s="166">
        <v>50050</v>
      </c>
      <c r="G141" s="166">
        <v>498375000</v>
      </c>
    </row>
    <row r="142" spans="1:7">
      <c r="A142" s="165" t="s">
        <v>162</v>
      </c>
      <c r="B142" s="165" t="s">
        <v>2060</v>
      </c>
      <c r="C142" s="165" t="s">
        <v>29</v>
      </c>
      <c r="D142" s="250">
        <v>43709</v>
      </c>
      <c r="E142" s="165">
        <v>7200</v>
      </c>
      <c r="F142" s="166">
        <v>20100</v>
      </c>
      <c r="G142" s="166">
        <v>144720000</v>
      </c>
    </row>
    <row r="143" spans="1:7">
      <c r="B143" s="165" t="s">
        <v>2011</v>
      </c>
      <c r="C143" s="165" t="s">
        <v>29</v>
      </c>
      <c r="D143" s="250">
        <v>43709</v>
      </c>
      <c r="E143" s="165">
        <v>10500</v>
      </c>
      <c r="F143" s="166">
        <v>3000</v>
      </c>
      <c r="G143" s="166">
        <v>31500000</v>
      </c>
    </row>
    <row r="144" spans="1:7">
      <c r="B144" s="165" t="s">
        <v>2015</v>
      </c>
      <c r="C144" s="165" t="s">
        <v>29</v>
      </c>
      <c r="D144" s="250">
        <v>43709</v>
      </c>
      <c r="E144" s="165">
        <v>10500</v>
      </c>
      <c r="F144" s="166">
        <v>10000</v>
      </c>
      <c r="G144" s="166">
        <v>105000000</v>
      </c>
    </row>
    <row r="145" spans="1:7">
      <c r="B145" s="165" t="s">
        <v>2019</v>
      </c>
      <c r="C145" s="165" t="s">
        <v>29</v>
      </c>
      <c r="D145" s="250">
        <v>43709</v>
      </c>
      <c r="E145" s="165">
        <v>9100</v>
      </c>
      <c r="F145" s="166">
        <v>5100</v>
      </c>
      <c r="G145" s="166">
        <v>46410000</v>
      </c>
    </row>
    <row r="146" spans="1:7">
      <c r="A146" s="165" t="s">
        <v>2229</v>
      </c>
      <c r="B146" s="165"/>
      <c r="C146" s="165"/>
      <c r="D146" s="165"/>
      <c r="E146" s="165"/>
      <c r="F146" s="166">
        <v>38200</v>
      </c>
      <c r="G146" s="166">
        <v>327630000</v>
      </c>
    </row>
    <row r="147" spans="1:7">
      <c r="A147" s="165" t="s">
        <v>994</v>
      </c>
      <c r="B147" s="165" t="s">
        <v>2060</v>
      </c>
      <c r="C147" s="165" t="s">
        <v>29</v>
      </c>
      <c r="D147" s="250">
        <v>43709</v>
      </c>
      <c r="E147" s="165">
        <v>8000</v>
      </c>
      <c r="F147" s="166">
        <v>60000</v>
      </c>
      <c r="G147" s="166">
        <v>480000000</v>
      </c>
    </row>
    <row r="148" spans="1:7">
      <c r="B148" s="165" t="s">
        <v>2015</v>
      </c>
      <c r="C148" s="165" t="s">
        <v>29</v>
      </c>
      <c r="D148" s="250">
        <v>43709</v>
      </c>
      <c r="E148" s="165">
        <v>10500</v>
      </c>
      <c r="F148" s="166">
        <v>30000</v>
      </c>
      <c r="G148" s="166">
        <v>315000000</v>
      </c>
    </row>
    <row r="149" spans="1:7">
      <c r="A149" s="165" t="s">
        <v>2230</v>
      </c>
      <c r="B149" s="165"/>
      <c r="C149" s="165"/>
      <c r="D149" s="165"/>
      <c r="E149" s="165"/>
      <c r="F149" s="166">
        <v>90000</v>
      </c>
      <c r="G149" s="166">
        <v>795000000</v>
      </c>
    </row>
    <row r="150" spans="1:7">
      <c r="A150" s="165" t="s">
        <v>285</v>
      </c>
      <c r="B150" s="165" t="s">
        <v>2060</v>
      </c>
      <c r="C150" s="165" t="s">
        <v>29</v>
      </c>
      <c r="D150" s="250">
        <v>43709</v>
      </c>
      <c r="E150" s="165">
        <v>7200</v>
      </c>
      <c r="F150" s="166">
        <v>31200</v>
      </c>
      <c r="G150" s="166">
        <v>224640000</v>
      </c>
    </row>
    <row r="151" spans="1:7">
      <c r="E151" s="165">
        <v>7500</v>
      </c>
      <c r="F151" s="166">
        <v>6000</v>
      </c>
      <c r="G151" s="166">
        <v>45000000</v>
      </c>
    </row>
    <row r="152" spans="1:7">
      <c r="B152" s="165" t="s">
        <v>2016</v>
      </c>
      <c r="C152" s="165" t="s">
        <v>29</v>
      </c>
      <c r="D152" s="250">
        <v>43709</v>
      </c>
      <c r="E152" s="165">
        <v>13500</v>
      </c>
      <c r="F152" s="166">
        <v>10000</v>
      </c>
      <c r="G152" s="166">
        <v>135000000</v>
      </c>
    </row>
    <row r="153" spans="1:7">
      <c r="B153" s="165" t="s">
        <v>2015</v>
      </c>
      <c r="C153" s="165" t="s">
        <v>29</v>
      </c>
      <c r="D153" s="250">
        <v>43709</v>
      </c>
      <c r="E153" s="165">
        <v>10500</v>
      </c>
      <c r="F153" s="166">
        <v>20000</v>
      </c>
      <c r="G153" s="166">
        <v>210000000</v>
      </c>
    </row>
    <row r="154" spans="1:7">
      <c r="A154" s="165" t="s">
        <v>2231</v>
      </c>
      <c r="B154" s="165"/>
      <c r="C154" s="165"/>
      <c r="D154" s="165"/>
      <c r="E154" s="165"/>
      <c r="F154" s="166">
        <v>67200</v>
      </c>
      <c r="G154" s="166">
        <v>614640000</v>
      </c>
    </row>
    <row r="155" spans="1:7">
      <c r="A155" s="165" t="s">
        <v>786</v>
      </c>
      <c r="B155" s="165" t="s">
        <v>2011</v>
      </c>
      <c r="C155" s="165" t="s">
        <v>29</v>
      </c>
      <c r="D155" s="250">
        <v>43709</v>
      </c>
      <c r="E155" s="165">
        <v>0</v>
      </c>
      <c r="F155" s="166">
        <v>1625</v>
      </c>
      <c r="G155" s="166">
        <v>0</v>
      </c>
    </row>
    <row r="156" spans="1:7">
      <c r="B156" s="165" t="s">
        <v>2063</v>
      </c>
      <c r="C156" s="165" t="s">
        <v>29</v>
      </c>
      <c r="D156" s="250">
        <v>43709</v>
      </c>
      <c r="E156" s="165">
        <v>12500</v>
      </c>
      <c r="F156" s="166">
        <v>6000</v>
      </c>
      <c r="G156" s="166">
        <v>75000000</v>
      </c>
    </row>
    <row r="157" spans="1:7">
      <c r="B157" s="165" t="s">
        <v>2136</v>
      </c>
      <c r="C157" s="165" t="s">
        <v>29</v>
      </c>
      <c r="D157" s="250">
        <v>43709</v>
      </c>
      <c r="E157" s="165">
        <v>13000</v>
      </c>
      <c r="F157" s="166">
        <v>6000</v>
      </c>
      <c r="G157" s="166">
        <v>78000000</v>
      </c>
    </row>
    <row r="158" spans="1:7">
      <c r="A158" s="165" t="s">
        <v>2234</v>
      </c>
      <c r="B158" s="165"/>
      <c r="C158" s="165"/>
      <c r="D158" s="165"/>
      <c r="E158" s="165"/>
      <c r="F158" s="166">
        <v>13625</v>
      </c>
      <c r="G158" s="166">
        <v>153000000</v>
      </c>
    </row>
    <row r="159" spans="1:7">
      <c r="A159" s="165" t="s">
        <v>980</v>
      </c>
      <c r="B159" s="165" t="s">
        <v>2011</v>
      </c>
      <c r="C159" s="165" t="s">
        <v>29</v>
      </c>
      <c r="D159" s="250">
        <v>43709</v>
      </c>
      <c r="E159" s="165">
        <v>10500</v>
      </c>
      <c r="F159" s="166">
        <v>6000</v>
      </c>
      <c r="G159" s="166">
        <v>63000000</v>
      </c>
    </row>
    <row r="160" spans="1:7">
      <c r="B160" s="165" t="s">
        <v>1872</v>
      </c>
      <c r="C160" s="165" t="s">
        <v>29</v>
      </c>
      <c r="D160" s="250">
        <v>43709</v>
      </c>
      <c r="E160" s="165">
        <v>7200</v>
      </c>
      <c r="F160" s="166">
        <v>4050</v>
      </c>
      <c r="G160" s="166">
        <v>29160000</v>
      </c>
    </row>
    <row r="161" spans="1:7">
      <c r="B161" s="165" t="s">
        <v>2144</v>
      </c>
      <c r="C161" s="165" t="s">
        <v>29</v>
      </c>
      <c r="D161" s="250">
        <v>43709</v>
      </c>
      <c r="E161" s="165">
        <v>12500</v>
      </c>
      <c r="F161" s="166">
        <v>6000</v>
      </c>
      <c r="G161" s="166">
        <v>75000000</v>
      </c>
    </row>
    <row r="162" spans="1:7">
      <c r="B162" s="165" t="s">
        <v>2190</v>
      </c>
      <c r="C162" s="165" t="s">
        <v>29</v>
      </c>
      <c r="D162" s="250">
        <v>43709</v>
      </c>
      <c r="E162" s="165">
        <v>5600</v>
      </c>
      <c r="F162" s="166">
        <v>5000</v>
      </c>
      <c r="G162" s="166">
        <v>28000000</v>
      </c>
    </row>
    <row r="163" spans="1:7">
      <c r="A163" s="165" t="s">
        <v>2235</v>
      </c>
      <c r="B163" s="165"/>
      <c r="C163" s="165"/>
      <c r="D163" s="165"/>
      <c r="E163" s="165"/>
      <c r="F163" s="166">
        <v>21050</v>
      </c>
      <c r="G163" s="166">
        <v>195160000</v>
      </c>
    </row>
    <row r="164" spans="1:7">
      <c r="A164" s="165" t="s">
        <v>282</v>
      </c>
      <c r="B164" s="165" t="s">
        <v>2044</v>
      </c>
      <c r="C164" s="165" t="s">
        <v>29</v>
      </c>
      <c r="D164" s="250">
        <v>43709</v>
      </c>
      <c r="E164" s="165">
        <v>11600</v>
      </c>
      <c r="F164" s="166">
        <v>5015</v>
      </c>
      <c r="G164" s="166">
        <v>58174000</v>
      </c>
    </row>
    <row r="165" spans="1:7">
      <c r="B165" s="165" t="s">
        <v>2011</v>
      </c>
      <c r="C165" s="165" t="s">
        <v>29</v>
      </c>
      <c r="D165" s="250">
        <v>43709</v>
      </c>
      <c r="E165" s="165">
        <v>10500</v>
      </c>
      <c r="F165" s="166">
        <v>5000</v>
      </c>
      <c r="G165" s="166">
        <v>52500000</v>
      </c>
    </row>
    <row r="166" spans="1:7">
      <c r="B166" s="165" t="s">
        <v>2063</v>
      </c>
      <c r="C166" s="165" t="s">
        <v>29</v>
      </c>
      <c r="D166" s="250">
        <v>43709</v>
      </c>
      <c r="E166" s="165">
        <v>12500</v>
      </c>
      <c r="F166" s="166">
        <v>10000</v>
      </c>
      <c r="G166" s="166">
        <v>125000000</v>
      </c>
    </row>
    <row r="167" spans="1:7">
      <c r="B167" s="165" t="s">
        <v>2069</v>
      </c>
      <c r="C167" s="165" t="s">
        <v>29</v>
      </c>
      <c r="D167" s="250">
        <v>43709</v>
      </c>
      <c r="E167" s="165">
        <v>14200</v>
      </c>
      <c r="F167" s="166">
        <v>5000</v>
      </c>
      <c r="G167" s="166">
        <v>71000000</v>
      </c>
    </row>
    <row r="168" spans="1:7">
      <c r="B168" s="165" t="s">
        <v>2137</v>
      </c>
      <c r="C168" s="165" t="s">
        <v>29</v>
      </c>
      <c r="D168" s="250">
        <v>43709</v>
      </c>
      <c r="E168" s="165">
        <v>14200</v>
      </c>
      <c r="F168" s="166">
        <v>5000</v>
      </c>
      <c r="G168" s="166">
        <v>71000000</v>
      </c>
    </row>
    <row r="169" spans="1:7">
      <c r="A169" s="165" t="s">
        <v>2237</v>
      </c>
      <c r="B169" s="165"/>
      <c r="C169" s="165"/>
      <c r="D169" s="165"/>
      <c r="E169" s="165"/>
      <c r="F169" s="166">
        <v>30015</v>
      </c>
      <c r="G169" s="166">
        <v>377674000</v>
      </c>
    </row>
    <row r="170" spans="1:7">
      <c r="A170" s="165" t="s">
        <v>245</v>
      </c>
      <c r="B170" s="165" t="s">
        <v>2011</v>
      </c>
      <c r="C170" s="165" t="s">
        <v>29</v>
      </c>
      <c r="D170" s="250">
        <v>43709</v>
      </c>
      <c r="E170" s="165">
        <v>10600</v>
      </c>
      <c r="F170" s="166">
        <v>5000</v>
      </c>
      <c r="G170" s="166">
        <v>53000000</v>
      </c>
    </row>
    <row r="171" spans="1:7">
      <c r="B171" s="165" t="s">
        <v>2015</v>
      </c>
      <c r="C171" s="165" t="s">
        <v>29</v>
      </c>
      <c r="D171" s="250">
        <v>43709</v>
      </c>
      <c r="E171" s="165">
        <v>10700</v>
      </c>
      <c r="F171" s="166">
        <v>10000</v>
      </c>
      <c r="G171" s="166">
        <v>107000000</v>
      </c>
    </row>
    <row r="172" spans="1:7">
      <c r="A172" s="165" t="s">
        <v>2239</v>
      </c>
      <c r="B172" s="165"/>
      <c r="C172" s="165"/>
      <c r="D172" s="165"/>
      <c r="E172" s="165"/>
      <c r="F172" s="166">
        <v>15000</v>
      </c>
      <c r="G172" s="166">
        <v>160000000</v>
      </c>
    </row>
    <row r="173" spans="1:7">
      <c r="A173" s="165" t="s">
        <v>1237</v>
      </c>
      <c r="B173" s="165" t="s">
        <v>2042</v>
      </c>
      <c r="C173" s="165" t="s">
        <v>29</v>
      </c>
      <c r="D173" s="250">
        <v>43709</v>
      </c>
      <c r="E173" s="165">
        <v>11000</v>
      </c>
      <c r="F173" s="166">
        <v>6000</v>
      </c>
      <c r="G173" s="166">
        <v>66000000</v>
      </c>
    </row>
    <row r="174" spans="1:7">
      <c r="B174" s="165" t="s">
        <v>2011</v>
      </c>
      <c r="C174" s="165" t="s">
        <v>29</v>
      </c>
      <c r="D174" s="250">
        <v>43709</v>
      </c>
      <c r="E174" s="165">
        <v>10600</v>
      </c>
      <c r="F174" s="166">
        <v>10000</v>
      </c>
      <c r="G174" s="166">
        <v>106000000</v>
      </c>
    </row>
    <row r="175" spans="1:7">
      <c r="B175" s="165" t="s">
        <v>2101</v>
      </c>
      <c r="C175" s="165" t="s">
        <v>29</v>
      </c>
      <c r="D175" s="250">
        <v>43709</v>
      </c>
      <c r="E175" s="165">
        <v>8500</v>
      </c>
      <c r="F175" s="166">
        <v>5100</v>
      </c>
      <c r="G175" s="166">
        <v>43350000</v>
      </c>
    </row>
    <row r="176" spans="1:7">
      <c r="B176" s="165" t="s">
        <v>2106</v>
      </c>
      <c r="C176" s="165" t="s">
        <v>29</v>
      </c>
      <c r="D176" s="250">
        <v>43709</v>
      </c>
      <c r="E176" s="165">
        <v>15400</v>
      </c>
      <c r="F176" s="166">
        <v>10000</v>
      </c>
      <c r="G176" s="166">
        <v>154000000</v>
      </c>
    </row>
    <row r="177" spans="1:7">
      <c r="B177" s="165" t="s">
        <v>2015</v>
      </c>
      <c r="C177" s="165" t="s">
        <v>29</v>
      </c>
      <c r="D177" s="250">
        <v>43709</v>
      </c>
      <c r="E177" s="165">
        <v>10700</v>
      </c>
      <c r="F177" s="166">
        <v>10000</v>
      </c>
      <c r="G177" s="166">
        <v>107000000</v>
      </c>
    </row>
    <row r="178" spans="1:7">
      <c r="A178" s="165" t="s">
        <v>2240</v>
      </c>
      <c r="B178" s="165"/>
      <c r="C178" s="165"/>
      <c r="D178" s="165"/>
      <c r="E178" s="165"/>
      <c r="F178" s="166">
        <v>41100</v>
      </c>
      <c r="G178" s="166">
        <v>476350000</v>
      </c>
    </row>
    <row r="179" spans="1:7">
      <c r="A179" s="165" t="s">
        <v>1619</v>
      </c>
      <c r="B179" s="165" t="s">
        <v>2011</v>
      </c>
      <c r="C179" s="165" t="s">
        <v>29</v>
      </c>
      <c r="D179" s="250">
        <v>43709</v>
      </c>
      <c r="E179" s="165">
        <v>12000</v>
      </c>
      <c r="F179" s="166">
        <v>5000</v>
      </c>
      <c r="G179" s="166">
        <v>60000000</v>
      </c>
    </row>
    <row r="180" spans="1:7">
      <c r="B180" s="165" t="s">
        <v>2015</v>
      </c>
      <c r="C180" s="165" t="s">
        <v>29</v>
      </c>
      <c r="D180" s="250">
        <v>43709</v>
      </c>
      <c r="E180" s="165">
        <v>12500</v>
      </c>
      <c r="F180" s="166">
        <v>6000</v>
      </c>
      <c r="G180" s="166">
        <v>75000000</v>
      </c>
    </row>
    <row r="181" spans="1:7">
      <c r="B181" s="165" t="s">
        <v>2023</v>
      </c>
      <c r="C181" s="165" t="s">
        <v>29</v>
      </c>
      <c r="D181" s="250">
        <v>43709</v>
      </c>
      <c r="E181" s="165">
        <v>11000</v>
      </c>
      <c r="F181" s="166">
        <v>6000</v>
      </c>
      <c r="G181" s="166">
        <v>66000000</v>
      </c>
    </row>
    <row r="182" spans="1:7">
      <c r="A182" s="165" t="s">
        <v>2241</v>
      </c>
      <c r="B182" s="165"/>
      <c r="C182" s="165"/>
      <c r="D182" s="165"/>
      <c r="E182" s="165"/>
      <c r="F182" s="166">
        <v>17000</v>
      </c>
      <c r="G182" s="166">
        <v>201000000</v>
      </c>
    </row>
    <row r="183" spans="1:7">
      <c r="A183" s="165" t="s">
        <v>148</v>
      </c>
      <c r="B183" s="165" t="s">
        <v>2015</v>
      </c>
      <c r="C183" s="165" t="s">
        <v>29</v>
      </c>
      <c r="D183" s="250">
        <v>43709</v>
      </c>
      <c r="E183" s="165">
        <v>10500</v>
      </c>
      <c r="F183" s="166">
        <v>2000</v>
      </c>
      <c r="G183" s="166">
        <v>21000000</v>
      </c>
    </row>
    <row r="184" spans="1:7">
      <c r="B184" s="165" t="s">
        <v>2149</v>
      </c>
      <c r="C184" s="165" t="s">
        <v>29</v>
      </c>
      <c r="D184" s="250">
        <v>43709</v>
      </c>
      <c r="E184" s="165">
        <v>10900</v>
      </c>
      <c r="F184" s="166">
        <v>3000</v>
      </c>
      <c r="G184" s="166">
        <v>32700000</v>
      </c>
    </row>
    <row r="185" spans="1:7">
      <c r="A185" s="165" t="s">
        <v>2242</v>
      </c>
      <c r="B185" s="165"/>
      <c r="C185" s="165"/>
      <c r="D185" s="165"/>
      <c r="E185" s="165"/>
      <c r="F185" s="166">
        <v>5000</v>
      </c>
      <c r="G185" s="166">
        <v>53700000</v>
      </c>
    </row>
    <row r="186" spans="1:7">
      <c r="A186" s="165" t="s">
        <v>388</v>
      </c>
      <c r="B186" s="165" t="s">
        <v>2011</v>
      </c>
      <c r="C186" s="165" t="s">
        <v>29</v>
      </c>
      <c r="D186" s="250">
        <v>43709</v>
      </c>
      <c r="E186" s="165">
        <v>10500</v>
      </c>
      <c r="F186" s="166">
        <v>8000</v>
      </c>
      <c r="G186" s="166">
        <v>84000000</v>
      </c>
    </row>
    <row r="187" spans="1:7">
      <c r="E187" s="165">
        <v>10600</v>
      </c>
      <c r="F187" s="166">
        <v>5000</v>
      </c>
      <c r="G187" s="166">
        <v>53000000</v>
      </c>
    </row>
    <row r="188" spans="1:7">
      <c r="B188" s="165" t="s">
        <v>2117</v>
      </c>
      <c r="C188" s="165" t="s">
        <v>29</v>
      </c>
      <c r="D188" s="250">
        <v>43709</v>
      </c>
      <c r="E188" s="165">
        <v>7200</v>
      </c>
      <c r="F188" s="166">
        <v>5100</v>
      </c>
      <c r="G188" s="166">
        <v>36720000</v>
      </c>
    </row>
    <row r="189" spans="1:7">
      <c r="B189" s="165" t="s">
        <v>2015</v>
      </c>
      <c r="C189" s="165" t="s">
        <v>29</v>
      </c>
      <c r="D189" s="250">
        <v>43709</v>
      </c>
      <c r="E189" s="165">
        <v>10700</v>
      </c>
      <c r="F189" s="166">
        <v>5000</v>
      </c>
      <c r="G189" s="166">
        <v>53500000</v>
      </c>
    </row>
    <row r="190" spans="1:7">
      <c r="B190" s="165" t="s">
        <v>2144</v>
      </c>
      <c r="C190" s="165" t="s">
        <v>29</v>
      </c>
      <c r="D190" s="250">
        <v>43709</v>
      </c>
      <c r="E190" s="165">
        <v>12500</v>
      </c>
      <c r="F190" s="166">
        <v>12000</v>
      </c>
      <c r="G190" s="166">
        <v>150000000</v>
      </c>
    </row>
    <row r="191" spans="1:7">
      <c r="A191" s="165" t="s">
        <v>2243</v>
      </c>
      <c r="B191" s="165"/>
      <c r="C191" s="165"/>
      <c r="D191" s="165"/>
      <c r="E191" s="165"/>
      <c r="F191" s="166">
        <v>35100</v>
      </c>
      <c r="G191" s="166">
        <v>377220000</v>
      </c>
    </row>
    <row r="192" spans="1:7">
      <c r="A192" s="165" t="s">
        <v>1167</v>
      </c>
      <c r="B192" s="165" t="s">
        <v>2011</v>
      </c>
      <c r="C192" s="165" t="s">
        <v>29</v>
      </c>
      <c r="D192" s="250">
        <v>43709</v>
      </c>
      <c r="E192" s="165">
        <v>10600</v>
      </c>
      <c r="F192" s="166">
        <v>20000</v>
      </c>
      <c r="G192" s="166">
        <v>212000000</v>
      </c>
    </row>
    <row r="193" spans="1:7">
      <c r="B193" s="165" t="s">
        <v>2087</v>
      </c>
      <c r="C193" s="165" t="s">
        <v>29</v>
      </c>
      <c r="D193" s="250">
        <v>43709</v>
      </c>
      <c r="E193" s="165">
        <v>10100</v>
      </c>
      <c r="F193" s="166">
        <v>20100</v>
      </c>
      <c r="G193" s="166">
        <v>203010000</v>
      </c>
    </row>
    <row r="194" spans="1:7">
      <c r="A194" s="165" t="s">
        <v>2244</v>
      </c>
      <c r="B194" s="165"/>
      <c r="C194" s="165"/>
      <c r="D194" s="165"/>
      <c r="E194" s="165"/>
      <c r="F194" s="166">
        <v>40100</v>
      </c>
      <c r="G194" s="166">
        <v>415010000</v>
      </c>
    </row>
    <row r="195" spans="1:7">
      <c r="A195" s="165" t="s">
        <v>253</v>
      </c>
      <c r="B195" s="165" t="s">
        <v>2060</v>
      </c>
      <c r="C195" s="165" t="s">
        <v>29</v>
      </c>
      <c r="D195" s="250">
        <v>43709</v>
      </c>
      <c r="E195" s="165">
        <v>8000</v>
      </c>
      <c r="F195" s="166">
        <v>9000</v>
      </c>
      <c r="G195" s="166">
        <v>72000000</v>
      </c>
    </row>
    <row r="196" spans="1:7">
      <c r="B196" s="165" t="s">
        <v>2011</v>
      </c>
      <c r="C196" s="165" t="s">
        <v>29</v>
      </c>
      <c r="D196" s="250">
        <v>43709</v>
      </c>
      <c r="E196" s="165">
        <v>10500</v>
      </c>
      <c r="F196" s="166">
        <v>16000</v>
      </c>
      <c r="G196" s="166">
        <v>168000000</v>
      </c>
    </row>
    <row r="197" spans="1:7">
      <c r="B197" s="165" t="s">
        <v>2063</v>
      </c>
      <c r="C197" s="165" t="s">
        <v>29</v>
      </c>
      <c r="D197" s="250">
        <v>43709</v>
      </c>
      <c r="E197" s="165">
        <v>12500</v>
      </c>
      <c r="F197" s="166">
        <v>5000</v>
      </c>
      <c r="G197" s="166">
        <v>62500000</v>
      </c>
    </row>
    <row r="198" spans="1:7">
      <c r="B198" s="165" t="s">
        <v>2016</v>
      </c>
      <c r="C198" s="165" t="s">
        <v>29</v>
      </c>
      <c r="D198" s="250">
        <v>43709</v>
      </c>
      <c r="E198" s="165">
        <v>13500</v>
      </c>
      <c r="F198" s="166">
        <v>5000</v>
      </c>
      <c r="G198" s="166">
        <v>67500000</v>
      </c>
    </row>
    <row r="199" spans="1:7">
      <c r="B199" s="165" t="s">
        <v>2106</v>
      </c>
      <c r="C199" s="165" t="s">
        <v>29</v>
      </c>
      <c r="D199" s="250">
        <v>43709</v>
      </c>
      <c r="E199" s="165">
        <v>15200</v>
      </c>
      <c r="F199" s="166">
        <v>3000</v>
      </c>
      <c r="G199" s="166">
        <v>45600000</v>
      </c>
    </row>
    <row r="200" spans="1:7">
      <c r="B200" s="165" t="s">
        <v>2107</v>
      </c>
      <c r="C200" s="165" t="s">
        <v>29</v>
      </c>
      <c r="D200" s="250">
        <v>43709</v>
      </c>
      <c r="E200" s="165">
        <v>16000</v>
      </c>
      <c r="F200" s="166">
        <v>4050</v>
      </c>
      <c r="G200" s="166">
        <v>64800000</v>
      </c>
    </row>
    <row r="201" spans="1:7">
      <c r="B201" s="165" t="s">
        <v>2137</v>
      </c>
      <c r="C201" s="165" t="s">
        <v>29</v>
      </c>
      <c r="D201" s="250">
        <v>43709</v>
      </c>
      <c r="E201" s="165">
        <v>14600</v>
      </c>
      <c r="F201" s="166">
        <v>3000</v>
      </c>
      <c r="G201" s="166">
        <v>43800000</v>
      </c>
    </row>
    <row r="202" spans="1:7">
      <c r="B202" s="165" t="s">
        <v>1872</v>
      </c>
      <c r="C202" s="165" t="s">
        <v>29</v>
      </c>
      <c r="D202" s="250">
        <v>43709</v>
      </c>
      <c r="E202" s="165">
        <v>7700</v>
      </c>
      <c r="F202" s="166">
        <v>6000</v>
      </c>
      <c r="G202" s="166">
        <v>46200000</v>
      </c>
    </row>
    <row r="203" spans="1:7">
      <c r="B203" s="165" t="s">
        <v>2015</v>
      </c>
      <c r="C203" s="165" t="s">
        <v>29</v>
      </c>
      <c r="D203" s="250">
        <v>43709</v>
      </c>
      <c r="E203" s="165">
        <v>10500</v>
      </c>
      <c r="F203" s="166">
        <v>9000</v>
      </c>
      <c r="G203" s="166">
        <v>94500000</v>
      </c>
    </row>
    <row r="204" spans="1:7">
      <c r="E204" s="165">
        <v>10700</v>
      </c>
      <c r="F204" s="166">
        <v>4000</v>
      </c>
      <c r="G204" s="166">
        <v>42800000</v>
      </c>
    </row>
    <row r="205" spans="1:7">
      <c r="B205" s="165" t="s">
        <v>2144</v>
      </c>
      <c r="C205" s="165" t="s">
        <v>29</v>
      </c>
      <c r="D205" s="250">
        <v>43709</v>
      </c>
      <c r="E205" s="165">
        <v>12500</v>
      </c>
      <c r="F205" s="166">
        <v>5000</v>
      </c>
      <c r="G205" s="166">
        <v>62500000</v>
      </c>
    </row>
    <row r="206" spans="1:7">
      <c r="A206" s="165" t="s">
        <v>2245</v>
      </c>
      <c r="B206" s="165"/>
      <c r="C206" s="165"/>
      <c r="D206" s="165"/>
      <c r="E206" s="165"/>
      <c r="F206" s="166">
        <v>69050</v>
      </c>
      <c r="G206" s="166">
        <v>770200000</v>
      </c>
    </row>
    <row r="207" spans="1:7">
      <c r="A207" s="165" t="s">
        <v>1818</v>
      </c>
      <c r="B207" s="165" t="s">
        <v>2060</v>
      </c>
      <c r="C207" s="165" t="s">
        <v>29</v>
      </c>
      <c r="D207" s="250">
        <v>43709</v>
      </c>
      <c r="E207" s="165">
        <v>8000</v>
      </c>
      <c r="F207" s="166">
        <v>5100</v>
      </c>
      <c r="G207" s="166">
        <v>40800000</v>
      </c>
    </row>
    <row r="208" spans="1:7">
      <c r="B208" s="165" t="s">
        <v>2011</v>
      </c>
      <c r="C208" s="165" t="s">
        <v>29</v>
      </c>
      <c r="D208" s="250">
        <v>43709</v>
      </c>
      <c r="E208" s="165">
        <v>10600</v>
      </c>
      <c r="F208" s="166">
        <v>10000</v>
      </c>
      <c r="G208" s="166">
        <v>106000000</v>
      </c>
    </row>
    <row r="209" spans="1:7">
      <c r="B209" s="165" t="s">
        <v>2062</v>
      </c>
      <c r="C209" s="165" t="s">
        <v>29</v>
      </c>
      <c r="D209" s="250">
        <v>43709</v>
      </c>
      <c r="E209" s="165">
        <v>12000</v>
      </c>
      <c r="F209" s="166">
        <v>5000</v>
      </c>
      <c r="G209" s="166">
        <v>60000000</v>
      </c>
    </row>
    <row r="210" spans="1:7">
      <c r="A210" s="165" t="s">
        <v>2246</v>
      </c>
      <c r="B210" s="165"/>
      <c r="C210" s="165"/>
      <c r="D210" s="165"/>
      <c r="E210" s="165"/>
      <c r="F210" s="166">
        <v>20100</v>
      </c>
      <c r="G210" s="166">
        <v>206800000</v>
      </c>
    </row>
    <row r="211" spans="1:7">
      <c r="A211" s="165" t="s">
        <v>95</v>
      </c>
      <c r="B211" s="165" t="s">
        <v>2016</v>
      </c>
      <c r="C211" s="165" t="s">
        <v>29</v>
      </c>
      <c r="D211" s="250">
        <v>43709</v>
      </c>
      <c r="E211" s="165">
        <v>14600</v>
      </c>
      <c r="F211" s="166">
        <v>2000</v>
      </c>
      <c r="G211" s="166">
        <v>29200000</v>
      </c>
    </row>
    <row r="212" spans="1:7">
      <c r="B212" s="165" t="s">
        <v>2015</v>
      </c>
      <c r="C212" s="165" t="s">
        <v>29</v>
      </c>
      <c r="D212" s="250">
        <v>43709</v>
      </c>
      <c r="E212" s="165">
        <v>11700</v>
      </c>
      <c r="F212" s="166">
        <v>1000</v>
      </c>
      <c r="G212" s="166">
        <v>11700000</v>
      </c>
    </row>
    <row r="213" spans="1:7">
      <c r="B213" s="165" t="s">
        <v>2154</v>
      </c>
      <c r="C213" s="165" t="s">
        <v>29</v>
      </c>
      <c r="D213" s="250">
        <v>43709</v>
      </c>
      <c r="E213" s="165">
        <v>7700</v>
      </c>
      <c r="F213" s="166">
        <v>2100</v>
      </c>
      <c r="G213" s="166">
        <v>16170000</v>
      </c>
    </row>
    <row r="214" spans="1:7">
      <c r="A214" s="165" t="s">
        <v>2247</v>
      </c>
      <c r="B214" s="165"/>
      <c r="C214" s="165"/>
      <c r="D214" s="165"/>
      <c r="E214" s="165"/>
      <c r="F214" s="166">
        <v>5100</v>
      </c>
      <c r="G214" s="166">
        <v>57070000</v>
      </c>
    </row>
    <row r="215" spans="1:7">
      <c r="A215" s="165" t="s">
        <v>827</v>
      </c>
      <c r="B215" s="165" t="s">
        <v>2060</v>
      </c>
      <c r="C215" s="165" t="s">
        <v>29</v>
      </c>
      <c r="D215" s="250">
        <v>43709</v>
      </c>
      <c r="E215" s="165">
        <v>8000</v>
      </c>
      <c r="F215" s="166">
        <v>5100</v>
      </c>
      <c r="G215" s="166">
        <v>40800000</v>
      </c>
    </row>
    <row r="216" spans="1:7">
      <c r="B216" s="165" t="s">
        <v>2062</v>
      </c>
      <c r="C216" s="165" t="s">
        <v>29</v>
      </c>
      <c r="D216" s="250">
        <v>43709</v>
      </c>
      <c r="E216" s="165">
        <v>12000</v>
      </c>
      <c r="F216" s="166">
        <v>25000</v>
      </c>
      <c r="G216" s="166">
        <v>300000000</v>
      </c>
    </row>
    <row r="217" spans="1:7">
      <c r="B217" s="165" t="s">
        <v>2143</v>
      </c>
      <c r="C217" s="165" t="s">
        <v>29</v>
      </c>
      <c r="D217" s="250">
        <v>43709</v>
      </c>
      <c r="E217" s="165">
        <v>12500</v>
      </c>
      <c r="F217" s="166">
        <v>8000</v>
      </c>
      <c r="G217" s="166">
        <v>100000000</v>
      </c>
    </row>
    <row r="218" spans="1:7">
      <c r="B218" s="165" t="s">
        <v>2145</v>
      </c>
      <c r="C218" s="165" t="s">
        <v>29</v>
      </c>
      <c r="D218" s="250">
        <v>43709</v>
      </c>
      <c r="E218" s="165">
        <v>13000</v>
      </c>
      <c r="F218" s="166">
        <v>7000</v>
      </c>
      <c r="G218" s="166">
        <v>91000000</v>
      </c>
    </row>
    <row r="219" spans="1:7">
      <c r="A219" s="165" t="s">
        <v>2248</v>
      </c>
      <c r="B219" s="165"/>
      <c r="C219" s="165"/>
      <c r="D219" s="165"/>
      <c r="E219" s="165"/>
      <c r="F219" s="166">
        <v>45100</v>
      </c>
      <c r="G219" s="166">
        <v>531800000</v>
      </c>
    </row>
    <row r="220" spans="1:7">
      <c r="A220" s="165" t="s">
        <v>2004</v>
      </c>
      <c r="B220" s="165" t="s">
        <v>2017</v>
      </c>
      <c r="C220" s="165" t="s">
        <v>29</v>
      </c>
      <c r="D220" s="250">
        <v>43709</v>
      </c>
      <c r="E220" s="165">
        <v>16200</v>
      </c>
      <c r="F220" s="166">
        <v>400</v>
      </c>
      <c r="G220" s="166">
        <v>6480000</v>
      </c>
    </row>
    <row r="221" spans="1:7">
      <c r="B221" s="165" t="s">
        <v>2146</v>
      </c>
      <c r="C221" s="165" t="s">
        <v>29</v>
      </c>
      <c r="D221" s="250">
        <v>43709</v>
      </c>
      <c r="E221" s="165">
        <v>15300</v>
      </c>
      <c r="F221" s="166">
        <v>825</v>
      </c>
      <c r="G221" s="166">
        <v>12622500</v>
      </c>
    </row>
    <row r="222" spans="1:7">
      <c r="A222" s="165" t="s">
        <v>2355</v>
      </c>
      <c r="B222" s="165"/>
      <c r="C222" s="165"/>
      <c r="D222" s="165"/>
      <c r="E222" s="165"/>
      <c r="F222" s="166">
        <v>1225</v>
      </c>
      <c r="G222" s="166">
        <v>19102500</v>
      </c>
    </row>
    <row r="223" spans="1:7">
      <c r="A223" s="165" t="s">
        <v>1555</v>
      </c>
      <c r="B223" s="165" t="s">
        <v>2064</v>
      </c>
      <c r="C223" s="165" t="s">
        <v>29</v>
      </c>
      <c r="D223" s="250">
        <v>43709</v>
      </c>
      <c r="E223" s="165">
        <v>15200</v>
      </c>
      <c r="F223" s="166">
        <v>3280</v>
      </c>
      <c r="G223" s="166">
        <v>49856000</v>
      </c>
    </row>
    <row r="224" spans="1:7">
      <c r="B224" s="165" t="s">
        <v>2065</v>
      </c>
      <c r="C224" s="165" t="s">
        <v>29</v>
      </c>
      <c r="D224" s="250">
        <v>43709</v>
      </c>
      <c r="E224" s="165">
        <v>15200</v>
      </c>
      <c r="F224" s="166">
        <v>6375</v>
      </c>
      <c r="G224" s="166">
        <v>96900000</v>
      </c>
    </row>
    <row r="225" spans="1:7">
      <c r="B225" s="165" t="s">
        <v>2093</v>
      </c>
      <c r="C225" s="165" t="s">
        <v>29</v>
      </c>
      <c r="D225" s="250">
        <v>43709</v>
      </c>
      <c r="E225" s="165">
        <v>11500</v>
      </c>
      <c r="F225" s="166">
        <v>20000</v>
      </c>
      <c r="G225" s="166">
        <v>230000000</v>
      </c>
    </row>
    <row r="226" spans="1:7">
      <c r="B226" s="165" t="s">
        <v>2179</v>
      </c>
      <c r="C226" s="165" t="s">
        <v>29</v>
      </c>
      <c r="D226" s="250">
        <v>43709</v>
      </c>
      <c r="E226" s="165">
        <v>13900</v>
      </c>
      <c r="F226" s="166">
        <v>2100</v>
      </c>
      <c r="G226" s="166">
        <v>29190000</v>
      </c>
    </row>
    <row r="227" spans="1:7">
      <c r="A227" s="165" t="s">
        <v>2250</v>
      </c>
      <c r="B227" s="165"/>
      <c r="C227" s="165"/>
      <c r="D227" s="165"/>
      <c r="E227" s="165"/>
      <c r="F227" s="166">
        <v>31755</v>
      </c>
      <c r="G227" s="166">
        <v>405946000</v>
      </c>
    </row>
    <row r="228" spans="1:7">
      <c r="A228" s="165" t="s">
        <v>231</v>
      </c>
      <c r="B228" s="165" t="s">
        <v>2063</v>
      </c>
      <c r="C228" s="165" t="s">
        <v>29</v>
      </c>
      <c r="D228" s="250">
        <v>43709</v>
      </c>
      <c r="E228" s="165">
        <v>12500</v>
      </c>
      <c r="F228" s="166">
        <v>8000</v>
      </c>
      <c r="G228" s="166">
        <v>100000000</v>
      </c>
    </row>
    <row r="229" spans="1:7">
      <c r="B229" s="165" t="s">
        <v>2136</v>
      </c>
      <c r="C229" s="165" t="s">
        <v>29</v>
      </c>
      <c r="D229" s="250">
        <v>43709</v>
      </c>
      <c r="E229" s="165">
        <v>13000</v>
      </c>
      <c r="F229" s="166">
        <v>2500</v>
      </c>
      <c r="G229" s="166">
        <v>32500000</v>
      </c>
    </row>
    <row r="230" spans="1:7">
      <c r="B230" s="165" t="s">
        <v>2137</v>
      </c>
      <c r="C230" s="165" t="s">
        <v>29</v>
      </c>
      <c r="D230" s="250">
        <v>43709</v>
      </c>
      <c r="E230" s="165">
        <v>14200</v>
      </c>
      <c r="F230" s="166">
        <v>2500</v>
      </c>
      <c r="G230" s="166">
        <v>35500000</v>
      </c>
    </row>
    <row r="231" spans="1:7">
      <c r="B231" s="165" t="s">
        <v>2144</v>
      </c>
      <c r="C231" s="165" t="s">
        <v>29</v>
      </c>
      <c r="D231" s="250">
        <v>43709</v>
      </c>
      <c r="E231" s="165">
        <v>12500</v>
      </c>
      <c r="F231" s="166">
        <v>5500</v>
      </c>
      <c r="G231" s="166">
        <v>68750000</v>
      </c>
    </row>
    <row r="232" spans="1:7">
      <c r="A232" s="165" t="s">
        <v>2251</v>
      </c>
      <c r="B232" s="165"/>
      <c r="C232" s="165"/>
      <c r="D232" s="165"/>
      <c r="E232" s="165"/>
      <c r="F232" s="166">
        <v>18500</v>
      </c>
      <c r="G232" s="166">
        <v>236750000</v>
      </c>
    </row>
    <row r="233" spans="1:7">
      <c r="A233" s="165" t="s">
        <v>120</v>
      </c>
      <c r="B233" s="165" t="s">
        <v>2011</v>
      </c>
      <c r="C233" s="165" t="s">
        <v>29</v>
      </c>
      <c r="D233" s="250">
        <v>43709</v>
      </c>
      <c r="E233" s="165">
        <v>10500</v>
      </c>
      <c r="F233" s="166">
        <v>5000</v>
      </c>
      <c r="G233" s="166">
        <v>52500000</v>
      </c>
    </row>
    <row r="234" spans="1:7">
      <c r="E234" s="165">
        <v>10600</v>
      </c>
      <c r="F234" s="166">
        <v>1000</v>
      </c>
      <c r="G234" s="166">
        <v>10600000</v>
      </c>
    </row>
    <row r="235" spans="1:7">
      <c r="B235" s="165" t="s">
        <v>2105</v>
      </c>
      <c r="C235" s="165" t="s">
        <v>29</v>
      </c>
      <c r="D235" s="250">
        <v>43709</v>
      </c>
      <c r="E235" s="165">
        <v>10300</v>
      </c>
      <c r="F235" s="166">
        <v>2100</v>
      </c>
      <c r="G235" s="166">
        <v>21630000</v>
      </c>
    </row>
    <row r="236" spans="1:7">
      <c r="B236" s="165" t="s">
        <v>2016</v>
      </c>
      <c r="C236" s="165" t="s">
        <v>29</v>
      </c>
      <c r="D236" s="250">
        <v>43709</v>
      </c>
      <c r="E236" s="165">
        <v>13500</v>
      </c>
      <c r="F236" s="166">
        <v>1000</v>
      </c>
      <c r="G236" s="166">
        <v>13500000</v>
      </c>
    </row>
    <row r="237" spans="1:7">
      <c r="B237" s="165" t="s">
        <v>2134</v>
      </c>
      <c r="C237" s="165" t="s">
        <v>29</v>
      </c>
      <c r="D237" s="250">
        <v>43709</v>
      </c>
      <c r="E237" s="165">
        <v>10800</v>
      </c>
      <c r="F237" s="166">
        <v>2100</v>
      </c>
      <c r="G237" s="166">
        <v>22680000</v>
      </c>
    </row>
    <row r="238" spans="1:7">
      <c r="B238" s="165" t="s">
        <v>2139</v>
      </c>
      <c r="C238" s="165" t="s">
        <v>29</v>
      </c>
      <c r="D238" s="250">
        <v>43709</v>
      </c>
      <c r="E238" s="165">
        <v>10500</v>
      </c>
      <c r="F238" s="166">
        <v>4200</v>
      </c>
      <c r="G238" s="166">
        <v>44100000</v>
      </c>
    </row>
    <row r="239" spans="1:7">
      <c r="B239" s="165" t="s">
        <v>2015</v>
      </c>
      <c r="C239" s="165" t="s">
        <v>29</v>
      </c>
      <c r="D239" s="250">
        <v>43709</v>
      </c>
      <c r="E239" s="165">
        <v>10500</v>
      </c>
      <c r="F239" s="166">
        <v>2000</v>
      </c>
      <c r="G239" s="166">
        <v>21000000</v>
      </c>
    </row>
    <row r="240" spans="1:7">
      <c r="E240" s="165">
        <v>10700</v>
      </c>
      <c r="F240" s="166">
        <v>2000</v>
      </c>
      <c r="G240" s="166">
        <v>21400000</v>
      </c>
    </row>
    <row r="241" spans="1:7">
      <c r="B241" s="165" t="s">
        <v>2176</v>
      </c>
      <c r="C241" s="165" t="s">
        <v>29</v>
      </c>
      <c r="D241" s="250">
        <v>43709</v>
      </c>
      <c r="E241" s="165">
        <v>4600</v>
      </c>
      <c r="F241" s="166">
        <v>13200</v>
      </c>
      <c r="G241" s="166">
        <v>60720000</v>
      </c>
    </row>
    <row r="242" spans="1:7">
      <c r="A242" s="165" t="s">
        <v>2252</v>
      </c>
      <c r="B242" s="165"/>
      <c r="C242" s="165"/>
      <c r="D242" s="165"/>
      <c r="E242" s="165"/>
      <c r="F242" s="166">
        <v>32600</v>
      </c>
      <c r="G242" s="166">
        <v>268130000</v>
      </c>
    </row>
    <row r="243" spans="1:7">
      <c r="A243" s="165" t="s">
        <v>1098</v>
      </c>
      <c r="B243" s="165" t="s">
        <v>2011</v>
      </c>
      <c r="C243" s="165" t="s">
        <v>29</v>
      </c>
      <c r="D243" s="250">
        <v>43709</v>
      </c>
      <c r="E243" s="165">
        <v>10600</v>
      </c>
      <c r="F243" s="166">
        <v>2000</v>
      </c>
      <c r="G243" s="166">
        <v>21200000</v>
      </c>
    </row>
    <row r="244" spans="1:7">
      <c r="B244" s="165" t="s">
        <v>2064</v>
      </c>
      <c r="C244" s="165" t="s">
        <v>29</v>
      </c>
      <c r="D244" s="250">
        <v>43709</v>
      </c>
      <c r="E244" s="165">
        <v>15200</v>
      </c>
      <c r="F244" s="166">
        <v>2000</v>
      </c>
      <c r="G244" s="166">
        <v>30400000</v>
      </c>
    </row>
    <row r="245" spans="1:7">
      <c r="B245" s="165" t="s">
        <v>2091</v>
      </c>
      <c r="C245" s="165" t="s">
        <v>29</v>
      </c>
      <c r="D245" s="250">
        <v>43709</v>
      </c>
      <c r="E245" s="165">
        <v>6100</v>
      </c>
      <c r="F245" s="166">
        <v>1000</v>
      </c>
      <c r="G245" s="166">
        <v>6100000</v>
      </c>
    </row>
    <row r="246" spans="1:7">
      <c r="B246" s="165" t="s">
        <v>2093</v>
      </c>
      <c r="C246" s="165" t="s">
        <v>29</v>
      </c>
      <c r="D246" s="250">
        <v>43709</v>
      </c>
      <c r="E246" s="165">
        <v>11400</v>
      </c>
      <c r="F246" s="166">
        <v>2000</v>
      </c>
      <c r="G246" s="166">
        <v>22800000</v>
      </c>
    </row>
    <row r="247" spans="1:7">
      <c r="B247" s="165" t="s">
        <v>2105</v>
      </c>
      <c r="C247" s="165" t="s">
        <v>29</v>
      </c>
      <c r="D247" s="250">
        <v>43709</v>
      </c>
      <c r="E247" s="165">
        <v>10300</v>
      </c>
      <c r="F247" s="166">
        <v>2100</v>
      </c>
      <c r="G247" s="166">
        <v>21630000</v>
      </c>
    </row>
    <row r="248" spans="1:7">
      <c r="B248" s="165" t="s">
        <v>2114</v>
      </c>
      <c r="C248" s="165" t="s">
        <v>29</v>
      </c>
      <c r="D248" s="250">
        <v>43709</v>
      </c>
      <c r="E248" s="165">
        <v>4200</v>
      </c>
      <c r="F248" s="166">
        <v>1200</v>
      </c>
      <c r="G248" s="166">
        <v>5040000</v>
      </c>
    </row>
    <row r="249" spans="1:7">
      <c r="B249" s="165" t="s">
        <v>2158</v>
      </c>
      <c r="C249" s="165" t="s">
        <v>29</v>
      </c>
      <c r="D249" s="250">
        <v>43709</v>
      </c>
      <c r="E249" s="165">
        <v>10100</v>
      </c>
      <c r="F249" s="166">
        <v>2000</v>
      </c>
      <c r="G249" s="166">
        <v>20200000</v>
      </c>
    </row>
    <row r="250" spans="1:7">
      <c r="B250" s="165" t="s">
        <v>2183</v>
      </c>
      <c r="C250" s="165" t="s">
        <v>29</v>
      </c>
      <c r="D250" s="250">
        <v>43709</v>
      </c>
      <c r="E250" s="165">
        <v>7000</v>
      </c>
      <c r="F250" s="166">
        <v>1000</v>
      </c>
      <c r="G250" s="166">
        <v>7000000</v>
      </c>
    </row>
    <row r="251" spans="1:7">
      <c r="A251" s="165" t="s">
        <v>2254</v>
      </c>
      <c r="B251" s="165"/>
      <c r="C251" s="165"/>
      <c r="D251" s="165"/>
      <c r="E251" s="165"/>
      <c r="F251" s="166">
        <v>13300</v>
      </c>
      <c r="G251" s="166">
        <v>134370000</v>
      </c>
    </row>
    <row r="252" spans="1:7">
      <c r="A252" s="165" t="s">
        <v>1018</v>
      </c>
      <c r="B252" s="165" t="s">
        <v>2062</v>
      </c>
      <c r="C252" s="165" t="s">
        <v>29</v>
      </c>
      <c r="D252" s="250">
        <v>43709</v>
      </c>
      <c r="E252" s="165">
        <v>12000</v>
      </c>
      <c r="F252" s="166">
        <v>18000</v>
      </c>
      <c r="G252" s="166">
        <v>216000000</v>
      </c>
    </row>
    <row r="253" spans="1:7">
      <c r="B253" s="165" t="s">
        <v>2143</v>
      </c>
      <c r="C253" s="165" t="s">
        <v>29</v>
      </c>
      <c r="D253" s="250">
        <v>43709</v>
      </c>
      <c r="E253" s="165">
        <v>12500</v>
      </c>
      <c r="F253" s="166">
        <v>2000</v>
      </c>
      <c r="G253" s="166">
        <v>25000000</v>
      </c>
    </row>
    <row r="254" spans="1:7">
      <c r="B254" s="165" t="s">
        <v>2145</v>
      </c>
      <c r="C254" s="165" t="s">
        <v>29</v>
      </c>
      <c r="D254" s="250">
        <v>43709</v>
      </c>
      <c r="E254" s="165">
        <v>13000</v>
      </c>
      <c r="F254" s="166">
        <v>5000</v>
      </c>
      <c r="G254" s="166">
        <v>65000000</v>
      </c>
    </row>
    <row r="255" spans="1:7">
      <c r="A255" s="165" t="s">
        <v>2256</v>
      </c>
      <c r="B255" s="165"/>
      <c r="C255" s="165"/>
      <c r="D255" s="165"/>
      <c r="E255" s="165"/>
      <c r="F255" s="166">
        <v>25000</v>
      </c>
      <c r="G255" s="166">
        <v>306000000</v>
      </c>
    </row>
    <row r="256" spans="1:7">
      <c r="A256" s="165" t="s">
        <v>236</v>
      </c>
      <c r="B256" s="165" t="s">
        <v>2106</v>
      </c>
      <c r="C256" s="165" t="s">
        <v>29</v>
      </c>
      <c r="D256" s="250">
        <v>43709</v>
      </c>
      <c r="E256" s="165">
        <v>15200</v>
      </c>
      <c r="F256" s="166">
        <v>10000</v>
      </c>
      <c r="G256" s="166">
        <v>152000000</v>
      </c>
    </row>
    <row r="257" spans="1:7">
      <c r="A257" s="165" t="s">
        <v>2257</v>
      </c>
      <c r="B257" s="165"/>
      <c r="C257" s="165"/>
      <c r="D257" s="165"/>
      <c r="E257" s="165"/>
      <c r="F257" s="166">
        <v>10000</v>
      </c>
      <c r="G257" s="166">
        <v>152000000</v>
      </c>
    </row>
    <row r="258" spans="1:7">
      <c r="A258" s="165" t="s">
        <v>465</v>
      </c>
      <c r="B258" s="165" t="s">
        <v>2030</v>
      </c>
      <c r="C258" s="165" t="s">
        <v>29</v>
      </c>
      <c r="D258" s="250">
        <v>43709</v>
      </c>
      <c r="E258" s="165">
        <v>4800</v>
      </c>
      <c r="F258" s="166">
        <v>14900</v>
      </c>
      <c r="G258" s="166">
        <v>71520000</v>
      </c>
    </row>
    <row r="259" spans="1:7">
      <c r="B259" s="165" t="s">
        <v>2031</v>
      </c>
      <c r="C259" s="165" t="s">
        <v>29</v>
      </c>
      <c r="D259" s="250">
        <v>43709</v>
      </c>
      <c r="E259" s="165">
        <v>6400</v>
      </c>
      <c r="F259" s="166">
        <v>10200</v>
      </c>
      <c r="G259" s="166">
        <v>65280000</v>
      </c>
    </row>
    <row r="260" spans="1:7">
      <c r="B260" s="165" t="s">
        <v>2016</v>
      </c>
      <c r="C260" s="165" t="s">
        <v>29</v>
      </c>
      <c r="D260" s="250">
        <v>43709</v>
      </c>
      <c r="E260" s="165">
        <v>13500</v>
      </c>
      <c r="F260" s="166">
        <v>12000</v>
      </c>
      <c r="G260" s="166">
        <v>162000000</v>
      </c>
    </row>
    <row r="261" spans="1:7">
      <c r="B261" s="165" t="s">
        <v>2117</v>
      </c>
      <c r="C261" s="165" t="s">
        <v>29</v>
      </c>
      <c r="D261" s="250">
        <v>43709</v>
      </c>
      <c r="E261" s="165">
        <v>7200</v>
      </c>
      <c r="F261" s="166">
        <v>15000</v>
      </c>
      <c r="G261" s="166">
        <v>108000000</v>
      </c>
    </row>
    <row r="262" spans="1:7">
      <c r="B262" s="165" t="s">
        <v>2126</v>
      </c>
      <c r="C262" s="165" t="s">
        <v>29</v>
      </c>
      <c r="D262" s="250">
        <v>43709</v>
      </c>
      <c r="E262" s="165">
        <v>4600</v>
      </c>
      <c r="F262" s="166">
        <v>15000</v>
      </c>
      <c r="G262" s="166">
        <v>69000000</v>
      </c>
    </row>
    <row r="263" spans="1:7">
      <c r="B263" s="165" t="s">
        <v>2015</v>
      </c>
      <c r="C263" s="165" t="s">
        <v>29</v>
      </c>
      <c r="D263" s="250">
        <v>43709</v>
      </c>
      <c r="E263" s="165">
        <v>10500</v>
      </c>
      <c r="F263" s="166">
        <v>12000</v>
      </c>
      <c r="G263" s="166">
        <v>126000000</v>
      </c>
    </row>
    <row r="264" spans="1:7">
      <c r="B264" s="165" t="s">
        <v>2023</v>
      </c>
      <c r="C264" s="165" t="s">
        <v>29</v>
      </c>
      <c r="D264" s="250">
        <v>43709</v>
      </c>
      <c r="E264" s="165">
        <v>10800</v>
      </c>
      <c r="F264" s="166">
        <v>12000</v>
      </c>
      <c r="G264" s="166">
        <v>129600000</v>
      </c>
    </row>
    <row r="265" spans="1:7">
      <c r="A265" s="165" t="s">
        <v>2258</v>
      </c>
      <c r="B265" s="165"/>
      <c r="C265" s="165"/>
      <c r="D265" s="165"/>
      <c r="E265" s="165"/>
      <c r="F265" s="166">
        <v>91100</v>
      </c>
      <c r="G265" s="166">
        <v>731400000</v>
      </c>
    </row>
    <row r="266" spans="1:7">
      <c r="A266" s="165" t="s">
        <v>255</v>
      </c>
      <c r="B266" s="165" t="s">
        <v>2063</v>
      </c>
      <c r="C266" s="165" t="s">
        <v>29</v>
      </c>
      <c r="D266" s="250">
        <v>43709</v>
      </c>
      <c r="E266" s="165">
        <v>12500</v>
      </c>
      <c r="F266" s="166">
        <v>35000</v>
      </c>
      <c r="G266" s="166">
        <v>437500000</v>
      </c>
    </row>
    <row r="267" spans="1:7">
      <c r="B267" s="165" t="s">
        <v>2144</v>
      </c>
      <c r="C267" s="165" t="s">
        <v>29</v>
      </c>
      <c r="D267" s="250">
        <v>43709</v>
      </c>
      <c r="E267" s="165">
        <v>12500</v>
      </c>
      <c r="F267" s="166">
        <v>21000</v>
      </c>
      <c r="G267" s="166">
        <v>262500000</v>
      </c>
    </row>
    <row r="268" spans="1:7">
      <c r="A268" s="165" t="s">
        <v>2261</v>
      </c>
      <c r="B268" s="165"/>
      <c r="C268" s="165"/>
      <c r="D268" s="165"/>
      <c r="E268" s="165"/>
      <c r="F268" s="166">
        <v>56000</v>
      </c>
      <c r="G268" s="166">
        <v>700000000</v>
      </c>
    </row>
    <row r="269" spans="1:7">
      <c r="A269" s="165" t="s">
        <v>280</v>
      </c>
      <c r="B269" s="165" t="s">
        <v>2063</v>
      </c>
      <c r="C269" s="165" t="s">
        <v>29</v>
      </c>
      <c r="D269" s="250">
        <v>43709</v>
      </c>
      <c r="E269" s="165">
        <v>12500</v>
      </c>
      <c r="F269" s="166">
        <v>15000</v>
      </c>
      <c r="G269" s="166">
        <v>187500000</v>
      </c>
    </row>
    <row r="270" spans="1:7">
      <c r="B270" s="165" t="s">
        <v>2017</v>
      </c>
      <c r="C270" s="165" t="s">
        <v>29</v>
      </c>
      <c r="D270" s="250">
        <v>43709</v>
      </c>
      <c r="E270" s="165">
        <v>16000</v>
      </c>
      <c r="F270" s="166">
        <v>5040</v>
      </c>
      <c r="G270" s="166">
        <v>80640000</v>
      </c>
    </row>
    <row r="271" spans="1:7">
      <c r="B271" s="165" t="s">
        <v>2144</v>
      </c>
      <c r="C271" s="165" t="s">
        <v>29</v>
      </c>
      <c r="D271" s="250">
        <v>43709</v>
      </c>
      <c r="E271" s="165">
        <v>12500</v>
      </c>
      <c r="F271" s="166">
        <v>12000</v>
      </c>
      <c r="G271" s="166">
        <v>150000000</v>
      </c>
    </row>
    <row r="272" spans="1:7">
      <c r="A272" s="165" t="s">
        <v>2262</v>
      </c>
      <c r="B272" s="165"/>
      <c r="C272" s="165"/>
      <c r="D272" s="165"/>
      <c r="E272" s="165"/>
      <c r="F272" s="166">
        <v>32040</v>
      </c>
      <c r="G272" s="166">
        <v>418140000</v>
      </c>
    </row>
    <row r="273" spans="1:7">
      <c r="A273" s="165" t="s">
        <v>1564</v>
      </c>
      <c r="B273" s="165" t="s">
        <v>2011</v>
      </c>
      <c r="C273" s="165" t="s">
        <v>29</v>
      </c>
      <c r="D273" s="250">
        <v>43709</v>
      </c>
      <c r="E273" s="165">
        <v>10600</v>
      </c>
      <c r="F273" s="166">
        <v>13000</v>
      </c>
      <c r="G273" s="166">
        <v>137800000</v>
      </c>
    </row>
    <row r="274" spans="1:7">
      <c r="B274" s="165" t="s">
        <v>2069</v>
      </c>
      <c r="C274" s="165" t="s">
        <v>29</v>
      </c>
      <c r="D274" s="250">
        <v>43709</v>
      </c>
      <c r="E274" s="165">
        <v>14300</v>
      </c>
      <c r="F274" s="166">
        <v>5000</v>
      </c>
      <c r="G274" s="166">
        <v>71500000</v>
      </c>
    </row>
    <row r="275" spans="1:7">
      <c r="B275" s="165" t="s">
        <v>2015</v>
      </c>
      <c r="C275" s="165" t="s">
        <v>29</v>
      </c>
      <c r="D275" s="250">
        <v>43709</v>
      </c>
      <c r="E275" s="165">
        <v>10700</v>
      </c>
      <c r="F275" s="166">
        <v>7000</v>
      </c>
      <c r="G275" s="166">
        <v>74900000</v>
      </c>
    </row>
    <row r="276" spans="1:7">
      <c r="B276" s="165" t="s">
        <v>2143</v>
      </c>
      <c r="C276" s="165" t="s">
        <v>29</v>
      </c>
      <c r="D276" s="250">
        <v>43709</v>
      </c>
      <c r="E276" s="165">
        <v>12500</v>
      </c>
      <c r="F276" s="166">
        <v>3000</v>
      </c>
      <c r="G276" s="166">
        <v>37500000</v>
      </c>
    </row>
    <row r="277" spans="1:7">
      <c r="A277" s="165" t="s">
        <v>2263</v>
      </c>
      <c r="B277" s="165"/>
      <c r="C277" s="165"/>
      <c r="D277" s="165"/>
      <c r="E277" s="165"/>
      <c r="F277" s="166">
        <v>28000</v>
      </c>
      <c r="G277" s="166">
        <v>321700000</v>
      </c>
    </row>
    <row r="278" spans="1:7">
      <c r="A278" s="165" t="s">
        <v>1504</v>
      </c>
      <c r="B278" s="165" t="s">
        <v>2134</v>
      </c>
      <c r="C278" s="165" t="s">
        <v>29</v>
      </c>
      <c r="D278" s="250">
        <v>43709</v>
      </c>
      <c r="E278" s="165">
        <v>10900</v>
      </c>
      <c r="F278" s="166">
        <v>5100</v>
      </c>
      <c r="G278" s="166">
        <v>55590000</v>
      </c>
    </row>
    <row r="279" spans="1:7">
      <c r="B279" s="165" t="s">
        <v>2015</v>
      </c>
      <c r="C279" s="165" t="s">
        <v>29</v>
      </c>
      <c r="D279" s="250">
        <v>43709</v>
      </c>
      <c r="E279" s="165">
        <v>10700</v>
      </c>
      <c r="F279" s="166">
        <v>10000</v>
      </c>
      <c r="G279" s="166">
        <v>107000000</v>
      </c>
    </row>
    <row r="280" spans="1:7">
      <c r="A280" s="165" t="s">
        <v>2265</v>
      </c>
      <c r="B280" s="165"/>
      <c r="C280" s="165"/>
      <c r="D280" s="165"/>
      <c r="E280" s="165"/>
      <c r="F280" s="166">
        <v>15100</v>
      </c>
      <c r="G280" s="166">
        <v>162590000</v>
      </c>
    </row>
    <row r="281" spans="1:7">
      <c r="A281" s="165" t="s">
        <v>177</v>
      </c>
      <c r="B281" s="165" t="s">
        <v>2060</v>
      </c>
      <c r="C281" s="165" t="s">
        <v>29</v>
      </c>
      <c r="D281" s="250">
        <v>43709</v>
      </c>
      <c r="E281" s="165">
        <v>7200</v>
      </c>
      <c r="F281" s="166">
        <v>5100</v>
      </c>
      <c r="G281" s="166">
        <v>36720000</v>
      </c>
    </row>
    <row r="282" spans="1:7">
      <c r="B282" s="165" t="s">
        <v>2106</v>
      </c>
      <c r="C282" s="165" t="s">
        <v>29</v>
      </c>
      <c r="D282" s="250">
        <v>43709</v>
      </c>
      <c r="E282" s="165">
        <v>15200</v>
      </c>
      <c r="F282" s="166">
        <v>5000</v>
      </c>
      <c r="G282" s="166">
        <v>76000000</v>
      </c>
    </row>
    <row r="283" spans="1:7">
      <c r="B283" s="165" t="s">
        <v>2144</v>
      </c>
      <c r="C283" s="165" t="s">
        <v>29</v>
      </c>
      <c r="D283" s="250">
        <v>43709</v>
      </c>
      <c r="E283" s="165">
        <v>12500</v>
      </c>
      <c r="F283" s="166">
        <v>10000</v>
      </c>
      <c r="G283" s="166">
        <v>125000000</v>
      </c>
    </row>
    <row r="284" spans="1:7">
      <c r="A284" s="165" t="s">
        <v>2266</v>
      </c>
      <c r="B284" s="165"/>
      <c r="C284" s="165"/>
      <c r="D284" s="165"/>
      <c r="E284" s="165"/>
      <c r="F284" s="166">
        <v>20100</v>
      </c>
      <c r="G284" s="166">
        <v>237720000</v>
      </c>
    </row>
    <row r="285" spans="1:7">
      <c r="A285" s="165" t="s">
        <v>25</v>
      </c>
      <c r="B285" s="165" t="s">
        <v>2060</v>
      </c>
      <c r="C285" s="165" t="s">
        <v>29</v>
      </c>
      <c r="D285" s="250">
        <v>43709</v>
      </c>
      <c r="E285" s="165">
        <v>7500</v>
      </c>
      <c r="F285" s="166">
        <v>13050</v>
      </c>
      <c r="G285" s="166">
        <v>97875000</v>
      </c>
    </row>
    <row r="286" spans="1:7">
      <c r="B286" s="165" t="s">
        <v>2020</v>
      </c>
      <c r="C286" s="165" t="s">
        <v>29</v>
      </c>
      <c r="D286" s="250">
        <v>43709</v>
      </c>
      <c r="E286" s="165">
        <v>11900</v>
      </c>
      <c r="F286" s="166">
        <v>7800</v>
      </c>
      <c r="G286" s="166">
        <v>92820000</v>
      </c>
    </row>
    <row r="287" spans="1:7">
      <c r="B287" s="165" t="s">
        <v>2090</v>
      </c>
      <c r="C287" s="165" t="s">
        <v>29</v>
      </c>
      <c r="D287" s="250">
        <v>43709</v>
      </c>
      <c r="E287" s="165">
        <v>6100</v>
      </c>
      <c r="F287" s="166">
        <v>5000</v>
      </c>
      <c r="G287" s="166">
        <v>30500000</v>
      </c>
    </row>
    <row r="288" spans="1:7">
      <c r="B288" s="165" t="s">
        <v>2134</v>
      </c>
      <c r="C288" s="165" t="s">
        <v>29</v>
      </c>
      <c r="D288" s="250">
        <v>43709</v>
      </c>
      <c r="E288" s="165">
        <v>10800</v>
      </c>
      <c r="F288" s="166">
        <v>10050</v>
      </c>
      <c r="G288" s="166">
        <v>108540000</v>
      </c>
    </row>
    <row r="289" spans="1:7">
      <c r="A289" s="165" t="s">
        <v>2268</v>
      </c>
      <c r="B289" s="165"/>
      <c r="C289" s="165"/>
      <c r="D289" s="165"/>
      <c r="E289" s="165"/>
      <c r="F289" s="166">
        <v>35900</v>
      </c>
      <c r="G289" s="166">
        <v>329735000</v>
      </c>
    </row>
    <row r="290" spans="1:7">
      <c r="A290" s="165" t="s">
        <v>66</v>
      </c>
      <c r="B290" s="165" t="s">
        <v>2060</v>
      </c>
      <c r="C290" s="165" t="s">
        <v>29</v>
      </c>
      <c r="D290" s="250">
        <v>43709</v>
      </c>
      <c r="E290" s="165">
        <v>8000</v>
      </c>
      <c r="F290" s="166">
        <v>20100</v>
      </c>
      <c r="G290" s="166">
        <v>160800000</v>
      </c>
    </row>
    <row r="291" spans="1:7">
      <c r="B291" s="165" t="s">
        <v>1872</v>
      </c>
      <c r="C291" s="165" t="s">
        <v>29</v>
      </c>
      <c r="D291" s="250">
        <v>43709</v>
      </c>
      <c r="E291" s="165">
        <v>7200</v>
      </c>
      <c r="F291" s="166">
        <v>10050</v>
      </c>
      <c r="G291" s="166">
        <v>72360000</v>
      </c>
    </row>
    <row r="292" spans="1:7">
      <c r="B292" s="165" t="s">
        <v>2015</v>
      </c>
      <c r="C292" s="165" t="s">
        <v>29</v>
      </c>
      <c r="D292" s="250">
        <v>43709</v>
      </c>
      <c r="E292" s="165">
        <v>10500</v>
      </c>
      <c r="F292" s="166">
        <v>10000</v>
      </c>
      <c r="G292" s="166">
        <v>105000000</v>
      </c>
    </row>
    <row r="293" spans="1:7">
      <c r="A293" s="165" t="s">
        <v>2269</v>
      </c>
      <c r="B293" s="165"/>
      <c r="C293" s="165"/>
      <c r="D293" s="165"/>
      <c r="E293" s="165"/>
      <c r="F293" s="166">
        <v>40150</v>
      </c>
      <c r="G293" s="166">
        <v>338160000</v>
      </c>
    </row>
    <row r="294" spans="1:7">
      <c r="A294" s="165" t="s">
        <v>476</v>
      </c>
      <c r="B294" s="165" t="s">
        <v>2011</v>
      </c>
      <c r="C294" s="165" t="s">
        <v>29</v>
      </c>
      <c r="D294" s="250">
        <v>43709</v>
      </c>
      <c r="E294" s="165">
        <v>10500</v>
      </c>
      <c r="F294" s="166">
        <v>10000</v>
      </c>
      <c r="G294" s="166">
        <v>105000000</v>
      </c>
    </row>
    <row r="295" spans="1:7">
      <c r="B295" s="165" t="s">
        <v>2144</v>
      </c>
      <c r="C295" s="165" t="s">
        <v>29</v>
      </c>
      <c r="D295" s="250">
        <v>43709</v>
      </c>
      <c r="E295" s="165">
        <v>12500</v>
      </c>
      <c r="F295" s="166">
        <v>6000</v>
      </c>
      <c r="G295" s="166">
        <v>75000000</v>
      </c>
    </row>
    <row r="296" spans="1:7">
      <c r="A296" s="165" t="s">
        <v>2271</v>
      </c>
      <c r="B296" s="165"/>
      <c r="C296" s="165"/>
      <c r="D296" s="165"/>
      <c r="E296" s="165"/>
      <c r="F296" s="166">
        <v>16000</v>
      </c>
      <c r="G296" s="166">
        <v>180000000</v>
      </c>
    </row>
    <row r="297" spans="1:7">
      <c r="A297" s="165" t="s">
        <v>817</v>
      </c>
      <c r="B297" s="165" t="s">
        <v>2011</v>
      </c>
      <c r="C297" s="165" t="s">
        <v>29</v>
      </c>
      <c r="D297" s="250">
        <v>43709</v>
      </c>
      <c r="E297" s="165">
        <v>10500</v>
      </c>
      <c r="F297" s="166">
        <v>10000</v>
      </c>
      <c r="G297" s="166">
        <v>105000000</v>
      </c>
    </row>
    <row r="298" spans="1:7">
      <c r="B298" s="165" t="s">
        <v>2015</v>
      </c>
      <c r="C298" s="165" t="s">
        <v>29</v>
      </c>
      <c r="D298" s="250">
        <v>43709</v>
      </c>
      <c r="E298" s="165">
        <v>10500</v>
      </c>
      <c r="F298" s="166">
        <v>10000</v>
      </c>
      <c r="G298" s="166">
        <v>105000000</v>
      </c>
    </row>
    <row r="299" spans="1:7">
      <c r="A299" s="165" t="s">
        <v>2272</v>
      </c>
      <c r="B299" s="165"/>
      <c r="C299" s="165"/>
      <c r="D299" s="165"/>
      <c r="E299" s="165"/>
      <c r="F299" s="166">
        <v>20000</v>
      </c>
      <c r="G299" s="166">
        <v>210000000</v>
      </c>
    </row>
    <row r="300" spans="1:7">
      <c r="A300" s="165" t="s">
        <v>130</v>
      </c>
      <c r="B300" s="165" t="s">
        <v>2011</v>
      </c>
      <c r="C300" s="165" t="s">
        <v>29</v>
      </c>
      <c r="D300" s="250">
        <v>43709</v>
      </c>
      <c r="E300" s="165">
        <v>10500</v>
      </c>
      <c r="F300" s="166">
        <v>3000</v>
      </c>
      <c r="G300" s="166">
        <v>31500000</v>
      </c>
    </row>
    <row r="301" spans="1:7">
      <c r="B301" s="165" t="s">
        <v>2105</v>
      </c>
      <c r="C301" s="165" t="s">
        <v>29</v>
      </c>
      <c r="D301" s="250">
        <v>43709</v>
      </c>
      <c r="E301" s="165">
        <v>10700</v>
      </c>
      <c r="F301" s="166">
        <v>5100</v>
      </c>
      <c r="G301" s="166">
        <v>54570000</v>
      </c>
    </row>
    <row r="302" spans="1:7">
      <c r="B302" s="165" t="s">
        <v>2016</v>
      </c>
      <c r="C302" s="165" t="s">
        <v>29</v>
      </c>
      <c r="D302" s="250">
        <v>43709</v>
      </c>
      <c r="E302" s="165">
        <v>13500</v>
      </c>
      <c r="F302" s="166">
        <v>10000</v>
      </c>
      <c r="G302" s="166">
        <v>135000000</v>
      </c>
    </row>
    <row r="303" spans="1:7">
      <c r="B303" s="165" t="s">
        <v>2117</v>
      </c>
      <c r="C303" s="165" t="s">
        <v>29</v>
      </c>
      <c r="D303" s="250">
        <v>43709</v>
      </c>
      <c r="E303" s="165">
        <v>7200</v>
      </c>
      <c r="F303" s="166">
        <v>5100</v>
      </c>
      <c r="G303" s="166">
        <v>36720000</v>
      </c>
    </row>
    <row r="304" spans="1:7">
      <c r="B304" s="165" t="s">
        <v>2127</v>
      </c>
      <c r="C304" s="165" t="s">
        <v>29</v>
      </c>
      <c r="D304" s="250">
        <v>43709</v>
      </c>
      <c r="E304" s="165">
        <v>6100</v>
      </c>
      <c r="F304" s="166">
        <v>3000</v>
      </c>
      <c r="G304" s="166">
        <v>18300000</v>
      </c>
    </row>
    <row r="305" spans="1:7">
      <c r="B305" s="165" t="s">
        <v>2136</v>
      </c>
      <c r="C305" s="165" t="s">
        <v>29</v>
      </c>
      <c r="D305" s="250">
        <v>43709</v>
      </c>
      <c r="E305" s="165">
        <v>13000</v>
      </c>
      <c r="F305" s="166">
        <v>10000</v>
      </c>
      <c r="G305" s="166">
        <v>130000000</v>
      </c>
    </row>
    <row r="306" spans="1:7">
      <c r="B306" s="165" t="s">
        <v>2023</v>
      </c>
      <c r="C306" s="165" t="s">
        <v>29</v>
      </c>
      <c r="D306" s="250">
        <v>43709</v>
      </c>
      <c r="E306" s="165">
        <v>10000</v>
      </c>
      <c r="F306" s="166">
        <v>10000</v>
      </c>
      <c r="G306" s="166">
        <v>100000000</v>
      </c>
    </row>
    <row r="307" spans="1:7">
      <c r="B307" s="165" t="s">
        <v>2191</v>
      </c>
      <c r="C307" s="165" t="s">
        <v>29</v>
      </c>
      <c r="D307" s="250">
        <v>43709</v>
      </c>
      <c r="E307" s="165">
        <v>8400</v>
      </c>
      <c r="F307" s="166">
        <v>3000</v>
      </c>
      <c r="G307" s="166">
        <v>25200000</v>
      </c>
    </row>
    <row r="308" spans="1:7">
      <c r="A308" s="165" t="s">
        <v>2273</v>
      </c>
      <c r="B308" s="165"/>
      <c r="C308" s="165"/>
      <c r="D308" s="165"/>
      <c r="E308" s="165"/>
      <c r="F308" s="166">
        <v>49200</v>
      </c>
      <c r="G308" s="166">
        <v>531290000</v>
      </c>
    </row>
    <row r="309" spans="1:7">
      <c r="A309" s="165" t="s">
        <v>145</v>
      </c>
      <c r="B309" s="165" t="s">
        <v>2060</v>
      </c>
      <c r="C309" s="165" t="s">
        <v>29</v>
      </c>
      <c r="D309" s="250">
        <v>43709</v>
      </c>
      <c r="E309" s="165">
        <v>8000</v>
      </c>
      <c r="F309" s="166">
        <v>10050</v>
      </c>
      <c r="G309" s="166">
        <v>80400000</v>
      </c>
    </row>
    <row r="310" spans="1:7">
      <c r="B310" s="165" t="s">
        <v>2015</v>
      </c>
      <c r="C310" s="165" t="s">
        <v>29</v>
      </c>
      <c r="D310" s="250">
        <v>43709</v>
      </c>
      <c r="E310" s="165">
        <v>10700</v>
      </c>
      <c r="F310" s="166">
        <v>30000</v>
      </c>
      <c r="G310" s="166">
        <v>321000000</v>
      </c>
    </row>
    <row r="311" spans="1:7">
      <c r="A311" s="165" t="s">
        <v>2274</v>
      </c>
      <c r="B311" s="165"/>
      <c r="C311" s="165"/>
      <c r="D311" s="165"/>
      <c r="E311" s="165"/>
      <c r="F311" s="166">
        <v>40050</v>
      </c>
      <c r="G311" s="166">
        <v>401400000</v>
      </c>
    </row>
    <row r="312" spans="1:7">
      <c r="A312" s="165" t="s">
        <v>789</v>
      </c>
      <c r="B312" s="165" t="s">
        <v>2062</v>
      </c>
      <c r="C312" s="165" t="s">
        <v>29</v>
      </c>
      <c r="D312" s="250">
        <v>43709</v>
      </c>
      <c r="E312" s="165">
        <v>12000</v>
      </c>
      <c r="F312" s="166">
        <v>11000</v>
      </c>
      <c r="G312" s="166">
        <v>132000000</v>
      </c>
    </row>
    <row r="313" spans="1:7">
      <c r="B313" s="165" t="s">
        <v>2143</v>
      </c>
      <c r="C313" s="165" t="s">
        <v>29</v>
      </c>
      <c r="D313" s="250">
        <v>43709</v>
      </c>
      <c r="E313" s="165">
        <v>12500</v>
      </c>
      <c r="F313" s="166">
        <v>6000</v>
      </c>
      <c r="G313" s="166">
        <v>75000000</v>
      </c>
    </row>
    <row r="314" spans="1:7">
      <c r="B314" s="165" t="s">
        <v>2183</v>
      </c>
      <c r="C314" s="165" t="s">
        <v>29</v>
      </c>
      <c r="D314" s="250">
        <v>43709</v>
      </c>
      <c r="E314" s="165">
        <v>7000</v>
      </c>
      <c r="F314" s="166">
        <v>2000</v>
      </c>
      <c r="G314" s="166">
        <v>14000000</v>
      </c>
    </row>
    <row r="315" spans="1:7">
      <c r="A315" s="165" t="s">
        <v>2354</v>
      </c>
      <c r="B315" s="165"/>
      <c r="C315" s="165"/>
      <c r="D315" s="165"/>
      <c r="E315" s="165"/>
      <c r="F315" s="166">
        <v>19000</v>
      </c>
      <c r="G315" s="166">
        <v>221000000</v>
      </c>
    </row>
    <row r="316" spans="1:7">
      <c r="A316" s="165" t="s">
        <v>158</v>
      </c>
      <c r="B316" s="165" t="s">
        <v>2107</v>
      </c>
      <c r="C316" s="165" t="s">
        <v>29</v>
      </c>
      <c r="D316" s="250">
        <v>43709</v>
      </c>
      <c r="E316" s="165">
        <v>16000</v>
      </c>
      <c r="F316" s="166">
        <v>12000</v>
      </c>
      <c r="G316" s="166">
        <v>192000000</v>
      </c>
    </row>
    <row r="317" spans="1:7">
      <c r="E317" s="165">
        <v>16200</v>
      </c>
      <c r="F317" s="166">
        <v>7500</v>
      </c>
      <c r="G317" s="166">
        <v>121500000</v>
      </c>
    </row>
    <row r="318" spans="1:7">
      <c r="B318" s="165" t="s">
        <v>2135</v>
      </c>
      <c r="C318" s="165" t="s">
        <v>29</v>
      </c>
      <c r="D318" s="250">
        <v>43709</v>
      </c>
      <c r="E318" s="165">
        <v>13500</v>
      </c>
      <c r="F318" s="166">
        <v>10000</v>
      </c>
      <c r="G318" s="166">
        <v>135000000</v>
      </c>
    </row>
    <row r="319" spans="1:7">
      <c r="A319" s="165" t="s">
        <v>2275</v>
      </c>
      <c r="B319" s="165"/>
      <c r="C319" s="165"/>
      <c r="D319" s="165"/>
      <c r="E319" s="165"/>
      <c r="F319" s="166">
        <v>29500</v>
      </c>
      <c r="G319" s="166">
        <v>448500000</v>
      </c>
    </row>
    <row r="320" spans="1:7">
      <c r="A320" s="165" t="s">
        <v>188</v>
      </c>
      <c r="B320" s="165" t="s">
        <v>2041</v>
      </c>
      <c r="C320" s="165" t="s">
        <v>29</v>
      </c>
      <c r="D320" s="250">
        <v>43709</v>
      </c>
      <c r="E320" s="165">
        <v>13000</v>
      </c>
      <c r="F320" s="166">
        <v>10000</v>
      </c>
      <c r="G320" s="166">
        <v>130000000</v>
      </c>
    </row>
    <row r="321" spans="1:7">
      <c r="B321" s="165" t="s">
        <v>2060</v>
      </c>
      <c r="C321" s="165" t="s">
        <v>29</v>
      </c>
      <c r="D321" s="250">
        <v>43709</v>
      </c>
      <c r="E321" s="165">
        <v>7200</v>
      </c>
      <c r="F321" s="166">
        <v>40050</v>
      </c>
      <c r="G321" s="166">
        <v>288360000</v>
      </c>
    </row>
    <row r="322" spans="1:7">
      <c r="B322" s="165" t="s">
        <v>2011</v>
      </c>
      <c r="C322" s="165" t="s">
        <v>29</v>
      </c>
      <c r="D322" s="250">
        <v>43709</v>
      </c>
      <c r="E322" s="165">
        <v>10600</v>
      </c>
      <c r="F322" s="166">
        <v>25000</v>
      </c>
      <c r="G322" s="166">
        <v>265000000</v>
      </c>
    </row>
    <row r="323" spans="1:7">
      <c r="B323" s="165" t="s">
        <v>2063</v>
      </c>
      <c r="C323" s="165" t="s">
        <v>29</v>
      </c>
      <c r="D323" s="250">
        <v>43709</v>
      </c>
      <c r="E323" s="165">
        <v>12500</v>
      </c>
      <c r="F323" s="166">
        <v>10000</v>
      </c>
      <c r="G323" s="166">
        <v>125000000</v>
      </c>
    </row>
    <row r="324" spans="1:7">
      <c r="B324" s="165" t="s">
        <v>2069</v>
      </c>
      <c r="C324" s="165" t="s">
        <v>29</v>
      </c>
      <c r="D324" s="250">
        <v>43709</v>
      </c>
      <c r="E324" s="165">
        <v>14200</v>
      </c>
      <c r="F324" s="166">
        <v>15000</v>
      </c>
      <c r="G324" s="166">
        <v>213000000</v>
      </c>
    </row>
    <row r="325" spans="1:7">
      <c r="B325" s="165" t="s">
        <v>2144</v>
      </c>
      <c r="C325" s="165" t="s">
        <v>29</v>
      </c>
      <c r="D325" s="250">
        <v>43709</v>
      </c>
      <c r="E325" s="165">
        <v>12500</v>
      </c>
      <c r="F325" s="166">
        <v>10000</v>
      </c>
      <c r="G325" s="166">
        <v>125000000</v>
      </c>
    </row>
    <row r="326" spans="1:7">
      <c r="B326" s="165" t="s">
        <v>2172</v>
      </c>
      <c r="C326" s="165" t="s">
        <v>29</v>
      </c>
      <c r="D326" s="250">
        <v>43709</v>
      </c>
      <c r="E326" s="165">
        <v>11000</v>
      </c>
      <c r="F326" s="166">
        <v>15000</v>
      </c>
      <c r="G326" s="166">
        <v>165000000</v>
      </c>
    </row>
    <row r="327" spans="1:7">
      <c r="A327" s="165" t="s">
        <v>2276</v>
      </c>
      <c r="B327" s="165"/>
      <c r="C327" s="165"/>
      <c r="D327" s="165"/>
      <c r="E327" s="165"/>
      <c r="F327" s="166">
        <v>125050</v>
      </c>
      <c r="G327" s="166">
        <v>1311360000</v>
      </c>
    </row>
    <row r="328" spans="1:7">
      <c r="A328" s="165" t="s">
        <v>1009</v>
      </c>
      <c r="B328" s="165" t="s">
        <v>2042</v>
      </c>
      <c r="C328" s="165" t="s">
        <v>29</v>
      </c>
      <c r="D328" s="250">
        <v>43709</v>
      </c>
      <c r="E328" s="165">
        <v>10800</v>
      </c>
      <c r="F328" s="166">
        <v>10000</v>
      </c>
      <c r="G328" s="166">
        <v>108000000</v>
      </c>
    </row>
    <row r="329" spans="1:7">
      <c r="B329" s="165" t="s">
        <v>2011</v>
      </c>
      <c r="C329" s="165" t="s">
        <v>29</v>
      </c>
      <c r="D329" s="250">
        <v>43709</v>
      </c>
      <c r="E329" s="165">
        <v>10500</v>
      </c>
      <c r="F329" s="166">
        <v>10000</v>
      </c>
      <c r="G329" s="166">
        <v>105000000</v>
      </c>
    </row>
    <row r="330" spans="1:7">
      <c r="B330" s="165" t="s">
        <v>2087</v>
      </c>
      <c r="C330" s="165" t="s">
        <v>29</v>
      </c>
      <c r="D330" s="250">
        <v>43709</v>
      </c>
      <c r="E330" s="165">
        <v>10000</v>
      </c>
      <c r="F330" s="166">
        <v>10050</v>
      </c>
      <c r="G330" s="166">
        <v>100500000</v>
      </c>
    </row>
    <row r="331" spans="1:7">
      <c r="B331" s="165" t="s">
        <v>2092</v>
      </c>
      <c r="C331" s="165" t="s">
        <v>29</v>
      </c>
      <c r="D331" s="250">
        <v>43709</v>
      </c>
      <c r="E331" s="165">
        <v>10600</v>
      </c>
      <c r="F331" s="166">
        <v>7750</v>
      </c>
      <c r="G331" s="166">
        <v>82150000</v>
      </c>
    </row>
    <row r="332" spans="1:7">
      <c r="B332" s="165" t="s">
        <v>2093</v>
      </c>
      <c r="C332" s="165" t="s">
        <v>29</v>
      </c>
      <c r="D332" s="250">
        <v>43709</v>
      </c>
      <c r="E332" s="165">
        <v>11900</v>
      </c>
      <c r="F332" s="166">
        <v>2300</v>
      </c>
      <c r="G332" s="166">
        <v>27370000</v>
      </c>
    </row>
    <row r="333" spans="1:7">
      <c r="B333" s="165" t="s">
        <v>2096</v>
      </c>
      <c r="C333" s="165" t="s">
        <v>29</v>
      </c>
      <c r="D333" s="250">
        <v>43709</v>
      </c>
      <c r="E333" s="165">
        <v>9200</v>
      </c>
      <c r="F333" s="166">
        <v>10050</v>
      </c>
      <c r="G333" s="166">
        <v>92460000</v>
      </c>
    </row>
    <row r="334" spans="1:7">
      <c r="B334" s="165" t="s">
        <v>2105</v>
      </c>
      <c r="C334" s="165" t="s">
        <v>29</v>
      </c>
      <c r="D334" s="250">
        <v>43709</v>
      </c>
      <c r="E334" s="165">
        <v>9700</v>
      </c>
      <c r="F334" s="166">
        <v>10050</v>
      </c>
      <c r="G334" s="166">
        <v>97485000</v>
      </c>
    </row>
    <row r="335" spans="1:7">
      <c r="B335" s="165" t="s">
        <v>2106</v>
      </c>
      <c r="C335" s="165" t="s">
        <v>29</v>
      </c>
      <c r="D335" s="250">
        <v>43709</v>
      </c>
      <c r="E335" s="165">
        <v>15200</v>
      </c>
      <c r="F335" s="166">
        <v>10000</v>
      </c>
      <c r="G335" s="166">
        <v>152000000</v>
      </c>
    </row>
    <row r="336" spans="1:7">
      <c r="B336" s="165" t="s">
        <v>2117</v>
      </c>
      <c r="C336" s="165" t="s">
        <v>29</v>
      </c>
      <c r="D336" s="250">
        <v>43709</v>
      </c>
      <c r="E336" s="165">
        <v>7100</v>
      </c>
      <c r="F336" s="166">
        <v>10050</v>
      </c>
      <c r="G336" s="166">
        <v>71355000</v>
      </c>
    </row>
    <row r="337" spans="1:7">
      <c r="B337" s="165" t="s">
        <v>1872</v>
      </c>
      <c r="C337" s="165" t="s">
        <v>29</v>
      </c>
      <c r="D337" s="250">
        <v>43709</v>
      </c>
      <c r="E337" s="165">
        <v>7200</v>
      </c>
      <c r="F337" s="166">
        <v>5100</v>
      </c>
      <c r="G337" s="166">
        <v>36720000</v>
      </c>
    </row>
    <row r="338" spans="1:7">
      <c r="B338" s="165" t="s">
        <v>2015</v>
      </c>
      <c r="C338" s="165" t="s">
        <v>29</v>
      </c>
      <c r="D338" s="250">
        <v>43709</v>
      </c>
      <c r="E338" s="165">
        <v>10500</v>
      </c>
      <c r="F338" s="166">
        <v>5000</v>
      </c>
      <c r="G338" s="166">
        <v>52500000</v>
      </c>
    </row>
    <row r="339" spans="1:7">
      <c r="B339" s="165" t="s">
        <v>2019</v>
      </c>
      <c r="C339" s="165" t="s">
        <v>29</v>
      </c>
      <c r="D339" s="250">
        <v>43709</v>
      </c>
      <c r="E339" s="165">
        <v>9100</v>
      </c>
      <c r="F339" s="166">
        <v>10050</v>
      </c>
      <c r="G339" s="166">
        <v>91455000</v>
      </c>
    </row>
    <row r="340" spans="1:7">
      <c r="B340" s="165" t="s">
        <v>2023</v>
      </c>
      <c r="C340" s="165" t="s">
        <v>29</v>
      </c>
      <c r="D340" s="250">
        <v>43709</v>
      </c>
      <c r="E340" s="165">
        <v>10100</v>
      </c>
      <c r="F340" s="166">
        <v>10000</v>
      </c>
      <c r="G340" s="166">
        <v>101000000</v>
      </c>
    </row>
    <row r="341" spans="1:7">
      <c r="B341" s="165" t="s">
        <v>2190</v>
      </c>
      <c r="C341" s="165" t="s">
        <v>29</v>
      </c>
      <c r="D341" s="250">
        <v>43709</v>
      </c>
      <c r="E341" s="165">
        <v>6000</v>
      </c>
      <c r="F341" s="166">
        <v>10000</v>
      </c>
      <c r="G341" s="166">
        <v>60000000</v>
      </c>
    </row>
    <row r="342" spans="1:7">
      <c r="A342" s="165" t="s">
        <v>2278</v>
      </c>
      <c r="B342" s="165"/>
      <c r="C342" s="165"/>
      <c r="D342" s="165"/>
      <c r="E342" s="165"/>
      <c r="F342" s="166">
        <v>120400</v>
      </c>
      <c r="G342" s="166">
        <v>1177995000</v>
      </c>
    </row>
    <row r="343" spans="1:7">
      <c r="A343" s="165" t="s">
        <v>921</v>
      </c>
      <c r="B343" s="165" t="s">
        <v>2043</v>
      </c>
      <c r="C343" s="165" t="s">
        <v>29</v>
      </c>
      <c r="D343" s="250">
        <v>43709</v>
      </c>
      <c r="E343" s="165">
        <v>11600</v>
      </c>
      <c r="F343" s="166">
        <v>8000</v>
      </c>
      <c r="G343" s="166">
        <v>92800000</v>
      </c>
    </row>
    <row r="344" spans="1:7">
      <c r="B344" s="165" t="s">
        <v>2044</v>
      </c>
      <c r="C344" s="165" t="s">
        <v>29</v>
      </c>
      <c r="D344" s="250">
        <v>43709</v>
      </c>
      <c r="E344" s="165">
        <v>11600</v>
      </c>
      <c r="F344" s="166">
        <v>7225</v>
      </c>
      <c r="G344" s="166">
        <v>83810000</v>
      </c>
    </row>
    <row r="345" spans="1:7">
      <c r="B345" s="165" t="s">
        <v>2058</v>
      </c>
      <c r="C345" s="165" t="s">
        <v>29</v>
      </c>
      <c r="D345" s="250">
        <v>43709</v>
      </c>
      <c r="E345" s="165">
        <v>12500</v>
      </c>
      <c r="F345" s="166">
        <v>40000</v>
      </c>
      <c r="G345" s="166">
        <v>500000000</v>
      </c>
    </row>
    <row r="346" spans="1:7">
      <c r="B346" s="165" t="s">
        <v>2011</v>
      </c>
      <c r="C346" s="165" t="s">
        <v>29</v>
      </c>
      <c r="D346" s="250">
        <v>43709</v>
      </c>
      <c r="E346" s="165">
        <v>10600</v>
      </c>
      <c r="F346" s="166">
        <v>60000</v>
      </c>
      <c r="G346" s="166">
        <v>636000000</v>
      </c>
    </row>
    <row r="347" spans="1:7">
      <c r="A347" s="165" t="s">
        <v>2280</v>
      </c>
      <c r="B347" s="165"/>
      <c r="C347" s="165"/>
      <c r="D347" s="165"/>
      <c r="E347" s="165"/>
      <c r="F347" s="166">
        <v>115225</v>
      </c>
      <c r="G347" s="166">
        <v>1312610000</v>
      </c>
    </row>
    <row r="348" spans="1:7">
      <c r="A348" s="165" t="s">
        <v>1702</v>
      </c>
      <c r="B348" s="165" t="s">
        <v>2060</v>
      </c>
      <c r="C348" s="165" t="s">
        <v>29</v>
      </c>
      <c r="D348" s="250">
        <v>43709</v>
      </c>
      <c r="E348" s="165">
        <v>8000</v>
      </c>
      <c r="F348" s="166">
        <v>10050</v>
      </c>
      <c r="G348" s="166">
        <v>80400000</v>
      </c>
    </row>
    <row r="349" spans="1:7">
      <c r="B349" s="165" t="s">
        <v>2119</v>
      </c>
      <c r="C349" s="165" t="s">
        <v>29</v>
      </c>
      <c r="D349" s="250">
        <v>43709</v>
      </c>
      <c r="E349" s="165">
        <v>6800</v>
      </c>
      <c r="F349" s="166">
        <v>10000</v>
      </c>
      <c r="G349" s="166">
        <v>68000000</v>
      </c>
    </row>
    <row r="350" spans="1:7">
      <c r="A350" s="165" t="s">
        <v>2282</v>
      </c>
      <c r="B350" s="165"/>
      <c r="C350" s="165"/>
      <c r="D350" s="165"/>
      <c r="E350" s="165"/>
      <c r="F350" s="166">
        <v>20050</v>
      </c>
      <c r="G350" s="166">
        <v>148400000</v>
      </c>
    </row>
    <row r="351" spans="1:7">
      <c r="A351" s="165" t="s">
        <v>1589</v>
      </c>
      <c r="B351" s="165" t="s">
        <v>2011</v>
      </c>
      <c r="C351" s="165" t="s">
        <v>29</v>
      </c>
      <c r="D351" s="250">
        <v>43709</v>
      </c>
      <c r="E351" s="165">
        <v>10600</v>
      </c>
      <c r="F351" s="166">
        <v>4000</v>
      </c>
      <c r="G351" s="166">
        <v>42400000</v>
      </c>
    </row>
    <row r="352" spans="1:7">
      <c r="B352" s="165" t="s">
        <v>2016</v>
      </c>
      <c r="C352" s="165" t="s">
        <v>29</v>
      </c>
      <c r="D352" s="250">
        <v>43709</v>
      </c>
      <c r="E352" s="165">
        <v>13600</v>
      </c>
      <c r="F352" s="166">
        <v>6000</v>
      </c>
      <c r="G352" s="166">
        <v>81600000</v>
      </c>
    </row>
    <row r="353" spans="1:7">
      <c r="B353" s="165" t="s">
        <v>2134</v>
      </c>
      <c r="C353" s="165" t="s">
        <v>29</v>
      </c>
      <c r="D353" s="250">
        <v>43709</v>
      </c>
      <c r="E353" s="165">
        <v>10900</v>
      </c>
      <c r="F353" s="166">
        <v>30000</v>
      </c>
      <c r="G353" s="166">
        <v>327000000</v>
      </c>
    </row>
    <row r="354" spans="1:7">
      <c r="A354" s="165" t="s">
        <v>2286</v>
      </c>
      <c r="B354" s="165"/>
      <c r="C354" s="165"/>
      <c r="D354" s="165"/>
      <c r="E354" s="165"/>
      <c r="F354" s="166">
        <v>40000</v>
      </c>
      <c r="G354" s="166">
        <v>451000000</v>
      </c>
    </row>
    <row r="355" spans="1:7">
      <c r="A355" s="165" t="s">
        <v>801</v>
      </c>
      <c r="B355" s="165" t="s">
        <v>2064</v>
      </c>
      <c r="C355" s="165" t="s">
        <v>29</v>
      </c>
      <c r="D355" s="250">
        <v>43709</v>
      </c>
      <c r="E355" s="165">
        <v>15200</v>
      </c>
      <c r="F355" s="166">
        <v>5040</v>
      </c>
      <c r="G355" s="166">
        <v>76608000</v>
      </c>
    </row>
    <row r="356" spans="1:7">
      <c r="B356" s="165" t="s">
        <v>2018</v>
      </c>
      <c r="C356" s="165" t="s">
        <v>29</v>
      </c>
      <c r="D356" s="250">
        <v>43709</v>
      </c>
      <c r="E356" s="165">
        <v>15300</v>
      </c>
      <c r="F356" s="166">
        <v>5040</v>
      </c>
      <c r="G356" s="166">
        <v>77112000</v>
      </c>
    </row>
    <row r="357" spans="1:7">
      <c r="B357" s="165" t="s">
        <v>2023</v>
      </c>
      <c r="C357" s="165" t="s">
        <v>29</v>
      </c>
      <c r="D357" s="250">
        <v>43709</v>
      </c>
      <c r="E357" s="165">
        <v>11000</v>
      </c>
      <c r="F357" s="166">
        <v>5000</v>
      </c>
      <c r="G357" s="166">
        <v>55000000</v>
      </c>
    </row>
    <row r="358" spans="1:7">
      <c r="A358" s="165" t="s">
        <v>2287</v>
      </c>
      <c r="B358" s="165"/>
      <c r="C358" s="165"/>
      <c r="D358" s="165"/>
      <c r="E358" s="165"/>
      <c r="F358" s="166">
        <v>15080</v>
      </c>
      <c r="G358" s="166">
        <v>208720000</v>
      </c>
    </row>
    <row r="359" spans="1:7">
      <c r="A359" s="165" t="s">
        <v>291</v>
      </c>
      <c r="B359" s="165" t="s">
        <v>2011</v>
      </c>
      <c r="C359" s="165" t="s">
        <v>29</v>
      </c>
      <c r="D359" s="250">
        <v>43709</v>
      </c>
      <c r="E359" s="165">
        <v>10500</v>
      </c>
      <c r="F359" s="166">
        <v>5000</v>
      </c>
      <c r="G359" s="166">
        <v>52500000</v>
      </c>
    </row>
    <row r="360" spans="1:7">
      <c r="B360" s="165" t="s">
        <v>2015</v>
      </c>
      <c r="C360" s="165" t="s">
        <v>29</v>
      </c>
      <c r="D360" s="250">
        <v>43709</v>
      </c>
      <c r="E360" s="165">
        <v>10500</v>
      </c>
      <c r="F360" s="166">
        <v>5000</v>
      </c>
      <c r="G360" s="166">
        <v>52500000</v>
      </c>
    </row>
    <row r="361" spans="1:7">
      <c r="A361" s="165" t="s">
        <v>2288</v>
      </c>
      <c r="B361" s="165"/>
      <c r="C361" s="165"/>
      <c r="D361" s="165"/>
      <c r="E361" s="165"/>
      <c r="F361" s="166">
        <v>10000</v>
      </c>
      <c r="G361" s="166">
        <v>105000000</v>
      </c>
    </row>
    <row r="362" spans="1:7">
      <c r="A362" s="165" t="s">
        <v>1060</v>
      </c>
      <c r="B362" s="165" t="s">
        <v>2011</v>
      </c>
      <c r="C362" s="165" t="s">
        <v>29</v>
      </c>
      <c r="D362" s="250">
        <v>43709</v>
      </c>
      <c r="E362" s="165">
        <v>10500</v>
      </c>
      <c r="F362" s="166">
        <v>2000</v>
      </c>
      <c r="G362" s="166">
        <v>21000000</v>
      </c>
    </row>
    <row r="363" spans="1:7">
      <c r="B363" s="165" t="s">
        <v>2015</v>
      </c>
      <c r="C363" s="165" t="s">
        <v>29</v>
      </c>
      <c r="D363" s="250">
        <v>43709</v>
      </c>
      <c r="E363" s="165">
        <v>10500</v>
      </c>
      <c r="F363" s="166">
        <v>3000</v>
      </c>
      <c r="G363" s="166">
        <v>31500000</v>
      </c>
    </row>
    <row r="364" spans="1:7">
      <c r="B364" s="165" t="s">
        <v>2023</v>
      </c>
      <c r="C364" s="165" t="s">
        <v>29</v>
      </c>
      <c r="D364" s="250">
        <v>43709</v>
      </c>
      <c r="E364" s="165">
        <v>10800</v>
      </c>
      <c r="F364" s="166">
        <v>5000</v>
      </c>
      <c r="G364" s="166">
        <v>54000000</v>
      </c>
    </row>
    <row r="365" spans="1:7">
      <c r="A365" s="165" t="s">
        <v>2289</v>
      </c>
      <c r="B365" s="165"/>
      <c r="C365" s="165"/>
      <c r="D365" s="165"/>
      <c r="E365" s="165"/>
      <c r="F365" s="166">
        <v>10000</v>
      </c>
      <c r="G365" s="166">
        <v>106500000</v>
      </c>
    </row>
    <row r="366" spans="1:7">
      <c r="A366" s="165" t="s">
        <v>1086</v>
      </c>
      <c r="B366" s="165" t="s">
        <v>2035</v>
      </c>
      <c r="C366" s="165" t="s">
        <v>29</v>
      </c>
      <c r="D366" s="250">
        <v>43709</v>
      </c>
      <c r="E366" s="165">
        <v>8500</v>
      </c>
      <c r="F366" s="166">
        <v>10050</v>
      </c>
      <c r="G366" s="166">
        <v>85425000</v>
      </c>
    </row>
    <row r="367" spans="1:7">
      <c r="B367" s="165" t="s">
        <v>2049</v>
      </c>
      <c r="C367" s="165" t="s">
        <v>29</v>
      </c>
      <c r="D367" s="250">
        <v>43709</v>
      </c>
      <c r="E367" s="165">
        <v>3500</v>
      </c>
      <c r="F367" s="166">
        <v>5000</v>
      </c>
      <c r="G367" s="166">
        <v>17500000</v>
      </c>
    </row>
    <row r="368" spans="1:7">
      <c r="B368" s="165" t="s">
        <v>2055</v>
      </c>
      <c r="C368" s="165" t="s">
        <v>29</v>
      </c>
      <c r="D368" s="250">
        <v>43709</v>
      </c>
      <c r="E368" s="165">
        <v>3500</v>
      </c>
      <c r="F368" s="166">
        <v>24000</v>
      </c>
      <c r="G368" s="166">
        <v>84000000</v>
      </c>
    </row>
    <row r="369" spans="2:7">
      <c r="B369" s="165" t="s">
        <v>2056</v>
      </c>
      <c r="C369" s="165" t="s">
        <v>29</v>
      </c>
      <c r="D369" s="250">
        <v>43709</v>
      </c>
      <c r="E369" s="165">
        <v>5200</v>
      </c>
      <c r="F369" s="166">
        <v>4000</v>
      </c>
      <c r="G369" s="166">
        <v>20800000</v>
      </c>
    </row>
    <row r="370" spans="2:7">
      <c r="B370" s="165" t="s">
        <v>2060</v>
      </c>
      <c r="C370" s="165" t="s">
        <v>29</v>
      </c>
      <c r="D370" s="250">
        <v>43709</v>
      </c>
      <c r="E370" s="165">
        <v>8000</v>
      </c>
      <c r="F370" s="166">
        <v>9600</v>
      </c>
      <c r="G370" s="166">
        <v>76800000</v>
      </c>
    </row>
    <row r="371" spans="2:7">
      <c r="B371" s="165" t="s">
        <v>2011</v>
      </c>
      <c r="C371" s="165" t="s">
        <v>29</v>
      </c>
      <c r="D371" s="250">
        <v>43709</v>
      </c>
      <c r="E371" s="165">
        <v>10500</v>
      </c>
      <c r="F371" s="166">
        <v>5000</v>
      </c>
      <c r="G371" s="166">
        <v>52500000</v>
      </c>
    </row>
    <row r="372" spans="2:7">
      <c r="B372" s="165" t="s">
        <v>2066</v>
      </c>
      <c r="C372" s="165" t="s">
        <v>29</v>
      </c>
      <c r="D372" s="250">
        <v>43709</v>
      </c>
      <c r="E372" s="165">
        <v>5200</v>
      </c>
      <c r="F372" s="166">
        <v>4000</v>
      </c>
      <c r="G372" s="166">
        <v>20800000</v>
      </c>
    </row>
    <row r="373" spans="2:7">
      <c r="B373" s="165" t="s">
        <v>2069</v>
      </c>
      <c r="C373" s="165" t="s">
        <v>29</v>
      </c>
      <c r="D373" s="250">
        <v>43709</v>
      </c>
      <c r="E373" s="165">
        <v>14200</v>
      </c>
      <c r="F373" s="166">
        <v>10000</v>
      </c>
      <c r="G373" s="166">
        <v>142000000</v>
      </c>
    </row>
    <row r="374" spans="2:7">
      <c r="B374" s="165" t="s">
        <v>2072</v>
      </c>
      <c r="C374" s="165" t="s">
        <v>29</v>
      </c>
      <c r="D374" s="250">
        <v>43709</v>
      </c>
      <c r="E374" s="165" t="s">
        <v>385</v>
      </c>
      <c r="F374" s="166">
        <v>2000</v>
      </c>
      <c r="G374" s="166">
        <v>0</v>
      </c>
    </row>
    <row r="375" spans="2:7">
      <c r="B375" s="165" t="s">
        <v>2075</v>
      </c>
      <c r="C375" s="165" t="s">
        <v>29</v>
      </c>
      <c r="D375" s="250">
        <v>43709</v>
      </c>
      <c r="E375" s="165">
        <v>6100</v>
      </c>
      <c r="F375" s="166">
        <v>2000</v>
      </c>
      <c r="G375" s="166">
        <v>12200000</v>
      </c>
    </row>
    <row r="376" spans="2:7">
      <c r="B376" s="165" t="s">
        <v>2081</v>
      </c>
      <c r="C376" s="165" t="s">
        <v>29</v>
      </c>
      <c r="D376" s="250">
        <v>43709</v>
      </c>
      <c r="E376" s="165">
        <v>3500</v>
      </c>
      <c r="F376" s="166">
        <v>27000</v>
      </c>
      <c r="G376" s="166">
        <v>94500000</v>
      </c>
    </row>
    <row r="377" spans="2:7">
      <c r="B377" s="165" t="s">
        <v>2082</v>
      </c>
      <c r="C377" s="165" t="s">
        <v>29</v>
      </c>
      <c r="D377" s="250">
        <v>43709</v>
      </c>
      <c r="E377" s="165">
        <v>5200</v>
      </c>
      <c r="F377" s="166">
        <v>4000</v>
      </c>
      <c r="G377" s="166">
        <v>20800000</v>
      </c>
    </row>
    <row r="378" spans="2:7">
      <c r="B378" s="165" t="s">
        <v>2088</v>
      </c>
      <c r="C378" s="165" t="s">
        <v>29</v>
      </c>
      <c r="D378" s="250">
        <v>43709</v>
      </c>
      <c r="E378" s="165">
        <v>3600</v>
      </c>
      <c r="F378" s="166">
        <v>8400</v>
      </c>
      <c r="G378" s="166">
        <v>30240000</v>
      </c>
    </row>
    <row r="379" spans="2:7">
      <c r="B379" s="165" t="s">
        <v>2090</v>
      </c>
      <c r="C379" s="165" t="s">
        <v>29</v>
      </c>
      <c r="D379" s="250">
        <v>43709</v>
      </c>
      <c r="E379" s="165">
        <v>6800</v>
      </c>
      <c r="F379" s="166">
        <v>3000</v>
      </c>
      <c r="G379" s="166">
        <v>20400000</v>
      </c>
    </row>
    <row r="380" spans="2:7">
      <c r="B380" s="165" t="s">
        <v>2096</v>
      </c>
      <c r="C380" s="165" t="s">
        <v>29</v>
      </c>
      <c r="D380" s="250">
        <v>43709</v>
      </c>
      <c r="E380" s="165">
        <v>9200</v>
      </c>
      <c r="F380" s="166">
        <v>4500</v>
      </c>
      <c r="G380" s="166">
        <v>41400000</v>
      </c>
    </row>
    <row r="381" spans="2:7">
      <c r="B381" s="165" t="s">
        <v>2097</v>
      </c>
      <c r="C381" s="165" t="s">
        <v>29</v>
      </c>
      <c r="D381" s="250">
        <v>43709</v>
      </c>
      <c r="E381" s="165">
        <v>3500</v>
      </c>
      <c r="F381" s="166">
        <v>24000</v>
      </c>
      <c r="G381" s="166">
        <v>84000000</v>
      </c>
    </row>
    <row r="382" spans="2:7">
      <c r="B382" s="165" t="s">
        <v>2101</v>
      </c>
      <c r="C382" s="165" t="s">
        <v>29</v>
      </c>
      <c r="D382" s="250">
        <v>43709</v>
      </c>
      <c r="E382" s="165">
        <v>8400</v>
      </c>
      <c r="F382" s="166">
        <v>5250</v>
      </c>
      <c r="G382" s="166">
        <v>44100000</v>
      </c>
    </row>
    <row r="383" spans="2:7">
      <c r="B383" s="165" t="s">
        <v>2111</v>
      </c>
      <c r="C383" s="165" t="s">
        <v>29</v>
      </c>
      <c r="D383" s="250">
        <v>43709</v>
      </c>
      <c r="E383" s="165">
        <v>9500</v>
      </c>
      <c r="F383" s="166">
        <v>5100</v>
      </c>
      <c r="G383" s="166">
        <v>48450000</v>
      </c>
    </row>
    <row r="384" spans="2:7">
      <c r="B384" s="165" t="s">
        <v>2112</v>
      </c>
      <c r="C384" s="165" t="s">
        <v>29</v>
      </c>
      <c r="D384" s="250">
        <v>43709</v>
      </c>
      <c r="E384" s="165">
        <v>6500</v>
      </c>
      <c r="F384" s="166">
        <v>1500</v>
      </c>
      <c r="G384" s="166">
        <v>9750000</v>
      </c>
    </row>
    <row r="385" spans="1:7">
      <c r="B385" s="165" t="s">
        <v>2123</v>
      </c>
      <c r="C385" s="165" t="s">
        <v>29</v>
      </c>
      <c r="D385" s="250">
        <v>43709</v>
      </c>
      <c r="E385" s="165">
        <v>8500</v>
      </c>
      <c r="F385" s="166">
        <v>1500</v>
      </c>
      <c r="G385" s="166">
        <v>12750000</v>
      </c>
    </row>
    <row r="386" spans="1:7">
      <c r="B386" s="165" t="s">
        <v>2127</v>
      </c>
      <c r="C386" s="165" t="s">
        <v>29</v>
      </c>
      <c r="D386" s="250">
        <v>43709</v>
      </c>
      <c r="E386" s="165">
        <v>6100</v>
      </c>
      <c r="F386" s="166">
        <v>2000</v>
      </c>
      <c r="G386" s="166">
        <v>12200000</v>
      </c>
    </row>
    <row r="387" spans="1:7">
      <c r="B387" s="165" t="s">
        <v>2151</v>
      </c>
      <c r="C387" s="165" t="s">
        <v>29</v>
      </c>
      <c r="D387" s="250">
        <v>43709</v>
      </c>
      <c r="E387" s="165">
        <v>7600</v>
      </c>
      <c r="F387" s="166">
        <v>3000</v>
      </c>
      <c r="G387" s="166">
        <v>22800000</v>
      </c>
    </row>
    <row r="388" spans="1:7">
      <c r="B388" s="165" t="s">
        <v>2154</v>
      </c>
      <c r="C388" s="165" t="s">
        <v>29</v>
      </c>
      <c r="D388" s="250">
        <v>43709</v>
      </c>
      <c r="E388" s="165">
        <v>7800</v>
      </c>
      <c r="F388" s="166">
        <v>2250</v>
      </c>
      <c r="G388" s="166">
        <v>17550000</v>
      </c>
    </row>
    <row r="389" spans="1:7">
      <c r="B389" s="165" t="s">
        <v>2155</v>
      </c>
      <c r="C389" s="165" t="s">
        <v>29</v>
      </c>
      <c r="D389" s="250">
        <v>43709</v>
      </c>
      <c r="E389" s="165">
        <v>9300</v>
      </c>
      <c r="F389" s="166">
        <v>5000</v>
      </c>
      <c r="G389" s="166">
        <v>46500000</v>
      </c>
    </row>
    <row r="390" spans="1:7">
      <c r="B390" s="165" t="s">
        <v>2159</v>
      </c>
      <c r="C390" s="165" t="s">
        <v>29</v>
      </c>
      <c r="D390" s="250">
        <v>43709</v>
      </c>
      <c r="E390" s="165">
        <v>3500</v>
      </c>
      <c r="F390" s="166">
        <v>12000</v>
      </c>
      <c r="G390" s="166">
        <v>42000000</v>
      </c>
    </row>
    <row r="391" spans="1:7">
      <c r="B391" s="165" t="s">
        <v>2160</v>
      </c>
      <c r="C391" s="165" t="s">
        <v>29</v>
      </c>
      <c r="D391" s="250">
        <v>43709</v>
      </c>
      <c r="E391" s="165">
        <v>5200</v>
      </c>
      <c r="F391" s="166">
        <v>4000</v>
      </c>
      <c r="G391" s="166">
        <v>20800000</v>
      </c>
    </row>
    <row r="392" spans="1:7">
      <c r="B392" s="165" t="s">
        <v>2165</v>
      </c>
      <c r="C392" s="165" t="s">
        <v>29</v>
      </c>
      <c r="D392" s="250">
        <v>43709</v>
      </c>
      <c r="E392" s="165">
        <v>3500</v>
      </c>
      <c r="F392" s="166">
        <v>8400</v>
      </c>
      <c r="G392" s="166">
        <v>29400000</v>
      </c>
    </row>
    <row r="393" spans="1:7">
      <c r="B393" s="165" t="s">
        <v>2168</v>
      </c>
      <c r="C393" s="165" t="s">
        <v>29</v>
      </c>
      <c r="D393" s="250">
        <v>43709</v>
      </c>
      <c r="E393" s="165">
        <v>3600</v>
      </c>
      <c r="F393" s="166">
        <v>5000</v>
      </c>
      <c r="G393" s="166">
        <v>18000000</v>
      </c>
    </row>
    <row r="394" spans="1:7">
      <c r="B394" s="165" t="s">
        <v>2019</v>
      </c>
      <c r="C394" s="165" t="s">
        <v>29</v>
      </c>
      <c r="D394" s="250">
        <v>43709</v>
      </c>
      <c r="E394" s="165">
        <v>9400</v>
      </c>
      <c r="F394" s="166">
        <v>5100</v>
      </c>
      <c r="G394" s="166">
        <v>47940000</v>
      </c>
    </row>
    <row r="395" spans="1:7">
      <c r="B395" s="165" t="s">
        <v>2182</v>
      </c>
      <c r="C395" s="165" t="s">
        <v>29</v>
      </c>
      <c r="D395" s="250">
        <v>43709</v>
      </c>
      <c r="E395" s="165">
        <v>3500</v>
      </c>
      <c r="F395" s="166">
        <v>9000</v>
      </c>
      <c r="G395" s="166">
        <v>31500000</v>
      </c>
    </row>
    <row r="396" spans="1:7">
      <c r="B396" s="165" t="s">
        <v>2190</v>
      </c>
      <c r="C396" s="165" t="s">
        <v>29</v>
      </c>
      <c r="D396" s="250">
        <v>43709</v>
      </c>
      <c r="E396" s="165">
        <v>6400</v>
      </c>
      <c r="F396" s="166">
        <v>3000</v>
      </c>
      <c r="G396" s="166">
        <v>19200000</v>
      </c>
    </row>
    <row r="397" spans="1:7">
      <c r="B397" s="165" t="s">
        <v>2193</v>
      </c>
      <c r="C397" s="165" t="s">
        <v>29</v>
      </c>
      <c r="D397" s="250">
        <v>43709</v>
      </c>
      <c r="E397" s="165">
        <v>6200</v>
      </c>
      <c r="F397" s="166">
        <v>35100</v>
      </c>
      <c r="G397" s="166">
        <v>217620000</v>
      </c>
    </row>
    <row r="398" spans="1:7">
      <c r="A398" s="165" t="s">
        <v>2291</v>
      </c>
      <c r="B398" s="165"/>
      <c r="C398" s="165"/>
      <c r="D398" s="165"/>
      <c r="E398" s="165"/>
      <c r="F398" s="166">
        <v>253750</v>
      </c>
      <c r="G398" s="166">
        <v>1443925000</v>
      </c>
    </row>
    <row r="399" spans="1:7">
      <c r="A399" s="165" t="s">
        <v>213</v>
      </c>
      <c r="B399" s="165" t="s">
        <v>2011</v>
      </c>
      <c r="C399" s="165" t="s">
        <v>29</v>
      </c>
      <c r="D399" s="250">
        <v>43709</v>
      </c>
      <c r="E399" s="165">
        <v>10500</v>
      </c>
      <c r="F399" s="166">
        <v>15000</v>
      </c>
      <c r="G399" s="166">
        <v>157500000</v>
      </c>
    </row>
    <row r="400" spans="1:7">
      <c r="B400" s="165" t="s">
        <v>2144</v>
      </c>
      <c r="C400" s="165" t="s">
        <v>29</v>
      </c>
      <c r="D400" s="250">
        <v>43709</v>
      </c>
      <c r="E400" s="165">
        <v>12500</v>
      </c>
      <c r="F400" s="166">
        <v>15000</v>
      </c>
      <c r="G400" s="166">
        <v>187500000</v>
      </c>
    </row>
    <row r="401" spans="1:7">
      <c r="A401" s="165" t="s">
        <v>2292</v>
      </c>
      <c r="B401" s="165"/>
      <c r="C401" s="165"/>
      <c r="D401" s="165"/>
      <c r="E401" s="165"/>
      <c r="F401" s="166">
        <v>30000</v>
      </c>
      <c r="G401" s="166">
        <v>345000000</v>
      </c>
    </row>
    <row r="402" spans="1:7">
      <c r="A402" s="165" t="s">
        <v>1037</v>
      </c>
      <c r="B402" s="165" t="s">
        <v>2062</v>
      </c>
      <c r="C402" s="165" t="s">
        <v>29</v>
      </c>
      <c r="D402" s="250">
        <v>43709</v>
      </c>
      <c r="E402" s="165">
        <v>12000</v>
      </c>
      <c r="F402" s="166">
        <v>27000</v>
      </c>
      <c r="G402" s="166">
        <v>324000000</v>
      </c>
    </row>
    <row r="403" spans="1:7">
      <c r="B403" s="165" t="s">
        <v>2143</v>
      </c>
      <c r="C403" s="165" t="s">
        <v>29</v>
      </c>
      <c r="D403" s="250">
        <v>43709</v>
      </c>
      <c r="E403" s="165">
        <v>12500</v>
      </c>
      <c r="F403" s="166">
        <v>5000</v>
      </c>
      <c r="G403" s="166">
        <v>62500000</v>
      </c>
    </row>
    <row r="404" spans="1:7">
      <c r="B404" s="165" t="s">
        <v>2145</v>
      </c>
      <c r="C404" s="165" t="s">
        <v>29</v>
      </c>
      <c r="D404" s="250">
        <v>43709</v>
      </c>
      <c r="E404" s="165">
        <v>13000</v>
      </c>
      <c r="F404" s="166">
        <v>5000</v>
      </c>
      <c r="G404" s="166">
        <v>65000000</v>
      </c>
    </row>
    <row r="405" spans="1:7">
      <c r="A405" s="165" t="s">
        <v>2293</v>
      </c>
      <c r="B405" s="165"/>
      <c r="C405" s="165"/>
      <c r="D405" s="165"/>
      <c r="E405" s="165"/>
      <c r="F405" s="166">
        <v>37000</v>
      </c>
      <c r="G405" s="166">
        <v>451500000</v>
      </c>
    </row>
    <row r="406" spans="1:7">
      <c r="A406" s="165" t="s">
        <v>1370</v>
      </c>
      <c r="B406" s="165" t="s">
        <v>2135</v>
      </c>
      <c r="C406" s="165" t="s">
        <v>29</v>
      </c>
      <c r="D406" s="250">
        <v>43709</v>
      </c>
      <c r="E406" s="165">
        <v>13500</v>
      </c>
      <c r="F406" s="166">
        <v>3000</v>
      </c>
      <c r="G406" s="166">
        <v>40500000</v>
      </c>
    </row>
    <row r="407" spans="1:7">
      <c r="A407" s="165" t="s">
        <v>2294</v>
      </c>
      <c r="B407" s="165"/>
      <c r="C407" s="165"/>
      <c r="D407" s="165"/>
      <c r="E407" s="165"/>
      <c r="F407" s="166">
        <v>3000</v>
      </c>
      <c r="G407" s="166">
        <v>40500000</v>
      </c>
    </row>
    <row r="408" spans="1:7">
      <c r="A408" s="165" t="s">
        <v>1142</v>
      </c>
      <c r="B408" s="165" t="s">
        <v>2035</v>
      </c>
      <c r="C408" s="165" t="s">
        <v>29</v>
      </c>
      <c r="D408" s="250">
        <v>43709</v>
      </c>
      <c r="E408" s="165">
        <v>8500</v>
      </c>
      <c r="F408" s="166">
        <v>10200</v>
      </c>
      <c r="G408" s="166">
        <v>86700000</v>
      </c>
    </row>
    <row r="409" spans="1:7">
      <c r="B409" s="165" t="s">
        <v>2011</v>
      </c>
      <c r="C409" s="165" t="s">
        <v>29</v>
      </c>
      <c r="D409" s="250">
        <v>43709</v>
      </c>
      <c r="E409" s="165">
        <v>10500</v>
      </c>
      <c r="F409" s="166">
        <v>20000</v>
      </c>
      <c r="G409" s="166">
        <v>210000000</v>
      </c>
    </row>
    <row r="410" spans="1:7">
      <c r="B410" s="165" t="s">
        <v>2096</v>
      </c>
      <c r="C410" s="165" t="s">
        <v>29</v>
      </c>
      <c r="D410" s="250">
        <v>43709</v>
      </c>
      <c r="E410" s="165">
        <v>9200</v>
      </c>
      <c r="F410" s="166">
        <v>5100</v>
      </c>
      <c r="G410" s="166">
        <v>46920000</v>
      </c>
    </row>
    <row r="411" spans="1:7">
      <c r="B411" s="165" t="s">
        <v>2015</v>
      </c>
      <c r="C411" s="165" t="s">
        <v>29</v>
      </c>
      <c r="D411" s="250">
        <v>43709</v>
      </c>
      <c r="E411" s="165">
        <v>10700</v>
      </c>
      <c r="F411" s="166">
        <v>20000</v>
      </c>
      <c r="G411" s="166">
        <v>214000000</v>
      </c>
    </row>
    <row r="412" spans="1:7">
      <c r="A412" s="165" t="s">
        <v>2297</v>
      </c>
      <c r="B412" s="165"/>
      <c r="C412" s="165"/>
      <c r="D412" s="165"/>
      <c r="E412" s="165"/>
      <c r="F412" s="166">
        <v>55300</v>
      </c>
      <c r="G412" s="166">
        <v>557620000</v>
      </c>
    </row>
    <row r="413" spans="1:7">
      <c r="A413" s="165" t="s">
        <v>1864</v>
      </c>
      <c r="B413" s="165" t="s">
        <v>2061</v>
      </c>
      <c r="C413" s="165" t="s">
        <v>29</v>
      </c>
      <c r="D413" s="250">
        <v>43709</v>
      </c>
      <c r="E413" s="165">
        <v>9600</v>
      </c>
      <c r="F413" s="166">
        <v>1200</v>
      </c>
      <c r="G413" s="166">
        <v>11520000</v>
      </c>
    </row>
    <row r="414" spans="1:7">
      <c r="B414" s="165" t="s">
        <v>2177</v>
      </c>
      <c r="C414" s="165" t="s">
        <v>29</v>
      </c>
      <c r="D414" s="250">
        <v>43709</v>
      </c>
      <c r="E414" s="165">
        <v>6200</v>
      </c>
      <c r="F414" s="166">
        <v>1600</v>
      </c>
      <c r="G414" s="166">
        <v>9920000</v>
      </c>
    </row>
    <row r="415" spans="1:7">
      <c r="A415" s="165" t="s">
        <v>2348</v>
      </c>
      <c r="B415" s="165"/>
      <c r="C415" s="165"/>
      <c r="D415" s="165"/>
      <c r="E415" s="165"/>
      <c r="F415" s="166">
        <v>2800</v>
      </c>
      <c r="G415" s="166">
        <v>21440000</v>
      </c>
    </row>
    <row r="416" spans="1:7">
      <c r="A416" s="165" t="s">
        <v>239</v>
      </c>
      <c r="B416" s="165" t="s">
        <v>2060</v>
      </c>
      <c r="C416" s="165" t="s">
        <v>29</v>
      </c>
      <c r="D416" s="250">
        <v>43709</v>
      </c>
      <c r="E416" s="165">
        <v>8000</v>
      </c>
      <c r="F416" s="166">
        <v>5100</v>
      </c>
      <c r="G416" s="166">
        <v>40800000</v>
      </c>
    </row>
    <row r="417" spans="1:7">
      <c r="B417" s="165" t="s">
        <v>1872</v>
      </c>
      <c r="C417" s="165" t="s">
        <v>29</v>
      </c>
      <c r="D417" s="250">
        <v>43709</v>
      </c>
      <c r="E417" s="165">
        <v>8500</v>
      </c>
      <c r="F417" s="166">
        <v>5100</v>
      </c>
      <c r="G417" s="166">
        <v>43350000</v>
      </c>
    </row>
    <row r="418" spans="1:7">
      <c r="A418" s="165" t="s">
        <v>2299</v>
      </c>
      <c r="B418" s="165"/>
      <c r="C418" s="165"/>
      <c r="D418" s="165"/>
      <c r="E418" s="165"/>
      <c r="F418" s="166">
        <v>10200</v>
      </c>
      <c r="G418" s="166">
        <v>84150000</v>
      </c>
    </row>
    <row r="419" spans="1:7">
      <c r="A419" s="165" t="s">
        <v>1209</v>
      </c>
      <c r="B419" s="165" t="s">
        <v>2093</v>
      </c>
      <c r="C419" s="165" t="s">
        <v>29</v>
      </c>
      <c r="D419" s="250">
        <v>43709</v>
      </c>
      <c r="E419" s="165">
        <v>11400</v>
      </c>
      <c r="F419" s="166">
        <v>20000</v>
      </c>
      <c r="G419" s="166">
        <v>228000000</v>
      </c>
    </row>
    <row r="420" spans="1:7">
      <c r="A420" s="165" t="s">
        <v>2300</v>
      </c>
      <c r="B420" s="165"/>
      <c r="C420" s="165"/>
      <c r="D420" s="165"/>
      <c r="E420" s="165"/>
      <c r="F420" s="166">
        <v>20000</v>
      </c>
      <c r="G420" s="166">
        <v>228000000</v>
      </c>
    </row>
    <row r="421" spans="1:7">
      <c r="A421" s="165" t="s">
        <v>2377</v>
      </c>
      <c r="B421" s="165" t="s">
        <v>2011</v>
      </c>
      <c r="C421" s="165" t="s">
        <v>29</v>
      </c>
      <c r="D421" s="250">
        <v>43709</v>
      </c>
      <c r="E421" s="165">
        <v>10600</v>
      </c>
      <c r="F421" s="166">
        <v>5000</v>
      </c>
      <c r="G421" s="166">
        <v>53000000</v>
      </c>
    </row>
    <row r="422" spans="1:7">
      <c r="B422" s="165" t="s">
        <v>2015</v>
      </c>
      <c r="C422" s="165" t="s">
        <v>29</v>
      </c>
      <c r="D422" s="250">
        <v>43709</v>
      </c>
      <c r="E422" s="165">
        <v>10700</v>
      </c>
      <c r="F422" s="166">
        <v>5000</v>
      </c>
      <c r="G422" s="166">
        <v>53500000</v>
      </c>
    </row>
    <row r="423" spans="1:7">
      <c r="A423" s="165" t="s">
        <v>2382</v>
      </c>
      <c r="B423" s="165"/>
      <c r="C423" s="165"/>
      <c r="D423" s="165"/>
      <c r="E423" s="165"/>
      <c r="F423" s="166">
        <v>10000</v>
      </c>
      <c r="G423" s="166">
        <v>106500000</v>
      </c>
    </row>
    <row r="424" spans="1:7">
      <c r="A424" s="165" t="s">
        <v>278</v>
      </c>
      <c r="B424" s="165" t="s">
        <v>2011</v>
      </c>
      <c r="C424" s="165" t="s">
        <v>29</v>
      </c>
      <c r="D424" s="250">
        <v>43709</v>
      </c>
      <c r="E424" s="165">
        <v>10600</v>
      </c>
      <c r="F424" s="166">
        <v>10000</v>
      </c>
      <c r="G424" s="166">
        <v>106000000</v>
      </c>
    </row>
    <row r="425" spans="1:7">
      <c r="A425" s="165" t="s">
        <v>2301</v>
      </c>
      <c r="B425" s="165"/>
      <c r="C425" s="165"/>
      <c r="D425" s="165"/>
      <c r="E425" s="165"/>
      <c r="F425" s="166">
        <v>10000</v>
      </c>
      <c r="G425" s="166">
        <v>106000000</v>
      </c>
    </row>
    <row r="426" spans="1:7">
      <c r="A426" s="165" t="s">
        <v>1886</v>
      </c>
      <c r="B426" s="165" t="s">
        <v>2011</v>
      </c>
      <c r="C426" s="165" t="s">
        <v>29</v>
      </c>
      <c r="D426" s="250">
        <v>43709</v>
      </c>
      <c r="E426" s="165">
        <v>10600</v>
      </c>
      <c r="F426" s="166">
        <v>1500</v>
      </c>
      <c r="G426" s="166">
        <v>15900000</v>
      </c>
    </row>
    <row r="427" spans="1:7">
      <c r="B427" s="165" t="s">
        <v>2015</v>
      </c>
      <c r="C427" s="165" t="s">
        <v>29</v>
      </c>
      <c r="D427" s="250">
        <v>43709</v>
      </c>
      <c r="E427" s="165">
        <v>10700</v>
      </c>
      <c r="F427" s="166">
        <v>3500</v>
      </c>
      <c r="G427" s="166">
        <v>37450000</v>
      </c>
    </row>
    <row r="428" spans="1:7">
      <c r="A428" s="165" t="s">
        <v>2353</v>
      </c>
      <c r="B428" s="165"/>
      <c r="C428" s="165"/>
      <c r="D428" s="165"/>
      <c r="E428" s="165"/>
      <c r="F428" s="166">
        <v>5000</v>
      </c>
      <c r="G428" s="166">
        <v>53350000</v>
      </c>
    </row>
    <row r="429" spans="1:7">
      <c r="A429" s="165" t="s">
        <v>646</v>
      </c>
      <c r="B429" s="165" t="s">
        <v>2060</v>
      </c>
      <c r="C429" s="165" t="s">
        <v>29</v>
      </c>
      <c r="D429" s="250">
        <v>43709</v>
      </c>
      <c r="E429" s="165">
        <v>7200</v>
      </c>
      <c r="F429" s="166">
        <v>6000</v>
      </c>
      <c r="G429" s="166">
        <v>43200000</v>
      </c>
    </row>
    <row r="430" spans="1:7">
      <c r="B430" s="165" t="s">
        <v>2197</v>
      </c>
      <c r="C430" s="165" t="s">
        <v>29</v>
      </c>
      <c r="D430" s="250">
        <v>43709</v>
      </c>
      <c r="E430" s="165">
        <v>8255</v>
      </c>
      <c r="F430" s="166">
        <v>1200</v>
      </c>
      <c r="G430" s="166">
        <v>9906000</v>
      </c>
    </row>
    <row r="431" spans="1:7">
      <c r="B431" s="165" t="s">
        <v>2198</v>
      </c>
      <c r="C431" s="165" t="s">
        <v>29</v>
      </c>
      <c r="D431" s="250">
        <v>43709</v>
      </c>
      <c r="E431" s="165">
        <v>11900</v>
      </c>
      <c r="F431" s="166">
        <v>600</v>
      </c>
      <c r="G431" s="166">
        <v>7140000</v>
      </c>
    </row>
    <row r="432" spans="1:7">
      <c r="A432" s="165" t="s">
        <v>2302</v>
      </c>
      <c r="B432" s="165"/>
      <c r="C432" s="165"/>
      <c r="D432" s="165"/>
      <c r="E432" s="165"/>
      <c r="F432" s="166">
        <v>7800</v>
      </c>
      <c r="G432" s="166">
        <v>60246000</v>
      </c>
    </row>
    <row r="433" spans="1:7">
      <c r="A433" s="165" t="s">
        <v>195</v>
      </c>
      <c r="B433" s="165" t="s">
        <v>2061</v>
      </c>
      <c r="C433" s="165" t="s">
        <v>29</v>
      </c>
      <c r="D433" s="250">
        <v>43709</v>
      </c>
      <c r="E433" s="165">
        <v>9600</v>
      </c>
      <c r="F433" s="166">
        <v>8100</v>
      </c>
      <c r="G433" s="166">
        <v>77760000</v>
      </c>
    </row>
    <row r="434" spans="1:7">
      <c r="B434" s="165" t="s">
        <v>2133</v>
      </c>
      <c r="C434" s="165" t="s">
        <v>29</v>
      </c>
      <c r="D434" s="250">
        <v>43709</v>
      </c>
      <c r="E434" s="165">
        <v>11500</v>
      </c>
      <c r="F434" s="166">
        <v>5100</v>
      </c>
      <c r="G434" s="166">
        <v>58650000</v>
      </c>
    </row>
    <row r="435" spans="1:7">
      <c r="A435" s="165" t="s">
        <v>2306</v>
      </c>
      <c r="B435" s="165"/>
      <c r="C435" s="165"/>
      <c r="D435" s="165"/>
      <c r="E435" s="165"/>
      <c r="F435" s="166">
        <v>13200</v>
      </c>
      <c r="G435" s="166">
        <v>136410000</v>
      </c>
    </row>
    <row r="436" spans="1:7">
      <c r="A436" s="165" t="s">
        <v>1188</v>
      </c>
      <c r="B436" s="165" t="s">
        <v>2016</v>
      </c>
      <c r="C436" s="165" t="s">
        <v>29</v>
      </c>
      <c r="D436" s="250">
        <v>43709</v>
      </c>
      <c r="E436" s="165">
        <v>13600</v>
      </c>
      <c r="F436" s="166">
        <v>8000</v>
      </c>
      <c r="G436" s="166">
        <v>108800000</v>
      </c>
    </row>
    <row r="437" spans="1:7">
      <c r="B437" s="165" t="s">
        <v>2015</v>
      </c>
      <c r="C437" s="165" t="s">
        <v>29</v>
      </c>
      <c r="D437" s="250">
        <v>43709</v>
      </c>
      <c r="E437" s="165">
        <v>10700</v>
      </c>
      <c r="F437" s="166">
        <v>8000</v>
      </c>
      <c r="G437" s="166">
        <v>85600000</v>
      </c>
    </row>
    <row r="438" spans="1:7">
      <c r="B438" s="165" t="s">
        <v>2023</v>
      </c>
      <c r="C438" s="165" t="s">
        <v>29</v>
      </c>
      <c r="D438" s="250">
        <v>43709</v>
      </c>
      <c r="E438" s="165">
        <v>11000</v>
      </c>
      <c r="F438" s="166">
        <v>10000</v>
      </c>
      <c r="G438" s="166">
        <v>110000000</v>
      </c>
    </row>
    <row r="439" spans="1:7">
      <c r="A439" s="165" t="s">
        <v>2307</v>
      </c>
      <c r="B439" s="165"/>
      <c r="C439" s="165"/>
      <c r="D439" s="165"/>
      <c r="E439" s="165"/>
      <c r="F439" s="166">
        <v>26000</v>
      </c>
      <c r="G439" s="166">
        <v>304400000</v>
      </c>
    </row>
    <row r="440" spans="1:7">
      <c r="A440" s="165" t="s">
        <v>842</v>
      </c>
      <c r="B440" s="165" t="s">
        <v>2106</v>
      </c>
      <c r="C440" s="165" t="s">
        <v>29</v>
      </c>
      <c r="D440" s="250">
        <v>43709</v>
      </c>
      <c r="E440" s="165">
        <v>15400</v>
      </c>
      <c r="F440" s="166">
        <v>24300</v>
      </c>
      <c r="G440" s="166">
        <v>374220000</v>
      </c>
    </row>
    <row r="441" spans="1:7">
      <c r="B441" s="165" t="s">
        <v>2107</v>
      </c>
      <c r="C441" s="165" t="s">
        <v>29</v>
      </c>
      <c r="D441" s="250">
        <v>43709</v>
      </c>
      <c r="E441" s="165">
        <v>16200</v>
      </c>
      <c r="F441" s="166">
        <v>15635</v>
      </c>
      <c r="G441" s="166">
        <v>253287000</v>
      </c>
    </row>
    <row r="442" spans="1:7">
      <c r="B442" s="165" t="s">
        <v>2018</v>
      </c>
      <c r="C442" s="165" t="s">
        <v>29</v>
      </c>
      <c r="D442" s="250">
        <v>43709</v>
      </c>
      <c r="E442" s="165">
        <v>15400</v>
      </c>
      <c r="F442" s="166">
        <v>15040</v>
      </c>
      <c r="G442" s="166">
        <v>231616000</v>
      </c>
    </row>
    <row r="443" spans="1:7">
      <c r="B443" s="165" t="s">
        <v>2023</v>
      </c>
      <c r="C443" s="165" t="s">
        <v>29</v>
      </c>
      <c r="D443" s="250">
        <v>43709</v>
      </c>
      <c r="E443" s="165">
        <v>11000</v>
      </c>
      <c r="F443" s="166">
        <v>15000</v>
      </c>
      <c r="G443" s="166">
        <v>165000000</v>
      </c>
    </row>
    <row r="444" spans="1:7">
      <c r="A444" s="165" t="s">
        <v>2308</v>
      </c>
      <c r="B444" s="165"/>
      <c r="C444" s="165"/>
      <c r="D444" s="165"/>
      <c r="E444" s="165"/>
      <c r="F444" s="166">
        <v>69975</v>
      </c>
      <c r="G444" s="166">
        <v>1024123000</v>
      </c>
    </row>
    <row r="445" spans="1:7">
      <c r="A445" s="165" t="s">
        <v>1245</v>
      </c>
      <c r="B445" s="165" t="s">
        <v>2149</v>
      </c>
      <c r="C445" s="165" t="s">
        <v>29</v>
      </c>
      <c r="D445" s="250">
        <v>43709</v>
      </c>
      <c r="E445" s="165">
        <v>10900</v>
      </c>
      <c r="F445" s="166">
        <v>10000</v>
      </c>
      <c r="G445" s="166">
        <v>109000000</v>
      </c>
    </row>
    <row r="446" spans="1:7">
      <c r="B446" s="165" t="s">
        <v>2170</v>
      </c>
      <c r="C446" s="165" t="s">
        <v>29</v>
      </c>
      <c r="D446" s="250">
        <v>43709</v>
      </c>
      <c r="E446" s="165">
        <v>9200</v>
      </c>
      <c r="F446" s="166">
        <v>20000</v>
      </c>
      <c r="G446" s="166">
        <v>184000000</v>
      </c>
    </row>
    <row r="447" spans="1:7">
      <c r="B447" s="165" t="s">
        <v>2174</v>
      </c>
      <c r="C447" s="165" t="s">
        <v>29</v>
      </c>
      <c r="D447" s="250">
        <v>43709</v>
      </c>
      <c r="E447" s="165">
        <v>13900</v>
      </c>
      <c r="F447" s="166">
        <v>2950</v>
      </c>
      <c r="G447" s="166">
        <v>41005000</v>
      </c>
    </row>
    <row r="448" spans="1:7">
      <c r="A448" s="165" t="s">
        <v>2309</v>
      </c>
      <c r="B448" s="165"/>
      <c r="C448" s="165"/>
      <c r="D448" s="165"/>
      <c r="E448" s="165"/>
      <c r="F448" s="166">
        <v>32950</v>
      </c>
      <c r="G448" s="166">
        <v>334005000</v>
      </c>
    </row>
    <row r="449" spans="1:7">
      <c r="A449" s="165" t="s">
        <v>276</v>
      </c>
      <c r="B449" s="165" t="s">
        <v>2063</v>
      </c>
      <c r="C449" s="165" t="s">
        <v>29</v>
      </c>
      <c r="D449" s="250">
        <v>43709</v>
      </c>
      <c r="E449" s="165">
        <v>12500</v>
      </c>
      <c r="F449" s="166">
        <v>10000</v>
      </c>
      <c r="G449" s="166">
        <v>125000000</v>
      </c>
    </row>
    <row r="450" spans="1:7">
      <c r="B450" s="165" t="s">
        <v>2137</v>
      </c>
      <c r="C450" s="165" t="s">
        <v>29</v>
      </c>
      <c r="D450" s="250">
        <v>43709</v>
      </c>
      <c r="E450" s="165">
        <v>14200</v>
      </c>
      <c r="F450" s="166">
        <v>6000</v>
      </c>
      <c r="G450" s="166">
        <v>85200000</v>
      </c>
    </row>
    <row r="451" spans="1:7">
      <c r="B451" s="165" t="s">
        <v>2144</v>
      </c>
      <c r="C451" s="165" t="s">
        <v>29</v>
      </c>
      <c r="D451" s="250">
        <v>43709</v>
      </c>
      <c r="E451" s="165">
        <v>12500</v>
      </c>
      <c r="F451" s="166">
        <v>6000</v>
      </c>
      <c r="G451" s="166">
        <v>75000000</v>
      </c>
    </row>
    <row r="452" spans="1:7">
      <c r="A452" s="165" t="s">
        <v>2311</v>
      </c>
      <c r="B452" s="165"/>
      <c r="C452" s="165"/>
      <c r="D452" s="165"/>
      <c r="E452" s="165"/>
      <c r="F452" s="166">
        <v>22000</v>
      </c>
      <c r="G452" s="166">
        <v>285200000</v>
      </c>
    </row>
    <row r="453" spans="1:7">
      <c r="A453" s="165" t="s">
        <v>100</v>
      </c>
      <c r="B453" s="165" t="s">
        <v>2011</v>
      </c>
      <c r="C453" s="165" t="s">
        <v>29</v>
      </c>
      <c r="D453" s="250">
        <v>43709</v>
      </c>
      <c r="E453" s="165">
        <v>10500</v>
      </c>
      <c r="F453" s="166">
        <v>15000</v>
      </c>
      <c r="G453" s="166">
        <v>157500000</v>
      </c>
    </row>
    <row r="454" spans="1:7">
      <c r="B454" s="165" t="s">
        <v>2015</v>
      </c>
      <c r="C454" s="165" t="s">
        <v>29</v>
      </c>
      <c r="D454" s="250">
        <v>43709</v>
      </c>
      <c r="E454" s="165">
        <v>10500</v>
      </c>
      <c r="F454" s="166">
        <v>15000</v>
      </c>
      <c r="G454" s="166">
        <v>157500000</v>
      </c>
    </row>
    <row r="455" spans="1:7">
      <c r="A455" s="165" t="s">
        <v>2312</v>
      </c>
      <c r="B455" s="165"/>
      <c r="C455" s="165"/>
      <c r="D455" s="165"/>
      <c r="E455" s="165"/>
      <c r="F455" s="166">
        <v>30000</v>
      </c>
      <c r="G455" s="166">
        <v>315000000</v>
      </c>
    </row>
    <row r="456" spans="1:7">
      <c r="A456" s="165" t="s">
        <v>184</v>
      </c>
      <c r="B456" s="165" t="s">
        <v>2011</v>
      </c>
      <c r="C456" s="165" t="s">
        <v>29</v>
      </c>
      <c r="D456" s="250">
        <v>43709</v>
      </c>
      <c r="E456" s="165">
        <v>10500</v>
      </c>
      <c r="F456" s="166">
        <v>5000</v>
      </c>
      <c r="G456" s="166">
        <v>52500000</v>
      </c>
    </row>
    <row r="457" spans="1:7">
      <c r="B457" s="165" t="s">
        <v>2069</v>
      </c>
      <c r="C457" s="165" t="s">
        <v>29</v>
      </c>
      <c r="D457" s="250">
        <v>43709</v>
      </c>
      <c r="E457" s="165">
        <v>14200</v>
      </c>
      <c r="F457" s="166">
        <v>10000</v>
      </c>
      <c r="G457" s="166">
        <v>142000000</v>
      </c>
    </row>
    <row r="458" spans="1:7">
      <c r="B458" s="165" t="s">
        <v>2107</v>
      </c>
      <c r="C458" s="165" t="s">
        <v>29</v>
      </c>
      <c r="D458" s="250">
        <v>43709</v>
      </c>
      <c r="E458" s="165">
        <v>16000</v>
      </c>
      <c r="F458" s="166">
        <v>15000</v>
      </c>
      <c r="G458" s="166">
        <v>240000000</v>
      </c>
    </row>
    <row r="459" spans="1:7">
      <c r="A459" s="165" t="s">
        <v>2313</v>
      </c>
      <c r="B459" s="165"/>
      <c r="C459" s="165"/>
      <c r="D459" s="165"/>
      <c r="E459" s="165"/>
      <c r="F459" s="166">
        <v>30000</v>
      </c>
      <c r="G459" s="166">
        <v>434500000</v>
      </c>
    </row>
    <row r="460" spans="1:7">
      <c r="A460" s="165" t="s">
        <v>477</v>
      </c>
      <c r="B460" s="165" t="s">
        <v>2060</v>
      </c>
      <c r="C460" s="165" t="s">
        <v>29</v>
      </c>
      <c r="D460" s="250">
        <v>43709</v>
      </c>
      <c r="E460" s="165">
        <v>7200</v>
      </c>
      <c r="F460" s="166">
        <v>2100</v>
      </c>
      <c r="G460" s="166">
        <v>15120000</v>
      </c>
    </row>
    <row r="461" spans="1:7">
      <c r="B461" s="165" t="s">
        <v>2011</v>
      </c>
      <c r="C461" s="165" t="s">
        <v>29</v>
      </c>
      <c r="D461" s="250">
        <v>43709</v>
      </c>
      <c r="E461" s="165">
        <v>10500</v>
      </c>
      <c r="F461" s="166">
        <v>9000</v>
      </c>
      <c r="G461" s="166">
        <v>94500000</v>
      </c>
    </row>
    <row r="462" spans="1:7">
      <c r="B462" s="165" t="s">
        <v>2144</v>
      </c>
      <c r="C462" s="165" t="s">
        <v>29</v>
      </c>
      <c r="D462" s="250">
        <v>43709</v>
      </c>
      <c r="E462" s="165">
        <v>12500</v>
      </c>
      <c r="F462" s="166">
        <v>6000</v>
      </c>
      <c r="G462" s="166">
        <v>75000000</v>
      </c>
    </row>
    <row r="463" spans="1:7">
      <c r="A463" s="165" t="s">
        <v>2314</v>
      </c>
      <c r="B463" s="165"/>
      <c r="C463" s="165"/>
      <c r="D463" s="165"/>
      <c r="E463" s="165"/>
      <c r="F463" s="166">
        <v>17100</v>
      </c>
      <c r="G463" s="166">
        <v>184620000</v>
      </c>
    </row>
    <row r="464" spans="1:7">
      <c r="A464" s="165" t="s">
        <v>216</v>
      </c>
      <c r="B464" s="165" t="s">
        <v>2060</v>
      </c>
      <c r="C464" s="165" t="s">
        <v>29</v>
      </c>
      <c r="D464" s="250">
        <v>43709</v>
      </c>
      <c r="E464" s="165">
        <v>7200</v>
      </c>
      <c r="F464" s="166">
        <v>5100</v>
      </c>
      <c r="G464" s="166">
        <v>36720000</v>
      </c>
    </row>
    <row r="465" spans="1:7">
      <c r="B465" s="165" t="s">
        <v>2011</v>
      </c>
      <c r="C465" s="165" t="s">
        <v>29</v>
      </c>
      <c r="D465" s="250">
        <v>43709</v>
      </c>
      <c r="E465" s="165">
        <v>10500</v>
      </c>
      <c r="F465" s="166">
        <v>10000</v>
      </c>
      <c r="G465" s="166">
        <v>105000000</v>
      </c>
    </row>
    <row r="466" spans="1:7">
      <c r="B466" s="165" t="s">
        <v>2063</v>
      </c>
      <c r="C466" s="165" t="s">
        <v>29</v>
      </c>
      <c r="D466" s="250">
        <v>43709</v>
      </c>
      <c r="E466" s="165">
        <v>12500</v>
      </c>
      <c r="F466" s="166">
        <v>5000</v>
      </c>
      <c r="G466" s="166">
        <v>62500000</v>
      </c>
    </row>
    <row r="467" spans="1:7">
      <c r="B467" s="165" t="s">
        <v>2136</v>
      </c>
      <c r="C467" s="165" t="s">
        <v>29</v>
      </c>
      <c r="D467" s="250">
        <v>43709</v>
      </c>
      <c r="E467" s="165">
        <v>13000</v>
      </c>
      <c r="F467" s="166">
        <v>3000</v>
      </c>
      <c r="G467" s="166">
        <v>39000000</v>
      </c>
    </row>
    <row r="468" spans="1:7">
      <c r="B468" s="165" t="s">
        <v>2144</v>
      </c>
      <c r="C468" s="165" t="s">
        <v>29</v>
      </c>
      <c r="D468" s="250">
        <v>43709</v>
      </c>
      <c r="E468" s="165">
        <v>12500</v>
      </c>
      <c r="F468" s="166">
        <v>5000</v>
      </c>
      <c r="G468" s="166">
        <v>62500000</v>
      </c>
    </row>
    <row r="469" spans="1:7">
      <c r="A469" s="165" t="s">
        <v>2315</v>
      </c>
      <c r="B469" s="165"/>
      <c r="C469" s="165"/>
      <c r="D469" s="165"/>
      <c r="E469" s="165"/>
      <c r="F469" s="166">
        <v>28100</v>
      </c>
      <c r="G469" s="166">
        <v>305720000</v>
      </c>
    </row>
    <row r="470" spans="1:7">
      <c r="A470" s="165" t="s">
        <v>1163</v>
      </c>
      <c r="B470" s="165" t="s">
        <v>2011</v>
      </c>
      <c r="C470" s="165" t="s">
        <v>29</v>
      </c>
      <c r="D470" s="250">
        <v>43709</v>
      </c>
      <c r="E470" s="165">
        <v>10600</v>
      </c>
      <c r="F470" s="166">
        <v>50000</v>
      </c>
      <c r="G470" s="166">
        <v>530000000</v>
      </c>
    </row>
    <row r="471" spans="1:7">
      <c r="B471" s="165" t="s">
        <v>2016</v>
      </c>
      <c r="C471" s="165" t="s">
        <v>29</v>
      </c>
      <c r="D471" s="250">
        <v>43709</v>
      </c>
      <c r="E471" s="165">
        <v>13500</v>
      </c>
      <c r="F471" s="166">
        <v>40000</v>
      </c>
      <c r="G471" s="166">
        <v>540000000</v>
      </c>
    </row>
    <row r="472" spans="1:7">
      <c r="B472" s="165" t="s">
        <v>2015</v>
      </c>
      <c r="C472" s="165" t="s">
        <v>29</v>
      </c>
      <c r="D472" s="250">
        <v>43709</v>
      </c>
      <c r="E472" s="165">
        <v>10700</v>
      </c>
      <c r="F472" s="166">
        <v>50000</v>
      </c>
      <c r="G472" s="166">
        <v>535000000</v>
      </c>
    </row>
    <row r="473" spans="1:7">
      <c r="A473" s="165" t="s">
        <v>2316</v>
      </c>
      <c r="B473" s="165"/>
      <c r="C473" s="165"/>
      <c r="D473" s="165"/>
      <c r="E473" s="165"/>
      <c r="F473" s="166">
        <v>140000</v>
      </c>
      <c r="G473" s="166">
        <v>1605000000</v>
      </c>
    </row>
    <row r="474" spans="1:7">
      <c r="A474" s="165" t="s">
        <v>1066</v>
      </c>
      <c r="B474" s="165" t="s">
        <v>2011</v>
      </c>
      <c r="C474" s="165" t="s">
        <v>29</v>
      </c>
      <c r="D474" s="250">
        <v>43709</v>
      </c>
      <c r="E474" s="165">
        <v>10600</v>
      </c>
      <c r="F474" s="166">
        <v>10000</v>
      </c>
      <c r="G474" s="166">
        <v>106000000</v>
      </c>
    </row>
    <row r="475" spans="1:7">
      <c r="B475" s="165" t="s">
        <v>2018</v>
      </c>
      <c r="C475" s="165" t="s">
        <v>29</v>
      </c>
      <c r="D475" s="250">
        <v>43709</v>
      </c>
      <c r="E475" s="165">
        <v>15300</v>
      </c>
      <c r="F475" s="166">
        <v>5040</v>
      </c>
      <c r="G475" s="166">
        <v>77112000</v>
      </c>
    </row>
    <row r="476" spans="1:7">
      <c r="B476" s="165" t="s">
        <v>2023</v>
      </c>
      <c r="C476" s="165" t="s">
        <v>29</v>
      </c>
      <c r="D476" s="250">
        <v>43709</v>
      </c>
      <c r="E476" s="165">
        <v>11000</v>
      </c>
      <c r="F476" s="166">
        <v>10000</v>
      </c>
      <c r="G476" s="166">
        <v>110000000</v>
      </c>
    </row>
    <row r="477" spans="1:7">
      <c r="A477" s="165" t="s">
        <v>2317</v>
      </c>
      <c r="B477" s="165"/>
      <c r="C477" s="165"/>
      <c r="D477" s="165"/>
      <c r="E477" s="165"/>
      <c r="F477" s="166">
        <v>25040</v>
      </c>
      <c r="G477" s="166">
        <v>293112000</v>
      </c>
    </row>
    <row r="478" spans="1:7">
      <c r="A478" s="165" t="s">
        <v>396</v>
      </c>
      <c r="B478" s="165" t="s">
        <v>2171</v>
      </c>
      <c r="C478" s="165" t="s">
        <v>29</v>
      </c>
      <c r="D478" s="250">
        <v>43709</v>
      </c>
      <c r="E478" s="165">
        <v>7300</v>
      </c>
      <c r="F478" s="166">
        <v>20000</v>
      </c>
      <c r="G478" s="166">
        <v>146000000</v>
      </c>
    </row>
    <row r="479" spans="1:7">
      <c r="A479" s="165" t="s">
        <v>2318</v>
      </c>
      <c r="B479" s="165"/>
      <c r="C479" s="165"/>
      <c r="D479" s="165"/>
      <c r="E479" s="165"/>
      <c r="F479" s="166">
        <v>20000</v>
      </c>
      <c r="G479" s="166">
        <v>146000000</v>
      </c>
    </row>
    <row r="480" spans="1:7">
      <c r="A480" s="165" t="s">
        <v>268</v>
      </c>
      <c r="B480" s="165" t="s">
        <v>2011</v>
      </c>
      <c r="C480" s="165" t="s">
        <v>29</v>
      </c>
      <c r="D480" s="250">
        <v>43709</v>
      </c>
      <c r="E480" s="165">
        <v>10600</v>
      </c>
      <c r="F480" s="166">
        <v>17000</v>
      </c>
      <c r="G480" s="166">
        <v>180200000</v>
      </c>
    </row>
    <row r="481" spans="1:7">
      <c r="B481" s="165" t="s">
        <v>2015</v>
      </c>
      <c r="C481" s="165" t="s">
        <v>29</v>
      </c>
      <c r="D481" s="250">
        <v>43709</v>
      </c>
      <c r="E481" s="165">
        <v>10700</v>
      </c>
      <c r="F481" s="166">
        <v>7000</v>
      </c>
      <c r="G481" s="166">
        <v>74900000</v>
      </c>
    </row>
    <row r="482" spans="1:7">
      <c r="A482" s="165" t="s">
        <v>2320</v>
      </c>
      <c r="B482" s="165"/>
      <c r="C482" s="165"/>
      <c r="D482" s="165"/>
      <c r="E482" s="165"/>
      <c r="F482" s="166">
        <v>24000</v>
      </c>
      <c r="G482" s="166">
        <v>255100000</v>
      </c>
    </row>
    <row r="483" spans="1:7">
      <c r="A483" s="165" t="s">
        <v>1026</v>
      </c>
      <c r="B483" s="165" t="s">
        <v>2016</v>
      </c>
      <c r="C483" s="165" t="s">
        <v>29</v>
      </c>
      <c r="D483" s="250">
        <v>43709</v>
      </c>
      <c r="E483" s="165">
        <v>13500</v>
      </c>
      <c r="F483" s="166">
        <v>5000</v>
      </c>
      <c r="G483" s="166">
        <v>67500000</v>
      </c>
    </row>
    <row r="484" spans="1:7">
      <c r="B484" s="165" t="s">
        <v>2106</v>
      </c>
      <c r="C484" s="165" t="s">
        <v>29</v>
      </c>
      <c r="D484" s="250">
        <v>43709</v>
      </c>
      <c r="E484" s="165">
        <v>15200</v>
      </c>
      <c r="F484" s="166">
        <v>10000</v>
      </c>
      <c r="G484" s="166">
        <v>152000000</v>
      </c>
    </row>
    <row r="485" spans="1:7">
      <c r="B485" s="165" t="s">
        <v>2149</v>
      </c>
      <c r="C485" s="165" t="s">
        <v>29</v>
      </c>
      <c r="D485" s="250">
        <v>43709</v>
      </c>
      <c r="E485" s="165">
        <v>10600</v>
      </c>
      <c r="F485" s="166">
        <v>5000</v>
      </c>
      <c r="G485" s="166">
        <v>53000000</v>
      </c>
    </row>
    <row r="486" spans="1:7">
      <c r="A486" s="165" t="s">
        <v>2321</v>
      </c>
      <c r="B486" s="165"/>
      <c r="C486" s="165"/>
      <c r="D486" s="165"/>
      <c r="E486" s="165"/>
      <c r="F486" s="166">
        <v>20000</v>
      </c>
      <c r="G486" s="166">
        <v>272500000</v>
      </c>
    </row>
    <row r="487" spans="1:7">
      <c r="A487" s="165" t="s">
        <v>1594</v>
      </c>
      <c r="B487" s="165" t="s">
        <v>2016</v>
      </c>
      <c r="C487" s="165" t="s">
        <v>29</v>
      </c>
      <c r="D487" s="250">
        <v>43709</v>
      </c>
      <c r="E487" s="165">
        <v>13600</v>
      </c>
      <c r="F487" s="166">
        <v>5000</v>
      </c>
      <c r="G487" s="166">
        <v>68000000</v>
      </c>
    </row>
    <row r="488" spans="1:7">
      <c r="B488" s="165" t="s">
        <v>2023</v>
      </c>
      <c r="C488" s="165" t="s">
        <v>29</v>
      </c>
      <c r="D488" s="250">
        <v>43709</v>
      </c>
      <c r="E488" s="165">
        <v>11000</v>
      </c>
      <c r="F488" s="166">
        <v>3000</v>
      </c>
      <c r="G488" s="166">
        <v>33000000</v>
      </c>
    </row>
    <row r="489" spans="1:7">
      <c r="A489" s="165" t="s">
        <v>2322</v>
      </c>
      <c r="B489" s="165"/>
      <c r="C489" s="165"/>
      <c r="D489" s="165"/>
      <c r="E489" s="165"/>
      <c r="F489" s="166">
        <v>8000</v>
      </c>
      <c r="G489" s="166">
        <v>101000000</v>
      </c>
    </row>
    <row r="490" spans="1:7">
      <c r="A490" s="165" t="s">
        <v>1354</v>
      </c>
      <c r="B490" s="165" t="s">
        <v>2016</v>
      </c>
      <c r="C490" s="165" t="s">
        <v>29</v>
      </c>
      <c r="D490" s="250">
        <v>43709</v>
      </c>
      <c r="E490" s="165">
        <v>13600</v>
      </c>
      <c r="F490" s="166">
        <v>15000</v>
      </c>
      <c r="G490" s="166">
        <v>204000000</v>
      </c>
    </row>
    <row r="491" spans="1:7">
      <c r="A491" s="165" t="s">
        <v>2323</v>
      </c>
      <c r="B491" s="165"/>
      <c r="C491" s="165"/>
      <c r="D491" s="165"/>
      <c r="E491" s="165"/>
      <c r="F491" s="166">
        <v>15000</v>
      </c>
      <c r="G491" s="166">
        <v>204000000</v>
      </c>
    </row>
    <row r="492" spans="1:7">
      <c r="A492" s="165" t="s">
        <v>810</v>
      </c>
      <c r="B492" s="165" t="s">
        <v>2087</v>
      </c>
      <c r="C492" s="165" t="s">
        <v>29</v>
      </c>
      <c r="D492" s="250">
        <v>43709</v>
      </c>
      <c r="E492" s="165">
        <v>10000</v>
      </c>
      <c r="F492" s="166">
        <v>30000</v>
      </c>
      <c r="G492" s="166">
        <v>300000000</v>
      </c>
    </row>
    <row r="493" spans="1:7">
      <c r="B493" s="165" t="s">
        <v>2016</v>
      </c>
      <c r="C493" s="165" t="s">
        <v>29</v>
      </c>
      <c r="D493" s="250">
        <v>43709</v>
      </c>
      <c r="E493" s="165">
        <v>13500</v>
      </c>
      <c r="F493" s="166">
        <v>30000</v>
      </c>
      <c r="G493" s="166">
        <v>405000000</v>
      </c>
    </row>
    <row r="494" spans="1:7">
      <c r="B494" s="165" t="s">
        <v>2015</v>
      </c>
      <c r="C494" s="165" t="s">
        <v>29</v>
      </c>
      <c r="D494" s="250">
        <v>43709</v>
      </c>
      <c r="E494" s="165">
        <v>10700</v>
      </c>
      <c r="F494" s="166">
        <v>40000</v>
      </c>
      <c r="G494" s="166">
        <v>428000000</v>
      </c>
    </row>
    <row r="495" spans="1:7">
      <c r="A495" s="165" t="s">
        <v>2324</v>
      </c>
      <c r="B495" s="165"/>
      <c r="C495" s="165"/>
      <c r="D495" s="165"/>
      <c r="E495" s="165"/>
      <c r="F495" s="166">
        <v>100000</v>
      </c>
      <c r="G495" s="166">
        <v>1133000000</v>
      </c>
    </row>
    <row r="496" spans="1:7">
      <c r="A496" s="165" t="s">
        <v>1431</v>
      </c>
      <c r="B496" s="165" t="s">
        <v>2011</v>
      </c>
      <c r="C496" s="165" t="s">
        <v>29</v>
      </c>
      <c r="D496" s="250">
        <v>43709</v>
      </c>
      <c r="E496" s="165">
        <v>10600</v>
      </c>
      <c r="F496" s="166">
        <v>9000</v>
      </c>
      <c r="G496" s="166">
        <v>95400000</v>
      </c>
    </row>
    <row r="497" spans="1:7">
      <c r="B497" s="165" t="s">
        <v>2065</v>
      </c>
      <c r="C497" s="165" t="s">
        <v>29</v>
      </c>
      <c r="D497" s="250">
        <v>43709</v>
      </c>
      <c r="E497" s="165">
        <v>15200</v>
      </c>
      <c r="F497" s="166">
        <v>6000</v>
      </c>
      <c r="G497" s="166">
        <v>91200000</v>
      </c>
    </row>
    <row r="498" spans="1:7">
      <c r="B498" s="165" t="s">
        <v>2087</v>
      </c>
      <c r="C498" s="165" t="s">
        <v>29</v>
      </c>
      <c r="D498" s="250">
        <v>43709</v>
      </c>
      <c r="E498" s="165">
        <v>10000</v>
      </c>
      <c r="F498" s="166">
        <v>5100</v>
      </c>
      <c r="G498" s="166">
        <v>51000000</v>
      </c>
    </row>
    <row r="499" spans="1:7">
      <c r="B499" s="165" t="s">
        <v>2016</v>
      </c>
      <c r="C499" s="165" t="s">
        <v>29</v>
      </c>
      <c r="D499" s="250">
        <v>43709</v>
      </c>
      <c r="E499" s="165">
        <v>15800</v>
      </c>
      <c r="F499" s="166">
        <v>3000</v>
      </c>
      <c r="G499" s="166">
        <v>47400000</v>
      </c>
    </row>
    <row r="500" spans="1:7">
      <c r="B500" s="165" t="s">
        <v>2106</v>
      </c>
      <c r="C500" s="165" t="s">
        <v>29</v>
      </c>
      <c r="D500" s="250">
        <v>43709</v>
      </c>
      <c r="E500" s="165">
        <v>15400</v>
      </c>
      <c r="F500" s="166">
        <v>5000</v>
      </c>
      <c r="G500" s="166">
        <v>77000000</v>
      </c>
    </row>
    <row r="501" spans="1:7">
      <c r="B501" s="165" t="s">
        <v>2135</v>
      </c>
      <c r="C501" s="165" t="s">
        <v>29</v>
      </c>
      <c r="D501" s="250">
        <v>43709</v>
      </c>
      <c r="E501" s="165">
        <v>13800</v>
      </c>
      <c r="F501" s="166">
        <v>10000</v>
      </c>
      <c r="G501" s="166">
        <v>138000000</v>
      </c>
    </row>
    <row r="502" spans="1:7">
      <c r="A502" s="165" t="s">
        <v>2325</v>
      </c>
      <c r="B502" s="165"/>
      <c r="C502" s="165"/>
      <c r="D502" s="165"/>
      <c r="E502" s="165"/>
      <c r="F502" s="166">
        <v>38100</v>
      </c>
      <c r="G502" s="166">
        <v>500000000</v>
      </c>
    </row>
    <row r="503" spans="1:7">
      <c r="A503" s="165" t="s">
        <v>173</v>
      </c>
      <c r="B503" s="165" t="s">
        <v>2114</v>
      </c>
      <c r="C503" s="165" t="s">
        <v>29</v>
      </c>
      <c r="D503" s="250">
        <v>43709</v>
      </c>
      <c r="E503" s="165">
        <v>4200</v>
      </c>
      <c r="F503" s="166">
        <v>7200</v>
      </c>
      <c r="G503" s="166">
        <v>30240000</v>
      </c>
    </row>
    <row r="504" spans="1:7">
      <c r="A504" s="165" t="s">
        <v>2326</v>
      </c>
      <c r="B504" s="165"/>
      <c r="C504" s="165"/>
      <c r="D504" s="165"/>
      <c r="E504" s="165"/>
      <c r="F504" s="166">
        <v>7200</v>
      </c>
      <c r="G504" s="166">
        <v>30240000</v>
      </c>
    </row>
    <row r="505" spans="1:7">
      <c r="A505" s="165" t="s">
        <v>987</v>
      </c>
      <c r="B505" s="165" t="s">
        <v>2011</v>
      </c>
      <c r="C505" s="165" t="s">
        <v>29</v>
      </c>
      <c r="D505" s="250">
        <v>43709</v>
      </c>
      <c r="E505" s="165">
        <v>10600</v>
      </c>
      <c r="F505" s="166">
        <v>5000</v>
      </c>
      <c r="G505" s="166">
        <v>53000000</v>
      </c>
    </row>
    <row r="506" spans="1:7">
      <c r="B506" s="165" t="s">
        <v>2016</v>
      </c>
      <c r="C506" s="165" t="s">
        <v>29</v>
      </c>
      <c r="D506" s="250">
        <v>43709</v>
      </c>
      <c r="E506" s="165">
        <v>13600</v>
      </c>
      <c r="F506" s="166">
        <v>2375</v>
      </c>
      <c r="G506" s="166">
        <v>32300000</v>
      </c>
    </row>
    <row r="507" spans="1:7">
      <c r="B507" s="165" t="s">
        <v>2017</v>
      </c>
      <c r="C507" s="165" t="s">
        <v>29</v>
      </c>
      <c r="D507" s="250">
        <v>43709</v>
      </c>
      <c r="E507" s="165">
        <v>16200</v>
      </c>
      <c r="F507" s="166">
        <v>2800</v>
      </c>
      <c r="G507" s="166">
        <v>45360000</v>
      </c>
    </row>
    <row r="508" spans="1:7">
      <c r="B508" s="165" t="s">
        <v>2015</v>
      </c>
      <c r="C508" s="165" t="s">
        <v>29</v>
      </c>
      <c r="D508" s="250">
        <v>43709</v>
      </c>
      <c r="E508" s="165">
        <v>10700</v>
      </c>
      <c r="F508" s="166">
        <v>5000</v>
      </c>
      <c r="G508" s="166">
        <v>53500000</v>
      </c>
    </row>
    <row r="509" spans="1:7">
      <c r="B509" s="165" t="s">
        <v>2018</v>
      </c>
      <c r="C509" s="165" t="s">
        <v>29</v>
      </c>
      <c r="D509" s="250">
        <v>43709</v>
      </c>
      <c r="E509" s="165">
        <v>15300</v>
      </c>
      <c r="F509" s="166">
        <v>5040</v>
      </c>
      <c r="G509" s="166">
        <v>77112000</v>
      </c>
    </row>
    <row r="510" spans="1:7">
      <c r="B510" s="165" t="s">
        <v>2019</v>
      </c>
      <c r="C510" s="165" t="s">
        <v>29</v>
      </c>
      <c r="D510" s="250">
        <v>43709</v>
      </c>
      <c r="E510" s="165">
        <v>9400</v>
      </c>
      <c r="F510" s="166">
        <v>10200</v>
      </c>
      <c r="G510" s="166">
        <v>95880000</v>
      </c>
    </row>
    <row r="511" spans="1:7">
      <c r="A511" s="165" t="s">
        <v>2329</v>
      </c>
      <c r="B511" s="165"/>
      <c r="C511" s="165"/>
      <c r="D511" s="165"/>
      <c r="E511" s="165"/>
      <c r="F511" s="166">
        <v>30415</v>
      </c>
      <c r="G511" s="166">
        <v>357152000</v>
      </c>
    </row>
    <row r="512" spans="1:7">
      <c r="A512" s="165" t="s">
        <v>605</v>
      </c>
      <c r="B512" s="165" t="s">
        <v>2020</v>
      </c>
      <c r="C512" s="165" t="s">
        <v>29</v>
      </c>
      <c r="D512" s="250">
        <v>43709</v>
      </c>
      <c r="E512" s="165">
        <v>12100</v>
      </c>
      <c r="F512" s="166">
        <v>2100</v>
      </c>
      <c r="G512" s="166">
        <v>25410000</v>
      </c>
    </row>
    <row r="513" spans="1:7">
      <c r="B513" s="165" t="s">
        <v>2021</v>
      </c>
      <c r="C513" s="165" t="s">
        <v>29</v>
      </c>
      <c r="D513" s="250">
        <v>43709</v>
      </c>
      <c r="E513" s="165">
        <v>10200</v>
      </c>
      <c r="F513" s="166">
        <v>2100</v>
      </c>
      <c r="G513" s="166">
        <v>21420000</v>
      </c>
    </row>
    <row r="514" spans="1:7">
      <c r="B514" s="165" t="s">
        <v>2022</v>
      </c>
      <c r="C514" s="165" t="s">
        <v>29</v>
      </c>
      <c r="D514" s="250">
        <v>43709</v>
      </c>
      <c r="E514" s="165">
        <v>8800</v>
      </c>
      <c r="F514" s="166">
        <v>3200</v>
      </c>
      <c r="G514" s="166">
        <v>28160000</v>
      </c>
    </row>
    <row r="515" spans="1:7">
      <c r="B515" s="165" t="s">
        <v>2015</v>
      </c>
      <c r="C515" s="165" t="s">
        <v>29</v>
      </c>
      <c r="D515" s="250">
        <v>43709</v>
      </c>
      <c r="E515" s="165">
        <v>10500</v>
      </c>
      <c r="F515" s="166">
        <v>2000</v>
      </c>
      <c r="G515" s="166">
        <v>21000000</v>
      </c>
    </row>
    <row r="516" spans="1:7">
      <c r="B516" s="165" t="s">
        <v>2023</v>
      </c>
      <c r="C516" s="165" t="s">
        <v>29</v>
      </c>
      <c r="D516" s="250">
        <v>43709</v>
      </c>
      <c r="E516" s="165">
        <v>10800</v>
      </c>
      <c r="F516" s="166">
        <v>2500</v>
      </c>
      <c r="G516" s="166">
        <v>27000000</v>
      </c>
    </row>
    <row r="517" spans="1:7">
      <c r="A517" s="165" t="s">
        <v>2331</v>
      </c>
      <c r="B517" s="165"/>
      <c r="C517" s="165"/>
      <c r="D517" s="165"/>
      <c r="E517" s="165"/>
      <c r="F517" s="166">
        <v>11900</v>
      </c>
      <c r="G517" s="166">
        <v>122990000</v>
      </c>
    </row>
    <row r="518" spans="1:7">
      <c r="A518" s="165" t="s">
        <v>814</v>
      </c>
      <c r="B518" s="165" t="s">
        <v>2011</v>
      </c>
      <c r="C518" s="165" t="s">
        <v>29</v>
      </c>
      <c r="D518" s="250">
        <v>43709</v>
      </c>
      <c r="E518" s="165">
        <v>10500</v>
      </c>
      <c r="F518" s="166">
        <v>10000</v>
      </c>
      <c r="G518" s="166">
        <v>105000000</v>
      </c>
    </row>
    <row r="519" spans="1:7">
      <c r="B519" s="165" t="s">
        <v>2102</v>
      </c>
      <c r="C519" s="165" t="s">
        <v>29</v>
      </c>
      <c r="D519" s="250">
        <v>43709</v>
      </c>
      <c r="E519" s="165">
        <v>9500</v>
      </c>
      <c r="F519" s="166">
        <v>15000</v>
      </c>
      <c r="G519" s="166">
        <v>142500000</v>
      </c>
    </row>
    <row r="520" spans="1:7">
      <c r="B520" s="165" t="s">
        <v>2015</v>
      </c>
      <c r="C520" s="165" t="s">
        <v>29</v>
      </c>
      <c r="D520" s="250">
        <v>43709</v>
      </c>
      <c r="E520" s="165">
        <v>10700</v>
      </c>
      <c r="F520" s="166">
        <v>5000</v>
      </c>
      <c r="G520" s="166">
        <v>53500000</v>
      </c>
    </row>
    <row r="521" spans="1:7">
      <c r="A521" s="165" t="s">
        <v>2332</v>
      </c>
      <c r="B521" s="165"/>
      <c r="C521" s="165"/>
      <c r="D521" s="165"/>
      <c r="E521" s="165"/>
      <c r="F521" s="166">
        <v>30000</v>
      </c>
      <c r="G521" s="166">
        <v>301000000</v>
      </c>
    </row>
    <row r="522" spans="1:7">
      <c r="A522" s="165" t="s">
        <v>1493</v>
      </c>
      <c r="B522" s="165" t="s">
        <v>2064</v>
      </c>
      <c r="C522" s="165" t="s">
        <v>29</v>
      </c>
      <c r="D522" s="250">
        <v>43709</v>
      </c>
      <c r="E522" s="165">
        <v>15200</v>
      </c>
      <c r="F522" s="166">
        <v>10000</v>
      </c>
      <c r="G522" s="166">
        <v>152000000</v>
      </c>
    </row>
    <row r="523" spans="1:7">
      <c r="B523" s="165" t="s">
        <v>2015</v>
      </c>
      <c r="C523" s="165" t="s">
        <v>29</v>
      </c>
      <c r="D523" s="250">
        <v>43709</v>
      </c>
      <c r="E523" s="165">
        <v>10700</v>
      </c>
      <c r="F523" s="166">
        <v>10000</v>
      </c>
      <c r="G523" s="166">
        <v>107000000</v>
      </c>
    </row>
    <row r="524" spans="1:7">
      <c r="A524" s="165" t="s">
        <v>2334</v>
      </c>
      <c r="B524" s="165"/>
      <c r="C524" s="165"/>
      <c r="D524" s="165"/>
      <c r="E524" s="165"/>
      <c r="F524" s="166">
        <v>20000</v>
      </c>
      <c r="G524" s="166">
        <v>259000000</v>
      </c>
    </row>
    <row r="525" spans="1:7">
      <c r="A525" s="165" t="s">
        <v>251</v>
      </c>
      <c r="B525" s="165" t="s">
        <v>2062</v>
      </c>
      <c r="C525" s="165" t="s">
        <v>29</v>
      </c>
      <c r="D525" s="250">
        <v>43709</v>
      </c>
      <c r="E525" s="165">
        <v>12000</v>
      </c>
      <c r="F525" s="166">
        <v>5000</v>
      </c>
      <c r="G525" s="166">
        <v>60000000</v>
      </c>
    </row>
    <row r="526" spans="1:7">
      <c r="B526" s="165" t="s">
        <v>2063</v>
      </c>
      <c r="C526" s="165" t="s">
        <v>29</v>
      </c>
      <c r="D526" s="250">
        <v>43709</v>
      </c>
      <c r="E526" s="165">
        <v>12500</v>
      </c>
      <c r="F526" s="166">
        <v>5000</v>
      </c>
      <c r="G526" s="166">
        <v>62500000</v>
      </c>
    </row>
    <row r="527" spans="1:7">
      <c r="B527" s="165" t="s">
        <v>2064</v>
      </c>
      <c r="C527" s="165" t="s">
        <v>29</v>
      </c>
      <c r="D527" s="250">
        <v>43709</v>
      </c>
      <c r="E527" s="165">
        <v>15200</v>
      </c>
      <c r="F527" s="166">
        <v>5040</v>
      </c>
      <c r="G527" s="166">
        <v>76608000</v>
      </c>
    </row>
    <row r="528" spans="1:7">
      <c r="B528" s="165" t="s">
        <v>2106</v>
      </c>
      <c r="C528" s="165" t="s">
        <v>29</v>
      </c>
      <c r="D528" s="250">
        <v>43709</v>
      </c>
      <c r="E528" s="165">
        <v>15400</v>
      </c>
      <c r="F528" s="166">
        <v>7500</v>
      </c>
      <c r="G528" s="166">
        <v>115500000</v>
      </c>
    </row>
    <row r="529" spans="1:7">
      <c r="B529" s="165" t="s">
        <v>2107</v>
      </c>
      <c r="C529" s="165" t="s">
        <v>29</v>
      </c>
      <c r="D529" s="250">
        <v>43709</v>
      </c>
      <c r="E529" s="165">
        <v>16200</v>
      </c>
      <c r="F529" s="166">
        <v>7500</v>
      </c>
      <c r="G529" s="166">
        <v>121500000</v>
      </c>
    </row>
    <row r="530" spans="1:7">
      <c r="B530" s="165" t="s">
        <v>2144</v>
      </c>
      <c r="C530" s="165" t="s">
        <v>29</v>
      </c>
      <c r="D530" s="250">
        <v>43709</v>
      </c>
      <c r="E530" s="165">
        <v>13700</v>
      </c>
      <c r="F530" s="166">
        <v>10000</v>
      </c>
      <c r="G530" s="166">
        <v>137000000</v>
      </c>
    </row>
    <row r="531" spans="1:7">
      <c r="B531" s="165" t="s">
        <v>2145</v>
      </c>
      <c r="C531" s="165" t="s">
        <v>29</v>
      </c>
      <c r="D531" s="250">
        <v>43709</v>
      </c>
      <c r="E531" s="165">
        <v>13500</v>
      </c>
      <c r="F531" s="166">
        <v>18000</v>
      </c>
      <c r="G531" s="166">
        <v>243000000</v>
      </c>
    </row>
    <row r="532" spans="1:7">
      <c r="B532" s="165" t="s">
        <v>2018</v>
      </c>
      <c r="C532" s="165" t="s">
        <v>29</v>
      </c>
      <c r="D532" s="250">
        <v>43709</v>
      </c>
      <c r="E532" s="165">
        <v>15300</v>
      </c>
      <c r="F532" s="166">
        <v>7040</v>
      </c>
      <c r="G532" s="166">
        <v>107712000</v>
      </c>
    </row>
    <row r="533" spans="1:7">
      <c r="A533" s="165" t="s">
        <v>2335</v>
      </c>
      <c r="B533" s="165"/>
      <c r="C533" s="165"/>
      <c r="D533" s="165"/>
      <c r="E533" s="165"/>
      <c r="F533" s="166">
        <v>65080</v>
      </c>
      <c r="G533" s="166">
        <v>923820000</v>
      </c>
    </row>
    <row r="534" spans="1:7">
      <c r="A534" s="165" t="s">
        <v>201</v>
      </c>
      <c r="B534" s="165" t="s">
        <v>2126</v>
      </c>
      <c r="C534" s="165" t="s">
        <v>29</v>
      </c>
      <c r="D534" s="250">
        <v>43709</v>
      </c>
      <c r="E534" s="165">
        <v>4600</v>
      </c>
      <c r="F534" s="166">
        <v>1200</v>
      </c>
      <c r="G534" s="166">
        <v>5520000</v>
      </c>
    </row>
    <row r="535" spans="1:7">
      <c r="B535" s="165" t="s">
        <v>2127</v>
      </c>
      <c r="C535" s="165" t="s">
        <v>29</v>
      </c>
      <c r="D535" s="250">
        <v>43709</v>
      </c>
      <c r="E535" s="165">
        <v>6300</v>
      </c>
      <c r="F535" s="166">
        <v>2000</v>
      </c>
      <c r="G535" s="166">
        <v>12600000</v>
      </c>
    </row>
    <row r="536" spans="1:7">
      <c r="B536" s="165" t="s">
        <v>2015</v>
      </c>
      <c r="C536" s="165" t="s">
        <v>29</v>
      </c>
      <c r="D536" s="250">
        <v>43709</v>
      </c>
      <c r="E536" s="165">
        <v>10700</v>
      </c>
      <c r="F536" s="166">
        <v>3000</v>
      </c>
      <c r="G536" s="166">
        <v>32100000</v>
      </c>
    </row>
    <row r="537" spans="1:7">
      <c r="B537" s="165" t="s">
        <v>2177</v>
      </c>
      <c r="C537" s="165" t="s">
        <v>29</v>
      </c>
      <c r="D537" s="250">
        <v>43709</v>
      </c>
      <c r="E537" s="165">
        <v>6200</v>
      </c>
      <c r="F537" s="166">
        <v>3000</v>
      </c>
      <c r="G537" s="166">
        <v>18600000</v>
      </c>
    </row>
    <row r="538" spans="1:7">
      <c r="B538" s="165" t="s">
        <v>2190</v>
      </c>
      <c r="C538" s="165" t="s">
        <v>29</v>
      </c>
      <c r="D538" s="250">
        <v>43709</v>
      </c>
      <c r="E538" s="165">
        <v>5500</v>
      </c>
      <c r="F538" s="166">
        <v>2000</v>
      </c>
      <c r="G538" s="166">
        <v>11000000</v>
      </c>
    </row>
    <row r="539" spans="1:7">
      <c r="A539" s="165" t="s">
        <v>2336</v>
      </c>
      <c r="B539" s="165"/>
      <c r="C539" s="165"/>
      <c r="D539" s="165"/>
      <c r="E539" s="165"/>
      <c r="F539" s="166">
        <v>11200</v>
      </c>
      <c r="G539" s="166">
        <v>79820000</v>
      </c>
    </row>
    <row r="540" spans="1:7">
      <c r="A540" s="165" t="s">
        <v>103</v>
      </c>
      <c r="B540" s="165" t="s">
        <v>2042</v>
      </c>
      <c r="C540" s="165" t="s">
        <v>29</v>
      </c>
      <c r="D540" s="250">
        <v>43709</v>
      </c>
      <c r="E540" s="165">
        <v>10800</v>
      </c>
      <c r="F540" s="166">
        <v>30000</v>
      </c>
      <c r="G540" s="166">
        <v>324000000</v>
      </c>
    </row>
    <row r="541" spans="1:7">
      <c r="E541" s="165">
        <v>11000</v>
      </c>
      <c r="F541" s="166">
        <v>10000</v>
      </c>
      <c r="G541" s="166">
        <v>110000000</v>
      </c>
    </row>
    <row r="542" spans="1:7">
      <c r="B542" s="165" t="s">
        <v>2016</v>
      </c>
      <c r="C542" s="165" t="s">
        <v>29</v>
      </c>
      <c r="D542" s="250">
        <v>43709</v>
      </c>
      <c r="E542" s="165">
        <v>13500</v>
      </c>
      <c r="F542" s="166">
        <v>40000</v>
      </c>
      <c r="G542" s="166">
        <v>540000000</v>
      </c>
    </row>
    <row r="543" spans="1:7">
      <c r="B543" s="165" t="s">
        <v>2106</v>
      </c>
      <c r="C543" s="165" t="s">
        <v>29</v>
      </c>
      <c r="D543" s="250">
        <v>43709</v>
      </c>
      <c r="E543" s="165">
        <v>15200</v>
      </c>
      <c r="F543" s="166">
        <v>20000</v>
      </c>
      <c r="G543" s="166">
        <v>304000000</v>
      </c>
    </row>
    <row r="544" spans="1:7">
      <c r="B544" s="165" t="s">
        <v>2135</v>
      </c>
      <c r="C544" s="165" t="s">
        <v>29</v>
      </c>
      <c r="D544" s="250">
        <v>43709</v>
      </c>
      <c r="E544" s="165">
        <v>13500</v>
      </c>
      <c r="F544" s="166">
        <v>10000</v>
      </c>
      <c r="G544" s="166">
        <v>135000000</v>
      </c>
    </row>
    <row r="545" spans="1:7">
      <c r="B545" s="165" t="s">
        <v>2136</v>
      </c>
      <c r="C545" s="165" t="s">
        <v>29</v>
      </c>
      <c r="D545" s="250">
        <v>43709</v>
      </c>
      <c r="E545" s="165">
        <v>13000</v>
      </c>
      <c r="F545" s="166">
        <v>20000</v>
      </c>
      <c r="G545" s="166">
        <v>260000000</v>
      </c>
    </row>
    <row r="546" spans="1:7">
      <c r="B546" s="165" t="s">
        <v>2023</v>
      </c>
      <c r="C546" s="165" t="s">
        <v>29</v>
      </c>
      <c r="D546" s="250">
        <v>43709</v>
      </c>
      <c r="E546" s="165">
        <v>10100</v>
      </c>
      <c r="F546" s="166">
        <v>20000</v>
      </c>
      <c r="G546" s="166">
        <v>202000000</v>
      </c>
    </row>
    <row r="547" spans="1:7">
      <c r="A547" s="165" t="s">
        <v>2338</v>
      </c>
      <c r="B547" s="165"/>
      <c r="C547" s="165"/>
      <c r="D547" s="165"/>
      <c r="E547" s="165"/>
      <c r="F547" s="166">
        <v>150000</v>
      </c>
      <c r="G547" s="166">
        <v>1875000000</v>
      </c>
    </row>
    <row r="548" spans="1:7">
      <c r="A548" s="165" t="s">
        <v>1788</v>
      </c>
      <c r="B548" s="165" t="s">
        <v>2107</v>
      </c>
      <c r="C548" s="165" t="s">
        <v>29</v>
      </c>
      <c r="D548" s="250">
        <v>43709</v>
      </c>
      <c r="E548" s="165">
        <v>16000</v>
      </c>
      <c r="F548" s="166">
        <v>2025</v>
      </c>
      <c r="G548" s="166">
        <v>32400000</v>
      </c>
    </row>
    <row r="549" spans="1:7">
      <c r="B549" s="165" t="s">
        <v>2144</v>
      </c>
      <c r="C549" s="165" t="s">
        <v>29</v>
      </c>
      <c r="D549" s="250">
        <v>43709</v>
      </c>
      <c r="E549" s="165">
        <v>12500</v>
      </c>
      <c r="F549" s="166">
        <v>7000</v>
      </c>
      <c r="G549" s="166">
        <v>87500000</v>
      </c>
    </row>
    <row r="550" spans="1:7">
      <c r="B550" s="165" t="s">
        <v>2177</v>
      </c>
      <c r="C550" s="165" t="s">
        <v>29</v>
      </c>
      <c r="D550" s="250">
        <v>43709</v>
      </c>
      <c r="E550" s="165">
        <v>6100</v>
      </c>
      <c r="F550" s="166">
        <v>5000</v>
      </c>
      <c r="G550" s="166">
        <v>30500000</v>
      </c>
    </row>
    <row r="551" spans="1:7">
      <c r="A551" s="165" t="s">
        <v>2339</v>
      </c>
      <c r="B551" s="165"/>
      <c r="C551" s="165"/>
      <c r="D551" s="165"/>
      <c r="E551" s="165"/>
      <c r="F551" s="166">
        <v>14025</v>
      </c>
      <c r="G551" s="166">
        <v>150400000</v>
      </c>
    </row>
    <row r="552" spans="1:7">
      <c r="A552" s="165" t="s">
        <v>116</v>
      </c>
      <c r="B552" s="165" t="s">
        <v>2060</v>
      </c>
      <c r="C552" s="165" t="s">
        <v>29</v>
      </c>
      <c r="D552" s="250">
        <v>43709</v>
      </c>
      <c r="E552" s="165">
        <v>8000</v>
      </c>
      <c r="F552" s="166">
        <v>3000</v>
      </c>
      <c r="G552" s="166">
        <v>24000000</v>
      </c>
    </row>
    <row r="553" spans="1:7">
      <c r="B553" s="165" t="s">
        <v>2009</v>
      </c>
      <c r="C553" s="165" t="s">
        <v>29</v>
      </c>
      <c r="D553" s="250">
        <v>43709</v>
      </c>
      <c r="E553" s="165">
        <v>5800</v>
      </c>
      <c r="F553" s="166">
        <v>7000</v>
      </c>
      <c r="G553" s="166">
        <v>40600000</v>
      </c>
    </row>
    <row r="554" spans="1:7">
      <c r="A554" s="165" t="s">
        <v>2340</v>
      </c>
      <c r="B554" s="165"/>
      <c r="C554" s="165"/>
      <c r="D554" s="165"/>
      <c r="E554" s="165"/>
      <c r="F554" s="166">
        <v>10000</v>
      </c>
      <c r="G554" s="166">
        <v>64600000</v>
      </c>
    </row>
    <row r="555" spans="1:7">
      <c r="A555" s="165" t="s">
        <v>1587</v>
      </c>
      <c r="B555" s="165" t="s">
        <v>2134</v>
      </c>
      <c r="C555" s="165" t="s">
        <v>29</v>
      </c>
      <c r="D555" s="250">
        <v>43709</v>
      </c>
      <c r="E555" s="165">
        <v>10900</v>
      </c>
      <c r="F555" s="166">
        <v>10050</v>
      </c>
      <c r="G555" s="166">
        <v>109545000</v>
      </c>
    </row>
    <row r="556" spans="1:7">
      <c r="B556" s="165" t="s">
        <v>2154</v>
      </c>
      <c r="C556" s="165" t="s">
        <v>29</v>
      </c>
      <c r="D556" s="250">
        <v>43709</v>
      </c>
      <c r="E556" s="165">
        <v>7700</v>
      </c>
      <c r="F556" s="166">
        <v>10050</v>
      </c>
      <c r="G556" s="166">
        <v>77385000</v>
      </c>
    </row>
    <row r="557" spans="1:7">
      <c r="A557" s="165" t="s">
        <v>2341</v>
      </c>
      <c r="B557" s="165"/>
      <c r="C557" s="165"/>
      <c r="D557" s="165"/>
      <c r="E557" s="165"/>
      <c r="F557" s="166">
        <v>20100</v>
      </c>
      <c r="G557" s="166">
        <v>186930000</v>
      </c>
    </row>
    <row r="558" spans="1:7">
      <c r="A558" s="165" t="s">
        <v>224</v>
      </c>
      <c r="B558" s="165" t="s">
        <v>2177</v>
      </c>
      <c r="C558" s="165" t="s">
        <v>29</v>
      </c>
      <c r="D558" s="250">
        <v>43709</v>
      </c>
      <c r="E558" s="165">
        <v>6100</v>
      </c>
      <c r="F558" s="166">
        <v>1000</v>
      </c>
      <c r="G558" s="166">
        <v>6100000</v>
      </c>
    </row>
    <row r="559" spans="1:7">
      <c r="A559" s="165" t="s">
        <v>2342</v>
      </c>
      <c r="B559" s="165"/>
      <c r="C559" s="165"/>
      <c r="D559" s="165"/>
      <c r="E559" s="165"/>
      <c r="F559" s="166">
        <v>1000</v>
      </c>
      <c r="G559" s="166">
        <v>6100000</v>
      </c>
    </row>
    <row r="560" spans="1:7">
      <c r="A560" s="165" t="s">
        <v>260</v>
      </c>
      <c r="B560" s="165" t="s">
        <v>2011</v>
      </c>
      <c r="C560" s="165" t="s">
        <v>29</v>
      </c>
      <c r="D560" s="250">
        <v>43709</v>
      </c>
      <c r="E560" s="165">
        <v>10600</v>
      </c>
      <c r="F560" s="166">
        <v>10000</v>
      </c>
      <c r="G560" s="166">
        <v>106000000</v>
      </c>
    </row>
    <row r="561" spans="1:7">
      <c r="B561" s="165" t="s">
        <v>2015</v>
      </c>
      <c r="C561" s="165" t="s">
        <v>29</v>
      </c>
      <c r="D561" s="250">
        <v>43709</v>
      </c>
      <c r="E561" s="165">
        <v>10700</v>
      </c>
      <c r="F561" s="166">
        <v>10000</v>
      </c>
      <c r="G561" s="166">
        <v>107000000</v>
      </c>
    </row>
    <row r="562" spans="1:7">
      <c r="A562" s="165" t="s">
        <v>2343</v>
      </c>
      <c r="B562" s="165"/>
      <c r="C562" s="165"/>
      <c r="D562" s="165"/>
      <c r="E562" s="165"/>
      <c r="F562" s="166">
        <v>20000</v>
      </c>
      <c r="G562" s="166">
        <v>213000000</v>
      </c>
    </row>
    <row r="563" spans="1:7">
      <c r="A563" s="165" t="s">
        <v>1403</v>
      </c>
      <c r="B563" s="165" t="s">
        <v>2106</v>
      </c>
      <c r="C563" s="165" t="s">
        <v>29</v>
      </c>
      <c r="D563" s="250">
        <v>43709</v>
      </c>
      <c r="E563" s="165">
        <v>15400</v>
      </c>
      <c r="F563" s="166">
        <v>20000</v>
      </c>
      <c r="G563" s="166">
        <v>308000000</v>
      </c>
    </row>
    <row r="564" spans="1:7">
      <c r="B564" s="165" t="s">
        <v>2374</v>
      </c>
      <c r="C564" s="165" t="s">
        <v>29</v>
      </c>
      <c r="D564" s="250">
        <v>43709</v>
      </c>
      <c r="E564" s="165">
        <v>12300</v>
      </c>
      <c r="F564" s="166">
        <v>20000</v>
      </c>
      <c r="G564" s="166">
        <v>246000000</v>
      </c>
    </row>
    <row r="565" spans="1:7">
      <c r="A565" s="165" t="s">
        <v>2344</v>
      </c>
      <c r="B565" s="165"/>
      <c r="C565" s="165"/>
      <c r="D565" s="165"/>
      <c r="E565" s="165"/>
      <c r="F565" s="166">
        <v>40000</v>
      </c>
      <c r="G565" s="166">
        <v>554000000</v>
      </c>
    </row>
    <row r="566" spans="1:7">
      <c r="A566" s="165" t="s">
        <v>156</v>
      </c>
      <c r="B566" s="165" t="s">
        <v>2069</v>
      </c>
      <c r="C566" s="165" t="s">
        <v>29</v>
      </c>
      <c r="D566" s="250">
        <v>43709</v>
      </c>
      <c r="E566" s="165">
        <v>14300</v>
      </c>
      <c r="F566" s="166">
        <v>3000</v>
      </c>
      <c r="G566" s="166">
        <v>42900000</v>
      </c>
    </row>
    <row r="567" spans="1:7">
      <c r="B567" s="165" t="s">
        <v>2379</v>
      </c>
      <c r="C567" s="165" t="s">
        <v>29</v>
      </c>
      <c r="D567" s="250">
        <v>43709</v>
      </c>
      <c r="E567" s="165">
        <v>16500</v>
      </c>
      <c r="F567" s="166">
        <v>5040</v>
      </c>
      <c r="G567" s="166">
        <v>83160000</v>
      </c>
    </row>
    <row r="568" spans="1:7">
      <c r="A568" s="165" t="s">
        <v>2346</v>
      </c>
      <c r="B568" s="165"/>
      <c r="C568" s="165"/>
      <c r="D568" s="165"/>
      <c r="E568" s="165"/>
      <c r="F568" s="166">
        <v>8040</v>
      </c>
      <c r="G568" s="166">
        <v>126060000</v>
      </c>
    </row>
    <row r="569" spans="1:7">
      <c r="A569" s="165" t="s">
        <v>234</v>
      </c>
      <c r="B569" s="165" t="s">
        <v>2011</v>
      </c>
      <c r="C569" s="165" t="s">
        <v>29</v>
      </c>
      <c r="D569" s="250">
        <v>43709</v>
      </c>
      <c r="E569" s="165">
        <v>10600</v>
      </c>
      <c r="F569" s="166">
        <v>10000</v>
      </c>
      <c r="G569" s="166">
        <v>106000000</v>
      </c>
    </row>
    <row r="570" spans="1:7">
      <c r="B570" s="165" t="s">
        <v>2106</v>
      </c>
      <c r="C570" s="165" t="s">
        <v>29</v>
      </c>
      <c r="D570" s="250">
        <v>43709</v>
      </c>
      <c r="E570" s="165">
        <v>15400</v>
      </c>
      <c r="F570" s="166">
        <v>5000</v>
      </c>
      <c r="G570" s="166">
        <v>77000000</v>
      </c>
    </row>
    <row r="571" spans="1:7">
      <c r="B571" s="165" t="s">
        <v>2134</v>
      </c>
      <c r="C571" s="165" t="s">
        <v>29</v>
      </c>
      <c r="D571" s="250">
        <v>43709</v>
      </c>
      <c r="E571" s="165">
        <v>10800</v>
      </c>
      <c r="F571" s="166">
        <v>5100</v>
      </c>
      <c r="G571" s="166">
        <v>55080000</v>
      </c>
    </row>
    <row r="572" spans="1:7">
      <c r="B572" s="165" t="s">
        <v>2177</v>
      </c>
      <c r="C572" s="165" t="s">
        <v>29</v>
      </c>
      <c r="D572" s="250">
        <v>43709</v>
      </c>
      <c r="E572" s="165">
        <v>6200</v>
      </c>
      <c r="F572" s="166">
        <v>5000</v>
      </c>
      <c r="G572" s="166">
        <v>31000000</v>
      </c>
    </row>
    <row r="573" spans="1:7">
      <c r="A573" s="165" t="s">
        <v>2347</v>
      </c>
      <c r="B573" s="165"/>
      <c r="C573" s="165"/>
      <c r="D573" s="165"/>
      <c r="E573" s="165"/>
      <c r="F573" s="166">
        <v>25100</v>
      </c>
      <c r="G573" s="166">
        <v>269080000</v>
      </c>
    </row>
    <row r="574" spans="1:7">
      <c r="A574" s="165" t="s">
        <v>1857</v>
      </c>
      <c r="F574" s="166">
        <v>4072930</v>
      </c>
      <c r="G574" s="166">
        <v>43182828500</v>
      </c>
    </row>
  </sheetData>
  <pageMargins left="0.25" right="0.17" top="0.38" bottom="0.61" header="0.3" footer="0.3"/>
  <pageSetup scale="70" orientation="portrait" horizontalDpi="0" verticalDpi="0"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tabColor theme="5"/>
    <pageSetUpPr fitToPage="1"/>
  </sheetPr>
  <dimension ref="A1:AL1904"/>
  <sheetViews>
    <sheetView tabSelected="1" zoomScaleNormal="100" workbookViewId="0">
      <pane xSplit="6" ySplit="1" topLeftCell="Z539" activePane="bottomRight" state="frozen"/>
      <selection pane="topRight" activeCell="H1" sqref="H1"/>
      <selection pane="bottomLeft" activeCell="A2" sqref="A2"/>
      <selection pane="bottomRight" activeCell="N1905" sqref="N1905"/>
    </sheetView>
  </sheetViews>
  <sheetFormatPr defaultRowHeight="15" outlineLevelRow="1"/>
  <cols>
    <col min="1" max="1" width="10.28515625" customWidth="1"/>
    <col min="2" max="2" width="10.28515625" style="12" customWidth="1"/>
    <col min="3" max="3" width="13.42578125" customWidth="1"/>
    <col min="4" max="4" width="7.7109375" customWidth="1"/>
    <col min="5" max="5" width="41.5703125" style="13" customWidth="1"/>
    <col min="6" max="6" width="23.140625" customWidth="1"/>
    <col min="7" max="7" width="23.28515625" bestFit="1" customWidth="1"/>
    <col min="8" max="8" width="4.5703125" style="12" customWidth="1"/>
    <col min="9" max="9" width="6.7109375" style="12" customWidth="1"/>
    <col min="10" max="10" width="7.140625" style="31" customWidth="1"/>
    <col min="11" max="11" width="10.42578125" style="15" customWidth="1"/>
    <col min="12" max="12" width="8.5703125" style="15" customWidth="1"/>
    <col min="13" max="13" width="9" style="33" customWidth="1"/>
    <col min="14" max="14" width="8.85546875" style="15" customWidth="1"/>
    <col min="15" max="15" width="8.5703125" style="15" customWidth="1"/>
    <col min="16" max="17" width="13.85546875" style="15" customWidth="1"/>
    <col min="18" max="18" width="10.140625" style="18" customWidth="1"/>
    <col min="19" max="19" width="11.140625" style="23" customWidth="1"/>
    <col min="20" max="20" width="15" style="20" customWidth="1"/>
    <col min="21" max="21" width="15.140625" style="21" customWidth="1"/>
    <col min="22" max="22" width="15.28515625" style="12" customWidth="1"/>
    <col min="23" max="23" width="10.140625" style="18" customWidth="1"/>
    <col min="24" max="24" width="14.42578125" style="18" customWidth="1"/>
    <col min="25" max="25" width="9.140625" style="12" customWidth="1"/>
    <col min="26" max="26" width="9.5703125" style="206" customWidth="1"/>
    <col min="27" max="29" width="10.85546875" style="12" customWidth="1"/>
    <col min="30" max="30" width="10.85546875" style="245" customWidth="1"/>
    <col min="31" max="31" width="10.85546875" style="12" customWidth="1"/>
    <col min="32" max="32" width="10.85546875" style="245" customWidth="1"/>
    <col min="33" max="33" width="10.85546875" style="12" customWidth="1"/>
    <col min="34" max="34" width="13.5703125" style="15" customWidth="1"/>
    <col min="35" max="36" width="15.28515625" style="22" customWidth="1"/>
    <col min="37" max="37" width="11.7109375" customWidth="1"/>
  </cols>
  <sheetData>
    <row r="1" spans="1:37" ht="26.25" customHeight="1">
      <c r="A1" s="1" t="s">
        <v>1</v>
      </c>
      <c r="B1" s="2" t="s">
        <v>2</v>
      </c>
      <c r="C1" s="2" t="s">
        <v>3</v>
      </c>
      <c r="D1" s="2" t="s">
        <v>4</v>
      </c>
      <c r="E1" s="2" t="s">
        <v>5</v>
      </c>
      <c r="F1" s="2" t="s">
        <v>6</v>
      </c>
      <c r="G1" s="2" t="s">
        <v>7</v>
      </c>
      <c r="H1" s="1" t="s">
        <v>0</v>
      </c>
      <c r="I1" s="1" t="s">
        <v>8</v>
      </c>
      <c r="J1" s="3" t="s">
        <v>9</v>
      </c>
      <c r="K1" s="4" t="s">
        <v>10</v>
      </c>
      <c r="L1" s="4" t="s">
        <v>11</v>
      </c>
      <c r="M1" s="5">
        <v>0</v>
      </c>
      <c r="N1" s="4" t="s">
        <v>1420</v>
      </c>
      <c r="O1" s="4" t="s">
        <v>12</v>
      </c>
      <c r="P1" s="4" t="s">
        <v>1421</v>
      </c>
      <c r="Q1" s="6" t="s">
        <v>13</v>
      </c>
      <c r="R1" s="6" t="s">
        <v>13</v>
      </c>
      <c r="S1" s="7" t="s">
        <v>14</v>
      </c>
      <c r="T1" s="7" t="s">
        <v>15</v>
      </c>
      <c r="U1" s="7" t="s">
        <v>16</v>
      </c>
      <c r="V1" s="8" t="s">
        <v>17</v>
      </c>
      <c r="W1" s="9" t="s">
        <v>18</v>
      </c>
      <c r="X1" s="9" t="s">
        <v>19</v>
      </c>
      <c r="Y1" s="10" t="s">
        <v>20</v>
      </c>
      <c r="Z1" s="205" t="s">
        <v>1598</v>
      </c>
      <c r="AA1" s="204" t="s">
        <v>1596</v>
      </c>
      <c r="AB1" s="204" t="s">
        <v>1599</v>
      </c>
      <c r="AC1" s="204" t="s">
        <v>1597</v>
      </c>
      <c r="AD1" s="243" t="s">
        <v>1605</v>
      </c>
      <c r="AE1" s="204" t="s">
        <v>1606</v>
      </c>
      <c r="AF1" s="243" t="s">
        <v>2013</v>
      </c>
      <c r="AG1" s="204" t="s">
        <v>2014</v>
      </c>
      <c r="AH1" s="11" t="s">
        <v>21</v>
      </c>
      <c r="AI1" s="11" t="s">
        <v>22</v>
      </c>
      <c r="AJ1" s="227" t="s">
        <v>1856</v>
      </c>
      <c r="AK1" s="208" t="s">
        <v>1602</v>
      </c>
    </row>
    <row r="2" spans="1:37" hidden="1">
      <c r="A2" t="s">
        <v>311</v>
      </c>
      <c r="B2" s="13">
        <v>43539</v>
      </c>
      <c r="C2" s="13" t="s">
        <v>23</v>
      </c>
      <c r="D2" t="s">
        <v>167</v>
      </c>
      <c r="E2" s="13" t="s">
        <v>168</v>
      </c>
      <c r="F2" t="str">
        <f t="shared" ref="F2:F64" si="0">SUBSTITUTE(LEFT(G2,4)&amp;"_"&amp;H2&amp;"_"&amp;I2&amp;"_"&amp;J2&amp;"_"&amp;K2,"__","_")</f>
        <v>YELL_12.14_400_NL2018</v>
      </c>
      <c r="G2" s="165" t="s">
        <v>89</v>
      </c>
      <c r="I2" s="12">
        <v>12.14</v>
      </c>
      <c r="J2" s="31" t="s">
        <v>128</v>
      </c>
      <c r="K2" s="15" t="s">
        <v>28</v>
      </c>
      <c r="M2" s="16">
        <f t="shared" ref="M2:M64" si="1">+N2/J2</f>
        <v>8</v>
      </c>
      <c r="N2" s="15">
        <v>3200</v>
      </c>
      <c r="O2" s="15">
        <v>2600</v>
      </c>
      <c r="P2" s="15">
        <f t="shared" ref="P2:P64" si="2">+O2*N2</f>
        <v>8320000</v>
      </c>
      <c r="Q2" s="15" t="str">
        <f>IF(AND(N2=0,AI2=0),"Canceled",IF(AND(N2&gt;0,AI2=0),"Done",""))</f>
        <v>Done</v>
      </c>
      <c r="R2" s="18" t="s">
        <v>44</v>
      </c>
      <c r="S2" s="23">
        <v>43511</v>
      </c>
      <c r="T2" s="20">
        <f>IFERROR(VLOOKUP(S2,'Date Converter'!$A$4:$C$368,3,0),"")</f>
        <v>43544</v>
      </c>
      <c r="U2" s="21">
        <f t="shared" ref="U2:U33" si="3">+T2</f>
        <v>43544</v>
      </c>
      <c r="V2" s="12" t="s">
        <v>393</v>
      </c>
      <c r="W2" s="18" t="s">
        <v>33</v>
      </c>
      <c r="X2" s="18">
        <v>43541</v>
      </c>
      <c r="Z2" s="206">
        <v>43549</v>
      </c>
      <c r="AA2" s="15">
        <v>3200</v>
      </c>
      <c r="AD2" s="12"/>
      <c r="AH2" s="15">
        <f t="shared" ref="AH2:AH64" si="4">+AA2+AC2+AE2+AG2</f>
        <v>3200</v>
      </c>
      <c r="AI2" s="22">
        <f t="shared" ref="AI2:AI64" si="5">+N2-AH2</f>
        <v>0</v>
      </c>
      <c r="AJ2" s="22">
        <f t="shared" ref="AJ2:AJ64" si="6">+AI2*O2</f>
        <v>0</v>
      </c>
    </row>
    <row r="3" spans="1:37" hidden="1">
      <c r="A3" t="s">
        <v>311</v>
      </c>
      <c r="B3" s="13">
        <v>43539</v>
      </c>
      <c r="C3" s="13" t="s">
        <v>23</v>
      </c>
      <c r="D3" t="s">
        <v>167</v>
      </c>
      <c r="E3" s="13" t="s">
        <v>168</v>
      </c>
      <c r="F3" t="str">
        <f t="shared" si="0"/>
        <v>YELL_12.14_400_NL2018</v>
      </c>
      <c r="G3" s="165" t="s">
        <v>89</v>
      </c>
      <c r="I3" s="12">
        <v>12.14</v>
      </c>
      <c r="J3" s="31" t="s">
        <v>128</v>
      </c>
      <c r="K3" s="15" t="s">
        <v>28</v>
      </c>
      <c r="M3" s="16">
        <f t="shared" si="1"/>
        <v>0</v>
      </c>
      <c r="N3" s="15">
        <f>10000+10000-20000</f>
        <v>0</v>
      </c>
      <c r="O3" s="15">
        <f>2600+100</f>
        <v>2700</v>
      </c>
      <c r="P3" s="15">
        <f t="shared" si="2"/>
        <v>0</v>
      </c>
      <c r="Q3" s="15" t="str">
        <f t="shared" ref="Q3:Q66" si="7">IF(AND(N3=0,AI3=0),"Canceled",IF(AND(N3&gt;0,AI3=0),"Done",""))</f>
        <v>Canceled</v>
      </c>
      <c r="R3" s="18" t="s">
        <v>71</v>
      </c>
      <c r="S3" s="23">
        <v>43572</v>
      </c>
      <c r="T3" s="20">
        <f>IFERROR(VLOOKUP(S3,'Date Converter'!$A$4:$C$368,3,0),"")</f>
        <v>43606</v>
      </c>
      <c r="U3" s="21">
        <f t="shared" si="3"/>
        <v>43606</v>
      </c>
      <c r="V3" s="12" t="s">
        <v>36</v>
      </c>
      <c r="AA3" s="15">
        <v>0</v>
      </c>
      <c r="AD3" s="12"/>
      <c r="AH3" s="15">
        <f t="shared" si="4"/>
        <v>0</v>
      </c>
      <c r="AI3" s="22">
        <f t="shared" si="5"/>
        <v>0</v>
      </c>
      <c r="AJ3" s="22">
        <f t="shared" si="6"/>
        <v>0</v>
      </c>
    </row>
    <row r="4" spans="1:37" hidden="1">
      <c r="A4" s="165" t="s">
        <v>487</v>
      </c>
      <c r="B4" s="13">
        <v>43567</v>
      </c>
      <c r="C4" s="268" t="s">
        <v>23</v>
      </c>
      <c r="D4" s="258" t="s">
        <v>167</v>
      </c>
      <c r="E4" s="13" t="s">
        <v>168</v>
      </c>
      <c r="F4" t="str">
        <f t="shared" si="0"/>
        <v>TARR_18.20_150_NL2018</v>
      </c>
      <c r="G4" s="13" t="s">
        <v>62</v>
      </c>
      <c r="I4" s="12" t="s">
        <v>27</v>
      </c>
      <c r="J4" s="31" t="s">
        <v>126</v>
      </c>
      <c r="K4" s="15" t="s">
        <v>28</v>
      </c>
      <c r="M4" s="16">
        <f t="shared" si="1"/>
        <v>34</v>
      </c>
      <c r="N4" s="15">
        <v>5100</v>
      </c>
      <c r="O4" s="15">
        <v>9300</v>
      </c>
      <c r="P4" s="15">
        <f t="shared" si="2"/>
        <v>47430000</v>
      </c>
      <c r="Q4" s="15" t="str">
        <f t="shared" si="7"/>
        <v/>
      </c>
      <c r="R4" s="18" t="s">
        <v>29</v>
      </c>
      <c r="S4" s="23">
        <v>43709</v>
      </c>
      <c r="T4" s="20">
        <f>IFERROR(VLOOKUP(S4,'Date Converter'!$A$4:$C$368,3,0),"")</f>
        <v>43737</v>
      </c>
      <c r="U4" s="21">
        <f t="shared" si="3"/>
        <v>43737</v>
      </c>
      <c r="V4" s="12" t="s">
        <v>51</v>
      </c>
      <c r="AA4" s="15"/>
      <c r="AD4" s="12"/>
      <c r="AH4" s="15">
        <f t="shared" si="4"/>
        <v>0</v>
      </c>
      <c r="AI4" s="22">
        <f t="shared" si="5"/>
        <v>5100</v>
      </c>
      <c r="AJ4" s="22">
        <f t="shared" si="6"/>
        <v>47430000</v>
      </c>
    </row>
    <row r="5" spans="1:37" hidden="1">
      <c r="A5" t="s">
        <v>311</v>
      </c>
      <c r="B5" s="13">
        <v>43539</v>
      </c>
      <c r="C5" s="13" t="s">
        <v>23</v>
      </c>
      <c r="D5" t="s">
        <v>167</v>
      </c>
      <c r="E5" s="13" t="s">
        <v>168</v>
      </c>
      <c r="F5" t="str">
        <f t="shared" si="0"/>
        <v>SERA_14.16_300_NL2018</v>
      </c>
      <c r="G5" s="13" t="s">
        <v>227</v>
      </c>
      <c r="I5" s="12" t="s">
        <v>47</v>
      </c>
      <c r="J5" s="31" t="s">
        <v>124</v>
      </c>
      <c r="K5" s="15" t="s">
        <v>28</v>
      </c>
      <c r="M5" s="16">
        <f t="shared" si="1"/>
        <v>24</v>
      </c>
      <c r="N5" s="15">
        <v>7200</v>
      </c>
      <c r="O5" s="15">
        <v>3500</v>
      </c>
      <c r="P5" s="15">
        <f t="shared" si="2"/>
        <v>25200000</v>
      </c>
      <c r="Q5" s="15" t="str">
        <f t="shared" si="7"/>
        <v>Done</v>
      </c>
      <c r="R5" s="18" t="s">
        <v>44</v>
      </c>
      <c r="S5" s="23">
        <v>43511</v>
      </c>
      <c r="T5" s="20">
        <f>IFERROR(VLOOKUP(S5,'Date Converter'!$A$4:$C$368,3,0),"")</f>
        <v>43544</v>
      </c>
      <c r="U5" s="21">
        <f t="shared" si="3"/>
        <v>43544</v>
      </c>
      <c r="V5" s="12" t="s">
        <v>393</v>
      </c>
      <c r="W5" s="18" t="s">
        <v>41</v>
      </c>
      <c r="X5" s="18">
        <v>43541</v>
      </c>
      <c r="Z5" s="206">
        <v>43549</v>
      </c>
      <c r="AA5" s="15">
        <v>7200</v>
      </c>
      <c r="AD5" s="12"/>
      <c r="AH5" s="15">
        <f t="shared" si="4"/>
        <v>7200</v>
      </c>
      <c r="AI5" s="22">
        <f t="shared" si="5"/>
        <v>0</v>
      </c>
      <c r="AJ5" s="22">
        <f t="shared" si="6"/>
        <v>0</v>
      </c>
    </row>
    <row r="6" spans="1:37" hidden="1">
      <c r="A6" t="s">
        <v>311</v>
      </c>
      <c r="B6" s="13">
        <v>43539</v>
      </c>
      <c r="C6" s="13" t="s">
        <v>23</v>
      </c>
      <c r="D6" t="s">
        <v>167</v>
      </c>
      <c r="E6" s="13" t="s">
        <v>168</v>
      </c>
      <c r="F6" t="str">
        <f t="shared" si="0"/>
        <v>ROBI_16.18_200_NL2018</v>
      </c>
      <c r="G6" s="165" t="s">
        <v>61</v>
      </c>
      <c r="I6" s="12" t="s">
        <v>35</v>
      </c>
      <c r="J6" s="31" t="s">
        <v>121</v>
      </c>
      <c r="K6" s="15" t="s">
        <v>28</v>
      </c>
      <c r="M6" s="16">
        <f t="shared" si="1"/>
        <v>100</v>
      </c>
      <c r="N6" s="15">
        <v>20000</v>
      </c>
      <c r="O6" s="15">
        <f>5000+170</f>
        <v>5170</v>
      </c>
      <c r="P6" s="15">
        <f t="shared" si="2"/>
        <v>103400000</v>
      </c>
      <c r="Q6" s="15" t="str">
        <f t="shared" si="7"/>
        <v>Done</v>
      </c>
      <c r="R6" s="18" t="s">
        <v>44</v>
      </c>
      <c r="S6" s="23">
        <v>43572</v>
      </c>
      <c r="T6" s="20">
        <f>IFERROR(VLOOKUP(S6,'Date Converter'!$A$4:$C$368,3,0),"")</f>
        <v>43606</v>
      </c>
      <c r="U6" s="21">
        <f t="shared" si="3"/>
        <v>43606</v>
      </c>
      <c r="V6" s="12" t="s">
        <v>36</v>
      </c>
      <c r="Z6" s="206">
        <v>43605</v>
      </c>
      <c r="AA6" s="15">
        <v>10000</v>
      </c>
      <c r="AB6" s="206">
        <v>43624</v>
      </c>
      <c r="AC6" s="15">
        <v>10000</v>
      </c>
      <c r="AD6" s="12"/>
      <c r="AH6" s="15">
        <f t="shared" si="4"/>
        <v>20000</v>
      </c>
      <c r="AI6" s="22">
        <f t="shared" si="5"/>
        <v>0</v>
      </c>
      <c r="AJ6" s="22">
        <f t="shared" si="6"/>
        <v>0</v>
      </c>
    </row>
    <row r="7" spans="1:37" hidden="1">
      <c r="A7" s="165" t="s">
        <v>487</v>
      </c>
      <c r="B7" s="13">
        <v>43539</v>
      </c>
      <c r="C7" s="268" t="s">
        <v>23</v>
      </c>
      <c r="D7" s="258" t="s">
        <v>167</v>
      </c>
      <c r="E7" s="13" t="s">
        <v>168</v>
      </c>
      <c r="F7" s="165" t="str">
        <f t="shared" si="0"/>
        <v>ROBI_20.22_125_NL2018</v>
      </c>
      <c r="G7" s="13" t="s">
        <v>61</v>
      </c>
      <c r="I7" s="12" t="s">
        <v>74</v>
      </c>
      <c r="J7" s="31" t="s">
        <v>122</v>
      </c>
      <c r="K7" s="15" t="s">
        <v>28</v>
      </c>
      <c r="M7" s="16">
        <f t="shared" si="1"/>
        <v>160</v>
      </c>
      <c r="N7" s="15">
        <v>20000</v>
      </c>
      <c r="O7" s="15">
        <v>10500</v>
      </c>
      <c r="P7" s="15">
        <f t="shared" si="2"/>
        <v>210000000</v>
      </c>
      <c r="Q7" s="15" t="str">
        <f t="shared" si="7"/>
        <v/>
      </c>
      <c r="R7" s="18" t="s">
        <v>29</v>
      </c>
      <c r="S7" s="23">
        <v>43709</v>
      </c>
      <c r="T7" s="20">
        <f>IFERROR(VLOOKUP(S7,'Date Converter'!$A$4:$C$368,3,0),"")</f>
        <v>43737</v>
      </c>
      <c r="U7" s="21">
        <f t="shared" si="3"/>
        <v>43737</v>
      </c>
      <c r="V7" s="12" t="s">
        <v>51</v>
      </c>
      <c r="AA7" s="15"/>
      <c r="AD7" s="12"/>
      <c r="AH7" s="15">
        <f t="shared" si="4"/>
        <v>0</v>
      </c>
      <c r="AI7" s="22">
        <f t="shared" si="5"/>
        <v>20000</v>
      </c>
      <c r="AJ7" s="22">
        <f t="shared" si="6"/>
        <v>210000000</v>
      </c>
    </row>
    <row r="8" spans="1:37" s="165" customFormat="1" hidden="1">
      <c r="A8" s="165" t="s">
        <v>1417</v>
      </c>
      <c r="B8" s="13">
        <v>43567</v>
      </c>
      <c r="C8" s="13" t="s">
        <v>23</v>
      </c>
      <c r="D8" s="165" t="s">
        <v>167</v>
      </c>
      <c r="E8" s="13" t="s">
        <v>168</v>
      </c>
      <c r="F8" s="165" t="str">
        <f t="shared" si="0"/>
        <v>ROBI_16.18_200_NL2018</v>
      </c>
      <c r="G8" s="13" t="s">
        <v>61</v>
      </c>
      <c r="H8" s="12"/>
      <c r="I8" s="12" t="s">
        <v>35</v>
      </c>
      <c r="J8" s="31" t="s">
        <v>121</v>
      </c>
      <c r="K8" s="15" t="s">
        <v>28</v>
      </c>
      <c r="L8" s="15"/>
      <c r="M8" s="16">
        <f t="shared" si="1"/>
        <v>25</v>
      </c>
      <c r="N8" s="15">
        <f>30000-10000-10000-10000+5000</f>
        <v>5000</v>
      </c>
      <c r="O8" s="15">
        <v>5400</v>
      </c>
      <c r="P8" s="15">
        <f t="shared" si="2"/>
        <v>27000000</v>
      </c>
      <c r="Q8" s="15" t="str">
        <f t="shared" si="7"/>
        <v>Done</v>
      </c>
      <c r="R8" s="18" t="s">
        <v>44</v>
      </c>
      <c r="S8" s="23">
        <v>43603</v>
      </c>
      <c r="T8" s="20">
        <f>IFERROR(VLOOKUP(S8,'Date Converter'!$A$4:$C$368,3,0),"")</f>
        <v>43636</v>
      </c>
      <c r="U8" s="21">
        <f t="shared" si="3"/>
        <v>43636</v>
      </c>
      <c r="V8" s="12" t="s">
        <v>1865</v>
      </c>
      <c r="W8" s="18"/>
      <c r="X8" s="18"/>
      <c r="Y8" s="12"/>
      <c r="Z8" s="206">
        <v>43642</v>
      </c>
      <c r="AA8" s="15">
        <v>5000</v>
      </c>
      <c r="AB8" s="12"/>
      <c r="AC8" s="12"/>
      <c r="AD8" s="12"/>
      <c r="AE8" s="12"/>
      <c r="AF8" s="245"/>
      <c r="AG8" s="12"/>
      <c r="AH8" s="15">
        <f t="shared" si="4"/>
        <v>5000</v>
      </c>
      <c r="AI8" s="22">
        <f t="shared" si="5"/>
        <v>0</v>
      </c>
      <c r="AJ8" s="22">
        <f t="shared" si="6"/>
        <v>0</v>
      </c>
    </row>
    <row r="9" spans="1:37" hidden="1">
      <c r="A9" t="s">
        <v>1417</v>
      </c>
      <c r="B9" s="13">
        <v>43624</v>
      </c>
      <c r="C9" s="13" t="s">
        <v>23</v>
      </c>
      <c r="D9" t="s">
        <v>167</v>
      </c>
      <c r="E9" s="13" t="s">
        <v>168</v>
      </c>
      <c r="F9" t="str">
        <f t="shared" si="0"/>
        <v>ROBI_16.18_200_NL2018</v>
      </c>
      <c r="G9" s="13" t="s">
        <v>61</v>
      </c>
      <c r="I9" s="12" t="s">
        <v>35</v>
      </c>
      <c r="J9" s="31" t="s">
        <v>121</v>
      </c>
      <c r="K9" s="15" t="s">
        <v>28</v>
      </c>
      <c r="M9" s="16">
        <f t="shared" si="1"/>
        <v>100</v>
      </c>
      <c r="N9" s="15">
        <f>10000+10000-20000+20000</f>
        <v>20000</v>
      </c>
      <c r="O9" s="15">
        <v>5400</v>
      </c>
      <c r="P9" s="15">
        <f t="shared" si="2"/>
        <v>108000000</v>
      </c>
      <c r="Q9" s="15" t="str">
        <f t="shared" si="7"/>
        <v/>
      </c>
      <c r="R9" s="18" t="s">
        <v>31</v>
      </c>
      <c r="S9" s="23">
        <v>43631</v>
      </c>
      <c r="T9" s="20">
        <f>IFERROR(VLOOKUP(S9,'Date Converter'!$A$4:$C$368,3,0),"")</f>
        <v>43663</v>
      </c>
      <c r="U9" s="21">
        <f t="shared" si="3"/>
        <v>43663</v>
      </c>
      <c r="AA9" s="15"/>
      <c r="AD9" s="12"/>
      <c r="AH9" s="15">
        <f t="shared" si="4"/>
        <v>0</v>
      </c>
      <c r="AI9" s="22">
        <f t="shared" si="5"/>
        <v>20000</v>
      </c>
      <c r="AJ9" s="22">
        <f t="shared" si="6"/>
        <v>108000000</v>
      </c>
    </row>
    <row r="10" spans="1:37" hidden="1">
      <c r="A10" s="183" t="s">
        <v>1418</v>
      </c>
      <c r="B10" s="188">
        <v>43567</v>
      </c>
      <c r="C10" s="188" t="s">
        <v>23</v>
      </c>
      <c r="D10" s="183" t="s">
        <v>167</v>
      </c>
      <c r="E10" s="188" t="s">
        <v>168</v>
      </c>
      <c r="F10" s="183" t="str">
        <f t="shared" si="0"/>
        <v>ROBI_18.20_150_NL2018</v>
      </c>
      <c r="G10" s="188" t="s">
        <v>61</v>
      </c>
      <c r="H10" s="184"/>
      <c r="I10" s="184" t="s">
        <v>27</v>
      </c>
      <c r="J10" s="192" t="s">
        <v>126</v>
      </c>
      <c r="K10" s="185" t="s">
        <v>28</v>
      </c>
      <c r="L10" s="185"/>
      <c r="M10" s="187">
        <f t="shared" si="1"/>
        <v>0</v>
      </c>
      <c r="N10" s="185">
        <f>7050-7050</f>
        <v>0</v>
      </c>
      <c r="O10" s="185">
        <v>8100</v>
      </c>
      <c r="P10" s="185">
        <f t="shared" si="2"/>
        <v>0</v>
      </c>
      <c r="Q10" s="15" t="str">
        <f t="shared" si="7"/>
        <v>Canceled</v>
      </c>
      <c r="R10" s="18" t="s">
        <v>71</v>
      </c>
      <c r="S10" s="190">
        <v>43709</v>
      </c>
      <c r="T10" s="20">
        <f>IFERROR(VLOOKUP(S10,'Date Converter'!$A$4:$C$368,3,0),"")</f>
        <v>43737</v>
      </c>
      <c r="U10" s="21">
        <f t="shared" si="3"/>
        <v>43737</v>
      </c>
      <c r="V10" s="184" t="s">
        <v>51</v>
      </c>
      <c r="W10" s="189"/>
      <c r="X10" s="189"/>
      <c r="Y10" s="184"/>
      <c r="AA10" s="185"/>
      <c r="AB10" s="184"/>
      <c r="AC10" s="184"/>
      <c r="AD10" s="184"/>
      <c r="AE10" s="184"/>
      <c r="AF10" s="248"/>
      <c r="AG10" s="184"/>
      <c r="AH10" s="15">
        <f t="shared" si="4"/>
        <v>0</v>
      </c>
      <c r="AI10" s="22">
        <f t="shared" si="5"/>
        <v>0</v>
      </c>
      <c r="AJ10" s="22">
        <f t="shared" si="6"/>
        <v>0</v>
      </c>
      <c r="AK10" s="183"/>
    </row>
    <row r="11" spans="1:37" s="165" customFormat="1" hidden="1">
      <c r="A11" s="165" t="s">
        <v>311</v>
      </c>
      <c r="B11" s="13">
        <v>43539</v>
      </c>
      <c r="C11" s="13" t="s">
        <v>23</v>
      </c>
      <c r="D11" s="165" t="s">
        <v>167</v>
      </c>
      <c r="E11" s="13" t="s">
        <v>168</v>
      </c>
      <c r="F11" s="165" t="str">
        <f t="shared" si="0"/>
        <v>CONC_16.18_200_NL2018</v>
      </c>
      <c r="G11" s="165" t="s">
        <v>40</v>
      </c>
      <c r="H11" s="12"/>
      <c r="I11" s="12" t="s">
        <v>35</v>
      </c>
      <c r="J11" s="31" t="s">
        <v>121</v>
      </c>
      <c r="K11" s="15" t="s">
        <v>28</v>
      </c>
      <c r="L11" s="15"/>
      <c r="M11" s="16">
        <f t="shared" si="1"/>
        <v>50</v>
      </c>
      <c r="N11" s="15">
        <v>10000</v>
      </c>
      <c r="O11" s="15">
        <v>5000</v>
      </c>
      <c r="P11" s="15">
        <f t="shared" si="2"/>
        <v>50000000</v>
      </c>
      <c r="Q11" s="15" t="str">
        <f t="shared" si="7"/>
        <v>Done</v>
      </c>
      <c r="R11" s="18" t="s">
        <v>44</v>
      </c>
      <c r="S11" s="23">
        <v>43539</v>
      </c>
      <c r="T11" s="20">
        <f>IFERROR(VLOOKUP(S11,'Date Converter'!$A$4:$C$368,3,0),"")</f>
        <v>43574</v>
      </c>
      <c r="U11" s="21">
        <f t="shared" si="3"/>
        <v>43574</v>
      </c>
      <c r="V11" s="12" t="s">
        <v>57</v>
      </c>
      <c r="W11" s="18" t="s">
        <v>86</v>
      </c>
      <c r="X11" s="18">
        <v>43569</v>
      </c>
      <c r="Y11" s="12"/>
      <c r="Z11" s="206">
        <v>43579</v>
      </c>
      <c r="AA11" s="15">
        <v>10000</v>
      </c>
      <c r="AB11" s="12"/>
      <c r="AC11" s="12"/>
      <c r="AD11" s="12"/>
      <c r="AE11" s="12"/>
      <c r="AF11" s="245"/>
      <c r="AG11" s="12"/>
      <c r="AH11" s="15">
        <f t="shared" si="4"/>
        <v>10000</v>
      </c>
      <c r="AI11" s="22">
        <f t="shared" si="5"/>
        <v>0</v>
      </c>
      <c r="AJ11" s="22">
        <f t="shared" si="6"/>
        <v>0</v>
      </c>
    </row>
    <row r="12" spans="1:37" s="165" customFormat="1" hidden="1">
      <c r="A12" s="165" t="s">
        <v>487</v>
      </c>
      <c r="B12" s="13">
        <v>43539</v>
      </c>
      <c r="C12" s="268" t="s">
        <v>23</v>
      </c>
      <c r="D12" s="258" t="s">
        <v>167</v>
      </c>
      <c r="E12" s="13" t="s">
        <v>168</v>
      </c>
      <c r="F12" s="165" t="str">
        <f t="shared" si="0"/>
        <v>CONC_20.22_125_NL2018</v>
      </c>
      <c r="G12" s="13" t="s">
        <v>40</v>
      </c>
      <c r="H12" s="12"/>
      <c r="I12" s="12" t="s">
        <v>74</v>
      </c>
      <c r="J12" s="31" t="s">
        <v>122</v>
      </c>
      <c r="K12" s="15" t="s">
        <v>28</v>
      </c>
      <c r="L12" s="15"/>
      <c r="M12" s="16">
        <f t="shared" si="1"/>
        <v>160</v>
      </c>
      <c r="N12" s="15">
        <v>20000</v>
      </c>
      <c r="O12" s="15">
        <v>10500</v>
      </c>
      <c r="P12" s="15">
        <f t="shared" si="2"/>
        <v>210000000</v>
      </c>
      <c r="Q12" s="15" t="str">
        <f t="shared" si="7"/>
        <v/>
      </c>
      <c r="R12" s="18" t="s">
        <v>29</v>
      </c>
      <c r="S12" s="23">
        <v>43709</v>
      </c>
      <c r="T12" s="20">
        <f>IFERROR(VLOOKUP(S12,'Date Converter'!$A$4:$C$368,3,0),"")</f>
        <v>43737</v>
      </c>
      <c r="U12" s="21">
        <f t="shared" si="3"/>
        <v>43737</v>
      </c>
      <c r="V12" s="12" t="s">
        <v>51</v>
      </c>
      <c r="W12" s="18"/>
      <c r="X12" s="18"/>
      <c r="Y12" s="12"/>
      <c r="Z12" s="206"/>
      <c r="AA12" s="15"/>
      <c r="AB12" s="12"/>
      <c r="AC12" s="12"/>
      <c r="AD12" s="12"/>
      <c r="AE12" s="12"/>
      <c r="AF12" s="245"/>
      <c r="AG12" s="12"/>
      <c r="AH12" s="15">
        <f t="shared" si="4"/>
        <v>0</v>
      </c>
      <c r="AI12" s="22">
        <f t="shared" si="5"/>
        <v>20000</v>
      </c>
      <c r="AJ12" s="22">
        <f t="shared" si="6"/>
        <v>210000000</v>
      </c>
    </row>
    <row r="13" spans="1:37" s="165" customFormat="1" hidden="1">
      <c r="A13" s="165" t="s">
        <v>1418</v>
      </c>
      <c r="B13" s="13">
        <v>43567</v>
      </c>
      <c r="C13" s="13" t="s">
        <v>23</v>
      </c>
      <c r="D13" s="165" t="s">
        <v>167</v>
      </c>
      <c r="E13" s="13" t="s">
        <v>168</v>
      </c>
      <c r="F13" s="165" t="str">
        <f t="shared" si="0"/>
        <v>CONC_18.20_150_NL2018</v>
      </c>
      <c r="G13" s="13" t="s">
        <v>40</v>
      </c>
      <c r="H13" s="12"/>
      <c r="I13" s="12" t="s">
        <v>27</v>
      </c>
      <c r="J13" s="31" t="s">
        <v>126</v>
      </c>
      <c r="K13" s="15" t="s">
        <v>28</v>
      </c>
      <c r="L13" s="15"/>
      <c r="M13" s="16">
        <f t="shared" si="1"/>
        <v>0</v>
      </c>
      <c r="N13" s="15">
        <f>8100-8100</f>
        <v>0</v>
      </c>
      <c r="O13" s="15">
        <v>8000</v>
      </c>
      <c r="P13" s="15">
        <f t="shared" si="2"/>
        <v>0</v>
      </c>
      <c r="Q13" s="15" t="str">
        <f t="shared" si="7"/>
        <v>Canceled</v>
      </c>
      <c r="R13" s="18" t="s">
        <v>71</v>
      </c>
      <c r="S13" s="23">
        <v>43709</v>
      </c>
      <c r="T13" s="20">
        <f>IFERROR(VLOOKUP(S13,'Date Converter'!$A$4:$C$368,3,0),"")</f>
        <v>43737</v>
      </c>
      <c r="U13" s="21">
        <f t="shared" si="3"/>
        <v>43737</v>
      </c>
      <c r="V13" s="12" t="s">
        <v>51</v>
      </c>
      <c r="W13" s="18"/>
      <c r="X13" s="18"/>
      <c r="Y13" s="12"/>
      <c r="Z13" s="206"/>
      <c r="AA13" s="15"/>
      <c r="AB13" s="12"/>
      <c r="AC13" s="12"/>
      <c r="AD13" s="12"/>
      <c r="AE13" s="12"/>
      <c r="AF13" s="245"/>
      <c r="AG13" s="12"/>
      <c r="AH13" s="15">
        <f t="shared" si="4"/>
        <v>0</v>
      </c>
      <c r="AI13" s="22">
        <f t="shared" si="5"/>
        <v>0</v>
      </c>
      <c r="AJ13" s="22">
        <f t="shared" si="6"/>
        <v>0</v>
      </c>
    </row>
    <row r="14" spans="1:37" s="165" customFormat="1" hidden="1">
      <c r="A14" s="165" t="s">
        <v>311</v>
      </c>
      <c r="B14" s="13">
        <v>43539</v>
      </c>
      <c r="C14" s="13" t="s">
        <v>23</v>
      </c>
      <c r="D14" s="165" t="s">
        <v>167</v>
      </c>
      <c r="E14" s="13" t="s">
        <v>168</v>
      </c>
      <c r="F14" s="165" t="str">
        <f t="shared" si="0"/>
        <v>ARVA_16.18_200_NL2018</v>
      </c>
      <c r="G14" s="165" t="s">
        <v>85</v>
      </c>
      <c r="H14" s="12"/>
      <c r="I14" s="12" t="s">
        <v>35</v>
      </c>
      <c r="J14" s="31" t="s">
        <v>121</v>
      </c>
      <c r="K14" s="15" t="s">
        <v>28</v>
      </c>
      <c r="L14" s="15"/>
      <c r="M14" s="16">
        <f t="shared" si="1"/>
        <v>0</v>
      </c>
      <c r="N14" s="15">
        <f>5000-5000</f>
        <v>0</v>
      </c>
      <c r="O14" s="15">
        <v>5500</v>
      </c>
      <c r="P14" s="15">
        <f t="shared" si="2"/>
        <v>0</v>
      </c>
      <c r="Q14" s="15" t="str">
        <f t="shared" si="7"/>
        <v>Canceled</v>
      </c>
      <c r="R14" s="18" t="s">
        <v>71</v>
      </c>
      <c r="S14" s="23">
        <v>43539</v>
      </c>
      <c r="T14" s="20">
        <f>IFERROR(VLOOKUP(S14,'Date Converter'!$A$4:$C$368,3,0),"")</f>
        <v>43574</v>
      </c>
      <c r="U14" s="21">
        <f t="shared" si="3"/>
        <v>43574</v>
      </c>
      <c r="V14" s="12" t="s">
        <v>57</v>
      </c>
      <c r="W14" s="18" t="s">
        <v>86</v>
      </c>
      <c r="X14" s="18">
        <v>43569</v>
      </c>
      <c r="Y14" s="12"/>
      <c r="Z14" s="206"/>
      <c r="AA14" s="15">
        <v>0</v>
      </c>
      <c r="AB14" s="12"/>
      <c r="AC14" s="12"/>
      <c r="AD14" s="12"/>
      <c r="AE14" s="12"/>
      <c r="AF14" s="245"/>
      <c r="AG14" s="12"/>
      <c r="AH14" s="15">
        <f t="shared" si="4"/>
        <v>0</v>
      </c>
      <c r="AI14" s="22">
        <f t="shared" si="5"/>
        <v>0</v>
      </c>
      <c r="AJ14" s="22">
        <f t="shared" si="6"/>
        <v>0</v>
      </c>
    </row>
    <row r="15" spans="1:37" s="165" customFormat="1" hidden="1">
      <c r="A15" s="165" t="s">
        <v>1621</v>
      </c>
      <c r="B15" s="13">
        <v>43508</v>
      </c>
      <c r="C15" s="13" t="s">
        <v>1622</v>
      </c>
      <c r="D15" s="165" t="s">
        <v>687</v>
      </c>
      <c r="E15" s="165" t="s">
        <v>688</v>
      </c>
      <c r="F15" s="165" t="str">
        <f t="shared" si="0"/>
        <v>TARR_16.18_200_NL2018</v>
      </c>
      <c r="G15" s="165" t="s">
        <v>62</v>
      </c>
      <c r="H15" s="12"/>
      <c r="I15" s="12" t="s">
        <v>35</v>
      </c>
      <c r="J15" s="14">
        <v>200</v>
      </c>
      <c r="K15" s="15" t="s">
        <v>28</v>
      </c>
      <c r="L15" s="15"/>
      <c r="M15" s="16">
        <f t="shared" si="1"/>
        <v>50</v>
      </c>
      <c r="N15" s="15">
        <v>10000</v>
      </c>
      <c r="O15" s="15">
        <v>5500</v>
      </c>
      <c r="P15" s="15">
        <f t="shared" si="2"/>
        <v>55000000</v>
      </c>
      <c r="Q15" s="15" t="str">
        <f t="shared" si="7"/>
        <v>Done</v>
      </c>
      <c r="R15" s="18" t="s">
        <v>44</v>
      </c>
      <c r="S15" s="117">
        <v>43511</v>
      </c>
      <c r="T15" s="20">
        <f>IFERROR(VLOOKUP(S15,'Date Converter'!$A$4:$C$368,3,0),"")</f>
        <v>43544</v>
      </c>
      <c r="U15" s="21">
        <f t="shared" si="3"/>
        <v>43544</v>
      </c>
      <c r="V15" s="12" t="s">
        <v>32</v>
      </c>
      <c r="W15" s="18" t="s">
        <v>33</v>
      </c>
      <c r="X15" s="18"/>
      <c r="Y15" s="18"/>
      <c r="Z15" s="210">
        <v>43544</v>
      </c>
      <c r="AA15" s="15">
        <v>6200</v>
      </c>
      <c r="AB15" s="210">
        <v>43556</v>
      </c>
      <c r="AC15" s="15">
        <v>3800</v>
      </c>
      <c r="AD15" s="15"/>
      <c r="AE15" s="15"/>
      <c r="AF15" s="244"/>
      <c r="AG15" s="15"/>
      <c r="AH15" s="15">
        <f t="shared" si="4"/>
        <v>10000</v>
      </c>
      <c r="AI15" s="22">
        <f t="shared" si="5"/>
        <v>0</v>
      </c>
      <c r="AJ15" s="22">
        <f t="shared" si="6"/>
        <v>0</v>
      </c>
      <c r="AK15" s="13">
        <v>43826</v>
      </c>
    </row>
    <row r="16" spans="1:37" s="165" customFormat="1" hidden="1">
      <c r="A16" s="165" t="s">
        <v>1623</v>
      </c>
      <c r="B16" s="13">
        <v>43572</v>
      </c>
      <c r="C16" s="13" t="s">
        <v>1622</v>
      </c>
      <c r="D16" s="165" t="s">
        <v>687</v>
      </c>
      <c r="E16" s="165" t="s">
        <v>688</v>
      </c>
      <c r="F16" s="165" t="str">
        <f t="shared" si="0"/>
        <v>PROF_16.18_200_NL2018</v>
      </c>
      <c r="G16" s="165" t="s">
        <v>56</v>
      </c>
      <c r="H16" s="12"/>
      <c r="I16" s="12" t="s">
        <v>35</v>
      </c>
      <c r="J16" s="14">
        <v>200</v>
      </c>
      <c r="K16" s="15" t="s">
        <v>28</v>
      </c>
      <c r="L16" s="15"/>
      <c r="M16" s="16">
        <f t="shared" si="1"/>
        <v>13</v>
      </c>
      <c r="N16" s="15">
        <v>2600</v>
      </c>
      <c r="O16" s="15">
        <v>7700</v>
      </c>
      <c r="P16" s="15">
        <f t="shared" si="2"/>
        <v>20020000</v>
      </c>
      <c r="Q16" s="15" t="str">
        <f t="shared" si="7"/>
        <v>Done</v>
      </c>
      <c r="R16" s="18" t="s">
        <v>44</v>
      </c>
      <c r="S16" s="117">
        <v>43539</v>
      </c>
      <c r="T16" s="20">
        <f>IFERROR(VLOOKUP(S16,'Date Converter'!$A$4:$C$368,3,0),"")</f>
        <v>43574</v>
      </c>
      <c r="U16" s="21">
        <f t="shared" si="3"/>
        <v>43574</v>
      </c>
      <c r="V16" s="12" t="s">
        <v>57</v>
      </c>
      <c r="W16" s="18"/>
      <c r="X16" s="18"/>
      <c r="Y16" s="18"/>
      <c r="Z16" s="210">
        <v>43588</v>
      </c>
      <c r="AA16" s="15">
        <v>2600</v>
      </c>
      <c r="AB16" s="210"/>
      <c r="AC16" s="15"/>
      <c r="AD16" s="15"/>
      <c r="AE16" s="15"/>
      <c r="AF16" s="244"/>
      <c r="AG16" s="15"/>
      <c r="AH16" s="15">
        <f t="shared" si="4"/>
        <v>2600</v>
      </c>
      <c r="AI16" s="22">
        <f t="shared" si="5"/>
        <v>0</v>
      </c>
      <c r="AJ16" s="22">
        <f t="shared" si="6"/>
        <v>0</v>
      </c>
      <c r="AK16" s="13"/>
    </row>
    <row r="17" spans="1:37" s="183" customFormat="1" hidden="1">
      <c r="A17" s="165" t="s">
        <v>1623</v>
      </c>
      <c r="B17" s="13">
        <v>43572</v>
      </c>
      <c r="C17" s="13" t="s">
        <v>1622</v>
      </c>
      <c r="D17" s="165" t="s">
        <v>687</v>
      </c>
      <c r="E17" s="165" t="s">
        <v>688</v>
      </c>
      <c r="F17" s="165" t="str">
        <f t="shared" si="0"/>
        <v>PROF_14.16_300_NL2018</v>
      </c>
      <c r="G17" s="165" t="s">
        <v>56</v>
      </c>
      <c r="H17" s="12"/>
      <c r="I17" s="12" t="s">
        <v>47</v>
      </c>
      <c r="J17" s="14">
        <v>300</v>
      </c>
      <c r="K17" s="15" t="s">
        <v>28</v>
      </c>
      <c r="L17" s="15"/>
      <c r="M17" s="16">
        <f t="shared" si="1"/>
        <v>2</v>
      </c>
      <c r="N17" s="15">
        <v>600</v>
      </c>
      <c r="O17" s="15">
        <v>5000</v>
      </c>
      <c r="P17" s="15">
        <f t="shared" si="2"/>
        <v>3000000</v>
      </c>
      <c r="Q17" s="15" t="str">
        <f t="shared" si="7"/>
        <v>Done</v>
      </c>
      <c r="R17" s="18" t="s">
        <v>44</v>
      </c>
      <c r="S17" s="117">
        <v>43539</v>
      </c>
      <c r="T17" s="20">
        <f>IFERROR(VLOOKUP(S17,'Date Converter'!$A$4:$C$368,3,0),"")</f>
        <v>43574</v>
      </c>
      <c r="U17" s="21">
        <f t="shared" si="3"/>
        <v>43574</v>
      </c>
      <c r="V17" s="12" t="s">
        <v>57</v>
      </c>
      <c r="W17" s="18"/>
      <c r="X17" s="18"/>
      <c r="Y17" s="18"/>
      <c r="Z17" s="210">
        <v>43589</v>
      </c>
      <c r="AA17" s="15">
        <v>600</v>
      </c>
      <c r="AB17" s="210"/>
      <c r="AC17" s="15"/>
      <c r="AD17" s="15"/>
      <c r="AE17" s="15"/>
      <c r="AF17" s="244"/>
      <c r="AG17" s="15"/>
      <c r="AH17" s="15">
        <f t="shared" si="4"/>
        <v>600</v>
      </c>
      <c r="AI17" s="22">
        <f t="shared" si="5"/>
        <v>0</v>
      </c>
      <c r="AJ17" s="22">
        <f t="shared" si="6"/>
        <v>0</v>
      </c>
      <c r="AK17" s="13"/>
    </row>
    <row r="18" spans="1:37" hidden="1">
      <c r="A18" t="s">
        <v>1621</v>
      </c>
      <c r="B18" s="13">
        <v>43508</v>
      </c>
      <c r="C18" s="13" t="s">
        <v>1622</v>
      </c>
      <c r="D18" t="s">
        <v>687</v>
      </c>
      <c r="E18" s="165" t="s">
        <v>688</v>
      </c>
      <c r="F18" t="str">
        <f t="shared" si="0"/>
        <v>CONC_16.18_200_NL2018</v>
      </c>
      <c r="G18" t="s">
        <v>40</v>
      </c>
      <c r="I18" s="12" t="s">
        <v>35</v>
      </c>
      <c r="J18" s="14">
        <v>200</v>
      </c>
      <c r="K18" s="15" t="s">
        <v>28</v>
      </c>
      <c r="M18" s="16">
        <f t="shared" si="1"/>
        <v>50</v>
      </c>
      <c r="N18" s="15">
        <v>10000</v>
      </c>
      <c r="O18" s="15">
        <v>4700</v>
      </c>
      <c r="P18" s="15">
        <f t="shared" si="2"/>
        <v>47000000</v>
      </c>
      <c r="Q18" s="15" t="str">
        <f t="shared" si="7"/>
        <v>Done</v>
      </c>
      <c r="R18" s="18" t="s">
        <v>44</v>
      </c>
      <c r="S18" s="117">
        <v>43511</v>
      </c>
      <c r="T18" s="20">
        <f>IFERROR(VLOOKUP(S18,'Date Converter'!$A$4:$C$368,3,0),"")</f>
        <v>43544</v>
      </c>
      <c r="U18" s="21">
        <f t="shared" si="3"/>
        <v>43544</v>
      </c>
      <c r="V18" s="12" t="s">
        <v>32</v>
      </c>
      <c r="W18" s="18" t="s">
        <v>48</v>
      </c>
      <c r="Y18" s="18"/>
      <c r="Z18" s="210">
        <v>43544</v>
      </c>
      <c r="AA18" s="15">
        <v>5000</v>
      </c>
      <c r="AB18" s="210">
        <v>43556</v>
      </c>
      <c r="AC18" s="15">
        <v>5000</v>
      </c>
      <c r="AD18" s="15"/>
      <c r="AE18" s="15"/>
      <c r="AF18" s="244"/>
      <c r="AG18" s="15"/>
      <c r="AH18" s="15">
        <f t="shared" si="4"/>
        <v>10000</v>
      </c>
      <c r="AI18" s="22">
        <f t="shared" si="5"/>
        <v>0</v>
      </c>
      <c r="AJ18" s="22">
        <f t="shared" si="6"/>
        <v>0</v>
      </c>
      <c r="AK18" s="13">
        <v>43826</v>
      </c>
    </row>
    <row r="19" spans="1:37" hidden="1">
      <c r="A19" t="s">
        <v>1623</v>
      </c>
      <c r="B19" s="13">
        <v>43572</v>
      </c>
      <c r="C19" s="13" t="s">
        <v>1622</v>
      </c>
      <c r="D19" t="s">
        <v>687</v>
      </c>
      <c r="E19" s="165" t="s">
        <v>688</v>
      </c>
      <c r="F19" t="str">
        <f t="shared" si="0"/>
        <v>CONC_16.18_200_NL2018</v>
      </c>
      <c r="G19" s="165" t="s">
        <v>40</v>
      </c>
      <c r="I19" s="12" t="s">
        <v>35</v>
      </c>
      <c r="J19" s="14">
        <v>200</v>
      </c>
      <c r="K19" s="15" t="s">
        <v>28</v>
      </c>
      <c r="M19" s="16">
        <f t="shared" si="1"/>
        <v>24</v>
      </c>
      <c r="N19" s="15">
        <v>4800</v>
      </c>
      <c r="O19" s="15">
        <v>6200</v>
      </c>
      <c r="P19" s="15">
        <f t="shared" si="2"/>
        <v>29760000</v>
      </c>
      <c r="Q19" s="15" t="str">
        <f t="shared" si="7"/>
        <v>Done</v>
      </c>
      <c r="R19" s="18" t="s">
        <v>44</v>
      </c>
      <c r="S19" s="117">
        <v>43539</v>
      </c>
      <c r="T19" s="20">
        <f>IFERROR(VLOOKUP(S19,'Date Converter'!$A$4:$C$368,3,0),"")</f>
        <v>43574</v>
      </c>
      <c r="U19" s="21">
        <f t="shared" si="3"/>
        <v>43574</v>
      </c>
      <c r="V19" s="12" t="s">
        <v>57</v>
      </c>
      <c r="Y19" s="18"/>
      <c r="Z19" s="210">
        <v>43579</v>
      </c>
      <c r="AA19" s="15">
        <v>4800</v>
      </c>
      <c r="AB19" s="210"/>
      <c r="AC19" s="15"/>
      <c r="AD19" s="15"/>
      <c r="AE19" s="15"/>
      <c r="AF19" s="244"/>
      <c r="AG19" s="15"/>
      <c r="AH19" s="15">
        <f t="shared" si="4"/>
        <v>4800</v>
      </c>
      <c r="AI19" s="22">
        <f t="shared" si="5"/>
        <v>0</v>
      </c>
      <c r="AJ19" s="22">
        <f t="shared" si="6"/>
        <v>0</v>
      </c>
      <c r="AK19" s="13"/>
    </row>
    <row r="20" spans="1:37" hidden="1">
      <c r="A20" t="s">
        <v>1623</v>
      </c>
      <c r="B20" s="13">
        <v>43572</v>
      </c>
      <c r="C20" s="13" t="s">
        <v>1622</v>
      </c>
      <c r="D20" t="s">
        <v>687</v>
      </c>
      <c r="E20" s="165" t="s">
        <v>688</v>
      </c>
      <c r="F20" t="str">
        <f t="shared" si="0"/>
        <v>BACA_15.16_300_NL2018</v>
      </c>
      <c r="G20" s="165" t="s">
        <v>67</v>
      </c>
      <c r="I20" s="12" t="s">
        <v>77</v>
      </c>
      <c r="J20" s="14">
        <v>300</v>
      </c>
      <c r="K20" s="15" t="s">
        <v>28</v>
      </c>
      <c r="M20" s="16">
        <f t="shared" si="1"/>
        <v>16</v>
      </c>
      <c r="N20" s="15">
        <v>4800</v>
      </c>
      <c r="O20" s="15">
        <v>4500</v>
      </c>
      <c r="P20" s="15">
        <f t="shared" si="2"/>
        <v>21600000</v>
      </c>
      <c r="Q20" s="15" t="str">
        <f t="shared" si="7"/>
        <v>Done</v>
      </c>
      <c r="R20" s="18" t="s">
        <v>44</v>
      </c>
      <c r="S20" s="117">
        <v>43539</v>
      </c>
      <c r="T20" s="20">
        <f>IFERROR(VLOOKUP(S20,'Date Converter'!$A$4:$C$368,3,0),"")</f>
        <v>43574</v>
      </c>
      <c r="U20" s="21">
        <f t="shared" si="3"/>
        <v>43574</v>
      </c>
      <c r="V20" s="12" t="s">
        <v>57</v>
      </c>
      <c r="Y20" s="18"/>
      <c r="Z20" s="210">
        <v>43579</v>
      </c>
      <c r="AA20" s="15">
        <v>4800</v>
      </c>
      <c r="AB20" s="210"/>
      <c r="AC20" s="15"/>
      <c r="AD20" s="15"/>
      <c r="AE20" s="15"/>
      <c r="AF20" s="244"/>
      <c r="AG20" s="15"/>
      <c r="AH20" s="15">
        <f t="shared" si="4"/>
        <v>4800</v>
      </c>
      <c r="AI20" s="22">
        <f t="shared" si="5"/>
        <v>0</v>
      </c>
      <c r="AJ20" s="22">
        <f t="shared" si="6"/>
        <v>0</v>
      </c>
      <c r="AK20" s="13"/>
    </row>
    <row r="21" spans="1:37" s="165" customFormat="1" hidden="1">
      <c r="A21" s="165" t="s">
        <v>2380</v>
      </c>
      <c r="B21" s="13">
        <v>43640</v>
      </c>
      <c r="C21" s="267" t="s">
        <v>1622</v>
      </c>
      <c r="D21" s="258" t="s">
        <v>687</v>
      </c>
      <c r="E21" s="165" t="s">
        <v>688</v>
      </c>
      <c r="F21" s="165" t="str">
        <f t="shared" si="0"/>
        <v>CONC_24.26_80_NL2018</v>
      </c>
      <c r="G21" s="165" t="s">
        <v>40</v>
      </c>
      <c r="H21" s="12"/>
      <c r="I21" s="24" t="s">
        <v>220</v>
      </c>
      <c r="J21" s="14">
        <v>80</v>
      </c>
      <c r="K21" s="15" t="s">
        <v>28</v>
      </c>
      <c r="L21" s="15"/>
      <c r="M21" s="16">
        <f t="shared" si="1"/>
        <v>63</v>
      </c>
      <c r="N21" s="15">
        <v>5040</v>
      </c>
      <c r="O21" s="15">
        <v>15200</v>
      </c>
      <c r="P21" s="15">
        <f t="shared" si="2"/>
        <v>76608000</v>
      </c>
      <c r="Q21" s="15" t="str">
        <f t="shared" si="7"/>
        <v/>
      </c>
      <c r="R21" s="18" t="s">
        <v>29</v>
      </c>
      <c r="S21" s="117">
        <v>43709</v>
      </c>
      <c r="T21" s="20">
        <f>IFERROR(VLOOKUP(S21,'Date Converter'!$A$4:$C$368,3,0),"")</f>
        <v>43737</v>
      </c>
      <c r="U21" s="21">
        <f t="shared" si="3"/>
        <v>43737</v>
      </c>
      <c r="V21" s="12" t="s">
        <v>2381</v>
      </c>
      <c r="W21" s="18"/>
      <c r="X21" s="18"/>
      <c r="Y21" s="18"/>
      <c r="Z21" s="210"/>
      <c r="AA21" s="15"/>
      <c r="AB21" s="210"/>
      <c r="AC21" s="15"/>
      <c r="AD21" s="15"/>
      <c r="AE21" s="15"/>
      <c r="AF21" s="244"/>
      <c r="AG21" s="15"/>
      <c r="AH21" s="15">
        <f t="shared" si="4"/>
        <v>0</v>
      </c>
      <c r="AI21" s="22">
        <f t="shared" si="5"/>
        <v>5040</v>
      </c>
      <c r="AJ21" s="22">
        <f t="shared" si="6"/>
        <v>76608000</v>
      </c>
      <c r="AK21" s="13"/>
    </row>
    <row r="22" spans="1:37" hidden="1">
      <c r="A22" t="s">
        <v>1624</v>
      </c>
      <c r="B22" s="13">
        <v>43507</v>
      </c>
      <c r="C22" s="13" t="s">
        <v>1622</v>
      </c>
      <c r="D22" t="s">
        <v>872</v>
      </c>
      <c r="E22" s="165" t="s">
        <v>1625</v>
      </c>
      <c r="F22" t="str">
        <f t="shared" si="0"/>
        <v>YELL_12.14_400_NL2018</v>
      </c>
      <c r="G22" s="165" t="s">
        <v>89</v>
      </c>
      <c r="I22" s="12" t="s">
        <v>113</v>
      </c>
      <c r="J22" s="14">
        <v>400</v>
      </c>
      <c r="K22" s="15" t="s">
        <v>28</v>
      </c>
      <c r="M22" s="16">
        <f t="shared" si="1"/>
        <v>40</v>
      </c>
      <c r="N22" s="15">
        <v>16000</v>
      </c>
      <c r="O22" s="15">
        <v>2600</v>
      </c>
      <c r="P22" s="15">
        <f t="shared" si="2"/>
        <v>41600000</v>
      </c>
      <c r="Q22" s="15" t="str">
        <f t="shared" si="7"/>
        <v>Done</v>
      </c>
      <c r="R22" s="18" t="s">
        <v>44</v>
      </c>
      <c r="S22" s="117">
        <v>43480</v>
      </c>
      <c r="T22" s="20">
        <f>IFERROR(VLOOKUP(S22,'Date Converter'!$A$4:$C$368,3,0),"")</f>
        <v>43515</v>
      </c>
      <c r="U22" s="21">
        <f t="shared" si="3"/>
        <v>43515</v>
      </c>
      <c r="V22" s="12" t="s">
        <v>45</v>
      </c>
      <c r="Y22" s="18"/>
      <c r="Z22" s="210">
        <v>43515</v>
      </c>
      <c r="AA22" s="15">
        <v>16000</v>
      </c>
      <c r="AB22" s="210"/>
      <c r="AC22" s="15"/>
      <c r="AD22" s="15"/>
      <c r="AE22" s="15"/>
      <c r="AF22" s="244"/>
      <c r="AG22" s="15"/>
      <c r="AH22" s="15">
        <f t="shared" si="4"/>
        <v>16000</v>
      </c>
      <c r="AI22" s="22">
        <f t="shared" si="5"/>
        <v>0</v>
      </c>
      <c r="AJ22" s="22">
        <f t="shared" si="6"/>
        <v>0</v>
      </c>
      <c r="AK22" s="13">
        <v>43826</v>
      </c>
    </row>
    <row r="23" spans="1:37" s="165" customFormat="1" hidden="1">
      <c r="A23" s="165" t="s">
        <v>1624</v>
      </c>
      <c r="B23" s="13">
        <v>43507</v>
      </c>
      <c r="C23" s="13" t="s">
        <v>1622</v>
      </c>
      <c r="D23" s="165" t="s">
        <v>872</v>
      </c>
      <c r="E23" s="165" t="s">
        <v>1625</v>
      </c>
      <c r="F23" s="165" t="str">
        <f t="shared" si="0"/>
        <v>STEN_16.18_200_NL2018</v>
      </c>
      <c r="G23" s="165" t="s">
        <v>96</v>
      </c>
      <c r="H23" s="12"/>
      <c r="I23" s="12" t="s">
        <v>35</v>
      </c>
      <c r="J23" s="14">
        <v>200</v>
      </c>
      <c r="K23" s="15" t="s">
        <v>28</v>
      </c>
      <c r="L23" s="15"/>
      <c r="M23" s="16">
        <f t="shared" si="1"/>
        <v>0</v>
      </c>
      <c r="N23" s="15">
        <f>1200-1200</f>
        <v>0</v>
      </c>
      <c r="O23" s="15">
        <v>5000</v>
      </c>
      <c r="P23" s="15">
        <f t="shared" si="2"/>
        <v>0</v>
      </c>
      <c r="Q23" s="15" t="str">
        <f t="shared" si="7"/>
        <v>Canceled</v>
      </c>
      <c r="R23" s="18" t="s">
        <v>71</v>
      </c>
      <c r="S23" s="117">
        <v>43501</v>
      </c>
      <c r="T23" s="20">
        <f>IFERROR(VLOOKUP(S23,'Date Converter'!$A$4:$C$368,3,0),"")</f>
        <v>43534</v>
      </c>
      <c r="U23" s="21">
        <f t="shared" si="3"/>
        <v>43534</v>
      </c>
      <c r="V23" s="12" t="s">
        <v>146</v>
      </c>
      <c r="W23" s="18"/>
      <c r="X23" s="18"/>
      <c r="Y23" s="18"/>
      <c r="Z23" s="210"/>
      <c r="AA23" s="15">
        <v>0</v>
      </c>
      <c r="AB23" s="210"/>
      <c r="AC23" s="15"/>
      <c r="AD23" s="15"/>
      <c r="AE23" s="15"/>
      <c r="AF23" s="244"/>
      <c r="AG23" s="15"/>
      <c r="AH23" s="15">
        <f t="shared" si="4"/>
        <v>0</v>
      </c>
      <c r="AI23" s="22">
        <f t="shared" si="5"/>
        <v>0</v>
      </c>
      <c r="AJ23" s="22">
        <f t="shared" si="6"/>
        <v>0</v>
      </c>
      <c r="AK23" s="13"/>
    </row>
    <row r="24" spans="1:37" s="165" customFormat="1" hidden="1">
      <c r="A24" s="165" t="s">
        <v>1624</v>
      </c>
      <c r="B24" s="13">
        <v>43507</v>
      </c>
      <c r="C24" s="13" t="s">
        <v>1622</v>
      </c>
      <c r="D24" s="165" t="s">
        <v>872</v>
      </c>
      <c r="E24" s="165" t="s">
        <v>1625</v>
      </c>
      <c r="F24" s="165" t="str">
        <f t="shared" si="0"/>
        <v>STEN_18.20_150_NL2018</v>
      </c>
      <c r="G24" s="165" t="s">
        <v>96</v>
      </c>
      <c r="H24" s="12"/>
      <c r="I24" s="12" t="s">
        <v>27</v>
      </c>
      <c r="J24" s="14">
        <v>150</v>
      </c>
      <c r="K24" s="15" t="s">
        <v>28</v>
      </c>
      <c r="L24" s="15"/>
      <c r="M24" s="16">
        <f t="shared" si="1"/>
        <v>0</v>
      </c>
      <c r="N24" s="15">
        <f>6150-6150</f>
        <v>0</v>
      </c>
      <c r="O24" s="15">
        <v>5000</v>
      </c>
      <c r="P24" s="15">
        <f t="shared" si="2"/>
        <v>0</v>
      </c>
      <c r="Q24" s="15" t="str">
        <f t="shared" si="7"/>
        <v>Canceled</v>
      </c>
      <c r="R24" s="18" t="s">
        <v>71</v>
      </c>
      <c r="S24" s="117">
        <v>43501</v>
      </c>
      <c r="T24" s="20">
        <f>IFERROR(VLOOKUP(S24,'Date Converter'!$A$4:$C$368,3,0),"")</f>
        <v>43534</v>
      </c>
      <c r="U24" s="21">
        <f t="shared" si="3"/>
        <v>43534</v>
      </c>
      <c r="V24" s="12" t="s">
        <v>146</v>
      </c>
      <c r="W24" s="18"/>
      <c r="X24" s="18"/>
      <c r="Y24" s="18"/>
      <c r="Z24" s="210"/>
      <c r="AA24" s="15">
        <v>0</v>
      </c>
      <c r="AB24" s="210"/>
      <c r="AC24" s="15"/>
      <c r="AD24" s="15"/>
      <c r="AE24" s="15"/>
      <c r="AF24" s="244"/>
      <c r="AG24" s="15"/>
      <c r="AH24" s="15">
        <f t="shared" si="4"/>
        <v>0</v>
      </c>
      <c r="AI24" s="22">
        <f t="shared" si="5"/>
        <v>0</v>
      </c>
      <c r="AJ24" s="22">
        <f t="shared" si="6"/>
        <v>0</v>
      </c>
      <c r="AK24" s="13"/>
    </row>
    <row r="25" spans="1:37" hidden="1">
      <c r="A25" t="s">
        <v>1630</v>
      </c>
      <c r="B25" s="13">
        <v>43574</v>
      </c>
      <c r="C25" s="13" t="s">
        <v>1622</v>
      </c>
      <c r="D25" t="s">
        <v>971</v>
      </c>
      <c r="E25" s="165" t="s">
        <v>1627</v>
      </c>
      <c r="F25" t="str">
        <f t="shared" si="0"/>
        <v>THAL_RL_12.14_400_NL2018</v>
      </c>
      <c r="G25" s="165" t="s">
        <v>1473</v>
      </c>
      <c r="H25" s="12" t="s">
        <v>219</v>
      </c>
      <c r="I25" s="12" t="s">
        <v>113</v>
      </c>
      <c r="J25" s="14">
        <v>400</v>
      </c>
      <c r="K25" s="15" t="s">
        <v>28</v>
      </c>
      <c r="M25" s="16">
        <f t="shared" si="1"/>
        <v>0</v>
      </c>
      <c r="N25" s="15">
        <f>1200-1200</f>
        <v>0</v>
      </c>
      <c r="O25" s="15">
        <v>8600</v>
      </c>
      <c r="P25" s="15">
        <f t="shared" si="2"/>
        <v>0</v>
      </c>
      <c r="Q25" s="15" t="str">
        <f t="shared" si="7"/>
        <v>Canceled</v>
      </c>
      <c r="R25" s="18" t="s">
        <v>71</v>
      </c>
      <c r="S25" s="117">
        <v>43542</v>
      </c>
      <c r="T25" s="20">
        <f>IFERROR(VLOOKUP(S25,'Date Converter'!$A$4:$C$368,3,0),"")</f>
        <v>43577</v>
      </c>
      <c r="U25" s="21">
        <f t="shared" si="3"/>
        <v>43577</v>
      </c>
      <c r="V25" s="12" t="s">
        <v>1631</v>
      </c>
      <c r="Y25" s="18"/>
      <c r="Z25" s="210"/>
      <c r="AA25" s="15"/>
      <c r="AB25" s="210"/>
      <c r="AC25" s="15"/>
      <c r="AD25" s="15"/>
      <c r="AE25" s="15"/>
      <c r="AF25" s="244"/>
      <c r="AG25" s="15"/>
      <c r="AH25" s="15">
        <f t="shared" si="4"/>
        <v>0</v>
      </c>
      <c r="AI25" s="22">
        <f t="shared" si="5"/>
        <v>0</v>
      </c>
      <c r="AJ25" s="22">
        <f t="shared" si="6"/>
        <v>0</v>
      </c>
      <c r="AK25" s="13"/>
    </row>
    <row r="26" spans="1:37" hidden="1">
      <c r="A26" t="s">
        <v>1630</v>
      </c>
      <c r="B26" s="13">
        <v>43574</v>
      </c>
      <c r="C26" s="13" t="s">
        <v>1622</v>
      </c>
      <c r="D26" t="s">
        <v>971</v>
      </c>
      <c r="E26" s="165" t="s">
        <v>1627</v>
      </c>
      <c r="F26" t="str">
        <f t="shared" si="0"/>
        <v>TATS_RL_12.14_350_NL2018</v>
      </c>
      <c r="G26" s="165" t="s">
        <v>1474</v>
      </c>
      <c r="H26" s="12" t="s">
        <v>219</v>
      </c>
      <c r="I26" s="12" t="s">
        <v>113</v>
      </c>
      <c r="J26" s="14">
        <v>350</v>
      </c>
      <c r="K26" s="15" t="s">
        <v>28</v>
      </c>
      <c r="M26" s="16">
        <f t="shared" si="1"/>
        <v>0</v>
      </c>
      <c r="N26" s="15">
        <f>1050-1050</f>
        <v>0</v>
      </c>
      <c r="O26" s="15">
        <v>8700</v>
      </c>
      <c r="P26" s="15">
        <f t="shared" si="2"/>
        <v>0</v>
      </c>
      <c r="Q26" s="15" t="str">
        <f t="shared" si="7"/>
        <v>Canceled</v>
      </c>
      <c r="R26" s="18" t="s">
        <v>71</v>
      </c>
      <c r="S26" s="117">
        <v>43587</v>
      </c>
      <c r="T26" s="20">
        <f>IFERROR(VLOOKUP(S26,'Date Converter'!$A$4:$C$368,3,0),"")</f>
        <v>43620</v>
      </c>
      <c r="U26" s="21">
        <f t="shared" si="3"/>
        <v>43620</v>
      </c>
      <c r="V26" s="12" t="s">
        <v>1632</v>
      </c>
      <c r="Y26" s="18"/>
      <c r="Z26" s="210"/>
      <c r="AA26" s="15"/>
      <c r="AB26" s="210"/>
      <c r="AC26" s="15"/>
      <c r="AD26" s="15"/>
      <c r="AE26" s="15"/>
      <c r="AF26" s="244"/>
      <c r="AG26" s="15"/>
      <c r="AH26" s="15">
        <f t="shared" si="4"/>
        <v>0</v>
      </c>
      <c r="AI26" s="22">
        <f t="shared" si="5"/>
        <v>0</v>
      </c>
      <c r="AJ26" s="22">
        <f t="shared" si="6"/>
        <v>0</v>
      </c>
      <c r="AK26" s="13"/>
    </row>
    <row r="27" spans="1:37" s="165" customFormat="1" hidden="1">
      <c r="A27" s="165" t="s">
        <v>1626</v>
      </c>
      <c r="B27" s="13">
        <v>43511</v>
      </c>
      <c r="C27" s="13" t="s">
        <v>1622</v>
      </c>
      <c r="D27" s="165" t="s">
        <v>971</v>
      </c>
      <c r="E27" s="165" t="s">
        <v>1627</v>
      </c>
      <c r="F27" s="165" t="str">
        <f t="shared" si="0"/>
        <v>ROBI_16.18_200_NL2018</v>
      </c>
      <c r="G27" s="165" t="s">
        <v>61</v>
      </c>
      <c r="H27" s="12"/>
      <c r="I27" s="12" t="s">
        <v>35</v>
      </c>
      <c r="J27" s="14">
        <v>200</v>
      </c>
      <c r="K27" s="15" t="s">
        <v>28</v>
      </c>
      <c r="L27" s="15"/>
      <c r="M27" s="16">
        <f t="shared" si="1"/>
        <v>19</v>
      </c>
      <c r="N27" s="15">
        <v>3800</v>
      </c>
      <c r="O27" s="15">
        <v>4850</v>
      </c>
      <c r="P27" s="15">
        <f t="shared" si="2"/>
        <v>18430000</v>
      </c>
      <c r="Q27" s="15" t="str">
        <f t="shared" si="7"/>
        <v>Done</v>
      </c>
      <c r="R27" s="18" t="s">
        <v>44</v>
      </c>
      <c r="S27" s="117" t="s">
        <v>151</v>
      </c>
      <c r="T27" s="20">
        <f>IFERROR(VLOOKUP(S27,'Date Converter'!$A$4:$C$368,3,0),"")</f>
        <v>43558</v>
      </c>
      <c r="U27" s="21">
        <f t="shared" si="3"/>
        <v>43558</v>
      </c>
      <c r="V27" s="12" t="s">
        <v>54</v>
      </c>
      <c r="W27" s="18" t="s">
        <v>1628</v>
      </c>
      <c r="X27" s="18"/>
      <c r="Y27" s="18"/>
      <c r="Z27" s="210">
        <v>43557</v>
      </c>
      <c r="AA27" s="15">
        <v>3800</v>
      </c>
      <c r="AB27" s="210"/>
      <c r="AC27" s="15"/>
      <c r="AD27" s="15"/>
      <c r="AE27" s="15"/>
      <c r="AF27" s="244"/>
      <c r="AG27" s="15"/>
      <c r="AH27" s="15">
        <f t="shared" si="4"/>
        <v>3800</v>
      </c>
      <c r="AI27" s="22">
        <f t="shared" si="5"/>
        <v>0</v>
      </c>
      <c r="AJ27" s="22">
        <f t="shared" si="6"/>
        <v>0</v>
      </c>
      <c r="AK27" s="13">
        <v>43826</v>
      </c>
    </row>
    <row r="28" spans="1:37" s="165" customFormat="1" hidden="1">
      <c r="A28" s="165" t="s">
        <v>1626</v>
      </c>
      <c r="B28" s="13">
        <v>43511</v>
      </c>
      <c r="C28" s="13" t="s">
        <v>1622</v>
      </c>
      <c r="D28" s="165" t="s">
        <v>971</v>
      </c>
      <c r="E28" s="165" t="s">
        <v>1627</v>
      </c>
      <c r="F28" s="165" t="str">
        <f t="shared" si="0"/>
        <v>ROBI_18.20_150_NL2018</v>
      </c>
      <c r="G28" s="165" t="s">
        <v>61</v>
      </c>
      <c r="H28" s="12"/>
      <c r="I28" s="12" t="s">
        <v>27</v>
      </c>
      <c r="J28" s="14">
        <v>150</v>
      </c>
      <c r="K28" s="15" t="s">
        <v>28</v>
      </c>
      <c r="L28" s="15"/>
      <c r="M28" s="16">
        <f t="shared" si="1"/>
        <v>1031</v>
      </c>
      <c r="N28" s="15">
        <v>154650</v>
      </c>
      <c r="O28" s="15">
        <v>6358</v>
      </c>
      <c r="P28" s="15">
        <f t="shared" si="2"/>
        <v>983264700</v>
      </c>
      <c r="Q28" s="15" t="str">
        <f t="shared" si="7"/>
        <v>Done</v>
      </c>
      <c r="R28" s="18" t="s">
        <v>44</v>
      </c>
      <c r="S28" s="117" t="s">
        <v>151</v>
      </c>
      <c r="T28" s="20">
        <f>IFERROR(VLOOKUP(S28,'Date Converter'!$A$4:$C$368,3,0),"")</f>
        <v>43558</v>
      </c>
      <c r="U28" s="21">
        <f t="shared" si="3"/>
        <v>43558</v>
      </c>
      <c r="V28" s="12" t="s">
        <v>54</v>
      </c>
      <c r="W28" s="18" t="s">
        <v>1628</v>
      </c>
      <c r="X28" s="18"/>
      <c r="Y28" s="18"/>
      <c r="Z28" s="210">
        <v>43557</v>
      </c>
      <c r="AA28" s="15">
        <v>154650</v>
      </c>
      <c r="AB28" s="210"/>
      <c r="AC28" s="15"/>
      <c r="AD28" s="15"/>
      <c r="AE28" s="15"/>
      <c r="AF28" s="244"/>
      <c r="AG28" s="15"/>
      <c r="AH28" s="15">
        <f t="shared" si="4"/>
        <v>154650</v>
      </c>
      <c r="AI28" s="22">
        <f t="shared" si="5"/>
        <v>0</v>
      </c>
      <c r="AJ28" s="22">
        <f t="shared" si="6"/>
        <v>0</v>
      </c>
      <c r="AK28" s="13">
        <v>43826</v>
      </c>
    </row>
    <row r="29" spans="1:37" s="165" customFormat="1" hidden="1">
      <c r="A29" s="165" t="s">
        <v>1630</v>
      </c>
      <c r="B29" s="13">
        <v>43574</v>
      </c>
      <c r="C29" s="13" t="s">
        <v>1622</v>
      </c>
      <c r="D29" s="165" t="s">
        <v>971</v>
      </c>
      <c r="E29" s="165" t="s">
        <v>1627</v>
      </c>
      <c r="F29" s="165" t="str">
        <f t="shared" si="0"/>
        <v>BACA_18.20_150_NL2018</v>
      </c>
      <c r="G29" s="165" t="s">
        <v>67</v>
      </c>
      <c r="H29" s="12"/>
      <c r="I29" s="12" t="s">
        <v>27</v>
      </c>
      <c r="J29" s="14">
        <v>150</v>
      </c>
      <c r="K29" s="15" t="s">
        <v>28</v>
      </c>
      <c r="L29" s="15"/>
      <c r="M29" s="16">
        <f t="shared" si="1"/>
        <v>152</v>
      </c>
      <c r="N29" s="15">
        <f>15000+7800</f>
        <v>22800</v>
      </c>
      <c r="O29" s="15">
        <v>8700</v>
      </c>
      <c r="P29" s="15">
        <f t="shared" si="2"/>
        <v>198360000</v>
      </c>
      <c r="Q29" s="15" t="str">
        <f t="shared" si="7"/>
        <v/>
      </c>
      <c r="R29" s="18" t="s">
        <v>63</v>
      </c>
      <c r="S29" s="117">
        <v>43584</v>
      </c>
      <c r="T29" s="20">
        <f>IFERROR(VLOOKUP(S29,'Date Converter'!$A$4:$C$368,3,0),"")</f>
        <v>43618</v>
      </c>
      <c r="U29" s="21">
        <f t="shared" si="3"/>
        <v>43618</v>
      </c>
      <c r="V29" s="12" t="s">
        <v>443</v>
      </c>
      <c r="W29" s="18"/>
      <c r="X29" s="18"/>
      <c r="Y29" s="18"/>
      <c r="Z29" s="210">
        <v>43626</v>
      </c>
      <c r="AA29" s="15">
        <v>22500</v>
      </c>
      <c r="AB29" s="210"/>
      <c r="AC29" s="15"/>
      <c r="AD29" s="15"/>
      <c r="AE29" s="15"/>
      <c r="AF29" s="244"/>
      <c r="AG29" s="15"/>
      <c r="AH29" s="15">
        <f t="shared" si="4"/>
        <v>22500</v>
      </c>
      <c r="AI29" s="22">
        <f t="shared" si="5"/>
        <v>300</v>
      </c>
      <c r="AJ29" s="22">
        <f t="shared" si="6"/>
        <v>2610000</v>
      </c>
      <c r="AK29" s="13"/>
    </row>
    <row r="30" spans="1:37" hidden="1">
      <c r="A30" t="s">
        <v>1630</v>
      </c>
      <c r="B30" s="13">
        <v>43574</v>
      </c>
      <c r="C30" s="13" t="s">
        <v>1622</v>
      </c>
      <c r="D30" t="s">
        <v>971</v>
      </c>
      <c r="E30" s="165" t="s">
        <v>1627</v>
      </c>
      <c r="F30" t="str">
        <f t="shared" si="0"/>
        <v>BACA_18.20_150_NL2018</v>
      </c>
      <c r="G30" s="165" t="s">
        <v>67</v>
      </c>
      <c r="I30" s="12" t="s">
        <v>27</v>
      </c>
      <c r="J30" s="14">
        <v>150</v>
      </c>
      <c r="K30" s="15" t="s">
        <v>28</v>
      </c>
      <c r="M30" s="16">
        <f t="shared" si="1"/>
        <v>0</v>
      </c>
      <c r="N30" s="15">
        <f>15000-15000</f>
        <v>0</v>
      </c>
      <c r="O30" s="15">
        <v>8800</v>
      </c>
      <c r="P30" s="15">
        <f t="shared" si="2"/>
        <v>0</v>
      </c>
      <c r="Q30" s="15" t="str">
        <f t="shared" si="7"/>
        <v>Canceled</v>
      </c>
      <c r="R30" s="18" t="s">
        <v>71</v>
      </c>
      <c r="S30" s="117">
        <v>43614</v>
      </c>
      <c r="T30" s="20">
        <f>IFERROR(VLOOKUP(S30,'Date Converter'!$A$4:$C$368,3,0),"")</f>
        <v>43647</v>
      </c>
      <c r="U30" s="21">
        <f t="shared" si="3"/>
        <v>43647</v>
      </c>
      <c r="V30" s="12" t="s">
        <v>1633</v>
      </c>
      <c r="Y30" s="18"/>
      <c r="Z30" s="210"/>
      <c r="AA30" s="15"/>
      <c r="AB30" s="210"/>
      <c r="AC30" s="15"/>
      <c r="AD30" s="15"/>
      <c r="AE30" s="15"/>
      <c r="AF30" s="244"/>
      <c r="AG30" s="15"/>
      <c r="AH30" s="15">
        <f t="shared" si="4"/>
        <v>0</v>
      </c>
      <c r="AI30" s="22">
        <f t="shared" si="5"/>
        <v>0</v>
      </c>
      <c r="AJ30" s="22">
        <f t="shared" si="6"/>
        <v>0</v>
      </c>
      <c r="AK30" s="13"/>
    </row>
    <row r="31" spans="1:37" hidden="1">
      <c r="A31" t="s">
        <v>1630</v>
      </c>
      <c r="B31" s="13">
        <v>43574</v>
      </c>
      <c r="C31" s="13" t="s">
        <v>1622</v>
      </c>
      <c r="D31" t="s">
        <v>971</v>
      </c>
      <c r="E31" s="165" t="s">
        <v>1627</v>
      </c>
      <c r="F31" t="str">
        <f t="shared" si="0"/>
        <v>BACA_18.20_150_NL2018</v>
      </c>
      <c r="G31" s="165" t="s">
        <v>67</v>
      </c>
      <c r="I31" s="12" t="s">
        <v>27</v>
      </c>
      <c r="J31" s="14">
        <v>150</v>
      </c>
      <c r="K31" s="15" t="s">
        <v>28</v>
      </c>
      <c r="M31" s="16">
        <f t="shared" si="1"/>
        <v>0</v>
      </c>
      <c r="N31" s="15">
        <f>15000-15000</f>
        <v>0</v>
      </c>
      <c r="O31" s="15">
        <v>8900</v>
      </c>
      <c r="P31" s="15">
        <f t="shared" si="2"/>
        <v>0</v>
      </c>
      <c r="Q31" s="15" t="str">
        <f t="shared" si="7"/>
        <v>Canceled</v>
      </c>
      <c r="R31" s="18" t="s">
        <v>71</v>
      </c>
      <c r="S31" s="117">
        <v>43645</v>
      </c>
      <c r="T31" s="20">
        <f>IFERROR(VLOOKUP(S31,'Date Converter'!$A$4:$C$368,3,0),"")</f>
        <v>43677</v>
      </c>
      <c r="U31" s="21">
        <f t="shared" si="3"/>
        <v>43677</v>
      </c>
      <c r="V31" s="12" t="s">
        <v>1634</v>
      </c>
      <c r="Y31" s="18"/>
      <c r="Z31" s="210"/>
      <c r="AA31" s="15"/>
      <c r="AB31" s="210"/>
      <c r="AC31" s="15"/>
      <c r="AD31" s="15"/>
      <c r="AE31" s="15"/>
      <c r="AF31" s="244"/>
      <c r="AG31" s="15"/>
      <c r="AH31" s="15">
        <f t="shared" si="4"/>
        <v>0</v>
      </c>
      <c r="AI31" s="22">
        <f t="shared" si="5"/>
        <v>0</v>
      </c>
      <c r="AJ31" s="22">
        <f t="shared" si="6"/>
        <v>0</v>
      </c>
      <c r="AK31" s="13"/>
    </row>
    <row r="32" spans="1:37" hidden="1">
      <c r="A32" t="s">
        <v>1630</v>
      </c>
      <c r="B32" s="13">
        <v>43574</v>
      </c>
      <c r="C32" s="13" t="s">
        <v>1622</v>
      </c>
      <c r="D32" t="s">
        <v>971</v>
      </c>
      <c r="E32" s="165" t="s">
        <v>1627</v>
      </c>
      <c r="F32" t="str">
        <f t="shared" si="0"/>
        <v>BACA_18.20_150_NL2018</v>
      </c>
      <c r="G32" s="165" t="s">
        <v>67</v>
      </c>
      <c r="I32" s="12" t="s">
        <v>27</v>
      </c>
      <c r="J32" s="14">
        <v>150</v>
      </c>
      <c r="K32" s="15" t="s">
        <v>28</v>
      </c>
      <c r="M32" s="16">
        <f t="shared" si="1"/>
        <v>0</v>
      </c>
      <c r="N32" s="15">
        <f>15000-15000</f>
        <v>0</v>
      </c>
      <c r="O32" s="15">
        <v>9000</v>
      </c>
      <c r="P32" s="15">
        <f t="shared" si="2"/>
        <v>0</v>
      </c>
      <c r="Q32" s="15" t="str">
        <f t="shared" si="7"/>
        <v>Canceled</v>
      </c>
      <c r="R32" s="18" t="s">
        <v>71</v>
      </c>
      <c r="S32" s="117">
        <v>43675</v>
      </c>
      <c r="T32" s="20">
        <f>IFERROR(VLOOKUP(S32,'Date Converter'!$A$4:$C$368,3,0),"")</f>
        <v>43706</v>
      </c>
      <c r="U32" s="21">
        <f t="shared" si="3"/>
        <v>43706</v>
      </c>
      <c r="V32" s="12" t="s">
        <v>1634</v>
      </c>
      <c r="Y32" s="18"/>
      <c r="Z32" s="210"/>
      <c r="AA32" s="15"/>
      <c r="AB32" s="210"/>
      <c r="AC32" s="15"/>
      <c r="AD32" s="15"/>
      <c r="AE32" s="15"/>
      <c r="AF32" s="244"/>
      <c r="AG32" s="15"/>
      <c r="AH32" s="15">
        <f t="shared" si="4"/>
        <v>0</v>
      </c>
      <c r="AI32" s="22">
        <f t="shared" si="5"/>
        <v>0</v>
      </c>
      <c r="AJ32" s="22">
        <f t="shared" si="6"/>
        <v>0</v>
      </c>
      <c r="AK32" s="13"/>
    </row>
    <row r="33" spans="1:37" hidden="1">
      <c r="A33" t="s">
        <v>1630</v>
      </c>
      <c r="B33" s="13">
        <v>43574</v>
      </c>
      <c r="C33" s="13" t="s">
        <v>1622</v>
      </c>
      <c r="D33" t="s">
        <v>971</v>
      </c>
      <c r="E33" t="s">
        <v>1627</v>
      </c>
      <c r="F33" t="str">
        <f t="shared" si="0"/>
        <v>BACA_18.20_150_NL2018</v>
      </c>
      <c r="G33" t="s">
        <v>67</v>
      </c>
      <c r="I33" s="12" t="s">
        <v>27</v>
      </c>
      <c r="J33" s="14">
        <v>150</v>
      </c>
      <c r="K33" s="15" t="s">
        <v>28</v>
      </c>
      <c r="M33" s="16">
        <f t="shared" si="1"/>
        <v>0</v>
      </c>
      <c r="N33" s="15">
        <f>90000-90000</f>
        <v>0</v>
      </c>
      <c r="O33" s="15">
        <v>9100</v>
      </c>
      <c r="P33" s="15">
        <f t="shared" si="2"/>
        <v>0</v>
      </c>
      <c r="Q33" s="15" t="str">
        <f t="shared" si="7"/>
        <v>Canceled</v>
      </c>
      <c r="R33" s="18" t="s">
        <v>71</v>
      </c>
      <c r="S33" s="117">
        <v>43706</v>
      </c>
      <c r="T33" s="20">
        <f>IFERROR(VLOOKUP(S33,'Date Converter'!$A$4:$C$368,3,0),"")</f>
        <v>43735</v>
      </c>
      <c r="U33" s="21">
        <f t="shared" si="3"/>
        <v>43735</v>
      </c>
      <c r="V33" s="12" t="s">
        <v>1634</v>
      </c>
      <c r="Y33" s="18"/>
      <c r="Z33" s="210"/>
      <c r="AA33" s="15"/>
      <c r="AB33" s="210"/>
      <c r="AC33" s="15"/>
      <c r="AD33" s="15"/>
      <c r="AE33" s="15"/>
      <c r="AF33" s="244"/>
      <c r="AG33" s="15"/>
      <c r="AH33" s="15">
        <f t="shared" si="4"/>
        <v>0</v>
      </c>
      <c r="AI33" s="22">
        <f t="shared" si="5"/>
        <v>0</v>
      </c>
      <c r="AJ33" s="22">
        <f t="shared" si="6"/>
        <v>0</v>
      </c>
      <c r="AK33" s="13"/>
    </row>
    <row r="34" spans="1:37" hidden="1">
      <c r="A34" t="s">
        <v>324</v>
      </c>
      <c r="B34" s="13">
        <v>43528</v>
      </c>
      <c r="C34" s="13" t="s">
        <v>23</v>
      </c>
      <c r="D34" s="258" t="s">
        <v>202</v>
      </c>
      <c r="E34" s="97" t="s">
        <v>203</v>
      </c>
      <c r="F34" t="str">
        <f t="shared" si="0"/>
        <v>PROF_22.24_100_NL2018</v>
      </c>
      <c r="G34" t="s">
        <v>56</v>
      </c>
      <c r="I34" s="12" t="s">
        <v>78</v>
      </c>
      <c r="J34" s="14">
        <v>100</v>
      </c>
      <c r="K34" s="15" t="s">
        <v>28</v>
      </c>
      <c r="M34" s="16">
        <f t="shared" si="1"/>
        <v>50</v>
      </c>
      <c r="N34" s="15">
        <v>5000</v>
      </c>
      <c r="O34" s="15">
        <v>14200</v>
      </c>
      <c r="P34" s="15">
        <f t="shared" si="2"/>
        <v>71000000</v>
      </c>
      <c r="Q34" s="15" t="str">
        <f t="shared" si="7"/>
        <v/>
      </c>
      <c r="R34" s="18" t="s">
        <v>29</v>
      </c>
      <c r="S34" s="23">
        <v>43709</v>
      </c>
      <c r="T34" s="20">
        <f>IFERROR(VLOOKUP(S34,'Date Converter'!$A$4:$C$368,3,0),"")</f>
        <v>43737</v>
      </c>
      <c r="U34" s="21">
        <f t="shared" ref="U34:U64" si="8">+T34</f>
        <v>43737</v>
      </c>
      <c r="V34" s="12" t="s">
        <v>51</v>
      </c>
      <c r="Y34" s="15" t="s">
        <v>59</v>
      </c>
      <c r="AA34" s="15">
        <v>0</v>
      </c>
      <c r="AB34" s="15"/>
      <c r="AC34" s="15"/>
      <c r="AD34" s="15"/>
      <c r="AE34" s="15"/>
      <c r="AF34" s="244"/>
      <c r="AG34" s="15"/>
      <c r="AH34" s="15">
        <f t="shared" si="4"/>
        <v>0</v>
      </c>
      <c r="AI34" s="22">
        <f t="shared" si="5"/>
        <v>5000</v>
      </c>
      <c r="AJ34" s="22">
        <f t="shared" si="6"/>
        <v>71000000</v>
      </c>
      <c r="AK34" s="165"/>
    </row>
    <row r="35" spans="1:37" hidden="1">
      <c r="A35" t="s">
        <v>324</v>
      </c>
      <c r="B35" s="13">
        <v>43528</v>
      </c>
      <c r="C35" s="13" t="s">
        <v>23</v>
      </c>
      <c r="D35" s="258" t="s">
        <v>202</v>
      </c>
      <c r="E35" s="97" t="s">
        <v>203</v>
      </c>
      <c r="F35" t="str">
        <f t="shared" si="0"/>
        <v>CONC_22.24_100_NL2018</v>
      </c>
      <c r="G35" t="s">
        <v>40</v>
      </c>
      <c r="I35" s="12" t="s">
        <v>78</v>
      </c>
      <c r="J35" s="14">
        <v>100</v>
      </c>
      <c r="K35" s="15" t="s">
        <v>28</v>
      </c>
      <c r="M35" s="16">
        <f t="shared" si="1"/>
        <v>150</v>
      </c>
      <c r="N35" s="15">
        <v>15000</v>
      </c>
      <c r="O35" s="15">
        <v>12500</v>
      </c>
      <c r="P35" s="15">
        <f t="shared" si="2"/>
        <v>187500000</v>
      </c>
      <c r="Q35" s="15" t="str">
        <f t="shared" si="7"/>
        <v/>
      </c>
      <c r="R35" s="18" t="s">
        <v>29</v>
      </c>
      <c r="S35" s="23">
        <v>43709</v>
      </c>
      <c r="T35" s="20">
        <f>IFERROR(VLOOKUP(S35,'Date Converter'!$A$4:$C$368,3,0),"")</f>
        <v>43737</v>
      </c>
      <c r="U35" s="21">
        <f t="shared" si="8"/>
        <v>43737</v>
      </c>
      <c r="V35" s="12" t="s">
        <v>51</v>
      </c>
      <c r="Y35" s="15" t="s">
        <v>59</v>
      </c>
      <c r="AA35" s="15">
        <v>0</v>
      </c>
      <c r="AB35" s="15"/>
      <c r="AC35" s="15"/>
      <c r="AD35" s="15"/>
      <c r="AE35" s="15"/>
      <c r="AF35" s="244"/>
      <c r="AG35" s="15"/>
      <c r="AH35" s="15">
        <f t="shared" si="4"/>
        <v>0</v>
      </c>
      <c r="AI35" s="22">
        <f t="shared" si="5"/>
        <v>15000</v>
      </c>
      <c r="AJ35" s="22">
        <f t="shared" si="6"/>
        <v>187500000</v>
      </c>
      <c r="AK35" s="165"/>
    </row>
    <row r="36" spans="1:37" s="165" customFormat="1" hidden="1">
      <c r="A36" s="165" t="s">
        <v>503</v>
      </c>
      <c r="B36" s="13">
        <v>43537</v>
      </c>
      <c r="C36" s="266" t="s">
        <v>23</v>
      </c>
      <c r="D36" s="258" t="s">
        <v>204</v>
      </c>
      <c r="E36" s="249" t="s">
        <v>205</v>
      </c>
      <c r="F36" s="165" t="str">
        <f t="shared" si="0"/>
        <v>ROBI_22.24_100_NL2018</v>
      </c>
      <c r="G36" s="165" t="s">
        <v>61</v>
      </c>
      <c r="H36" s="12"/>
      <c r="I36" s="12">
        <v>22.24</v>
      </c>
      <c r="J36" s="31" t="s">
        <v>206</v>
      </c>
      <c r="K36" s="15" t="s">
        <v>28</v>
      </c>
      <c r="L36" s="15"/>
      <c r="M36" s="16">
        <f t="shared" si="1"/>
        <v>40</v>
      </c>
      <c r="N36" s="15">
        <v>4000</v>
      </c>
      <c r="O36" s="15">
        <v>12500</v>
      </c>
      <c r="P36" s="15">
        <f t="shared" si="2"/>
        <v>50000000</v>
      </c>
      <c r="Q36" s="15" t="str">
        <f t="shared" si="7"/>
        <v/>
      </c>
      <c r="R36" s="18" t="s">
        <v>29</v>
      </c>
      <c r="S36" s="23">
        <v>43709</v>
      </c>
      <c r="T36" s="20">
        <f>IFERROR(VLOOKUP(S36,'Date Converter'!$A$4:$C$368,3,0),"")</f>
        <v>43737</v>
      </c>
      <c r="U36" s="21">
        <f t="shared" si="8"/>
        <v>43737</v>
      </c>
      <c r="V36" s="12" t="s">
        <v>51</v>
      </c>
      <c r="W36" s="18"/>
      <c r="X36" s="18"/>
      <c r="Y36" s="12"/>
      <c r="Z36" s="206"/>
      <c r="AA36" s="15">
        <v>0</v>
      </c>
      <c r="AB36" s="206"/>
      <c r="AC36" s="12"/>
      <c r="AD36" s="12"/>
      <c r="AE36" s="12"/>
      <c r="AF36" s="245"/>
      <c r="AG36" s="12"/>
      <c r="AH36" s="15">
        <f t="shared" si="4"/>
        <v>0</v>
      </c>
      <c r="AI36" s="22">
        <f t="shared" si="5"/>
        <v>4000</v>
      </c>
      <c r="AJ36" s="22">
        <f t="shared" si="6"/>
        <v>50000000</v>
      </c>
    </row>
    <row r="37" spans="1:37" s="165" customFormat="1" hidden="1">
      <c r="A37" s="165" t="s">
        <v>502</v>
      </c>
      <c r="B37" s="13">
        <v>43612</v>
      </c>
      <c r="C37" s="13" t="s">
        <v>23</v>
      </c>
      <c r="D37" s="165" t="s">
        <v>204</v>
      </c>
      <c r="E37" s="119" t="s">
        <v>205</v>
      </c>
      <c r="F37" s="165" t="str">
        <f t="shared" si="0"/>
        <v>DALI_14.16_300_NL2018</v>
      </c>
      <c r="G37" s="13" t="s">
        <v>46</v>
      </c>
      <c r="H37" s="12"/>
      <c r="I37" s="12" t="s">
        <v>47</v>
      </c>
      <c r="J37" s="31" t="s">
        <v>124</v>
      </c>
      <c r="K37" s="15" t="s">
        <v>28</v>
      </c>
      <c r="L37" s="15"/>
      <c r="M37" s="16">
        <f t="shared" si="1"/>
        <v>0</v>
      </c>
      <c r="N37" s="15">
        <f>5100-5100</f>
        <v>0</v>
      </c>
      <c r="O37" s="15">
        <v>5400</v>
      </c>
      <c r="P37" s="15">
        <f t="shared" si="2"/>
        <v>0</v>
      </c>
      <c r="Q37" s="15" t="str">
        <f t="shared" si="7"/>
        <v>Canceled</v>
      </c>
      <c r="R37" s="18" t="s">
        <v>71</v>
      </c>
      <c r="S37" s="23">
        <v>43572</v>
      </c>
      <c r="T37" s="20">
        <f>IFERROR(VLOOKUP(S37,'Date Converter'!$A$4:$C$368,3,0),"")</f>
        <v>43606</v>
      </c>
      <c r="U37" s="21">
        <f t="shared" si="8"/>
        <v>43606</v>
      </c>
      <c r="V37" s="12"/>
      <c r="W37" s="18"/>
      <c r="X37" s="18"/>
      <c r="Y37" s="12"/>
      <c r="Z37" s="206"/>
      <c r="AA37" s="15"/>
      <c r="AB37" s="206"/>
      <c r="AC37" s="12"/>
      <c r="AD37" s="12"/>
      <c r="AE37" s="12"/>
      <c r="AF37" s="245"/>
      <c r="AG37" s="12"/>
      <c r="AH37" s="15">
        <f t="shared" si="4"/>
        <v>0</v>
      </c>
      <c r="AI37" s="22">
        <f t="shared" si="5"/>
        <v>0</v>
      </c>
      <c r="AJ37" s="22">
        <f t="shared" si="6"/>
        <v>0</v>
      </c>
    </row>
    <row r="38" spans="1:37" hidden="1">
      <c r="A38" t="s">
        <v>503</v>
      </c>
      <c r="B38" s="13">
        <v>43537</v>
      </c>
      <c r="C38" s="266" t="s">
        <v>23</v>
      </c>
      <c r="D38" s="258" t="s">
        <v>204</v>
      </c>
      <c r="E38" s="249" t="s">
        <v>205</v>
      </c>
      <c r="F38" t="str">
        <f t="shared" si="0"/>
        <v>CONC_22.24_100_NL2018</v>
      </c>
      <c r="G38" s="13" t="s">
        <v>40</v>
      </c>
      <c r="I38" s="12">
        <v>22.24</v>
      </c>
      <c r="J38" s="31" t="s">
        <v>206</v>
      </c>
      <c r="K38" s="15" t="s">
        <v>28</v>
      </c>
      <c r="M38" s="16">
        <f t="shared" si="1"/>
        <v>100</v>
      </c>
      <c r="N38" s="15">
        <v>10000</v>
      </c>
      <c r="O38" s="15">
        <v>12500</v>
      </c>
      <c r="P38" s="15">
        <f t="shared" si="2"/>
        <v>125000000</v>
      </c>
      <c r="Q38" s="15" t="str">
        <f t="shared" si="7"/>
        <v/>
      </c>
      <c r="R38" s="18" t="s">
        <v>29</v>
      </c>
      <c r="S38" s="23">
        <v>43709</v>
      </c>
      <c r="T38" s="20">
        <f>IFERROR(VLOOKUP(S38,'Date Converter'!$A$4:$C$368,3,0),"")</f>
        <v>43737</v>
      </c>
      <c r="U38" s="21">
        <f t="shared" si="8"/>
        <v>43737</v>
      </c>
      <c r="V38" s="12" t="s">
        <v>51</v>
      </c>
      <c r="AA38" s="15">
        <v>0</v>
      </c>
      <c r="AB38" s="206"/>
      <c r="AD38" s="12"/>
      <c r="AH38" s="15">
        <f t="shared" si="4"/>
        <v>0</v>
      </c>
      <c r="AI38" s="22">
        <f t="shared" si="5"/>
        <v>10000</v>
      </c>
      <c r="AJ38" s="22">
        <f t="shared" si="6"/>
        <v>125000000</v>
      </c>
    </row>
    <row r="39" spans="1:37" hidden="1">
      <c r="A39" t="s">
        <v>503</v>
      </c>
      <c r="B39" s="13">
        <v>43556</v>
      </c>
      <c r="C39" s="266" t="s">
        <v>23</v>
      </c>
      <c r="D39" s="258" t="s">
        <v>204</v>
      </c>
      <c r="E39" s="249" t="s">
        <v>205</v>
      </c>
      <c r="F39" t="str">
        <f t="shared" si="0"/>
        <v>CONC_24.26_80_NL2018</v>
      </c>
      <c r="G39" s="13" t="s">
        <v>40</v>
      </c>
      <c r="I39" s="12" t="s">
        <v>220</v>
      </c>
      <c r="J39" s="31" t="s">
        <v>504</v>
      </c>
      <c r="K39" s="15" t="s">
        <v>28</v>
      </c>
      <c r="M39" s="16">
        <f t="shared" si="1"/>
        <v>25</v>
      </c>
      <c r="N39" s="15">
        <v>2000</v>
      </c>
      <c r="O39" s="15">
        <v>15200</v>
      </c>
      <c r="P39" s="15">
        <f t="shared" si="2"/>
        <v>30400000</v>
      </c>
      <c r="Q39" s="15" t="str">
        <f t="shared" si="7"/>
        <v/>
      </c>
      <c r="R39" s="18" t="s">
        <v>29</v>
      </c>
      <c r="S39" s="23">
        <v>43709</v>
      </c>
      <c r="T39" s="20">
        <f>IFERROR(VLOOKUP(S39,'Date Converter'!$A$4:$C$368,3,0),"")</f>
        <v>43737</v>
      </c>
      <c r="U39" s="21">
        <f t="shared" si="8"/>
        <v>43737</v>
      </c>
      <c r="V39" s="12" t="s">
        <v>51</v>
      </c>
      <c r="AA39" s="15"/>
      <c r="AB39" s="206"/>
      <c r="AD39" s="12"/>
      <c r="AH39" s="15">
        <f t="shared" si="4"/>
        <v>0</v>
      </c>
      <c r="AI39" s="22">
        <f t="shared" si="5"/>
        <v>2000</v>
      </c>
      <c r="AJ39" s="22">
        <f t="shared" si="6"/>
        <v>30400000</v>
      </c>
    </row>
    <row r="40" spans="1:37" hidden="1">
      <c r="A40" t="s">
        <v>503</v>
      </c>
      <c r="B40" s="13">
        <v>43537</v>
      </c>
      <c r="C40" s="266" t="s">
        <v>23</v>
      </c>
      <c r="D40" s="258" t="s">
        <v>204</v>
      </c>
      <c r="E40" s="249" t="s">
        <v>205</v>
      </c>
      <c r="F40" s="165" t="str">
        <f t="shared" si="0"/>
        <v>BACA_20.22_125_NL2018</v>
      </c>
      <c r="G40" s="13" t="s">
        <v>67</v>
      </c>
      <c r="I40" s="12">
        <v>20.22</v>
      </c>
      <c r="J40" s="31" t="s">
        <v>122</v>
      </c>
      <c r="K40" s="15" t="s">
        <v>28</v>
      </c>
      <c r="M40" s="16">
        <f t="shared" si="1"/>
        <v>16</v>
      </c>
      <c r="N40" s="15">
        <v>2000</v>
      </c>
      <c r="O40" s="15">
        <v>10800</v>
      </c>
      <c r="P40" s="15">
        <f t="shared" si="2"/>
        <v>21600000</v>
      </c>
      <c r="Q40" s="15" t="str">
        <f t="shared" si="7"/>
        <v/>
      </c>
      <c r="R40" s="18" t="s">
        <v>29</v>
      </c>
      <c r="S40" s="23">
        <v>43709</v>
      </c>
      <c r="T40" s="20">
        <f>IFERROR(VLOOKUP(S40,'Date Converter'!$A$4:$C$368,3,0),"")</f>
        <v>43737</v>
      </c>
      <c r="U40" s="21">
        <f t="shared" si="8"/>
        <v>43737</v>
      </c>
      <c r="V40" s="12" t="s">
        <v>51</v>
      </c>
      <c r="AA40" s="15">
        <v>0</v>
      </c>
      <c r="AD40" s="12"/>
      <c r="AH40" s="15">
        <f t="shared" si="4"/>
        <v>0</v>
      </c>
      <c r="AI40" s="22">
        <f t="shared" si="5"/>
        <v>2000</v>
      </c>
      <c r="AJ40" s="22">
        <f t="shared" si="6"/>
        <v>21600000</v>
      </c>
      <c r="AK40" s="165"/>
    </row>
    <row r="41" spans="1:37" hidden="1">
      <c r="A41" s="165" t="s">
        <v>503</v>
      </c>
      <c r="B41" s="13">
        <v>43556</v>
      </c>
      <c r="C41" s="266" t="s">
        <v>23</v>
      </c>
      <c r="D41" s="258" t="s">
        <v>204</v>
      </c>
      <c r="E41" s="249" t="s">
        <v>205</v>
      </c>
      <c r="F41" s="165" t="str">
        <f t="shared" si="0"/>
        <v>BACA_20.22_125_NL2018</v>
      </c>
      <c r="G41" s="13" t="s">
        <v>67</v>
      </c>
      <c r="I41" s="12">
        <v>20.22</v>
      </c>
      <c r="J41" s="31" t="s">
        <v>122</v>
      </c>
      <c r="K41" s="15" t="s">
        <v>28</v>
      </c>
      <c r="M41" s="16">
        <f t="shared" si="1"/>
        <v>16</v>
      </c>
      <c r="N41" s="15">
        <v>2000</v>
      </c>
      <c r="O41" s="15">
        <v>11000</v>
      </c>
      <c r="P41" s="15">
        <f t="shared" si="2"/>
        <v>22000000</v>
      </c>
      <c r="Q41" s="15" t="str">
        <f t="shared" si="7"/>
        <v/>
      </c>
      <c r="R41" s="18" t="s">
        <v>29</v>
      </c>
      <c r="S41" s="23">
        <v>43709</v>
      </c>
      <c r="T41" s="20">
        <f>IFERROR(VLOOKUP(S41,'Date Converter'!$A$4:$C$368,3,0),"")</f>
        <v>43737</v>
      </c>
      <c r="U41" s="21">
        <f t="shared" si="8"/>
        <v>43737</v>
      </c>
      <c r="V41" s="12" t="s">
        <v>51</v>
      </c>
      <c r="AA41" s="15"/>
      <c r="AB41" s="206"/>
      <c r="AD41" s="12"/>
      <c r="AH41" s="15">
        <f t="shared" si="4"/>
        <v>0</v>
      </c>
      <c r="AI41" s="22">
        <f t="shared" si="5"/>
        <v>2000</v>
      </c>
      <c r="AJ41" s="22">
        <f t="shared" si="6"/>
        <v>22000000</v>
      </c>
      <c r="AK41" s="165"/>
    </row>
    <row r="42" spans="1:37" hidden="1">
      <c r="A42" s="165" t="s">
        <v>502</v>
      </c>
      <c r="B42" s="13">
        <v>43556</v>
      </c>
      <c r="C42" s="13" t="s">
        <v>23</v>
      </c>
      <c r="D42" t="s">
        <v>204</v>
      </c>
      <c r="E42" s="119" t="s">
        <v>205</v>
      </c>
      <c r="F42" t="str">
        <f t="shared" si="0"/>
        <v>BACA_15.16_300_NL2018</v>
      </c>
      <c r="G42" s="13" t="s">
        <v>67</v>
      </c>
      <c r="I42" s="12" t="s">
        <v>77</v>
      </c>
      <c r="J42" s="31" t="s">
        <v>124</v>
      </c>
      <c r="K42" s="15" t="s">
        <v>28</v>
      </c>
      <c r="M42" s="16">
        <f t="shared" si="1"/>
        <v>17</v>
      </c>
      <c r="N42" s="15">
        <v>5100</v>
      </c>
      <c r="O42" s="15">
        <v>4600</v>
      </c>
      <c r="P42" s="15">
        <f t="shared" si="2"/>
        <v>23460000</v>
      </c>
      <c r="Q42" s="15" t="str">
        <f t="shared" si="7"/>
        <v>Done</v>
      </c>
      <c r="R42" s="18" t="s">
        <v>44</v>
      </c>
      <c r="S42" s="23">
        <v>43572</v>
      </c>
      <c r="T42" s="20">
        <f>IFERROR(VLOOKUP(S42,'Date Converter'!$A$4:$C$368,3,0),"")</f>
        <v>43606</v>
      </c>
      <c r="U42" s="21">
        <f t="shared" si="8"/>
        <v>43606</v>
      </c>
      <c r="V42" s="12" t="s">
        <v>479</v>
      </c>
      <c r="Z42" s="206">
        <v>43619</v>
      </c>
      <c r="AA42" s="15">
        <v>5100</v>
      </c>
      <c r="AB42" s="206"/>
      <c r="AD42" s="12"/>
      <c r="AH42" s="15">
        <f t="shared" si="4"/>
        <v>5100</v>
      </c>
      <c r="AI42" s="22">
        <f t="shared" si="5"/>
        <v>0</v>
      </c>
      <c r="AJ42" s="22">
        <f t="shared" si="6"/>
        <v>0</v>
      </c>
      <c r="AK42" s="165"/>
    </row>
    <row r="43" spans="1:37" hidden="1">
      <c r="A43" s="165" t="s">
        <v>295</v>
      </c>
      <c r="B43" s="13">
        <v>43470</v>
      </c>
      <c r="C43" s="13" t="s">
        <v>23</v>
      </c>
      <c r="D43" t="s">
        <v>75</v>
      </c>
      <c r="E43" s="165" t="s">
        <v>76</v>
      </c>
      <c r="F43" t="str">
        <f t="shared" si="0"/>
        <v>SENS_16.18_200_NL2018</v>
      </c>
      <c r="G43" s="165" t="s">
        <v>80</v>
      </c>
      <c r="I43" s="12" t="s">
        <v>35</v>
      </c>
      <c r="J43" s="14">
        <v>200</v>
      </c>
      <c r="K43" s="15" t="s">
        <v>28</v>
      </c>
      <c r="M43" s="16">
        <f t="shared" si="1"/>
        <v>25</v>
      </c>
      <c r="N43" s="15">
        <v>5000</v>
      </c>
      <c r="O43" s="15">
        <v>5500</v>
      </c>
      <c r="P43" s="15">
        <f t="shared" si="2"/>
        <v>27500000</v>
      </c>
      <c r="Q43" s="15" t="str">
        <f t="shared" si="7"/>
        <v>Done</v>
      </c>
      <c r="R43" s="18" t="s">
        <v>44</v>
      </c>
      <c r="S43" s="23">
        <v>43524</v>
      </c>
      <c r="T43" s="20">
        <f>IFERROR(VLOOKUP(S43,'Date Converter'!$A$4:$C$368,3,0),"")</f>
        <v>43557</v>
      </c>
      <c r="U43" s="21">
        <f t="shared" si="8"/>
        <v>43557</v>
      </c>
      <c r="V43" s="12" t="s">
        <v>81</v>
      </c>
      <c r="W43" s="18" t="s">
        <v>82</v>
      </c>
      <c r="X43" s="18">
        <v>43555</v>
      </c>
      <c r="Y43" s="15"/>
      <c r="Z43" s="206">
        <v>43557</v>
      </c>
      <c r="AA43" s="15">
        <v>5000</v>
      </c>
      <c r="AB43" s="206"/>
      <c r="AC43" s="15"/>
      <c r="AD43" s="15"/>
      <c r="AE43" s="15"/>
      <c r="AF43" s="244"/>
      <c r="AG43" s="15"/>
      <c r="AH43" s="15">
        <f t="shared" si="4"/>
        <v>5000</v>
      </c>
      <c r="AI43" s="22">
        <f t="shared" si="5"/>
        <v>0</v>
      </c>
      <c r="AJ43" s="22">
        <f t="shared" si="6"/>
        <v>0</v>
      </c>
      <c r="AK43" s="165"/>
    </row>
    <row r="44" spans="1:37" s="165" customFormat="1" hidden="1">
      <c r="A44" s="165" t="s">
        <v>295</v>
      </c>
      <c r="B44" s="13">
        <v>43604</v>
      </c>
      <c r="C44" s="13" t="s">
        <v>23</v>
      </c>
      <c r="D44" s="165" t="s">
        <v>75</v>
      </c>
      <c r="E44" s="198" t="s">
        <v>76</v>
      </c>
      <c r="F44" s="165" t="str">
        <f t="shared" si="0"/>
        <v>SENS_16.18_200_NL2018</v>
      </c>
      <c r="G44" s="165" t="s">
        <v>80</v>
      </c>
      <c r="H44" s="12"/>
      <c r="I44" s="12" t="s">
        <v>35</v>
      </c>
      <c r="J44" s="14">
        <v>200</v>
      </c>
      <c r="K44" s="15" t="s">
        <v>28</v>
      </c>
      <c r="L44" s="15"/>
      <c r="M44" s="16">
        <f t="shared" si="1"/>
        <v>51</v>
      </c>
      <c r="N44" s="15">
        <v>10200</v>
      </c>
      <c r="O44" s="15">
        <v>5800</v>
      </c>
      <c r="P44" s="15">
        <f t="shared" si="2"/>
        <v>59160000</v>
      </c>
      <c r="Q44" s="15" t="str">
        <f t="shared" si="7"/>
        <v/>
      </c>
      <c r="R44" s="18" t="s">
        <v>31</v>
      </c>
      <c r="S44" s="23">
        <v>43615</v>
      </c>
      <c r="T44" s="20">
        <f>IFERROR(VLOOKUP(S44,'Date Converter'!$A$4:$C$368,3,0),"")</f>
        <v>43648</v>
      </c>
      <c r="U44" s="21">
        <f t="shared" si="8"/>
        <v>43648</v>
      </c>
      <c r="V44" s="12"/>
      <c r="W44" s="18"/>
      <c r="X44" s="18"/>
      <c r="Y44" s="15"/>
      <c r="Z44" s="206"/>
      <c r="AA44" s="15"/>
      <c r="AB44" s="206"/>
      <c r="AC44" s="15"/>
      <c r="AD44" s="15"/>
      <c r="AE44" s="15"/>
      <c r="AF44" s="244"/>
      <c r="AG44" s="15"/>
      <c r="AH44" s="15">
        <f t="shared" si="4"/>
        <v>0</v>
      </c>
      <c r="AI44" s="22">
        <f t="shared" si="5"/>
        <v>10200</v>
      </c>
      <c r="AJ44" s="22">
        <f t="shared" si="6"/>
        <v>59160000</v>
      </c>
    </row>
    <row r="45" spans="1:37" hidden="1">
      <c r="A45" s="165" t="s">
        <v>442</v>
      </c>
      <c r="B45" s="13">
        <v>43536</v>
      </c>
      <c r="C45" s="13" t="s">
        <v>23</v>
      </c>
      <c r="D45" s="258" t="s">
        <v>75</v>
      </c>
      <c r="E45" s="198" t="s">
        <v>76</v>
      </c>
      <c r="F45" t="str">
        <f t="shared" si="0"/>
        <v>ROBI_22.24_100_NL2018</v>
      </c>
      <c r="G45" s="165" t="s">
        <v>61</v>
      </c>
      <c r="I45" s="12" t="s">
        <v>78</v>
      </c>
      <c r="J45" s="14">
        <v>100</v>
      </c>
      <c r="K45" s="15" t="s">
        <v>28</v>
      </c>
      <c r="M45" s="16">
        <f t="shared" si="1"/>
        <v>200</v>
      </c>
      <c r="N45" s="15">
        <v>20000</v>
      </c>
      <c r="O45" s="15">
        <v>12500</v>
      </c>
      <c r="P45" s="15">
        <f t="shared" si="2"/>
        <v>250000000</v>
      </c>
      <c r="Q45" s="15" t="str">
        <f t="shared" si="7"/>
        <v/>
      </c>
      <c r="R45" s="18" t="s">
        <v>29</v>
      </c>
      <c r="S45" s="23">
        <v>43709</v>
      </c>
      <c r="T45" s="20">
        <f>IFERROR(VLOOKUP(S45,'Date Converter'!$A$4:$C$368,3,0),"")</f>
        <v>43737</v>
      </c>
      <c r="U45" s="21">
        <f t="shared" si="8"/>
        <v>43737</v>
      </c>
      <c r="V45" s="12" t="s">
        <v>51</v>
      </c>
      <c r="Y45" s="15"/>
      <c r="AA45" s="15">
        <v>0</v>
      </c>
      <c r="AB45" s="206"/>
      <c r="AC45" s="15"/>
      <c r="AD45" s="15"/>
      <c r="AE45" s="15"/>
      <c r="AF45" s="244"/>
      <c r="AG45" s="15"/>
      <c r="AH45" s="15">
        <f t="shared" si="4"/>
        <v>0</v>
      </c>
      <c r="AI45" s="22">
        <f t="shared" si="5"/>
        <v>20000</v>
      </c>
      <c r="AJ45" s="22">
        <f t="shared" si="6"/>
        <v>250000000</v>
      </c>
      <c r="AK45" s="165"/>
    </row>
    <row r="46" spans="1:37" ht="15.75" hidden="1" customHeight="1">
      <c r="A46" t="s">
        <v>295</v>
      </c>
      <c r="B46" s="13">
        <v>43633</v>
      </c>
      <c r="C46" s="13" t="s">
        <v>23</v>
      </c>
      <c r="D46" t="s">
        <v>75</v>
      </c>
      <c r="E46" s="198" t="s">
        <v>76</v>
      </c>
      <c r="F46" s="165" t="str">
        <f t="shared" si="0"/>
        <v>ROBI_18.20_150_NL2018</v>
      </c>
      <c r="G46" s="165" t="s">
        <v>61</v>
      </c>
      <c r="I46" s="24" t="s">
        <v>27</v>
      </c>
      <c r="J46" s="14">
        <v>150</v>
      </c>
      <c r="K46" s="15" t="s">
        <v>28</v>
      </c>
      <c r="M46" s="16">
        <f t="shared" si="1"/>
        <v>67</v>
      </c>
      <c r="N46" s="15">
        <v>10050</v>
      </c>
      <c r="O46" s="15">
        <v>7500</v>
      </c>
      <c r="P46" s="15">
        <f t="shared" si="2"/>
        <v>75375000</v>
      </c>
      <c r="Q46" s="15" t="str">
        <f t="shared" si="7"/>
        <v/>
      </c>
      <c r="R46" s="18" t="s">
        <v>31</v>
      </c>
      <c r="S46" s="23">
        <v>43617</v>
      </c>
      <c r="T46" s="20">
        <f>IFERROR(VLOOKUP(S46,'Date Converter'!$A$4:$C$368,3,0),"")</f>
        <v>43649</v>
      </c>
      <c r="U46" s="21">
        <f t="shared" si="8"/>
        <v>43649</v>
      </c>
      <c r="V46" s="12" t="s">
        <v>1888</v>
      </c>
      <c r="Y46" s="15"/>
      <c r="AA46" s="15"/>
      <c r="AB46" s="206"/>
      <c r="AC46" s="15"/>
      <c r="AD46" s="15"/>
      <c r="AE46" s="15"/>
      <c r="AF46" s="244"/>
      <c r="AG46" s="15"/>
      <c r="AH46" s="15">
        <f t="shared" si="4"/>
        <v>0</v>
      </c>
      <c r="AI46" s="22">
        <f t="shared" si="5"/>
        <v>10050</v>
      </c>
      <c r="AJ46" s="22">
        <f t="shared" si="6"/>
        <v>75375000</v>
      </c>
      <c r="AK46" s="165"/>
    </row>
    <row r="47" spans="1:37" hidden="1">
      <c r="A47" s="165" t="s">
        <v>295</v>
      </c>
      <c r="B47" s="13">
        <v>43604</v>
      </c>
      <c r="C47" s="13" t="s">
        <v>23</v>
      </c>
      <c r="D47" t="s">
        <v>75</v>
      </c>
      <c r="E47" s="198" t="s">
        <v>76</v>
      </c>
      <c r="F47" s="165" t="str">
        <f t="shared" si="0"/>
        <v>MALD_16.18_200_NL2018</v>
      </c>
      <c r="G47" s="165" t="s">
        <v>478</v>
      </c>
      <c r="I47" s="12" t="s">
        <v>35</v>
      </c>
      <c r="J47" s="14">
        <v>200</v>
      </c>
      <c r="K47" s="15" t="s">
        <v>28</v>
      </c>
      <c r="M47" s="16">
        <f t="shared" si="1"/>
        <v>55</v>
      </c>
      <c r="N47" s="25">
        <v>11000</v>
      </c>
      <c r="O47" s="15">
        <v>5400</v>
      </c>
      <c r="P47" s="15">
        <f t="shared" si="2"/>
        <v>59400000</v>
      </c>
      <c r="Q47" s="15" t="str">
        <f t="shared" si="7"/>
        <v>Done</v>
      </c>
      <c r="R47" s="18" t="s">
        <v>44</v>
      </c>
      <c r="S47" s="23">
        <v>43572</v>
      </c>
      <c r="T47" s="20">
        <f>IFERROR(VLOOKUP(S47,'Date Converter'!$A$4:$C$368,3,0),"")</f>
        <v>43606</v>
      </c>
      <c r="U47" s="21">
        <f t="shared" si="8"/>
        <v>43606</v>
      </c>
      <c r="Y47" s="15"/>
      <c r="Z47" s="206">
        <v>43605</v>
      </c>
      <c r="AA47" s="15">
        <v>11000</v>
      </c>
      <c r="AB47" s="206"/>
      <c r="AC47" s="15"/>
      <c r="AD47" s="15"/>
      <c r="AE47" s="15"/>
      <c r="AF47" s="244"/>
      <c r="AG47" s="15"/>
      <c r="AH47" s="15">
        <f t="shared" si="4"/>
        <v>11000</v>
      </c>
      <c r="AI47" s="22">
        <f t="shared" si="5"/>
        <v>0</v>
      </c>
      <c r="AJ47" s="22">
        <f t="shared" si="6"/>
        <v>0</v>
      </c>
      <c r="AK47" s="165"/>
    </row>
    <row r="48" spans="1:37" hidden="1">
      <c r="A48" t="s">
        <v>295</v>
      </c>
      <c r="B48" s="13">
        <v>43470</v>
      </c>
      <c r="C48" s="13" t="s">
        <v>23</v>
      </c>
      <c r="D48" t="s">
        <v>75</v>
      </c>
      <c r="E48" s="165" t="s">
        <v>76</v>
      </c>
      <c r="F48" t="str">
        <f t="shared" si="0"/>
        <v>LARG_16.18_200_NL2018</v>
      </c>
      <c r="G48" s="165" t="s">
        <v>70</v>
      </c>
      <c r="I48" s="12" t="s">
        <v>35</v>
      </c>
      <c r="J48" s="14">
        <v>200</v>
      </c>
      <c r="K48" s="15" t="s">
        <v>28</v>
      </c>
      <c r="M48" s="16">
        <f t="shared" si="1"/>
        <v>50</v>
      </c>
      <c r="N48" s="15">
        <f>9800+200</f>
        <v>10000</v>
      </c>
      <c r="O48" s="15">
        <v>5500</v>
      </c>
      <c r="P48" s="15">
        <f t="shared" si="2"/>
        <v>55000000</v>
      </c>
      <c r="Q48" s="15" t="str">
        <f t="shared" si="7"/>
        <v>Done</v>
      </c>
      <c r="R48" s="18" t="s">
        <v>44</v>
      </c>
      <c r="S48" s="23">
        <v>43539</v>
      </c>
      <c r="T48" s="20">
        <f>IFERROR(VLOOKUP(S48,'Date Converter'!$A$4:$C$368,3,0),"")</f>
        <v>43574</v>
      </c>
      <c r="U48" s="21">
        <f t="shared" si="8"/>
        <v>43574</v>
      </c>
      <c r="V48" s="12" t="s">
        <v>57</v>
      </c>
      <c r="W48" s="18" t="s">
        <v>79</v>
      </c>
      <c r="X48" s="18">
        <v>43569</v>
      </c>
      <c r="Y48" s="15"/>
      <c r="Z48" s="206">
        <v>43588</v>
      </c>
      <c r="AA48" s="15">
        <v>10000</v>
      </c>
      <c r="AB48" s="206"/>
      <c r="AC48" s="15"/>
      <c r="AD48" s="15"/>
      <c r="AE48" s="15"/>
      <c r="AF48" s="244"/>
      <c r="AG48" s="15"/>
      <c r="AH48" s="15">
        <f t="shared" si="4"/>
        <v>10000</v>
      </c>
      <c r="AI48" s="22">
        <f t="shared" si="5"/>
        <v>0</v>
      </c>
      <c r="AJ48" s="22">
        <f t="shared" si="6"/>
        <v>0</v>
      </c>
      <c r="AK48" s="165"/>
    </row>
    <row r="49" spans="1:37" hidden="1">
      <c r="A49" t="s">
        <v>295</v>
      </c>
      <c r="B49" s="13">
        <v>43633</v>
      </c>
      <c r="C49" s="13" t="s">
        <v>23</v>
      </c>
      <c r="D49" t="s">
        <v>75</v>
      </c>
      <c r="E49" s="198" t="s">
        <v>76</v>
      </c>
      <c r="F49" t="str">
        <f t="shared" si="0"/>
        <v>INDI_16.18_200_NL2018</v>
      </c>
      <c r="G49" s="165" t="s">
        <v>154</v>
      </c>
      <c r="I49" s="12" t="s">
        <v>35</v>
      </c>
      <c r="J49" s="14">
        <v>200</v>
      </c>
      <c r="K49" s="15" t="s">
        <v>28</v>
      </c>
      <c r="M49" s="16">
        <f t="shared" si="1"/>
        <v>50</v>
      </c>
      <c r="N49" s="15">
        <v>10000</v>
      </c>
      <c r="O49" s="15">
        <v>6700</v>
      </c>
      <c r="P49" s="15">
        <f t="shared" si="2"/>
        <v>67000000</v>
      </c>
      <c r="Q49" s="15" t="str">
        <f t="shared" si="7"/>
        <v/>
      </c>
      <c r="R49" s="18" t="s">
        <v>29</v>
      </c>
      <c r="S49" s="23">
        <v>43641</v>
      </c>
      <c r="T49" s="20">
        <f>IFERROR(VLOOKUP(S49,'Date Converter'!$A$4:$C$368,3,0),"")</f>
        <v>43673</v>
      </c>
      <c r="U49" s="21">
        <f t="shared" si="8"/>
        <v>43673</v>
      </c>
      <c r="Y49" s="15"/>
      <c r="AA49" s="15"/>
      <c r="AB49" s="206"/>
      <c r="AC49" s="15"/>
      <c r="AD49" s="15"/>
      <c r="AE49" s="15"/>
      <c r="AF49" s="244"/>
      <c r="AG49" s="15"/>
      <c r="AH49" s="15">
        <f t="shared" si="4"/>
        <v>0</v>
      </c>
      <c r="AI49" s="22">
        <f t="shared" si="5"/>
        <v>10000</v>
      </c>
      <c r="AJ49" s="22">
        <f t="shared" si="6"/>
        <v>67000000</v>
      </c>
      <c r="AK49" s="165"/>
    </row>
    <row r="50" spans="1:37" s="165" customFormat="1" hidden="1">
      <c r="A50" s="165" t="s">
        <v>295</v>
      </c>
      <c r="B50" s="13">
        <v>43470</v>
      </c>
      <c r="C50" s="13" t="s">
        <v>23</v>
      </c>
      <c r="D50" s="165" t="s">
        <v>75</v>
      </c>
      <c r="E50" s="198" t="s">
        <v>76</v>
      </c>
      <c r="F50" s="165" t="str">
        <f t="shared" si="0"/>
        <v>DALI_14.16_300_NL2018</v>
      </c>
      <c r="G50" s="165" t="s">
        <v>46</v>
      </c>
      <c r="H50" s="12"/>
      <c r="I50" s="12" t="s">
        <v>47</v>
      </c>
      <c r="J50" s="14">
        <v>300</v>
      </c>
      <c r="K50" s="15" t="s">
        <v>28</v>
      </c>
      <c r="L50" s="15"/>
      <c r="M50" s="16">
        <f t="shared" si="1"/>
        <v>0</v>
      </c>
      <c r="N50" s="15">
        <f>15000-15000</f>
        <v>0</v>
      </c>
      <c r="O50" s="15">
        <v>5300</v>
      </c>
      <c r="P50" s="15">
        <f t="shared" si="2"/>
        <v>0</v>
      </c>
      <c r="Q50" s="15" t="str">
        <f t="shared" si="7"/>
        <v>Canceled</v>
      </c>
      <c r="R50" s="18" t="s">
        <v>71</v>
      </c>
      <c r="S50" s="23">
        <v>43572</v>
      </c>
      <c r="T50" s="20">
        <f>IFERROR(VLOOKUP(S50,'Date Converter'!$A$4:$C$368,3,0),"")</f>
        <v>43606</v>
      </c>
      <c r="U50" s="21">
        <f t="shared" si="8"/>
        <v>43606</v>
      </c>
      <c r="V50" s="12" t="s">
        <v>1416</v>
      </c>
      <c r="W50" s="18"/>
      <c r="X50" s="18"/>
      <c r="Y50" s="15"/>
      <c r="Z50" s="206"/>
      <c r="AA50" s="15">
        <v>0</v>
      </c>
      <c r="AB50" s="206"/>
      <c r="AC50" s="15"/>
      <c r="AD50" s="15"/>
      <c r="AE50" s="15"/>
      <c r="AF50" s="244"/>
      <c r="AG50" s="15"/>
      <c r="AH50" s="15">
        <f t="shared" si="4"/>
        <v>0</v>
      </c>
      <c r="AI50" s="22">
        <f t="shared" si="5"/>
        <v>0</v>
      </c>
      <c r="AJ50" s="22">
        <f t="shared" si="6"/>
        <v>0</v>
      </c>
    </row>
    <row r="51" spans="1:37" hidden="1">
      <c r="A51" t="s">
        <v>442</v>
      </c>
      <c r="B51" s="13">
        <v>43536</v>
      </c>
      <c r="C51" s="13" t="s">
        <v>23</v>
      </c>
      <c r="D51" s="258" t="s">
        <v>75</v>
      </c>
      <c r="E51" s="198" t="s">
        <v>76</v>
      </c>
      <c r="F51" t="str">
        <f t="shared" si="0"/>
        <v>CONC_22.24_100_NL2018</v>
      </c>
      <c r="G51" t="s">
        <v>40</v>
      </c>
      <c r="I51" s="12" t="s">
        <v>78</v>
      </c>
      <c r="J51" s="14">
        <v>100</v>
      </c>
      <c r="K51" s="15" t="s">
        <v>28</v>
      </c>
      <c r="M51" s="16">
        <f t="shared" si="1"/>
        <v>200</v>
      </c>
      <c r="N51" s="15">
        <v>20000</v>
      </c>
      <c r="O51" s="15">
        <v>12500</v>
      </c>
      <c r="P51" s="15">
        <f t="shared" si="2"/>
        <v>250000000</v>
      </c>
      <c r="Q51" s="15" t="str">
        <f t="shared" si="7"/>
        <v/>
      </c>
      <c r="R51" s="18" t="s">
        <v>29</v>
      </c>
      <c r="S51" s="23">
        <v>43709</v>
      </c>
      <c r="T51" s="20">
        <f>IFERROR(VLOOKUP(S51,'Date Converter'!$A$4:$C$368,3,0),"")</f>
        <v>43737</v>
      </c>
      <c r="U51" s="21">
        <f t="shared" si="8"/>
        <v>43737</v>
      </c>
      <c r="V51" s="12" t="s">
        <v>51</v>
      </c>
      <c r="Y51" s="15"/>
      <c r="AA51" s="15">
        <v>0</v>
      </c>
      <c r="AB51" s="206"/>
      <c r="AC51" s="15"/>
      <c r="AD51" s="15"/>
      <c r="AE51" s="15"/>
      <c r="AF51" s="244"/>
      <c r="AG51" s="15"/>
      <c r="AH51" s="15">
        <f t="shared" si="4"/>
        <v>0</v>
      </c>
      <c r="AI51" s="22">
        <f t="shared" si="5"/>
        <v>20000</v>
      </c>
      <c r="AJ51" s="22">
        <f t="shared" si="6"/>
        <v>250000000</v>
      </c>
    </row>
    <row r="52" spans="1:37" hidden="1">
      <c r="A52" t="s">
        <v>295</v>
      </c>
      <c r="B52" s="13">
        <v>43633</v>
      </c>
      <c r="C52" s="13" t="s">
        <v>23</v>
      </c>
      <c r="D52" t="s">
        <v>75</v>
      </c>
      <c r="E52" s="198" t="s">
        <v>76</v>
      </c>
      <c r="F52" s="165" t="str">
        <f t="shared" si="0"/>
        <v>CONC_16.18_200_NL2018</v>
      </c>
      <c r="G52" s="165" t="s">
        <v>40</v>
      </c>
      <c r="I52" s="12" t="s">
        <v>35</v>
      </c>
      <c r="J52" s="14">
        <v>200</v>
      </c>
      <c r="K52" s="15" t="s">
        <v>28</v>
      </c>
      <c r="M52" s="16">
        <f t="shared" si="1"/>
        <v>50</v>
      </c>
      <c r="N52" s="15">
        <v>10000</v>
      </c>
      <c r="O52" s="15">
        <v>5800</v>
      </c>
      <c r="P52" s="15">
        <f t="shared" si="2"/>
        <v>58000000</v>
      </c>
      <c r="Q52" s="15" t="str">
        <f t="shared" si="7"/>
        <v>Done</v>
      </c>
      <c r="R52" s="18" t="s">
        <v>44</v>
      </c>
      <c r="S52" s="23">
        <v>43633</v>
      </c>
      <c r="T52" s="20">
        <f>IFERROR(VLOOKUP(S52,'Date Converter'!$A$4:$C$368,3,0),"")</f>
        <v>43665</v>
      </c>
      <c r="U52" s="21">
        <f t="shared" si="8"/>
        <v>43665</v>
      </c>
      <c r="Y52" s="15"/>
      <c r="Z52" s="206">
        <v>43633</v>
      </c>
      <c r="AA52" s="15">
        <v>10000</v>
      </c>
      <c r="AB52" s="206"/>
      <c r="AC52" s="15"/>
      <c r="AD52" s="15"/>
      <c r="AE52" s="15"/>
      <c r="AF52" s="244"/>
      <c r="AG52" s="15"/>
      <c r="AH52" s="15">
        <f t="shared" si="4"/>
        <v>10000</v>
      </c>
      <c r="AI52" s="22">
        <f t="shared" si="5"/>
        <v>0</v>
      </c>
      <c r="AJ52" s="22">
        <f t="shared" si="6"/>
        <v>0</v>
      </c>
    </row>
    <row r="53" spans="1:37" hidden="1">
      <c r="A53" t="s">
        <v>295</v>
      </c>
      <c r="B53" s="13">
        <v>43470</v>
      </c>
      <c r="C53" s="13" t="s">
        <v>23</v>
      </c>
      <c r="D53" t="s">
        <v>75</v>
      </c>
      <c r="E53" s="165" t="s">
        <v>76</v>
      </c>
      <c r="F53" s="165" t="str">
        <f t="shared" si="0"/>
        <v>BACA_15.16_300_NL2018</v>
      </c>
      <c r="G53" t="s">
        <v>67</v>
      </c>
      <c r="I53" s="12" t="s">
        <v>77</v>
      </c>
      <c r="J53" s="14">
        <v>300</v>
      </c>
      <c r="K53" s="15" t="s">
        <v>28</v>
      </c>
      <c r="M53" s="16">
        <f t="shared" si="1"/>
        <v>67</v>
      </c>
      <c r="N53" s="15">
        <v>20100</v>
      </c>
      <c r="O53" s="15">
        <v>4500</v>
      </c>
      <c r="P53" s="15">
        <f t="shared" si="2"/>
        <v>90450000</v>
      </c>
      <c r="Q53" s="15" t="str">
        <f t="shared" si="7"/>
        <v>Done</v>
      </c>
      <c r="R53" s="18" t="s">
        <v>44</v>
      </c>
      <c r="S53" s="23">
        <v>43480</v>
      </c>
      <c r="T53" s="20">
        <f>IFERROR(VLOOKUP(S53,'Date Converter'!$A$4:$C$368,3,0),"")</f>
        <v>43515</v>
      </c>
      <c r="U53" s="21">
        <f t="shared" si="8"/>
        <v>43515</v>
      </c>
      <c r="V53" s="12" t="s">
        <v>45</v>
      </c>
      <c r="Y53" s="15"/>
      <c r="Z53" s="206">
        <v>43515</v>
      </c>
      <c r="AA53" s="15">
        <v>20100</v>
      </c>
      <c r="AB53" s="206"/>
      <c r="AC53" s="15"/>
      <c r="AD53" s="15"/>
      <c r="AE53" s="15"/>
      <c r="AF53" s="244"/>
      <c r="AG53" s="15"/>
      <c r="AH53" s="15">
        <f t="shared" si="4"/>
        <v>20100</v>
      </c>
      <c r="AI53" s="22">
        <f t="shared" si="5"/>
        <v>0</v>
      </c>
      <c r="AJ53" s="22">
        <f t="shared" si="6"/>
        <v>0</v>
      </c>
    </row>
    <row r="54" spans="1:37" hidden="1">
      <c r="A54" t="s">
        <v>1377</v>
      </c>
      <c r="B54" s="13">
        <v>43564</v>
      </c>
      <c r="C54" s="13" t="s">
        <v>23</v>
      </c>
      <c r="D54" s="258" t="s">
        <v>1378</v>
      </c>
      <c r="E54" s="119" t="s">
        <v>1379</v>
      </c>
      <c r="F54" t="str">
        <f t="shared" si="0"/>
        <v>ROBI_20.22_125_NL2018</v>
      </c>
      <c r="G54" s="13" t="s">
        <v>61</v>
      </c>
      <c r="I54" s="12" t="s">
        <v>74</v>
      </c>
      <c r="J54" s="31" t="s">
        <v>122</v>
      </c>
      <c r="K54" s="15" t="s">
        <v>28</v>
      </c>
      <c r="M54" s="16">
        <f t="shared" si="1"/>
        <v>4</v>
      </c>
      <c r="N54" s="15">
        <v>500</v>
      </c>
      <c r="O54" s="15">
        <v>10700</v>
      </c>
      <c r="P54" s="15">
        <f t="shared" si="2"/>
        <v>5350000</v>
      </c>
      <c r="Q54" s="15" t="str">
        <f t="shared" si="7"/>
        <v/>
      </c>
      <c r="R54" s="18" t="s">
        <v>29</v>
      </c>
      <c r="S54" s="23">
        <v>43709</v>
      </c>
      <c r="T54" s="20">
        <f>IFERROR(VLOOKUP(S54,'Date Converter'!$A$4:$C$368,3,0),"")</f>
        <v>43737</v>
      </c>
      <c r="U54" s="21">
        <f t="shared" si="8"/>
        <v>43737</v>
      </c>
      <c r="V54" s="12" t="s">
        <v>51</v>
      </c>
      <c r="AA54" s="15"/>
      <c r="AB54" s="206"/>
      <c r="AD54" s="12"/>
      <c r="AH54" s="15">
        <f t="shared" si="4"/>
        <v>0</v>
      </c>
      <c r="AI54" s="22">
        <f t="shared" si="5"/>
        <v>500</v>
      </c>
      <c r="AJ54" s="22">
        <f t="shared" si="6"/>
        <v>5350000</v>
      </c>
    </row>
    <row r="55" spans="1:37" s="165" customFormat="1" hidden="1">
      <c r="A55" s="165" t="s">
        <v>1377</v>
      </c>
      <c r="B55" s="13">
        <v>43564</v>
      </c>
      <c r="C55" s="13" t="s">
        <v>23</v>
      </c>
      <c r="D55" s="258" t="s">
        <v>1378</v>
      </c>
      <c r="E55" s="119" t="s">
        <v>1379</v>
      </c>
      <c r="F55" s="165" t="str">
        <f t="shared" si="0"/>
        <v>CONC_20.22_125_NL2018</v>
      </c>
      <c r="G55" s="13" t="s">
        <v>40</v>
      </c>
      <c r="H55" s="12"/>
      <c r="I55" s="12" t="s">
        <v>74</v>
      </c>
      <c r="J55" s="31" t="s">
        <v>122</v>
      </c>
      <c r="K55" s="15" t="s">
        <v>28</v>
      </c>
      <c r="L55" s="15"/>
      <c r="M55" s="16">
        <f t="shared" si="1"/>
        <v>24</v>
      </c>
      <c r="N55" s="15">
        <v>3000</v>
      </c>
      <c r="O55" s="15">
        <v>10600</v>
      </c>
      <c r="P55" s="15">
        <f t="shared" si="2"/>
        <v>31800000</v>
      </c>
      <c r="Q55" s="15" t="str">
        <f t="shared" si="7"/>
        <v/>
      </c>
      <c r="R55" s="18" t="s">
        <v>29</v>
      </c>
      <c r="S55" s="23">
        <v>43709</v>
      </c>
      <c r="T55" s="20">
        <f>IFERROR(VLOOKUP(S55,'Date Converter'!$A$4:$C$368,3,0),"")</f>
        <v>43737</v>
      </c>
      <c r="U55" s="21">
        <f t="shared" si="8"/>
        <v>43737</v>
      </c>
      <c r="V55" s="12" t="s">
        <v>51</v>
      </c>
      <c r="W55" s="18"/>
      <c r="X55" s="18"/>
      <c r="Y55" s="12"/>
      <c r="Z55" s="206"/>
      <c r="AA55" s="15"/>
      <c r="AB55" s="206"/>
      <c r="AC55" s="12"/>
      <c r="AD55" s="12"/>
      <c r="AE55" s="12"/>
      <c r="AF55" s="245"/>
      <c r="AG55" s="12"/>
      <c r="AH55" s="15">
        <f t="shared" si="4"/>
        <v>0</v>
      </c>
      <c r="AI55" s="22">
        <f t="shared" si="5"/>
        <v>3000</v>
      </c>
      <c r="AJ55" s="22">
        <f t="shared" si="6"/>
        <v>31800000</v>
      </c>
    </row>
    <row r="56" spans="1:37" hidden="1">
      <c r="A56" t="s">
        <v>1377</v>
      </c>
      <c r="B56" s="13">
        <v>43564</v>
      </c>
      <c r="C56" s="13" t="s">
        <v>23</v>
      </c>
      <c r="D56" s="258" t="s">
        <v>1378</v>
      </c>
      <c r="E56" s="119" t="s">
        <v>1379</v>
      </c>
      <c r="F56" t="str">
        <f t="shared" si="0"/>
        <v>CONC_24.26_80_NL2018</v>
      </c>
      <c r="G56" s="13" t="s">
        <v>40</v>
      </c>
      <c r="I56" s="12" t="s">
        <v>220</v>
      </c>
      <c r="J56" s="31" t="s">
        <v>504</v>
      </c>
      <c r="K56" s="15" t="s">
        <v>28</v>
      </c>
      <c r="M56" s="16">
        <f t="shared" si="1"/>
        <v>20</v>
      </c>
      <c r="N56" s="15">
        <v>1600</v>
      </c>
      <c r="O56" s="15">
        <v>15200</v>
      </c>
      <c r="P56" s="15">
        <f t="shared" si="2"/>
        <v>24320000</v>
      </c>
      <c r="Q56" s="15" t="str">
        <f t="shared" si="7"/>
        <v/>
      </c>
      <c r="R56" s="18" t="s">
        <v>29</v>
      </c>
      <c r="S56" s="23">
        <v>43709</v>
      </c>
      <c r="T56" s="20">
        <f>IFERROR(VLOOKUP(S56,'Date Converter'!$A$4:$C$368,3,0),"")</f>
        <v>43737</v>
      </c>
      <c r="U56" s="21">
        <f t="shared" si="8"/>
        <v>43737</v>
      </c>
      <c r="V56" s="12" t="s">
        <v>51</v>
      </c>
      <c r="AA56" s="15"/>
      <c r="AB56" s="206"/>
      <c r="AD56" s="12"/>
      <c r="AH56" s="15">
        <f t="shared" si="4"/>
        <v>0</v>
      </c>
      <c r="AI56" s="22">
        <f t="shared" si="5"/>
        <v>1600</v>
      </c>
      <c r="AJ56" s="22">
        <f t="shared" si="6"/>
        <v>24320000</v>
      </c>
    </row>
    <row r="57" spans="1:37" s="165" customFormat="1" hidden="1">
      <c r="A57" s="165" t="s">
        <v>1635</v>
      </c>
      <c r="B57" s="13">
        <v>43599</v>
      </c>
      <c r="C57" s="13" t="s">
        <v>1622</v>
      </c>
      <c r="D57" s="165" t="s">
        <v>1240</v>
      </c>
      <c r="E57" s="165" t="s">
        <v>1241</v>
      </c>
      <c r="F57" s="165" t="str">
        <f t="shared" si="0"/>
        <v>YELL_DI_12.14_400_NL2018</v>
      </c>
      <c r="G57" s="165" t="s">
        <v>1640</v>
      </c>
      <c r="H57" s="12" t="s">
        <v>1641</v>
      </c>
      <c r="I57" s="12" t="s">
        <v>113</v>
      </c>
      <c r="J57" s="14">
        <v>400</v>
      </c>
      <c r="K57" s="15" t="s">
        <v>28</v>
      </c>
      <c r="L57" s="15"/>
      <c r="M57" s="16">
        <f t="shared" si="1"/>
        <v>11</v>
      </c>
      <c r="N57" s="15">
        <v>4400</v>
      </c>
      <c r="O57" s="15">
        <v>3100</v>
      </c>
      <c r="P57" s="15">
        <f t="shared" si="2"/>
        <v>13640000</v>
      </c>
      <c r="Q57" s="15" t="str">
        <f t="shared" si="7"/>
        <v>Done</v>
      </c>
      <c r="R57" s="18" t="s">
        <v>44</v>
      </c>
      <c r="S57" s="212">
        <v>43584</v>
      </c>
      <c r="T57" s="20">
        <f>IFERROR(VLOOKUP(S57,'Date Converter'!$A$4:$C$368,3,0),"")</f>
        <v>43618</v>
      </c>
      <c r="U57" s="21">
        <f t="shared" si="8"/>
        <v>43618</v>
      </c>
      <c r="V57" s="12"/>
      <c r="W57" s="18"/>
      <c r="X57" s="18"/>
      <c r="Y57" s="18"/>
      <c r="Z57" s="210">
        <v>43624</v>
      </c>
      <c r="AA57" s="15">
        <v>4400</v>
      </c>
      <c r="AB57" s="210"/>
      <c r="AC57" s="15"/>
      <c r="AD57" s="15"/>
      <c r="AE57" s="15"/>
      <c r="AF57" s="244"/>
      <c r="AG57" s="15"/>
      <c r="AH57" s="15">
        <f t="shared" si="4"/>
        <v>4400</v>
      </c>
      <c r="AI57" s="22">
        <f t="shared" si="5"/>
        <v>0</v>
      </c>
      <c r="AJ57" s="22">
        <f t="shared" si="6"/>
        <v>0</v>
      </c>
      <c r="AK57" s="13"/>
    </row>
    <row r="58" spans="1:37" s="165" customFormat="1" hidden="1">
      <c r="A58" s="165" t="s">
        <v>1612</v>
      </c>
      <c r="B58" s="13">
        <v>43612</v>
      </c>
      <c r="C58" s="13" t="s">
        <v>23</v>
      </c>
      <c r="D58" s="165" t="s">
        <v>1617</v>
      </c>
      <c r="E58" s="13" t="s">
        <v>1241</v>
      </c>
      <c r="F58" s="165" t="str">
        <f t="shared" si="0"/>
        <v>YELL_12.14_400_NL2018</v>
      </c>
      <c r="G58" s="165" t="s">
        <v>89</v>
      </c>
      <c r="H58" s="12"/>
      <c r="I58" s="12" t="s">
        <v>113</v>
      </c>
      <c r="J58" s="31" t="s">
        <v>128</v>
      </c>
      <c r="K58" s="15" t="s">
        <v>28</v>
      </c>
      <c r="L58" s="15"/>
      <c r="M58" s="16">
        <f t="shared" si="1"/>
        <v>9</v>
      </c>
      <c r="N58" s="15">
        <v>3600</v>
      </c>
      <c r="O58" s="15">
        <v>2800</v>
      </c>
      <c r="P58" s="15">
        <f t="shared" si="2"/>
        <v>10080000</v>
      </c>
      <c r="Q58" s="15" t="str">
        <f t="shared" si="7"/>
        <v>Done</v>
      </c>
      <c r="R58" s="18" t="s">
        <v>44</v>
      </c>
      <c r="S58" s="23">
        <v>43539</v>
      </c>
      <c r="T58" s="20">
        <f>IFERROR(VLOOKUP(S58,'Date Converter'!$A$4:$C$368,3,0),"")</f>
        <v>43574</v>
      </c>
      <c r="U58" s="21">
        <f t="shared" si="8"/>
        <v>43574</v>
      </c>
      <c r="V58" s="12"/>
      <c r="W58" s="18"/>
      <c r="X58" s="18"/>
      <c r="Y58" s="12"/>
      <c r="Z58" s="206">
        <v>43612</v>
      </c>
      <c r="AA58" s="15">
        <v>3600</v>
      </c>
      <c r="AB58" s="12"/>
      <c r="AC58" s="12"/>
      <c r="AD58" s="12"/>
      <c r="AE58" s="12"/>
      <c r="AF58" s="245"/>
      <c r="AG58" s="12"/>
      <c r="AH58" s="15">
        <f t="shared" si="4"/>
        <v>3600</v>
      </c>
      <c r="AI58" s="22">
        <f t="shared" si="5"/>
        <v>0</v>
      </c>
      <c r="AJ58" s="22">
        <f t="shared" si="6"/>
        <v>0</v>
      </c>
    </row>
    <row r="59" spans="1:37" s="165" customFormat="1" hidden="1">
      <c r="A59" s="198" t="s">
        <v>1643</v>
      </c>
      <c r="B59" s="119">
        <v>43543</v>
      </c>
      <c r="C59" s="119" t="s">
        <v>1622</v>
      </c>
      <c r="D59" s="259" t="s">
        <v>1240</v>
      </c>
      <c r="E59" s="198" t="s">
        <v>1241</v>
      </c>
      <c r="F59" s="198" t="str">
        <f t="shared" si="0"/>
        <v>YELL_DI_18.20_150_NL2018</v>
      </c>
      <c r="G59" s="198" t="s">
        <v>1644</v>
      </c>
      <c r="H59" s="213" t="s">
        <v>1641</v>
      </c>
      <c r="I59" s="213" t="s">
        <v>27</v>
      </c>
      <c r="J59" s="214">
        <v>150</v>
      </c>
      <c r="K59" s="17" t="s">
        <v>28</v>
      </c>
      <c r="L59" s="17"/>
      <c r="M59" s="16">
        <f t="shared" si="1"/>
        <v>100</v>
      </c>
      <c r="N59" s="17">
        <v>15000</v>
      </c>
      <c r="O59" s="17">
        <v>6200</v>
      </c>
      <c r="P59" s="17">
        <f t="shared" si="2"/>
        <v>93000000</v>
      </c>
      <c r="Q59" s="15" t="str">
        <f t="shared" si="7"/>
        <v/>
      </c>
      <c r="R59" s="200" t="s">
        <v>29</v>
      </c>
      <c r="S59" s="215">
        <v>43709</v>
      </c>
      <c r="T59" s="20">
        <f>IFERROR(VLOOKUP(S59,'Date Converter'!$A$4:$C$368,3,0),"")</f>
        <v>43737</v>
      </c>
      <c r="U59" s="21">
        <f t="shared" si="8"/>
        <v>43737</v>
      </c>
      <c r="V59" s="216" t="s">
        <v>51</v>
      </c>
      <c r="W59" s="200"/>
      <c r="X59" s="200"/>
      <c r="Y59" s="200"/>
      <c r="Z59" s="217"/>
      <c r="AA59" s="17">
        <v>0</v>
      </c>
      <c r="AB59" s="217"/>
      <c r="AC59" s="17"/>
      <c r="AD59" s="17"/>
      <c r="AE59" s="17"/>
      <c r="AF59" s="247"/>
      <c r="AG59" s="17"/>
      <c r="AH59" s="15">
        <f t="shared" si="4"/>
        <v>0</v>
      </c>
      <c r="AI59" s="22">
        <f t="shared" si="5"/>
        <v>15000</v>
      </c>
      <c r="AJ59" s="22">
        <f t="shared" si="6"/>
        <v>93000000</v>
      </c>
      <c r="AK59" s="119">
        <v>43826</v>
      </c>
    </row>
    <row r="60" spans="1:37" hidden="1">
      <c r="A60" t="s">
        <v>1635</v>
      </c>
      <c r="B60" s="13">
        <v>43471</v>
      </c>
      <c r="C60" s="13" t="s">
        <v>1622</v>
      </c>
      <c r="D60" t="s">
        <v>1240</v>
      </c>
      <c r="E60" s="165" t="s">
        <v>1241</v>
      </c>
      <c r="F60" t="str">
        <f t="shared" si="0"/>
        <v>TEBA_12.14_400_NL2018</v>
      </c>
      <c r="G60" s="165" t="s">
        <v>127</v>
      </c>
      <c r="I60" s="12" t="s">
        <v>113</v>
      </c>
      <c r="J60" s="14">
        <v>400</v>
      </c>
      <c r="K60" s="15" t="s">
        <v>28</v>
      </c>
      <c r="M60" s="16">
        <f t="shared" si="1"/>
        <v>150</v>
      </c>
      <c r="N60" s="15">
        <v>60000</v>
      </c>
      <c r="O60" s="15">
        <v>2800</v>
      </c>
      <c r="P60" s="15">
        <f t="shared" si="2"/>
        <v>168000000</v>
      </c>
      <c r="Q60" s="15" t="str">
        <f t="shared" si="7"/>
        <v>Done</v>
      </c>
      <c r="R60" s="18" t="s">
        <v>44</v>
      </c>
      <c r="S60" s="117">
        <v>43488</v>
      </c>
      <c r="T60" s="20">
        <f>IFERROR(VLOOKUP(S60,'Date Converter'!$A$4:$C$368,3,0),"")</f>
        <v>43523</v>
      </c>
      <c r="U60" s="21">
        <f t="shared" si="8"/>
        <v>43523</v>
      </c>
      <c r="V60" s="12" t="s">
        <v>69</v>
      </c>
      <c r="Y60" s="18"/>
      <c r="Z60" s="210">
        <v>43523</v>
      </c>
      <c r="AA60" s="15">
        <v>30000</v>
      </c>
      <c r="AB60" s="210">
        <v>43529</v>
      </c>
      <c r="AC60" s="15">
        <v>30000</v>
      </c>
      <c r="AD60" s="15"/>
      <c r="AE60" s="15"/>
      <c r="AF60" s="244"/>
      <c r="AG60" s="15"/>
      <c r="AH60" s="15">
        <f t="shared" si="4"/>
        <v>60000</v>
      </c>
      <c r="AI60" s="22">
        <f t="shared" si="5"/>
        <v>0</v>
      </c>
      <c r="AJ60" s="22">
        <f t="shared" si="6"/>
        <v>0</v>
      </c>
      <c r="AK60" s="13">
        <v>43827</v>
      </c>
    </row>
    <row r="61" spans="1:37" hidden="1">
      <c r="A61" t="s">
        <v>1635</v>
      </c>
      <c r="B61" s="13">
        <v>43471</v>
      </c>
      <c r="C61" s="13" t="s">
        <v>1622</v>
      </c>
      <c r="D61" t="s">
        <v>1240</v>
      </c>
      <c r="E61" s="165" t="s">
        <v>1241</v>
      </c>
      <c r="F61" t="str">
        <f t="shared" si="0"/>
        <v>TEBA_12.14_400_NL2018</v>
      </c>
      <c r="G61" s="165" t="s">
        <v>127</v>
      </c>
      <c r="I61" s="12" t="s">
        <v>113</v>
      </c>
      <c r="J61" s="14">
        <v>400</v>
      </c>
      <c r="K61" s="15" t="s">
        <v>28</v>
      </c>
      <c r="M61" s="16">
        <f t="shared" si="1"/>
        <v>175</v>
      </c>
      <c r="N61" s="15">
        <f>60000+10000</f>
        <v>70000</v>
      </c>
      <c r="O61" s="15">
        <v>2800</v>
      </c>
      <c r="P61" s="15">
        <f t="shared" si="2"/>
        <v>196000000</v>
      </c>
      <c r="Q61" s="15" t="str">
        <f t="shared" si="7"/>
        <v>Done</v>
      </c>
      <c r="R61" s="18" t="s">
        <v>44</v>
      </c>
      <c r="S61" s="211">
        <v>43539</v>
      </c>
      <c r="T61" s="20">
        <f>IFERROR(VLOOKUP(S61,'Date Converter'!$A$4:$C$368,3,0),"")</f>
        <v>43574</v>
      </c>
      <c r="U61" s="21">
        <f t="shared" si="8"/>
        <v>43574</v>
      </c>
      <c r="V61" s="12" t="s">
        <v>57</v>
      </c>
      <c r="W61" s="18" t="s">
        <v>143</v>
      </c>
      <c r="Y61" s="18"/>
      <c r="Z61" s="210">
        <v>43575</v>
      </c>
      <c r="AA61" s="15">
        <v>4800</v>
      </c>
      <c r="AB61" s="210">
        <v>43577</v>
      </c>
      <c r="AC61" s="15">
        <f>43200+22000</f>
        <v>65200</v>
      </c>
      <c r="AD61" s="15"/>
      <c r="AE61" s="15"/>
      <c r="AF61" s="244"/>
      <c r="AG61" s="15"/>
      <c r="AH61" s="15">
        <f t="shared" si="4"/>
        <v>70000</v>
      </c>
      <c r="AI61" s="22">
        <f t="shared" si="5"/>
        <v>0</v>
      </c>
      <c r="AJ61" s="22">
        <f t="shared" si="6"/>
        <v>0</v>
      </c>
      <c r="AK61" s="13">
        <v>43827</v>
      </c>
    </row>
    <row r="62" spans="1:37" hidden="1">
      <c r="A62" t="s">
        <v>1635</v>
      </c>
      <c r="B62" s="13">
        <v>43471</v>
      </c>
      <c r="C62" s="13" t="s">
        <v>1622</v>
      </c>
      <c r="D62" t="s">
        <v>1240</v>
      </c>
      <c r="E62" s="165" t="s">
        <v>1241</v>
      </c>
      <c r="F62" s="165" t="str">
        <f t="shared" si="0"/>
        <v>TEBA_14.16_300_NL2018</v>
      </c>
      <c r="G62" s="165" t="s">
        <v>127</v>
      </c>
      <c r="I62" s="12" t="s">
        <v>47</v>
      </c>
      <c r="J62" s="14">
        <v>300</v>
      </c>
      <c r="K62" s="15" t="s">
        <v>28</v>
      </c>
      <c r="M62" s="16">
        <f t="shared" si="1"/>
        <v>167</v>
      </c>
      <c r="N62" s="15">
        <v>50100</v>
      </c>
      <c r="O62" s="15">
        <v>4100</v>
      </c>
      <c r="P62" s="15">
        <f t="shared" si="2"/>
        <v>205410000</v>
      </c>
      <c r="Q62" s="15" t="str">
        <f t="shared" si="7"/>
        <v>Done</v>
      </c>
      <c r="R62" s="18" t="s">
        <v>44</v>
      </c>
      <c r="S62" s="211">
        <v>43539</v>
      </c>
      <c r="T62" s="20">
        <f>IFERROR(VLOOKUP(S62,'Date Converter'!$A$4:$C$368,3,0),"")</f>
        <v>43574</v>
      </c>
      <c r="U62" s="21">
        <f t="shared" si="8"/>
        <v>43574</v>
      </c>
      <c r="V62" s="12" t="s">
        <v>57</v>
      </c>
      <c r="W62" s="18" t="s">
        <v>58</v>
      </c>
      <c r="Y62" s="18"/>
      <c r="Z62" s="210">
        <v>43575</v>
      </c>
      <c r="AA62" s="15">
        <f>32100+5100</f>
        <v>37200</v>
      </c>
      <c r="AB62" s="210">
        <v>43577</v>
      </c>
      <c r="AC62" s="15">
        <f>3000+5100+4800</f>
        <v>12900</v>
      </c>
      <c r="AD62" s="15"/>
      <c r="AE62" s="15"/>
      <c r="AF62" s="244"/>
      <c r="AG62" s="15"/>
      <c r="AH62" s="15">
        <f t="shared" si="4"/>
        <v>50100</v>
      </c>
      <c r="AI62" s="22">
        <f t="shared" si="5"/>
        <v>0</v>
      </c>
      <c r="AJ62" s="22">
        <f t="shared" si="6"/>
        <v>0</v>
      </c>
      <c r="AK62" s="13">
        <v>43827</v>
      </c>
    </row>
    <row r="63" spans="1:37" hidden="1">
      <c r="A63" t="s">
        <v>1635</v>
      </c>
      <c r="B63" s="13">
        <v>43544</v>
      </c>
      <c r="C63" s="13" t="s">
        <v>1622</v>
      </c>
      <c r="D63" t="s">
        <v>1240</v>
      </c>
      <c r="E63" s="165" t="s">
        <v>1241</v>
      </c>
      <c r="F63" s="165" t="str">
        <f t="shared" si="0"/>
        <v>TEBA_12.14_400_NL2018</v>
      </c>
      <c r="G63" s="165" t="s">
        <v>127</v>
      </c>
      <c r="I63" s="12" t="s">
        <v>113</v>
      </c>
      <c r="J63" s="14">
        <v>400</v>
      </c>
      <c r="K63" s="15" t="s">
        <v>28</v>
      </c>
      <c r="M63" s="16">
        <f t="shared" si="1"/>
        <v>157</v>
      </c>
      <c r="N63" s="15">
        <v>62800</v>
      </c>
      <c r="O63" s="15">
        <v>2900</v>
      </c>
      <c r="P63" s="15">
        <f t="shared" si="2"/>
        <v>182120000</v>
      </c>
      <c r="Q63" s="15" t="str">
        <f t="shared" si="7"/>
        <v/>
      </c>
      <c r="R63" s="18" t="s">
        <v>63</v>
      </c>
      <c r="S63" s="211">
        <v>43572</v>
      </c>
      <c r="T63" s="20">
        <f>IFERROR(VLOOKUP(S63,'Date Converter'!$A$4:$C$368,3,0),"")</f>
        <v>43606</v>
      </c>
      <c r="U63" s="21">
        <f t="shared" si="8"/>
        <v>43606</v>
      </c>
      <c r="V63" s="12" t="s">
        <v>1416</v>
      </c>
      <c r="Y63" s="18"/>
      <c r="Z63" s="210">
        <v>43608</v>
      </c>
      <c r="AA63" s="15">
        <v>10400</v>
      </c>
      <c r="AB63" s="210">
        <v>43614</v>
      </c>
      <c r="AC63" s="15">
        <v>7200</v>
      </c>
      <c r="AD63" s="210">
        <v>43622</v>
      </c>
      <c r="AE63" s="15">
        <f>19200+20000</f>
        <v>39200</v>
      </c>
      <c r="AF63" s="244"/>
      <c r="AG63" s="15"/>
      <c r="AH63" s="15">
        <f t="shared" si="4"/>
        <v>56800</v>
      </c>
      <c r="AI63" s="22">
        <f t="shared" si="5"/>
        <v>6000</v>
      </c>
      <c r="AJ63" s="22">
        <f t="shared" si="6"/>
        <v>17400000</v>
      </c>
      <c r="AK63" s="13">
        <v>43827</v>
      </c>
    </row>
    <row r="64" spans="1:37" hidden="1">
      <c r="A64" t="s">
        <v>1635</v>
      </c>
      <c r="B64" s="13">
        <v>43544</v>
      </c>
      <c r="C64" s="13" t="s">
        <v>1622</v>
      </c>
      <c r="D64" t="s">
        <v>1240</v>
      </c>
      <c r="E64" s="165" t="s">
        <v>1241</v>
      </c>
      <c r="F64" t="str">
        <f t="shared" si="0"/>
        <v>TEBA_14.16_300_NL2018</v>
      </c>
      <c r="G64" s="165" t="s">
        <v>127</v>
      </c>
      <c r="I64" s="12" t="s">
        <v>47</v>
      </c>
      <c r="J64" s="14">
        <v>300</v>
      </c>
      <c r="K64" s="15" t="s">
        <v>28</v>
      </c>
      <c r="M64" s="16">
        <f t="shared" si="1"/>
        <v>192</v>
      </c>
      <c r="N64" s="15">
        <v>57600</v>
      </c>
      <c r="O64" s="15">
        <v>4200</v>
      </c>
      <c r="P64" s="15">
        <f t="shared" si="2"/>
        <v>241920000</v>
      </c>
      <c r="Q64" s="15" t="str">
        <f t="shared" si="7"/>
        <v>Done</v>
      </c>
      <c r="R64" s="18" t="s">
        <v>44</v>
      </c>
      <c r="S64" s="211">
        <v>43572</v>
      </c>
      <c r="T64" s="20">
        <f>IFERROR(VLOOKUP(S64,'Date Converter'!$A$4:$C$368,3,0),"")</f>
        <v>43606</v>
      </c>
      <c r="U64" s="21">
        <f t="shared" si="8"/>
        <v>43606</v>
      </c>
      <c r="V64" s="12" t="s">
        <v>1416</v>
      </c>
      <c r="Y64" s="18"/>
      <c r="Z64" s="210">
        <v>43607</v>
      </c>
      <c r="AA64" s="15">
        <v>12900</v>
      </c>
      <c r="AB64" s="210">
        <v>43608</v>
      </c>
      <c r="AC64" s="15">
        <v>27000</v>
      </c>
      <c r="AD64" s="210">
        <v>43622</v>
      </c>
      <c r="AE64" s="15">
        <v>17700</v>
      </c>
      <c r="AF64" s="244"/>
      <c r="AG64" s="15"/>
      <c r="AH64" s="15">
        <f t="shared" si="4"/>
        <v>57600</v>
      </c>
      <c r="AI64" s="22">
        <f t="shared" si="5"/>
        <v>0</v>
      </c>
      <c r="AJ64" s="22">
        <f t="shared" si="6"/>
        <v>0</v>
      </c>
      <c r="AK64" s="13">
        <v>43827</v>
      </c>
    </row>
    <row r="65" spans="1:37" hidden="1">
      <c r="A65" t="s">
        <v>1635</v>
      </c>
      <c r="B65" s="13">
        <v>43471</v>
      </c>
      <c r="C65" s="13" t="s">
        <v>1622</v>
      </c>
      <c r="D65" t="s">
        <v>1240</v>
      </c>
      <c r="E65" s="165" t="s">
        <v>1241</v>
      </c>
      <c r="F65" t="str">
        <f t="shared" ref="F65:F126" si="9">SUBSTITUTE(LEFT(G65,4)&amp;"_"&amp;H65&amp;"_"&amp;I65&amp;"_"&amp;J65&amp;"_"&amp;K65,"__","_")</f>
        <v>TEBA_14.16_300_NL2018</v>
      </c>
      <c r="G65" s="165" t="s">
        <v>127</v>
      </c>
      <c r="I65" s="12" t="s">
        <v>47</v>
      </c>
      <c r="J65" s="14">
        <v>300</v>
      </c>
      <c r="K65" s="15" t="s">
        <v>28</v>
      </c>
      <c r="M65" s="16">
        <f t="shared" ref="M65:M126" si="10">+N65/J65</f>
        <v>151</v>
      </c>
      <c r="N65" s="15">
        <f>46200-900</f>
        <v>45300</v>
      </c>
      <c r="O65" s="15">
        <v>4200</v>
      </c>
      <c r="P65" s="15">
        <f t="shared" ref="P65:P126" si="11">+O65*N65</f>
        <v>190260000</v>
      </c>
      <c r="Q65" s="15" t="str">
        <f t="shared" si="7"/>
        <v/>
      </c>
      <c r="R65" s="18" t="s">
        <v>63</v>
      </c>
      <c r="S65" s="212">
        <v>43584</v>
      </c>
      <c r="T65" s="20">
        <f>IFERROR(VLOOKUP(S65,'Date Converter'!$A$4:$C$368,3,0),"")</f>
        <v>43618</v>
      </c>
      <c r="U65" s="21">
        <f t="shared" ref="U65:U92" si="12">+T65</f>
        <v>43618</v>
      </c>
      <c r="V65" s="20" t="s">
        <v>443</v>
      </c>
      <c r="Y65" s="18"/>
      <c r="Z65" s="210">
        <v>43624</v>
      </c>
      <c r="AA65" s="15">
        <f>32100</f>
        <v>32100</v>
      </c>
      <c r="AB65" s="210"/>
      <c r="AC65" s="15"/>
      <c r="AD65" s="15"/>
      <c r="AE65" s="15"/>
      <c r="AF65" s="244"/>
      <c r="AG65" s="15"/>
      <c r="AH65" s="15">
        <f t="shared" ref="AH65:AH126" si="13">+AA65+AC65+AE65+AG65</f>
        <v>32100</v>
      </c>
      <c r="AI65" s="22">
        <f t="shared" ref="AI65:AI126" si="14">+N65-AH65</f>
        <v>13200</v>
      </c>
      <c r="AJ65" s="22">
        <f t="shared" ref="AJ65:AJ126" si="15">+AI65*O65</f>
        <v>55440000</v>
      </c>
      <c r="AK65" s="13">
        <v>43826</v>
      </c>
    </row>
    <row r="66" spans="1:37" s="165" customFormat="1" hidden="1">
      <c r="A66" s="165" t="s">
        <v>1635</v>
      </c>
      <c r="B66" s="13">
        <v>43607</v>
      </c>
      <c r="C66" s="13" t="s">
        <v>1622</v>
      </c>
      <c r="D66" s="165" t="s">
        <v>1240</v>
      </c>
      <c r="E66" s="165" t="s">
        <v>1241</v>
      </c>
      <c r="F66" s="165" t="str">
        <f t="shared" si="9"/>
        <v>TEBA_14.16_300_NL2018</v>
      </c>
      <c r="G66" s="165" t="s">
        <v>127</v>
      </c>
      <c r="H66" s="12"/>
      <c r="I66" s="12" t="s">
        <v>47</v>
      </c>
      <c r="J66" s="14">
        <v>300</v>
      </c>
      <c r="K66" s="15" t="s">
        <v>28</v>
      </c>
      <c r="L66" s="15"/>
      <c r="M66" s="16">
        <f t="shared" si="10"/>
        <v>39</v>
      </c>
      <c r="N66" s="15">
        <v>11700</v>
      </c>
      <c r="O66" s="15">
        <v>4300</v>
      </c>
      <c r="P66" s="15">
        <f t="shared" si="11"/>
        <v>50310000</v>
      </c>
      <c r="Q66" s="15" t="str">
        <f t="shared" si="7"/>
        <v/>
      </c>
      <c r="R66" s="18" t="s">
        <v>63</v>
      </c>
      <c r="S66" s="212">
        <v>43605</v>
      </c>
      <c r="T66" s="20">
        <f>IFERROR(VLOOKUP(S66,'Date Converter'!$A$4:$C$368,3,0),"")</f>
        <v>43638</v>
      </c>
      <c r="U66" s="21">
        <f t="shared" si="12"/>
        <v>43638</v>
      </c>
      <c r="V66" s="20" t="s">
        <v>1638</v>
      </c>
      <c r="W66" s="18" t="s">
        <v>1639</v>
      </c>
      <c r="X66" s="18"/>
      <c r="Y66" s="18"/>
      <c r="Z66" s="210"/>
      <c r="AA66" s="15"/>
      <c r="AB66" s="210"/>
      <c r="AC66" s="15"/>
      <c r="AD66" s="15"/>
      <c r="AE66" s="15"/>
      <c r="AF66" s="244"/>
      <c r="AG66" s="15"/>
      <c r="AH66" s="15">
        <f t="shared" si="13"/>
        <v>0</v>
      </c>
      <c r="AI66" s="22">
        <f t="shared" si="14"/>
        <v>11700</v>
      </c>
      <c r="AJ66" s="22">
        <f t="shared" si="15"/>
        <v>50310000</v>
      </c>
      <c r="AK66" s="13"/>
    </row>
    <row r="67" spans="1:37" s="165" customFormat="1" hidden="1">
      <c r="A67" s="198" t="s">
        <v>1643</v>
      </c>
      <c r="B67" s="119">
        <v>43543</v>
      </c>
      <c r="C67" s="119" t="s">
        <v>1622</v>
      </c>
      <c r="D67" s="259" t="s">
        <v>1240</v>
      </c>
      <c r="E67" s="198" t="s">
        <v>1241</v>
      </c>
      <c r="F67" s="198" t="str">
        <f t="shared" si="9"/>
        <v>TEBA_16.18_200_NL2018</v>
      </c>
      <c r="G67" s="198" t="s">
        <v>127</v>
      </c>
      <c r="H67" s="213"/>
      <c r="I67" s="213" t="s">
        <v>35</v>
      </c>
      <c r="J67" s="214">
        <v>200</v>
      </c>
      <c r="K67" s="17" t="s">
        <v>28</v>
      </c>
      <c r="L67" s="17"/>
      <c r="M67" s="16">
        <f t="shared" si="10"/>
        <v>250</v>
      </c>
      <c r="N67" s="17">
        <v>50000</v>
      </c>
      <c r="O67" s="17">
        <v>6100</v>
      </c>
      <c r="P67" s="17">
        <f t="shared" si="11"/>
        <v>305000000</v>
      </c>
      <c r="Q67" s="15" t="str">
        <f t="shared" ref="Q67:Q130" si="16">IF(AND(N67=0,AI67=0),"Canceled",IF(AND(N67&gt;0,AI67=0),"Done",""))</f>
        <v/>
      </c>
      <c r="R67" s="200" t="s">
        <v>29</v>
      </c>
      <c r="S67" s="215">
        <v>43709</v>
      </c>
      <c r="T67" s="20">
        <f>IFERROR(VLOOKUP(S67,'Date Converter'!$A$4:$C$368,3,0),"")</f>
        <v>43737</v>
      </c>
      <c r="U67" s="21">
        <f t="shared" si="12"/>
        <v>43737</v>
      </c>
      <c r="V67" s="216" t="s">
        <v>51</v>
      </c>
      <c r="W67" s="200"/>
      <c r="X67" s="200"/>
      <c r="Y67" s="200"/>
      <c r="Z67" s="217"/>
      <c r="AA67" s="17">
        <v>0</v>
      </c>
      <c r="AB67" s="217"/>
      <c r="AC67" s="17"/>
      <c r="AD67" s="17"/>
      <c r="AE67" s="17"/>
      <c r="AF67" s="247"/>
      <c r="AG67" s="17"/>
      <c r="AH67" s="15">
        <f t="shared" si="13"/>
        <v>0</v>
      </c>
      <c r="AI67" s="22">
        <f t="shared" si="14"/>
        <v>50000</v>
      </c>
      <c r="AJ67" s="22">
        <f t="shared" si="15"/>
        <v>305000000</v>
      </c>
      <c r="AK67" s="119">
        <v>43826</v>
      </c>
    </row>
    <row r="68" spans="1:37" hidden="1">
      <c r="A68" t="s">
        <v>1635</v>
      </c>
      <c r="B68" s="13">
        <v>43471</v>
      </c>
      <c r="C68" s="13" t="s">
        <v>1622</v>
      </c>
      <c r="D68" t="s">
        <v>1240</v>
      </c>
      <c r="E68" s="165" t="s">
        <v>1241</v>
      </c>
      <c r="F68" t="str">
        <f t="shared" si="9"/>
        <v>TEBA_12.14_400_NL2018</v>
      </c>
      <c r="G68" s="165" t="s">
        <v>127</v>
      </c>
      <c r="I68" s="12" t="s">
        <v>113</v>
      </c>
      <c r="J68" s="14">
        <v>400</v>
      </c>
      <c r="K68" s="15" t="s">
        <v>28</v>
      </c>
      <c r="M68" s="16">
        <f t="shared" si="10"/>
        <v>150</v>
      </c>
      <c r="N68" s="15">
        <f>50000+10000</f>
        <v>60000</v>
      </c>
      <c r="O68" s="15">
        <v>2800</v>
      </c>
      <c r="P68" s="15">
        <f t="shared" si="11"/>
        <v>168000000</v>
      </c>
      <c r="Q68" s="15" t="str">
        <f t="shared" si="16"/>
        <v>Done</v>
      </c>
      <c r="R68" s="18" t="s">
        <v>44</v>
      </c>
      <c r="S68" s="117" t="s">
        <v>151</v>
      </c>
      <c r="T68" s="20">
        <f>IFERROR(VLOOKUP(S68,'Date Converter'!$A$4:$C$368,3,0),"")</f>
        <v>43558</v>
      </c>
      <c r="U68" s="21">
        <f t="shared" si="12"/>
        <v>43558</v>
      </c>
      <c r="V68" s="218" t="s">
        <v>81</v>
      </c>
      <c r="W68" s="18" t="s">
        <v>82</v>
      </c>
      <c r="Y68" s="18"/>
      <c r="Z68" s="210">
        <v>43557</v>
      </c>
      <c r="AA68" s="15">
        <v>60000</v>
      </c>
      <c r="AB68" s="210"/>
      <c r="AC68" s="15"/>
      <c r="AD68" s="15"/>
      <c r="AE68" s="15"/>
      <c r="AF68" s="244"/>
      <c r="AG68" s="15"/>
      <c r="AH68" s="15">
        <f t="shared" si="13"/>
        <v>60000</v>
      </c>
      <c r="AI68" s="22">
        <f t="shared" si="14"/>
        <v>0</v>
      </c>
      <c r="AJ68" s="22">
        <f t="shared" si="15"/>
        <v>0</v>
      </c>
      <c r="AK68" s="13">
        <v>43809</v>
      </c>
    </row>
    <row r="69" spans="1:37" hidden="1">
      <c r="A69" t="s">
        <v>1635</v>
      </c>
      <c r="B69" s="13">
        <v>43471</v>
      </c>
      <c r="C69" s="13" t="s">
        <v>1622</v>
      </c>
      <c r="D69" t="s">
        <v>1240</v>
      </c>
      <c r="E69" s="165" t="s">
        <v>1241</v>
      </c>
      <c r="F69" s="165" t="str">
        <f t="shared" si="9"/>
        <v>TEBA_14.16_300_NL2018</v>
      </c>
      <c r="G69" s="165" t="s">
        <v>127</v>
      </c>
      <c r="I69" s="12" t="s">
        <v>47</v>
      </c>
      <c r="J69" s="14">
        <v>300</v>
      </c>
      <c r="K69" s="15" t="s">
        <v>28</v>
      </c>
      <c r="M69" s="16">
        <f t="shared" si="10"/>
        <v>126</v>
      </c>
      <c r="N69" s="15">
        <f>39900-2100</f>
        <v>37800</v>
      </c>
      <c r="O69" s="15">
        <v>4100</v>
      </c>
      <c r="P69" s="15">
        <f t="shared" si="11"/>
        <v>154980000</v>
      </c>
      <c r="Q69" s="15" t="str">
        <f t="shared" si="16"/>
        <v>Done</v>
      </c>
      <c r="R69" s="18" t="s">
        <v>44</v>
      </c>
      <c r="S69" s="117" t="s">
        <v>151</v>
      </c>
      <c r="T69" s="20">
        <f>IFERROR(VLOOKUP(S69,'Date Converter'!$A$4:$C$368,3,0),"")</f>
        <v>43558</v>
      </c>
      <c r="U69" s="21">
        <f t="shared" si="12"/>
        <v>43558</v>
      </c>
      <c r="V69" s="218" t="s">
        <v>81</v>
      </c>
      <c r="W69" s="18" t="s">
        <v>82</v>
      </c>
      <c r="Y69" s="18"/>
      <c r="Z69" s="210">
        <v>43558</v>
      </c>
      <c r="AA69" s="15">
        <f>11100+20100</f>
        <v>31200</v>
      </c>
      <c r="AB69" s="210">
        <v>43589</v>
      </c>
      <c r="AC69" s="15">
        <v>6600</v>
      </c>
      <c r="AD69" s="15"/>
      <c r="AE69" s="15"/>
      <c r="AF69" s="244"/>
      <c r="AG69" s="15"/>
      <c r="AH69" s="15">
        <f t="shared" si="13"/>
        <v>37800</v>
      </c>
      <c r="AI69" s="22">
        <f t="shared" si="14"/>
        <v>0</v>
      </c>
      <c r="AJ69" s="22">
        <f t="shared" si="15"/>
        <v>0</v>
      </c>
      <c r="AK69" s="13">
        <v>43826</v>
      </c>
    </row>
    <row r="70" spans="1:37" s="165" customFormat="1" hidden="1">
      <c r="A70" s="165" t="s">
        <v>1635</v>
      </c>
      <c r="B70" s="13">
        <v>43471</v>
      </c>
      <c r="C70" s="13" t="s">
        <v>1622</v>
      </c>
      <c r="D70" s="165" t="s">
        <v>1240</v>
      </c>
      <c r="E70" s="165" t="s">
        <v>1241</v>
      </c>
      <c r="F70" s="165" t="str">
        <f t="shared" si="9"/>
        <v>TARR_16.18_200_NL2018</v>
      </c>
      <c r="G70" s="165" t="s">
        <v>62</v>
      </c>
      <c r="H70" s="12"/>
      <c r="I70" s="12" t="s">
        <v>35</v>
      </c>
      <c r="J70" s="14">
        <v>200</v>
      </c>
      <c r="K70" s="15" t="s">
        <v>28</v>
      </c>
      <c r="L70" s="15"/>
      <c r="M70" s="16">
        <f t="shared" si="10"/>
        <v>30</v>
      </c>
      <c r="N70" s="15">
        <v>6000</v>
      </c>
      <c r="O70" s="15">
        <v>5500</v>
      </c>
      <c r="P70" s="15">
        <f t="shared" si="11"/>
        <v>33000000</v>
      </c>
      <c r="Q70" s="15" t="str">
        <f t="shared" si="16"/>
        <v>Done</v>
      </c>
      <c r="R70" s="18" t="s">
        <v>44</v>
      </c>
      <c r="S70" s="117">
        <v>43480</v>
      </c>
      <c r="T70" s="20">
        <f>IFERROR(VLOOKUP(S70,'Date Converter'!$A$4:$C$368,3,0),"")</f>
        <v>43515</v>
      </c>
      <c r="U70" s="21">
        <f t="shared" si="12"/>
        <v>43515</v>
      </c>
      <c r="V70" s="12" t="s">
        <v>45</v>
      </c>
      <c r="W70" s="18"/>
      <c r="X70" s="18"/>
      <c r="Y70" s="18"/>
      <c r="Z70" s="210">
        <v>43515</v>
      </c>
      <c r="AA70" s="15">
        <v>6000</v>
      </c>
      <c r="AB70" s="210"/>
      <c r="AC70" s="15"/>
      <c r="AD70" s="15"/>
      <c r="AE70" s="15"/>
      <c r="AF70" s="244"/>
      <c r="AG70" s="15"/>
      <c r="AH70" s="15">
        <f t="shared" si="13"/>
        <v>6000</v>
      </c>
      <c r="AI70" s="22">
        <f t="shared" si="14"/>
        <v>0</v>
      </c>
      <c r="AJ70" s="22">
        <f t="shared" si="15"/>
        <v>0</v>
      </c>
      <c r="AK70" s="13">
        <v>43827</v>
      </c>
    </row>
    <row r="71" spans="1:37" s="165" customFormat="1" hidden="1">
      <c r="A71" s="165" t="s">
        <v>1635</v>
      </c>
      <c r="B71" s="13">
        <v>43471</v>
      </c>
      <c r="C71" s="13" t="s">
        <v>1622</v>
      </c>
      <c r="D71" s="165" t="s">
        <v>1240</v>
      </c>
      <c r="E71" s="165" t="s">
        <v>1241</v>
      </c>
      <c r="F71" s="165" t="str">
        <f t="shared" si="9"/>
        <v>TARR_14.16_300_NL2018</v>
      </c>
      <c r="G71" s="165" t="s">
        <v>62</v>
      </c>
      <c r="H71" s="12"/>
      <c r="I71" s="12" t="s">
        <v>47</v>
      </c>
      <c r="J71" s="14">
        <v>300</v>
      </c>
      <c r="K71" s="15" t="s">
        <v>28</v>
      </c>
      <c r="L71" s="15"/>
      <c r="M71" s="16">
        <f t="shared" si="10"/>
        <v>34</v>
      </c>
      <c r="N71" s="32">
        <v>10200</v>
      </c>
      <c r="O71" s="15">
        <v>4600</v>
      </c>
      <c r="P71" s="15">
        <f t="shared" si="11"/>
        <v>46920000</v>
      </c>
      <c r="Q71" s="15" t="str">
        <f t="shared" si="16"/>
        <v>Done</v>
      </c>
      <c r="R71" s="18" t="s">
        <v>44</v>
      </c>
      <c r="S71" s="211">
        <v>43539</v>
      </c>
      <c r="T71" s="20">
        <f>IFERROR(VLOOKUP(S71,'Date Converter'!$A$4:$C$368,3,0),"")</f>
        <v>43574</v>
      </c>
      <c r="U71" s="21">
        <f t="shared" si="12"/>
        <v>43574</v>
      </c>
      <c r="V71" s="12" t="s">
        <v>57</v>
      </c>
      <c r="W71" s="18" t="s">
        <v>143</v>
      </c>
      <c r="X71" s="18"/>
      <c r="Y71" s="18"/>
      <c r="Z71" s="210">
        <v>43575</v>
      </c>
      <c r="AA71" s="15">
        <v>5100</v>
      </c>
      <c r="AB71" s="210">
        <v>43589</v>
      </c>
      <c r="AC71" s="15">
        <v>5100</v>
      </c>
      <c r="AD71" s="15"/>
      <c r="AE71" s="15"/>
      <c r="AF71" s="244"/>
      <c r="AG71" s="15"/>
      <c r="AH71" s="15">
        <f t="shared" si="13"/>
        <v>10200</v>
      </c>
      <c r="AI71" s="22">
        <f t="shared" si="14"/>
        <v>0</v>
      </c>
      <c r="AJ71" s="22">
        <f t="shared" si="15"/>
        <v>0</v>
      </c>
      <c r="AK71" s="13">
        <v>43827</v>
      </c>
    </row>
    <row r="72" spans="1:37" s="165" customFormat="1" hidden="1">
      <c r="A72" s="165" t="s">
        <v>1635</v>
      </c>
      <c r="B72" s="13">
        <v>43544</v>
      </c>
      <c r="C72" s="13" t="s">
        <v>1622</v>
      </c>
      <c r="D72" s="165" t="s">
        <v>1240</v>
      </c>
      <c r="E72" s="165" t="s">
        <v>1241</v>
      </c>
      <c r="F72" s="165" t="str">
        <f t="shared" si="9"/>
        <v>TARR_14.16_300_NL2018</v>
      </c>
      <c r="G72" s="165" t="s">
        <v>62</v>
      </c>
      <c r="H72" s="12"/>
      <c r="I72" s="12" t="s">
        <v>47</v>
      </c>
      <c r="J72" s="14">
        <v>300</v>
      </c>
      <c r="K72" s="15" t="s">
        <v>28</v>
      </c>
      <c r="L72" s="15"/>
      <c r="M72" s="16">
        <f t="shared" si="10"/>
        <v>50</v>
      </c>
      <c r="N72" s="15">
        <v>15000</v>
      </c>
      <c r="O72" s="15">
        <v>4800</v>
      </c>
      <c r="P72" s="15">
        <f t="shared" si="11"/>
        <v>72000000</v>
      </c>
      <c r="Q72" s="15" t="str">
        <f t="shared" si="16"/>
        <v>Done</v>
      </c>
      <c r="R72" s="18" t="s">
        <v>44</v>
      </c>
      <c r="S72" s="211">
        <v>43572</v>
      </c>
      <c r="T72" s="20">
        <f>IFERROR(VLOOKUP(S72,'Date Converter'!$A$4:$C$368,3,0),"")</f>
        <v>43606</v>
      </c>
      <c r="U72" s="21">
        <f t="shared" si="12"/>
        <v>43606</v>
      </c>
      <c r="V72" s="12" t="s">
        <v>1416</v>
      </c>
      <c r="W72" s="18"/>
      <c r="X72" s="18"/>
      <c r="Y72" s="18"/>
      <c r="Z72" s="210">
        <v>43607</v>
      </c>
      <c r="AA72" s="15">
        <f>9000</f>
        <v>9000</v>
      </c>
      <c r="AB72" s="210">
        <v>43608</v>
      </c>
      <c r="AC72" s="15">
        <v>6000</v>
      </c>
      <c r="AD72" s="15"/>
      <c r="AE72" s="15"/>
      <c r="AF72" s="244"/>
      <c r="AG72" s="15"/>
      <c r="AH72" s="15">
        <f t="shared" si="13"/>
        <v>15000</v>
      </c>
      <c r="AI72" s="22">
        <f t="shared" si="14"/>
        <v>0</v>
      </c>
      <c r="AJ72" s="22">
        <f t="shared" si="15"/>
        <v>0</v>
      </c>
      <c r="AK72" s="13">
        <v>43827</v>
      </c>
    </row>
    <row r="73" spans="1:37" hidden="1">
      <c r="A73" t="s">
        <v>1635</v>
      </c>
      <c r="B73" s="13">
        <v>43629</v>
      </c>
      <c r="C73" s="13" t="s">
        <v>1622</v>
      </c>
      <c r="D73" t="s">
        <v>1240</v>
      </c>
      <c r="E73" s="13" t="s">
        <v>1241</v>
      </c>
      <c r="F73" s="165" t="str">
        <f t="shared" si="9"/>
        <v>TARR_14.16_300_NL2018</v>
      </c>
      <c r="G73" s="13" t="s">
        <v>62</v>
      </c>
      <c r="I73" s="12" t="s">
        <v>47</v>
      </c>
      <c r="J73" s="14">
        <v>300</v>
      </c>
      <c r="K73" s="15" t="s">
        <v>28</v>
      </c>
      <c r="M73" s="16">
        <f t="shared" si="10"/>
        <v>22</v>
      </c>
      <c r="N73" s="15">
        <v>6600</v>
      </c>
      <c r="O73" s="15">
        <v>4900</v>
      </c>
      <c r="P73" s="15">
        <f t="shared" si="11"/>
        <v>32340000</v>
      </c>
      <c r="Q73" s="15" t="str">
        <f t="shared" si="16"/>
        <v>Done</v>
      </c>
      <c r="R73" s="18" t="s">
        <v>44</v>
      </c>
      <c r="S73" s="23">
        <v>43598</v>
      </c>
      <c r="T73" s="20">
        <f>IFERROR(VLOOKUP(S73,'Date Converter'!$A$4:$C$368,3,0),"")</f>
        <v>43631</v>
      </c>
      <c r="U73" s="21">
        <f t="shared" si="12"/>
        <v>43631</v>
      </c>
      <c r="V73" s="20"/>
      <c r="Z73" s="206">
        <v>43631</v>
      </c>
      <c r="AA73" s="15">
        <v>6600</v>
      </c>
      <c r="AB73" s="206"/>
      <c r="AD73" s="206"/>
      <c r="AH73" s="15">
        <f t="shared" si="13"/>
        <v>6600</v>
      </c>
      <c r="AI73" s="22">
        <f t="shared" si="14"/>
        <v>0</v>
      </c>
      <c r="AJ73" s="22">
        <f t="shared" si="15"/>
        <v>0</v>
      </c>
      <c r="AK73" s="165"/>
    </row>
    <row r="74" spans="1:37" hidden="1">
      <c r="A74" t="s">
        <v>1635</v>
      </c>
      <c r="B74" s="13">
        <v>43471</v>
      </c>
      <c r="C74" s="13" t="s">
        <v>1622</v>
      </c>
      <c r="D74" t="s">
        <v>1240</v>
      </c>
      <c r="E74" s="165" t="s">
        <v>1241</v>
      </c>
      <c r="F74" t="str">
        <f t="shared" si="9"/>
        <v>TARR_14.16_300_NL2018</v>
      </c>
      <c r="G74" s="165" t="s">
        <v>62</v>
      </c>
      <c r="I74" s="12" t="s">
        <v>47</v>
      </c>
      <c r="J74" s="14">
        <v>300</v>
      </c>
      <c r="K74" s="15" t="s">
        <v>28</v>
      </c>
      <c r="M74" s="16">
        <f t="shared" si="10"/>
        <v>17</v>
      </c>
      <c r="N74" s="15">
        <v>5100</v>
      </c>
      <c r="O74" s="15">
        <v>4600</v>
      </c>
      <c r="P74" s="15">
        <f t="shared" si="11"/>
        <v>23460000</v>
      </c>
      <c r="Q74" s="15" t="str">
        <f t="shared" si="16"/>
        <v>Done</v>
      </c>
      <c r="R74" s="18" t="s">
        <v>44</v>
      </c>
      <c r="S74" s="117" t="s">
        <v>151</v>
      </c>
      <c r="T74" s="20">
        <f>IFERROR(VLOOKUP(S74,'Date Converter'!$A$4:$C$368,3,0),"")</f>
        <v>43558</v>
      </c>
      <c r="U74" s="21">
        <f t="shared" si="12"/>
        <v>43558</v>
      </c>
      <c r="V74" s="218" t="s">
        <v>81</v>
      </c>
      <c r="W74" s="18" t="s">
        <v>55</v>
      </c>
      <c r="Y74" s="18"/>
      <c r="Z74" s="210">
        <v>43558</v>
      </c>
      <c r="AA74" s="15">
        <v>5100</v>
      </c>
      <c r="AB74" s="210"/>
      <c r="AC74" s="15"/>
      <c r="AD74" s="15"/>
      <c r="AE74" s="15"/>
      <c r="AF74" s="244"/>
      <c r="AG74" s="15"/>
      <c r="AH74" s="15">
        <f t="shared" si="13"/>
        <v>5100</v>
      </c>
      <c r="AI74" s="22">
        <f t="shared" si="14"/>
        <v>0</v>
      </c>
      <c r="AJ74" s="22">
        <f t="shared" si="15"/>
        <v>0</v>
      </c>
      <c r="AK74" s="13">
        <v>43809</v>
      </c>
    </row>
    <row r="75" spans="1:37" hidden="1">
      <c r="A75" s="198" t="s">
        <v>1643</v>
      </c>
      <c r="B75" s="119">
        <v>43543</v>
      </c>
      <c r="C75" s="119" t="s">
        <v>1622</v>
      </c>
      <c r="D75" s="259" t="s">
        <v>1240</v>
      </c>
      <c r="E75" s="198" t="s">
        <v>1241</v>
      </c>
      <c r="F75" s="198" t="str">
        <f t="shared" si="9"/>
        <v>TARR_18.20_150_NL2018</v>
      </c>
      <c r="G75" s="198" t="s">
        <v>62</v>
      </c>
      <c r="H75" s="213"/>
      <c r="I75" s="213" t="s">
        <v>27</v>
      </c>
      <c r="J75" s="214">
        <v>150</v>
      </c>
      <c r="K75" s="17" t="s">
        <v>28</v>
      </c>
      <c r="L75" s="17"/>
      <c r="M75" s="16">
        <f t="shared" si="10"/>
        <v>187</v>
      </c>
      <c r="N75" s="17">
        <f>30000-1950</f>
        <v>28050</v>
      </c>
      <c r="O75" s="195">
        <v>8800</v>
      </c>
      <c r="P75" s="17">
        <f t="shared" si="11"/>
        <v>246840000</v>
      </c>
      <c r="Q75" s="15" t="str">
        <f t="shared" si="16"/>
        <v/>
      </c>
      <c r="R75" s="200" t="s">
        <v>29</v>
      </c>
      <c r="S75" s="215">
        <v>43709</v>
      </c>
      <c r="T75" s="20">
        <f>IFERROR(VLOOKUP(S75,'Date Converter'!$A$4:$C$368,3,0),"")</f>
        <v>43737</v>
      </c>
      <c r="U75" s="21">
        <f t="shared" si="12"/>
        <v>43737</v>
      </c>
      <c r="V75" s="216" t="s">
        <v>51</v>
      </c>
      <c r="W75" s="200"/>
      <c r="X75" s="200"/>
      <c r="Y75" s="200"/>
      <c r="Z75" s="217"/>
      <c r="AA75" s="17">
        <v>0</v>
      </c>
      <c r="AB75" s="217"/>
      <c r="AC75" s="17"/>
      <c r="AD75" s="17"/>
      <c r="AE75" s="17"/>
      <c r="AF75" s="247"/>
      <c r="AG75" s="17"/>
      <c r="AH75" s="15">
        <f t="shared" si="13"/>
        <v>0</v>
      </c>
      <c r="AI75" s="22">
        <f t="shared" si="14"/>
        <v>28050</v>
      </c>
      <c r="AJ75" s="22">
        <f t="shared" si="15"/>
        <v>246840000</v>
      </c>
      <c r="AK75" s="119">
        <v>43826</v>
      </c>
    </row>
    <row r="76" spans="1:37" hidden="1">
      <c r="A76" t="s">
        <v>1635</v>
      </c>
      <c r="B76" s="13">
        <v>43599</v>
      </c>
      <c r="C76" s="13" t="s">
        <v>1622</v>
      </c>
      <c r="D76" t="s">
        <v>1240</v>
      </c>
      <c r="E76" s="165" t="s">
        <v>1241</v>
      </c>
      <c r="F76" t="str">
        <f t="shared" si="9"/>
        <v>TAMP_12.14_400_NL2018</v>
      </c>
      <c r="G76" s="165" t="s">
        <v>1642</v>
      </c>
      <c r="I76" s="12" t="s">
        <v>113</v>
      </c>
      <c r="J76" s="14">
        <v>400</v>
      </c>
      <c r="K76" s="15" t="s">
        <v>28</v>
      </c>
      <c r="M76" s="16">
        <f t="shared" si="10"/>
        <v>8</v>
      </c>
      <c r="N76" s="15">
        <v>3200</v>
      </c>
      <c r="O76" s="15">
        <v>3000</v>
      </c>
      <c r="P76" s="15">
        <f t="shared" si="11"/>
        <v>9600000</v>
      </c>
      <c r="Q76" s="15" t="str">
        <f t="shared" si="16"/>
        <v>Done</v>
      </c>
      <c r="R76" s="18" t="s">
        <v>44</v>
      </c>
      <c r="S76" s="212">
        <v>43584</v>
      </c>
      <c r="T76" s="20">
        <f>IFERROR(VLOOKUP(S76,'Date Converter'!$A$4:$C$368,3,0),"")</f>
        <v>43618</v>
      </c>
      <c r="U76" s="21">
        <f t="shared" si="12"/>
        <v>43618</v>
      </c>
      <c r="Y76" s="18"/>
      <c r="Z76" s="210">
        <v>43624</v>
      </c>
      <c r="AA76" s="15">
        <v>3200</v>
      </c>
      <c r="AB76" s="210"/>
      <c r="AC76" s="15"/>
      <c r="AD76" s="15"/>
      <c r="AE76" s="15"/>
      <c r="AF76" s="244"/>
      <c r="AG76" s="15"/>
      <c r="AH76" s="15">
        <f t="shared" si="13"/>
        <v>3200</v>
      </c>
      <c r="AI76" s="22">
        <f t="shared" si="14"/>
        <v>0</v>
      </c>
      <c r="AJ76" s="22">
        <f t="shared" si="15"/>
        <v>0</v>
      </c>
      <c r="AK76" s="13"/>
    </row>
    <row r="77" spans="1:37" hidden="1">
      <c r="A77" t="s">
        <v>1635</v>
      </c>
      <c r="B77" s="13">
        <v>43471</v>
      </c>
      <c r="C77" s="13" t="s">
        <v>1622</v>
      </c>
      <c r="D77" t="s">
        <v>1240</v>
      </c>
      <c r="E77" s="165" t="s">
        <v>1241</v>
      </c>
      <c r="F77" t="str">
        <f t="shared" si="9"/>
        <v>SUND_12.14_400_NL2018</v>
      </c>
      <c r="G77" s="165" t="s">
        <v>1637</v>
      </c>
      <c r="I77" s="12" t="s">
        <v>113</v>
      </c>
      <c r="J77" s="14">
        <v>400</v>
      </c>
      <c r="K77" s="15" t="s">
        <v>28</v>
      </c>
      <c r="M77" s="16">
        <f t="shared" si="10"/>
        <v>2</v>
      </c>
      <c r="N77" s="15">
        <v>800</v>
      </c>
      <c r="O77" s="15">
        <v>2800</v>
      </c>
      <c r="P77" s="15">
        <f t="shared" si="11"/>
        <v>2240000</v>
      </c>
      <c r="Q77" s="15" t="str">
        <f t="shared" si="16"/>
        <v>Done</v>
      </c>
      <c r="R77" s="18" t="s">
        <v>44</v>
      </c>
      <c r="S77" s="211">
        <v>43534</v>
      </c>
      <c r="T77" s="20">
        <f>IFERROR(VLOOKUP(S77,'Date Converter'!$A$4:$C$368,3,0),"")</f>
        <v>43569</v>
      </c>
      <c r="U77" s="21">
        <f t="shared" si="12"/>
        <v>43569</v>
      </c>
      <c r="V77" s="12" t="s">
        <v>57</v>
      </c>
      <c r="W77" s="18" t="s">
        <v>132</v>
      </c>
      <c r="Y77" s="18"/>
      <c r="Z77" s="210"/>
      <c r="AA77" s="15">
        <v>800</v>
      </c>
      <c r="AB77" s="210"/>
      <c r="AC77" s="15"/>
      <c r="AD77" s="15"/>
      <c r="AE77" s="15"/>
      <c r="AF77" s="244"/>
      <c r="AG77" s="15"/>
      <c r="AH77" s="15">
        <f t="shared" si="13"/>
        <v>800</v>
      </c>
      <c r="AI77" s="22">
        <f t="shared" si="14"/>
        <v>0</v>
      </c>
      <c r="AJ77" s="22">
        <f t="shared" si="15"/>
        <v>0</v>
      </c>
      <c r="AK77" s="13">
        <v>43827</v>
      </c>
    </row>
    <row r="78" spans="1:37" hidden="1">
      <c r="A78" t="s">
        <v>1635</v>
      </c>
      <c r="B78" s="13">
        <v>43471</v>
      </c>
      <c r="C78" s="13" t="s">
        <v>1622</v>
      </c>
      <c r="D78" t="s">
        <v>1240</v>
      </c>
      <c r="E78" s="165" t="s">
        <v>1241</v>
      </c>
      <c r="F78" t="str">
        <f t="shared" si="9"/>
        <v>SHAD_14.16_300_NL2018</v>
      </c>
      <c r="G78" s="165" t="s">
        <v>1636</v>
      </c>
      <c r="I78" s="12" t="s">
        <v>47</v>
      </c>
      <c r="J78" s="14">
        <v>300</v>
      </c>
      <c r="K78" s="15" t="s">
        <v>28</v>
      </c>
      <c r="M78" s="16">
        <f t="shared" si="10"/>
        <v>5</v>
      </c>
      <c r="N78" s="15">
        <v>1500</v>
      </c>
      <c r="O78" s="15">
        <v>4000</v>
      </c>
      <c r="P78" s="15">
        <f t="shared" si="11"/>
        <v>6000000</v>
      </c>
      <c r="Q78" s="15" t="str">
        <f t="shared" si="16"/>
        <v>Done</v>
      </c>
      <c r="R78" s="18" t="s">
        <v>44</v>
      </c>
      <c r="S78" s="117">
        <v>43511</v>
      </c>
      <c r="T78" s="20">
        <f>IFERROR(VLOOKUP(S78,'Date Converter'!$A$4:$C$368,3,0),"")</f>
        <v>43544</v>
      </c>
      <c r="U78" s="21">
        <f t="shared" si="12"/>
        <v>43544</v>
      </c>
      <c r="V78" s="12" t="s">
        <v>32</v>
      </c>
      <c r="W78" s="18" t="s">
        <v>39</v>
      </c>
      <c r="Y78" s="18"/>
      <c r="Z78" s="210">
        <v>43544</v>
      </c>
      <c r="AA78" s="15">
        <v>1500</v>
      </c>
      <c r="AB78" s="210"/>
      <c r="AC78" s="15"/>
      <c r="AD78" s="15"/>
      <c r="AE78" s="15"/>
      <c r="AF78" s="244"/>
      <c r="AG78" s="15"/>
      <c r="AH78" s="15">
        <f t="shared" si="13"/>
        <v>1500</v>
      </c>
      <c r="AI78" s="22">
        <f t="shared" si="14"/>
        <v>0</v>
      </c>
      <c r="AJ78" s="22">
        <f t="shared" si="15"/>
        <v>0</v>
      </c>
      <c r="AK78" s="13">
        <v>43827</v>
      </c>
    </row>
    <row r="79" spans="1:37" hidden="1">
      <c r="A79" t="s">
        <v>1635</v>
      </c>
      <c r="B79" s="13">
        <v>43471</v>
      </c>
      <c r="C79" s="13" t="s">
        <v>1622</v>
      </c>
      <c r="D79" t="s">
        <v>1240</v>
      </c>
      <c r="E79" s="165" t="s">
        <v>1241</v>
      </c>
      <c r="F79" t="str">
        <f t="shared" si="9"/>
        <v>SENS_16.18_200_NL2018</v>
      </c>
      <c r="G79" s="165" t="s">
        <v>80</v>
      </c>
      <c r="I79" s="12" t="s">
        <v>35</v>
      </c>
      <c r="J79" s="14">
        <v>200</v>
      </c>
      <c r="K79" s="15" t="s">
        <v>28</v>
      </c>
      <c r="M79" s="16">
        <f t="shared" si="10"/>
        <v>50</v>
      </c>
      <c r="N79" s="15">
        <v>10000</v>
      </c>
      <c r="O79" s="15">
        <v>5500</v>
      </c>
      <c r="P79" s="15">
        <f t="shared" si="11"/>
        <v>55000000</v>
      </c>
      <c r="Q79" s="15" t="str">
        <f t="shared" si="16"/>
        <v>Done</v>
      </c>
      <c r="R79" s="18" t="s">
        <v>44</v>
      </c>
      <c r="S79" s="117">
        <v>43488</v>
      </c>
      <c r="T79" s="20">
        <f>IFERROR(VLOOKUP(S79,'Date Converter'!$A$4:$C$368,3,0),"")</f>
        <v>43523</v>
      </c>
      <c r="U79" s="21">
        <f t="shared" si="12"/>
        <v>43523</v>
      </c>
      <c r="V79" s="12" t="s">
        <v>69</v>
      </c>
      <c r="Y79" s="18"/>
      <c r="Z79" s="210">
        <v>43523</v>
      </c>
      <c r="AA79" s="15">
        <v>10000</v>
      </c>
      <c r="AB79" s="210"/>
      <c r="AC79" s="15"/>
      <c r="AD79" s="15"/>
      <c r="AE79" s="15"/>
      <c r="AF79" s="244"/>
      <c r="AG79" s="15"/>
      <c r="AH79" s="15">
        <f t="shared" si="13"/>
        <v>10000</v>
      </c>
      <c r="AI79" s="22">
        <f t="shared" si="14"/>
        <v>0</v>
      </c>
      <c r="AJ79" s="22">
        <f t="shared" si="15"/>
        <v>0</v>
      </c>
      <c r="AK79" s="13">
        <v>43809</v>
      </c>
    </row>
    <row r="80" spans="1:37" hidden="1">
      <c r="A80" s="198" t="s">
        <v>1643</v>
      </c>
      <c r="B80" s="119">
        <v>43543</v>
      </c>
      <c r="C80" s="119" t="s">
        <v>1622</v>
      </c>
      <c r="D80" s="259" t="s">
        <v>1240</v>
      </c>
      <c r="E80" s="198" t="s">
        <v>1241</v>
      </c>
      <c r="F80" s="198" t="str">
        <f t="shared" si="9"/>
        <v>ROBI_18.20_150_NL2018</v>
      </c>
      <c r="G80" s="198" t="s">
        <v>61</v>
      </c>
      <c r="H80" s="213"/>
      <c r="I80" s="213" t="s">
        <v>27</v>
      </c>
      <c r="J80" s="214">
        <v>150</v>
      </c>
      <c r="K80" s="17" t="s">
        <v>28</v>
      </c>
      <c r="L80" s="17"/>
      <c r="M80" s="16">
        <f t="shared" si="10"/>
        <v>187</v>
      </c>
      <c r="N80" s="17">
        <v>28050</v>
      </c>
      <c r="O80" s="17">
        <v>7500</v>
      </c>
      <c r="P80" s="17">
        <f t="shared" si="11"/>
        <v>210375000</v>
      </c>
      <c r="Q80" s="15" t="str">
        <f t="shared" si="16"/>
        <v/>
      </c>
      <c r="R80" s="200" t="s">
        <v>29</v>
      </c>
      <c r="S80" s="215">
        <v>43709</v>
      </c>
      <c r="T80" s="20">
        <f>IFERROR(VLOOKUP(S80,'Date Converter'!$A$4:$C$368,3,0),"")</f>
        <v>43737</v>
      </c>
      <c r="U80" s="21">
        <f t="shared" si="12"/>
        <v>43737</v>
      </c>
      <c r="V80" s="216" t="s">
        <v>51</v>
      </c>
      <c r="W80" s="200"/>
      <c r="X80" s="200"/>
      <c r="Y80" s="200"/>
      <c r="Z80" s="217"/>
      <c r="AA80" s="17">
        <v>0</v>
      </c>
      <c r="AB80" s="217"/>
      <c r="AC80" s="17"/>
      <c r="AD80" s="17"/>
      <c r="AE80" s="17"/>
      <c r="AF80" s="247"/>
      <c r="AG80" s="17"/>
      <c r="AH80" s="15">
        <f t="shared" si="13"/>
        <v>0</v>
      </c>
      <c r="AI80" s="22">
        <f t="shared" si="14"/>
        <v>28050</v>
      </c>
      <c r="AJ80" s="22">
        <f t="shared" si="15"/>
        <v>210375000</v>
      </c>
      <c r="AK80" s="119">
        <v>43826</v>
      </c>
    </row>
    <row r="81" spans="1:37" hidden="1">
      <c r="A81" s="198" t="s">
        <v>1643</v>
      </c>
      <c r="B81" s="119">
        <v>43543</v>
      </c>
      <c r="C81" s="119" t="s">
        <v>1622</v>
      </c>
      <c r="D81" s="259" t="s">
        <v>1240</v>
      </c>
      <c r="E81" s="198" t="s">
        <v>1241</v>
      </c>
      <c r="F81" s="198" t="str">
        <f t="shared" si="9"/>
        <v>ROBI_20.22_125_NL2018</v>
      </c>
      <c r="G81" s="198" t="s">
        <v>61</v>
      </c>
      <c r="H81" s="213"/>
      <c r="I81" s="213" t="s">
        <v>74</v>
      </c>
      <c r="J81" s="214">
        <v>125</v>
      </c>
      <c r="K81" s="17" t="s">
        <v>28</v>
      </c>
      <c r="L81" s="17"/>
      <c r="M81" s="16">
        <f t="shared" si="10"/>
        <v>408</v>
      </c>
      <c r="N81" s="17">
        <v>51000</v>
      </c>
      <c r="O81" s="17">
        <v>10500</v>
      </c>
      <c r="P81" s="17">
        <f t="shared" si="11"/>
        <v>535500000</v>
      </c>
      <c r="Q81" s="15" t="str">
        <f t="shared" si="16"/>
        <v/>
      </c>
      <c r="R81" s="200" t="s">
        <v>29</v>
      </c>
      <c r="S81" s="215">
        <v>43709</v>
      </c>
      <c r="T81" s="20">
        <f>IFERROR(VLOOKUP(S81,'Date Converter'!$A$4:$C$368,3,0),"")</f>
        <v>43737</v>
      </c>
      <c r="U81" s="21">
        <f t="shared" si="12"/>
        <v>43737</v>
      </c>
      <c r="V81" s="216" t="s">
        <v>51</v>
      </c>
      <c r="W81" s="200"/>
      <c r="X81" s="200"/>
      <c r="Y81" s="200"/>
      <c r="Z81" s="217"/>
      <c r="AA81" s="17">
        <v>0</v>
      </c>
      <c r="AB81" s="217"/>
      <c r="AC81" s="17"/>
      <c r="AD81" s="17"/>
      <c r="AE81" s="17"/>
      <c r="AF81" s="247"/>
      <c r="AG81" s="17"/>
      <c r="AH81" s="15">
        <f t="shared" si="13"/>
        <v>0</v>
      </c>
      <c r="AI81" s="22">
        <f t="shared" si="14"/>
        <v>51000</v>
      </c>
      <c r="AJ81" s="22">
        <f t="shared" si="15"/>
        <v>535500000</v>
      </c>
      <c r="AK81" s="119">
        <v>43826</v>
      </c>
    </row>
    <row r="82" spans="1:37" hidden="1">
      <c r="A82" s="198" t="s">
        <v>1643</v>
      </c>
      <c r="B82" s="119">
        <v>43599</v>
      </c>
      <c r="C82" s="119" t="s">
        <v>1622</v>
      </c>
      <c r="D82" s="259" t="s">
        <v>1240</v>
      </c>
      <c r="E82" s="198" t="s">
        <v>1241</v>
      </c>
      <c r="F82" s="198" t="str">
        <f t="shared" si="9"/>
        <v>ROBI_18.20_150_NL2018</v>
      </c>
      <c r="G82" s="198" t="s">
        <v>61</v>
      </c>
      <c r="H82" s="213"/>
      <c r="I82" s="213" t="s">
        <v>27</v>
      </c>
      <c r="J82" s="214">
        <v>150</v>
      </c>
      <c r="K82" s="17" t="s">
        <v>28</v>
      </c>
      <c r="L82" s="17"/>
      <c r="M82" s="16">
        <f t="shared" si="10"/>
        <v>40</v>
      </c>
      <c r="N82" s="17">
        <v>6000</v>
      </c>
      <c r="O82" s="17">
        <v>8500</v>
      </c>
      <c r="P82" s="17">
        <f t="shared" si="11"/>
        <v>51000000</v>
      </c>
      <c r="Q82" s="15" t="str">
        <f t="shared" si="16"/>
        <v/>
      </c>
      <c r="R82" s="200" t="s">
        <v>29</v>
      </c>
      <c r="S82" s="215">
        <v>43709</v>
      </c>
      <c r="T82" s="20">
        <f>IFERROR(VLOOKUP(S82,'Date Converter'!$A$4:$C$368,3,0),"")</f>
        <v>43737</v>
      </c>
      <c r="U82" s="21">
        <f t="shared" si="12"/>
        <v>43737</v>
      </c>
      <c r="V82" s="216" t="s">
        <v>51</v>
      </c>
      <c r="W82" s="200"/>
      <c r="X82" s="200"/>
      <c r="Y82" s="200"/>
      <c r="Z82" s="217"/>
      <c r="AA82" s="17"/>
      <c r="AB82" s="217"/>
      <c r="AC82" s="17"/>
      <c r="AD82" s="17"/>
      <c r="AE82" s="17"/>
      <c r="AF82" s="247"/>
      <c r="AG82" s="17"/>
      <c r="AH82" s="15">
        <f t="shared" si="13"/>
        <v>0</v>
      </c>
      <c r="AI82" s="22">
        <f t="shared" si="14"/>
        <v>6000</v>
      </c>
      <c r="AJ82" s="22">
        <f t="shared" si="15"/>
        <v>51000000</v>
      </c>
      <c r="AK82" s="119"/>
    </row>
    <row r="83" spans="1:37" hidden="1">
      <c r="A83" t="s">
        <v>1635</v>
      </c>
      <c r="B83" s="13">
        <v>43544</v>
      </c>
      <c r="C83" s="13" t="s">
        <v>1622</v>
      </c>
      <c r="D83" t="s">
        <v>1240</v>
      </c>
      <c r="E83" s="165" t="s">
        <v>1241</v>
      </c>
      <c r="F83" t="str">
        <f t="shared" si="9"/>
        <v>PROF_14.16_300_NL2018</v>
      </c>
      <c r="G83" s="165" t="s">
        <v>56</v>
      </c>
      <c r="I83" s="12" t="s">
        <v>47</v>
      </c>
      <c r="J83" s="14">
        <v>300</v>
      </c>
      <c r="K83" s="15" t="s">
        <v>28</v>
      </c>
      <c r="M83" s="16">
        <f t="shared" si="10"/>
        <v>0</v>
      </c>
      <c r="N83" s="15">
        <f>7000+2600-9600</f>
        <v>0</v>
      </c>
      <c r="O83" s="15">
        <v>5000</v>
      </c>
      <c r="P83" s="15">
        <f t="shared" si="11"/>
        <v>0</v>
      </c>
      <c r="Q83" s="15" t="str">
        <f t="shared" si="16"/>
        <v>Canceled</v>
      </c>
      <c r="R83" s="18" t="s">
        <v>71</v>
      </c>
      <c r="S83" s="211">
        <v>43539</v>
      </c>
      <c r="T83" s="20">
        <f>IFERROR(VLOOKUP(S83,'Date Converter'!$A$4:$C$368,3,0),"")</f>
        <v>43574</v>
      </c>
      <c r="U83" s="21">
        <f t="shared" si="12"/>
        <v>43574</v>
      </c>
      <c r="V83" s="12" t="s">
        <v>57</v>
      </c>
      <c r="W83" s="18" t="s">
        <v>58</v>
      </c>
      <c r="Y83" s="18"/>
      <c r="Z83" s="210"/>
      <c r="AA83" s="15"/>
      <c r="AB83" s="210"/>
      <c r="AC83" s="15"/>
      <c r="AD83" s="15"/>
      <c r="AE83" s="15"/>
      <c r="AF83" s="244"/>
      <c r="AG83" s="15"/>
      <c r="AH83" s="15">
        <f t="shared" si="13"/>
        <v>0</v>
      </c>
      <c r="AI83" s="22">
        <f t="shared" si="14"/>
        <v>0</v>
      </c>
      <c r="AJ83" s="22">
        <f t="shared" si="15"/>
        <v>0</v>
      </c>
      <c r="AK83" s="13"/>
    </row>
    <row r="84" spans="1:37" hidden="1">
      <c r="A84" t="s">
        <v>1635</v>
      </c>
      <c r="B84" s="13">
        <v>43544</v>
      </c>
      <c r="C84" s="13" t="s">
        <v>1622</v>
      </c>
      <c r="D84" t="s">
        <v>1240</v>
      </c>
      <c r="E84" s="165" t="s">
        <v>1241</v>
      </c>
      <c r="F84" t="str">
        <f t="shared" si="9"/>
        <v>PROF_16.18_200_NL2018</v>
      </c>
      <c r="G84" s="165" t="s">
        <v>56</v>
      </c>
      <c r="I84" s="12" t="s">
        <v>35</v>
      </c>
      <c r="J84" s="14">
        <v>200</v>
      </c>
      <c r="K84" s="15" t="s">
        <v>28</v>
      </c>
      <c r="M84" s="16">
        <f t="shared" si="10"/>
        <v>0</v>
      </c>
      <c r="N84" s="15">
        <f>5000-5000</f>
        <v>0</v>
      </c>
      <c r="O84" s="15">
        <v>6700</v>
      </c>
      <c r="P84" s="15">
        <f t="shared" si="11"/>
        <v>0</v>
      </c>
      <c r="Q84" s="15" t="str">
        <f t="shared" si="16"/>
        <v>Canceled</v>
      </c>
      <c r="R84" s="18" t="s">
        <v>71</v>
      </c>
      <c r="S84" s="211">
        <v>43539</v>
      </c>
      <c r="T84" s="20">
        <f>IFERROR(VLOOKUP(S84,'Date Converter'!$A$4:$C$368,3,0),"")</f>
        <v>43574</v>
      </c>
      <c r="U84" s="21">
        <f t="shared" si="12"/>
        <v>43574</v>
      </c>
      <c r="V84" s="12" t="s">
        <v>57</v>
      </c>
      <c r="W84" s="18" t="s">
        <v>58</v>
      </c>
      <c r="Y84" s="18"/>
      <c r="Z84" s="210"/>
      <c r="AA84" s="15"/>
      <c r="AB84" s="210"/>
      <c r="AC84" s="15"/>
      <c r="AD84" s="15"/>
      <c r="AE84" s="15"/>
      <c r="AF84" s="244"/>
      <c r="AG84" s="15"/>
      <c r="AH84" s="15">
        <f t="shared" si="13"/>
        <v>0</v>
      </c>
      <c r="AI84" s="22">
        <f t="shared" si="14"/>
        <v>0</v>
      </c>
      <c r="AJ84" s="22">
        <f t="shared" si="15"/>
        <v>0</v>
      </c>
      <c r="AK84" s="13"/>
    </row>
    <row r="85" spans="1:37" hidden="1">
      <c r="A85" s="198" t="s">
        <v>1643</v>
      </c>
      <c r="B85" s="119">
        <v>43543</v>
      </c>
      <c r="C85" s="119" t="s">
        <v>1622</v>
      </c>
      <c r="D85" s="198" t="s">
        <v>1240</v>
      </c>
      <c r="E85" s="198" t="s">
        <v>1241</v>
      </c>
      <c r="F85" s="198" t="str">
        <f t="shared" si="9"/>
        <v>PROF_20.22_125_NL2018</v>
      </c>
      <c r="G85" s="198" t="s">
        <v>56</v>
      </c>
      <c r="H85" s="213"/>
      <c r="I85" s="213" t="s">
        <v>74</v>
      </c>
      <c r="J85" s="214">
        <v>125</v>
      </c>
      <c r="K85" s="17" t="s">
        <v>28</v>
      </c>
      <c r="L85" s="17"/>
      <c r="M85" s="16">
        <f t="shared" si="10"/>
        <v>0</v>
      </c>
      <c r="N85" s="17">
        <f>10000-10000</f>
        <v>0</v>
      </c>
      <c r="O85" s="17">
        <v>13000</v>
      </c>
      <c r="P85" s="17">
        <f t="shared" si="11"/>
        <v>0</v>
      </c>
      <c r="Q85" s="15" t="str">
        <f t="shared" si="16"/>
        <v>Canceled</v>
      </c>
      <c r="R85" s="200" t="s">
        <v>71</v>
      </c>
      <c r="S85" s="215">
        <v>43709</v>
      </c>
      <c r="T85" s="20">
        <f>IFERROR(VLOOKUP(S85,'Date Converter'!$A$4:$C$368,3,0),"")</f>
        <v>43737</v>
      </c>
      <c r="U85" s="21">
        <f t="shared" si="12"/>
        <v>43737</v>
      </c>
      <c r="V85" s="216" t="s">
        <v>51</v>
      </c>
      <c r="W85" s="200"/>
      <c r="X85" s="200"/>
      <c r="Y85" s="200"/>
      <c r="Z85" s="217"/>
      <c r="AA85" s="17">
        <v>0</v>
      </c>
      <c r="AB85" s="217"/>
      <c r="AC85" s="17"/>
      <c r="AD85" s="17"/>
      <c r="AE85" s="17"/>
      <c r="AF85" s="247"/>
      <c r="AG85" s="17"/>
      <c r="AH85" s="15">
        <f t="shared" si="13"/>
        <v>0</v>
      </c>
      <c r="AI85" s="22">
        <f t="shared" si="14"/>
        <v>0</v>
      </c>
      <c r="AJ85" s="22">
        <f t="shared" si="15"/>
        <v>0</v>
      </c>
      <c r="AK85" s="119">
        <v>43826</v>
      </c>
    </row>
    <row r="86" spans="1:37" hidden="1">
      <c r="A86" t="s">
        <v>1635</v>
      </c>
      <c r="B86" s="13">
        <v>43471</v>
      </c>
      <c r="C86" s="13" t="s">
        <v>1622</v>
      </c>
      <c r="D86" t="s">
        <v>1240</v>
      </c>
      <c r="E86" s="165" t="s">
        <v>1241</v>
      </c>
      <c r="F86" t="str">
        <f t="shared" si="9"/>
        <v>PROF_14.16_300_NL2018</v>
      </c>
      <c r="G86" s="165" t="s">
        <v>56</v>
      </c>
      <c r="I86" s="12" t="s">
        <v>47</v>
      </c>
      <c r="J86" s="14">
        <v>300</v>
      </c>
      <c r="K86" s="15" t="s">
        <v>28</v>
      </c>
      <c r="M86" s="16">
        <f t="shared" si="10"/>
        <v>57</v>
      </c>
      <c r="N86" s="15">
        <v>17100</v>
      </c>
      <c r="O86" s="15">
        <v>4800</v>
      </c>
      <c r="P86" s="15">
        <f t="shared" si="11"/>
        <v>82080000</v>
      </c>
      <c r="Q86" s="15" t="str">
        <f t="shared" si="16"/>
        <v>Done</v>
      </c>
      <c r="R86" s="18" t="s">
        <v>44</v>
      </c>
      <c r="S86" s="117" t="s">
        <v>151</v>
      </c>
      <c r="T86" s="20">
        <f>IFERROR(VLOOKUP(S86,'Date Converter'!$A$4:$C$368,3,0),"")</f>
        <v>43558</v>
      </c>
      <c r="U86" s="21">
        <f t="shared" si="12"/>
        <v>43558</v>
      </c>
      <c r="V86" s="218" t="s">
        <v>81</v>
      </c>
      <c r="W86" s="18" t="s">
        <v>82</v>
      </c>
      <c r="Y86" s="18"/>
      <c r="Z86" s="210"/>
      <c r="AA86" s="15">
        <v>17100</v>
      </c>
      <c r="AB86" s="210"/>
      <c r="AC86" s="15"/>
      <c r="AD86" s="15"/>
      <c r="AE86" s="15"/>
      <c r="AF86" s="244"/>
      <c r="AG86" s="15"/>
      <c r="AH86" s="15">
        <f t="shared" si="13"/>
        <v>17100</v>
      </c>
      <c r="AI86" s="22">
        <f t="shared" si="14"/>
        <v>0</v>
      </c>
      <c r="AJ86" s="22">
        <f t="shared" si="15"/>
        <v>0</v>
      </c>
      <c r="AK86" s="13">
        <v>43809</v>
      </c>
    </row>
    <row r="87" spans="1:37" hidden="1">
      <c r="A87" t="s">
        <v>1635</v>
      </c>
      <c r="B87" s="13">
        <v>43544</v>
      </c>
      <c r="C87" s="13" t="s">
        <v>1622</v>
      </c>
      <c r="D87" t="s">
        <v>1240</v>
      </c>
      <c r="E87" s="165" t="s">
        <v>1241</v>
      </c>
      <c r="F87" t="str">
        <f t="shared" si="9"/>
        <v>PROF_16.18_200_NL2018</v>
      </c>
      <c r="G87" s="165" t="s">
        <v>56</v>
      </c>
      <c r="I87" s="12" t="s">
        <v>35</v>
      </c>
      <c r="J87" s="14">
        <v>200</v>
      </c>
      <c r="K87" s="15" t="s">
        <v>28</v>
      </c>
      <c r="M87" s="16">
        <f t="shared" si="10"/>
        <v>0</v>
      </c>
      <c r="N87" s="15">
        <f>2000-2000</f>
        <v>0</v>
      </c>
      <c r="O87" s="15">
        <v>6700</v>
      </c>
      <c r="P87" s="15">
        <f t="shared" si="11"/>
        <v>0</v>
      </c>
      <c r="Q87" s="15" t="str">
        <f t="shared" si="16"/>
        <v>Canceled</v>
      </c>
      <c r="R87" s="18" t="s">
        <v>71</v>
      </c>
      <c r="S87" s="117" t="s">
        <v>151</v>
      </c>
      <c r="T87" s="20">
        <f>IFERROR(VLOOKUP(S87,'Date Converter'!$A$4:$C$368,3,0),"")</f>
        <v>43558</v>
      </c>
      <c r="U87" s="21">
        <f t="shared" si="12"/>
        <v>43558</v>
      </c>
      <c r="V87" s="218" t="s">
        <v>81</v>
      </c>
      <c r="Y87" s="18"/>
      <c r="Z87" s="210"/>
      <c r="AA87" s="15"/>
      <c r="AB87" s="210"/>
      <c r="AC87" s="15"/>
      <c r="AD87" s="15"/>
      <c r="AE87" s="15"/>
      <c r="AF87" s="244"/>
      <c r="AG87" s="15"/>
      <c r="AH87" s="15">
        <f t="shared" si="13"/>
        <v>0</v>
      </c>
      <c r="AI87" s="22">
        <f t="shared" si="14"/>
        <v>0</v>
      </c>
      <c r="AJ87" s="22">
        <f t="shared" si="15"/>
        <v>0</v>
      </c>
      <c r="AK87" s="13"/>
    </row>
    <row r="88" spans="1:37" hidden="1">
      <c r="A88" s="165" t="s">
        <v>1635</v>
      </c>
      <c r="B88" s="13">
        <v>43471</v>
      </c>
      <c r="C88" s="13" t="s">
        <v>1622</v>
      </c>
      <c r="D88" t="s">
        <v>1240</v>
      </c>
      <c r="E88" s="165" t="s">
        <v>1241</v>
      </c>
      <c r="F88" t="str">
        <f t="shared" si="9"/>
        <v>PAVI_12.14_400_NL2018</v>
      </c>
      <c r="G88" s="165" t="s">
        <v>138</v>
      </c>
      <c r="I88" s="12" t="s">
        <v>113</v>
      </c>
      <c r="J88" s="14">
        <v>400</v>
      </c>
      <c r="K88" s="15" t="s">
        <v>28</v>
      </c>
      <c r="M88" s="16">
        <f t="shared" si="10"/>
        <v>28</v>
      </c>
      <c r="N88" s="15">
        <v>11200</v>
      </c>
      <c r="O88" s="15">
        <v>2800</v>
      </c>
      <c r="P88" s="15">
        <f t="shared" si="11"/>
        <v>31360000</v>
      </c>
      <c r="Q88" s="15" t="str">
        <f t="shared" si="16"/>
        <v>Done</v>
      </c>
      <c r="R88" s="18" t="s">
        <v>44</v>
      </c>
      <c r="S88" s="117">
        <v>43511</v>
      </c>
      <c r="T88" s="20">
        <f>IFERROR(VLOOKUP(S88,'Date Converter'!$A$4:$C$368,3,0),"")</f>
        <v>43544</v>
      </c>
      <c r="U88" s="21">
        <f t="shared" si="12"/>
        <v>43544</v>
      </c>
      <c r="V88" s="12" t="s">
        <v>32</v>
      </c>
      <c r="W88" s="18" t="s">
        <v>39</v>
      </c>
      <c r="Y88" s="18"/>
      <c r="Z88" s="210"/>
      <c r="AA88" s="15">
        <v>11200</v>
      </c>
      <c r="AB88" s="210"/>
      <c r="AC88" s="15"/>
      <c r="AD88" s="15"/>
      <c r="AE88" s="15"/>
      <c r="AF88" s="244"/>
      <c r="AG88" s="15"/>
      <c r="AH88" s="15">
        <f t="shared" si="13"/>
        <v>11200</v>
      </c>
      <c r="AI88" s="22">
        <f t="shared" si="14"/>
        <v>0</v>
      </c>
      <c r="AJ88" s="22">
        <f t="shared" si="15"/>
        <v>0</v>
      </c>
      <c r="AK88" s="13">
        <v>43827</v>
      </c>
    </row>
    <row r="89" spans="1:37" hidden="1">
      <c r="A89" s="165" t="s">
        <v>1635</v>
      </c>
      <c r="B89" s="13">
        <v>43617</v>
      </c>
      <c r="C89" s="13" t="s">
        <v>1622</v>
      </c>
      <c r="D89" t="s">
        <v>1240</v>
      </c>
      <c r="E89" s="165" t="s">
        <v>1241</v>
      </c>
      <c r="F89" t="str">
        <f t="shared" si="9"/>
        <v>PAVI_12.14_400_NL2018</v>
      </c>
      <c r="G89" s="225" t="s">
        <v>138</v>
      </c>
      <c r="I89" s="12" t="s">
        <v>113</v>
      </c>
      <c r="J89" s="14">
        <v>400</v>
      </c>
      <c r="K89" s="15" t="s">
        <v>28</v>
      </c>
      <c r="M89" s="16">
        <f t="shared" si="10"/>
        <v>0</v>
      </c>
      <c r="N89" s="15">
        <f>6000-6000</f>
        <v>0</v>
      </c>
      <c r="O89" s="15">
        <v>2900</v>
      </c>
      <c r="P89" s="15">
        <f t="shared" si="11"/>
        <v>0</v>
      </c>
      <c r="Q89" s="15" t="str">
        <f t="shared" si="16"/>
        <v>Canceled</v>
      </c>
      <c r="R89" s="18" t="s">
        <v>71</v>
      </c>
      <c r="S89" s="212">
        <v>43584</v>
      </c>
      <c r="T89" s="20">
        <f>IFERROR(VLOOKUP(S89,'Date Converter'!$A$4:$C$368,3,0),"")</f>
        <v>43618</v>
      </c>
      <c r="U89" s="21">
        <f t="shared" si="12"/>
        <v>43618</v>
      </c>
      <c r="Y89" s="18"/>
      <c r="Z89" s="210"/>
      <c r="AA89" s="15"/>
      <c r="AB89" s="210"/>
      <c r="AC89" s="15"/>
      <c r="AD89" s="15"/>
      <c r="AE89" s="15"/>
      <c r="AF89" s="244"/>
      <c r="AG89" s="15"/>
      <c r="AH89" s="15">
        <f t="shared" si="13"/>
        <v>0</v>
      </c>
      <c r="AI89" s="22">
        <f t="shared" si="14"/>
        <v>0</v>
      </c>
      <c r="AJ89" s="22">
        <f t="shared" si="15"/>
        <v>0</v>
      </c>
      <c r="AK89" s="13"/>
    </row>
    <row r="90" spans="1:37" hidden="1">
      <c r="A90" s="198" t="s">
        <v>1643</v>
      </c>
      <c r="B90" s="119">
        <v>43543</v>
      </c>
      <c r="C90" s="119" t="s">
        <v>1622</v>
      </c>
      <c r="D90" s="259" t="s">
        <v>1240</v>
      </c>
      <c r="E90" s="198" t="s">
        <v>1241</v>
      </c>
      <c r="F90" s="198" t="str">
        <f t="shared" si="9"/>
        <v>PAVI_12.14_400_NL2018</v>
      </c>
      <c r="G90" s="198" t="s">
        <v>138</v>
      </c>
      <c r="H90" s="213"/>
      <c r="I90" s="213" t="s">
        <v>113</v>
      </c>
      <c r="J90" s="214">
        <v>400</v>
      </c>
      <c r="K90" s="17" t="s">
        <v>28</v>
      </c>
      <c r="L90" s="17"/>
      <c r="M90" s="16">
        <f t="shared" si="10"/>
        <v>33</v>
      </c>
      <c r="N90" s="17">
        <f>12000+1200</f>
        <v>13200</v>
      </c>
      <c r="O90" s="17">
        <v>3300</v>
      </c>
      <c r="P90" s="17">
        <f t="shared" si="11"/>
        <v>43560000</v>
      </c>
      <c r="Q90" s="15" t="str">
        <f t="shared" si="16"/>
        <v/>
      </c>
      <c r="R90" s="200" t="s">
        <v>29</v>
      </c>
      <c r="S90" s="215">
        <v>43709</v>
      </c>
      <c r="T90" s="20">
        <f>IFERROR(VLOOKUP(S90,'Date Converter'!$A$4:$C$368,3,0),"")</f>
        <v>43737</v>
      </c>
      <c r="U90" s="21">
        <f t="shared" si="12"/>
        <v>43737</v>
      </c>
      <c r="V90" s="216" t="s">
        <v>51</v>
      </c>
      <c r="W90" s="200"/>
      <c r="X90" s="200"/>
      <c r="Y90" s="200"/>
      <c r="Z90" s="217"/>
      <c r="AA90" s="17">
        <v>0</v>
      </c>
      <c r="AB90" s="217"/>
      <c r="AC90" s="17"/>
      <c r="AD90" s="17"/>
      <c r="AE90" s="17"/>
      <c r="AF90" s="247"/>
      <c r="AG90" s="17"/>
      <c r="AH90" s="15">
        <f t="shared" si="13"/>
        <v>0</v>
      </c>
      <c r="AI90" s="22">
        <f t="shared" si="14"/>
        <v>13200</v>
      </c>
      <c r="AJ90" s="22">
        <f t="shared" si="15"/>
        <v>43560000</v>
      </c>
      <c r="AK90" s="119">
        <v>43826</v>
      </c>
    </row>
    <row r="91" spans="1:37" s="165" customFormat="1" hidden="1">
      <c r="A91" s="198" t="s">
        <v>1643</v>
      </c>
      <c r="B91" s="119">
        <v>43543</v>
      </c>
      <c r="C91" s="119" t="s">
        <v>1622</v>
      </c>
      <c r="D91" s="198" t="s">
        <v>1240</v>
      </c>
      <c r="E91" s="198" t="s">
        <v>1241</v>
      </c>
      <c r="F91" s="198" t="str">
        <f t="shared" si="9"/>
        <v>PAVI_14.16_300_NL2018</v>
      </c>
      <c r="G91" s="198" t="s">
        <v>138</v>
      </c>
      <c r="H91" s="213"/>
      <c r="I91" s="213" t="s">
        <v>47</v>
      </c>
      <c r="J91" s="214">
        <v>300</v>
      </c>
      <c r="K91" s="17" t="s">
        <v>28</v>
      </c>
      <c r="L91" s="17"/>
      <c r="M91" s="16">
        <f t="shared" si="10"/>
        <v>0</v>
      </c>
      <c r="N91" s="17">
        <f>5100-5100</f>
        <v>0</v>
      </c>
      <c r="O91" s="17">
        <v>4500</v>
      </c>
      <c r="P91" s="17">
        <f t="shared" si="11"/>
        <v>0</v>
      </c>
      <c r="Q91" s="15" t="str">
        <f t="shared" si="16"/>
        <v>Canceled</v>
      </c>
      <c r="R91" s="200" t="s">
        <v>71</v>
      </c>
      <c r="S91" s="215">
        <v>43709</v>
      </c>
      <c r="T91" s="20">
        <f>IFERROR(VLOOKUP(S91,'Date Converter'!$A$4:$C$368,3,0),"")</f>
        <v>43737</v>
      </c>
      <c r="U91" s="21">
        <f t="shared" si="12"/>
        <v>43737</v>
      </c>
      <c r="V91" s="216" t="s">
        <v>51</v>
      </c>
      <c r="W91" s="200"/>
      <c r="X91" s="200"/>
      <c r="Y91" s="200"/>
      <c r="Z91" s="217"/>
      <c r="AA91" s="17">
        <v>0</v>
      </c>
      <c r="AB91" s="217"/>
      <c r="AC91" s="17"/>
      <c r="AD91" s="17"/>
      <c r="AE91" s="17"/>
      <c r="AF91" s="247"/>
      <c r="AG91" s="17"/>
      <c r="AH91" s="15">
        <f t="shared" si="13"/>
        <v>0</v>
      </c>
      <c r="AI91" s="22">
        <f t="shared" si="14"/>
        <v>0</v>
      </c>
      <c r="AJ91" s="22">
        <f t="shared" si="15"/>
        <v>0</v>
      </c>
      <c r="AK91" s="119">
        <v>43826</v>
      </c>
    </row>
    <row r="92" spans="1:37" s="165" customFormat="1" ht="15.75" hidden="1" customHeight="1">
      <c r="A92" s="198" t="s">
        <v>1643</v>
      </c>
      <c r="B92" s="119">
        <v>43543</v>
      </c>
      <c r="C92" s="119" t="s">
        <v>1622</v>
      </c>
      <c r="D92" s="259" t="s">
        <v>1240</v>
      </c>
      <c r="E92" s="198" t="s">
        <v>1241</v>
      </c>
      <c r="F92" s="198" t="str">
        <f t="shared" si="9"/>
        <v>PAVI_16.18_200_NL2018</v>
      </c>
      <c r="G92" s="198" t="s">
        <v>138</v>
      </c>
      <c r="H92" s="213"/>
      <c r="I92" s="213" t="s">
        <v>35</v>
      </c>
      <c r="J92" s="214">
        <v>200</v>
      </c>
      <c r="K92" s="17" t="s">
        <v>28</v>
      </c>
      <c r="L92" s="17"/>
      <c r="M92" s="16">
        <f t="shared" si="10"/>
        <v>25</v>
      </c>
      <c r="N92" s="17">
        <v>5000</v>
      </c>
      <c r="O92" s="17">
        <v>6100</v>
      </c>
      <c r="P92" s="17">
        <f t="shared" si="11"/>
        <v>30500000</v>
      </c>
      <c r="Q92" s="15" t="str">
        <f t="shared" si="16"/>
        <v/>
      </c>
      <c r="R92" s="200" t="s">
        <v>29</v>
      </c>
      <c r="S92" s="215">
        <v>43709</v>
      </c>
      <c r="T92" s="20">
        <f>IFERROR(VLOOKUP(S92,'Date Converter'!$A$4:$C$368,3,0),"")</f>
        <v>43737</v>
      </c>
      <c r="U92" s="21">
        <f t="shared" si="12"/>
        <v>43737</v>
      </c>
      <c r="V92" s="216" t="s">
        <v>51</v>
      </c>
      <c r="W92" s="200"/>
      <c r="X92" s="200"/>
      <c r="Y92" s="200"/>
      <c r="Z92" s="217"/>
      <c r="AA92" s="17">
        <v>0</v>
      </c>
      <c r="AB92" s="217"/>
      <c r="AC92" s="17"/>
      <c r="AD92" s="17"/>
      <c r="AE92" s="17"/>
      <c r="AF92" s="247"/>
      <c r="AG92" s="17"/>
      <c r="AH92" s="15">
        <f t="shared" si="13"/>
        <v>0</v>
      </c>
      <c r="AI92" s="22">
        <f t="shared" si="14"/>
        <v>5000</v>
      </c>
      <c r="AJ92" s="22">
        <f t="shared" si="15"/>
        <v>30500000</v>
      </c>
      <c r="AK92" s="119">
        <v>43826</v>
      </c>
    </row>
    <row r="93" spans="1:37" s="165" customFormat="1" ht="15.75" hidden="1" customHeight="1">
      <c r="A93" s="165" t="s">
        <v>1635</v>
      </c>
      <c r="B93" s="119">
        <v>43630</v>
      </c>
      <c r="C93" s="119" t="s">
        <v>1622</v>
      </c>
      <c r="D93" s="198" t="s">
        <v>1240</v>
      </c>
      <c r="E93" s="198" t="s">
        <v>1241</v>
      </c>
      <c r="F93" s="198" t="str">
        <f t="shared" si="9"/>
        <v>PAVI_14.16_300_NL2018</v>
      </c>
      <c r="G93" s="198" t="s">
        <v>138</v>
      </c>
      <c r="H93" s="213"/>
      <c r="I93" s="12" t="s">
        <v>47</v>
      </c>
      <c r="J93" s="14">
        <v>300</v>
      </c>
      <c r="K93" s="15" t="s">
        <v>28</v>
      </c>
      <c r="L93" s="17"/>
      <c r="M93" s="16">
        <f t="shared" si="10"/>
        <v>13</v>
      </c>
      <c r="N93" s="17">
        <v>3900</v>
      </c>
      <c r="O93" s="195">
        <v>4400</v>
      </c>
      <c r="P93" s="17">
        <f t="shared" si="11"/>
        <v>17160000</v>
      </c>
      <c r="Q93" s="15" t="str">
        <f t="shared" si="16"/>
        <v/>
      </c>
      <c r="R93" s="200" t="s">
        <v>63</v>
      </c>
      <c r="S93" s="215"/>
      <c r="T93" s="20"/>
      <c r="U93" s="21"/>
      <c r="V93" s="216"/>
      <c r="W93" s="200"/>
      <c r="X93" s="200"/>
      <c r="Y93" s="200"/>
      <c r="Z93" s="217"/>
      <c r="AA93" s="17"/>
      <c r="AB93" s="217"/>
      <c r="AC93" s="17"/>
      <c r="AD93" s="17"/>
      <c r="AE93" s="17"/>
      <c r="AF93" s="247"/>
      <c r="AG93" s="17"/>
      <c r="AH93" s="15">
        <f t="shared" si="13"/>
        <v>0</v>
      </c>
      <c r="AI93" s="22">
        <f t="shared" si="14"/>
        <v>3900</v>
      </c>
      <c r="AJ93" s="22">
        <f t="shared" si="15"/>
        <v>17160000</v>
      </c>
      <c r="AK93" s="119"/>
    </row>
    <row r="94" spans="1:37" hidden="1">
      <c r="A94" s="165" t="s">
        <v>1635</v>
      </c>
      <c r="B94" s="13">
        <v>43544</v>
      </c>
      <c r="C94" s="13" t="s">
        <v>1622</v>
      </c>
      <c r="D94" t="s">
        <v>1240</v>
      </c>
      <c r="E94" s="165" t="s">
        <v>1241</v>
      </c>
      <c r="F94" t="str">
        <f t="shared" si="9"/>
        <v>NELL_12.14_400_NL2018</v>
      </c>
      <c r="G94" s="165" t="s">
        <v>131</v>
      </c>
      <c r="I94" s="12" t="s">
        <v>113</v>
      </c>
      <c r="J94" s="14">
        <v>400</v>
      </c>
      <c r="K94" s="15" t="s">
        <v>28</v>
      </c>
      <c r="M94" s="16">
        <f t="shared" si="10"/>
        <v>11</v>
      </c>
      <c r="N94" s="15">
        <v>4400</v>
      </c>
      <c r="O94" s="15">
        <v>3000</v>
      </c>
      <c r="P94" s="15">
        <f t="shared" si="11"/>
        <v>13200000</v>
      </c>
      <c r="Q94" s="15" t="str">
        <f t="shared" si="16"/>
        <v>Done</v>
      </c>
      <c r="R94" s="18" t="s">
        <v>44</v>
      </c>
      <c r="S94" s="211">
        <v>43539</v>
      </c>
      <c r="T94" s="20">
        <f>IFERROR(VLOOKUP(S94,'Date Converter'!$A$4:$C$368,3,0),"")</f>
        <v>43574</v>
      </c>
      <c r="U94" s="21">
        <f t="shared" ref="U94:U157" si="17">+T94</f>
        <v>43574</v>
      </c>
      <c r="V94" s="12" t="s">
        <v>57</v>
      </c>
      <c r="Y94" s="18"/>
      <c r="Z94" s="210"/>
      <c r="AA94" s="15">
        <v>4400</v>
      </c>
      <c r="AB94" s="210"/>
      <c r="AC94" s="15"/>
      <c r="AD94" s="15"/>
      <c r="AE94" s="15"/>
      <c r="AF94" s="244"/>
      <c r="AG94" s="15"/>
      <c r="AH94" s="15">
        <f t="shared" si="13"/>
        <v>4400</v>
      </c>
      <c r="AI94" s="22">
        <f t="shared" si="14"/>
        <v>0</v>
      </c>
      <c r="AJ94" s="22">
        <f t="shared" si="15"/>
        <v>0</v>
      </c>
      <c r="AK94" s="13">
        <v>43827</v>
      </c>
    </row>
    <row r="95" spans="1:37" hidden="1">
      <c r="A95" t="s">
        <v>1635</v>
      </c>
      <c r="B95" s="13">
        <v>43471</v>
      </c>
      <c r="C95" s="13" t="s">
        <v>1622</v>
      </c>
      <c r="D95" t="s">
        <v>1240</v>
      </c>
      <c r="E95" s="165" t="s">
        <v>1241</v>
      </c>
      <c r="F95" t="str">
        <f t="shared" si="9"/>
        <v>MARE_16.18_200_NL2018</v>
      </c>
      <c r="G95" s="165" t="s">
        <v>52</v>
      </c>
      <c r="I95" s="12" t="s">
        <v>35</v>
      </c>
      <c r="J95" s="14">
        <v>200</v>
      </c>
      <c r="K95" s="15" t="s">
        <v>28</v>
      </c>
      <c r="M95" s="16">
        <f t="shared" si="10"/>
        <v>45</v>
      </c>
      <c r="N95" s="15">
        <v>9000</v>
      </c>
      <c r="O95" s="15">
        <v>6000</v>
      </c>
      <c r="P95" s="15">
        <f t="shared" si="11"/>
        <v>54000000</v>
      </c>
      <c r="Q95" s="15" t="str">
        <f t="shared" si="16"/>
        <v>Done</v>
      </c>
      <c r="R95" s="18" t="s">
        <v>44</v>
      </c>
      <c r="S95" s="117">
        <v>43488</v>
      </c>
      <c r="T95" s="20">
        <f>IFERROR(VLOOKUP(S95,'Date Converter'!$A$4:$C$368,3,0),"")</f>
        <v>43523</v>
      </c>
      <c r="U95" s="21">
        <f t="shared" si="17"/>
        <v>43523</v>
      </c>
      <c r="V95" s="12" t="s">
        <v>69</v>
      </c>
      <c r="Y95" s="18"/>
      <c r="Z95" s="210">
        <v>43526</v>
      </c>
      <c r="AA95" s="15">
        <v>9000</v>
      </c>
      <c r="AB95" s="210"/>
      <c r="AC95" s="15"/>
      <c r="AD95" s="15"/>
      <c r="AE95" s="15"/>
      <c r="AF95" s="244"/>
      <c r="AG95" s="15"/>
      <c r="AH95" s="15">
        <f t="shared" si="13"/>
        <v>9000</v>
      </c>
      <c r="AI95" s="22">
        <f t="shared" si="14"/>
        <v>0</v>
      </c>
      <c r="AJ95" s="22">
        <f t="shared" si="15"/>
        <v>0</v>
      </c>
      <c r="AK95" s="13">
        <v>43809</v>
      </c>
    </row>
    <row r="96" spans="1:37" hidden="1">
      <c r="A96" t="s">
        <v>1635</v>
      </c>
      <c r="B96" s="13">
        <v>43544</v>
      </c>
      <c r="C96" s="13" t="s">
        <v>1622</v>
      </c>
      <c r="D96" t="s">
        <v>1240</v>
      </c>
      <c r="E96" s="165" t="s">
        <v>1241</v>
      </c>
      <c r="F96" t="str">
        <f t="shared" si="9"/>
        <v>MALD_16.18_200_NL2018</v>
      </c>
      <c r="G96" s="165" t="s">
        <v>478</v>
      </c>
      <c r="I96" s="12" t="s">
        <v>35</v>
      </c>
      <c r="J96" s="14">
        <v>200</v>
      </c>
      <c r="K96" s="15" t="s">
        <v>28</v>
      </c>
      <c r="M96" s="16">
        <f t="shared" si="10"/>
        <v>0</v>
      </c>
      <c r="N96" s="15">
        <f>10000-10000</f>
        <v>0</v>
      </c>
      <c r="O96" s="15">
        <v>5000</v>
      </c>
      <c r="P96" s="15">
        <f t="shared" si="11"/>
        <v>0</v>
      </c>
      <c r="Q96" s="15" t="str">
        <f t="shared" si="16"/>
        <v>Canceled</v>
      </c>
      <c r="R96" s="18" t="s">
        <v>71</v>
      </c>
      <c r="S96" s="211">
        <v>43539</v>
      </c>
      <c r="T96" s="20">
        <f>IFERROR(VLOOKUP(S96,'Date Converter'!$A$4:$C$368,3,0),"")</f>
        <v>43574</v>
      </c>
      <c r="U96" s="21">
        <f t="shared" si="17"/>
        <v>43574</v>
      </c>
      <c r="V96" s="12" t="s">
        <v>57</v>
      </c>
      <c r="W96" s="18" t="s">
        <v>58</v>
      </c>
      <c r="Y96" s="18"/>
      <c r="Z96" s="210"/>
      <c r="AA96" s="15">
        <v>0</v>
      </c>
      <c r="AB96" s="210"/>
      <c r="AC96" s="15"/>
      <c r="AD96" s="15"/>
      <c r="AE96" s="15"/>
      <c r="AF96" s="244"/>
      <c r="AG96" s="15"/>
      <c r="AH96" s="15">
        <f t="shared" si="13"/>
        <v>0</v>
      </c>
      <c r="AI96" s="22">
        <f t="shared" si="14"/>
        <v>0</v>
      </c>
      <c r="AJ96" s="22">
        <f t="shared" si="15"/>
        <v>0</v>
      </c>
      <c r="AK96" s="13">
        <v>43827</v>
      </c>
    </row>
    <row r="97" spans="1:37" hidden="1">
      <c r="A97" t="s">
        <v>1635</v>
      </c>
      <c r="B97" s="13">
        <v>43544</v>
      </c>
      <c r="C97" s="13" t="s">
        <v>1622</v>
      </c>
      <c r="D97" t="s">
        <v>1240</v>
      </c>
      <c r="E97" s="165" t="s">
        <v>1241</v>
      </c>
      <c r="F97" t="str">
        <f t="shared" si="9"/>
        <v>MALD_16.18_200_NL2018</v>
      </c>
      <c r="G97" s="165" t="s">
        <v>478</v>
      </c>
      <c r="I97" s="12" t="s">
        <v>35</v>
      </c>
      <c r="J97" s="14">
        <v>200</v>
      </c>
      <c r="K97" s="15" t="s">
        <v>28</v>
      </c>
      <c r="M97" s="16">
        <f t="shared" si="10"/>
        <v>0</v>
      </c>
      <c r="N97" s="15">
        <f>15000+7200-15000-7200</f>
        <v>0</v>
      </c>
      <c r="O97" s="15">
        <v>5400</v>
      </c>
      <c r="P97" s="15">
        <f t="shared" si="11"/>
        <v>0</v>
      </c>
      <c r="Q97" s="15" t="str">
        <f t="shared" si="16"/>
        <v>Canceled</v>
      </c>
      <c r="R97" s="18" t="s">
        <v>71</v>
      </c>
      <c r="S97" s="211">
        <v>43565</v>
      </c>
      <c r="T97" s="20">
        <f>IFERROR(VLOOKUP(S97,'Date Converter'!$A$4:$C$368,3,0),"")</f>
        <v>43599</v>
      </c>
      <c r="U97" s="21">
        <f t="shared" si="17"/>
        <v>43599</v>
      </c>
      <c r="V97" s="12" t="s">
        <v>479</v>
      </c>
      <c r="Y97" s="18"/>
      <c r="Z97" s="210"/>
      <c r="AA97" s="15"/>
      <c r="AB97" s="210"/>
      <c r="AC97" s="15"/>
      <c r="AD97" s="15"/>
      <c r="AE97" s="15"/>
      <c r="AF97" s="244"/>
      <c r="AG97" s="15"/>
      <c r="AH97" s="15">
        <f t="shared" si="13"/>
        <v>0</v>
      </c>
      <c r="AI97" s="22">
        <f t="shared" si="14"/>
        <v>0</v>
      </c>
      <c r="AJ97" s="22">
        <f t="shared" si="15"/>
        <v>0</v>
      </c>
      <c r="AK97" s="13"/>
    </row>
    <row r="98" spans="1:37" hidden="1">
      <c r="A98" s="165" t="s">
        <v>1635</v>
      </c>
      <c r="B98" s="13">
        <v>43544</v>
      </c>
      <c r="C98" s="13" t="s">
        <v>1622</v>
      </c>
      <c r="D98" s="165" t="s">
        <v>1240</v>
      </c>
      <c r="E98" s="165" t="s">
        <v>1241</v>
      </c>
      <c r="F98" s="165" t="str">
        <f t="shared" si="9"/>
        <v>LARG_16.18_200_NL2018</v>
      </c>
      <c r="G98" s="165" t="s">
        <v>70</v>
      </c>
      <c r="I98" s="12" t="s">
        <v>35</v>
      </c>
      <c r="J98" s="14">
        <v>200</v>
      </c>
      <c r="K98" s="15" t="s">
        <v>28</v>
      </c>
      <c r="M98" s="16">
        <f t="shared" si="10"/>
        <v>2</v>
      </c>
      <c r="N98" s="15">
        <v>400</v>
      </c>
      <c r="O98" s="15">
        <v>5800</v>
      </c>
      <c r="P98" s="15">
        <f t="shared" si="11"/>
        <v>2320000</v>
      </c>
      <c r="Q98" s="15" t="str">
        <f t="shared" si="16"/>
        <v>Done</v>
      </c>
      <c r="R98" s="18" t="s">
        <v>44</v>
      </c>
      <c r="S98" s="212">
        <v>43584</v>
      </c>
      <c r="T98" s="20">
        <f>IFERROR(VLOOKUP(S98,'Date Converter'!$A$4:$C$368,3,0),"")</f>
        <v>43618</v>
      </c>
      <c r="U98" s="21">
        <f t="shared" si="17"/>
        <v>43618</v>
      </c>
      <c r="V98" s="12" t="s">
        <v>486</v>
      </c>
      <c r="Y98" s="18"/>
      <c r="Z98" s="210">
        <v>43624</v>
      </c>
      <c r="AA98" s="15">
        <v>400</v>
      </c>
      <c r="AB98" s="210"/>
      <c r="AC98" s="15"/>
      <c r="AD98" s="15"/>
      <c r="AE98" s="15"/>
      <c r="AF98" s="244"/>
      <c r="AG98" s="15"/>
      <c r="AH98" s="15">
        <f t="shared" si="13"/>
        <v>400</v>
      </c>
      <c r="AI98" s="22">
        <f t="shared" si="14"/>
        <v>0</v>
      </c>
      <c r="AJ98" s="22">
        <f t="shared" si="15"/>
        <v>0</v>
      </c>
      <c r="AK98" s="13">
        <v>43827</v>
      </c>
    </row>
    <row r="99" spans="1:37" s="165" customFormat="1" hidden="1">
      <c r="A99" s="165" t="s">
        <v>1635</v>
      </c>
      <c r="B99" s="13">
        <v>43634</v>
      </c>
      <c r="C99" s="13" t="s">
        <v>1622</v>
      </c>
      <c r="D99" s="165" t="s">
        <v>1240</v>
      </c>
      <c r="E99" s="13" t="s">
        <v>1241</v>
      </c>
      <c r="F99" s="165" t="str">
        <f t="shared" si="9"/>
        <v>GENE_12.14_400_NL2018</v>
      </c>
      <c r="G99" s="13" t="s">
        <v>1855</v>
      </c>
      <c r="H99" s="12"/>
      <c r="I99" s="12" t="s">
        <v>113</v>
      </c>
      <c r="J99" s="14">
        <v>400</v>
      </c>
      <c r="K99" s="15" t="s">
        <v>28</v>
      </c>
      <c r="L99" s="15"/>
      <c r="M99" s="16">
        <f t="shared" si="10"/>
        <v>15</v>
      </c>
      <c r="N99" s="15">
        <v>6000</v>
      </c>
      <c r="O99" s="15">
        <v>3200</v>
      </c>
      <c r="P99" s="15">
        <f t="shared" si="11"/>
        <v>19200000</v>
      </c>
      <c r="Q99" s="15" t="str">
        <f t="shared" si="16"/>
        <v/>
      </c>
      <c r="R99" s="18" t="s">
        <v>31</v>
      </c>
      <c r="S99" s="23">
        <v>43631</v>
      </c>
      <c r="T99" s="20">
        <f>IFERROR(VLOOKUP(S99,'Date Converter'!$A$4:$C$368,3,0),"")</f>
        <v>43663</v>
      </c>
      <c r="U99" s="21">
        <f t="shared" si="17"/>
        <v>43663</v>
      </c>
      <c r="V99" s="20"/>
      <c r="W99" s="18"/>
      <c r="X99" s="18"/>
      <c r="Y99" s="12"/>
      <c r="Z99" s="206"/>
      <c r="AA99" s="15"/>
      <c r="AB99" s="206"/>
      <c r="AC99" s="12"/>
      <c r="AD99" s="206"/>
      <c r="AE99" s="12"/>
      <c r="AF99" s="245"/>
      <c r="AG99" s="12"/>
      <c r="AH99" s="15">
        <f t="shared" si="13"/>
        <v>0</v>
      </c>
      <c r="AI99" s="22">
        <f t="shared" si="14"/>
        <v>6000</v>
      </c>
      <c r="AJ99" s="22">
        <f t="shared" si="15"/>
        <v>19200000</v>
      </c>
    </row>
    <row r="100" spans="1:37" hidden="1">
      <c r="A100" s="165" t="s">
        <v>1635</v>
      </c>
      <c r="B100" s="13">
        <v>43634</v>
      </c>
      <c r="C100" s="13" t="s">
        <v>1622</v>
      </c>
      <c r="D100" s="165" t="s">
        <v>1240</v>
      </c>
      <c r="E100" s="13" t="s">
        <v>1241</v>
      </c>
      <c r="F100" s="165" t="str">
        <f t="shared" si="9"/>
        <v>GENE_14.16_300_NL2018</v>
      </c>
      <c r="G100" s="13" t="s">
        <v>1855</v>
      </c>
      <c r="I100" s="12" t="s">
        <v>47</v>
      </c>
      <c r="J100" s="14">
        <v>300</v>
      </c>
      <c r="K100" s="15" t="s">
        <v>28</v>
      </c>
      <c r="M100" s="16">
        <f t="shared" si="10"/>
        <v>48</v>
      </c>
      <c r="N100" s="15">
        <v>14400</v>
      </c>
      <c r="O100" s="15">
        <v>4500</v>
      </c>
      <c r="P100" s="15">
        <f t="shared" si="11"/>
        <v>64800000</v>
      </c>
      <c r="Q100" s="15" t="str">
        <f t="shared" si="16"/>
        <v/>
      </c>
      <c r="R100" s="18" t="s">
        <v>31</v>
      </c>
      <c r="S100" s="23">
        <v>43631</v>
      </c>
      <c r="T100" s="20">
        <f>IFERROR(VLOOKUP(S100,'Date Converter'!$A$4:$C$368,3,0),"")</f>
        <v>43663</v>
      </c>
      <c r="U100" s="21">
        <f t="shared" si="17"/>
        <v>43663</v>
      </c>
      <c r="V100" s="20"/>
      <c r="AA100" s="15"/>
      <c r="AB100" s="206"/>
      <c r="AD100" s="206"/>
      <c r="AH100" s="15">
        <f t="shared" si="13"/>
        <v>0</v>
      </c>
      <c r="AI100" s="22">
        <f t="shared" si="14"/>
        <v>14400</v>
      </c>
      <c r="AJ100" s="22">
        <f t="shared" si="15"/>
        <v>64800000</v>
      </c>
      <c r="AK100" s="165"/>
    </row>
    <row r="101" spans="1:37" hidden="1">
      <c r="A101" s="165" t="s">
        <v>1635</v>
      </c>
      <c r="B101" s="13">
        <v>43471</v>
      </c>
      <c r="C101" s="13" t="s">
        <v>1622</v>
      </c>
      <c r="D101" s="165" t="s">
        <v>1240</v>
      </c>
      <c r="E101" s="165" t="s">
        <v>1241</v>
      </c>
      <c r="F101" s="165" t="str">
        <f t="shared" si="9"/>
        <v>FELI_15.16_300_NL2018</v>
      </c>
      <c r="G101" s="165" t="s">
        <v>117</v>
      </c>
      <c r="I101" s="12" t="s">
        <v>77</v>
      </c>
      <c r="J101" s="14">
        <v>300</v>
      </c>
      <c r="K101" s="15" t="s">
        <v>28</v>
      </c>
      <c r="M101" s="16">
        <f t="shared" si="10"/>
        <v>32.166666666666664</v>
      </c>
      <c r="N101" s="15">
        <v>9650</v>
      </c>
      <c r="O101" s="15">
        <v>5375</v>
      </c>
      <c r="P101" s="15">
        <f t="shared" si="11"/>
        <v>51868750</v>
      </c>
      <c r="Q101" s="15" t="str">
        <f t="shared" si="16"/>
        <v>Done</v>
      </c>
      <c r="R101" s="18" t="s">
        <v>44</v>
      </c>
      <c r="S101" s="117">
        <v>43488</v>
      </c>
      <c r="T101" s="20">
        <f>IFERROR(VLOOKUP(S101,'Date Converter'!$A$4:$C$368,3,0),"")</f>
        <v>43523</v>
      </c>
      <c r="U101" s="21">
        <f t="shared" si="17"/>
        <v>43523</v>
      </c>
      <c r="V101" s="12" t="s">
        <v>69</v>
      </c>
      <c r="Y101" s="18"/>
      <c r="Z101" s="210">
        <v>43523</v>
      </c>
      <c r="AA101" s="15">
        <v>9650</v>
      </c>
      <c r="AB101" s="210"/>
      <c r="AC101" s="15"/>
      <c r="AD101" s="15"/>
      <c r="AE101" s="15"/>
      <c r="AF101" s="244"/>
      <c r="AG101" s="15"/>
      <c r="AH101" s="15">
        <f t="shared" si="13"/>
        <v>9650</v>
      </c>
      <c r="AI101" s="22">
        <f t="shared" si="14"/>
        <v>0</v>
      </c>
      <c r="AJ101" s="22">
        <f t="shared" si="15"/>
        <v>0</v>
      </c>
      <c r="AK101" s="13">
        <v>43809</v>
      </c>
    </row>
    <row r="102" spans="1:37" hidden="1">
      <c r="A102" s="165" t="s">
        <v>1635</v>
      </c>
      <c r="B102" s="13">
        <v>43622</v>
      </c>
      <c r="C102" s="13" t="s">
        <v>1622</v>
      </c>
      <c r="D102" s="165" t="s">
        <v>1240</v>
      </c>
      <c r="E102" s="165" t="s">
        <v>1241</v>
      </c>
      <c r="F102" s="165" t="str">
        <f t="shared" si="9"/>
        <v>EREM_14.16_300_NL2018</v>
      </c>
      <c r="G102" s="165" t="s">
        <v>469</v>
      </c>
      <c r="I102" s="12" t="s">
        <v>47</v>
      </c>
      <c r="J102" s="14">
        <v>300</v>
      </c>
      <c r="K102" s="15" t="s">
        <v>28</v>
      </c>
      <c r="M102" s="16">
        <f t="shared" si="10"/>
        <v>60</v>
      </c>
      <c r="N102" s="15">
        <f>900+17100</f>
        <v>18000</v>
      </c>
      <c r="O102" s="15">
        <v>4300</v>
      </c>
      <c r="P102" s="15">
        <f t="shared" si="11"/>
        <v>77400000</v>
      </c>
      <c r="Q102" s="15" t="str">
        <f t="shared" si="16"/>
        <v/>
      </c>
      <c r="R102" s="18" t="s">
        <v>63</v>
      </c>
      <c r="S102" s="212">
        <v>43605</v>
      </c>
      <c r="T102" s="20">
        <f>IFERROR(VLOOKUP(S102,'Date Converter'!$A$4:$C$368,3,0),"")</f>
        <v>43638</v>
      </c>
      <c r="U102" s="21">
        <f t="shared" si="17"/>
        <v>43638</v>
      </c>
      <c r="V102" s="20"/>
      <c r="Y102" s="18"/>
      <c r="Z102" s="210"/>
      <c r="AA102" s="15"/>
      <c r="AB102" s="210"/>
      <c r="AC102" s="15"/>
      <c r="AD102" s="15"/>
      <c r="AE102" s="15"/>
      <c r="AF102" s="244"/>
      <c r="AG102" s="15"/>
      <c r="AH102" s="15">
        <f t="shared" si="13"/>
        <v>0</v>
      </c>
      <c r="AI102" s="22">
        <f t="shared" si="14"/>
        <v>18000</v>
      </c>
      <c r="AJ102" s="22">
        <f t="shared" si="15"/>
        <v>77400000</v>
      </c>
      <c r="AK102" s="13"/>
    </row>
    <row r="103" spans="1:37" hidden="1">
      <c r="A103" s="198" t="s">
        <v>1643</v>
      </c>
      <c r="B103" s="119">
        <v>43543</v>
      </c>
      <c r="C103" s="119" t="s">
        <v>1622</v>
      </c>
      <c r="D103" s="259" t="s">
        <v>1240</v>
      </c>
      <c r="E103" s="198" t="s">
        <v>1241</v>
      </c>
      <c r="F103" s="198" t="str">
        <f t="shared" si="9"/>
        <v>CONC_18.20_150_NL2018</v>
      </c>
      <c r="G103" s="198" t="s">
        <v>40</v>
      </c>
      <c r="H103" s="213"/>
      <c r="I103" s="213" t="s">
        <v>27</v>
      </c>
      <c r="J103" s="214">
        <v>150</v>
      </c>
      <c r="K103" s="17" t="s">
        <v>28</v>
      </c>
      <c r="L103" s="17"/>
      <c r="M103" s="16">
        <f t="shared" si="10"/>
        <v>20</v>
      </c>
      <c r="N103" s="17">
        <f>3000</f>
        <v>3000</v>
      </c>
      <c r="O103" s="17">
        <v>7500</v>
      </c>
      <c r="P103" s="17">
        <f t="shared" si="11"/>
        <v>22500000</v>
      </c>
      <c r="Q103" s="15" t="str">
        <f t="shared" si="16"/>
        <v/>
      </c>
      <c r="R103" s="200" t="s">
        <v>29</v>
      </c>
      <c r="S103" s="215">
        <v>43709</v>
      </c>
      <c r="T103" s="20">
        <f>IFERROR(VLOOKUP(S103,'Date Converter'!$A$4:$C$368,3,0),"")</f>
        <v>43737</v>
      </c>
      <c r="U103" s="21">
        <f t="shared" si="17"/>
        <v>43737</v>
      </c>
      <c r="V103" s="216" t="s">
        <v>51</v>
      </c>
      <c r="W103" s="200"/>
      <c r="X103" s="200"/>
      <c r="Y103" s="200"/>
      <c r="Z103" s="217"/>
      <c r="AA103" s="17">
        <v>0</v>
      </c>
      <c r="AB103" s="217"/>
      <c r="AC103" s="17"/>
      <c r="AD103" s="17"/>
      <c r="AE103" s="17"/>
      <c r="AF103" s="247"/>
      <c r="AG103" s="17"/>
      <c r="AH103" s="15">
        <f t="shared" si="13"/>
        <v>0</v>
      </c>
      <c r="AI103" s="22">
        <f t="shared" si="14"/>
        <v>3000</v>
      </c>
      <c r="AJ103" s="22">
        <f t="shared" si="15"/>
        <v>22500000</v>
      </c>
      <c r="AK103" s="119">
        <v>43826</v>
      </c>
    </row>
    <row r="104" spans="1:37" hidden="1">
      <c r="A104" s="198" t="s">
        <v>1643</v>
      </c>
      <c r="B104" s="119">
        <v>43543</v>
      </c>
      <c r="C104" s="119" t="s">
        <v>1622</v>
      </c>
      <c r="D104" s="259" t="s">
        <v>1240</v>
      </c>
      <c r="E104" s="198" t="s">
        <v>1241</v>
      </c>
      <c r="F104" s="198" t="str">
        <f t="shared" si="9"/>
        <v>CONC_20.22_125_NL2018</v>
      </c>
      <c r="G104" s="198" t="s">
        <v>40</v>
      </c>
      <c r="H104" s="213"/>
      <c r="I104" s="213" t="s">
        <v>74</v>
      </c>
      <c r="J104" s="214">
        <v>125</v>
      </c>
      <c r="K104" s="17" t="s">
        <v>28</v>
      </c>
      <c r="L104" s="17"/>
      <c r="M104" s="16">
        <f t="shared" si="10"/>
        <v>80</v>
      </c>
      <c r="N104" s="17">
        <v>10000</v>
      </c>
      <c r="O104" s="17">
        <v>10600</v>
      </c>
      <c r="P104" s="17">
        <f t="shared" si="11"/>
        <v>106000000</v>
      </c>
      <c r="Q104" s="15" t="str">
        <f t="shared" si="16"/>
        <v/>
      </c>
      <c r="R104" s="200" t="s">
        <v>29</v>
      </c>
      <c r="S104" s="215">
        <v>43709</v>
      </c>
      <c r="T104" s="20">
        <f>IFERROR(VLOOKUP(S104,'Date Converter'!$A$4:$C$368,3,0),"")</f>
        <v>43737</v>
      </c>
      <c r="U104" s="21">
        <f t="shared" si="17"/>
        <v>43737</v>
      </c>
      <c r="V104" s="216" t="s">
        <v>51</v>
      </c>
      <c r="W104" s="200"/>
      <c r="X104" s="200"/>
      <c r="Y104" s="200"/>
      <c r="Z104" s="217"/>
      <c r="AA104" s="17">
        <v>0</v>
      </c>
      <c r="AB104" s="217"/>
      <c r="AC104" s="17"/>
      <c r="AD104" s="17"/>
      <c r="AE104" s="17"/>
      <c r="AF104" s="247"/>
      <c r="AG104" s="17"/>
      <c r="AH104" s="15">
        <f t="shared" si="13"/>
        <v>0</v>
      </c>
      <c r="AI104" s="22">
        <f t="shared" si="14"/>
        <v>10000</v>
      </c>
      <c r="AJ104" s="22">
        <f t="shared" si="15"/>
        <v>106000000</v>
      </c>
      <c r="AK104" s="119">
        <v>43826</v>
      </c>
    </row>
    <row r="105" spans="1:37" s="165" customFormat="1" hidden="1">
      <c r="A105" s="165" t="s">
        <v>1635</v>
      </c>
      <c r="B105" s="13">
        <v>43471</v>
      </c>
      <c r="C105" s="13" t="s">
        <v>1622</v>
      </c>
      <c r="D105" s="165" t="s">
        <v>1240</v>
      </c>
      <c r="E105" s="165" t="s">
        <v>1241</v>
      </c>
      <c r="F105" s="165" t="str">
        <f t="shared" si="9"/>
        <v>COMP_16.18_200_NL2018</v>
      </c>
      <c r="G105" s="165" t="s">
        <v>38</v>
      </c>
      <c r="H105" s="12"/>
      <c r="I105" s="12" t="s">
        <v>35</v>
      </c>
      <c r="J105" s="14">
        <v>200</v>
      </c>
      <c r="K105" s="15" t="s">
        <v>28</v>
      </c>
      <c r="L105" s="15"/>
      <c r="M105" s="16">
        <f t="shared" si="10"/>
        <v>3</v>
      </c>
      <c r="N105" s="15">
        <v>600</v>
      </c>
      <c r="O105" s="15">
        <v>6700</v>
      </c>
      <c r="P105" s="15">
        <f t="shared" si="11"/>
        <v>4020000</v>
      </c>
      <c r="Q105" s="15" t="str">
        <f t="shared" si="16"/>
        <v>Done</v>
      </c>
      <c r="R105" s="18" t="s">
        <v>44</v>
      </c>
      <c r="S105" s="117">
        <v>43511</v>
      </c>
      <c r="T105" s="20">
        <f>IFERROR(VLOOKUP(S105,'Date Converter'!$A$4:$C$368,3,0),"")</f>
        <v>43544</v>
      </c>
      <c r="U105" s="21">
        <f t="shared" si="17"/>
        <v>43544</v>
      </c>
      <c r="V105" s="12" t="s">
        <v>32</v>
      </c>
      <c r="W105" s="18" t="s">
        <v>39</v>
      </c>
      <c r="X105" s="18"/>
      <c r="Y105" s="18"/>
      <c r="Z105" s="210">
        <v>43544</v>
      </c>
      <c r="AA105" s="15">
        <v>600</v>
      </c>
      <c r="AB105" s="210"/>
      <c r="AC105" s="15"/>
      <c r="AD105" s="15"/>
      <c r="AE105" s="15"/>
      <c r="AF105" s="244"/>
      <c r="AG105" s="15"/>
      <c r="AH105" s="15">
        <f t="shared" si="13"/>
        <v>600</v>
      </c>
      <c r="AI105" s="22">
        <f t="shared" si="14"/>
        <v>0</v>
      </c>
      <c r="AJ105" s="22">
        <f t="shared" si="15"/>
        <v>0</v>
      </c>
      <c r="AK105" s="13">
        <v>43827</v>
      </c>
    </row>
    <row r="106" spans="1:37" s="165" customFormat="1" hidden="1">
      <c r="A106" s="198" t="s">
        <v>1643</v>
      </c>
      <c r="B106" s="119">
        <v>43543</v>
      </c>
      <c r="C106" s="119" t="s">
        <v>1622</v>
      </c>
      <c r="D106" s="198" t="s">
        <v>1240</v>
      </c>
      <c r="E106" s="198" t="s">
        <v>1241</v>
      </c>
      <c r="F106" s="198" t="str">
        <f t="shared" si="9"/>
        <v>BEAU_16.18_200_NL2018</v>
      </c>
      <c r="G106" s="226" t="s">
        <v>1645</v>
      </c>
      <c r="H106" s="213"/>
      <c r="I106" s="213" t="s">
        <v>35</v>
      </c>
      <c r="J106" s="214">
        <v>200</v>
      </c>
      <c r="K106" s="17" t="s">
        <v>28</v>
      </c>
      <c r="L106" s="17"/>
      <c r="M106" s="16">
        <f t="shared" si="10"/>
        <v>0</v>
      </c>
      <c r="N106" s="17">
        <f>10000-10000</f>
        <v>0</v>
      </c>
      <c r="O106" s="17"/>
      <c r="P106" s="17">
        <f t="shared" si="11"/>
        <v>0</v>
      </c>
      <c r="Q106" s="15" t="str">
        <f t="shared" si="16"/>
        <v>Canceled</v>
      </c>
      <c r="R106" s="200" t="s">
        <v>71</v>
      </c>
      <c r="S106" s="215">
        <v>43709</v>
      </c>
      <c r="T106" s="20">
        <f>IFERROR(VLOOKUP(S106,'Date Converter'!$A$4:$C$368,3,0),"")</f>
        <v>43737</v>
      </c>
      <c r="U106" s="21">
        <f t="shared" si="17"/>
        <v>43737</v>
      </c>
      <c r="V106" s="216" t="s">
        <v>51</v>
      </c>
      <c r="W106" s="200"/>
      <c r="X106" s="200"/>
      <c r="Y106" s="200"/>
      <c r="Z106" s="217"/>
      <c r="AA106" s="17">
        <v>0</v>
      </c>
      <c r="AB106" s="217"/>
      <c r="AC106" s="17"/>
      <c r="AD106" s="17"/>
      <c r="AE106" s="17"/>
      <c r="AF106" s="247"/>
      <c r="AG106" s="17"/>
      <c r="AH106" s="15">
        <f t="shared" si="13"/>
        <v>0</v>
      </c>
      <c r="AI106" s="22">
        <f t="shared" si="14"/>
        <v>0</v>
      </c>
      <c r="AJ106" s="22">
        <f t="shared" si="15"/>
        <v>0</v>
      </c>
      <c r="AK106" s="119">
        <v>43826</v>
      </c>
    </row>
    <row r="107" spans="1:37" hidden="1">
      <c r="A107" s="165" t="s">
        <v>1635</v>
      </c>
      <c r="B107" s="13">
        <v>43471</v>
      </c>
      <c r="C107" s="13" t="s">
        <v>1622</v>
      </c>
      <c r="D107" s="165" t="s">
        <v>1240</v>
      </c>
      <c r="E107" s="165" t="s">
        <v>1241</v>
      </c>
      <c r="F107" s="165" t="str">
        <f t="shared" si="9"/>
        <v>AMAT_12.14_400_NL2018</v>
      </c>
      <c r="G107" s="165" t="s">
        <v>112</v>
      </c>
      <c r="I107" s="12" t="s">
        <v>113</v>
      </c>
      <c r="J107" s="14">
        <v>400</v>
      </c>
      <c r="K107" s="15" t="s">
        <v>28</v>
      </c>
      <c r="M107" s="16">
        <f t="shared" si="10"/>
        <v>120</v>
      </c>
      <c r="N107" s="15">
        <v>48000</v>
      </c>
      <c r="O107" s="15">
        <v>2800</v>
      </c>
      <c r="P107" s="15">
        <f t="shared" si="11"/>
        <v>134400000</v>
      </c>
      <c r="Q107" s="15" t="str">
        <f t="shared" si="16"/>
        <v>Done</v>
      </c>
      <c r="R107" s="18" t="s">
        <v>44</v>
      </c>
      <c r="S107" s="117">
        <v>43511</v>
      </c>
      <c r="T107" s="20">
        <f>IFERROR(VLOOKUP(S107,'Date Converter'!$A$4:$C$368,3,0),"")</f>
        <v>43544</v>
      </c>
      <c r="U107" s="21">
        <f t="shared" si="17"/>
        <v>43544</v>
      </c>
      <c r="V107" s="12" t="s">
        <v>32</v>
      </c>
      <c r="W107" s="18" t="s">
        <v>39</v>
      </c>
      <c r="Y107" s="18"/>
      <c r="Z107" s="210">
        <v>43544</v>
      </c>
      <c r="AA107" s="15">
        <v>48000</v>
      </c>
      <c r="AB107" s="210"/>
      <c r="AC107" s="15"/>
      <c r="AD107" s="15"/>
      <c r="AE107" s="15"/>
      <c r="AF107" s="244"/>
      <c r="AG107" s="15"/>
      <c r="AH107" s="15">
        <f t="shared" si="13"/>
        <v>48000</v>
      </c>
      <c r="AI107" s="22">
        <f t="shared" si="14"/>
        <v>0</v>
      </c>
      <c r="AJ107" s="22">
        <f t="shared" si="15"/>
        <v>0</v>
      </c>
      <c r="AK107" s="13">
        <v>43826</v>
      </c>
    </row>
    <row r="108" spans="1:37" hidden="1">
      <c r="A108" s="165" t="s">
        <v>1635</v>
      </c>
      <c r="B108" s="13">
        <v>43471</v>
      </c>
      <c r="C108" s="13" t="s">
        <v>1622</v>
      </c>
      <c r="D108" s="165" t="s">
        <v>1240</v>
      </c>
      <c r="E108" s="165" t="s">
        <v>1241</v>
      </c>
      <c r="F108" s="165" t="str">
        <f t="shared" si="9"/>
        <v>AMAT_14.16_300_NL2018</v>
      </c>
      <c r="G108" s="165" t="s">
        <v>112</v>
      </c>
      <c r="I108" s="12" t="s">
        <v>47</v>
      </c>
      <c r="J108" s="14">
        <v>300</v>
      </c>
      <c r="K108" s="15" t="s">
        <v>28</v>
      </c>
      <c r="M108" s="16">
        <f t="shared" si="10"/>
        <v>149</v>
      </c>
      <c r="N108" s="15">
        <v>44700</v>
      </c>
      <c r="O108" s="15">
        <v>4200</v>
      </c>
      <c r="P108" s="15">
        <f t="shared" si="11"/>
        <v>187740000</v>
      </c>
      <c r="Q108" s="15" t="str">
        <f t="shared" si="16"/>
        <v>Done</v>
      </c>
      <c r="R108" s="18" t="s">
        <v>44</v>
      </c>
      <c r="S108" s="117">
        <v>43511</v>
      </c>
      <c r="T108" s="20">
        <f>IFERROR(VLOOKUP(S108,'Date Converter'!$A$4:$C$368,3,0),"")</f>
        <v>43544</v>
      </c>
      <c r="U108" s="21">
        <f t="shared" si="17"/>
        <v>43544</v>
      </c>
      <c r="V108" s="12" t="s">
        <v>32</v>
      </c>
      <c r="W108" s="18" t="s">
        <v>39</v>
      </c>
      <c r="Y108" s="18"/>
      <c r="Z108" s="210">
        <v>43544</v>
      </c>
      <c r="AA108" s="15">
        <f>22200+22500</f>
        <v>44700</v>
      </c>
      <c r="AB108" s="210"/>
      <c r="AC108" s="15"/>
      <c r="AD108" s="15"/>
      <c r="AE108" s="15"/>
      <c r="AF108" s="244"/>
      <c r="AG108" s="15"/>
      <c r="AH108" s="15">
        <f t="shared" si="13"/>
        <v>44700</v>
      </c>
      <c r="AI108" s="22">
        <f t="shared" si="14"/>
        <v>0</v>
      </c>
      <c r="AJ108" s="22">
        <f t="shared" si="15"/>
        <v>0</v>
      </c>
      <c r="AK108" s="13">
        <v>43826</v>
      </c>
    </row>
    <row r="109" spans="1:37" s="165" customFormat="1" hidden="1">
      <c r="A109" s="165" t="s">
        <v>1635</v>
      </c>
      <c r="B109" s="13">
        <v>43544</v>
      </c>
      <c r="C109" s="13" t="s">
        <v>1622</v>
      </c>
      <c r="D109" s="165" t="s">
        <v>1240</v>
      </c>
      <c r="E109" s="165" t="s">
        <v>1241</v>
      </c>
      <c r="F109" s="165" t="str">
        <f t="shared" si="9"/>
        <v>AMAT_14.16_275_NL2018</v>
      </c>
      <c r="G109" s="165" t="s">
        <v>112</v>
      </c>
      <c r="H109" s="12"/>
      <c r="I109" s="12" t="s">
        <v>47</v>
      </c>
      <c r="J109" s="14">
        <v>275</v>
      </c>
      <c r="K109" s="15" t="s">
        <v>28</v>
      </c>
      <c r="L109" s="15"/>
      <c r="M109" s="16">
        <f t="shared" si="10"/>
        <v>18</v>
      </c>
      <c r="N109" s="15">
        <v>4950</v>
      </c>
      <c r="O109" s="15">
        <v>4200</v>
      </c>
      <c r="P109" s="15">
        <f t="shared" si="11"/>
        <v>20790000</v>
      </c>
      <c r="Q109" s="15" t="str">
        <f t="shared" si="16"/>
        <v>Done</v>
      </c>
      <c r="R109" s="18" t="s">
        <v>44</v>
      </c>
      <c r="S109" s="211">
        <v>43539</v>
      </c>
      <c r="T109" s="20">
        <f>IFERROR(VLOOKUP(S109,'Date Converter'!$A$4:$C$368,3,0),"")</f>
        <v>43574</v>
      </c>
      <c r="U109" s="21">
        <f t="shared" si="17"/>
        <v>43574</v>
      </c>
      <c r="V109" s="12" t="s">
        <v>57</v>
      </c>
      <c r="W109" s="18"/>
      <c r="X109" s="18"/>
      <c r="Y109" s="18"/>
      <c r="Z109" s="210"/>
      <c r="AA109" s="15">
        <v>4950</v>
      </c>
      <c r="AB109" s="210"/>
      <c r="AC109" s="15"/>
      <c r="AD109" s="15"/>
      <c r="AE109" s="15"/>
      <c r="AF109" s="244"/>
      <c r="AG109" s="15"/>
      <c r="AH109" s="15">
        <f t="shared" si="13"/>
        <v>4950</v>
      </c>
      <c r="AI109" s="22">
        <f t="shared" si="14"/>
        <v>0</v>
      </c>
      <c r="AJ109" s="22">
        <f t="shared" si="15"/>
        <v>0</v>
      </c>
      <c r="AK109" s="13">
        <v>43827</v>
      </c>
    </row>
    <row r="110" spans="1:37" s="165" customFormat="1" hidden="1">
      <c r="A110" s="165" t="s">
        <v>1635</v>
      </c>
      <c r="B110" s="13">
        <v>43629</v>
      </c>
      <c r="C110" s="13" t="s">
        <v>1622</v>
      </c>
      <c r="D110" s="165" t="s">
        <v>1240</v>
      </c>
      <c r="E110" s="13" t="s">
        <v>1241</v>
      </c>
      <c r="F110" s="165" t="str">
        <f t="shared" si="9"/>
        <v>AMAT_14.16_300_NL2018</v>
      </c>
      <c r="G110" s="13" t="s">
        <v>112</v>
      </c>
      <c r="H110" s="12"/>
      <c r="I110" s="12" t="s">
        <v>47</v>
      </c>
      <c r="J110" s="14">
        <v>300</v>
      </c>
      <c r="K110" s="15" t="s">
        <v>28</v>
      </c>
      <c r="L110" s="15"/>
      <c r="M110" s="16">
        <f t="shared" si="10"/>
        <v>267</v>
      </c>
      <c r="N110" s="15">
        <v>80100</v>
      </c>
      <c r="O110" s="15">
        <v>4600</v>
      </c>
      <c r="P110" s="15">
        <f t="shared" si="11"/>
        <v>368460000</v>
      </c>
      <c r="Q110" s="15" t="str">
        <f t="shared" si="16"/>
        <v/>
      </c>
      <c r="R110" s="18" t="s">
        <v>31</v>
      </c>
      <c r="S110" s="23">
        <v>43631</v>
      </c>
      <c r="T110" s="20">
        <f>IFERROR(VLOOKUP(S110,'Date Converter'!$A$4:$C$368,3,0),"")</f>
        <v>43663</v>
      </c>
      <c r="U110" s="21">
        <f t="shared" si="17"/>
        <v>43663</v>
      </c>
      <c r="V110" s="20"/>
      <c r="W110" s="18"/>
      <c r="X110" s="18"/>
      <c r="Y110" s="12"/>
      <c r="Z110" s="206"/>
      <c r="AA110" s="15"/>
      <c r="AB110" s="206"/>
      <c r="AC110" s="12"/>
      <c r="AD110" s="206"/>
      <c r="AE110" s="12"/>
      <c r="AF110" s="245"/>
      <c r="AG110" s="12"/>
      <c r="AH110" s="15">
        <f t="shared" si="13"/>
        <v>0</v>
      </c>
      <c r="AI110" s="22">
        <f t="shared" si="14"/>
        <v>80100</v>
      </c>
      <c r="AJ110" s="22">
        <f t="shared" si="15"/>
        <v>368460000</v>
      </c>
    </row>
    <row r="111" spans="1:37" s="165" customFormat="1" hidden="1">
      <c r="A111" s="165" t="s">
        <v>1635</v>
      </c>
      <c r="B111" s="13">
        <v>43471</v>
      </c>
      <c r="C111" s="13" t="s">
        <v>1622</v>
      </c>
      <c r="D111" s="165" t="s">
        <v>1240</v>
      </c>
      <c r="E111" s="165" t="s">
        <v>1241</v>
      </c>
      <c r="F111" s="165" t="str">
        <f t="shared" si="9"/>
        <v>AMAT_14.16_275_NL2018</v>
      </c>
      <c r="G111" s="165" t="s">
        <v>112</v>
      </c>
      <c r="H111" s="12"/>
      <c r="I111" s="12" t="s">
        <v>47</v>
      </c>
      <c r="J111" s="14">
        <v>275</v>
      </c>
      <c r="K111" s="15" t="s">
        <v>28</v>
      </c>
      <c r="L111" s="15"/>
      <c r="M111" s="16">
        <f t="shared" si="10"/>
        <v>35</v>
      </c>
      <c r="N111" s="15">
        <v>9625</v>
      </c>
      <c r="O111" s="15">
        <v>4400</v>
      </c>
      <c r="P111" s="15">
        <f t="shared" si="11"/>
        <v>42350000</v>
      </c>
      <c r="Q111" s="15" t="str">
        <f t="shared" si="16"/>
        <v>Done</v>
      </c>
      <c r="R111" s="18" t="s">
        <v>44</v>
      </c>
      <c r="S111" s="212">
        <v>43584</v>
      </c>
      <c r="T111" s="20">
        <f>IFERROR(VLOOKUP(S111,'Date Converter'!$A$4:$C$368,3,0),"")</f>
        <v>43618</v>
      </c>
      <c r="U111" s="21">
        <f t="shared" si="17"/>
        <v>43618</v>
      </c>
      <c r="V111" s="20" t="s">
        <v>443</v>
      </c>
      <c r="W111" s="18"/>
      <c r="X111" s="18"/>
      <c r="Y111" s="18"/>
      <c r="Z111" s="210">
        <v>43624</v>
      </c>
      <c r="AA111" s="15">
        <v>9625</v>
      </c>
      <c r="AB111" s="210"/>
      <c r="AC111" s="15"/>
      <c r="AD111" s="15"/>
      <c r="AE111" s="15"/>
      <c r="AF111" s="244"/>
      <c r="AG111" s="15"/>
      <c r="AH111" s="15">
        <f t="shared" si="13"/>
        <v>9625</v>
      </c>
      <c r="AI111" s="22">
        <f t="shared" si="14"/>
        <v>0</v>
      </c>
      <c r="AJ111" s="22">
        <f t="shared" si="15"/>
        <v>0</v>
      </c>
      <c r="AK111" s="13">
        <v>43826</v>
      </c>
    </row>
    <row r="112" spans="1:37" hidden="1">
      <c r="A112" s="165" t="s">
        <v>1635</v>
      </c>
      <c r="B112" s="13">
        <v>43471</v>
      </c>
      <c r="C112" s="13" t="s">
        <v>1622</v>
      </c>
      <c r="D112" s="165" t="s">
        <v>1240</v>
      </c>
      <c r="E112" s="165" t="s">
        <v>1241</v>
      </c>
      <c r="F112" s="165" t="str">
        <f t="shared" si="9"/>
        <v>AMAT_14.16_300_NL2018</v>
      </c>
      <c r="G112" s="165" t="s">
        <v>112</v>
      </c>
      <c r="I112" s="12" t="s">
        <v>47</v>
      </c>
      <c r="J112" s="14">
        <v>300</v>
      </c>
      <c r="K112" s="15" t="s">
        <v>28</v>
      </c>
      <c r="M112" s="16">
        <f t="shared" si="10"/>
        <v>88</v>
      </c>
      <c r="N112" s="15">
        <f>25500+900</f>
        <v>26400</v>
      </c>
      <c r="O112" s="15">
        <v>4400</v>
      </c>
      <c r="P112" s="15">
        <f t="shared" si="11"/>
        <v>116160000</v>
      </c>
      <c r="Q112" s="15" t="str">
        <f t="shared" si="16"/>
        <v>Done</v>
      </c>
      <c r="R112" s="18" t="s">
        <v>44</v>
      </c>
      <c r="S112" s="212">
        <v>43584</v>
      </c>
      <c r="T112" s="20">
        <f>IFERROR(VLOOKUP(S112,'Date Converter'!$A$4:$C$368,3,0),"")</f>
        <v>43618</v>
      </c>
      <c r="U112" s="21">
        <f t="shared" si="17"/>
        <v>43618</v>
      </c>
      <c r="V112" s="20" t="s">
        <v>443</v>
      </c>
      <c r="Y112" s="18"/>
      <c r="Z112" s="210">
        <v>43624</v>
      </c>
      <c r="AA112" s="15">
        <f>25500+900</f>
        <v>26400</v>
      </c>
      <c r="AB112" s="210"/>
      <c r="AC112" s="15"/>
      <c r="AD112" s="15"/>
      <c r="AE112" s="15"/>
      <c r="AF112" s="244"/>
      <c r="AG112" s="15"/>
      <c r="AH112" s="15">
        <f t="shared" si="13"/>
        <v>26400</v>
      </c>
      <c r="AI112" s="22">
        <f t="shared" si="14"/>
        <v>0</v>
      </c>
      <c r="AJ112" s="22">
        <f t="shared" si="15"/>
        <v>0</v>
      </c>
      <c r="AK112" s="13">
        <v>43826</v>
      </c>
    </row>
    <row r="113" spans="1:37" hidden="1">
      <c r="A113" s="165" t="s">
        <v>1635</v>
      </c>
      <c r="B113" s="13">
        <v>43628</v>
      </c>
      <c r="C113" s="13" t="s">
        <v>1622</v>
      </c>
      <c r="D113" s="165" t="s">
        <v>1240</v>
      </c>
      <c r="E113" s="165" t="s">
        <v>1241</v>
      </c>
      <c r="F113" s="165" t="str">
        <f t="shared" si="9"/>
        <v>AMAT_14.16_275_NL2018</v>
      </c>
      <c r="G113" s="165" t="s">
        <v>112</v>
      </c>
      <c r="I113" s="12" t="s">
        <v>47</v>
      </c>
      <c r="J113" s="14">
        <v>275</v>
      </c>
      <c r="K113" s="15" t="s">
        <v>28</v>
      </c>
      <c r="M113" s="16">
        <f t="shared" si="10"/>
        <v>32</v>
      </c>
      <c r="N113" s="15">
        <v>8800</v>
      </c>
      <c r="O113" s="15">
        <v>4400</v>
      </c>
      <c r="P113" s="15">
        <f t="shared" si="11"/>
        <v>38720000</v>
      </c>
      <c r="Q113" s="15" t="str">
        <f t="shared" si="16"/>
        <v/>
      </c>
      <c r="R113" s="18" t="s">
        <v>63</v>
      </c>
      <c r="S113" s="212">
        <v>43605</v>
      </c>
      <c r="T113" s="20">
        <f>IFERROR(VLOOKUP(S113,'Date Converter'!$A$4:$C$368,3,0),"")</f>
        <v>43638</v>
      </c>
      <c r="U113" s="21">
        <f t="shared" si="17"/>
        <v>43638</v>
      </c>
      <c r="Y113" s="18"/>
      <c r="Z113" s="210">
        <v>43642</v>
      </c>
      <c r="AA113" s="15">
        <v>6600</v>
      </c>
      <c r="AB113" s="210"/>
      <c r="AC113" s="15"/>
      <c r="AD113" s="15"/>
      <c r="AE113" s="15"/>
      <c r="AF113" s="244"/>
      <c r="AG113" s="15"/>
      <c r="AH113" s="15">
        <f t="shared" si="13"/>
        <v>6600</v>
      </c>
      <c r="AI113" s="22">
        <f t="shared" si="14"/>
        <v>2200</v>
      </c>
      <c r="AJ113" s="22">
        <f t="shared" si="15"/>
        <v>9680000</v>
      </c>
      <c r="AK113" s="13"/>
    </row>
    <row r="114" spans="1:37" hidden="1">
      <c r="A114" s="165" t="s">
        <v>1635</v>
      </c>
      <c r="B114" s="13">
        <v>43471</v>
      </c>
      <c r="C114" s="13" t="s">
        <v>1622</v>
      </c>
      <c r="D114" s="165" t="s">
        <v>1240</v>
      </c>
      <c r="E114" s="165" t="s">
        <v>1241</v>
      </c>
      <c r="F114" s="165" t="str">
        <f t="shared" si="9"/>
        <v>ALUS_14.16_300_NL2018</v>
      </c>
      <c r="G114" s="165" t="s">
        <v>501</v>
      </c>
      <c r="I114" s="12" t="s">
        <v>47</v>
      </c>
      <c r="J114" s="14">
        <v>300</v>
      </c>
      <c r="K114" s="15" t="s">
        <v>28</v>
      </c>
      <c r="M114" s="16">
        <f t="shared" si="10"/>
        <v>50</v>
      </c>
      <c r="N114" s="15">
        <v>15000</v>
      </c>
      <c r="O114" s="15">
        <v>4000</v>
      </c>
      <c r="P114" s="15">
        <f t="shared" si="11"/>
        <v>60000000</v>
      </c>
      <c r="Q114" s="15" t="str">
        <f t="shared" si="16"/>
        <v>Done</v>
      </c>
      <c r="R114" s="18" t="s">
        <v>44</v>
      </c>
      <c r="S114" s="117">
        <v>43488</v>
      </c>
      <c r="T114" s="20">
        <f>IFERROR(VLOOKUP(S114,'Date Converter'!$A$4:$C$368,3,0),"")</f>
        <v>43523</v>
      </c>
      <c r="U114" s="21">
        <f t="shared" si="17"/>
        <v>43523</v>
      </c>
      <c r="V114" s="12" t="s">
        <v>69</v>
      </c>
      <c r="Y114" s="18"/>
      <c r="Z114" s="210">
        <v>43523</v>
      </c>
      <c r="AA114" s="15">
        <v>15000</v>
      </c>
      <c r="AB114" s="210"/>
      <c r="AC114" s="15"/>
      <c r="AD114" s="15"/>
      <c r="AE114" s="15"/>
      <c r="AF114" s="244"/>
      <c r="AG114" s="15"/>
      <c r="AH114" s="15">
        <f t="shared" si="13"/>
        <v>15000</v>
      </c>
      <c r="AI114" s="22">
        <f t="shared" si="14"/>
        <v>0</v>
      </c>
      <c r="AJ114" s="22">
        <f t="shared" si="15"/>
        <v>0</v>
      </c>
      <c r="AK114" s="13">
        <v>43809</v>
      </c>
    </row>
    <row r="115" spans="1:37" hidden="1">
      <c r="A115" s="165" t="s">
        <v>1646</v>
      </c>
      <c r="B115" s="13">
        <v>43626</v>
      </c>
      <c r="C115" s="13" t="s">
        <v>1622</v>
      </c>
      <c r="D115" s="165" t="s">
        <v>1051</v>
      </c>
      <c r="E115" s="13" t="s">
        <v>983</v>
      </c>
      <c r="F115" s="165" t="str">
        <f t="shared" si="9"/>
        <v>YELL_12.14_400_NL2018</v>
      </c>
      <c r="G115" s="13" t="s">
        <v>89</v>
      </c>
      <c r="I115" s="12" t="s">
        <v>113</v>
      </c>
      <c r="J115" s="14">
        <v>400</v>
      </c>
      <c r="K115" s="15" t="s">
        <v>28</v>
      </c>
      <c r="M115" s="16">
        <f t="shared" si="10"/>
        <v>13</v>
      </c>
      <c r="N115" s="15">
        <v>5200</v>
      </c>
      <c r="O115" s="15">
        <v>2800</v>
      </c>
      <c r="P115" s="15">
        <f t="shared" si="11"/>
        <v>14560000</v>
      </c>
      <c r="Q115" s="15" t="str">
        <f t="shared" si="16"/>
        <v>Done</v>
      </c>
      <c r="R115" s="18" t="s">
        <v>44</v>
      </c>
      <c r="S115" s="117">
        <v>43590</v>
      </c>
      <c r="T115" s="20">
        <f>IFERROR(VLOOKUP(S115,'Date Converter'!$A$4:$C$368,3,0),"")</f>
        <v>43623</v>
      </c>
      <c r="U115" s="21">
        <f t="shared" si="17"/>
        <v>43623</v>
      </c>
      <c r="V115" s="20"/>
      <c r="Y115" s="18"/>
      <c r="Z115" s="210">
        <v>43634</v>
      </c>
      <c r="AA115" s="15">
        <v>5200</v>
      </c>
      <c r="AB115" s="210"/>
      <c r="AC115" s="15"/>
      <c r="AD115" s="15"/>
      <c r="AE115" s="15"/>
      <c r="AF115" s="244"/>
      <c r="AG115" s="15"/>
      <c r="AH115" s="15">
        <f t="shared" si="13"/>
        <v>5200</v>
      </c>
      <c r="AI115" s="22">
        <f t="shared" si="14"/>
        <v>0</v>
      </c>
      <c r="AJ115" s="22">
        <f t="shared" si="15"/>
        <v>0</v>
      </c>
      <c r="AK115" s="165"/>
    </row>
    <row r="116" spans="1:37" hidden="1">
      <c r="A116" s="165" t="s">
        <v>1647</v>
      </c>
      <c r="B116" s="13">
        <v>43532</v>
      </c>
      <c r="C116" s="267" t="s">
        <v>1622</v>
      </c>
      <c r="D116" s="258" t="s">
        <v>1051</v>
      </c>
      <c r="E116" s="13" t="s">
        <v>983</v>
      </c>
      <c r="F116" s="165" t="str">
        <f t="shared" si="9"/>
        <v>YELL_16.18_200_NL2018</v>
      </c>
      <c r="G116" s="165" t="s">
        <v>89</v>
      </c>
      <c r="I116" s="12" t="s">
        <v>35</v>
      </c>
      <c r="J116" s="14">
        <v>200</v>
      </c>
      <c r="K116" s="15" t="s">
        <v>28</v>
      </c>
      <c r="M116" s="16">
        <f t="shared" si="10"/>
        <v>25</v>
      </c>
      <c r="N116" s="15">
        <v>5000</v>
      </c>
      <c r="O116" s="15">
        <v>5600</v>
      </c>
      <c r="P116" s="15">
        <f t="shared" si="11"/>
        <v>28000000</v>
      </c>
      <c r="Q116" s="15" t="str">
        <f t="shared" si="16"/>
        <v/>
      </c>
      <c r="R116" s="18" t="s">
        <v>29</v>
      </c>
      <c r="S116" s="117">
        <v>43709</v>
      </c>
      <c r="T116" s="20">
        <f>IFERROR(VLOOKUP(S116,'Date Converter'!$A$4:$C$368,3,0),"")</f>
        <v>43737</v>
      </c>
      <c r="U116" s="21">
        <f t="shared" si="17"/>
        <v>43737</v>
      </c>
      <c r="V116" s="12" t="s">
        <v>51</v>
      </c>
      <c r="Y116" s="18"/>
      <c r="Z116" s="210"/>
      <c r="AA116" s="15">
        <v>0</v>
      </c>
      <c r="AB116" s="210"/>
      <c r="AC116" s="15"/>
      <c r="AD116" s="15"/>
      <c r="AE116" s="15"/>
      <c r="AF116" s="244"/>
      <c r="AG116" s="15"/>
      <c r="AH116" s="15">
        <f t="shared" si="13"/>
        <v>0</v>
      </c>
      <c r="AI116" s="22">
        <f t="shared" si="14"/>
        <v>5000</v>
      </c>
      <c r="AJ116" s="22">
        <f t="shared" si="15"/>
        <v>28000000</v>
      </c>
      <c r="AK116" s="165"/>
    </row>
    <row r="117" spans="1:37" hidden="1">
      <c r="A117" s="165" t="s">
        <v>1646</v>
      </c>
      <c r="B117" s="13">
        <v>43532</v>
      </c>
      <c r="C117" s="13" t="s">
        <v>1622</v>
      </c>
      <c r="D117" s="165" t="s">
        <v>1051</v>
      </c>
      <c r="E117" s="13" t="s">
        <v>983</v>
      </c>
      <c r="F117" s="165" t="str">
        <f t="shared" si="9"/>
        <v>ROBI_16.18_200_NL2018</v>
      </c>
      <c r="G117" s="165" t="s">
        <v>61</v>
      </c>
      <c r="I117" s="12" t="s">
        <v>35</v>
      </c>
      <c r="J117" s="14">
        <v>200</v>
      </c>
      <c r="K117" s="15" t="s">
        <v>28</v>
      </c>
      <c r="M117" s="16">
        <f t="shared" si="10"/>
        <v>50</v>
      </c>
      <c r="N117" s="15">
        <v>10000</v>
      </c>
      <c r="O117" s="15">
        <v>5000</v>
      </c>
      <c r="P117" s="15">
        <f t="shared" si="11"/>
        <v>50000000</v>
      </c>
      <c r="Q117" s="15" t="str">
        <f t="shared" si="16"/>
        <v>Done</v>
      </c>
      <c r="R117" s="18" t="s">
        <v>44</v>
      </c>
      <c r="S117" s="117">
        <v>43539</v>
      </c>
      <c r="T117" s="20">
        <f>IFERROR(VLOOKUP(S117,'Date Converter'!$A$4:$C$368,3,0),"")</f>
        <v>43574</v>
      </c>
      <c r="U117" s="21">
        <f t="shared" si="17"/>
        <v>43574</v>
      </c>
      <c r="V117" s="20" t="s">
        <v>57</v>
      </c>
      <c r="W117" s="18" t="s">
        <v>118</v>
      </c>
      <c r="Y117" s="18"/>
      <c r="Z117" s="210">
        <v>43578</v>
      </c>
      <c r="AA117" s="15">
        <v>10000</v>
      </c>
      <c r="AB117" s="210"/>
      <c r="AC117" s="15"/>
      <c r="AD117" s="15"/>
      <c r="AE117" s="15"/>
      <c r="AF117" s="244"/>
      <c r="AG117" s="15"/>
      <c r="AH117" s="15">
        <f t="shared" si="13"/>
        <v>10000</v>
      </c>
      <c r="AI117" s="22">
        <f t="shared" si="14"/>
        <v>0</v>
      </c>
      <c r="AJ117" s="22">
        <f t="shared" si="15"/>
        <v>0</v>
      </c>
      <c r="AK117" s="165"/>
    </row>
    <row r="118" spans="1:37" s="165" customFormat="1" hidden="1">
      <c r="A118" s="165" t="s">
        <v>1646</v>
      </c>
      <c r="B118" s="13">
        <v>43532</v>
      </c>
      <c r="C118" s="13" t="s">
        <v>1622</v>
      </c>
      <c r="D118" s="165" t="s">
        <v>1051</v>
      </c>
      <c r="E118" s="13" t="s">
        <v>983</v>
      </c>
      <c r="F118" s="165" t="str">
        <f t="shared" si="9"/>
        <v>ROBI_16.18_200_NL2018</v>
      </c>
      <c r="G118" s="165" t="s">
        <v>61</v>
      </c>
      <c r="H118" s="12"/>
      <c r="I118" s="12" t="s">
        <v>35</v>
      </c>
      <c r="J118" s="14">
        <v>200</v>
      </c>
      <c r="K118" s="15" t="s">
        <v>28</v>
      </c>
      <c r="L118" s="15"/>
      <c r="M118" s="16">
        <f t="shared" si="10"/>
        <v>0</v>
      </c>
      <c r="N118" s="15">
        <f>10000-10000</f>
        <v>0</v>
      </c>
      <c r="O118" s="15">
        <v>5400</v>
      </c>
      <c r="P118" s="15">
        <f t="shared" si="11"/>
        <v>0</v>
      </c>
      <c r="Q118" s="15" t="str">
        <f t="shared" si="16"/>
        <v>Canceled</v>
      </c>
      <c r="R118" s="18" t="s">
        <v>71</v>
      </c>
      <c r="S118" s="117">
        <v>43587</v>
      </c>
      <c r="T118" s="20">
        <f>IFERROR(VLOOKUP(S118,'Date Converter'!$A$4:$C$368,3,0),"")</f>
        <v>43620</v>
      </c>
      <c r="U118" s="21">
        <f t="shared" si="17"/>
        <v>43620</v>
      </c>
      <c r="V118" s="20" t="s">
        <v>1632</v>
      </c>
      <c r="W118" s="18"/>
      <c r="X118" s="18"/>
      <c r="Y118" s="18"/>
      <c r="Z118" s="210"/>
      <c r="AA118" s="15">
        <v>0</v>
      </c>
      <c r="AB118" s="210"/>
      <c r="AC118" s="15"/>
      <c r="AD118" s="15"/>
      <c r="AE118" s="15"/>
      <c r="AF118" s="244"/>
      <c r="AG118" s="15"/>
      <c r="AH118" s="15">
        <f t="shared" si="13"/>
        <v>0</v>
      </c>
      <c r="AI118" s="22">
        <f t="shared" si="14"/>
        <v>0</v>
      </c>
      <c r="AJ118" s="22">
        <f t="shared" si="15"/>
        <v>0</v>
      </c>
    </row>
    <row r="119" spans="1:37" hidden="1">
      <c r="A119" s="165" t="s">
        <v>1647</v>
      </c>
      <c r="B119" s="13">
        <v>43532</v>
      </c>
      <c r="C119" s="267" t="s">
        <v>1622</v>
      </c>
      <c r="D119" s="258" t="s">
        <v>1051</v>
      </c>
      <c r="E119" s="13" t="s">
        <v>983</v>
      </c>
      <c r="F119" t="str">
        <f t="shared" si="9"/>
        <v>ROBI_22.24_100_NL2018</v>
      </c>
      <c r="G119" t="s">
        <v>61</v>
      </c>
      <c r="I119" s="12" t="s">
        <v>78</v>
      </c>
      <c r="J119" s="14">
        <v>100</v>
      </c>
      <c r="K119" s="15" t="s">
        <v>28</v>
      </c>
      <c r="M119" s="16">
        <f t="shared" si="10"/>
        <v>100</v>
      </c>
      <c r="N119" s="15">
        <f>15000-5000</f>
        <v>10000</v>
      </c>
      <c r="O119" s="15">
        <v>12500</v>
      </c>
      <c r="P119" s="15">
        <f t="shared" si="11"/>
        <v>125000000</v>
      </c>
      <c r="Q119" s="15" t="str">
        <f t="shared" si="16"/>
        <v/>
      </c>
      <c r="R119" s="18" t="s">
        <v>29</v>
      </c>
      <c r="S119" s="117">
        <v>43709</v>
      </c>
      <c r="T119" s="20">
        <f>IFERROR(VLOOKUP(S119,'Date Converter'!$A$4:$C$368,3,0),"")</f>
        <v>43737</v>
      </c>
      <c r="U119" s="21">
        <f t="shared" si="17"/>
        <v>43737</v>
      </c>
      <c r="V119" s="12" t="s">
        <v>51</v>
      </c>
      <c r="Y119" s="18"/>
      <c r="Z119" s="210"/>
      <c r="AA119" s="15">
        <v>0</v>
      </c>
      <c r="AB119" s="210"/>
      <c r="AC119" s="15"/>
      <c r="AD119" s="15"/>
      <c r="AE119" s="15"/>
      <c r="AF119" s="244"/>
      <c r="AG119" s="15"/>
      <c r="AH119" s="15">
        <f t="shared" si="13"/>
        <v>0</v>
      </c>
      <c r="AI119" s="22">
        <f t="shared" si="14"/>
        <v>10000</v>
      </c>
      <c r="AJ119" s="22">
        <f t="shared" si="15"/>
        <v>125000000</v>
      </c>
      <c r="AK119" s="165"/>
    </row>
    <row r="120" spans="1:37" hidden="1">
      <c r="A120" s="165" t="s">
        <v>1647</v>
      </c>
      <c r="B120" s="13">
        <v>43532</v>
      </c>
      <c r="C120" s="267" t="s">
        <v>1622</v>
      </c>
      <c r="D120" s="258" t="s">
        <v>1051</v>
      </c>
      <c r="E120" s="13" t="s">
        <v>983</v>
      </c>
      <c r="F120" t="str">
        <f t="shared" si="9"/>
        <v>ROBI_22.24_100_NZ2019</v>
      </c>
      <c r="G120" t="s">
        <v>61</v>
      </c>
      <c r="I120" s="12" t="s">
        <v>78</v>
      </c>
      <c r="J120" s="14">
        <v>100</v>
      </c>
      <c r="K120" s="15" t="s">
        <v>1507</v>
      </c>
      <c r="M120" s="16">
        <f t="shared" si="10"/>
        <v>50</v>
      </c>
      <c r="N120" s="15">
        <v>5000</v>
      </c>
      <c r="O120" s="15">
        <v>13000</v>
      </c>
      <c r="P120" s="15">
        <f t="shared" si="11"/>
        <v>65000000</v>
      </c>
      <c r="Q120" s="15" t="str">
        <f t="shared" si="16"/>
        <v/>
      </c>
      <c r="R120" s="18" t="s">
        <v>29</v>
      </c>
      <c r="S120" s="117">
        <v>43709</v>
      </c>
      <c r="T120" s="20">
        <f>IFERROR(VLOOKUP(S120,'Date Converter'!$A$4:$C$368,3,0),"")</f>
        <v>43737</v>
      </c>
      <c r="U120" s="21">
        <f t="shared" si="17"/>
        <v>43737</v>
      </c>
      <c r="V120" s="12" t="s">
        <v>51</v>
      </c>
      <c r="Y120" s="18"/>
      <c r="Z120" s="210"/>
      <c r="AA120" s="15">
        <v>0</v>
      </c>
      <c r="AB120" s="210"/>
      <c r="AC120" s="15"/>
      <c r="AD120" s="15"/>
      <c r="AE120" s="15"/>
      <c r="AF120" s="244"/>
      <c r="AG120" s="15"/>
      <c r="AH120" s="15">
        <f t="shared" si="13"/>
        <v>0</v>
      </c>
      <c r="AI120" s="22">
        <f t="shared" si="14"/>
        <v>5000</v>
      </c>
      <c r="AJ120" s="22">
        <f t="shared" si="15"/>
        <v>65000000</v>
      </c>
      <c r="AK120" s="165"/>
    </row>
    <row r="121" spans="1:37" hidden="1">
      <c r="A121" s="165" t="s">
        <v>1647</v>
      </c>
      <c r="B121" s="13">
        <v>43532</v>
      </c>
      <c r="C121" s="267" t="s">
        <v>1622</v>
      </c>
      <c r="D121" s="258" t="s">
        <v>1051</v>
      </c>
      <c r="E121" s="13" t="s">
        <v>983</v>
      </c>
      <c r="F121" t="str">
        <f t="shared" si="9"/>
        <v>CONC_22.24_100_NL2018</v>
      </c>
      <c r="G121" t="s">
        <v>40</v>
      </c>
      <c r="I121" s="12" t="s">
        <v>78</v>
      </c>
      <c r="J121" s="14">
        <v>100</v>
      </c>
      <c r="K121" s="15" t="s">
        <v>28</v>
      </c>
      <c r="M121" s="16">
        <f t="shared" si="10"/>
        <v>150</v>
      </c>
      <c r="N121" s="15">
        <v>15000</v>
      </c>
      <c r="O121" s="15">
        <v>12500</v>
      </c>
      <c r="P121" s="15">
        <f t="shared" si="11"/>
        <v>187500000</v>
      </c>
      <c r="Q121" s="15" t="str">
        <f t="shared" si="16"/>
        <v/>
      </c>
      <c r="R121" s="18" t="s">
        <v>29</v>
      </c>
      <c r="S121" s="117">
        <v>43709</v>
      </c>
      <c r="T121" s="20">
        <f>IFERROR(VLOOKUP(S121,'Date Converter'!$A$4:$C$368,3,0),"")</f>
        <v>43737</v>
      </c>
      <c r="U121" s="21">
        <f t="shared" si="17"/>
        <v>43737</v>
      </c>
      <c r="V121" s="12" t="s">
        <v>51</v>
      </c>
      <c r="Y121" s="18"/>
      <c r="Z121" s="210"/>
      <c r="AA121" s="15">
        <v>0</v>
      </c>
      <c r="AB121" s="210"/>
      <c r="AC121" s="15"/>
      <c r="AD121" s="15"/>
      <c r="AE121" s="15"/>
      <c r="AF121" s="244"/>
      <c r="AG121" s="15"/>
      <c r="AH121" s="15">
        <f t="shared" si="13"/>
        <v>0</v>
      </c>
      <c r="AI121" s="22">
        <f t="shared" si="14"/>
        <v>15000</v>
      </c>
      <c r="AJ121" s="22">
        <f t="shared" si="15"/>
        <v>187500000</v>
      </c>
      <c r="AK121" s="165"/>
    </row>
    <row r="122" spans="1:37" s="165" customFormat="1" hidden="1">
      <c r="A122" s="165" t="s">
        <v>1647</v>
      </c>
      <c r="B122" s="13">
        <v>43563</v>
      </c>
      <c r="C122" s="267" t="s">
        <v>1622</v>
      </c>
      <c r="D122" s="258" t="s">
        <v>1051</v>
      </c>
      <c r="E122" s="13" t="s">
        <v>983</v>
      </c>
      <c r="F122" s="165" t="str">
        <f t="shared" si="9"/>
        <v>CONC_18.20_150_NL2018</v>
      </c>
      <c r="G122" s="165" t="s">
        <v>40</v>
      </c>
      <c r="H122" s="12"/>
      <c r="I122" s="12" t="s">
        <v>27</v>
      </c>
      <c r="J122" s="14">
        <v>150</v>
      </c>
      <c r="K122" s="15" t="s">
        <v>28</v>
      </c>
      <c r="L122" s="15"/>
      <c r="M122" s="16">
        <f t="shared" si="10"/>
        <v>34</v>
      </c>
      <c r="N122" s="15">
        <v>5100</v>
      </c>
      <c r="O122" s="15">
        <v>8000</v>
      </c>
      <c r="P122" s="15">
        <f t="shared" si="11"/>
        <v>40800000</v>
      </c>
      <c r="Q122" s="15" t="str">
        <f t="shared" si="16"/>
        <v/>
      </c>
      <c r="R122" s="18" t="s">
        <v>29</v>
      </c>
      <c r="S122" s="117">
        <v>43709</v>
      </c>
      <c r="T122" s="20">
        <f>IFERROR(VLOOKUP(S122,'Date Converter'!$A$4:$C$368,3,0),"")</f>
        <v>43737</v>
      </c>
      <c r="U122" s="21">
        <f t="shared" si="17"/>
        <v>43737</v>
      </c>
      <c r="V122" s="12" t="s">
        <v>51</v>
      </c>
      <c r="W122" s="18"/>
      <c r="X122" s="18"/>
      <c r="Y122" s="18"/>
      <c r="Z122" s="210"/>
      <c r="AA122" s="15"/>
      <c r="AB122" s="210"/>
      <c r="AC122" s="15"/>
      <c r="AD122" s="15"/>
      <c r="AE122" s="15"/>
      <c r="AF122" s="244"/>
      <c r="AG122" s="15"/>
      <c r="AH122" s="15">
        <f t="shared" si="13"/>
        <v>0</v>
      </c>
      <c r="AI122" s="22">
        <f t="shared" si="14"/>
        <v>5100</v>
      </c>
      <c r="AJ122" s="22">
        <f t="shared" si="15"/>
        <v>40800000</v>
      </c>
    </row>
    <row r="123" spans="1:37" hidden="1">
      <c r="A123" t="s">
        <v>1647</v>
      </c>
      <c r="B123" s="13">
        <v>43563</v>
      </c>
      <c r="C123" s="267" t="s">
        <v>1622</v>
      </c>
      <c r="D123" s="258" t="s">
        <v>1051</v>
      </c>
      <c r="E123" s="13" t="s">
        <v>983</v>
      </c>
      <c r="F123" s="165" t="str">
        <f t="shared" si="9"/>
        <v>CONC_20.22_125_NL2018</v>
      </c>
      <c r="G123" s="165" t="s">
        <v>40</v>
      </c>
      <c r="I123" s="12" t="s">
        <v>74</v>
      </c>
      <c r="J123" s="14">
        <v>125</v>
      </c>
      <c r="K123" s="15" t="s">
        <v>28</v>
      </c>
      <c r="M123" s="16">
        <f t="shared" si="10"/>
        <v>40</v>
      </c>
      <c r="N123" s="15">
        <v>5000</v>
      </c>
      <c r="O123" s="15">
        <v>10600</v>
      </c>
      <c r="P123" s="15">
        <f t="shared" si="11"/>
        <v>53000000</v>
      </c>
      <c r="Q123" s="15" t="str">
        <f t="shared" si="16"/>
        <v/>
      </c>
      <c r="R123" s="18" t="s">
        <v>29</v>
      </c>
      <c r="S123" s="117">
        <v>43709</v>
      </c>
      <c r="T123" s="20">
        <f>IFERROR(VLOOKUP(S123,'Date Converter'!$A$4:$C$368,3,0),"")</f>
        <v>43737</v>
      </c>
      <c r="U123" s="21">
        <f t="shared" si="17"/>
        <v>43737</v>
      </c>
      <c r="V123" s="12" t="s">
        <v>51</v>
      </c>
      <c r="Y123" s="18"/>
      <c r="Z123" s="210"/>
      <c r="AA123" s="15"/>
      <c r="AB123" s="210"/>
      <c r="AC123" s="15"/>
      <c r="AD123" s="15"/>
      <c r="AE123" s="15"/>
      <c r="AF123" s="244"/>
      <c r="AG123" s="15"/>
      <c r="AH123" s="15">
        <f t="shared" si="13"/>
        <v>0</v>
      </c>
      <c r="AI123" s="22">
        <f t="shared" si="14"/>
        <v>5000</v>
      </c>
      <c r="AJ123" s="22">
        <f t="shared" si="15"/>
        <v>53000000</v>
      </c>
      <c r="AK123" s="165"/>
    </row>
    <row r="124" spans="1:37" hidden="1">
      <c r="A124" s="165" t="s">
        <v>1347</v>
      </c>
      <c r="B124" s="13">
        <v>43543</v>
      </c>
      <c r="C124" s="13" t="s">
        <v>23</v>
      </c>
      <c r="D124" s="258" t="s">
        <v>389</v>
      </c>
      <c r="E124" s="119" t="s">
        <v>391</v>
      </c>
      <c r="F124" s="165" t="str">
        <f t="shared" si="9"/>
        <v>ROBI_20.22_125_NL2018</v>
      </c>
      <c r="G124" s="13" t="s">
        <v>61</v>
      </c>
      <c r="I124" s="12" t="s">
        <v>74</v>
      </c>
      <c r="J124" s="31" t="s">
        <v>122</v>
      </c>
      <c r="K124" s="15" t="s">
        <v>28</v>
      </c>
      <c r="M124" s="16">
        <f t="shared" si="10"/>
        <v>40</v>
      </c>
      <c r="N124" s="15">
        <f>3000+2000</f>
        <v>5000</v>
      </c>
      <c r="O124" s="15">
        <v>10500</v>
      </c>
      <c r="P124" s="15">
        <f t="shared" si="11"/>
        <v>52500000</v>
      </c>
      <c r="Q124" s="15" t="str">
        <f t="shared" si="16"/>
        <v/>
      </c>
      <c r="R124" s="18" t="s">
        <v>29</v>
      </c>
      <c r="S124" s="23">
        <v>43709</v>
      </c>
      <c r="T124" s="20">
        <f>IFERROR(VLOOKUP(S124,'Date Converter'!$A$4:$C$368,3,0),"")</f>
        <v>43737</v>
      </c>
      <c r="U124" s="21">
        <f t="shared" si="17"/>
        <v>43737</v>
      </c>
      <c r="V124" s="12" t="s">
        <v>51</v>
      </c>
      <c r="AA124" s="15"/>
      <c r="AB124" s="206"/>
      <c r="AD124" s="12"/>
      <c r="AH124" s="15">
        <f t="shared" si="13"/>
        <v>0</v>
      </c>
      <c r="AI124" s="22">
        <f t="shared" si="14"/>
        <v>5000</v>
      </c>
      <c r="AJ124" s="22">
        <f t="shared" si="15"/>
        <v>52500000</v>
      </c>
      <c r="AK124" s="165"/>
    </row>
    <row r="125" spans="1:37" hidden="1">
      <c r="A125" s="165" t="s">
        <v>1347</v>
      </c>
      <c r="B125" s="13">
        <v>43543</v>
      </c>
      <c r="C125" s="13" t="s">
        <v>23</v>
      </c>
      <c r="D125" s="165" t="s">
        <v>389</v>
      </c>
      <c r="E125" s="13" t="s">
        <v>391</v>
      </c>
      <c r="F125" s="165" t="str">
        <f t="shared" si="9"/>
        <v>ROBI_22.24_100_NL2018</v>
      </c>
      <c r="G125" s="13" t="s">
        <v>61</v>
      </c>
      <c r="I125" s="12" t="s">
        <v>78</v>
      </c>
      <c r="J125" s="31" t="s">
        <v>206</v>
      </c>
      <c r="K125" s="15" t="s">
        <v>28</v>
      </c>
      <c r="M125" s="16">
        <f t="shared" si="10"/>
        <v>0</v>
      </c>
      <c r="N125" s="15">
        <f>2000-2000</f>
        <v>0</v>
      </c>
      <c r="O125" s="15">
        <v>12500</v>
      </c>
      <c r="P125" s="15">
        <f t="shared" si="11"/>
        <v>0</v>
      </c>
      <c r="Q125" s="15" t="str">
        <f t="shared" si="16"/>
        <v>Canceled</v>
      </c>
      <c r="R125" s="18" t="s">
        <v>71</v>
      </c>
      <c r="S125" s="23">
        <v>43709</v>
      </c>
      <c r="T125" s="20">
        <f>IFERROR(VLOOKUP(S125,'Date Converter'!$A$4:$C$368,3,0),"")</f>
        <v>43737</v>
      </c>
      <c r="U125" s="21">
        <f t="shared" si="17"/>
        <v>43737</v>
      </c>
      <c r="V125" s="12" t="s">
        <v>51</v>
      </c>
      <c r="AA125" s="15"/>
      <c r="AB125" s="206"/>
      <c r="AD125" s="12"/>
      <c r="AH125" s="15">
        <f t="shared" si="13"/>
        <v>0</v>
      </c>
      <c r="AI125" s="22">
        <f t="shared" si="14"/>
        <v>0</v>
      </c>
      <c r="AJ125" s="22">
        <f t="shared" si="15"/>
        <v>0</v>
      </c>
      <c r="AK125" s="165"/>
    </row>
    <row r="126" spans="1:37" s="165" customFormat="1" hidden="1">
      <c r="A126" s="165" t="s">
        <v>390</v>
      </c>
      <c r="B126" s="13">
        <v>43543</v>
      </c>
      <c r="C126" s="13" t="s">
        <v>23</v>
      </c>
      <c r="D126" s="165" t="s">
        <v>389</v>
      </c>
      <c r="E126" s="13" t="s">
        <v>391</v>
      </c>
      <c r="F126" s="165" t="str">
        <f t="shared" si="9"/>
        <v>PAVI_12.14_400_NL2018</v>
      </c>
      <c r="G126" s="13" t="s">
        <v>138</v>
      </c>
      <c r="H126" s="12"/>
      <c r="I126" s="12" t="s">
        <v>113</v>
      </c>
      <c r="J126" s="31" t="s">
        <v>128</v>
      </c>
      <c r="K126" s="15" t="s">
        <v>28</v>
      </c>
      <c r="L126" s="15"/>
      <c r="M126" s="16">
        <f t="shared" si="10"/>
        <v>24</v>
      </c>
      <c r="N126" s="15">
        <f>5600+4000</f>
        <v>9600</v>
      </c>
      <c r="O126" s="15">
        <v>2800</v>
      </c>
      <c r="P126" s="15">
        <f t="shared" si="11"/>
        <v>26880000</v>
      </c>
      <c r="Q126" s="15" t="str">
        <f t="shared" si="16"/>
        <v>Done</v>
      </c>
      <c r="R126" s="18" t="s">
        <v>44</v>
      </c>
      <c r="S126" s="23">
        <v>43539</v>
      </c>
      <c r="T126" s="20">
        <f>IFERROR(VLOOKUP(S126,'Date Converter'!$A$4:$C$368,3,0),"")</f>
        <v>43574</v>
      </c>
      <c r="U126" s="21">
        <f t="shared" si="17"/>
        <v>43574</v>
      </c>
      <c r="V126" s="12" t="s">
        <v>57</v>
      </c>
      <c r="W126" s="18" t="s">
        <v>132</v>
      </c>
      <c r="X126" s="18">
        <v>43574</v>
      </c>
      <c r="Y126" s="12"/>
      <c r="Z126" s="206">
        <v>43578</v>
      </c>
      <c r="AA126" s="15">
        <v>9600</v>
      </c>
      <c r="AB126" s="206"/>
      <c r="AC126" s="12"/>
      <c r="AD126" s="12"/>
      <c r="AE126" s="12"/>
      <c r="AF126" s="245"/>
      <c r="AG126" s="12"/>
      <c r="AH126" s="15">
        <f t="shared" si="13"/>
        <v>9600</v>
      </c>
      <c r="AI126" s="22">
        <f t="shared" si="14"/>
        <v>0</v>
      </c>
      <c r="AJ126" s="22">
        <f t="shared" si="15"/>
        <v>0</v>
      </c>
    </row>
    <row r="127" spans="1:37" s="165" customFormat="1" hidden="1">
      <c r="A127" s="165" t="s">
        <v>390</v>
      </c>
      <c r="B127" s="13">
        <v>43543</v>
      </c>
      <c r="C127" s="13" t="s">
        <v>23</v>
      </c>
      <c r="D127" s="165" t="s">
        <v>389</v>
      </c>
      <c r="E127" s="13" t="s">
        <v>391</v>
      </c>
      <c r="F127" s="165" t="str">
        <f t="shared" ref="F127:F190" si="18">SUBSTITUTE(LEFT(G127,4)&amp;"_"&amp;H127&amp;"_"&amp;I127&amp;"_"&amp;J127&amp;"_"&amp;K127,"__","_")</f>
        <v>PAVI_12.14_400_NL2018</v>
      </c>
      <c r="G127" s="13" t="s">
        <v>138</v>
      </c>
      <c r="H127" s="12"/>
      <c r="I127" s="12" t="s">
        <v>113</v>
      </c>
      <c r="J127" s="31" t="s">
        <v>128</v>
      </c>
      <c r="K127" s="15" t="s">
        <v>28</v>
      </c>
      <c r="L127" s="15"/>
      <c r="M127" s="16">
        <f t="shared" ref="M127:M190" si="19">+N127/J127</f>
        <v>0</v>
      </c>
      <c r="N127" s="15">
        <f>5200-5200</f>
        <v>0</v>
      </c>
      <c r="O127" s="15">
        <v>2800</v>
      </c>
      <c r="P127" s="15">
        <f t="shared" ref="P127:P190" si="20">+O127*N127</f>
        <v>0</v>
      </c>
      <c r="Q127" s="15" t="str">
        <f t="shared" si="16"/>
        <v>Canceled</v>
      </c>
      <c r="R127" s="18" t="s">
        <v>71</v>
      </c>
      <c r="S127" s="23">
        <v>43572</v>
      </c>
      <c r="T127" s="20">
        <f>IFERROR(VLOOKUP(S127,'Date Converter'!$A$4:$C$368,3,0),"")</f>
        <v>43606</v>
      </c>
      <c r="U127" s="21">
        <f t="shared" si="17"/>
        <v>43606</v>
      </c>
      <c r="V127" s="12" t="s">
        <v>36</v>
      </c>
      <c r="W127" s="18"/>
      <c r="X127" s="18"/>
      <c r="Y127" s="12"/>
      <c r="Z127" s="206"/>
      <c r="AA127" s="15"/>
      <c r="AB127" s="206"/>
      <c r="AC127" s="12"/>
      <c r="AD127" s="12"/>
      <c r="AE127" s="12"/>
      <c r="AF127" s="245"/>
      <c r="AG127" s="12"/>
      <c r="AH127" s="15">
        <f t="shared" ref="AH127:AH190" si="21">+AA127+AC127+AE127+AG127</f>
        <v>0</v>
      </c>
      <c r="AI127" s="22">
        <f t="shared" ref="AI127:AI190" si="22">+N127-AH127</f>
        <v>0</v>
      </c>
      <c r="AJ127" s="22">
        <f t="shared" ref="AJ127:AJ190" si="23">+AI127*O127</f>
        <v>0</v>
      </c>
    </row>
    <row r="128" spans="1:37" s="165" customFormat="1" hidden="1">
      <c r="A128" s="165" t="s">
        <v>1347</v>
      </c>
      <c r="B128" s="13">
        <v>43543</v>
      </c>
      <c r="C128" s="13" t="s">
        <v>23</v>
      </c>
      <c r="D128" s="258" t="s">
        <v>389</v>
      </c>
      <c r="E128" s="119" t="s">
        <v>391</v>
      </c>
      <c r="F128" s="165" t="str">
        <f t="shared" si="18"/>
        <v>PAVI_16.18_200_NL2018</v>
      </c>
      <c r="G128" s="13" t="s">
        <v>138</v>
      </c>
      <c r="H128" s="12"/>
      <c r="I128" s="12" t="s">
        <v>35</v>
      </c>
      <c r="J128" s="31" t="s">
        <v>121</v>
      </c>
      <c r="K128" s="15" t="s">
        <v>28</v>
      </c>
      <c r="L128" s="15"/>
      <c r="M128" s="16">
        <f t="shared" si="19"/>
        <v>35</v>
      </c>
      <c r="N128" s="15">
        <v>7000</v>
      </c>
      <c r="O128" s="15">
        <v>6100</v>
      </c>
      <c r="P128" s="15">
        <f t="shared" si="20"/>
        <v>42700000</v>
      </c>
      <c r="Q128" s="15" t="str">
        <f t="shared" si="16"/>
        <v/>
      </c>
      <c r="R128" s="18" t="s">
        <v>29</v>
      </c>
      <c r="S128" s="23">
        <v>43709</v>
      </c>
      <c r="T128" s="20">
        <f>IFERROR(VLOOKUP(S128,'Date Converter'!$A$4:$C$368,3,0),"")</f>
        <v>43737</v>
      </c>
      <c r="U128" s="21">
        <f t="shared" si="17"/>
        <v>43737</v>
      </c>
      <c r="V128" s="12" t="s">
        <v>51</v>
      </c>
      <c r="W128" s="18"/>
      <c r="X128" s="18"/>
      <c r="Y128" s="12"/>
      <c r="Z128" s="206"/>
      <c r="AA128" s="15"/>
      <c r="AB128" s="206"/>
      <c r="AC128" s="12"/>
      <c r="AD128" s="12"/>
      <c r="AE128" s="12"/>
      <c r="AF128" s="245"/>
      <c r="AG128" s="12"/>
      <c r="AH128" s="15">
        <f t="shared" si="21"/>
        <v>0</v>
      </c>
      <c r="AI128" s="22">
        <f t="shared" si="22"/>
        <v>7000</v>
      </c>
      <c r="AJ128" s="22">
        <f t="shared" si="23"/>
        <v>42700000</v>
      </c>
    </row>
    <row r="129" spans="1:36" s="165" customFormat="1" hidden="1">
      <c r="A129" s="165" t="s">
        <v>1358</v>
      </c>
      <c r="B129" s="13">
        <v>43559</v>
      </c>
      <c r="C129" s="13" t="s">
        <v>23</v>
      </c>
      <c r="D129" s="165" t="s">
        <v>389</v>
      </c>
      <c r="E129" s="119" t="s">
        <v>391</v>
      </c>
      <c r="F129" s="165" t="str">
        <f t="shared" si="18"/>
        <v>PAVI_12.14_400_NL2018</v>
      </c>
      <c r="G129" s="13" t="s">
        <v>138</v>
      </c>
      <c r="H129" s="12"/>
      <c r="I129" s="12" t="s">
        <v>113</v>
      </c>
      <c r="J129" s="31" t="s">
        <v>128</v>
      </c>
      <c r="K129" s="15" t="s">
        <v>28</v>
      </c>
      <c r="L129" s="15"/>
      <c r="M129" s="16">
        <f t="shared" si="19"/>
        <v>22</v>
      </c>
      <c r="N129" s="15">
        <f>10000+2000-400-3200+400</f>
        <v>8800</v>
      </c>
      <c r="O129" s="15">
        <v>3100</v>
      </c>
      <c r="P129" s="15">
        <f t="shared" si="20"/>
        <v>27280000</v>
      </c>
      <c r="Q129" s="15" t="str">
        <f t="shared" si="16"/>
        <v>Done</v>
      </c>
      <c r="R129" s="18" t="s">
        <v>44</v>
      </c>
      <c r="S129" s="23">
        <v>43590</v>
      </c>
      <c r="T129" s="20">
        <f>IFERROR(VLOOKUP(S129,'Date Converter'!$A$4:$C$368,3,0),"")</f>
        <v>43623</v>
      </c>
      <c r="U129" s="21">
        <f t="shared" si="17"/>
        <v>43623</v>
      </c>
      <c r="V129" s="12" t="s">
        <v>1356</v>
      </c>
      <c r="W129" s="18"/>
      <c r="X129" s="18"/>
      <c r="Y129" s="12"/>
      <c r="Z129" s="206">
        <v>43624</v>
      </c>
      <c r="AA129" s="15">
        <v>8400</v>
      </c>
      <c r="AB129" s="206">
        <v>43626</v>
      </c>
      <c r="AC129" s="15" t="s">
        <v>128</v>
      </c>
      <c r="AD129" s="12"/>
      <c r="AE129" s="12"/>
      <c r="AF129" s="245"/>
      <c r="AG129" s="12"/>
      <c r="AH129" s="15">
        <f t="shared" si="21"/>
        <v>8800</v>
      </c>
      <c r="AI129" s="22">
        <f t="shared" si="22"/>
        <v>0</v>
      </c>
      <c r="AJ129" s="22">
        <f t="shared" si="23"/>
        <v>0</v>
      </c>
    </row>
    <row r="130" spans="1:36" s="165" customFormat="1" hidden="1">
      <c r="A130" s="165" t="s">
        <v>1358</v>
      </c>
      <c r="B130" s="13">
        <v>43617</v>
      </c>
      <c r="C130" s="13" t="s">
        <v>23</v>
      </c>
      <c r="D130" s="165" t="s">
        <v>389</v>
      </c>
      <c r="E130" s="119" t="s">
        <v>391</v>
      </c>
      <c r="F130" s="165" t="str">
        <f t="shared" si="18"/>
        <v>PAVI_12.14_400_NL2018</v>
      </c>
      <c r="G130" s="13" t="s">
        <v>138</v>
      </c>
      <c r="H130" s="12"/>
      <c r="I130" s="12" t="s">
        <v>113</v>
      </c>
      <c r="J130" s="31" t="s">
        <v>128</v>
      </c>
      <c r="K130" s="15" t="s">
        <v>28</v>
      </c>
      <c r="L130" s="15"/>
      <c r="M130" s="16">
        <f t="shared" si="19"/>
        <v>25</v>
      </c>
      <c r="N130" s="15">
        <v>10000</v>
      </c>
      <c r="O130" s="15">
        <v>3000</v>
      </c>
      <c r="P130" s="15">
        <f t="shared" si="20"/>
        <v>30000000</v>
      </c>
      <c r="Q130" s="15" t="str">
        <f t="shared" si="16"/>
        <v/>
      </c>
      <c r="R130" s="18" t="s">
        <v>31</v>
      </c>
      <c r="S130" s="23">
        <v>43631</v>
      </c>
      <c r="T130" s="20">
        <f>IFERROR(VLOOKUP(S130,'Date Converter'!$A$4:$C$368,3,0),"")</f>
        <v>43663</v>
      </c>
      <c r="U130" s="21">
        <f t="shared" si="17"/>
        <v>43663</v>
      </c>
      <c r="V130" s="12"/>
      <c r="W130" s="18"/>
      <c r="X130" s="18"/>
      <c r="Y130" s="12"/>
      <c r="Z130" s="206"/>
      <c r="AA130" s="15"/>
      <c r="AB130" s="206"/>
      <c r="AC130" s="12"/>
      <c r="AD130" s="12"/>
      <c r="AE130" s="12"/>
      <c r="AF130" s="245"/>
      <c r="AG130" s="12"/>
      <c r="AH130" s="15">
        <f t="shared" si="21"/>
        <v>0</v>
      </c>
      <c r="AI130" s="22">
        <f t="shared" si="22"/>
        <v>10000</v>
      </c>
      <c r="AJ130" s="22">
        <f t="shared" si="23"/>
        <v>30000000</v>
      </c>
    </row>
    <row r="131" spans="1:36" s="165" customFormat="1" hidden="1">
      <c r="A131" s="165" t="s">
        <v>1347</v>
      </c>
      <c r="B131" s="13">
        <v>43543</v>
      </c>
      <c r="C131" s="13" t="s">
        <v>23</v>
      </c>
      <c r="D131" s="258" t="s">
        <v>389</v>
      </c>
      <c r="E131" s="119" t="s">
        <v>391</v>
      </c>
      <c r="F131" s="165" t="str">
        <f t="shared" si="18"/>
        <v>NELL_18.20_150_NL2018</v>
      </c>
      <c r="G131" s="13" t="s">
        <v>131</v>
      </c>
      <c r="H131" s="12"/>
      <c r="I131" s="12" t="s">
        <v>27</v>
      </c>
      <c r="J131" s="31" t="s">
        <v>126</v>
      </c>
      <c r="K131" s="15" t="s">
        <v>28</v>
      </c>
      <c r="L131" s="15"/>
      <c r="M131" s="16">
        <f t="shared" si="19"/>
        <v>20</v>
      </c>
      <c r="N131" s="15">
        <v>3000</v>
      </c>
      <c r="O131" s="15">
        <v>7200</v>
      </c>
      <c r="P131" s="15">
        <f t="shared" si="20"/>
        <v>21600000</v>
      </c>
      <c r="Q131" s="15" t="str">
        <f t="shared" ref="Q131:Q194" si="24">IF(AND(N131=0,AI131=0),"Canceled",IF(AND(N131&gt;0,AI131=0),"Done",""))</f>
        <v/>
      </c>
      <c r="R131" s="18" t="s">
        <v>29</v>
      </c>
      <c r="S131" s="23">
        <v>43709</v>
      </c>
      <c r="T131" s="20">
        <f>IFERROR(VLOOKUP(S131,'Date Converter'!$A$4:$C$368,3,0),"")</f>
        <v>43737</v>
      </c>
      <c r="U131" s="21">
        <f t="shared" si="17"/>
        <v>43737</v>
      </c>
      <c r="V131" s="12" t="s">
        <v>51</v>
      </c>
      <c r="W131" s="18"/>
      <c r="X131" s="18"/>
      <c r="Y131" s="12"/>
      <c r="Z131" s="206"/>
      <c r="AA131" s="15"/>
      <c r="AB131" s="206"/>
      <c r="AC131" s="12"/>
      <c r="AD131" s="12"/>
      <c r="AE131" s="12"/>
      <c r="AF131" s="245"/>
      <c r="AG131" s="12"/>
      <c r="AH131" s="15">
        <f t="shared" si="21"/>
        <v>0</v>
      </c>
      <c r="AI131" s="22">
        <f t="shared" si="22"/>
        <v>3000</v>
      </c>
      <c r="AJ131" s="22">
        <f t="shared" si="23"/>
        <v>21600000</v>
      </c>
    </row>
    <row r="132" spans="1:36" s="165" customFormat="1" ht="14.25" hidden="1" customHeight="1">
      <c r="A132" s="165" t="s">
        <v>1358</v>
      </c>
      <c r="B132" s="13">
        <v>43622</v>
      </c>
      <c r="C132" s="13" t="s">
        <v>23</v>
      </c>
      <c r="D132" s="165" t="s">
        <v>389</v>
      </c>
      <c r="E132" s="119" t="s">
        <v>391</v>
      </c>
      <c r="F132" s="165" t="str">
        <f t="shared" si="18"/>
        <v>NELL_12.14_400_NL2018</v>
      </c>
      <c r="G132" s="13" t="s">
        <v>131</v>
      </c>
      <c r="H132" s="12"/>
      <c r="I132" s="12" t="s">
        <v>113</v>
      </c>
      <c r="J132" s="31" t="s">
        <v>128</v>
      </c>
      <c r="K132" s="15" t="s">
        <v>28</v>
      </c>
      <c r="L132" s="15"/>
      <c r="M132" s="16">
        <f t="shared" si="19"/>
        <v>8</v>
      </c>
      <c r="N132" s="15">
        <v>3200</v>
      </c>
      <c r="O132" s="15">
        <v>3200</v>
      </c>
      <c r="P132" s="15">
        <f t="shared" si="20"/>
        <v>10240000</v>
      </c>
      <c r="Q132" s="15" t="str">
        <f t="shared" si="24"/>
        <v>Done</v>
      </c>
      <c r="R132" s="18" t="s">
        <v>44</v>
      </c>
      <c r="S132" s="23">
        <v>43590</v>
      </c>
      <c r="T132" s="20">
        <f>IFERROR(VLOOKUP(S132,'Date Converter'!$A$4:$C$368,3,0),"")</f>
        <v>43623</v>
      </c>
      <c r="U132" s="21">
        <f t="shared" si="17"/>
        <v>43623</v>
      </c>
      <c r="V132" s="12"/>
      <c r="W132" s="18"/>
      <c r="X132" s="18"/>
      <c r="Y132" s="12"/>
      <c r="Z132" s="206">
        <v>43624</v>
      </c>
      <c r="AA132" s="15">
        <v>3200</v>
      </c>
      <c r="AB132" s="206"/>
      <c r="AC132" s="12"/>
      <c r="AD132" s="12"/>
      <c r="AE132" s="12"/>
      <c r="AF132" s="245"/>
      <c r="AG132" s="12"/>
      <c r="AH132" s="15">
        <f t="shared" si="21"/>
        <v>3200</v>
      </c>
      <c r="AI132" s="22">
        <f t="shared" si="22"/>
        <v>0</v>
      </c>
      <c r="AJ132" s="22">
        <f t="shared" si="23"/>
        <v>0</v>
      </c>
    </row>
    <row r="133" spans="1:36" s="165" customFormat="1" hidden="1">
      <c r="A133" s="165" t="s">
        <v>1347</v>
      </c>
      <c r="B133" s="13">
        <v>43543</v>
      </c>
      <c r="C133" s="13" t="s">
        <v>23</v>
      </c>
      <c r="D133" s="258" t="s">
        <v>389</v>
      </c>
      <c r="E133" s="119" t="s">
        <v>391</v>
      </c>
      <c r="F133" s="165" t="str">
        <f t="shared" si="18"/>
        <v>MANI_24+_75_NL2018</v>
      </c>
      <c r="G133" s="13" t="s">
        <v>105</v>
      </c>
      <c r="H133" s="12"/>
      <c r="I133" s="12" t="s">
        <v>185</v>
      </c>
      <c r="J133" s="31" t="s">
        <v>392</v>
      </c>
      <c r="K133" s="15" t="s">
        <v>28</v>
      </c>
      <c r="L133" s="15"/>
      <c r="M133" s="16">
        <f t="shared" si="19"/>
        <v>68</v>
      </c>
      <c r="N133" s="15">
        <v>5100</v>
      </c>
      <c r="O133" s="15">
        <v>16000</v>
      </c>
      <c r="P133" s="15">
        <f t="shared" si="20"/>
        <v>81600000</v>
      </c>
      <c r="Q133" s="15" t="str">
        <f t="shared" si="24"/>
        <v/>
      </c>
      <c r="R133" s="18" t="s">
        <v>29</v>
      </c>
      <c r="S133" s="23">
        <v>43709</v>
      </c>
      <c r="T133" s="20">
        <f>IFERROR(VLOOKUP(S133,'Date Converter'!$A$4:$C$368,3,0),"")</f>
        <v>43737</v>
      </c>
      <c r="U133" s="21">
        <f t="shared" si="17"/>
        <v>43737</v>
      </c>
      <c r="V133" s="12" t="s">
        <v>51</v>
      </c>
      <c r="W133" s="18"/>
      <c r="X133" s="18"/>
      <c r="Y133" s="12"/>
      <c r="Z133" s="206"/>
      <c r="AA133" s="15"/>
      <c r="AB133" s="206"/>
      <c r="AC133" s="12"/>
      <c r="AD133" s="12"/>
      <c r="AE133" s="12"/>
      <c r="AF133" s="245"/>
      <c r="AG133" s="12"/>
      <c r="AH133" s="15">
        <f t="shared" si="21"/>
        <v>0</v>
      </c>
      <c r="AI133" s="22">
        <f t="shared" si="22"/>
        <v>5100</v>
      </c>
      <c r="AJ133" s="22">
        <f t="shared" si="23"/>
        <v>81600000</v>
      </c>
    </row>
    <row r="134" spans="1:36" s="165" customFormat="1" ht="15" hidden="1" customHeight="1">
      <c r="A134" s="165" t="s">
        <v>449</v>
      </c>
      <c r="B134" s="13">
        <v>43471</v>
      </c>
      <c r="C134" s="13" t="s">
        <v>23</v>
      </c>
      <c r="D134" s="165" t="s">
        <v>110</v>
      </c>
      <c r="E134" s="165" t="s">
        <v>111</v>
      </c>
      <c r="F134" s="165" t="str">
        <f t="shared" si="18"/>
        <v>YELL_16.18_200_NL2018</v>
      </c>
      <c r="G134" s="165" t="s">
        <v>89</v>
      </c>
      <c r="H134" s="12"/>
      <c r="I134" s="12" t="s">
        <v>35</v>
      </c>
      <c r="J134" s="14">
        <v>200</v>
      </c>
      <c r="K134" s="15" t="s">
        <v>28</v>
      </c>
      <c r="L134" s="15"/>
      <c r="M134" s="16">
        <f t="shared" si="19"/>
        <v>71</v>
      </c>
      <c r="N134" s="15">
        <v>14200</v>
      </c>
      <c r="O134" s="15">
        <v>5000</v>
      </c>
      <c r="P134" s="15">
        <f t="shared" si="20"/>
        <v>71000000</v>
      </c>
      <c r="Q134" s="15" t="str">
        <f t="shared" si="24"/>
        <v>Done</v>
      </c>
      <c r="R134" s="18" t="s">
        <v>44</v>
      </c>
      <c r="S134" s="19">
        <v>43481</v>
      </c>
      <c r="T134" s="20">
        <f>IFERROR(VLOOKUP(S134,'Date Converter'!$A$4:$C$368,3,0),"")</f>
        <v>43516</v>
      </c>
      <c r="U134" s="21">
        <f t="shared" si="17"/>
        <v>43516</v>
      </c>
      <c r="V134" s="20" t="s">
        <v>114</v>
      </c>
      <c r="W134" s="18"/>
      <c r="X134" s="18"/>
      <c r="Y134" s="15"/>
      <c r="Z134" s="206">
        <v>43516</v>
      </c>
      <c r="AA134" s="15">
        <v>14200</v>
      </c>
      <c r="AB134" s="206"/>
      <c r="AC134" s="15"/>
      <c r="AD134" s="15"/>
      <c r="AE134" s="15"/>
      <c r="AF134" s="244"/>
      <c r="AG134" s="15"/>
      <c r="AH134" s="15">
        <f t="shared" si="21"/>
        <v>14200</v>
      </c>
      <c r="AI134" s="22">
        <f t="shared" si="22"/>
        <v>0</v>
      </c>
      <c r="AJ134" s="22">
        <f t="shared" si="23"/>
        <v>0</v>
      </c>
    </row>
    <row r="135" spans="1:36" s="165" customFormat="1" hidden="1">
      <c r="A135" s="165" t="s">
        <v>449</v>
      </c>
      <c r="B135" s="13">
        <v>43471</v>
      </c>
      <c r="C135" s="13" t="s">
        <v>23</v>
      </c>
      <c r="D135" s="165" t="s">
        <v>110</v>
      </c>
      <c r="E135" s="165" t="s">
        <v>111</v>
      </c>
      <c r="F135" s="165" t="str">
        <f t="shared" si="18"/>
        <v>TEBA_14.16_300_NL2018</v>
      </c>
      <c r="G135" s="165" t="s">
        <v>127</v>
      </c>
      <c r="H135" s="12"/>
      <c r="I135" s="12" t="s">
        <v>47</v>
      </c>
      <c r="J135" s="14">
        <v>300</v>
      </c>
      <c r="K135" s="15" t="s">
        <v>28</v>
      </c>
      <c r="L135" s="15"/>
      <c r="M135" s="16">
        <f t="shared" si="19"/>
        <v>3</v>
      </c>
      <c r="N135" s="15">
        <v>900</v>
      </c>
      <c r="O135" s="15">
        <v>4100</v>
      </c>
      <c r="P135" s="15">
        <f t="shared" si="20"/>
        <v>3690000</v>
      </c>
      <c r="Q135" s="15" t="str">
        <f t="shared" si="24"/>
        <v>Done</v>
      </c>
      <c r="R135" s="18" t="s">
        <v>44</v>
      </c>
      <c r="S135" s="23" t="s">
        <v>53</v>
      </c>
      <c r="T135" s="20">
        <f>IFERROR(VLOOKUP(S135,'Date Converter'!$A$4:$C$368,3,0),"")</f>
        <v>43559</v>
      </c>
      <c r="U135" s="21">
        <f t="shared" si="17"/>
        <v>43559</v>
      </c>
      <c r="V135" s="20" t="s">
        <v>54</v>
      </c>
      <c r="W135" s="18"/>
      <c r="X135" s="18"/>
      <c r="Y135" s="15"/>
      <c r="Z135" s="206">
        <v>43558</v>
      </c>
      <c r="AA135" s="15">
        <v>900</v>
      </c>
      <c r="AB135" s="206"/>
      <c r="AC135" s="15"/>
      <c r="AD135" s="15"/>
      <c r="AE135" s="15"/>
      <c r="AF135" s="244"/>
      <c r="AG135" s="15"/>
      <c r="AH135" s="15">
        <f t="shared" si="21"/>
        <v>900</v>
      </c>
      <c r="AI135" s="22">
        <f t="shared" si="22"/>
        <v>0</v>
      </c>
      <c r="AJ135" s="22">
        <f t="shared" si="23"/>
        <v>0</v>
      </c>
    </row>
    <row r="136" spans="1:36" s="165" customFormat="1" hidden="1">
      <c r="A136" s="165" t="s">
        <v>491</v>
      </c>
      <c r="B136" s="13">
        <v>43598</v>
      </c>
      <c r="C136" s="13" t="s">
        <v>23</v>
      </c>
      <c r="D136" s="165" t="s">
        <v>110</v>
      </c>
      <c r="E136" s="198" t="s">
        <v>111</v>
      </c>
      <c r="F136" s="165" t="str">
        <f t="shared" si="18"/>
        <v>TEBA_14.16_300_NL2018</v>
      </c>
      <c r="G136" s="165" t="s">
        <v>127</v>
      </c>
      <c r="H136" s="12"/>
      <c r="I136" s="12" t="s">
        <v>47</v>
      </c>
      <c r="J136" s="14">
        <v>300</v>
      </c>
      <c r="K136" s="15" t="s">
        <v>28</v>
      </c>
      <c r="L136" s="15"/>
      <c r="M136" s="16">
        <f t="shared" si="19"/>
        <v>10</v>
      </c>
      <c r="N136" s="15">
        <v>3000</v>
      </c>
      <c r="O136" s="15">
        <v>4200</v>
      </c>
      <c r="P136" s="15">
        <f t="shared" si="20"/>
        <v>12600000</v>
      </c>
      <c r="Q136" s="15" t="str">
        <f t="shared" si="24"/>
        <v>Done</v>
      </c>
      <c r="R136" s="18" t="s">
        <v>44</v>
      </c>
      <c r="S136" s="23">
        <v>43572</v>
      </c>
      <c r="T136" s="20">
        <f>IFERROR(VLOOKUP(S136,'Date Converter'!$A$4:$C$368,3,0),"")</f>
        <v>43606</v>
      </c>
      <c r="U136" s="21">
        <f t="shared" si="17"/>
        <v>43606</v>
      </c>
      <c r="V136" s="20" t="s">
        <v>479</v>
      </c>
      <c r="W136" s="18"/>
      <c r="X136" s="18"/>
      <c r="Y136" s="15"/>
      <c r="Z136" s="206">
        <v>43604</v>
      </c>
      <c r="AA136" s="15">
        <v>3000</v>
      </c>
      <c r="AB136" s="206"/>
      <c r="AC136" s="15"/>
      <c r="AD136" s="15"/>
      <c r="AE136" s="15"/>
      <c r="AF136" s="244"/>
      <c r="AG136" s="15"/>
      <c r="AH136" s="15">
        <f t="shared" si="21"/>
        <v>3000</v>
      </c>
      <c r="AI136" s="22">
        <f t="shared" si="22"/>
        <v>0</v>
      </c>
      <c r="AJ136" s="22">
        <f t="shared" si="23"/>
        <v>0</v>
      </c>
    </row>
    <row r="137" spans="1:36" s="165" customFormat="1" hidden="1">
      <c r="A137" s="165" t="s">
        <v>447</v>
      </c>
      <c r="B137" s="13">
        <v>43540</v>
      </c>
      <c r="C137" s="13" t="s">
        <v>23</v>
      </c>
      <c r="D137" s="258" t="s">
        <v>110</v>
      </c>
      <c r="E137" s="198" t="s">
        <v>111</v>
      </c>
      <c r="F137" s="165" t="str">
        <f t="shared" si="18"/>
        <v>PROF_22.24_100_NL2018</v>
      </c>
      <c r="G137" s="165" t="s">
        <v>56</v>
      </c>
      <c r="H137" s="12"/>
      <c r="I137" s="12" t="s">
        <v>78</v>
      </c>
      <c r="J137" s="14">
        <v>100</v>
      </c>
      <c r="K137" s="15" t="s">
        <v>28</v>
      </c>
      <c r="L137" s="15"/>
      <c r="M137" s="16">
        <f t="shared" si="19"/>
        <v>60</v>
      </c>
      <c r="N137" s="15">
        <v>6000</v>
      </c>
      <c r="O137" s="15">
        <v>14200</v>
      </c>
      <c r="P137" s="15">
        <f t="shared" si="20"/>
        <v>85200000</v>
      </c>
      <c r="Q137" s="15" t="str">
        <f t="shared" si="24"/>
        <v/>
      </c>
      <c r="R137" s="18" t="s">
        <v>29</v>
      </c>
      <c r="S137" s="19">
        <v>43709</v>
      </c>
      <c r="T137" s="20">
        <f>IFERROR(VLOOKUP(S137,'Date Converter'!$A$4:$C$368,3,0),"")</f>
        <v>43737</v>
      </c>
      <c r="U137" s="21">
        <f t="shared" si="17"/>
        <v>43737</v>
      </c>
      <c r="V137" s="20" t="s">
        <v>51</v>
      </c>
      <c r="W137" s="18"/>
      <c r="X137" s="18"/>
      <c r="Y137" s="15"/>
      <c r="Z137" s="206"/>
      <c r="AA137" s="15"/>
      <c r="AB137" s="206"/>
      <c r="AC137" s="15"/>
      <c r="AD137" s="15"/>
      <c r="AE137" s="15"/>
      <c r="AF137" s="244"/>
      <c r="AG137" s="15"/>
      <c r="AH137" s="15">
        <f t="shared" si="21"/>
        <v>0</v>
      </c>
      <c r="AI137" s="22">
        <f t="shared" si="22"/>
        <v>6000</v>
      </c>
      <c r="AJ137" s="22">
        <f t="shared" si="23"/>
        <v>85200000</v>
      </c>
    </row>
    <row r="138" spans="1:36" s="165" customFormat="1" hidden="1">
      <c r="A138" s="165" t="s">
        <v>1372</v>
      </c>
      <c r="B138" s="13">
        <v>43564</v>
      </c>
      <c r="C138" s="13" t="s">
        <v>23</v>
      </c>
      <c r="D138" s="165" t="s">
        <v>110</v>
      </c>
      <c r="E138" s="165" t="s">
        <v>111</v>
      </c>
      <c r="F138" s="165" t="str">
        <f t="shared" si="18"/>
        <v>PAVI_12.14_400_NL2018</v>
      </c>
      <c r="G138" s="165" t="s">
        <v>138</v>
      </c>
      <c r="H138" s="12"/>
      <c r="I138" s="12" t="s">
        <v>113</v>
      </c>
      <c r="J138" s="14">
        <v>400</v>
      </c>
      <c r="K138" s="15" t="s">
        <v>28</v>
      </c>
      <c r="L138" s="15"/>
      <c r="M138" s="16">
        <f t="shared" si="19"/>
        <v>5</v>
      </c>
      <c r="N138" s="15">
        <v>2000</v>
      </c>
      <c r="O138" s="15">
        <v>3000</v>
      </c>
      <c r="P138" s="15">
        <f t="shared" si="20"/>
        <v>6000000</v>
      </c>
      <c r="Q138" s="15" t="str">
        <f t="shared" si="24"/>
        <v>Done</v>
      </c>
      <c r="R138" s="18" t="s">
        <v>44</v>
      </c>
      <c r="S138" s="19">
        <v>43539</v>
      </c>
      <c r="T138" s="20">
        <f>IFERROR(VLOOKUP(S138,'Date Converter'!$A$4:$C$368,3,0),"")</f>
        <v>43574</v>
      </c>
      <c r="U138" s="21">
        <f t="shared" si="17"/>
        <v>43574</v>
      </c>
      <c r="V138" s="20" t="s">
        <v>57</v>
      </c>
      <c r="W138" s="18"/>
      <c r="X138" s="18"/>
      <c r="Y138" s="15"/>
      <c r="Z138" s="206">
        <v>43578</v>
      </c>
      <c r="AA138" s="15">
        <v>2000</v>
      </c>
      <c r="AB138" s="206"/>
      <c r="AC138" s="15"/>
      <c r="AD138" s="15"/>
      <c r="AE138" s="15"/>
      <c r="AF138" s="244"/>
      <c r="AG138" s="15"/>
      <c r="AH138" s="15">
        <f t="shared" si="21"/>
        <v>2000</v>
      </c>
      <c r="AI138" s="22">
        <f t="shared" si="22"/>
        <v>0</v>
      </c>
      <c r="AJ138" s="22">
        <f t="shared" si="23"/>
        <v>0</v>
      </c>
    </row>
    <row r="139" spans="1:36" s="165" customFormat="1" hidden="1">
      <c r="A139" s="165" t="s">
        <v>447</v>
      </c>
      <c r="B139" s="13">
        <v>43540</v>
      </c>
      <c r="C139" s="13" t="s">
        <v>23</v>
      </c>
      <c r="D139" s="258" t="s">
        <v>110</v>
      </c>
      <c r="E139" s="198" t="s">
        <v>111</v>
      </c>
      <c r="F139" s="165" t="str">
        <f t="shared" si="18"/>
        <v>NELL_18.20_150_NL2018</v>
      </c>
      <c r="G139" s="165" t="s">
        <v>131</v>
      </c>
      <c r="H139" s="12"/>
      <c r="I139" s="12" t="s">
        <v>27</v>
      </c>
      <c r="J139" s="14">
        <v>150</v>
      </c>
      <c r="K139" s="15" t="s">
        <v>28</v>
      </c>
      <c r="L139" s="15"/>
      <c r="M139" s="16">
        <f t="shared" si="19"/>
        <v>134</v>
      </c>
      <c r="N139" s="15">
        <v>20100</v>
      </c>
      <c r="O139" s="15">
        <v>7200</v>
      </c>
      <c r="P139" s="15">
        <f t="shared" si="20"/>
        <v>144720000</v>
      </c>
      <c r="Q139" s="15" t="str">
        <f t="shared" si="24"/>
        <v/>
      </c>
      <c r="R139" s="18" t="s">
        <v>29</v>
      </c>
      <c r="S139" s="19">
        <v>43709</v>
      </c>
      <c r="T139" s="20">
        <f>IFERROR(VLOOKUP(S139,'Date Converter'!$A$4:$C$368,3,0),"")</f>
        <v>43737</v>
      </c>
      <c r="U139" s="21">
        <f t="shared" si="17"/>
        <v>43737</v>
      </c>
      <c r="V139" s="20" t="s">
        <v>51</v>
      </c>
      <c r="W139" s="18"/>
      <c r="X139" s="18"/>
      <c r="Y139" s="15"/>
      <c r="Z139" s="206"/>
      <c r="AA139" s="15"/>
      <c r="AB139" s="206"/>
      <c r="AC139" s="15"/>
      <c r="AD139" s="15"/>
      <c r="AE139" s="15"/>
      <c r="AF139" s="244"/>
      <c r="AG139" s="15"/>
      <c r="AH139" s="15">
        <f t="shared" si="21"/>
        <v>0</v>
      </c>
      <c r="AI139" s="22">
        <f t="shared" si="22"/>
        <v>20100</v>
      </c>
      <c r="AJ139" s="22">
        <f t="shared" si="23"/>
        <v>144720000</v>
      </c>
    </row>
    <row r="140" spans="1:36" s="165" customFormat="1" hidden="1">
      <c r="A140" s="165" t="s">
        <v>491</v>
      </c>
      <c r="B140" s="13">
        <v>43598</v>
      </c>
      <c r="C140" s="13" t="s">
        <v>23</v>
      </c>
      <c r="D140" s="165" t="s">
        <v>110</v>
      </c>
      <c r="E140" s="198" t="s">
        <v>111</v>
      </c>
      <c r="F140" s="165" t="str">
        <f t="shared" si="18"/>
        <v>NASH_14.16_300_NL2018</v>
      </c>
      <c r="G140" s="165" t="s">
        <v>123</v>
      </c>
      <c r="H140" s="12"/>
      <c r="I140" s="12" t="s">
        <v>47</v>
      </c>
      <c r="J140" s="14">
        <v>300</v>
      </c>
      <c r="K140" s="15" t="s">
        <v>28</v>
      </c>
      <c r="L140" s="15"/>
      <c r="M140" s="16">
        <f t="shared" si="19"/>
        <v>10</v>
      </c>
      <c r="N140" s="15">
        <v>3000</v>
      </c>
      <c r="O140" s="15">
        <v>3900</v>
      </c>
      <c r="P140" s="15">
        <f t="shared" si="20"/>
        <v>11700000</v>
      </c>
      <c r="Q140" s="15" t="str">
        <f t="shared" si="24"/>
        <v>Done</v>
      </c>
      <c r="R140" s="18" t="s">
        <v>44</v>
      </c>
      <c r="S140" s="23">
        <v>43572</v>
      </c>
      <c r="T140" s="20">
        <f>IFERROR(VLOOKUP(S140,'Date Converter'!$A$4:$C$368,3,0),"")</f>
        <v>43606</v>
      </c>
      <c r="U140" s="21">
        <f t="shared" si="17"/>
        <v>43606</v>
      </c>
      <c r="V140" s="20" t="s">
        <v>479</v>
      </c>
      <c r="W140" s="18"/>
      <c r="X140" s="18"/>
      <c r="Y140" s="15"/>
      <c r="Z140" s="206">
        <v>43604</v>
      </c>
      <c r="AA140" s="15">
        <v>3000</v>
      </c>
      <c r="AB140" s="206"/>
      <c r="AC140" s="15"/>
      <c r="AD140" s="15"/>
      <c r="AE140" s="15"/>
      <c r="AF140" s="244"/>
      <c r="AG140" s="15"/>
      <c r="AH140" s="15">
        <f t="shared" si="21"/>
        <v>3000</v>
      </c>
      <c r="AI140" s="22">
        <f t="shared" si="22"/>
        <v>0</v>
      </c>
      <c r="AJ140" s="22">
        <f t="shared" si="23"/>
        <v>0</v>
      </c>
    </row>
    <row r="141" spans="1:36" s="165" customFormat="1" hidden="1">
      <c r="A141" s="165" t="s">
        <v>447</v>
      </c>
      <c r="B141" s="13">
        <v>43540</v>
      </c>
      <c r="C141" s="13" t="s">
        <v>23</v>
      </c>
      <c r="D141" s="258" t="s">
        <v>110</v>
      </c>
      <c r="E141" s="198" t="s">
        <v>111</v>
      </c>
      <c r="F141" s="165" t="str">
        <f t="shared" si="18"/>
        <v>DALI_20.22_125_NL2018</v>
      </c>
      <c r="G141" s="165" t="s">
        <v>46</v>
      </c>
      <c r="H141" s="12"/>
      <c r="I141" s="12" t="s">
        <v>74</v>
      </c>
      <c r="J141" s="14">
        <v>125</v>
      </c>
      <c r="K141" s="15" t="s">
        <v>28</v>
      </c>
      <c r="L141" s="15"/>
      <c r="M141" s="16">
        <f t="shared" si="19"/>
        <v>24</v>
      </c>
      <c r="N141" s="15">
        <v>3000</v>
      </c>
      <c r="O141" s="15">
        <v>14200</v>
      </c>
      <c r="P141" s="15">
        <f t="shared" si="20"/>
        <v>42600000</v>
      </c>
      <c r="Q141" s="15" t="str">
        <f t="shared" si="24"/>
        <v/>
      </c>
      <c r="R141" s="18" t="s">
        <v>29</v>
      </c>
      <c r="S141" s="19">
        <v>43709</v>
      </c>
      <c r="T141" s="20">
        <f>IFERROR(VLOOKUP(S141,'Date Converter'!$A$4:$C$368,3,0),"")</f>
        <v>43737</v>
      </c>
      <c r="U141" s="21">
        <f t="shared" si="17"/>
        <v>43737</v>
      </c>
      <c r="V141" s="20" t="s">
        <v>51</v>
      </c>
      <c r="W141" s="18"/>
      <c r="X141" s="18"/>
      <c r="Y141" s="15"/>
      <c r="Z141" s="206"/>
      <c r="AA141" s="15"/>
      <c r="AB141" s="206"/>
      <c r="AC141" s="15"/>
      <c r="AD141" s="15"/>
      <c r="AE141" s="15"/>
      <c r="AF141" s="244"/>
      <c r="AG141" s="15"/>
      <c r="AH141" s="15">
        <f t="shared" si="21"/>
        <v>0</v>
      </c>
      <c r="AI141" s="22">
        <f t="shared" si="22"/>
        <v>3000</v>
      </c>
      <c r="AJ141" s="22">
        <f t="shared" si="23"/>
        <v>42600000</v>
      </c>
    </row>
    <row r="142" spans="1:36" s="165" customFormat="1" hidden="1">
      <c r="A142" s="165" t="s">
        <v>491</v>
      </c>
      <c r="B142" s="13">
        <v>43552</v>
      </c>
      <c r="C142" s="13" t="s">
        <v>23</v>
      </c>
      <c r="D142" s="165" t="s">
        <v>110</v>
      </c>
      <c r="E142" s="198" t="s">
        <v>111</v>
      </c>
      <c r="F142" s="165" t="str">
        <f t="shared" si="18"/>
        <v>DALI_14.16_300_NL2018</v>
      </c>
      <c r="G142" s="165" t="s">
        <v>46</v>
      </c>
      <c r="H142" s="12"/>
      <c r="I142" s="12" t="s">
        <v>47</v>
      </c>
      <c r="J142" s="14">
        <v>300</v>
      </c>
      <c r="K142" s="15" t="s">
        <v>28</v>
      </c>
      <c r="L142" s="15"/>
      <c r="M142" s="16">
        <f t="shared" si="19"/>
        <v>4</v>
      </c>
      <c r="N142" s="15">
        <v>1200</v>
      </c>
      <c r="O142" s="15">
        <v>5500</v>
      </c>
      <c r="P142" s="15">
        <f t="shared" si="20"/>
        <v>6600000</v>
      </c>
      <c r="Q142" s="15" t="str">
        <f t="shared" si="24"/>
        <v>Done</v>
      </c>
      <c r="R142" s="18" t="s">
        <v>44</v>
      </c>
      <c r="S142" s="23">
        <v>43572</v>
      </c>
      <c r="T142" s="20">
        <f>IFERROR(VLOOKUP(S142,'Date Converter'!$A$4:$C$368,3,0),"")</f>
        <v>43606</v>
      </c>
      <c r="U142" s="21">
        <f t="shared" si="17"/>
        <v>43606</v>
      </c>
      <c r="V142" s="20" t="s">
        <v>479</v>
      </c>
      <c r="W142" s="18"/>
      <c r="X142" s="18"/>
      <c r="Y142" s="15"/>
      <c r="Z142" s="206">
        <v>43604</v>
      </c>
      <c r="AA142" s="15">
        <v>1200</v>
      </c>
      <c r="AB142" s="206"/>
      <c r="AC142" s="15"/>
      <c r="AD142" s="15"/>
      <c r="AE142" s="15"/>
      <c r="AF142" s="244"/>
      <c r="AG142" s="15"/>
      <c r="AH142" s="15">
        <f t="shared" si="21"/>
        <v>1200</v>
      </c>
      <c r="AI142" s="22">
        <f t="shared" si="22"/>
        <v>0</v>
      </c>
      <c r="AJ142" s="22">
        <f t="shared" si="23"/>
        <v>0</v>
      </c>
    </row>
    <row r="143" spans="1:36" s="165" customFormat="1" hidden="1">
      <c r="A143" s="165" t="s">
        <v>447</v>
      </c>
      <c r="B143" s="13">
        <v>43540</v>
      </c>
      <c r="C143" s="13" t="s">
        <v>23</v>
      </c>
      <c r="D143" s="258" t="s">
        <v>110</v>
      </c>
      <c r="E143" s="198" t="s">
        <v>111</v>
      </c>
      <c r="F143" s="165" t="str">
        <f t="shared" si="18"/>
        <v>CONC_20.22_125_NL2018</v>
      </c>
      <c r="G143" s="165" t="s">
        <v>40</v>
      </c>
      <c r="H143" s="12"/>
      <c r="I143" s="12" t="s">
        <v>74</v>
      </c>
      <c r="J143" s="14">
        <v>125</v>
      </c>
      <c r="K143" s="15" t="s">
        <v>28</v>
      </c>
      <c r="L143" s="15"/>
      <c r="M143" s="16">
        <f t="shared" si="19"/>
        <v>16</v>
      </c>
      <c r="N143" s="15">
        <v>2000</v>
      </c>
      <c r="O143" s="15">
        <v>10500</v>
      </c>
      <c r="P143" s="15">
        <f t="shared" si="20"/>
        <v>21000000</v>
      </c>
      <c r="Q143" s="15" t="str">
        <f t="shared" si="24"/>
        <v/>
      </c>
      <c r="R143" s="18" t="s">
        <v>29</v>
      </c>
      <c r="S143" s="19">
        <v>43709</v>
      </c>
      <c r="T143" s="20">
        <f>IFERROR(VLOOKUP(S143,'Date Converter'!$A$4:$C$368,3,0),"")</f>
        <v>43737</v>
      </c>
      <c r="U143" s="21">
        <f t="shared" si="17"/>
        <v>43737</v>
      </c>
      <c r="V143" s="20" t="s">
        <v>51</v>
      </c>
      <c r="W143" s="18"/>
      <c r="X143" s="18"/>
      <c r="Y143" s="15"/>
      <c r="Z143" s="206"/>
      <c r="AA143" s="15"/>
      <c r="AB143" s="206"/>
      <c r="AC143" s="15"/>
      <c r="AD143" s="15"/>
      <c r="AE143" s="15"/>
      <c r="AF143" s="244"/>
      <c r="AG143" s="15"/>
      <c r="AH143" s="15">
        <f t="shared" si="21"/>
        <v>0</v>
      </c>
      <c r="AI143" s="22">
        <f t="shared" si="22"/>
        <v>2000</v>
      </c>
      <c r="AJ143" s="22">
        <f t="shared" si="23"/>
        <v>21000000</v>
      </c>
    </row>
    <row r="144" spans="1:36" s="165" customFormat="1" hidden="1">
      <c r="A144" s="165" t="s">
        <v>449</v>
      </c>
      <c r="B144" s="13">
        <v>43471</v>
      </c>
      <c r="C144" s="13" t="s">
        <v>23</v>
      </c>
      <c r="D144" s="165" t="s">
        <v>110</v>
      </c>
      <c r="E144" s="165" t="s">
        <v>111</v>
      </c>
      <c r="F144" s="165" t="str">
        <f t="shared" si="18"/>
        <v>BACA_15.16_250_NL2018</v>
      </c>
      <c r="G144" s="165" t="s">
        <v>67</v>
      </c>
      <c r="H144" s="12"/>
      <c r="I144" s="12" t="s">
        <v>77</v>
      </c>
      <c r="J144" s="14">
        <v>250</v>
      </c>
      <c r="K144" s="15" t="s">
        <v>28</v>
      </c>
      <c r="L144" s="15"/>
      <c r="M144" s="16">
        <f t="shared" si="19"/>
        <v>72</v>
      </c>
      <c r="N144" s="15">
        <f>14500+3500</f>
        <v>18000</v>
      </c>
      <c r="O144" s="15">
        <v>4400</v>
      </c>
      <c r="P144" s="15">
        <f t="shared" si="20"/>
        <v>79200000</v>
      </c>
      <c r="Q144" s="15" t="str">
        <f t="shared" si="24"/>
        <v>Done</v>
      </c>
      <c r="R144" s="18" t="s">
        <v>44</v>
      </c>
      <c r="S144" s="19">
        <v>43539</v>
      </c>
      <c r="T144" s="20">
        <f>IFERROR(VLOOKUP(S144,'Date Converter'!$A$4:$C$368,3,0),"")</f>
        <v>43574</v>
      </c>
      <c r="U144" s="21">
        <f t="shared" si="17"/>
        <v>43574</v>
      </c>
      <c r="V144" s="20" t="s">
        <v>57</v>
      </c>
      <c r="W144" s="18" t="s">
        <v>108</v>
      </c>
      <c r="X144" s="18">
        <v>43569</v>
      </c>
      <c r="Y144" s="15"/>
      <c r="Z144" s="206">
        <v>43572</v>
      </c>
      <c r="AA144" s="15">
        <v>18000</v>
      </c>
      <c r="AB144" s="206"/>
      <c r="AC144" s="15"/>
      <c r="AD144" s="15"/>
      <c r="AE144" s="15"/>
      <c r="AF144" s="244"/>
      <c r="AG144" s="15"/>
      <c r="AH144" s="15">
        <f t="shared" si="21"/>
        <v>18000</v>
      </c>
      <c r="AI144" s="22">
        <f t="shared" si="22"/>
        <v>0</v>
      </c>
      <c r="AJ144" s="22">
        <f t="shared" si="23"/>
        <v>0</v>
      </c>
    </row>
    <row r="145" spans="1:37" s="165" customFormat="1" hidden="1">
      <c r="A145" s="165" t="s">
        <v>447</v>
      </c>
      <c r="B145" s="13">
        <v>43540</v>
      </c>
      <c r="C145" s="13" t="s">
        <v>23</v>
      </c>
      <c r="D145" s="258" t="s">
        <v>110</v>
      </c>
      <c r="E145" s="198" t="s">
        <v>111</v>
      </c>
      <c r="F145" s="165" t="str">
        <f t="shared" si="18"/>
        <v>ARVA_18.20_150_NL2018</v>
      </c>
      <c r="G145" s="165" t="s">
        <v>85</v>
      </c>
      <c r="H145" s="12"/>
      <c r="I145" s="12" t="s">
        <v>27</v>
      </c>
      <c r="J145" s="14">
        <v>150</v>
      </c>
      <c r="K145" s="15" t="s">
        <v>28</v>
      </c>
      <c r="L145" s="15"/>
      <c r="M145" s="16">
        <f t="shared" si="19"/>
        <v>14</v>
      </c>
      <c r="N145" s="15">
        <v>2100</v>
      </c>
      <c r="O145" s="15">
        <v>8500</v>
      </c>
      <c r="P145" s="15">
        <f t="shared" si="20"/>
        <v>17850000</v>
      </c>
      <c r="Q145" s="15" t="str">
        <f t="shared" si="24"/>
        <v/>
      </c>
      <c r="R145" s="18" t="s">
        <v>29</v>
      </c>
      <c r="S145" s="19">
        <v>43709</v>
      </c>
      <c r="T145" s="20">
        <f>IFERROR(VLOOKUP(S145,'Date Converter'!$A$4:$C$368,3,0),"")</f>
        <v>43737</v>
      </c>
      <c r="U145" s="21">
        <f t="shared" si="17"/>
        <v>43737</v>
      </c>
      <c r="V145" s="20" t="s">
        <v>51</v>
      </c>
      <c r="W145" s="18"/>
      <c r="X145" s="18"/>
      <c r="Y145" s="15"/>
      <c r="Z145" s="206"/>
      <c r="AA145" s="15"/>
      <c r="AB145" s="206"/>
      <c r="AC145" s="15"/>
      <c r="AD145" s="15"/>
      <c r="AE145" s="15"/>
      <c r="AF145" s="244"/>
      <c r="AG145" s="15"/>
      <c r="AH145" s="15">
        <f t="shared" si="21"/>
        <v>0</v>
      </c>
      <c r="AI145" s="22">
        <f t="shared" si="22"/>
        <v>2100</v>
      </c>
      <c r="AJ145" s="22">
        <f t="shared" si="23"/>
        <v>17850000</v>
      </c>
    </row>
    <row r="146" spans="1:37" s="165" customFormat="1" hidden="1">
      <c r="A146" s="165" t="s">
        <v>449</v>
      </c>
      <c r="B146" s="13">
        <v>43471</v>
      </c>
      <c r="C146" s="13" t="s">
        <v>23</v>
      </c>
      <c r="D146" s="165" t="s">
        <v>110</v>
      </c>
      <c r="E146" s="165" t="s">
        <v>111</v>
      </c>
      <c r="F146" s="165" t="str">
        <f t="shared" si="18"/>
        <v>AMAT_12.14_400_NL2018</v>
      </c>
      <c r="G146" s="165" t="s">
        <v>112</v>
      </c>
      <c r="H146" s="12"/>
      <c r="I146" s="12" t="s">
        <v>113</v>
      </c>
      <c r="J146" s="14">
        <v>400</v>
      </c>
      <c r="K146" s="15" t="s">
        <v>28</v>
      </c>
      <c r="L146" s="15"/>
      <c r="M146" s="16">
        <f t="shared" si="19"/>
        <v>25</v>
      </c>
      <c r="N146" s="15">
        <v>10000</v>
      </c>
      <c r="O146" s="15">
        <v>2800</v>
      </c>
      <c r="P146" s="15">
        <f t="shared" si="20"/>
        <v>28000000</v>
      </c>
      <c r="Q146" s="15" t="str">
        <f t="shared" si="24"/>
        <v>Done</v>
      </c>
      <c r="R146" s="18" t="s">
        <v>44</v>
      </c>
      <c r="S146" s="23">
        <v>43480</v>
      </c>
      <c r="T146" s="20">
        <f>IFERROR(VLOOKUP(S146,'Date Converter'!$A$4:$C$368,3,0),"")</f>
        <v>43515</v>
      </c>
      <c r="U146" s="21">
        <f t="shared" si="17"/>
        <v>43515</v>
      </c>
      <c r="V146" s="12" t="s">
        <v>45</v>
      </c>
      <c r="W146" s="18"/>
      <c r="X146" s="18"/>
      <c r="Y146" s="15"/>
      <c r="Z146" s="206">
        <v>43515</v>
      </c>
      <c r="AA146" s="15">
        <v>10000</v>
      </c>
      <c r="AB146" s="206"/>
      <c r="AC146" s="15"/>
      <c r="AD146" s="15"/>
      <c r="AE146" s="15"/>
      <c r="AF146" s="244"/>
      <c r="AG146" s="15"/>
      <c r="AH146" s="15">
        <f t="shared" si="21"/>
        <v>10000</v>
      </c>
      <c r="AI146" s="22">
        <f t="shared" si="22"/>
        <v>0</v>
      </c>
      <c r="AJ146" s="22">
        <f t="shared" si="23"/>
        <v>0</v>
      </c>
    </row>
    <row r="147" spans="1:37" hidden="1">
      <c r="A147" t="s">
        <v>449</v>
      </c>
      <c r="B147" s="13">
        <v>43471</v>
      </c>
      <c r="C147" s="13" t="s">
        <v>23</v>
      </c>
      <c r="D147" t="s">
        <v>110</v>
      </c>
      <c r="E147" s="165" t="s">
        <v>111</v>
      </c>
      <c r="F147" t="str">
        <f t="shared" si="18"/>
        <v>AMAT_12.14_400_NL2018</v>
      </c>
      <c r="G147" t="s">
        <v>112</v>
      </c>
      <c r="I147" s="12" t="s">
        <v>113</v>
      </c>
      <c r="J147" s="14">
        <v>400</v>
      </c>
      <c r="K147" s="15" t="s">
        <v>28</v>
      </c>
      <c r="M147" s="16">
        <f t="shared" si="19"/>
        <v>25</v>
      </c>
      <c r="N147" s="15">
        <v>10000</v>
      </c>
      <c r="O147" s="15">
        <v>2800</v>
      </c>
      <c r="P147" s="15">
        <f t="shared" si="20"/>
        <v>28000000</v>
      </c>
      <c r="Q147" s="15" t="str">
        <f t="shared" si="24"/>
        <v>Done</v>
      </c>
      <c r="R147" s="18" t="s">
        <v>44</v>
      </c>
      <c r="S147" s="23">
        <v>43511</v>
      </c>
      <c r="T147" s="20">
        <f>IFERROR(VLOOKUP(S147,'Date Converter'!$A$4:$C$368,3,0),"")</f>
        <v>43544</v>
      </c>
      <c r="U147" s="21">
        <f t="shared" si="17"/>
        <v>43544</v>
      </c>
      <c r="V147" s="12" t="s">
        <v>32</v>
      </c>
      <c r="W147" s="18" t="s">
        <v>39</v>
      </c>
      <c r="X147" s="18">
        <v>43541</v>
      </c>
      <c r="Y147" s="15"/>
      <c r="Z147" s="206">
        <v>43543</v>
      </c>
      <c r="AA147" s="15">
        <v>10000</v>
      </c>
      <c r="AB147" s="206"/>
      <c r="AC147" s="15"/>
      <c r="AD147" s="15"/>
      <c r="AE147" s="15"/>
      <c r="AF147" s="244"/>
      <c r="AG147" s="15"/>
      <c r="AH147" s="15">
        <f t="shared" si="21"/>
        <v>10000</v>
      </c>
      <c r="AI147" s="22">
        <f t="shared" si="22"/>
        <v>0</v>
      </c>
      <c r="AJ147" s="22">
        <f t="shared" si="23"/>
        <v>0</v>
      </c>
      <c r="AK147" s="165"/>
    </row>
    <row r="148" spans="1:37" hidden="1">
      <c r="A148" t="s">
        <v>449</v>
      </c>
      <c r="B148" s="13">
        <v>43471</v>
      </c>
      <c r="C148" s="13" t="s">
        <v>23</v>
      </c>
      <c r="D148" t="s">
        <v>110</v>
      </c>
      <c r="E148" s="165" t="s">
        <v>111</v>
      </c>
      <c r="F148" t="str">
        <f t="shared" si="18"/>
        <v>AMAT_12.14_400_NL2018</v>
      </c>
      <c r="G148" t="s">
        <v>112</v>
      </c>
      <c r="I148" s="12" t="s">
        <v>113</v>
      </c>
      <c r="J148" s="14">
        <v>400</v>
      </c>
      <c r="K148" s="15" t="s">
        <v>28</v>
      </c>
      <c r="M148" s="16">
        <f t="shared" si="19"/>
        <v>48</v>
      </c>
      <c r="N148" s="15">
        <v>19200</v>
      </c>
      <c r="O148" s="15">
        <v>2800</v>
      </c>
      <c r="P148" s="15">
        <f t="shared" si="20"/>
        <v>53760000</v>
      </c>
      <c r="Q148" s="15" t="str">
        <f t="shared" si="24"/>
        <v>Done</v>
      </c>
      <c r="R148" s="18" t="s">
        <v>44</v>
      </c>
      <c r="S148" s="23" t="s">
        <v>53</v>
      </c>
      <c r="T148" s="20">
        <f>IFERROR(VLOOKUP(S148,'Date Converter'!$A$4:$C$368,3,0),"")</f>
        <v>43559</v>
      </c>
      <c r="U148" s="21">
        <f t="shared" si="17"/>
        <v>43559</v>
      </c>
      <c r="V148" s="20" t="s">
        <v>54</v>
      </c>
      <c r="W148" s="18" t="s">
        <v>55</v>
      </c>
      <c r="X148" s="18">
        <v>43555</v>
      </c>
      <c r="Y148" s="15"/>
      <c r="Z148" s="206">
        <v>43558</v>
      </c>
      <c r="AA148" s="15">
        <v>19200</v>
      </c>
      <c r="AB148" s="206"/>
      <c r="AC148" s="15"/>
      <c r="AD148" s="15"/>
      <c r="AE148" s="15"/>
      <c r="AF148" s="244"/>
      <c r="AG148" s="15"/>
      <c r="AH148" s="15">
        <f t="shared" si="21"/>
        <v>19200</v>
      </c>
      <c r="AI148" s="22">
        <f t="shared" si="22"/>
        <v>0</v>
      </c>
      <c r="AJ148" s="22">
        <f t="shared" si="23"/>
        <v>0</v>
      </c>
      <c r="AK148" s="165"/>
    </row>
    <row r="149" spans="1:37" hidden="1">
      <c r="A149" t="s">
        <v>1372</v>
      </c>
      <c r="B149" s="13">
        <v>43564</v>
      </c>
      <c r="C149" s="13" t="s">
        <v>23</v>
      </c>
      <c r="D149" t="s">
        <v>110</v>
      </c>
      <c r="E149" s="165" t="s">
        <v>111</v>
      </c>
      <c r="F149" t="str">
        <f t="shared" si="18"/>
        <v>AMAT_12.14_400_NL2018</v>
      </c>
      <c r="G149" t="s">
        <v>112</v>
      </c>
      <c r="I149" s="12" t="s">
        <v>113</v>
      </c>
      <c r="J149" s="14">
        <v>400</v>
      </c>
      <c r="K149" s="15" t="s">
        <v>28</v>
      </c>
      <c r="M149" s="16">
        <f t="shared" si="19"/>
        <v>9</v>
      </c>
      <c r="N149" s="15">
        <v>3600</v>
      </c>
      <c r="O149" s="15">
        <v>2800</v>
      </c>
      <c r="P149" s="15">
        <f t="shared" si="20"/>
        <v>10080000</v>
      </c>
      <c r="Q149" s="15" t="str">
        <f t="shared" si="24"/>
        <v>Done</v>
      </c>
      <c r="R149" s="18" t="s">
        <v>44</v>
      </c>
      <c r="S149" s="19">
        <v>43539</v>
      </c>
      <c r="T149" s="20">
        <f>IFERROR(VLOOKUP(S149,'Date Converter'!$A$4:$C$368,3,0),"")</f>
        <v>43574</v>
      </c>
      <c r="U149" s="21">
        <f t="shared" si="17"/>
        <v>43574</v>
      </c>
      <c r="V149" s="20" t="s">
        <v>57</v>
      </c>
      <c r="Y149" s="15"/>
      <c r="Z149" s="206">
        <v>43578</v>
      </c>
      <c r="AA149" s="15">
        <v>3600</v>
      </c>
      <c r="AB149" s="206"/>
      <c r="AC149" s="15"/>
      <c r="AD149" s="15"/>
      <c r="AE149" s="15"/>
      <c r="AF149" s="244"/>
      <c r="AG149" s="15"/>
      <c r="AH149" s="15">
        <f t="shared" si="21"/>
        <v>3600</v>
      </c>
      <c r="AI149" s="22">
        <f t="shared" si="22"/>
        <v>0</v>
      </c>
      <c r="AJ149" s="22">
        <f t="shared" si="23"/>
        <v>0</v>
      </c>
      <c r="AK149" s="165"/>
    </row>
    <row r="150" spans="1:37" hidden="1">
      <c r="A150" s="165" t="s">
        <v>1372</v>
      </c>
      <c r="B150" s="13">
        <v>43600</v>
      </c>
      <c r="C150" s="13" t="s">
        <v>23</v>
      </c>
      <c r="D150" s="165" t="s">
        <v>110</v>
      </c>
      <c r="E150" s="165" t="s">
        <v>111</v>
      </c>
      <c r="F150" s="165" t="str">
        <f t="shared" si="18"/>
        <v>AMAT_14.16_300_NL2018</v>
      </c>
      <c r="G150" t="s">
        <v>112</v>
      </c>
      <c r="I150" s="12" t="s">
        <v>47</v>
      </c>
      <c r="J150" s="14">
        <v>300</v>
      </c>
      <c r="K150" s="15" t="s">
        <v>28</v>
      </c>
      <c r="M150" s="16">
        <f t="shared" si="19"/>
        <v>23</v>
      </c>
      <c r="N150" s="15">
        <f>5700+1200</f>
        <v>6900</v>
      </c>
      <c r="O150" s="15">
        <v>4480</v>
      </c>
      <c r="P150" s="15">
        <f t="shared" si="20"/>
        <v>30912000</v>
      </c>
      <c r="Q150" s="15" t="str">
        <f t="shared" si="24"/>
        <v>Done</v>
      </c>
      <c r="R150" s="18" t="s">
        <v>44</v>
      </c>
      <c r="S150" s="19">
        <v>43590</v>
      </c>
      <c r="T150" s="20">
        <f>IFERROR(VLOOKUP(S150,'Date Converter'!$A$4:$C$368,3,0),"")</f>
        <v>43623</v>
      </c>
      <c r="U150" s="21">
        <f t="shared" si="17"/>
        <v>43623</v>
      </c>
      <c r="V150" s="20"/>
      <c r="Y150" s="15"/>
      <c r="Z150" s="206">
        <v>43624</v>
      </c>
      <c r="AA150" s="15">
        <v>5700</v>
      </c>
      <c r="AB150" s="206">
        <v>43638</v>
      </c>
      <c r="AC150" s="15">
        <v>1200</v>
      </c>
      <c r="AD150" s="15"/>
      <c r="AE150" s="15"/>
      <c r="AF150" s="244"/>
      <c r="AG150" s="15"/>
      <c r="AH150" s="15">
        <f t="shared" si="21"/>
        <v>6900</v>
      </c>
      <c r="AI150" s="22">
        <f t="shared" si="22"/>
        <v>0</v>
      </c>
      <c r="AJ150" s="22">
        <f t="shared" si="23"/>
        <v>0</v>
      </c>
      <c r="AK150" s="165"/>
    </row>
    <row r="151" spans="1:37" hidden="1">
      <c r="A151" s="165" t="s">
        <v>1372</v>
      </c>
      <c r="B151" s="13">
        <v>43617</v>
      </c>
      <c r="C151" s="13" t="s">
        <v>23</v>
      </c>
      <c r="D151" s="165" t="s">
        <v>110</v>
      </c>
      <c r="E151" s="165" t="s">
        <v>111</v>
      </c>
      <c r="F151" s="165" t="str">
        <f t="shared" si="18"/>
        <v>AMAT_14.16_275_NL2018</v>
      </c>
      <c r="G151" s="165" t="s">
        <v>112</v>
      </c>
      <c r="I151" s="12" t="s">
        <v>47</v>
      </c>
      <c r="J151" s="14">
        <v>275</v>
      </c>
      <c r="K151" s="15" t="s">
        <v>28</v>
      </c>
      <c r="M151" s="16">
        <f t="shared" si="19"/>
        <v>68</v>
      </c>
      <c r="N151" s="15">
        <v>18700</v>
      </c>
      <c r="O151" s="15">
        <v>4480</v>
      </c>
      <c r="P151" s="15">
        <f t="shared" si="20"/>
        <v>83776000</v>
      </c>
      <c r="Q151" s="15" t="str">
        <f t="shared" si="24"/>
        <v>Done</v>
      </c>
      <c r="R151" s="18" t="s">
        <v>44</v>
      </c>
      <c r="S151" s="19">
        <v>43603</v>
      </c>
      <c r="T151" s="20">
        <f>IFERROR(VLOOKUP(S151,'Date Converter'!$A$4:$C$368,3,0),"")</f>
        <v>43636</v>
      </c>
      <c r="U151" s="21">
        <f t="shared" si="17"/>
        <v>43636</v>
      </c>
      <c r="V151" s="20"/>
      <c r="Y151" s="15"/>
      <c r="Z151" s="206">
        <v>43638</v>
      </c>
      <c r="AA151" s="15">
        <v>18700</v>
      </c>
      <c r="AB151" s="206"/>
      <c r="AC151" s="15"/>
      <c r="AD151" s="15"/>
      <c r="AE151" s="15"/>
      <c r="AF151" s="244"/>
      <c r="AG151" s="15"/>
      <c r="AH151" s="15">
        <f t="shared" si="21"/>
        <v>18700</v>
      </c>
      <c r="AI151" s="22">
        <f t="shared" si="22"/>
        <v>0</v>
      </c>
      <c r="AJ151" s="22">
        <f t="shared" si="23"/>
        <v>0</v>
      </c>
      <c r="AK151" s="165"/>
    </row>
    <row r="152" spans="1:37" hidden="1">
      <c r="A152" t="s">
        <v>1372</v>
      </c>
      <c r="B152" s="13">
        <v>43600</v>
      </c>
      <c r="C152" s="13" t="s">
        <v>23</v>
      </c>
      <c r="D152" t="s">
        <v>110</v>
      </c>
      <c r="E152" s="165" t="s">
        <v>111</v>
      </c>
      <c r="F152" t="str">
        <f t="shared" si="18"/>
        <v>AMAT_14.16_300_NL2018</v>
      </c>
      <c r="G152" s="165" t="s">
        <v>112</v>
      </c>
      <c r="I152" s="12" t="s">
        <v>47</v>
      </c>
      <c r="J152" s="14">
        <v>300</v>
      </c>
      <c r="K152" s="15" t="s">
        <v>28</v>
      </c>
      <c r="M152" s="16">
        <f t="shared" si="19"/>
        <v>51</v>
      </c>
      <c r="N152" s="15">
        <f>30000+5000-24800+5100</f>
        <v>15300</v>
      </c>
      <c r="O152" s="15">
        <v>4540</v>
      </c>
      <c r="P152" s="15">
        <f t="shared" si="20"/>
        <v>69462000</v>
      </c>
      <c r="Q152" s="15" t="str">
        <f t="shared" si="24"/>
        <v/>
      </c>
      <c r="R152" s="18" t="s">
        <v>31</v>
      </c>
      <c r="S152" s="19">
        <v>43631</v>
      </c>
      <c r="T152" s="20">
        <f>IFERROR(VLOOKUP(S152,'Date Converter'!$A$4:$C$368,3,0),"")</f>
        <v>43663</v>
      </c>
      <c r="U152" s="21">
        <f t="shared" si="17"/>
        <v>43663</v>
      </c>
      <c r="V152" s="20"/>
      <c r="Y152" s="15"/>
      <c r="AA152" s="15"/>
      <c r="AB152" s="206"/>
      <c r="AC152" s="15"/>
      <c r="AD152" s="15"/>
      <c r="AE152" s="15"/>
      <c r="AF152" s="244"/>
      <c r="AG152" s="15"/>
      <c r="AH152" s="15">
        <f t="shared" si="21"/>
        <v>0</v>
      </c>
      <c r="AI152" s="22">
        <f t="shared" si="22"/>
        <v>15300</v>
      </c>
      <c r="AJ152" s="22">
        <f t="shared" si="23"/>
        <v>69462000</v>
      </c>
      <c r="AK152" s="165"/>
    </row>
    <row r="153" spans="1:37" s="165" customFormat="1" hidden="1">
      <c r="A153" s="165" t="s">
        <v>1372</v>
      </c>
      <c r="B153" s="13">
        <v>43642</v>
      </c>
      <c r="C153" s="13" t="s">
        <v>23</v>
      </c>
      <c r="D153" s="165" t="s">
        <v>110</v>
      </c>
      <c r="E153" s="165" t="s">
        <v>111</v>
      </c>
      <c r="F153" s="165" t="str">
        <f t="shared" si="18"/>
        <v>INDI_16.18_200_NL2018</v>
      </c>
      <c r="G153" s="165" t="s">
        <v>154</v>
      </c>
      <c r="H153" s="12"/>
      <c r="I153" s="12" t="s">
        <v>35</v>
      </c>
      <c r="J153" s="14">
        <v>200</v>
      </c>
      <c r="K153" s="15" t="s">
        <v>28</v>
      </c>
      <c r="L153" s="15"/>
      <c r="M153" s="16">
        <f t="shared" si="19"/>
        <v>50</v>
      </c>
      <c r="N153" s="15">
        <v>10000</v>
      </c>
      <c r="O153" s="15">
        <v>6800</v>
      </c>
      <c r="P153" s="15">
        <f t="shared" si="20"/>
        <v>68000000</v>
      </c>
      <c r="Q153" s="15" t="str">
        <f t="shared" si="24"/>
        <v/>
      </c>
      <c r="R153" s="18" t="s">
        <v>29</v>
      </c>
      <c r="S153" s="19">
        <v>43647</v>
      </c>
      <c r="T153" s="20">
        <f>IFERROR(VLOOKUP(S153,'Date Converter'!$A$4:$C$368,3,0),"")</f>
        <v>43678</v>
      </c>
      <c r="U153" s="21">
        <f t="shared" ref="U153" si="25">+T153</f>
        <v>43678</v>
      </c>
      <c r="V153" s="20"/>
      <c r="W153" s="18"/>
      <c r="X153" s="18"/>
      <c r="Y153" s="15"/>
      <c r="Z153" s="206"/>
      <c r="AA153" s="15"/>
      <c r="AB153" s="206"/>
      <c r="AC153" s="15"/>
      <c r="AD153" s="15"/>
      <c r="AE153" s="15"/>
      <c r="AF153" s="244"/>
      <c r="AG153" s="15"/>
      <c r="AH153" s="15">
        <f t="shared" ref="AH153" si="26">+AA153+AC153+AE153+AG153</f>
        <v>0</v>
      </c>
      <c r="AI153" s="22">
        <f t="shared" ref="AI153" si="27">+N153-AH153</f>
        <v>10000</v>
      </c>
      <c r="AJ153" s="22">
        <f t="shared" ref="AJ153" si="28">+AI153*O153</f>
        <v>68000000</v>
      </c>
    </row>
    <row r="154" spans="1:37" hidden="1">
      <c r="A154" t="s">
        <v>448</v>
      </c>
      <c r="B154" s="13">
        <v>43540</v>
      </c>
      <c r="C154" s="13" t="s">
        <v>23</v>
      </c>
      <c r="D154" s="258" t="s">
        <v>110</v>
      </c>
      <c r="E154" s="198" t="s">
        <v>289</v>
      </c>
      <c r="F154" t="str">
        <f t="shared" si="18"/>
        <v>TEBA_16.18_200_NL2018</v>
      </c>
      <c r="G154" t="s">
        <v>127</v>
      </c>
      <c r="I154" s="12" t="s">
        <v>35</v>
      </c>
      <c r="J154" s="14">
        <v>200</v>
      </c>
      <c r="K154" s="15" t="s">
        <v>28</v>
      </c>
      <c r="M154" s="16">
        <f t="shared" si="19"/>
        <v>5</v>
      </c>
      <c r="N154" s="15">
        <v>1000</v>
      </c>
      <c r="O154" s="15">
        <v>6100</v>
      </c>
      <c r="P154" s="15">
        <f t="shared" si="20"/>
        <v>6100000</v>
      </c>
      <c r="Q154" s="15" t="str">
        <f t="shared" si="24"/>
        <v/>
      </c>
      <c r="R154" s="18" t="s">
        <v>29</v>
      </c>
      <c r="S154" s="19">
        <v>43709</v>
      </c>
      <c r="T154" s="20">
        <f>IFERROR(VLOOKUP(S154,'Date Converter'!$A$4:$C$368,3,0),"")</f>
        <v>43737</v>
      </c>
      <c r="U154" s="21">
        <f t="shared" si="17"/>
        <v>43737</v>
      </c>
      <c r="V154" s="20" t="s">
        <v>51</v>
      </c>
      <c r="Y154" s="15"/>
      <c r="AA154" s="15"/>
      <c r="AB154" s="206"/>
      <c r="AC154" s="15"/>
      <c r="AD154" s="15"/>
      <c r="AE154" s="15"/>
      <c r="AF154" s="244"/>
      <c r="AG154" s="15"/>
      <c r="AH154" s="15">
        <f t="shared" si="21"/>
        <v>0</v>
      </c>
      <c r="AI154" s="22">
        <f t="shared" si="22"/>
        <v>1000</v>
      </c>
      <c r="AJ154" s="22">
        <f t="shared" si="23"/>
        <v>6100000</v>
      </c>
      <c r="AK154" s="165"/>
    </row>
    <row r="155" spans="1:37" hidden="1">
      <c r="A155" t="s">
        <v>448</v>
      </c>
      <c r="B155" s="13">
        <v>43540</v>
      </c>
      <c r="C155" s="13" t="s">
        <v>23</v>
      </c>
      <c r="D155" s="258" t="s">
        <v>110</v>
      </c>
      <c r="E155" s="198" t="s">
        <v>289</v>
      </c>
      <c r="F155" t="str">
        <f t="shared" si="18"/>
        <v>PAVI_16.18_200_NL2018</v>
      </c>
      <c r="G155" t="s">
        <v>138</v>
      </c>
      <c r="I155" s="12" t="s">
        <v>35</v>
      </c>
      <c r="J155" s="14">
        <v>200</v>
      </c>
      <c r="K155" s="15" t="s">
        <v>28</v>
      </c>
      <c r="M155" s="16">
        <f t="shared" si="19"/>
        <v>5</v>
      </c>
      <c r="N155" s="15">
        <v>1000</v>
      </c>
      <c r="O155" s="15">
        <v>6100</v>
      </c>
      <c r="P155" s="15">
        <f t="shared" si="20"/>
        <v>6100000</v>
      </c>
      <c r="Q155" s="15" t="str">
        <f t="shared" si="24"/>
        <v/>
      </c>
      <c r="R155" s="18" t="s">
        <v>29</v>
      </c>
      <c r="S155" s="19">
        <v>43709</v>
      </c>
      <c r="T155" s="20">
        <f>IFERROR(VLOOKUP(S155,'Date Converter'!$A$4:$C$368,3,0),"")</f>
        <v>43737</v>
      </c>
      <c r="U155" s="21">
        <f t="shared" si="17"/>
        <v>43737</v>
      </c>
      <c r="V155" s="20" t="s">
        <v>51</v>
      </c>
      <c r="Y155" s="15"/>
      <c r="AA155" s="15"/>
      <c r="AB155" s="206"/>
      <c r="AC155" s="15"/>
      <c r="AD155" s="15"/>
      <c r="AE155" s="15"/>
      <c r="AF155" s="244"/>
      <c r="AG155" s="15"/>
      <c r="AH155" s="15">
        <f t="shared" si="21"/>
        <v>0</v>
      </c>
      <c r="AI155" s="22">
        <f t="shared" si="22"/>
        <v>1000</v>
      </c>
      <c r="AJ155" s="22">
        <f t="shared" si="23"/>
        <v>6100000</v>
      </c>
      <c r="AK155" s="165"/>
    </row>
    <row r="156" spans="1:37" s="165" customFormat="1" hidden="1">
      <c r="A156" s="165" t="s">
        <v>448</v>
      </c>
      <c r="B156" s="13">
        <v>43540</v>
      </c>
      <c r="C156" s="13" t="s">
        <v>23</v>
      </c>
      <c r="D156" s="258" t="s">
        <v>110</v>
      </c>
      <c r="E156" s="198" t="s">
        <v>289</v>
      </c>
      <c r="F156" s="165" t="str">
        <f t="shared" si="18"/>
        <v>MANI_20.22_125_NL2018</v>
      </c>
      <c r="G156" s="165" t="s">
        <v>105</v>
      </c>
      <c r="H156" s="12"/>
      <c r="I156" s="12" t="s">
        <v>74</v>
      </c>
      <c r="J156" s="14">
        <v>125</v>
      </c>
      <c r="K156" s="15" t="s">
        <v>28</v>
      </c>
      <c r="L156" s="15"/>
      <c r="M156" s="16">
        <f t="shared" si="19"/>
        <v>10</v>
      </c>
      <c r="N156" s="15">
        <v>1250</v>
      </c>
      <c r="O156" s="15">
        <v>13500</v>
      </c>
      <c r="P156" s="15">
        <f t="shared" si="20"/>
        <v>16875000</v>
      </c>
      <c r="Q156" s="15" t="str">
        <f t="shared" si="24"/>
        <v/>
      </c>
      <c r="R156" s="18" t="s">
        <v>29</v>
      </c>
      <c r="S156" s="19">
        <v>43709</v>
      </c>
      <c r="T156" s="20">
        <f>IFERROR(VLOOKUP(S156,'Date Converter'!$A$4:$C$368,3,0),"")</f>
        <v>43737</v>
      </c>
      <c r="U156" s="21">
        <f t="shared" si="17"/>
        <v>43737</v>
      </c>
      <c r="V156" s="20" t="s">
        <v>51</v>
      </c>
      <c r="W156" s="18"/>
      <c r="X156" s="18"/>
      <c r="Y156" s="15"/>
      <c r="Z156" s="206"/>
      <c r="AA156" s="15"/>
      <c r="AB156" s="206"/>
      <c r="AC156" s="15"/>
      <c r="AD156" s="15"/>
      <c r="AE156" s="15"/>
      <c r="AF156" s="244"/>
      <c r="AG156" s="15"/>
      <c r="AH156" s="15">
        <f t="shared" si="21"/>
        <v>0</v>
      </c>
      <c r="AI156" s="22">
        <f t="shared" si="22"/>
        <v>1250</v>
      </c>
      <c r="AJ156" s="22">
        <f t="shared" si="23"/>
        <v>16875000</v>
      </c>
    </row>
    <row r="157" spans="1:37" hidden="1">
      <c r="A157" t="s">
        <v>448</v>
      </c>
      <c r="B157" s="13">
        <v>43540</v>
      </c>
      <c r="C157" s="13" t="s">
        <v>23</v>
      </c>
      <c r="D157" s="258" t="s">
        <v>110</v>
      </c>
      <c r="E157" s="198" t="s">
        <v>289</v>
      </c>
      <c r="F157" t="str">
        <f t="shared" si="18"/>
        <v>CONC_20.22_125_NL2018</v>
      </c>
      <c r="G157" s="165" t="s">
        <v>40</v>
      </c>
      <c r="I157" s="12" t="s">
        <v>74</v>
      </c>
      <c r="J157" s="14">
        <v>125</v>
      </c>
      <c r="K157" s="15" t="s">
        <v>28</v>
      </c>
      <c r="M157" s="16">
        <f t="shared" si="19"/>
        <v>6</v>
      </c>
      <c r="N157" s="15">
        <v>750</v>
      </c>
      <c r="O157" s="15">
        <v>10500</v>
      </c>
      <c r="P157" s="15">
        <f t="shared" si="20"/>
        <v>7875000</v>
      </c>
      <c r="Q157" s="15" t="str">
        <f t="shared" si="24"/>
        <v/>
      </c>
      <c r="R157" s="18" t="s">
        <v>29</v>
      </c>
      <c r="S157" s="19">
        <v>43709</v>
      </c>
      <c r="T157" s="20">
        <f>IFERROR(VLOOKUP(S157,'Date Converter'!$A$4:$C$368,3,0),"")</f>
        <v>43737</v>
      </c>
      <c r="U157" s="21">
        <f t="shared" si="17"/>
        <v>43737</v>
      </c>
      <c r="V157" s="20" t="s">
        <v>51</v>
      </c>
      <c r="Y157" s="15"/>
      <c r="AA157" s="15"/>
      <c r="AB157" s="206"/>
      <c r="AC157" s="15"/>
      <c r="AD157" s="15"/>
      <c r="AE157" s="15"/>
      <c r="AF157" s="244"/>
      <c r="AG157" s="15"/>
      <c r="AH157" s="15">
        <f t="shared" si="21"/>
        <v>0</v>
      </c>
      <c r="AI157" s="22">
        <f t="shared" si="22"/>
        <v>750</v>
      </c>
      <c r="AJ157" s="22">
        <f t="shared" si="23"/>
        <v>7875000</v>
      </c>
      <c r="AK157" s="165"/>
    </row>
    <row r="158" spans="1:37" s="165" customFormat="1" hidden="1">
      <c r="A158" s="165" t="s">
        <v>471</v>
      </c>
      <c r="B158" s="13">
        <v>43550</v>
      </c>
      <c r="C158" s="13" t="s">
        <v>23</v>
      </c>
      <c r="D158" s="258" t="s">
        <v>472</v>
      </c>
      <c r="E158" s="249" t="s">
        <v>473</v>
      </c>
      <c r="F158" s="165" t="str">
        <f t="shared" si="18"/>
        <v>TEBA_16.18_200_NL2018</v>
      </c>
      <c r="G158" s="13" t="s">
        <v>127</v>
      </c>
      <c r="H158" s="12"/>
      <c r="I158" s="12" t="s">
        <v>35</v>
      </c>
      <c r="J158" s="31" t="s">
        <v>121</v>
      </c>
      <c r="K158" s="15" t="s">
        <v>28</v>
      </c>
      <c r="L158" s="15"/>
      <c r="M158" s="16">
        <f t="shared" si="19"/>
        <v>15</v>
      </c>
      <c r="N158" s="15">
        <v>3000</v>
      </c>
      <c r="O158" s="15">
        <v>6100</v>
      </c>
      <c r="P158" s="15">
        <f t="shared" si="20"/>
        <v>18300000</v>
      </c>
      <c r="Q158" s="15" t="str">
        <f t="shared" si="24"/>
        <v/>
      </c>
      <c r="R158" s="18" t="s">
        <v>29</v>
      </c>
      <c r="S158" s="23">
        <v>43709</v>
      </c>
      <c r="T158" s="20">
        <f>IFERROR(VLOOKUP(S158,'Date Converter'!$A$4:$C$368,3,0),"")</f>
        <v>43737</v>
      </c>
      <c r="U158" s="21">
        <f t="shared" ref="U158:U220" si="29">+T158</f>
        <v>43737</v>
      </c>
      <c r="V158" s="12" t="s">
        <v>51</v>
      </c>
      <c r="W158" s="18"/>
      <c r="X158" s="18"/>
      <c r="Y158" s="12"/>
      <c r="Z158" s="206"/>
      <c r="AA158" s="15"/>
      <c r="AB158" s="206"/>
      <c r="AC158" s="12"/>
      <c r="AD158" s="12"/>
      <c r="AE158" s="12"/>
      <c r="AF158" s="245"/>
      <c r="AG158" s="12"/>
      <c r="AH158" s="15">
        <f t="shared" si="21"/>
        <v>0</v>
      </c>
      <c r="AI158" s="22">
        <f t="shared" si="22"/>
        <v>3000</v>
      </c>
      <c r="AJ158" s="22">
        <f t="shared" si="23"/>
        <v>18300000</v>
      </c>
    </row>
    <row r="159" spans="1:37" s="165" customFormat="1" hidden="1">
      <c r="A159" s="165" t="s">
        <v>471</v>
      </c>
      <c r="B159" s="13">
        <v>43550</v>
      </c>
      <c r="C159" s="13" t="s">
        <v>23</v>
      </c>
      <c r="D159" s="258" t="s">
        <v>472</v>
      </c>
      <c r="E159" s="249" t="s">
        <v>473</v>
      </c>
      <c r="F159" s="165" t="str">
        <f t="shared" si="18"/>
        <v>MANI_20.22_125_NL2018</v>
      </c>
      <c r="G159" s="13" t="s">
        <v>105</v>
      </c>
      <c r="H159" s="12"/>
      <c r="I159" s="12" t="s">
        <v>74</v>
      </c>
      <c r="J159" s="31" t="s">
        <v>122</v>
      </c>
      <c r="K159" s="15" t="s">
        <v>28</v>
      </c>
      <c r="L159" s="15"/>
      <c r="M159" s="16">
        <f t="shared" si="19"/>
        <v>32</v>
      </c>
      <c r="N159" s="15">
        <v>4000</v>
      </c>
      <c r="O159" s="15">
        <v>13500</v>
      </c>
      <c r="P159" s="15">
        <f t="shared" si="20"/>
        <v>54000000</v>
      </c>
      <c r="Q159" s="15" t="str">
        <f t="shared" si="24"/>
        <v/>
      </c>
      <c r="R159" s="18" t="s">
        <v>29</v>
      </c>
      <c r="S159" s="23">
        <v>43709</v>
      </c>
      <c r="T159" s="20">
        <f>IFERROR(VLOOKUP(S159,'Date Converter'!$A$4:$C$368,3,0),"")</f>
        <v>43737</v>
      </c>
      <c r="U159" s="21">
        <f t="shared" si="29"/>
        <v>43737</v>
      </c>
      <c r="V159" s="12" t="s">
        <v>51</v>
      </c>
      <c r="W159" s="18"/>
      <c r="X159" s="18"/>
      <c r="Y159" s="12"/>
      <c r="Z159" s="206"/>
      <c r="AA159" s="15"/>
      <c r="AB159" s="206"/>
      <c r="AC159" s="12"/>
      <c r="AD159" s="12"/>
      <c r="AE159" s="12"/>
      <c r="AF159" s="245"/>
      <c r="AG159" s="12"/>
      <c r="AH159" s="15">
        <f t="shared" si="21"/>
        <v>0</v>
      </c>
      <c r="AI159" s="22">
        <f t="shared" si="22"/>
        <v>4000</v>
      </c>
      <c r="AJ159" s="22">
        <f t="shared" si="23"/>
        <v>54000000</v>
      </c>
    </row>
    <row r="160" spans="1:37" hidden="1">
      <c r="A160" t="s">
        <v>471</v>
      </c>
      <c r="B160" s="13">
        <v>43550</v>
      </c>
      <c r="C160" s="13" t="s">
        <v>23</v>
      </c>
      <c r="D160" s="258" t="s">
        <v>472</v>
      </c>
      <c r="E160" s="249" t="s">
        <v>473</v>
      </c>
      <c r="F160" t="str">
        <f t="shared" si="18"/>
        <v>BACA_20.22_125_NL2018</v>
      </c>
      <c r="G160" s="13" t="s">
        <v>67</v>
      </c>
      <c r="I160" s="12" t="s">
        <v>74</v>
      </c>
      <c r="J160" s="31" t="s">
        <v>122</v>
      </c>
      <c r="K160" s="15" t="s">
        <v>28</v>
      </c>
      <c r="M160" s="16">
        <f t="shared" si="19"/>
        <v>40</v>
      </c>
      <c r="N160" s="15">
        <v>5000</v>
      </c>
      <c r="O160" s="15">
        <v>10800</v>
      </c>
      <c r="P160" s="15">
        <f t="shared" si="20"/>
        <v>54000000</v>
      </c>
      <c r="Q160" s="15" t="str">
        <f t="shared" si="24"/>
        <v/>
      </c>
      <c r="R160" s="18" t="s">
        <v>29</v>
      </c>
      <c r="S160" s="23">
        <v>43709</v>
      </c>
      <c r="T160" s="20">
        <f>IFERROR(VLOOKUP(S160,'Date Converter'!$A$4:$C$368,3,0),"")</f>
        <v>43737</v>
      </c>
      <c r="U160" s="21">
        <f t="shared" si="29"/>
        <v>43737</v>
      </c>
      <c r="V160" s="12" t="s">
        <v>51</v>
      </c>
      <c r="AA160" s="15"/>
      <c r="AB160" s="206"/>
      <c r="AD160" s="12"/>
      <c r="AH160" s="15">
        <f t="shared" si="21"/>
        <v>0</v>
      </c>
      <c r="AI160" s="22">
        <f t="shared" si="22"/>
        <v>5000</v>
      </c>
      <c r="AJ160" s="22">
        <f t="shared" si="23"/>
        <v>54000000</v>
      </c>
      <c r="AK160" s="165"/>
    </row>
    <row r="161" spans="1:37" hidden="1">
      <c r="A161" t="s">
        <v>1648</v>
      </c>
      <c r="B161" s="13">
        <v>43538</v>
      </c>
      <c r="C161" s="13" t="s">
        <v>1622</v>
      </c>
      <c r="D161" s="258" t="s">
        <v>1278</v>
      </c>
      <c r="E161" s="13" t="s">
        <v>1279</v>
      </c>
      <c r="F161" t="str">
        <f t="shared" si="18"/>
        <v>TARR_20.22_125_NL2018</v>
      </c>
      <c r="G161" t="s">
        <v>62</v>
      </c>
      <c r="I161" s="12" t="s">
        <v>74</v>
      </c>
      <c r="J161" s="31" t="s">
        <v>122</v>
      </c>
      <c r="K161" s="15" t="s">
        <v>28</v>
      </c>
      <c r="M161" s="16">
        <f t="shared" si="19"/>
        <v>16</v>
      </c>
      <c r="N161" s="15">
        <v>2000</v>
      </c>
      <c r="O161" s="15">
        <v>10900</v>
      </c>
      <c r="P161" s="15">
        <f t="shared" si="20"/>
        <v>21800000</v>
      </c>
      <c r="Q161" s="15" t="str">
        <f t="shared" si="24"/>
        <v/>
      </c>
      <c r="R161" s="18" t="s">
        <v>29</v>
      </c>
      <c r="S161" s="117">
        <v>43709</v>
      </c>
      <c r="T161" s="20">
        <f>IFERROR(VLOOKUP(S161,'Date Converter'!$A$4:$C$368,3,0),"")</f>
        <v>43737</v>
      </c>
      <c r="U161" s="21">
        <f t="shared" si="29"/>
        <v>43737</v>
      </c>
      <c r="V161" s="260" t="s">
        <v>51</v>
      </c>
      <c r="Y161" s="18"/>
      <c r="AA161" s="15">
        <v>0</v>
      </c>
      <c r="AB161" s="206"/>
      <c r="AD161" s="12"/>
      <c r="AH161" s="15">
        <f t="shared" si="21"/>
        <v>0</v>
      </c>
      <c r="AI161" s="22">
        <f t="shared" si="22"/>
        <v>2000</v>
      </c>
      <c r="AJ161" s="22">
        <f t="shared" si="23"/>
        <v>21800000</v>
      </c>
      <c r="AK161" s="165"/>
    </row>
    <row r="162" spans="1:37" hidden="1">
      <c r="A162" t="s">
        <v>1648</v>
      </c>
      <c r="B162" s="13">
        <v>43538</v>
      </c>
      <c r="C162" s="13" t="s">
        <v>1622</v>
      </c>
      <c r="D162" s="258" t="s">
        <v>1278</v>
      </c>
      <c r="E162" s="13" t="s">
        <v>1279</v>
      </c>
      <c r="F162" t="str">
        <f t="shared" si="18"/>
        <v>TARR_18.20_150_NL2018</v>
      </c>
      <c r="G162" s="165" t="s">
        <v>62</v>
      </c>
      <c r="I162" s="12" t="s">
        <v>27</v>
      </c>
      <c r="J162" s="31" t="s">
        <v>126</v>
      </c>
      <c r="K162" s="15" t="s">
        <v>28</v>
      </c>
      <c r="M162" s="16">
        <f t="shared" si="19"/>
        <v>14</v>
      </c>
      <c r="N162" s="15">
        <v>2100</v>
      </c>
      <c r="O162" s="15">
        <v>9100</v>
      </c>
      <c r="P162" s="15">
        <f t="shared" si="20"/>
        <v>19110000</v>
      </c>
      <c r="Q162" s="15" t="str">
        <f t="shared" si="24"/>
        <v/>
      </c>
      <c r="R162" s="18" t="s">
        <v>29</v>
      </c>
      <c r="S162" s="117">
        <v>43709</v>
      </c>
      <c r="T162" s="20">
        <f>IFERROR(VLOOKUP(S162,'Date Converter'!$A$4:$C$368,3,0),"")</f>
        <v>43737</v>
      </c>
      <c r="U162" s="21">
        <f t="shared" si="29"/>
        <v>43737</v>
      </c>
      <c r="V162" s="260" t="s">
        <v>51</v>
      </c>
      <c r="Y162" s="18"/>
      <c r="AA162" s="15">
        <v>0</v>
      </c>
      <c r="AB162" s="206"/>
      <c r="AD162" s="12"/>
      <c r="AH162" s="15">
        <f t="shared" si="21"/>
        <v>0</v>
      </c>
      <c r="AI162" s="22">
        <f t="shared" si="22"/>
        <v>2100</v>
      </c>
      <c r="AJ162" s="22">
        <f t="shared" si="23"/>
        <v>19110000</v>
      </c>
      <c r="AK162" s="165"/>
    </row>
    <row r="163" spans="1:37" s="165" customFormat="1" hidden="1">
      <c r="A163" s="165" t="s">
        <v>1648</v>
      </c>
      <c r="B163" s="13">
        <v>43538</v>
      </c>
      <c r="C163" s="13" t="s">
        <v>1622</v>
      </c>
      <c r="D163" s="258" t="s">
        <v>1278</v>
      </c>
      <c r="E163" s="13" t="s">
        <v>1279</v>
      </c>
      <c r="F163" s="165" t="str">
        <f t="shared" si="18"/>
        <v>ROBI_22.24_100_NL2018</v>
      </c>
      <c r="G163" s="165" t="s">
        <v>61</v>
      </c>
      <c r="H163" s="12"/>
      <c r="I163" s="12" t="s">
        <v>78</v>
      </c>
      <c r="J163" s="31" t="s">
        <v>206</v>
      </c>
      <c r="K163" s="15" t="s">
        <v>28</v>
      </c>
      <c r="L163" s="15"/>
      <c r="M163" s="16">
        <f t="shared" si="19"/>
        <v>100</v>
      </c>
      <c r="N163" s="15">
        <v>10000</v>
      </c>
      <c r="O163" s="15">
        <v>12500</v>
      </c>
      <c r="P163" s="15">
        <f t="shared" si="20"/>
        <v>125000000</v>
      </c>
      <c r="Q163" s="15" t="str">
        <f t="shared" si="24"/>
        <v/>
      </c>
      <c r="R163" s="18" t="s">
        <v>29</v>
      </c>
      <c r="S163" s="117">
        <v>43709</v>
      </c>
      <c r="T163" s="20">
        <f>IFERROR(VLOOKUP(S163,'Date Converter'!$A$4:$C$368,3,0),"")</f>
        <v>43737</v>
      </c>
      <c r="U163" s="21">
        <f t="shared" si="29"/>
        <v>43737</v>
      </c>
      <c r="V163" s="260" t="s">
        <v>51</v>
      </c>
      <c r="W163" s="18"/>
      <c r="X163" s="18"/>
      <c r="Y163" s="18"/>
      <c r="Z163" s="206"/>
      <c r="AA163" s="15">
        <v>0</v>
      </c>
      <c r="AB163" s="206"/>
      <c r="AC163" s="12"/>
      <c r="AD163" s="12"/>
      <c r="AE163" s="12"/>
      <c r="AF163" s="245"/>
      <c r="AG163" s="12"/>
      <c r="AH163" s="15">
        <f t="shared" si="21"/>
        <v>0</v>
      </c>
      <c r="AI163" s="22">
        <f t="shared" si="22"/>
        <v>10000</v>
      </c>
      <c r="AJ163" s="22">
        <f t="shared" si="23"/>
        <v>125000000</v>
      </c>
    </row>
    <row r="164" spans="1:37" s="165" customFormat="1" hidden="1">
      <c r="A164" s="165" t="s">
        <v>1648</v>
      </c>
      <c r="B164" s="13">
        <v>43538</v>
      </c>
      <c r="C164" s="13" t="s">
        <v>1622</v>
      </c>
      <c r="D164" s="258" t="s">
        <v>1278</v>
      </c>
      <c r="E164" s="13" t="s">
        <v>1279</v>
      </c>
      <c r="F164" s="165" t="str">
        <f t="shared" si="18"/>
        <v>ROBI_20.22_125_NL2018</v>
      </c>
      <c r="G164" s="165" t="s">
        <v>61</v>
      </c>
      <c r="H164" s="12"/>
      <c r="I164" s="12" t="s">
        <v>74</v>
      </c>
      <c r="J164" s="31" t="s">
        <v>122</v>
      </c>
      <c r="K164" s="15" t="s">
        <v>28</v>
      </c>
      <c r="L164" s="15"/>
      <c r="M164" s="16">
        <f t="shared" si="19"/>
        <v>24</v>
      </c>
      <c r="N164" s="15">
        <v>3000</v>
      </c>
      <c r="O164" s="15">
        <v>10700</v>
      </c>
      <c r="P164" s="15">
        <f t="shared" si="20"/>
        <v>32100000</v>
      </c>
      <c r="Q164" s="15" t="str">
        <f t="shared" si="24"/>
        <v/>
      </c>
      <c r="R164" s="18" t="s">
        <v>29</v>
      </c>
      <c r="S164" s="117">
        <v>43709</v>
      </c>
      <c r="T164" s="20">
        <f>IFERROR(VLOOKUP(S164,'Date Converter'!$A$4:$C$368,3,0),"")</f>
        <v>43737</v>
      </c>
      <c r="U164" s="21">
        <f t="shared" si="29"/>
        <v>43737</v>
      </c>
      <c r="V164" s="260" t="s">
        <v>51</v>
      </c>
      <c r="W164" s="18"/>
      <c r="X164" s="18"/>
      <c r="Y164" s="18"/>
      <c r="Z164" s="206"/>
      <c r="AA164" s="15"/>
      <c r="AB164" s="206"/>
      <c r="AC164" s="12"/>
      <c r="AD164" s="12"/>
      <c r="AE164" s="12"/>
      <c r="AF164" s="245"/>
      <c r="AG164" s="12"/>
      <c r="AH164" s="15">
        <f t="shared" si="21"/>
        <v>0</v>
      </c>
      <c r="AI164" s="22">
        <f t="shared" si="22"/>
        <v>3000</v>
      </c>
      <c r="AJ164" s="22">
        <f t="shared" si="23"/>
        <v>32100000</v>
      </c>
    </row>
    <row r="165" spans="1:37" s="165" customFormat="1" hidden="1">
      <c r="A165" s="165" t="s">
        <v>1648</v>
      </c>
      <c r="B165" s="13">
        <v>43538</v>
      </c>
      <c r="C165" s="13" t="s">
        <v>1622</v>
      </c>
      <c r="D165" s="258" t="s">
        <v>1278</v>
      </c>
      <c r="E165" s="13" t="s">
        <v>1279</v>
      </c>
      <c r="F165" s="165" t="str">
        <f t="shared" si="18"/>
        <v>MANI_22.24_100_NL2018</v>
      </c>
      <c r="G165" s="165" t="s">
        <v>105</v>
      </c>
      <c r="H165" s="12"/>
      <c r="I165" s="12" t="s">
        <v>78</v>
      </c>
      <c r="J165" s="31" t="s">
        <v>206</v>
      </c>
      <c r="K165" s="15" t="s">
        <v>28</v>
      </c>
      <c r="L165" s="15"/>
      <c r="M165" s="16">
        <f t="shared" si="19"/>
        <v>110</v>
      </c>
      <c r="N165" s="15">
        <f>8000+3000</f>
        <v>11000</v>
      </c>
      <c r="O165" s="15">
        <v>15200</v>
      </c>
      <c r="P165" s="15">
        <f t="shared" si="20"/>
        <v>167200000</v>
      </c>
      <c r="Q165" s="15" t="str">
        <f t="shared" si="24"/>
        <v/>
      </c>
      <c r="R165" s="18" t="s">
        <v>29</v>
      </c>
      <c r="S165" s="117">
        <v>43709</v>
      </c>
      <c r="T165" s="20">
        <f>IFERROR(VLOOKUP(S165,'Date Converter'!$A$4:$C$368,3,0),"")</f>
        <v>43737</v>
      </c>
      <c r="U165" s="21">
        <f t="shared" si="29"/>
        <v>43737</v>
      </c>
      <c r="V165" s="260" t="s">
        <v>51</v>
      </c>
      <c r="W165" s="18"/>
      <c r="X165" s="18"/>
      <c r="Y165" s="18"/>
      <c r="Z165" s="206"/>
      <c r="AA165" s="15">
        <v>0</v>
      </c>
      <c r="AB165" s="206"/>
      <c r="AC165" s="12"/>
      <c r="AD165" s="12"/>
      <c r="AE165" s="12"/>
      <c r="AF165" s="245"/>
      <c r="AG165" s="12"/>
      <c r="AH165" s="15">
        <f t="shared" si="21"/>
        <v>0</v>
      </c>
      <c r="AI165" s="22">
        <f t="shared" si="22"/>
        <v>11000</v>
      </c>
      <c r="AJ165" s="22">
        <f t="shared" si="23"/>
        <v>167200000</v>
      </c>
    </row>
    <row r="166" spans="1:37" s="165" customFormat="1" hidden="1">
      <c r="A166" s="165" t="s">
        <v>1648</v>
      </c>
      <c r="B166" s="13">
        <v>43538</v>
      </c>
      <c r="C166" s="13" t="s">
        <v>1622</v>
      </c>
      <c r="D166" s="258" t="s">
        <v>1278</v>
      </c>
      <c r="E166" s="13" t="s">
        <v>1279</v>
      </c>
      <c r="F166" s="165" t="str">
        <f t="shared" si="18"/>
        <v>LARG_22.24_100_NL2018</v>
      </c>
      <c r="G166" s="165" t="s">
        <v>70</v>
      </c>
      <c r="H166" s="12"/>
      <c r="I166" s="12" t="s">
        <v>78</v>
      </c>
      <c r="J166" s="31" t="s">
        <v>206</v>
      </c>
      <c r="K166" s="15" t="s">
        <v>28</v>
      </c>
      <c r="L166" s="15"/>
      <c r="M166" s="16">
        <f t="shared" si="19"/>
        <v>30</v>
      </c>
      <c r="N166" s="15">
        <v>3000</v>
      </c>
      <c r="O166" s="15">
        <v>11400</v>
      </c>
      <c r="P166" s="15">
        <f t="shared" si="20"/>
        <v>34200000</v>
      </c>
      <c r="Q166" s="15" t="str">
        <f t="shared" si="24"/>
        <v/>
      </c>
      <c r="R166" s="18" t="s">
        <v>29</v>
      </c>
      <c r="S166" s="117">
        <v>43709</v>
      </c>
      <c r="T166" s="20">
        <f>IFERROR(VLOOKUP(S166,'Date Converter'!$A$4:$C$368,3,0),"")</f>
        <v>43737</v>
      </c>
      <c r="U166" s="21">
        <f t="shared" si="29"/>
        <v>43737</v>
      </c>
      <c r="V166" s="260" t="s">
        <v>51</v>
      </c>
      <c r="W166" s="18"/>
      <c r="X166" s="18"/>
      <c r="Y166" s="18"/>
      <c r="Z166" s="206"/>
      <c r="AA166" s="15">
        <v>0</v>
      </c>
      <c r="AB166" s="206"/>
      <c r="AC166" s="12"/>
      <c r="AD166" s="12"/>
      <c r="AE166" s="12"/>
      <c r="AF166" s="245"/>
      <c r="AG166" s="12"/>
      <c r="AH166" s="15">
        <f t="shared" si="21"/>
        <v>0</v>
      </c>
      <c r="AI166" s="22">
        <f t="shared" si="22"/>
        <v>3000</v>
      </c>
      <c r="AJ166" s="22">
        <f t="shared" si="23"/>
        <v>34200000</v>
      </c>
    </row>
    <row r="167" spans="1:37" s="165" customFormat="1" hidden="1">
      <c r="A167" s="165" t="s">
        <v>1648</v>
      </c>
      <c r="B167" s="13">
        <v>43538</v>
      </c>
      <c r="C167" s="13" t="s">
        <v>1622</v>
      </c>
      <c r="D167" s="258" t="s">
        <v>1278</v>
      </c>
      <c r="E167" s="13" t="s">
        <v>1279</v>
      </c>
      <c r="F167" s="165" t="str">
        <f t="shared" si="18"/>
        <v>CONC_22.24_100_NL2018</v>
      </c>
      <c r="G167" s="13" t="s">
        <v>40</v>
      </c>
      <c r="H167" s="12"/>
      <c r="I167" s="12" t="s">
        <v>78</v>
      </c>
      <c r="J167" s="31" t="s">
        <v>206</v>
      </c>
      <c r="K167" s="15" t="s">
        <v>28</v>
      </c>
      <c r="L167" s="15"/>
      <c r="M167" s="16">
        <f t="shared" si="19"/>
        <v>50</v>
      </c>
      <c r="N167" s="15">
        <v>5000</v>
      </c>
      <c r="O167" s="15">
        <v>12500</v>
      </c>
      <c r="P167" s="15">
        <f t="shared" si="20"/>
        <v>62500000</v>
      </c>
      <c r="Q167" s="15" t="str">
        <f t="shared" si="24"/>
        <v/>
      </c>
      <c r="R167" s="18" t="s">
        <v>29</v>
      </c>
      <c r="S167" s="117">
        <v>43709</v>
      </c>
      <c r="T167" s="20">
        <f>IFERROR(VLOOKUP(S167,'Date Converter'!$A$4:$C$368,3,0),"")</f>
        <v>43737</v>
      </c>
      <c r="U167" s="21">
        <f t="shared" si="29"/>
        <v>43737</v>
      </c>
      <c r="V167" s="260" t="s">
        <v>51</v>
      </c>
      <c r="W167" s="18"/>
      <c r="X167" s="18"/>
      <c r="Y167" s="18"/>
      <c r="Z167" s="206"/>
      <c r="AA167" s="15">
        <v>0</v>
      </c>
      <c r="AB167" s="206"/>
      <c r="AC167" s="12"/>
      <c r="AD167" s="12"/>
      <c r="AE167" s="12"/>
      <c r="AF167" s="245"/>
      <c r="AG167" s="12"/>
      <c r="AH167" s="15">
        <f t="shared" si="21"/>
        <v>0</v>
      </c>
      <c r="AI167" s="22">
        <f t="shared" si="22"/>
        <v>5000</v>
      </c>
      <c r="AJ167" s="22">
        <f t="shared" si="23"/>
        <v>62500000</v>
      </c>
    </row>
    <row r="168" spans="1:37" hidden="1">
      <c r="A168" t="s">
        <v>1648</v>
      </c>
      <c r="B168" s="13">
        <v>43538</v>
      </c>
      <c r="C168" s="13" t="s">
        <v>1622</v>
      </c>
      <c r="D168" s="258" t="s">
        <v>1278</v>
      </c>
      <c r="E168" s="13" t="s">
        <v>1279</v>
      </c>
      <c r="F168" t="str">
        <f t="shared" si="18"/>
        <v>CONC_20.22_125_NL2018</v>
      </c>
      <c r="G168" s="13" t="s">
        <v>40</v>
      </c>
      <c r="I168" s="12" t="s">
        <v>74</v>
      </c>
      <c r="J168" s="31" t="s">
        <v>122</v>
      </c>
      <c r="K168" s="15" t="s">
        <v>28</v>
      </c>
      <c r="M168" s="16">
        <f t="shared" si="19"/>
        <v>8</v>
      </c>
      <c r="N168" s="15">
        <v>1000</v>
      </c>
      <c r="O168" s="15">
        <v>10600</v>
      </c>
      <c r="P168" s="15">
        <f t="shared" si="20"/>
        <v>10600000</v>
      </c>
      <c r="Q168" s="15" t="str">
        <f t="shared" si="24"/>
        <v/>
      </c>
      <c r="R168" s="18" t="s">
        <v>29</v>
      </c>
      <c r="S168" s="117">
        <v>43709</v>
      </c>
      <c r="T168" s="20">
        <f>IFERROR(VLOOKUP(S168,'Date Converter'!$A$4:$C$368,3,0),"")</f>
        <v>43737</v>
      </c>
      <c r="U168" s="21">
        <f t="shared" si="29"/>
        <v>43737</v>
      </c>
      <c r="V168" s="260" t="s">
        <v>51</v>
      </c>
      <c r="Y168" s="18"/>
      <c r="AA168" s="15"/>
      <c r="AB168" s="206"/>
      <c r="AD168" s="12"/>
      <c r="AH168" s="15">
        <f t="shared" si="21"/>
        <v>0</v>
      </c>
      <c r="AI168" s="22">
        <f t="shared" si="22"/>
        <v>1000</v>
      </c>
      <c r="AJ168" s="22">
        <f t="shared" si="23"/>
        <v>10600000</v>
      </c>
      <c r="AK168" s="165"/>
    </row>
    <row r="169" spans="1:37" hidden="1">
      <c r="A169" t="s">
        <v>1649</v>
      </c>
      <c r="B169" s="13">
        <v>43470</v>
      </c>
      <c r="C169" s="13" t="s">
        <v>1622</v>
      </c>
      <c r="D169" t="s">
        <v>910</v>
      </c>
      <c r="E169" s="165" t="s">
        <v>911</v>
      </c>
      <c r="F169" t="str">
        <f t="shared" si="18"/>
        <v>YELL_16.18_200_NL2018</v>
      </c>
      <c r="G169" s="165" t="s">
        <v>89</v>
      </c>
      <c r="I169" s="12" t="s">
        <v>35</v>
      </c>
      <c r="J169" s="14">
        <v>200</v>
      </c>
      <c r="K169" s="15" t="s">
        <v>28</v>
      </c>
      <c r="M169" s="16">
        <f t="shared" si="19"/>
        <v>40</v>
      </c>
      <c r="N169" s="15">
        <v>8000</v>
      </c>
      <c r="O169" s="15">
        <v>5000</v>
      </c>
      <c r="P169" s="15">
        <f t="shared" si="20"/>
        <v>40000000</v>
      </c>
      <c r="Q169" s="15" t="str">
        <f t="shared" si="24"/>
        <v>Done</v>
      </c>
      <c r="R169" s="18" t="s">
        <v>44</v>
      </c>
      <c r="S169" s="117">
        <v>43474</v>
      </c>
      <c r="T169" s="20">
        <f>IFERROR(VLOOKUP(S169,'Date Converter'!$A$4:$C$368,3,0),"")</f>
        <v>43509</v>
      </c>
      <c r="U169" s="21">
        <f t="shared" si="29"/>
        <v>43509</v>
      </c>
      <c r="V169" s="12" t="s">
        <v>1650</v>
      </c>
      <c r="Y169" s="18"/>
      <c r="Z169" s="210">
        <v>43516</v>
      </c>
      <c r="AA169" s="15">
        <v>8000</v>
      </c>
      <c r="AB169" s="210"/>
      <c r="AC169" s="15"/>
      <c r="AD169" s="15"/>
      <c r="AE169" s="15"/>
      <c r="AF169" s="244"/>
      <c r="AG169" s="15"/>
      <c r="AH169" s="15">
        <f t="shared" si="21"/>
        <v>8000</v>
      </c>
      <c r="AI169" s="22">
        <f t="shared" si="22"/>
        <v>0</v>
      </c>
      <c r="AJ169" s="22">
        <f t="shared" si="23"/>
        <v>0</v>
      </c>
      <c r="AK169" s="13">
        <v>43872</v>
      </c>
    </row>
    <row r="170" spans="1:37" hidden="1">
      <c r="A170" t="s">
        <v>1649</v>
      </c>
      <c r="B170" s="13">
        <v>43470</v>
      </c>
      <c r="C170" s="13" t="s">
        <v>1622</v>
      </c>
      <c r="D170" t="s">
        <v>910</v>
      </c>
      <c r="E170" s="165" t="s">
        <v>911</v>
      </c>
      <c r="F170" t="str">
        <f t="shared" si="18"/>
        <v>YELL_16.18_200_NL2018</v>
      </c>
      <c r="G170" s="165" t="s">
        <v>89</v>
      </c>
      <c r="I170" s="12" t="s">
        <v>35</v>
      </c>
      <c r="J170" s="14">
        <v>200</v>
      </c>
      <c r="K170" s="15" t="s">
        <v>28</v>
      </c>
      <c r="M170" s="16">
        <f t="shared" si="19"/>
        <v>25</v>
      </c>
      <c r="N170" s="15">
        <v>5000</v>
      </c>
      <c r="O170" s="15">
        <v>5000</v>
      </c>
      <c r="P170" s="15">
        <f t="shared" si="20"/>
        <v>25000000</v>
      </c>
      <c r="Q170" s="15" t="str">
        <f t="shared" si="24"/>
        <v>Done</v>
      </c>
      <c r="R170" s="18" t="s">
        <v>44</v>
      </c>
      <c r="S170" s="117">
        <v>43474</v>
      </c>
      <c r="T170" s="20">
        <f>IFERROR(VLOOKUP(S170,'Date Converter'!$A$4:$C$368,3,0),"")</f>
        <v>43509</v>
      </c>
      <c r="U170" s="21">
        <f t="shared" si="29"/>
        <v>43509</v>
      </c>
      <c r="V170" s="12" t="s">
        <v>1650</v>
      </c>
      <c r="Y170" s="18"/>
      <c r="Z170" s="210">
        <v>43530</v>
      </c>
      <c r="AA170" s="15">
        <v>5000</v>
      </c>
      <c r="AB170" s="210"/>
      <c r="AC170" s="15"/>
      <c r="AD170" s="15"/>
      <c r="AE170" s="15"/>
      <c r="AF170" s="244"/>
      <c r="AG170" s="15"/>
      <c r="AH170" s="15">
        <f t="shared" si="21"/>
        <v>5000</v>
      </c>
      <c r="AI170" s="22">
        <f t="shared" si="22"/>
        <v>0</v>
      </c>
      <c r="AJ170" s="22">
        <f t="shared" si="23"/>
        <v>0</v>
      </c>
      <c r="AK170" s="13">
        <v>43826</v>
      </c>
    </row>
    <row r="171" spans="1:37" hidden="1">
      <c r="A171" t="s">
        <v>1649</v>
      </c>
      <c r="B171" s="13">
        <v>43470</v>
      </c>
      <c r="C171" s="13" t="s">
        <v>1622</v>
      </c>
      <c r="D171" t="s">
        <v>910</v>
      </c>
      <c r="E171" s="165" t="s">
        <v>911</v>
      </c>
      <c r="F171" t="str">
        <f t="shared" si="18"/>
        <v>TOUC_13.14_350_NL2018</v>
      </c>
      <c r="G171" t="s">
        <v>1652</v>
      </c>
      <c r="I171" s="12" t="s">
        <v>1467</v>
      </c>
      <c r="J171" s="14">
        <v>350</v>
      </c>
      <c r="K171" s="15" t="s">
        <v>28</v>
      </c>
      <c r="M171" s="16">
        <f t="shared" si="19"/>
        <v>20</v>
      </c>
      <c r="N171" s="15">
        <v>7000</v>
      </c>
      <c r="O171" s="15">
        <v>4350</v>
      </c>
      <c r="P171" s="15">
        <f t="shared" si="20"/>
        <v>30450000</v>
      </c>
      <c r="Q171" s="15" t="str">
        <f t="shared" si="24"/>
        <v>Done</v>
      </c>
      <c r="R171" s="18" t="s">
        <v>44</v>
      </c>
      <c r="S171" s="117">
        <v>43570</v>
      </c>
      <c r="T171" s="20">
        <f>IFERROR(VLOOKUP(S171,'Date Converter'!$A$4:$C$368,3,0),"")</f>
        <v>43604</v>
      </c>
      <c r="U171" s="21">
        <f t="shared" si="29"/>
        <v>43604</v>
      </c>
      <c r="V171" s="12" t="s">
        <v>87</v>
      </c>
      <c r="Y171" s="18"/>
      <c r="Z171" s="210">
        <v>43607</v>
      </c>
      <c r="AA171" s="15">
        <v>7000</v>
      </c>
      <c r="AB171" s="210"/>
      <c r="AC171" s="15"/>
      <c r="AD171" s="15"/>
      <c r="AE171" s="15"/>
      <c r="AF171" s="244"/>
      <c r="AG171" s="15"/>
      <c r="AH171" s="15">
        <f t="shared" si="21"/>
        <v>7000</v>
      </c>
      <c r="AI171" s="22">
        <f t="shared" si="22"/>
        <v>0</v>
      </c>
      <c r="AJ171" s="22">
        <f t="shared" si="23"/>
        <v>0</v>
      </c>
      <c r="AK171" s="13"/>
    </row>
    <row r="172" spans="1:37" hidden="1">
      <c r="A172" t="s">
        <v>1649</v>
      </c>
      <c r="B172" s="13">
        <v>43470</v>
      </c>
      <c r="C172" s="13" t="s">
        <v>1622</v>
      </c>
      <c r="D172" t="s">
        <v>910</v>
      </c>
      <c r="E172" s="165" t="s">
        <v>911</v>
      </c>
      <c r="F172" t="str">
        <f t="shared" si="18"/>
        <v>TOUC_14.16_300_NL2018</v>
      </c>
      <c r="G172" s="165" t="s">
        <v>1652</v>
      </c>
      <c r="I172" s="12" t="s">
        <v>47</v>
      </c>
      <c r="J172" s="14">
        <v>300</v>
      </c>
      <c r="K172" s="15" t="s">
        <v>28</v>
      </c>
      <c r="M172" s="16">
        <f t="shared" si="19"/>
        <v>9</v>
      </c>
      <c r="N172" s="15">
        <v>2700</v>
      </c>
      <c r="O172" s="15">
        <v>7000</v>
      </c>
      <c r="P172" s="15">
        <f t="shared" si="20"/>
        <v>18900000</v>
      </c>
      <c r="Q172" s="15" t="str">
        <f t="shared" si="24"/>
        <v>Done</v>
      </c>
      <c r="R172" s="18" t="s">
        <v>44</v>
      </c>
      <c r="S172" s="117">
        <v>43570</v>
      </c>
      <c r="T172" s="20">
        <f>IFERROR(VLOOKUP(S172,'Date Converter'!$A$4:$C$368,3,0),"")</f>
        <v>43604</v>
      </c>
      <c r="U172" s="21">
        <f t="shared" si="29"/>
        <v>43604</v>
      </c>
      <c r="V172" s="12" t="s">
        <v>87</v>
      </c>
      <c r="Y172" s="18"/>
      <c r="Z172" s="210">
        <v>43607</v>
      </c>
      <c r="AA172" s="15">
        <v>2700</v>
      </c>
      <c r="AB172" s="210"/>
      <c r="AC172" s="15"/>
      <c r="AD172" s="15"/>
      <c r="AE172" s="15"/>
      <c r="AF172" s="244"/>
      <c r="AG172" s="15"/>
      <c r="AH172" s="15">
        <f t="shared" si="21"/>
        <v>2700</v>
      </c>
      <c r="AI172" s="22">
        <f t="shared" si="22"/>
        <v>0</v>
      </c>
      <c r="AJ172" s="22">
        <f t="shared" si="23"/>
        <v>0</v>
      </c>
      <c r="AK172" s="13"/>
    </row>
    <row r="173" spans="1:37" hidden="1">
      <c r="A173" s="165" t="s">
        <v>1649</v>
      </c>
      <c r="B173" s="13">
        <v>43470</v>
      </c>
      <c r="C173" s="13" t="s">
        <v>1622</v>
      </c>
      <c r="D173" t="s">
        <v>910</v>
      </c>
      <c r="E173" s="165" t="s">
        <v>911</v>
      </c>
      <c r="F173" t="str">
        <f t="shared" si="18"/>
        <v>TARR_16.18_200_NL2018</v>
      </c>
      <c r="G173" s="165" t="s">
        <v>62</v>
      </c>
      <c r="I173" s="12" t="s">
        <v>35</v>
      </c>
      <c r="J173" s="14">
        <v>200</v>
      </c>
      <c r="K173" s="15" t="s">
        <v>28</v>
      </c>
      <c r="M173" s="16">
        <f t="shared" si="19"/>
        <v>50</v>
      </c>
      <c r="N173" s="15">
        <v>10000</v>
      </c>
      <c r="O173" s="15">
        <v>5500</v>
      </c>
      <c r="P173" s="15">
        <f t="shared" si="20"/>
        <v>55000000</v>
      </c>
      <c r="Q173" s="15" t="str">
        <f t="shared" si="24"/>
        <v>Done</v>
      </c>
      <c r="R173" s="18" t="s">
        <v>44</v>
      </c>
      <c r="S173" s="117">
        <v>43480</v>
      </c>
      <c r="T173" s="20">
        <f>IFERROR(VLOOKUP(S173,'Date Converter'!$A$4:$C$368,3,0),"")</f>
        <v>43515</v>
      </c>
      <c r="U173" s="21">
        <f t="shared" si="29"/>
        <v>43515</v>
      </c>
      <c r="V173" s="12" t="s">
        <v>45</v>
      </c>
      <c r="Y173" s="18"/>
      <c r="Z173" s="210">
        <v>43515</v>
      </c>
      <c r="AA173" s="15">
        <v>10000</v>
      </c>
      <c r="AB173" s="210"/>
      <c r="AC173" s="15"/>
      <c r="AD173" s="15"/>
      <c r="AE173" s="15"/>
      <c r="AF173" s="244"/>
      <c r="AG173" s="15"/>
      <c r="AH173" s="15">
        <f t="shared" si="21"/>
        <v>10000</v>
      </c>
      <c r="AI173" s="22">
        <f t="shared" si="22"/>
        <v>0</v>
      </c>
      <c r="AJ173" s="22">
        <f t="shared" si="23"/>
        <v>0</v>
      </c>
      <c r="AK173" s="13">
        <v>43872</v>
      </c>
    </row>
    <row r="174" spans="1:37" hidden="1">
      <c r="A174" s="165" t="s">
        <v>1649</v>
      </c>
      <c r="B174" s="13">
        <v>43470</v>
      </c>
      <c r="C174" s="13" t="s">
        <v>1622</v>
      </c>
      <c r="D174" t="s">
        <v>910</v>
      </c>
      <c r="E174" s="165" t="s">
        <v>911</v>
      </c>
      <c r="F174" t="str">
        <f t="shared" si="18"/>
        <v>TARR_16.18_200_NL2018</v>
      </c>
      <c r="G174" s="165" t="s">
        <v>62</v>
      </c>
      <c r="I174" s="12" t="s">
        <v>35</v>
      </c>
      <c r="J174" s="14">
        <v>200</v>
      </c>
      <c r="K174" s="15" t="s">
        <v>28</v>
      </c>
      <c r="M174" s="16">
        <f t="shared" si="19"/>
        <v>25</v>
      </c>
      <c r="N174" s="15">
        <v>5000</v>
      </c>
      <c r="O174" s="15">
        <v>5500</v>
      </c>
      <c r="P174" s="15">
        <f t="shared" si="20"/>
        <v>27500000</v>
      </c>
      <c r="Q174" s="15" t="str">
        <f t="shared" si="24"/>
        <v>Done</v>
      </c>
      <c r="R174" s="18" t="s">
        <v>44</v>
      </c>
      <c r="S174" s="117" t="s">
        <v>151</v>
      </c>
      <c r="T174" s="20">
        <f>IFERROR(VLOOKUP(S174,'Date Converter'!$A$4:$C$368,3,0),"")</f>
        <v>43558</v>
      </c>
      <c r="U174" s="21">
        <f t="shared" si="29"/>
        <v>43558</v>
      </c>
      <c r="V174" s="12" t="s">
        <v>54</v>
      </c>
      <c r="W174" s="18" t="s">
        <v>101</v>
      </c>
      <c r="Y174" s="18"/>
      <c r="Z174" s="210">
        <v>43564</v>
      </c>
      <c r="AA174" s="15">
        <v>5000</v>
      </c>
      <c r="AB174" s="210"/>
      <c r="AC174" s="15"/>
      <c r="AD174" s="15"/>
      <c r="AE174" s="15"/>
      <c r="AF174" s="244"/>
      <c r="AG174" s="15"/>
      <c r="AH174" s="15">
        <f t="shared" si="21"/>
        <v>5000</v>
      </c>
      <c r="AI174" s="22">
        <f t="shared" si="22"/>
        <v>0</v>
      </c>
      <c r="AJ174" s="22">
        <f t="shared" si="23"/>
        <v>0</v>
      </c>
      <c r="AK174" s="13"/>
    </row>
    <row r="175" spans="1:37" hidden="1">
      <c r="A175" s="165" t="s">
        <v>1649</v>
      </c>
      <c r="B175" s="13">
        <v>43470</v>
      </c>
      <c r="C175" s="13" t="s">
        <v>1622</v>
      </c>
      <c r="D175" t="s">
        <v>910</v>
      </c>
      <c r="E175" s="165" t="s">
        <v>911</v>
      </c>
      <c r="F175" s="165" t="str">
        <f t="shared" si="18"/>
        <v>SENS_16.18_200_NL2018</v>
      </c>
      <c r="G175" s="165" t="s">
        <v>80</v>
      </c>
      <c r="I175" s="12" t="s">
        <v>35</v>
      </c>
      <c r="J175" s="14">
        <v>200</v>
      </c>
      <c r="K175" s="15" t="s">
        <v>28</v>
      </c>
      <c r="M175" s="16">
        <f t="shared" si="19"/>
        <v>25</v>
      </c>
      <c r="N175" s="15">
        <v>5000</v>
      </c>
      <c r="O175" s="15">
        <v>5500</v>
      </c>
      <c r="P175" s="15">
        <f t="shared" si="20"/>
        <v>27500000</v>
      </c>
      <c r="Q175" s="15" t="str">
        <f t="shared" si="24"/>
        <v>Done</v>
      </c>
      <c r="R175" s="18" t="s">
        <v>44</v>
      </c>
      <c r="S175" s="117" t="s">
        <v>151</v>
      </c>
      <c r="T175" s="20">
        <f>IFERROR(VLOOKUP(S175,'Date Converter'!$A$4:$C$368,3,0),"")</f>
        <v>43558</v>
      </c>
      <c r="U175" s="21">
        <f t="shared" si="29"/>
        <v>43558</v>
      </c>
      <c r="V175" s="12" t="s">
        <v>54</v>
      </c>
      <c r="W175" s="18" t="s">
        <v>82</v>
      </c>
      <c r="Y175" s="18"/>
      <c r="Z175" s="210">
        <v>43592</v>
      </c>
      <c r="AA175" s="15">
        <v>5000</v>
      </c>
      <c r="AB175" s="210"/>
      <c r="AC175" s="15"/>
      <c r="AD175" s="15"/>
      <c r="AE175" s="15"/>
      <c r="AF175" s="244"/>
      <c r="AG175" s="15"/>
      <c r="AH175" s="15">
        <f t="shared" si="21"/>
        <v>5000</v>
      </c>
      <c r="AI175" s="22">
        <f t="shared" si="22"/>
        <v>0</v>
      </c>
      <c r="AJ175" s="22">
        <f t="shared" si="23"/>
        <v>0</v>
      </c>
      <c r="AK175" s="13">
        <v>43831</v>
      </c>
    </row>
    <row r="176" spans="1:37" hidden="1">
      <c r="A176" s="165" t="s">
        <v>1649</v>
      </c>
      <c r="B176" s="13">
        <v>43470</v>
      </c>
      <c r="C176" s="13" t="s">
        <v>1622</v>
      </c>
      <c r="D176" t="s">
        <v>910</v>
      </c>
      <c r="E176" s="165" t="s">
        <v>911</v>
      </c>
      <c r="F176" t="str">
        <f t="shared" si="18"/>
        <v>PROF_16.18_200_NL2018</v>
      </c>
      <c r="G176" s="165" t="s">
        <v>56</v>
      </c>
      <c r="I176" s="12" t="s">
        <v>35</v>
      </c>
      <c r="J176" s="14">
        <v>200</v>
      </c>
      <c r="K176" s="15" t="s">
        <v>28</v>
      </c>
      <c r="M176" s="16">
        <f t="shared" si="19"/>
        <v>25</v>
      </c>
      <c r="N176" s="15">
        <v>5000</v>
      </c>
      <c r="O176" s="15">
        <v>6700</v>
      </c>
      <c r="P176" s="15">
        <f t="shared" si="20"/>
        <v>33500000</v>
      </c>
      <c r="Q176" s="15" t="str">
        <f t="shared" si="24"/>
        <v>Done</v>
      </c>
      <c r="R176" s="18" t="s">
        <v>44</v>
      </c>
      <c r="S176" s="117">
        <v>43539</v>
      </c>
      <c r="T176" s="20">
        <f>IFERROR(VLOOKUP(S176,'Date Converter'!$A$4:$C$368,3,0),"")</f>
        <v>43574</v>
      </c>
      <c r="U176" s="21">
        <f t="shared" si="29"/>
        <v>43574</v>
      </c>
      <c r="V176" s="12" t="s">
        <v>57</v>
      </c>
      <c r="W176" s="18" t="s">
        <v>58</v>
      </c>
      <c r="Y176" s="18"/>
      <c r="Z176" s="210">
        <v>43608</v>
      </c>
      <c r="AA176" s="15">
        <v>5000</v>
      </c>
      <c r="AB176" s="210"/>
      <c r="AC176" s="15"/>
      <c r="AD176" s="15"/>
      <c r="AE176" s="15"/>
      <c r="AF176" s="244"/>
      <c r="AG176" s="15"/>
      <c r="AH176" s="15">
        <f t="shared" si="21"/>
        <v>5000</v>
      </c>
      <c r="AI176" s="22">
        <f t="shared" si="22"/>
        <v>0</v>
      </c>
      <c r="AJ176" s="22">
        <f t="shared" si="23"/>
        <v>0</v>
      </c>
      <c r="AK176" s="13">
        <v>43831</v>
      </c>
    </row>
    <row r="177" spans="1:37" hidden="1">
      <c r="A177" s="165" t="s">
        <v>1649</v>
      </c>
      <c r="B177" s="13">
        <v>43470</v>
      </c>
      <c r="C177" s="13" t="s">
        <v>1622</v>
      </c>
      <c r="D177" t="s">
        <v>910</v>
      </c>
      <c r="E177" s="165" t="s">
        <v>911</v>
      </c>
      <c r="F177" t="str">
        <f t="shared" si="18"/>
        <v>PROF_16.18_200_NL2018</v>
      </c>
      <c r="G177" s="165" t="s">
        <v>56</v>
      </c>
      <c r="I177" s="12" t="s">
        <v>35</v>
      </c>
      <c r="J177" s="14">
        <v>200</v>
      </c>
      <c r="K177" s="15" t="s">
        <v>28</v>
      </c>
      <c r="M177" s="16">
        <f t="shared" si="19"/>
        <v>50</v>
      </c>
      <c r="N177" s="15">
        <v>10000</v>
      </c>
      <c r="O177" s="15">
        <v>6700</v>
      </c>
      <c r="P177" s="15">
        <f t="shared" si="20"/>
        <v>67000000</v>
      </c>
      <c r="Q177" s="15" t="str">
        <f t="shared" si="24"/>
        <v>Done</v>
      </c>
      <c r="R177" s="18" t="s">
        <v>44</v>
      </c>
      <c r="S177" s="117" t="s">
        <v>151</v>
      </c>
      <c r="T177" s="20">
        <f>IFERROR(VLOOKUP(S177,'Date Converter'!$A$4:$C$368,3,0),"")</f>
        <v>43558</v>
      </c>
      <c r="U177" s="21">
        <f t="shared" si="29"/>
        <v>43558</v>
      </c>
      <c r="V177" s="12" t="s">
        <v>54</v>
      </c>
      <c r="W177" s="18" t="s">
        <v>55</v>
      </c>
      <c r="Y177" s="18"/>
      <c r="Z177" s="210">
        <v>43558</v>
      </c>
      <c r="AA177" s="15">
        <f>5000</f>
        <v>5000</v>
      </c>
      <c r="AB177" s="210">
        <v>43564</v>
      </c>
      <c r="AC177" s="15">
        <v>5000</v>
      </c>
      <c r="AD177" s="15"/>
      <c r="AE177" s="15"/>
      <c r="AF177" s="244"/>
      <c r="AG177" s="15"/>
      <c r="AH177" s="15">
        <f t="shared" si="21"/>
        <v>10000</v>
      </c>
      <c r="AI177" s="22">
        <f t="shared" si="22"/>
        <v>0</v>
      </c>
      <c r="AJ177" s="22">
        <f t="shared" si="23"/>
        <v>0</v>
      </c>
      <c r="AK177" s="13">
        <v>43831</v>
      </c>
    </row>
    <row r="178" spans="1:37" hidden="1">
      <c r="A178" s="165" t="s">
        <v>1649</v>
      </c>
      <c r="B178" s="13">
        <v>43470</v>
      </c>
      <c r="C178" s="13" t="s">
        <v>1622</v>
      </c>
      <c r="D178" t="s">
        <v>910</v>
      </c>
      <c r="E178" s="165" t="s">
        <v>911</v>
      </c>
      <c r="F178" t="str">
        <f t="shared" si="18"/>
        <v>MONT_16.18_200_NL2018</v>
      </c>
      <c r="G178" s="165" t="s">
        <v>221</v>
      </c>
      <c r="I178" s="12" t="s">
        <v>35</v>
      </c>
      <c r="J178" s="14">
        <v>200</v>
      </c>
      <c r="K178" s="15" t="s">
        <v>28</v>
      </c>
      <c r="M178" s="16">
        <f t="shared" si="19"/>
        <v>80</v>
      </c>
      <c r="N178" s="15">
        <v>16000</v>
      </c>
      <c r="O178" s="15">
        <v>6200</v>
      </c>
      <c r="P178" s="15">
        <f t="shared" si="20"/>
        <v>99200000</v>
      </c>
      <c r="Q178" s="15" t="str">
        <f t="shared" si="24"/>
        <v>Done</v>
      </c>
      <c r="R178" s="18" t="s">
        <v>44</v>
      </c>
      <c r="S178" s="117">
        <v>43539</v>
      </c>
      <c r="T178" s="20">
        <f>IFERROR(VLOOKUP(S178,'Date Converter'!$A$4:$C$368,3,0),"")</f>
        <v>43574</v>
      </c>
      <c r="U178" s="21">
        <f t="shared" si="29"/>
        <v>43574</v>
      </c>
      <c r="V178" s="12" t="s">
        <v>57</v>
      </c>
      <c r="W178" s="18" t="s">
        <v>79</v>
      </c>
      <c r="Y178" s="18"/>
      <c r="Z178" s="210">
        <v>43608</v>
      </c>
      <c r="AA178" s="15">
        <v>16000</v>
      </c>
      <c r="AB178" s="210"/>
      <c r="AC178" s="15"/>
      <c r="AD178" s="15"/>
      <c r="AE178" s="15"/>
      <c r="AF178" s="244"/>
      <c r="AG178" s="15"/>
      <c r="AH178" s="15">
        <f t="shared" si="21"/>
        <v>16000</v>
      </c>
      <c r="AI178" s="22">
        <f t="shared" si="22"/>
        <v>0</v>
      </c>
      <c r="AJ178" s="22">
        <f t="shared" si="23"/>
        <v>0</v>
      </c>
      <c r="AK178" s="13">
        <v>43831</v>
      </c>
    </row>
    <row r="179" spans="1:37" hidden="1">
      <c r="A179" s="165" t="s">
        <v>1649</v>
      </c>
      <c r="B179" s="13">
        <v>43470</v>
      </c>
      <c r="C179" s="13" t="s">
        <v>1622</v>
      </c>
      <c r="D179" t="s">
        <v>910</v>
      </c>
      <c r="E179" s="165" t="s">
        <v>911</v>
      </c>
      <c r="F179" t="str">
        <f t="shared" si="18"/>
        <v>MARE_16.18_200_NL2018</v>
      </c>
      <c r="G179" s="165" t="s">
        <v>52</v>
      </c>
      <c r="I179" s="12" t="s">
        <v>35</v>
      </c>
      <c r="J179" s="14">
        <v>200</v>
      </c>
      <c r="K179" s="15" t="s">
        <v>28</v>
      </c>
      <c r="M179" s="16">
        <f t="shared" si="19"/>
        <v>25</v>
      </c>
      <c r="N179" s="15">
        <v>5000</v>
      </c>
      <c r="O179" s="15">
        <v>6000</v>
      </c>
      <c r="P179" s="15">
        <f t="shared" si="20"/>
        <v>30000000</v>
      </c>
      <c r="Q179" s="15" t="str">
        <f t="shared" si="24"/>
        <v>Done</v>
      </c>
      <c r="R179" s="18" t="s">
        <v>44</v>
      </c>
      <c r="S179" s="117" t="s">
        <v>151</v>
      </c>
      <c r="T179" s="20">
        <f>IFERROR(VLOOKUP(S179,'Date Converter'!$A$4:$C$368,3,0),"")</f>
        <v>43558</v>
      </c>
      <c r="U179" s="21">
        <f t="shared" si="29"/>
        <v>43558</v>
      </c>
      <c r="V179" s="12" t="s">
        <v>54</v>
      </c>
      <c r="W179" s="18" t="s">
        <v>55</v>
      </c>
      <c r="Y179" s="18"/>
      <c r="Z179" s="210">
        <v>43558</v>
      </c>
      <c r="AA179" s="15">
        <v>5000</v>
      </c>
      <c r="AB179" s="210"/>
      <c r="AC179" s="15"/>
      <c r="AD179" s="15"/>
      <c r="AE179" s="15"/>
      <c r="AF179" s="244"/>
      <c r="AG179" s="15"/>
      <c r="AH179" s="15">
        <f t="shared" si="21"/>
        <v>5000</v>
      </c>
      <c r="AI179" s="22">
        <f t="shared" si="22"/>
        <v>0</v>
      </c>
      <c r="AJ179" s="22">
        <f t="shared" si="23"/>
        <v>0</v>
      </c>
      <c r="AK179" s="13">
        <v>43831</v>
      </c>
    </row>
    <row r="180" spans="1:37" hidden="1">
      <c r="A180" s="165" t="s">
        <v>1649</v>
      </c>
      <c r="B180" s="13">
        <v>43629</v>
      </c>
      <c r="C180" s="13" t="s">
        <v>1622</v>
      </c>
      <c r="D180" t="s">
        <v>910</v>
      </c>
      <c r="E180" s="165" t="s">
        <v>911</v>
      </c>
      <c r="F180" t="str">
        <f t="shared" si="18"/>
        <v>MALD_14.16_300_NL2018</v>
      </c>
      <c r="G180" s="165" t="s">
        <v>478</v>
      </c>
      <c r="I180" s="12" t="s">
        <v>47</v>
      </c>
      <c r="J180" s="14">
        <v>300</v>
      </c>
      <c r="K180" s="15" t="s">
        <v>28</v>
      </c>
      <c r="M180" s="16">
        <f t="shared" si="19"/>
        <v>27</v>
      </c>
      <c r="N180" s="15">
        <v>8100</v>
      </c>
      <c r="O180" s="15">
        <v>4000</v>
      </c>
      <c r="P180" s="15">
        <f t="shared" si="20"/>
        <v>32400000</v>
      </c>
      <c r="Q180" s="15" t="str">
        <f t="shared" si="24"/>
        <v/>
      </c>
      <c r="R180" s="18" t="s">
        <v>63</v>
      </c>
      <c r="S180" s="117">
        <v>43590</v>
      </c>
      <c r="T180" s="20">
        <f>IFERROR(VLOOKUP(S180,'Date Converter'!$A$4:$C$368,3,0),"")</f>
        <v>43623</v>
      </c>
      <c r="U180" s="21">
        <f t="shared" si="29"/>
        <v>43623</v>
      </c>
      <c r="Y180" s="18"/>
      <c r="Z180" s="210"/>
      <c r="AA180" s="15"/>
      <c r="AB180" s="210"/>
      <c r="AC180" s="15"/>
      <c r="AD180" s="15"/>
      <c r="AE180" s="15"/>
      <c r="AF180" s="244"/>
      <c r="AG180" s="15"/>
      <c r="AH180" s="15">
        <f t="shared" si="21"/>
        <v>0</v>
      </c>
      <c r="AI180" s="22">
        <f t="shared" si="22"/>
        <v>8100</v>
      </c>
      <c r="AJ180" s="22">
        <f t="shared" si="23"/>
        <v>32400000</v>
      </c>
      <c r="AK180" s="13"/>
    </row>
    <row r="181" spans="1:37" hidden="1">
      <c r="A181" s="165" t="s">
        <v>1653</v>
      </c>
      <c r="B181" s="13">
        <v>43637</v>
      </c>
      <c r="C181" s="267" t="s">
        <v>1622</v>
      </c>
      <c r="D181" s="258" t="s">
        <v>910</v>
      </c>
      <c r="E181" s="165" t="s">
        <v>911</v>
      </c>
      <c r="F181" t="str">
        <f t="shared" si="18"/>
        <v>MALD_18.20_150_NL2018</v>
      </c>
      <c r="G181" s="165" t="s">
        <v>478</v>
      </c>
      <c r="I181" s="12" t="s">
        <v>27</v>
      </c>
      <c r="J181" s="14">
        <v>150</v>
      </c>
      <c r="K181" s="15" t="s">
        <v>28</v>
      </c>
      <c r="M181" s="16">
        <f t="shared" si="19"/>
        <v>134</v>
      </c>
      <c r="N181" s="15">
        <v>20100</v>
      </c>
      <c r="O181" s="15">
        <v>8200</v>
      </c>
      <c r="P181" s="15">
        <f t="shared" si="20"/>
        <v>164820000</v>
      </c>
      <c r="Q181" s="15" t="str">
        <f t="shared" si="24"/>
        <v/>
      </c>
      <c r="R181" s="18" t="s">
        <v>29</v>
      </c>
      <c r="S181" s="117">
        <v>43709</v>
      </c>
      <c r="T181" s="20">
        <f>IFERROR(VLOOKUP(S181,'Date Converter'!$A$4:$C$368,3,0),"")</f>
        <v>43737</v>
      </c>
      <c r="U181" s="21">
        <f t="shared" si="29"/>
        <v>43737</v>
      </c>
      <c r="V181" s="12" t="s">
        <v>51</v>
      </c>
      <c r="Y181" s="18"/>
      <c r="Z181" s="210"/>
      <c r="AA181" s="15"/>
      <c r="AB181" s="210"/>
      <c r="AC181" s="15"/>
      <c r="AD181" s="15"/>
      <c r="AE181" s="15"/>
      <c r="AF181" s="244"/>
      <c r="AG181" s="15"/>
      <c r="AH181" s="15">
        <f t="shared" si="21"/>
        <v>0</v>
      </c>
      <c r="AI181" s="22">
        <f t="shared" si="22"/>
        <v>20100</v>
      </c>
      <c r="AJ181" s="22">
        <f t="shared" si="23"/>
        <v>164820000</v>
      </c>
      <c r="AK181" s="13"/>
    </row>
    <row r="182" spans="1:37" hidden="1">
      <c r="A182" s="165" t="s">
        <v>1649</v>
      </c>
      <c r="B182" s="13">
        <v>43470</v>
      </c>
      <c r="C182" s="13" t="s">
        <v>1622</v>
      </c>
      <c r="D182" t="s">
        <v>910</v>
      </c>
      <c r="E182" s="165" t="s">
        <v>911</v>
      </c>
      <c r="F182" t="str">
        <f t="shared" si="18"/>
        <v>CONC_16.18_200_NL2018</v>
      </c>
      <c r="G182" s="165" t="s">
        <v>40</v>
      </c>
      <c r="I182" s="12" t="s">
        <v>35</v>
      </c>
      <c r="J182" s="14">
        <v>200</v>
      </c>
      <c r="K182" s="15" t="s">
        <v>28</v>
      </c>
      <c r="M182" s="16">
        <f t="shared" si="19"/>
        <v>50</v>
      </c>
      <c r="N182" s="15">
        <f>15000-5400-7000+10000-2600</f>
        <v>10000</v>
      </c>
      <c r="O182" s="15">
        <v>5000</v>
      </c>
      <c r="P182" s="15">
        <f t="shared" si="20"/>
        <v>50000000</v>
      </c>
      <c r="Q182" s="15" t="str">
        <f t="shared" si="24"/>
        <v>Done</v>
      </c>
      <c r="R182" s="18" t="s">
        <v>44</v>
      </c>
      <c r="S182" s="117">
        <v>43539</v>
      </c>
      <c r="T182" s="20">
        <f>IFERROR(VLOOKUP(S182,'Date Converter'!$A$4:$C$368,3,0),"")</f>
        <v>43574</v>
      </c>
      <c r="U182" s="21">
        <f t="shared" si="29"/>
        <v>43574</v>
      </c>
      <c r="V182" s="12" t="s">
        <v>57</v>
      </c>
      <c r="W182" s="18" t="s">
        <v>108</v>
      </c>
      <c r="Y182" s="18"/>
      <c r="Z182" s="210">
        <v>43601</v>
      </c>
      <c r="AA182" s="15">
        <v>10000</v>
      </c>
      <c r="AB182" s="210"/>
      <c r="AC182" s="15"/>
      <c r="AD182" s="15"/>
      <c r="AE182" s="15"/>
      <c r="AF182" s="244"/>
      <c r="AG182" s="15"/>
      <c r="AH182" s="15">
        <f t="shared" si="21"/>
        <v>10000</v>
      </c>
      <c r="AI182" s="22">
        <f t="shared" si="22"/>
        <v>0</v>
      </c>
      <c r="AJ182" s="22">
        <f t="shared" si="23"/>
        <v>0</v>
      </c>
      <c r="AK182" s="13">
        <v>43831</v>
      </c>
    </row>
    <row r="183" spans="1:37" hidden="1">
      <c r="A183" s="165" t="s">
        <v>1649</v>
      </c>
      <c r="B183" s="13">
        <v>43470</v>
      </c>
      <c r="C183" s="13" t="s">
        <v>1622</v>
      </c>
      <c r="D183" t="s">
        <v>910</v>
      </c>
      <c r="E183" s="165" t="s">
        <v>911</v>
      </c>
      <c r="F183" t="str">
        <f t="shared" si="18"/>
        <v>CONC_16.18_200_NL2018</v>
      </c>
      <c r="G183" s="165" t="s">
        <v>40</v>
      </c>
      <c r="I183" s="12" t="s">
        <v>35</v>
      </c>
      <c r="J183" s="14">
        <v>200</v>
      </c>
      <c r="K183" s="15" t="s">
        <v>28</v>
      </c>
      <c r="M183" s="16">
        <f t="shared" si="19"/>
        <v>0</v>
      </c>
      <c r="N183" s="15">
        <f>5400+7000-10000-2400</f>
        <v>0</v>
      </c>
      <c r="O183" s="15">
        <v>5000</v>
      </c>
      <c r="P183" s="15">
        <f t="shared" si="20"/>
        <v>0</v>
      </c>
      <c r="Q183" s="15" t="str">
        <f t="shared" si="24"/>
        <v>Canceled</v>
      </c>
      <c r="R183" s="18" t="s">
        <v>71</v>
      </c>
      <c r="S183" s="117">
        <v>43570</v>
      </c>
      <c r="T183" s="20">
        <f>IFERROR(VLOOKUP(S183,'Date Converter'!$A$4:$C$368,3,0),"")</f>
        <v>43604</v>
      </c>
      <c r="U183" s="21">
        <f t="shared" si="29"/>
        <v>43604</v>
      </c>
      <c r="V183" s="12" t="s">
        <v>87</v>
      </c>
      <c r="W183" s="18" t="s">
        <v>108</v>
      </c>
      <c r="Y183" s="18"/>
      <c r="Z183" s="210"/>
      <c r="AA183" s="15">
        <v>0</v>
      </c>
      <c r="AB183" s="210"/>
      <c r="AC183" s="15"/>
      <c r="AD183" s="15"/>
      <c r="AE183" s="15"/>
      <c r="AF183" s="244"/>
      <c r="AG183" s="15"/>
      <c r="AH183" s="15">
        <f t="shared" si="21"/>
        <v>0</v>
      </c>
      <c r="AI183" s="22">
        <f t="shared" si="22"/>
        <v>0</v>
      </c>
      <c r="AJ183" s="22">
        <f t="shared" si="23"/>
        <v>0</v>
      </c>
      <c r="AK183" s="13">
        <v>43831</v>
      </c>
    </row>
    <row r="184" spans="1:37" hidden="1">
      <c r="A184" s="165" t="s">
        <v>1653</v>
      </c>
      <c r="B184" s="13">
        <v>43545</v>
      </c>
      <c r="C184" s="267" t="s">
        <v>1622</v>
      </c>
      <c r="D184" s="258" t="s">
        <v>910</v>
      </c>
      <c r="E184" s="165" t="s">
        <v>911</v>
      </c>
      <c r="F184" t="str">
        <f t="shared" si="18"/>
        <v>CONC_20.22_125_NL2018</v>
      </c>
      <c r="G184" s="165" t="s">
        <v>40</v>
      </c>
      <c r="I184" s="12" t="s">
        <v>74</v>
      </c>
      <c r="J184" s="14">
        <v>125</v>
      </c>
      <c r="K184" s="15" t="s">
        <v>28</v>
      </c>
      <c r="M184" s="16">
        <f t="shared" si="19"/>
        <v>160</v>
      </c>
      <c r="N184" s="15">
        <v>20000</v>
      </c>
      <c r="O184" s="15">
        <v>10500</v>
      </c>
      <c r="P184" s="15">
        <f t="shared" si="20"/>
        <v>210000000</v>
      </c>
      <c r="Q184" s="15" t="str">
        <f t="shared" si="24"/>
        <v/>
      </c>
      <c r="R184" s="18" t="s">
        <v>29</v>
      </c>
      <c r="S184" s="117">
        <v>43709</v>
      </c>
      <c r="T184" s="20">
        <f>IFERROR(VLOOKUP(S184,'Date Converter'!$A$4:$C$368,3,0),"")</f>
        <v>43737</v>
      </c>
      <c r="U184" s="21">
        <f t="shared" si="29"/>
        <v>43737</v>
      </c>
      <c r="V184" s="12" t="s">
        <v>51</v>
      </c>
      <c r="Y184" s="18"/>
      <c r="Z184" s="210"/>
      <c r="AA184" s="15"/>
      <c r="AB184" s="210"/>
      <c r="AC184" s="15"/>
      <c r="AD184" s="15"/>
      <c r="AE184" s="15"/>
      <c r="AF184" s="244"/>
      <c r="AG184" s="15"/>
      <c r="AH184" s="15">
        <f t="shared" si="21"/>
        <v>0</v>
      </c>
      <c r="AI184" s="22">
        <f t="shared" si="22"/>
        <v>20000</v>
      </c>
      <c r="AJ184" s="22">
        <f t="shared" si="23"/>
        <v>210000000</v>
      </c>
      <c r="AK184" s="13"/>
    </row>
    <row r="185" spans="1:37" s="165" customFormat="1" hidden="1">
      <c r="A185" s="165" t="s">
        <v>1653</v>
      </c>
      <c r="B185" s="13">
        <v>43641</v>
      </c>
      <c r="C185" s="267" t="s">
        <v>1622</v>
      </c>
      <c r="D185" s="258" t="s">
        <v>910</v>
      </c>
      <c r="E185" s="165" t="s">
        <v>911</v>
      </c>
      <c r="F185" s="165" t="str">
        <f t="shared" si="18"/>
        <v>YELL_16.18_200_NL2018</v>
      </c>
      <c r="G185" s="165" t="s">
        <v>89</v>
      </c>
      <c r="H185" s="12"/>
      <c r="I185" s="12" t="s">
        <v>35</v>
      </c>
      <c r="J185" s="14">
        <v>200</v>
      </c>
      <c r="K185" s="15" t="s">
        <v>28</v>
      </c>
      <c r="L185" s="15"/>
      <c r="M185" s="16">
        <f t="shared" si="19"/>
        <v>100</v>
      </c>
      <c r="N185" s="15">
        <v>20000</v>
      </c>
      <c r="O185" s="15">
        <v>5600</v>
      </c>
      <c r="P185" s="15">
        <f t="shared" si="20"/>
        <v>112000000</v>
      </c>
      <c r="Q185" s="15" t="str">
        <f t="shared" si="24"/>
        <v/>
      </c>
      <c r="R185" s="18" t="s">
        <v>29</v>
      </c>
      <c r="S185" s="117">
        <v>43709</v>
      </c>
      <c r="T185" s="20">
        <f>IFERROR(VLOOKUP(S185,'Date Converter'!$A$4:$C$368,3,0),"")</f>
        <v>43737</v>
      </c>
      <c r="U185" s="21">
        <f t="shared" si="29"/>
        <v>43737</v>
      </c>
      <c r="V185" s="12" t="s">
        <v>51</v>
      </c>
      <c r="W185" s="18"/>
      <c r="X185" s="18"/>
      <c r="Y185" s="18"/>
      <c r="Z185" s="210"/>
      <c r="AA185" s="15"/>
      <c r="AB185" s="210"/>
      <c r="AC185" s="15"/>
      <c r="AD185" s="15"/>
      <c r="AE185" s="15"/>
      <c r="AF185" s="244"/>
      <c r="AG185" s="15"/>
      <c r="AH185" s="15">
        <f t="shared" si="21"/>
        <v>0</v>
      </c>
      <c r="AI185" s="22">
        <f t="shared" si="22"/>
        <v>20000</v>
      </c>
      <c r="AJ185" s="22">
        <f t="shared" si="23"/>
        <v>112000000</v>
      </c>
      <c r="AK185" s="13"/>
    </row>
    <row r="186" spans="1:37" s="165" customFormat="1" hidden="1">
      <c r="A186" s="165" t="s">
        <v>1649</v>
      </c>
      <c r="B186" s="13">
        <v>43470</v>
      </c>
      <c r="C186" s="13" t="s">
        <v>1622</v>
      </c>
      <c r="D186" s="165" t="s">
        <v>910</v>
      </c>
      <c r="E186" s="165" t="s">
        <v>911</v>
      </c>
      <c r="F186" s="165" t="str">
        <f t="shared" si="18"/>
        <v>CONC_16.18_200_NL2018</v>
      </c>
      <c r="G186" s="165" t="s">
        <v>40</v>
      </c>
      <c r="H186" s="12"/>
      <c r="I186" s="12" t="s">
        <v>35</v>
      </c>
      <c r="J186" s="14">
        <v>200</v>
      </c>
      <c r="K186" s="15" t="s">
        <v>28</v>
      </c>
      <c r="L186" s="15"/>
      <c r="M186" s="16">
        <f t="shared" si="19"/>
        <v>25</v>
      </c>
      <c r="N186" s="15">
        <v>5000</v>
      </c>
      <c r="O186" s="15">
        <v>4700</v>
      </c>
      <c r="P186" s="15">
        <f t="shared" si="20"/>
        <v>23500000</v>
      </c>
      <c r="Q186" s="15" t="str">
        <f t="shared" si="24"/>
        <v>Done</v>
      </c>
      <c r="R186" s="18" t="s">
        <v>44</v>
      </c>
      <c r="S186" s="117" t="s">
        <v>151</v>
      </c>
      <c r="T186" s="20">
        <f>IFERROR(VLOOKUP(S186,'Date Converter'!$A$4:$C$368,3,0),"")</f>
        <v>43558</v>
      </c>
      <c r="U186" s="21">
        <f t="shared" si="29"/>
        <v>43558</v>
      </c>
      <c r="V186" s="12" t="s">
        <v>54</v>
      </c>
      <c r="W186" s="18" t="s">
        <v>55</v>
      </c>
      <c r="X186" s="18"/>
      <c r="Y186" s="18"/>
      <c r="Z186" s="210">
        <v>43592</v>
      </c>
      <c r="AA186" s="15">
        <v>5000</v>
      </c>
      <c r="AB186" s="210"/>
      <c r="AC186" s="15"/>
      <c r="AD186" s="15"/>
      <c r="AE186" s="15"/>
      <c r="AF186" s="244"/>
      <c r="AG186" s="15"/>
      <c r="AH186" s="15">
        <f t="shared" si="21"/>
        <v>5000</v>
      </c>
      <c r="AI186" s="22">
        <f t="shared" si="22"/>
        <v>0</v>
      </c>
      <c r="AJ186" s="22">
        <f t="shared" si="23"/>
        <v>0</v>
      </c>
      <c r="AK186" s="13"/>
    </row>
    <row r="187" spans="1:37" hidden="1">
      <c r="A187" s="165" t="s">
        <v>1649</v>
      </c>
      <c r="B187" s="13">
        <v>43470</v>
      </c>
      <c r="C187" s="13" t="s">
        <v>1622</v>
      </c>
      <c r="D187" t="s">
        <v>910</v>
      </c>
      <c r="E187" s="165" t="s">
        <v>911</v>
      </c>
      <c r="F187" s="165" t="str">
        <f t="shared" si="18"/>
        <v>COMP_16.18_200_NL2018</v>
      </c>
      <c r="G187" s="165" t="s">
        <v>38</v>
      </c>
      <c r="I187" s="12" t="s">
        <v>35</v>
      </c>
      <c r="J187" s="14">
        <v>200</v>
      </c>
      <c r="K187" s="15" t="s">
        <v>28</v>
      </c>
      <c r="M187" s="16">
        <f t="shared" si="19"/>
        <v>100</v>
      </c>
      <c r="N187" s="15">
        <v>20000</v>
      </c>
      <c r="O187" s="15">
        <v>6700</v>
      </c>
      <c r="P187" s="15">
        <f t="shared" si="20"/>
        <v>134000000</v>
      </c>
      <c r="Q187" s="15" t="str">
        <f t="shared" si="24"/>
        <v>Done</v>
      </c>
      <c r="R187" s="18" t="s">
        <v>44</v>
      </c>
      <c r="S187" s="117">
        <v>43539</v>
      </c>
      <c r="T187" s="20">
        <f>IFERROR(VLOOKUP(S187,'Date Converter'!$A$4:$C$368,3,0),"")</f>
        <v>43574</v>
      </c>
      <c r="U187" s="21">
        <f t="shared" si="29"/>
        <v>43574</v>
      </c>
      <c r="V187" s="12" t="s">
        <v>57</v>
      </c>
      <c r="W187" s="18" t="s">
        <v>132</v>
      </c>
      <c r="Y187" s="18"/>
      <c r="Z187" s="210">
        <v>43607</v>
      </c>
      <c r="AA187" s="15">
        <v>20000</v>
      </c>
      <c r="AB187" s="210"/>
      <c r="AC187" s="15"/>
      <c r="AD187" s="15"/>
      <c r="AE187" s="15"/>
      <c r="AF187" s="244"/>
      <c r="AG187" s="15"/>
      <c r="AH187" s="15">
        <f t="shared" si="21"/>
        <v>20000</v>
      </c>
      <c r="AI187" s="22">
        <f t="shared" si="22"/>
        <v>0</v>
      </c>
      <c r="AJ187" s="22">
        <f t="shared" si="23"/>
        <v>0</v>
      </c>
      <c r="AK187" s="13">
        <v>43831</v>
      </c>
    </row>
    <row r="188" spans="1:37" s="165" customFormat="1" hidden="1">
      <c r="A188" s="165" t="s">
        <v>1653</v>
      </c>
      <c r="B188" s="13">
        <v>43606</v>
      </c>
      <c r="C188" s="13" t="s">
        <v>1622</v>
      </c>
      <c r="D188" s="165" t="s">
        <v>910</v>
      </c>
      <c r="E188" s="165" t="s">
        <v>911</v>
      </c>
      <c r="F188" s="165" t="str">
        <f t="shared" si="18"/>
        <v>BACA_20.22_125_NL2018</v>
      </c>
      <c r="G188" s="165" t="s">
        <v>67</v>
      </c>
      <c r="H188" s="12"/>
      <c r="I188" s="12" t="s">
        <v>74</v>
      </c>
      <c r="J188" s="14">
        <v>125</v>
      </c>
      <c r="K188" s="15" t="s">
        <v>28</v>
      </c>
      <c r="L188" s="15"/>
      <c r="M188" s="16">
        <f t="shared" si="19"/>
        <v>0</v>
      </c>
      <c r="N188" s="15">
        <f>15000-15000</f>
        <v>0</v>
      </c>
      <c r="O188" s="15">
        <v>11000</v>
      </c>
      <c r="P188" s="15">
        <f t="shared" si="20"/>
        <v>0</v>
      </c>
      <c r="Q188" s="15" t="str">
        <f t="shared" si="24"/>
        <v>Canceled</v>
      </c>
      <c r="R188" s="18" t="s">
        <v>71</v>
      </c>
      <c r="S188" s="117">
        <v>43709</v>
      </c>
      <c r="T188" s="20">
        <f>IFERROR(VLOOKUP(S188,'Date Converter'!$A$4:$C$368,3,0),"")</f>
        <v>43737</v>
      </c>
      <c r="U188" s="21">
        <f t="shared" si="29"/>
        <v>43737</v>
      </c>
      <c r="V188" s="12"/>
      <c r="W188" s="18"/>
      <c r="X188" s="18"/>
      <c r="Y188" s="18"/>
      <c r="Z188" s="210"/>
      <c r="AA188" s="15"/>
      <c r="AB188" s="210"/>
      <c r="AC188" s="15"/>
      <c r="AD188" s="15"/>
      <c r="AE188" s="15"/>
      <c r="AF188" s="244"/>
      <c r="AG188" s="15"/>
      <c r="AH188" s="15">
        <f t="shared" si="21"/>
        <v>0</v>
      </c>
      <c r="AI188" s="22">
        <f t="shared" si="22"/>
        <v>0</v>
      </c>
      <c r="AJ188" s="22">
        <f t="shared" si="23"/>
        <v>0</v>
      </c>
      <c r="AK188" s="13"/>
    </row>
    <row r="189" spans="1:37" s="165" customFormat="1" hidden="1">
      <c r="A189" s="165" t="s">
        <v>1649</v>
      </c>
      <c r="B189" s="13">
        <v>43470</v>
      </c>
      <c r="C189" s="13" t="s">
        <v>1622</v>
      </c>
      <c r="D189" s="165" t="s">
        <v>910</v>
      </c>
      <c r="E189" s="165" t="s">
        <v>911</v>
      </c>
      <c r="F189" s="165" t="str">
        <f t="shared" si="18"/>
        <v>ARVA_16.18_200_NL2018</v>
      </c>
      <c r="G189" s="165" t="s">
        <v>85</v>
      </c>
      <c r="H189" s="12"/>
      <c r="I189" s="12" t="s">
        <v>35</v>
      </c>
      <c r="J189" s="14">
        <v>200</v>
      </c>
      <c r="K189" s="15" t="s">
        <v>28</v>
      </c>
      <c r="L189" s="15"/>
      <c r="M189" s="16">
        <f t="shared" si="19"/>
        <v>25</v>
      </c>
      <c r="N189" s="15">
        <v>5000</v>
      </c>
      <c r="O189" s="15">
        <v>5500</v>
      </c>
      <c r="P189" s="15">
        <f t="shared" si="20"/>
        <v>27500000</v>
      </c>
      <c r="Q189" s="15" t="str">
        <f t="shared" si="24"/>
        <v>Done</v>
      </c>
      <c r="R189" s="18" t="s">
        <v>44</v>
      </c>
      <c r="S189" s="117">
        <v>43539</v>
      </c>
      <c r="T189" s="20">
        <f>IFERROR(VLOOKUP(S189,'Date Converter'!$A$4:$C$368,3,0),"")</f>
        <v>43574</v>
      </c>
      <c r="U189" s="21">
        <f t="shared" si="29"/>
        <v>43574</v>
      </c>
      <c r="V189" s="12"/>
      <c r="W189" s="18" t="s">
        <v>86</v>
      </c>
      <c r="X189" s="18"/>
      <c r="Y189" s="18"/>
      <c r="Z189" s="210">
        <v>43608</v>
      </c>
      <c r="AA189" s="15">
        <v>5000</v>
      </c>
      <c r="AB189" s="210"/>
      <c r="AC189" s="15"/>
      <c r="AD189" s="15"/>
      <c r="AE189" s="15"/>
      <c r="AF189" s="244"/>
      <c r="AG189" s="15"/>
      <c r="AH189" s="15">
        <f t="shared" si="21"/>
        <v>5000</v>
      </c>
      <c r="AI189" s="22">
        <f t="shared" si="22"/>
        <v>0</v>
      </c>
      <c r="AJ189" s="22">
        <f t="shared" si="23"/>
        <v>0</v>
      </c>
      <c r="AK189" s="13">
        <v>43831</v>
      </c>
    </row>
    <row r="190" spans="1:37" hidden="1">
      <c r="A190" t="s">
        <v>1653</v>
      </c>
      <c r="B190" s="13">
        <v>43545</v>
      </c>
      <c r="C190" s="13" t="s">
        <v>1622</v>
      </c>
      <c r="D190" t="s">
        <v>910</v>
      </c>
      <c r="E190" s="165" t="s">
        <v>911</v>
      </c>
      <c r="F190" t="str">
        <f t="shared" si="18"/>
        <v>ARVA_18.20_150_NL2018</v>
      </c>
      <c r="G190" t="s">
        <v>85</v>
      </c>
      <c r="I190" s="12" t="s">
        <v>27</v>
      </c>
      <c r="J190" s="14">
        <v>150</v>
      </c>
      <c r="K190" s="15" t="s">
        <v>28</v>
      </c>
      <c r="M190" s="16">
        <f t="shared" si="19"/>
        <v>0</v>
      </c>
      <c r="N190" s="15">
        <f>20100-20100</f>
        <v>0</v>
      </c>
      <c r="O190" s="15">
        <v>8500</v>
      </c>
      <c r="P190" s="15">
        <f t="shared" si="20"/>
        <v>0</v>
      </c>
      <c r="Q190" s="15" t="str">
        <f t="shared" si="24"/>
        <v>Canceled</v>
      </c>
      <c r="R190" s="18" t="s">
        <v>71</v>
      </c>
      <c r="S190" s="117">
        <v>43709</v>
      </c>
      <c r="T190" s="20">
        <f>IFERROR(VLOOKUP(S190,'Date Converter'!$A$4:$C$368,3,0),"")</f>
        <v>43737</v>
      </c>
      <c r="U190" s="21">
        <f t="shared" si="29"/>
        <v>43737</v>
      </c>
      <c r="V190" s="12" t="s">
        <v>51</v>
      </c>
      <c r="Y190" s="18"/>
      <c r="Z190" s="210"/>
      <c r="AA190" s="15"/>
      <c r="AB190" s="210"/>
      <c r="AC190" s="15"/>
      <c r="AD190" s="15"/>
      <c r="AE190" s="15"/>
      <c r="AF190" s="244"/>
      <c r="AG190" s="15"/>
      <c r="AH190" s="15">
        <f t="shared" si="21"/>
        <v>0</v>
      </c>
      <c r="AI190" s="22">
        <f t="shared" si="22"/>
        <v>0</v>
      </c>
      <c r="AJ190" s="22">
        <f t="shared" si="23"/>
        <v>0</v>
      </c>
      <c r="AK190" s="13"/>
    </row>
    <row r="191" spans="1:37" hidden="1">
      <c r="A191" t="s">
        <v>1649</v>
      </c>
      <c r="B191" s="13">
        <v>43629</v>
      </c>
      <c r="C191" s="13" t="s">
        <v>1622</v>
      </c>
      <c r="D191" t="s">
        <v>910</v>
      </c>
      <c r="E191" s="165" t="s">
        <v>911</v>
      </c>
      <c r="F191" t="str">
        <f t="shared" ref="F191:F254" si="30">SUBSTITUTE(LEFT(G191,4)&amp;"_"&amp;H191&amp;"_"&amp;I191&amp;"_"&amp;J191&amp;"_"&amp;K191,"__","_")</f>
        <v>ALUS_14.16_300_NL2018</v>
      </c>
      <c r="G191" t="s">
        <v>501</v>
      </c>
      <c r="I191" s="12" t="s">
        <v>47</v>
      </c>
      <c r="J191" s="14">
        <v>300</v>
      </c>
      <c r="K191" s="15" t="s">
        <v>28</v>
      </c>
      <c r="M191" s="16">
        <f t="shared" ref="M191:M254" si="31">+N191/J191</f>
        <v>13</v>
      </c>
      <c r="N191" s="15">
        <v>3900</v>
      </c>
      <c r="O191" s="15">
        <v>4000</v>
      </c>
      <c r="P191" s="15">
        <f t="shared" ref="P191:P254" si="32">+O191*N191</f>
        <v>15600000</v>
      </c>
      <c r="Q191" s="15" t="str">
        <f t="shared" si="24"/>
        <v/>
      </c>
      <c r="R191" s="18" t="s">
        <v>63</v>
      </c>
      <c r="S191" s="117">
        <v>43590</v>
      </c>
      <c r="T191" s="20">
        <f>IFERROR(VLOOKUP(S191,'Date Converter'!$A$4:$C$368,3,0),"")</f>
        <v>43623</v>
      </c>
      <c r="U191" s="21">
        <f t="shared" si="29"/>
        <v>43623</v>
      </c>
      <c r="Y191" s="18"/>
      <c r="Z191" s="210"/>
      <c r="AA191" s="15"/>
      <c r="AB191" s="210"/>
      <c r="AC191" s="15"/>
      <c r="AD191" s="15"/>
      <c r="AE191" s="15"/>
      <c r="AF191" s="244"/>
      <c r="AG191" s="15"/>
      <c r="AH191" s="15">
        <f t="shared" ref="AH191:AH254" si="33">+AA191+AC191+AE191+AG191</f>
        <v>0</v>
      </c>
      <c r="AI191" s="22">
        <f t="shared" ref="AI191:AI254" si="34">+N191-AH191</f>
        <v>3900</v>
      </c>
      <c r="AJ191" s="22">
        <f t="shared" ref="AJ191:AJ254" si="35">+AI191*O191</f>
        <v>15600000</v>
      </c>
      <c r="AK191" s="13"/>
    </row>
    <row r="192" spans="1:37" hidden="1">
      <c r="A192" t="s">
        <v>336</v>
      </c>
      <c r="B192" s="13">
        <v>43516</v>
      </c>
      <c r="C192" s="13" t="s">
        <v>23</v>
      </c>
      <c r="D192" s="258" t="s">
        <v>242</v>
      </c>
      <c r="E192" s="198" t="s">
        <v>243</v>
      </c>
      <c r="F192" t="str">
        <f t="shared" si="30"/>
        <v>TARR_20.22_125_NL2018</v>
      </c>
      <c r="G192" s="165" t="s">
        <v>62</v>
      </c>
      <c r="I192" s="12" t="s">
        <v>74</v>
      </c>
      <c r="J192" s="14">
        <v>125</v>
      </c>
      <c r="K192" s="15" t="s">
        <v>28</v>
      </c>
      <c r="M192" s="16">
        <f t="shared" si="31"/>
        <v>40</v>
      </c>
      <c r="N192" s="15">
        <v>5000</v>
      </c>
      <c r="O192" s="15">
        <v>10100</v>
      </c>
      <c r="P192" s="15">
        <f t="shared" si="32"/>
        <v>50500000</v>
      </c>
      <c r="Q192" s="15" t="str">
        <f t="shared" si="24"/>
        <v/>
      </c>
      <c r="R192" s="18" t="s">
        <v>29</v>
      </c>
      <c r="S192" s="23">
        <v>43709</v>
      </c>
      <c r="T192" s="20">
        <f>IFERROR(VLOOKUP(S192,'Date Converter'!$A$4:$C$368,3,0),"")</f>
        <v>43737</v>
      </c>
      <c r="U192" s="21">
        <f t="shared" si="29"/>
        <v>43737</v>
      </c>
      <c r="V192" s="12" t="s">
        <v>51</v>
      </c>
      <c r="Y192" s="15" t="s">
        <v>59</v>
      </c>
      <c r="AA192" s="15">
        <v>0</v>
      </c>
      <c r="AB192" s="206"/>
      <c r="AC192" s="15"/>
      <c r="AD192" s="15"/>
      <c r="AE192" s="15"/>
      <c r="AF192" s="244"/>
      <c r="AG192" s="15"/>
      <c r="AH192" s="15">
        <f t="shared" si="33"/>
        <v>0</v>
      </c>
      <c r="AI192" s="22">
        <f t="shared" si="34"/>
        <v>5000</v>
      </c>
      <c r="AJ192" s="22">
        <f t="shared" si="35"/>
        <v>50500000</v>
      </c>
      <c r="AK192" s="165"/>
    </row>
    <row r="193" spans="1:37" s="165" customFormat="1" hidden="1">
      <c r="A193" s="165" t="s">
        <v>336</v>
      </c>
      <c r="B193" s="13">
        <v>43516</v>
      </c>
      <c r="C193" s="13" t="s">
        <v>23</v>
      </c>
      <c r="D193" s="258" t="s">
        <v>242</v>
      </c>
      <c r="E193" s="198" t="s">
        <v>243</v>
      </c>
      <c r="F193" s="165" t="str">
        <f t="shared" si="30"/>
        <v>SERA_20.22_125_NL2018</v>
      </c>
      <c r="G193" s="165" t="s">
        <v>227</v>
      </c>
      <c r="H193" s="12"/>
      <c r="I193" s="12" t="s">
        <v>74</v>
      </c>
      <c r="J193" s="14">
        <v>125</v>
      </c>
      <c r="K193" s="15" t="s">
        <v>28</v>
      </c>
      <c r="L193" s="15"/>
      <c r="M193" s="16">
        <f t="shared" si="31"/>
        <v>40</v>
      </c>
      <c r="N193" s="15">
        <v>5000</v>
      </c>
      <c r="O193" s="15">
        <v>9300</v>
      </c>
      <c r="P193" s="15">
        <f t="shared" si="32"/>
        <v>46500000</v>
      </c>
      <c r="Q193" s="15" t="str">
        <f t="shared" si="24"/>
        <v/>
      </c>
      <c r="R193" s="18" t="s">
        <v>29</v>
      </c>
      <c r="S193" s="23">
        <v>43709</v>
      </c>
      <c r="T193" s="20">
        <f>IFERROR(VLOOKUP(S193,'Date Converter'!$A$4:$C$368,3,0),"")</f>
        <v>43737</v>
      </c>
      <c r="U193" s="21">
        <f t="shared" si="29"/>
        <v>43737</v>
      </c>
      <c r="V193" s="12" t="s">
        <v>51</v>
      </c>
      <c r="W193" s="18"/>
      <c r="X193" s="18"/>
      <c r="Y193" s="15" t="s">
        <v>59</v>
      </c>
      <c r="Z193" s="206"/>
      <c r="AA193" s="15">
        <v>0</v>
      </c>
      <c r="AB193" s="206"/>
      <c r="AC193" s="15"/>
      <c r="AD193" s="15"/>
      <c r="AE193" s="15"/>
      <c r="AF193" s="244"/>
      <c r="AG193" s="15"/>
      <c r="AH193" s="15">
        <f t="shared" si="33"/>
        <v>0</v>
      </c>
      <c r="AI193" s="22">
        <f t="shared" si="34"/>
        <v>5000</v>
      </c>
      <c r="AJ193" s="22">
        <f t="shared" si="35"/>
        <v>46500000</v>
      </c>
    </row>
    <row r="194" spans="1:37" hidden="1">
      <c r="A194" t="s">
        <v>336</v>
      </c>
      <c r="B194" s="13">
        <v>43516</v>
      </c>
      <c r="C194" s="13" t="s">
        <v>23</v>
      </c>
      <c r="D194" s="258" t="s">
        <v>242</v>
      </c>
      <c r="E194" s="198" t="s">
        <v>243</v>
      </c>
      <c r="F194" t="str">
        <f t="shared" si="30"/>
        <v>PROF_20.22_125_NL2018</v>
      </c>
      <c r="G194" s="165" t="s">
        <v>56</v>
      </c>
      <c r="I194" s="12" t="s">
        <v>74</v>
      </c>
      <c r="J194" s="14">
        <v>125</v>
      </c>
      <c r="K194" s="15" t="s">
        <v>28</v>
      </c>
      <c r="M194" s="16">
        <f t="shared" si="31"/>
        <v>80</v>
      </c>
      <c r="N194" s="15">
        <v>10000</v>
      </c>
      <c r="O194" s="15">
        <v>13000</v>
      </c>
      <c r="P194" s="15">
        <f t="shared" si="32"/>
        <v>130000000</v>
      </c>
      <c r="Q194" s="15" t="str">
        <f t="shared" si="24"/>
        <v/>
      </c>
      <c r="R194" s="18" t="s">
        <v>29</v>
      </c>
      <c r="S194" s="23">
        <v>43709</v>
      </c>
      <c r="T194" s="20">
        <f>IFERROR(VLOOKUP(S194,'Date Converter'!$A$4:$C$368,3,0),"")</f>
        <v>43737</v>
      </c>
      <c r="U194" s="21">
        <f t="shared" si="29"/>
        <v>43737</v>
      </c>
      <c r="V194" s="12" t="s">
        <v>51</v>
      </c>
      <c r="Y194" s="15" t="s">
        <v>59</v>
      </c>
      <c r="AA194" s="15">
        <v>0</v>
      </c>
      <c r="AB194" s="206"/>
      <c r="AC194" s="15"/>
      <c r="AD194" s="15"/>
      <c r="AE194" s="15"/>
      <c r="AF194" s="244"/>
      <c r="AG194" s="15"/>
      <c r="AH194" s="15">
        <f t="shared" si="33"/>
        <v>0</v>
      </c>
      <c r="AI194" s="22">
        <f t="shared" si="34"/>
        <v>10000</v>
      </c>
      <c r="AJ194" s="22">
        <f t="shared" si="35"/>
        <v>130000000</v>
      </c>
      <c r="AK194" s="165"/>
    </row>
    <row r="195" spans="1:37" hidden="1">
      <c r="A195" t="s">
        <v>336</v>
      </c>
      <c r="B195" s="13">
        <v>43516</v>
      </c>
      <c r="C195" s="13" t="s">
        <v>23</v>
      </c>
      <c r="D195" s="258" t="s">
        <v>242</v>
      </c>
      <c r="E195" s="198" t="s">
        <v>243</v>
      </c>
      <c r="F195" t="str">
        <f t="shared" si="30"/>
        <v>MANI_20.22_125_NL2018</v>
      </c>
      <c r="G195" s="165" t="s">
        <v>105</v>
      </c>
      <c r="I195" s="12" t="s">
        <v>74</v>
      </c>
      <c r="J195" s="14">
        <v>125</v>
      </c>
      <c r="K195" s="15" t="s">
        <v>28</v>
      </c>
      <c r="M195" s="16">
        <f t="shared" si="31"/>
        <v>80</v>
      </c>
      <c r="N195" s="15">
        <v>10000</v>
      </c>
      <c r="O195" s="15">
        <v>13500</v>
      </c>
      <c r="P195" s="15">
        <f t="shared" si="32"/>
        <v>135000000</v>
      </c>
      <c r="Q195" s="15" t="str">
        <f t="shared" ref="Q195:Q258" si="36">IF(AND(N195=0,AI195=0),"Canceled",IF(AND(N195&gt;0,AI195=0),"Done",""))</f>
        <v/>
      </c>
      <c r="R195" s="18" t="s">
        <v>29</v>
      </c>
      <c r="S195" s="23">
        <v>43709</v>
      </c>
      <c r="T195" s="20">
        <f>IFERROR(VLOOKUP(S195,'Date Converter'!$A$4:$C$368,3,0),"")</f>
        <v>43737</v>
      </c>
      <c r="U195" s="21">
        <f t="shared" si="29"/>
        <v>43737</v>
      </c>
      <c r="V195" s="12" t="s">
        <v>51</v>
      </c>
      <c r="Y195" s="15" t="s">
        <v>59</v>
      </c>
      <c r="AA195" s="15">
        <v>0</v>
      </c>
      <c r="AB195" s="206"/>
      <c r="AC195" s="15"/>
      <c r="AD195" s="15"/>
      <c r="AE195" s="15"/>
      <c r="AF195" s="244"/>
      <c r="AG195" s="15"/>
      <c r="AH195" s="15">
        <f t="shared" si="33"/>
        <v>0</v>
      </c>
      <c r="AI195" s="22">
        <f t="shared" si="34"/>
        <v>10000</v>
      </c>
      <c r="AJ195" s="22">
        <f t="shared" si="35"/>
        <v>135000000</v>
      </c>
      <c r="AK195" s="165"/>
    </row>
    <row r="196" spans="1:37" hidden="1">
      <c r="A196" t="s">
        <v>341</v>
      </c>
      <c r="B196" s="13">
        <v>43580</v>
      </c>
      <c r="C196" s="13" t="s">
        <v>23</v>
      </c>
      <c r="D196" s="258" t="s">
        <v>256</v>
      </c>
      <c r="E196" s="97" t="s">
        <v>257</v>
      </c>
      <c r="F196" t="str">
        <f t="shared" si="30"/>
        <v>TARR_20.22_125_NL2018</v>
      </c>
      <c r="G196" s="165" t="s">
        <v>62</v>
      </c>
      <c r="I196" s="12" t="s">
        <v>74</v>
      </c>
      <c r="J196" s="14">
        <v>125</v>
      </c>
      <c r="K196" s="15" t="s">
        <v>28</v>
      </c>
      <c r="M196" s="16">
        <f t="shared" si="31"/>
        <v>16</v>
      </c>
      <c r="N196" s="15">
        <v>2000</v>
      </c>
      <c r="O196" s="15">
        <v>11000</v>
      </c>
      <c r="P196" s="15">
        <f t="shared" si="32"/>
        <v>22000000</v>
      </c>
      <c r="Q196" s="15" t="str">
        <f t="shared" si="36"/>
        <v/>
      </c>
      <c r="R196" s="18" t="s">
        <v>29</v>
      </c>
      <c r="S196" s="23">
        <v>43709</v>
      </c>
      <c r="T196" s="20">
        <f>IFERROR(VLOOKUP(S196,'Date Converter'!$A$4:$C$368,3,0),"")</f>
        <v>43737</v>
      </c>
      <c r="U196" s="21">
        <f t="shared" si="29"/>
        <v>43737</v>
      </c>
      <c r="Y196" s="15"/>
      <c r="AA196" s="15"/>
      <c r="AB196" s="206"/>
      <c r="AC196" s="15"/>
      <c r="AD196" s="15"/>
      <c r="AE196" s="15"/>
      <c r="AF196" s="244"/>
      <c r="AG196" s="15"/>
      <c r="AH196" s="15">
        <f t="shared" si="33"/>
        <v>0</v>
      </c>
      <c r="AI196" s="22">
        <f t="shared" si="34"/>
        <v>2000</v>
      </c>
      <c r="AJ196" s="22">
        <f t="shared" si="35"/>
        <v>22000000</v>
      </c>
      <c r="AK196" s="165"/>
    </row>
    <row r="197" spans="1:37" hidden="1">
      <c r="A197" t="s">
        <v>341</v>
      </c>
      <c r="B197" s="13">
        <v>43512</v>
      </c>
      <c r="C197" s="13" t="s">
        <v>23</v>
      </c>
      <c r="D197" s="258" t="s">
        <v>256</v>
      </c>
      <c r="E197" s="97" t="s">
        <v>257</v>
      </c>
      <c r="F197" t="str">
        <f t="shared" si="30"/>
        <v>SERA_20.22_125_NL2018</v>
      </c>
      <c r="G197" s="165" t="s">
        <v>227</v>
      </c>
      <c r="I197" s="12" t="s">
        <v>74</v>
      </c>
      <c r="J197" s="14">
        <v>125</v>
      </c>
      <c r="K197" s="15" t="s">
        <v>28</v>
      </c>
      <c r="M197" s="16">
        <f t="shared" si="31"/>
        <v>80</v>
      </c>
      <c r="N197" s="15">
        <v>10000</v>
      </c>
      <c r="O197" s="15">
        <v>9300</v>
      </c>
      <c r="P197" s="15">
        <f t="shared" si="32"/>
        <v>93000000</v>
      </c>
      <c r="Q197" s="15" t="str">
        <f t="shared" si="36"/>
        <v/>
      </c>
      <c r="R197" s="18" t="s">
        <v>29</v>
      </c>
      <c r="S197" s="23">
        <v>43709</v>
      </c>
      <c r="T197" s="20">
        <f>IFERROR(VLOOKUP(S197,'Date Converter'!$A$4:$C$368,3,0),"")</f>
        <v>43737</v>
      </c>
      <c r="U197" s="21">
        <f t="shared" si="29"/>
        <v>43737</v>
      </c>
      <c r="V197" s="12" t="s">
        <v>51</v>
      </c>
      <c r="Y197" s="15" t="s">
        <v>258</v>
      </c>
      <c r="AA197" s="15">
        <v>0</v>
      </c>
      <c r="AB197" s="206"/>
      <c r="AC197" s="15"/>
      <c r="AD197" s="15"/>
      <c r="AE197" s="15"/>
      <c r="AF197" s="244"/>
      <c r="AG197" s="15"/>
      <c r="AH197" s="15">
        <f t="shared" si="33"/>
        <v>0</v>
      </c>
      <c r="AI197" s="22">
        <f t="shared" si="34"/>
        <v>10000</v>
      </c>
      <c r="AJ197" s="22">
        <f t="shared" si="35"/>
        <v>93000000</v>
      </c>
      <c r="AK197" s="165"/>
    </row>
    <row r="198" spans="1:37" hidden="1">
      <c r="A198" s="165" t="s">
        <v>341</v>
      </c>
      <c r="B198" s="13">
        <v>43512</v>
      </c>
      <c r="C198" s="13" t="s">
        <v>23</v>
      </c>
      <c r="D198" s="258" t="s">
        <v>256</v>
      </c>
      <c r="E198" s="97" t="s">
        <v>257</v>
      </c>
      <c r="F198" t="str">
        <f t="shared" si="30"/>
        <v>ROBI_20.22_125_NL2018</v>
      </c>
      <c r="G198" s="165" t="s">
        <v>61</v>
      </c>
      <c r="I198" s="12">
        <v>20.22</v>
      </c>
      <c r="J198" s="14">
        <v>125</v>
      </c>
      <c r="K198" s="15" t="s">
        <v>28</v>
      </c>
      <c r="M198" s="16">
        <f t="shared" si="31"/>
        <v>40</v>
      </c>
      <c r="N198" s="15">
        <v>5000</v>
      </c>
      <c r="O198" s="15">
        <v>10500</v>
      </c>
      <c r="P198" s="15">
        <f t="shared" si="32"/>
        <v>52500000</v>
      </c>
      <c r="Q198" s="15" t="str">
        <f t="shared" si="36"/>
        <v/>
      </c>
      <c r="R198" s="18" t="s">
        <v>29</v>
      </c>
      <c r="S198" s="23">
        <v>43709</v>
      </c>
      <c r="T198" s="20">
        <f>IFERROR(VLOOKUP(S198,'Date Converter'!$A$4:$C$368,3,0),"")</f>
        <v>43737</v>
      </c>
      <c r="U198" s="21">
        <f t="shared" si="29"/>
        <v>43737</v>
      </c>
      <c r="V198" s="12" t="s">
        <v>51</v>
      </c>
      <c r="Y198" s="15"/>
      <c r="AA198" s="15">
        <v>0</v>
      </c>
      <c r="AB198" s="206"/>
      <c r="AC198" s="15"/>
      <c r="AD198" s="15"/>
      <c r="AE198" s="15"/>
      <c r="AF198" s="244"/>
      <c r="AG198" s="15"/>
      <c r="AH198" s="15">
        <f t="shared" si="33"/>
        <v>0</v>
      </c>
      <c r="AI198" s="22">
        <f t="shared" si="34"/>
        <v>5000</v>
      </c>
      <c r="AJ198" s="22">
        <f t="shared" si="35"/>
        <v>52500000</v>
      </c>
    </row>
    <row r="199" spans="1:37" hidden="1">
      <c r="A199" t="s">
        <v>341</v>
      </c>
      <c r="B199" s="13">
        <v>43512</v>
      </c>
      <c r="C199" s="13" t="s">
        <v>23</v>
      </c>
      <c r="D199" s="258" t="s">
        <v>256</v>
      </c>
      <c r="E199" s="97" t="s">
        <v>257</v>
      </c>
      <c r="F199" t="str">
        <f t="shared" si="30"/>
        <v>PROF_20.22_125_NL2018</v>
      </c>
      <c r="G199" s="165" t="s">
        <v>56</v>
      </c>
      <c r="I199" s="12" t="s">
        <v>74</v>
      </c>
      <c r="J199" s="14">
        <v>125</v>
      </c>
      <c r="K199" s="15" t="s">
        <v>28</v>
      </c>
      <c r="M199" s="16">
        <f t="shared" si="31"/>
        <v>80</v>
      </c>
      <c r="N199" s="15">
        <v>10000</v>
      </c>
      <c r="O199" s="15">
        <v>13000</v>
      </c>
      <c r="P199" s="15">
        <f t="shared" si="32"/>
        <v>130000000</v>
      </c>
      <c r="Q199" s="15" t="str">
        <f t="shared" si="36"/>
        <v/>
      </c>
      <c r="R199" s="18" t="s">
        <v>29</v>
      </c>
      <c r="S199" s="23">
        <v>43709</v>
      </c>
      <c r="T199" s="20">
        <f>IFERROR(VLOOKUP(S199,'Date Converter'!$A$4:$C$368,3,0),"")</f>
        <v>43737</v>
      </c>
      <c r="U199" s="21">
        <f t="shared" si="29"/>
        <v>43737</v>
      </c>
      <c r="V199" s="12" t="s">
        <v>51</v>
      </c>
      <c r="Y199" s="15" t="s">
        <v>258</v>
      </c>
      <c r="AA199" s="15">
        <v>0</v>
      </c>
      <c r="AB199" s="206"/>
      <c r="AC199" s="15"/>
      <c r="AD199" s="15"/>
      <c r="AE199" s="15"/>
      <c r="AF199" s="244"/>
      <c r="AG199" s="15"/>
      <c r="AH199" s="15">
        <f t="shared" si="33"/>
        <v>0</v>
      </c>
      <c r="AI199" s="22">
        <f t="shared" si="34"/>
        <v>10000</v>
      </c>
      <c r="AJ199" s="22">
        <f t="shared" si="35"/>
        <v>130000000</v>
      </c>
    </row>
    <row r="200" spans="1:37" hidden="1">
      <c r="A200" t="s">
        <v>341</v>
      </c>
      <c r="B200" s="13">
        <v>43512</v>
      </c>
      <c r="C200" s="13" t="s">
        <v>23</v>
      </c>
      <c r="D200" s="258" t="s">
        <v>256</v>
      </c>
      <c r="E200" s="97" t="s">
        <v>257</v>
      </c>
      <c r="F200" t="str">
        <f t="shared" si="30"/>
        <v>CONC_20.22_125_NL2018</v>
      </c>
      <c r="G200" t="s">
        <v>40</v>
      </c>
      <c r="I200" s="12" t="s">
        <v>74</v>
      </c>
      <c r="J200" s="14">
        <v>125</v>
      </c>
      <c r="K200" s="15" t="s">
        <v>28</v>
      </c>
      <c r="M200" s="16">
        <f t="shared" si="31"/>
        <v>24</v>
      </c>
      <c r="N200" s="15">
        <v>3000</v>
      </c>
      <c r="O200" s="15">
        <v>10500</v>
      </c>
      <c r="P200" s="15">
        <f t="shared" si="32"/>
        <v>31500000</v>
      </c>
      <c r="Q200" s="15" t="str">
        <f t="shared" si="36"/>
        <v/>
      </c>
      <c r="R200" s="18" t="s">
        <v>29</v>
      </c>
      <c r="S200" s="23">
        <v>43709</v>
      </c>
      <c r="T200" s="20">
        <f>IFERROR(VLOOKUP(S200,'Date Converter'!$A$4:$C$368,3,0),"")</f>
        <v>43737</v>
      </c>
      <c r="U200" s="21">
        <f t="shared" si="29"/>
        <v>43737</v>
      </c>
      <c r="V200" s="12" t="s">
        <v>51</v>
      </c>
      <c r="Y200" s="15" t="s">
        <v>258</v>
      </c>
      <c r="AA200" s="15">
        <v>0</v>
      </c>
      <c r="AB200" s="206"/>
      <c r="AC200" s="15"/>
      <c r="AD200" s="15"/>
      <c r="AE200" s="15"/>
      <c r="AF200" s="244"/>
      <c r="AG200" s="15"/>
      <c r="AH200" s="15">
        <f t="shared" si="33"/>
        <v>0</v>
      </c>
      <c r="AI200" s="22">
        <f t="shared" si="34"/>
        <v>3000</v>
      </c>
      <c r="AJ200" s="22">
        <f t="shared" si="35"/>
        <v>31500000</v>
      </c>
      <c r="AK200" s="165"/>
    </row>
    <row r="201" spans="1:37" hidden="1">
      <c r="A201" t="s">
        <v>346</v>
      </c>
      <c r="B201" s="13">
        <v>43519</v>
      </c>
      <c r="C201" s="13" t="s">
        <v>23</v>
      </c>
      <c r="D201" s="258" t="s">
        <v>273</v>
      </c>
      <c r="E201" s="97" t="s">
        <v>274</v>
      </c>
      <c r="F201" t="str">
        <f t="shared" si="30"/>
        <v>TARR_20.22_125_NL2018</v>
      </c>
      <c r="G201" t="s">
        <v>62</v>
      </c>
      <c r="I201" s="12" t="s">
        <v>74</v>
      </c>
      <c r="J201" s="14">
        <v>125</v>
      </c>
      <c r="K201" s="15" t="s">
        <v>28</v>
      </c>
      <c r="M201" s="16">
        <f t="shared" si="31"/>
        <v>40</v>
      </c>
      <c r="N201" s="15">
        <v>5000</v>
      </c>
      <c r="O201" s="15">
        <v>10100</v>
      </c>
      <c r="P201" s="15">
        <f t="shared" si="32"/>
        <v>50500000</v>
      </c>
      <c r="Q201" s="15" t="str">
        <f t="shared" si="36"/>
        <v/>
      </c>
      <c r="R201" s="18" t="s">
        <v>29</v>
      </c>
      <c r="S201" s="23">
        <v>43709</v>
      </c>
      <c r="T201" s="20">
        <f>IFERROR(VLOOKUP(S201,'Date Converter'!$A$4:$C$368,3,0),"")</f>
        <v>43737</v>
      </c>
      <c r="U201" s="21">
        <f t="shared" si="29"/>
        <v>43737</v>
      </c>
      <c r="V201" s="12" t="s">
        <v>51</v>
      </c>
      <c r="Y201" s="15"/>
      <c r="AA201" s="15">
        <v>0</v>
      </c>
      <c r="AB201" s="206"/>
      <c r="AC201" s="15"/>
      <c r="AD201" s="15"/>
      <c r="AE201" s="15"/>
      <c r="AF201" s="244"/>
      <c r="AG201" s="15"/>
      <c r="AH201" s="15">
        <f t="shared" si="33"/>
        <v>0</v>
      </c>
      <c r="AI201" s="22">
        <f t="shared" si="34"/>
        <v>5000</v>
      </c>
      <c r="AJ201" s="22">
        <f t="shared" si="35"/>
        <v>50500000</v>
      </c>
      <c r="AK201" s="165"/>
    </row>
    <row r="202" spans="1:37" hidden="1">
      <c r="A202" t="s">
        <v>346</v>
      </c>
      <c r="B202" s="13">
        <v>43519</v>
      </c>
      <c r="C202" s="13" t="s">
        <v>23</v>
      </c>
      <c r="D202" s="258" t="s">
        <v>273</v>
      </c>
      <c r="E202" s="97" t="s">
        <v>274</v>
      </c>
      <c r="F202" t="str">
        <f t="shared" si="30"/>
        <v>SERA_20.22_125_NL2018</v>
      </c>
      <c r="G202" t="s">
        <v>227</v>
      </c>
      <c r="I202" s="12" t="s">
        <v>74</v>
      </c>
      <c r="J202" s="14">
        <v>125</v>
      </c>
      <c r="K202" s="15" t="s">
        <v>28</v>
      </c>
      <c r="M202" s="16">
        <f t="shared" si="31"/>
        <v>40</v>
      </c>
      <c r="N202" s="15">
        <v>5000</v>
      </c>
      <c r="O202" s="15">
        <v>9300</v>
      </c>
      <c r="P202" s="15">
        <f t="shared" si="32"/>
        <v>46500000</v>
      </c>
      <c r="Q202" s="15" t="str">
        <f t="shared" si="36"/>
        <v/>
      </c>
      <c r="R202" s="18" t="s">
        <v>29</v>
      </c>
      <c r="S202" s="23">
        <v>43709</v>
      </c>
      <c r="T202" s="20">
        <f>IFERROR(VLOOKUP(S202,'Date Converter'!$A$4:$C$368,3,0),"")</f>
        <v>43737</v>
      </c>
      <c r="U202" s="21">
        <f t="shared" si="29"/>
        <v>43737</v>
      </c>
      <c r="V202" s="12" t="s">
        <v>51</v>
      </c>
      <c r="Y202" s="15"/>
      <c r="AA202" s="15">
        <v>0</v>
      </c>
      <c r="AB202" s="206"/>
      <c r="AC202" s="15"/>
      <c r="AD202" s="15"/>
      <c r="AE202" s="15"/>
      <c r="AF202" s="244"/>
      <c r="AG202" s="15"/>
      <c r="AH202" s="15">
        <f t="shared" si="33"/>
        <v>0</v>
      </c>
      <c r="AI202" s="22">
        <f t="shared" si="34"/>
        <v>5000</v>
      </c>
      <c r="AJ202" s="22">
        <f t="shared" si="35"/>
        <v>46500000</v>
      </c>
      <c r="AK202" s="165"/>
    </row>
    <row r="203" spans="1:37" ht="14.25" hidden="1" customHeight="1">
      <c r="A203" t="s">
        <v>346</v>
      </c>
      <c r="B203" s="13">
        <v>43519</v>
      </c>
      <c r="C203" s="13" t="s">
        <v>23</v>
      </c>
      <c r="D203" s="258" t="s">
        <v>273</v>
      </c>
      <c r="E203" s="97" t="s">
        <v>274</v>
      </c>
      <c r="F203" t="str">
        <f t="shared" si="30"/>
        <v>PROF_20.22_125_NL2018</v>
      </c>
      <c r="G203" s="165" t="s">
        <v>56</v>
      </c>
      <c r="I203" s="12" t="s">
        <v>74</v>
      </c>
      <c r="J203" s="14">
        <v>125</v>
      </c>
      <c r="K203" s="15" t="s">
        <v>28</v>
      </c>
      <c r="M203" s="16">
        <f t="shared" si="31"/>
        <v>40</v>
      </c>
      <c r="N203" s="15">
        <v>5000</v>
      </c>
      <c r="O203" s="15">
        <v>13000</v>
      </c>
      <c r="P203" s="15">
        <f t="shared" si="32"/>
        <v>65000000</v>
      </c>
      <c r="Q203" s="15" t="str">
        <f t="shared" si="36"/>
        <v/>
      </c>
      <c r="R203" s="18" t="s">
        <v>29</v>
      </c>
      <c r="S203" s="23">
        <v>43709</v>
      </c>
      <c r="T203" s="20">
        <f>IFERROR(VLOOKUP(S203,'Date Converter'!$A$4:$C$368,3,0),"")</f>
        <v>43737</v>
      </c>
      <c r="U203" s="21">
        <f t="shared" si="29"/>
        <v>43737</v>
      </c>
      <c r="V203" s="12" t="s">
        <v>51</v>
      </c>
      <c r="Y203" s="15"/>
      <c r="AA203" s="15">
        <v>0</v>
      </c>
      <c r="AB203" s="206"/>
      <c r="AC203" s="15"/>
      <c r="AD203" s="15"/>
      <c r="AE203" s="15"/>
      <c r="AF203" s="244"/>
      <c r="AG203" s="15"/>
      <c r="AH203" s="15">
        <f t="shared" si="33"/>
        <v>0</v>
      </c>
      <c r="AI203" s="22">
        <f t="shared" si="34"/>
        <v>5000</v>
      </c>
      <c r="AJ203" s="22">
        <f t="shared" si="35"/>
        <v>65000000</v>
      </c>
      <c r="AK203" s="165"/>
    </row>
    <row r="204" spans="1:37" hidden="1">
      <c r="A204" t="s">
        <v>346</v>
      </c>
      <c r="B204" s="13">
        <v>43519</v>
      </c>
      <c r="C204" s="13" t="s">
        <v>23</v>
      </c>
      <c r="D204" t="s">
        <v>273</v>
      </c>
      <c r="E204" s="165" t="s">
        <v>274</v>
      </c>
      <c r="F204" t="str">
        <f t="shared" si="30"/>
        <v>PAVI_12.14_400_NL2018</v>
      </c>
      <c r="G204" s="165" t="s">
        <v>138</v>
      </c>
      <c r="I204" s="12" t="s">
        <v>113</v>
      </c>
      <c r="J204" s="14">
        <v>400</v>
      </c>
      <c r="K204" s="15" t="s">
        <v>28</v>
      </c>
      <c r="M204" s="16">
        <f t="shared" si="31"/>
        <v>14</v>
      </c>
      <c r="N204" s="15">
        <v>5600</v>
      </c>
      <c r="O204" s="15">
        <v>2800</v>
      </c>
      <c r="P204" s="15">
        <f t="shared" si="32"/>
        <v>15680000</v>
      </c>
      <c r="Q204" s="15" t="str">
        <f t="shared" si="36"/>
        <v>Done</v>
      </c>
      <c r="R204" s="18" t="s">
        <v>44</v>
      </c>
      <c r="S204" s="23">
        <v>43511</v>
      </c>
      <c r="T204" s="20">
        <f>IFERROR(VLOOKUP(S204,'Date Converter'!$A$4:$C$368,3,0),"")</f>
        <v>43544</v>
      </c>
      <c r="U204" s="21">
        <f t="shared" si="29"/>
        <v>43544</v>
      </c>
      <c r="V204" s="12" t="s">
        <v>32</v>
      </c>
      <c r="W204" s="18" t="s">
        <v>39</v>
      </c>
      <c r="X204" s="18">
        <v>43541</v>
      </c>
      <c r="Y204" s="15"/>
      <c r="Z204" s="209">
        <v>43543</v>
      </c>
      <c r="AA204" s="15">
        <v>5600</v>
      </c>
      <c r="AB204" s="206"/>
      <c r="AC204" s="15"/>
      <c r="AD204" s="15"/>
      <c r="AE204" s="15"/>
      <c r="AF204" s="244"/>
      <c r="AG204" s="15"/>
      <c r="AH204" s="15">
        <f t="shared" si="33"/>
        <v>5600</v>
      </c>
      <c r="AI204" s="22">
        <f t="shared" si="34"/>
        <v>0</v>
      </c>
      <c r="AJ204" s="22">
        <f t="shared" si="35"/>
        <v>0</v>
      </c>
      <c r="AK204" s="165"/>
    </row>
    <row r="205" spans="1:37" hidden="1">
      <c r="A205" t="s">
        <v>346</v>
      </c>
      <c r="B205" s="13">
        <v>43519</v>
      </c>
      <c r="C205" s="13" t="s">
        <v>23</v>
      </c>
      <c r="D205" t="s">
        <v>273</v>
      </c>
      <c r="E205" s="165" t="s">
        <v>274</v>
      </c>
      <c r="F205" t="str">
        <f t="shared" si="30"/>
        <v>NATA_RL_12.14_400_NL2018</v>
      </c>
      <c r="G205" s="165" t="s">
        <v>222</v>
      </c>
      <c r="H205" s="12" t="s">
        <v>219</v>
      </c>
      <c r="I205" s="12" t="s">
        <v>113</v>
      </c>
      <c r="J205" s="14">
        <v>400</v>
      </c>
      <c r="K205" s="15" t="s">
        <v>28</v>
      </c>
      <c r="M205" s="16">
        <f t="shared" si="31"/>
        <v>1</v>
      </c>
      <c r="N205" s="15">
        <v>400</v>
      </c>
      <c r="O205" s="15">
        <v>8000</v>
      </c>
      <c r="P205" s="15">
        <f t="shared" si="32"/>
        <v>3200000</v>
      </c>
      <c r="Q205" s="15" t="str">
        <f t="shared" si="36"/>
        <v>Done</v>
      </c>
      <c r="R205" s="18" t="s">
        <v>44</v>
      </c>
      <c r="S205" s="23" t="s">
        <v>53</v>
      </c>
      <c r="T205" s="20">
        <f>IFERROR(VLOOKUP(S205,'Date Converter'!$A$4:$C$368,3,0),"")</f>
        <v>43559</v>
      </c>
      <c r="U205" s="21">
        <f t="shared" si="29"/>
        <v>43559</v>
      </c>
      <c r="V205" s="12" t="s">
        <v>54</v>
      </c>
      <c r="W205" s="18" t="s">
        <v>55</v>
      </c>
      <c r="X205" s="18">
        <v>43555</v>
      </c>
      <c r="Y205" s="15"/>
      <c r="Z205" s="206">
        <v>43558</v>
      </c>
      <c r="AA205" s="15">
        <v>400</v>
      </c>
      <c r="AB205" s="206"/>
      <c r="AC205" s="15"/>
      <c r="AD205" s="15"/>
      <c r="AE205" s="15"/>
      <c r="AF205" s="244"/>
      <c r="AG205" s="15"/>
      <c r="AH205" s="15">
        <f t="shared" si="33"/>
        <v>400</v>
      </c>
      <c r="AI205" s="22">
        <f t="shared" si="34"/>
        <v>0</v>
      </c>
      <c r="AJ205" s="22">
        <f t="shared" si="35"/>
        <v>0</v>
      </c>
    </row>
    <row r="206" spans="1:37" hidden="1">
      <c r="A206" t="s">
        <v>346</v>
      </c>
      <c r="B206" s="13">
        <v>43519</v>
      </c>
      <c r="C206" s="13" t="s">
        <v>23</v>
      </c>
      <c r="D206" s="258" t="s">
        <v>273</v>
      </c>
      <c r="E206" s="97" t="s">
        <v>274</v>
      </c>
      <c r="F206" t="str">
        <f t="shared" si="30"/>
        <v>MANI_22.24_100_NL2018</v>
      </c>
      <c r="G206" s="165" t="s">
        <v>105</v>
      </c>
      <c r="I206" s="12" t="s">
        <v>78</v>
      </c>
      <c r="J206" s="14">
        <v>100</v>
      </c>
      <c r="K206" s="15" t="s">
        <v>28</v>
      </c>
      <c r="M206" s="16">
        <f t="shared" si="31"/>
        <v>50</v>
      </c>
      <c r="N206" s="15">
        <v>5000</v>
      </c>
      <c r="O206" s="15">
        <v>15200</v>
      </c>
      <c r="P206" s="15">
        <f t="shared" si="32"/>
        <v>76000000</v>
      </c>
      <c r="Q206" s="15" t="str">
        <f t="shared" si="36"/>
        <v/>
      </c>
      <c r="R206" s="18" t="s">
        <v>29</v>
      </c>
      <c r="S206" s="23">
        <v>43709</v>
      </c>
      <c r="T206" s="20">
        <f>IFERROR(VLOOKUP(S206,'Date Converter'!$A$4:$C$368,3,0),"")</f>
        <v>43737</v>
      </c>
      <c r="U206" s="21">
        <f t="shared" si="29"/>
        <v>43737</v>
      </c>
      <c r="V206" s="12" t="s">
        <v>51</v>
      </c>
      <c r="Y206" s="15"/>
      <c r="AA206" s="15">
        <v>0</v>
      </c>
      <c r="AB206" s="206"/>
      <c r="AC206" s="15"/>
      <c r="AD206" s="15"/>
      <c r="AE206" s="15"/>
      <c r="AF206" s="244"/>
      <c r="AG206" s="15"/>
      <c r="AH206" s="15">
        <f t="shared" si="33"/>
        <v>0</v>
      </c>
      <c r="AI206" s="22">
        <f t="shared" si="34"/>
        <v>5000</v>
      </c>
      <c r="AJ206" s="22">
        <f t="shared" si="35"/>
        <v>76000000</v>
      </c>
    </row>
    <row r="207" spans="1:37" hidden="1">
      <c r="A207" t="s">
        <v>346</v>
      </c>
      <c r="B207" s="13">
        <v>43519</v>
      </c>
      <c r="C207" s="13" t="s">
        <v>23</v>
      </c>
      <c r="D207" s="258" t="s">
        <v>273</v>
      </c>
      <c r="E207" s="97" t="s">
        <v>274</v>
      </c>
      <c r="F207" t="str">
        <f t="shared" si="30"/>
        <v>BACA_20.22_125_NL2018</v>
      </c>
      <c r="G207" s="165" t="s">
        <v>67</v>
      </c>
      <c r="I207" s="12" t="s">
        <v>74</v>
      </c>
      <c r="J207" s="14">
        <v>125</v>
      </c>
      <c r="K207" s="15" t="s">
        <v>28</v>
      </c>
      <c r="M207" s="16">
        <f t="shared" si="31"/>
        <v>40</v>
      </c>
      <c r="N207" s="15">
        <v>5000</v>
      </c>
      <c r="O207" s="15">
        <v>10800</v>
      </c>
      <c r="P207" s="15">
        <f t="shared" si="32"/>
        <v>54000000</v>
      </c>
      <c r="Q207" s="15" t="str">
        <f t="shared" si="36"/>
        <v/>
      </c>
      <c r="R207" s="18" t="s">
        <v>29</v>
      </c>
      <c r="S207" s="23">
        <v>43709</v>
      </c>
      <c r="T207" s="20">
        <f>IFERROR(VLOOKUP(S207,'Date Converter'!$A$4:$C$368,3,0),"")</f>
        <v>43737</v>
      </c>
      <c r="U207" s="21">
        <f t="shared" si="29"/>
        <v>43737</v>
      </c>
      <c r="V207" s="12" t="s">
        <v>51</v>
      </c>
      <c r="Y207" s="15"/>
      <c r="AA207" s="15">
        <v>0</v>
      </c>
      <c r="AB207" s="206"/>
      <c r="AC207" s="15"/>
      <c r="AD207" s="15"/>
      <c r="AE207" s="15"/>
      <c r="AF207" s="244"/>
      <c r="AG207" s="15"/>
      <c r="AH207" s="15">
        <f t="shared" si="33"/>
        <v>0</v>
      </c>
      <c r="AI207" s="22">
        <f t="shared" si="34"/>
        <v>5000</v>
      </c>
      <c r="AJ207" s="22">
        <f t="shared" si="35"/>
        <v>54000000</v>
      </c>
    </row>
    <row r="208" spans="1:37" hidden="1">
      <c r="A208" t="s">
        <v>345</v>
      </c>
      <c r="B208" s="13">
        <v>43466</v>
      </c>
      <c r="C208" s="13" t="s">
        <v>23</v>
      </c>
      <c r="D208" t="s">
        <v>269</v>
      </c>
      <c r="E208" s="165" t="s">
        <v>270</v>
      </c>
      <c r="F208" t="str">
        <f t="shared" si="30"/>
        <v>YELL_12.14_400_NL2018</v>
      </c>
      <c r="G208" s="165" t="s">
        <v>89</v>
      </c>
      <c r="I208" s="12" t="s">
        <v>113</v>
      </c>
      <c r="J208" s="14">
        <v>400</v>
      </c>
      <c r="K208" s="15" t="s">
        <v>28</v>
      </c>
      <c r="M208" s="16">
        <f t="shared" si="31"/>
        <v>100</v>
      </c>
      <c r="N208" s="15">
        <v>40000</v>
      </c>
      <c r="O208" s="15">
        <v>2600</v>
      </c>
      <c r="P208" s="15">
        <f t="shared" si="32"/>
        <v>104000000</v>
      </c>
      <c r="Q208" s="15" t="str">
        <f t="shared" si="36"/>
        <v>Done</v>
      </c>
      <c r="R208" s="18" t="s">
        <v>44</v>
      </c>
      <c r="S208" s="23">
        <v>43480</v>
      </c>
      <c r="T208" s="20">
        <f>IFERROR(VLOOKUP(S208,'Date Converter'!$A$4:$C$368,3,0),"")</f>
        <v>43515</v>
      </c>
      <c r="U208" s="21">
        <f t="shared" si="29"/>
        <v>43515</v>
      </c>
      <c r="V208" s="12" t="s">
        <v>45</v>
      </c>
      <c r="Y208" s="15"/>
      <c r="Z208" s="206">
        <v>43515</v>
      </c>
      <c r="AA208" s="15">
        <v>40000</v>
      </c>
      <c r="AB208" s="206"/>
      <c r="AC208" s="15"/>
      <c r="AD208" s="15"/>
      <c r="AE208" s="15"/>
      <c r="AF208" s="244"/>
      <c r="AG208" s="15"/>
      <c r="AH208" s="15">
        <f t="shared" si="33"/>
        <v>40000</v>
      </c>
      <c r="AI208" s="22">
        <f t="shared" si="34"/>
        <v>0</v>
      </c>
      <c r="AJ208" s="22">
        <f t="shared" si="35"/>
        <v>0</v>
      </c>
    </row>
    <row r="209" spans="1:37" hidden="1">
      <c r="A209" t="s">
        <v>345</v>
      </c>
      <c r="B209" s="13">
        <v>43466</v>
      </c>
      <c r="C209" s="13" t="s">
        <v>23</v>
      </c>
      <c r="D209" t="s">
        <v>269</v>
      </c>
      <c r="E209" s="165" t="s">
        <v>270</v>
      </c>
      <c r="F209" t="str">
        <f t="shared" si="30"/>
        <v>YELL_12.14_400_NL2018</v>
      </c>
      <c r="G209" s="165" t="s">
        <v>89</v>
      </c>
      <c r="I209" s="12" t="s">
        <v>113</v>
      </c>
      <c r="J209" s="14">
        <v>400</v>
      </c>
      <c r="K209" s="15" t="s">
        <v>28</v>
      </c>
      <c r="M209" s="16">
        <f t="shared" si="31"/>
        <v>40</v>
      </c>
      <c r="N209" s="15">
        <v>16000</v>
      </c>
      <c r="O209" s="15">
        <v>2600</v>
      </c>
      <c r="P209" s="15">
        <f t="shared" si="32"/>
        <v>41600000</v>
      </c>
      <c r="Q209" s="15" t="str">
        <f t="shared" si="36"/>
        <v>Done</v>
      </c>
      <c r="R209" s="18" t="s">
        <v>44</v>
      </c>
      <c r="S209" s="23">
        <v>43539</v>
      </c>
      <c r="T209" s="20">
        <f>IFERROR(VLOOKUP(S209,'Date Converter'!$A$4:$C$368,3,0),"")</f>
        <v>43574</v>
      </c>
      <c r="U209" s="21">
        <f t="shared" si="29"/>
        <v>43574</v>
      </c>
      <c r="V209" s="12" t="s">
        <v>57</v>
      </c>
      <c r="W209" s="18" t="s">
        <v>143</v>
      </c>
      <c r="X209" s="18">
        <v>43569</v>
      </c>
      <c r="Y209" s="15"/>
      <c r="Z209" s="206">
        <v>43572</v>
      </c>
      <c r="AA209" s="15">
        <v>16000</v>
      </c>
      <c r="AB209" s="206"/>
      <c r="AC209" s="15"/>
      <c r="AD209" s="15"/>
      <c r="AE209" s="15"/>
      <c r="AF209" s="244"/>
      <c r="AG209" s="15"/>
      <c r="AH209" s="15">
        <f t="shared" si="33"/>
        <v>16000</v>
      </c>
      <c r="AI209" s="22">
        <f t="shared" si="34"/>
        <v>0</v>
      </c>
      <c r="AJ209" s="22">
        <f t="shared" si="35"/>
        <v>0</v>
      </c>
    </row>
    <row r="210" spans="1:37" ht="14.25" hidden="1" customHeight="1">
      <c r="A210" t="s">
        <v>345</v>
      </c>
      <c r="B210" s="13">
        <v>43466</v>
      </c>
      <c r="C210" s="13" t="s">
        <v>23</v>
      </c>
      <c r="D210" t="s">
        <v>269</v>
      </c>
      <c r="E210" s="198" t="s">
        <v>270</v>
      </c>
      <c r="F210" s="165" t="str">
        <f t="shared" si="30"/>
        <v>YELL_DN_16.18_200_NL2018</v>
      </c>
      <c r="G210" s="165" t="s">
        <v>89</v>
      </c>
      <c r="H210" s="12" t="s">
        <v>480</v>
      </c>
      <c r="I210" s="12" t="s">
        <v>35</v>
      </c>
      <c r="J210" s="14">
        <v>200</v>
      </c>
      <c r="K210" s="15" t="s">
        <v>28</v>
      </c>
      <c r="M210" s="16">
        <f t="shared" si="31"/>
        <v>75</v>
      </c>
      <c r="N210" s="15">
        <f>100*200-5000</f>
        <v>15000</v>
      </c>
      <c r="O210" s="15">
        <v>5500</v>
      </c>
      <c r="P210" s="15">
        <f t="shared" si="32"/>
        <v>82500000</v>
      </c>
      <c r="Q210" s="15" t="str">
        <f t="shared" si="36"/>
        <v>Done</v>
      </c>
      <c r="R210" s="18" t="s">
        <v>44</v>
      </c>
      <c r="S210" s="23">
        <v>43572</v>
      </c>
      <c r="T210" s="20">
        <f>IFERROR(VLOOKUP(S210,'Date Converter'!$A$4:$C$368,3,0),"")</f>
        <v>43606</v>
      </c>
      <c r="U210" s="21">
        <f t="shared" si="29"/>
        <v>43606</v>
      </c>
      <c r="V210" s="12" t="s">
        <v>479</v>
      </c>
      <c r="Y210" s="15"/>
      <c r="Z210" s="206">
        <v>43604</v>
      </c>
      <c r="AA210" s="17">
        <v>15000</v>
      </c>
      <c r="AB210" s="206"/>
      <c r="AC210" s="15"/>
      <c r="AD210" s="15"/>
      <c r="AE210" s="15"/>
      <c r="AF210" s="244"/>
      <c r="AG210" s="15"/>
      <c r="AH210" s="15">
        <f t="shared" si="33"/>
        <v>15000</v>
      </c>
      <c r="AI210" s="22">
        <f t="shared" si="34"/>
        <v>0</v>
      </c>
      <c r="AJ210" s="22">
        <f t="shared" si="35"/>
        <v>0</v>
      </c>
      <c r="AK210" s="165"/>
    </row>
    <row r="211" spans="1:37" hidden="1">
      <c r="A211" t="s">
        <v>345</v>
      </c>
      <c r="B211" s="13">
        <v>43629</v>
      </c>
      <c r="C211" s="13" t="s">
        <v>23</v>
      </c>
      <c r="D211" t="s">
        <v>269</v>
      </c>
      <c r="E211" s="198" t="s">
        <v>270</v>
      </c>
      <c r="F211" t="str">
        <f t="shared" si="30"/>
        <v>YELL_14.16_300_NL2018</v>
      </c>
      <c r="G211" s="165" t="s">
        <v>89</v>
      </c>
      <c r="I211" s="24" t="s">
        <v>47</v>
      </c>
      <c r="J211" s="14">
        <v>300</v>
      </c>
      <c r="K211" s="15" t="s">
        <v>28</v>
      </c>
      <c r="M211" s="16">
        <f t="shared" si="31"/>
        <v>30</v>
      </c>
      <c r="N211" s="15">
        <v>9000</v>
      </c>
      <c r="O211" s="15">
        <v>4000</v>
      </c>
      <c r="P211" s="15">
        <f t="shared" si="32"/>
        <v>36000000</v>
      </c>
      <c r="Q211" s="15" t="str">
        <f t="shared" si="36"/>
        <v/>
      </c>
      <c r="R211" s="18" t="s">
        <v>31</v>
      </c>
      <c r="S211" s="23">
        <v>43631</v>
      </c>
      <c r="T211" s="20">
        <f>IFERROR(VLOOKUP(S211,'Date Converter'!$A$4:$C$368,3,0),"")</f>
        <v>43663</v>
      </c>
      <c r="U211" s="21">
        <f t="shared" si="29"/>
        <v>43663</v>
      </c>
      <c r="V211" s="12" t="s">
        <v>1876</v>
      </c>
      <c r="Y211" s="15"/>
      <c r="AA211" s="17"/>
      <c r="AB211" s="206"/>
      <c r="AC211" s="15"/>
      <c r="AD211" s="15"/>
      <c r="AE211" s="15"/>
      <c r="AF211" s="244"/>
      <c r="AG211" s="15"/>
      <c r="AH211" s="15">
        <f t="shared" si="33"/>
        <v>0</v>
      </c>
      <c r="AI211" s="22">
        <f t="shared" si="34"/>
        <v>9000</v>
      </c>
      <c r="AJ211" s="22">
        <f t="shared" si="35"/>
        <v>36000000</v>
      </c>
      <c r="AK211" s="165"/>
    </row>
    <row r="212" spans="1:37" hidden="1">
      <c r="A212" t="s">
        <v>345</v>
      </c>
      <c r="B212" s="13">
        <v>43629</v>
      </c>
      <c r="C212" s="13" t="s">
        <v>23</v>
      </c>
      <c r="D212" t="s">
        <v>269</v>
      </c>
      <c r="E212" s="198" t="s">
        <v>270</v>
      </c>
      <c r="F212" t="str">
        <f t="shared" si="30"/>
        <v>YELL_DN_16.18_200_NL2018</v>
      </c>
      <c r="G212" s="165" t="s">
        <v>89</v>
      </c>
      <c r="H212" s="12" t="s">
        <v>480</v>
      </c>
      <c r="I212" s="24" t="s">
        <v>35</v>
      </c>
      <c r="J212" s="14">
        <v>200</v>
      </c>
      <c r="K212" s="15" t="s">
        <v>28</v>
      </c>
      <c r="M212" s="16">
        <f t="shared" si="31"/>
        <v>30</v>
      </c>
      <c r="N212" s="15">
        <v>6000</v>
      </c>
      <c r="O212" s="15">
        <v>6000</v>
      </c>
      <c r="P212" s="15">
        <f t="shared" si="32"/>
        <v>36000000</v>
      </c>
      <c r="Q212" s="15" t="str">
        <f t="shared" si="36"/>
        <v/>
      </c>
      <c r="R212" s="18" t="s">
        <v>31</v>
      </c>
      <c r="S212" s="23">
        <v>43631</v>
      </c>
      <c r="T212" s="20">
        <f>IFERROR(VLOOKUP(S212,'Date Converter'!$A$4:$C$368,3,0),"")</f>
        <v>43663</v>
      </c>
      <c r="U212" s="21">
        <f t="shared" si="29"/>
        <v>43663</v>
      </c>
      <c r="V212" s="12" t="s">
        <v>1876</v>
      </c>
      <c r="Y212" s="15"/>
      <c r="AA212" s="17"/>
      <c r="AB212" s="206"/>
      <c r="AC212" s="15"/>
      <c r="AD212" s="15"/>
      <c r="AE212" s="15"/>
      <c r="AF212" s="244"/>
      <c r="AG212" s="15"/>
      <c r="AH212" s="15">
        <f t="shared" si="33"/>
        <v>0</v>
      </c>
      <c r="AI212" s="22">
        <f t="shared" si="34"/>
        <v>6000</v>
      </c>
      <c r="AJ212" s="22">
        <f t="shared" si="35"/>
        <v>36000000</v>
      </c>
      <c r="AK212" s="165"/>
    </row>
    <row r="213" spans="1:37" hidden="1">
      <c r="A213" t="s">
        <v>345</v>
      </c>
      <c r="B213" s="13">
        <v>43629</v>
      </c>
      <c r="C213" s="13" t="s">
        <v>23</v>
      </c>
      <c r="D213" t="s">
        <v>269</v>
      </c>
      <c r="E213" s="198" t="s">
        <v>270</v>
      </c>
      <c r="F213" t="str">
        <f t="shared" si="30"/>
        <v>YELL_DN_16.18_200_NL2018</v>
      </c>
      <c r="G213" s="165" t="s">
        <v>89</v>
      </c>
      <c r="H213" s="12" t="s">
        <v>480</v>
      </c>
      <c r="I213" s="24" t="s">
        <v>35</v>
      </c>
      <c r="J213" s="14">
        <v>200</v>
      </c>
      <c r="K213" s="15" t="s">
        <v>28</v>
      </c>
      <c r="M213" s="16">
        <f t="shared" si="31"/>
        <v>30</v>
      </c>
      <c r="N213" s="15">
        <v>6000</v>
      </c>
      <c r="O213" s="15">
        <f>6000+90</f>
        <v>6090</v>
      </c>
      <c r="P213" s="15">
        <f t="shared" si="32"/>
        <v>36540000</v>
      </c>
      <c r="Q213" s="15" t="str">
        <f t="shared" si="36"/>
        <v/>
      </c>
      <c r="R213" s="18" t="s">
        <v>29</v>
      </c>
      <c r="S213" s="23">
        <v>43647</v>
      </c>
      <c r="T213" s="20">
        <f>IFERROR(VLOOKUP(S213,'Date Converter'!$A$4:$C$368,3,0),"")</f>
        <v>43678</v>
      </c>
      <c r="U213" s="21">
        <f t="shared" si="29"/>
        <v>43678</v>
      </c>
      <c r="Y213" s="15"/>
      <c r="AA213" s="17"/>
      <c r="AB213" s="206"/>
      <c r="AC213" s="15"/>
      <c r="AD213" s="15"/>
      <c r="AE213" s="15"/>
      <c r="AF213" s="244"/>
      <c r="AG213" s="15"/>
      <c r="AH213" s="15">
        <f t="shared" si="33"/>
        <v>0</v>
      </c>
      <c r="AI213" s="22">
        <f t="shared" si="34"/>
        <v>6000</v>
      </c>
      <c r="AJ213" s="22">
        <f t="shared" si="35"/>
        <v>36540000</v>
      </c>
      <c r="AK213" s="165"/>
    </row>
    <row r="214" spans="1:37" hidden="1">
      <c r="A214" s="165" t="s">
        <v>345</v>
      </c>
      <c r="B214" s="13">
        <v>43629</v>
      </c>
      <c r="C214" s="13" t="s">
        <v>23</v>
      </c>
      <c r="D214" s="165" t="s">
        <v>269</v>
      </c>
      <c r="E214" s="198" t="s">
        <v>270</v>
      </c>
      <c r="F214" s="165" t="str">
        <f t="shared" si="30"/>
        <v>YELL_14.16_300_NL2018</v>
      </c>
      <c r="G214" s="165" t="s">
        <v>89</v>
      </c>
      <c r="I214" s="24" t="s">
        <v>47</v>
      </c>
      <c r="J214" s="14">
        <v>300</v>
      </c>
      <c r="K214" s="15" t="s">
        <v>28</v>
      </c>
      <c r="M214" s="16">
        <f t="shared" si="31"/>
        <v>30</v>
      </c>
      <c r="N214" s="15">
        <v>9000</v>
      </c>
      <c r="O214" s="15">
        <v>4000</v>
      </c>
      <c r="P214" s="15">
        <f t="shared" si="32"/>
        <v>36000000</v>
      </c>
      <c r="Q214" s="15" t="str">
        <f t="shared" si="36"/>
        <v/>
      </c>
      <c r="R214" s="18" t="s">
        <v>29</v>
      </c>
      <c r="S214" s="23">
        <v>43647</v>
      </c>
      <c r="T214" s="20">
        <f>IFERROR(VLOOKUP(S214,'Date Converter'!$A$4:$C$368,3,0),"")</f>
        <v>43678</v>
      </c>
      <c r="U214" s="21">
        <f t="shared" si="29"/>
        <v>43678</v>
      </c>
      <c r="Y214" s="15"/>
      <c r="AA214" s="17"/>
      <c r="AB214" s="206"/>
      <c r="AC214" s="15"/>
      <c r="AD214" s="15"/>
      <c r="AE214" s="15"/>
      <c r="AF214" s="244"/>
      <c r="AG214" s="15"/>
      <c r="AH214" s="15">
        <f t="shared" si="33"/>
        <v>0</v>
      </c>
      <c r="AI214" s="22">
        <f t="shared" si="34"/>
        <v>9000</v>
      </c>
      <c r="AJ214" s="22">
        <f t="shared" si="35"/>
        <v>36000000</v>
      </c>
      <c r="AK214" s="165"/>
    </row>
    <row r="215" spans="1:37" hidden="1">
      <c r="A215" s="183" t="s">
        <v>1453</v>
      </c>
      <c r="B215" s="188">
        <v>43517</v>
      </c>
      <c r="C215" s="266" t="s">
        <v>23</v>
      </c>
      <c r="D215" s="258" t="s">
        <v>269</v>
      </c>
      <c r="E215" s="201" t="s">
        <v>270</v>
      </c>
      <c r="F215" s="183" t="str">
        <f t="shared" si="30"/>
        <v>TARR_20.22_125_NL2018</v>
      </c>
      <c r="G215" s="183" t="s">
        <v>62</v>
      </c>
      <c r="I215" s="12" t="s">
        <v>74</v>
      </c>
      <c r="J215" s="14">
        <v>125</v>
      </c>
      <c r="K215" s="185" t="s">
        <v>28</v>
      </c>
      <c r="L215" s="185"/>
      <c r="M215" s="187">
        <f t="shared" si="31"/>
        <v>64</v>
      </c>
      <c r="N215" s="15">
        <v>8000</v>
      </c>
      <c r="O215" s="15">
        <v>10100</v>
      </c>
      <c r="P215" s="15">
        <f t="shared" si="32"/>
        <v>80800000</v>
      </c>
      <c r="Q215" s="15" t="str">
        <f t="shared" si="36"/>
        <v/>
      </c>
      <c r="R215" s="189" t="s">
        <v>29</v>
      </c>
      <c r="S215" s="190">
        <v>43709</v>
      </c>
      <c r="T215" s="20">
        <f>IFERROR(VLOOKUP(S215,'Date Converter'!$A$4:$C$368,3,0),"")</f>
        <v>43737</v>
      </c>
      <c r="U215" s="21">
        <f t="shared" si="29"/>
        <v>43737</v>
      </c>
      <c r="V215" s="184" t="s">
        <v>51</v>
      </c>
      <c r="Y215" s="15"/>
      <c r="AA215" s="15"/>
      <c r="AB215" s="206"/>
      <c r="AC215" s="15"/>
      <c r="AD215" s="15"/>
      <c r="AE215" s="15"/>
      <c r="AF215" s="244"/>
      <c r="AG215" s="15"/>
      <c r="AH215" s="15">
        <f t="shared" si="33"/>
        <v>0</v>
      </c>
      <c r="AI215" s="22">
        <f t="shared" si="34"/>
        <v>8000</v>
      </c>
      <c r="AJ215" s="22">
        <f t="shared" si="35"/>
        <v>80800000</v>
      </c>
      <c r="AK215" s="165"/>
    </row>
    <row r="216" spans="1:37" hidden="1">
      <c r="A216" s="165" t="s">
        <v>345</v>
      </c>
      <c r="B216" s="13">
        <v>43466</v>
      </c>
      <c r="C216" s="13" t="s">
        <v>23</v>
      </c>
      <c r="D216" s="165" t="s">
        <v>269</v>
      </c>
      <c r="E216" s="165" t="s">
        <v>270</v>
      </c>
      <c r="F216" s="165" t="str">
        <f t="shared" si="30"/>
        <v>TARR_14.16_300_NL2018</v>
      </c>
      <c r="G216" s="165" t="s">
        <v>62</v>
      </c>
      <c r="I216" s="12" t="s">
        <v>47</v>
      </c>
      <c r="J216" s="14">
        <v>300</v>
      </c>
      <c r="K216" s="15" t="s">
        <v>28</v>
      </c>
      <c r="M216" s="16">
        <f t="shared" si="31"/>
        <v>20</v>
      </c>
      <c r="N216" s="15">
        <v>6000</v>
      </c>
      <c r="O216" s="15">
        <v>4600</v>
      </c>
      <c r="P216" s="15">
        <f t="shared" si="32"/>
        <v>27600000</v>
      </c>
      <c r="Q216" s="15" t="str">
        <f t="shared" si="36"/>
        <v>Done</v>
      </c>
      <c r="R216" s="18" t="s">
        <v>44</v>
      </c>
      <c r="S216" s="23">
        <v>43480</v>
      </c>
      <c r="T216" s="20">
        <f>IFERROR(VLOOKUP(S216,'Date Converter'!$A$4:$C$368,3,0),"")</f>
        <v>43515</v>
      </c>
      <c r="U216" s="21">
        <f t="shared" si="29"/>
        <v>43515</v>
      </c>
      <c r="V216" s="12" t="s">
        <v>45</v>
      </c>
      <c r="Y216" s="15"/>
      <c r="Z216" s="206">
        <v>43515</v>
      </c>
      <c r="AA216" s="15">
        <v>6000</v>
      </c>
      <c r="AB216" s="206"/>
      <c r="AC216" s="15"/>
      <c r="AD216" s="15"/>
      <c r="AE216" s="15"/>
      <c r="AF216" s="244"/>
      <c r="AG216" s="15"/>
      <c r="AH216" s="15">
        <f t="shared" si="33"/>
        <v>6000</v>
      </c>
      <c r="AI216" s="22">
        <f t="shared" si="34"/>
        <v>0</v>
      </c>
      <c r="AJ216" s="22">
        <f t="shared" si="35"/>
        <v>0</v>
      </c>
    </row>
    <row r="217" spans="1:37" hidden="1">
      <c r="A217" s="165" t="s">
        <v>345</v>
      </c>
      <c r="B217" s="13">
        <v>43466</v>
      </c>
      <c r="C217" s="13" t="s">
        <v>23</v>
      </c>
      <c r="D217" s="165" t="s">
        <v>269</v>
      </c>
      <c r="E217" s="165" t="s">
        <v>270</v>
      </c>
      <c r="F217" s="165" t="str">
        <f t="shared" si="30"/>
        <v>TARR_16.18_200_NL2018</v>
      </c>
      <c r="G217" s="165" t="s">
        <v>62</v>
      </c>
      <c r="I217" s="12" t="s">
        <v>35</v>
      </c>
      <c r="J217" s="14">
        <v>200</v>
      </c>
      <c r="K217" s="15" t="s">
        <v>28</v>
      </c>
      <c r="M217" s="16">
        <f t="shared" si="31"/>
        <v>20</v>
      </c>
      <c r="N217" s="15">
        <v>4000</v>
      </c>
      <c r="O217" s="15">
        <v>5500</v>
      </c>
      <c r="P217" s="15">
        <f t="shared" si="32"/>
        <v>22000000</v>
      </c>
      <c r="Q217" s="15" t="str">
        <f t="shared" si="36"/>
        <v>Done</v>
      </c>
      <c r="R217" s="18" t="s">
        <v>44</v>
      </c>
      <c r="S217" s="23">
        <v>43480</v>
      </c>
      <c r="T217" s="20">
        <f>IFERROR(VLOOKUP(S217,'Date Converter'!$A$4:$C$368,3,0),"")</f>
        <v>43515</v>
      </c>
      <c r="U217" s="21">
        <f t="shared" si="29"/>
        <v>43515</v>
      </c>
      <c r="V217" s="12" t="s">
        <v>45</v>
      </c>
      <c r="Y217" s="15"/>
      <c r="Z217" s="206">
        <v>43515</v>
      </c>
      <c r="AA217" s="15">
        <v>4000</v>
      </c>
      <c r="AB217" s="206"/>
      <c r="AC217" s="15"/>
      <c r="AD217" s="15"/>
      <c r="AE217" s="15"/>
      <c r="AF217" s="244"/>
      <c r="AG217" s="15"/>
      <c r="AH217" s="15">
        <f t="shared" si="33"/>
        <v>4000</v>
      </c>
      <c r="AI217" s="22">
        <f t="shared" si="34"/>
        <v>0</v>
      </c>
      <c r="AJ217" s="22">
        <f t="shared" si="35"/>
        <v>0</v>
      </c>
    </row>
    <row r="218" spans="1:37" hidden="1">
      <c r="A218" s="165" t="s">
        <v>345</v>
      </c>
      <c r="B218" s="13">
        <v>43466</v>
      </c>
      <c r="C218" s="13" t="s">
        <v>23</v>
      </c>
      <c r="D218" s="165" t="s">
        <v>269</v>
      </c>
      <c r="E218" s="165" t="s">
        <v>270</v>
      </c>
      <c r="F218" s="165" t="str">
        <f t="shared" si="30"/>
        <v>TARR_14.16_300_NL2018</v>
      </c>
      <c r="G218" s="165" t="s">
        <v>62</v>
      </c>
      <c r="I218" s="12" t="s">
        <v>47</v>
      </c>
      <c r="J218" s="14">
        <v>300</v>
      </c>
      <c r="K218" s="15" t="s">
        <v>28</v>
      </c>
      <c r="M218" s="16">
        <f t="shared" si="31"/>
        <v>20</v>
      </c>
      <c r="N218" s="15">
        <v>6000</v>
      </c>
      <c r="O218" s="15">
        <v>4600</v>
      </c>
      <c r="P218" s="15">
        <f t="shared" si="32"/>
        <v>27600000</v>
      </c>
      <c r="Q218" s="15" t="str">
        <f t="shared" si="36"/>
        <v>Done</v>
      </c>
      <c r="R218" s="18" t="s">
        <v>44</v>
      </c>
      <c r="S218" s="23">
        <v>43539</v>
      </c>
      <c r="T218" s="20">
        <f>IFERROR(VLOOKUP(S218,'Date Converter'!$A$4:$C$368,3,0),"")</f>
        <v>43574</v>
      </c>
      <c r="U218" s="21">
        <f t="shared" si="29"/>
        <v>43574</v>
      </c>
      <c r="V218" s="12" t="s">
        <v>57</v>
      </c>
      <c r="W218" s="18" t="s">
        <v>143</v>
      </c>
      <c r="X218" s="18">
        <v>43569</v>
      </c>
      <c r="Y218" s="15"/>
      <c r="Z218" s="206">
        <v>43572</v>
      </c>
      <c r="AA218" s="15">
        <v>6000</v>
      </c>
      <c r="AB218" s="206"/>
      <c r="AC218" s="15"/>
      <c r="AD218" s="15"/>
      <c r="AE218" s="15"/>
      <c r="AF218" s="244"/>
      <c r="AG218" s="15"/>
      <c r="AH218" s="15">
        <f t="shared" si="33"/>
        <v>6000</v>
      </c>
      <c r="AI218" s="22">
        <f t="shared" si="34"/>
        <v>0</v>
      </c>
      <c r="AJ218" s="22">
        <f t="shared" si="35"/>
        <v>0</v>
      </c>
    </row>
    <row r="219" spans="1:37" hidden="1">
      <c r="A219" s="165" t="s">
        <v>345</v>
      </c>
      <c r="B219" s="13">
        <v>43466</v>
      </c>
      <c r="C219" s="13" t="s">
        <v>23</v>
      </c>
      <c r="D219" s="165" t="s">
        <v>269</v>
      </c>
      <c r="E219" s="165" t="s">
        <v>270</v>
      </c>
      <c r="F219" s="165" t="str">
        <f t="shared" si="30"/>
        <v>TARR_16.18_200_NL2018</v>
      </c>
      <c r="G219" s="165" t="s">
        <v>62</v>
      </c>
      <c r="I219" s="12" t="s">
        <v>35</v>
      </c>
      <c r="J219" s="14">
        <v>200</v>
      </c>
      <c r="K219" s="15" t="s">
        <v>28</v>
      </c>
      <c r="M219" s="16">
        <f t="shared" si="31"/>
        <v>20</v>
      </c>
      <c r="N219" s="15">
        <v>4000</v>
      </c>
      <c r="O219" s="15">
        <v>5500</v>
      </c>
      <c r="P219" s="15">
        <f t="shared" si="32"/>
        <v>22000000</v>
      </c>
      <c r="Q219" s="15" t="str">
        <f t="shared" si="36"/>
        <v>Done</v>
      </c>
      <c r="R219" s="18" t="s">
        <v>44</v>
      </c>
      <c r="S219" s="23">
        <v>43539</v>
      </c>
      <c r="T219" s="20">
        <f>IFERROR(VLOOKUP(S219,'Date Converter'!$A$4:$C$368,3,0),"")</f>
        <v>43574</v>
      </c>
      <c r="U219" s="21">
        <f t="shared" si="29"/>
        <v>43574</v>
      </c>
      <c r="V219" s="12" t="s">
        <v>57</v>
      </c>
      <c r="W219" s="18" t="s">
        <v>141</v>
      </c>
      <c r="X219" s="18">
        <v>43569</v>
      </c>
      <c r="Y219" s="15"/>
      <c r="Z219" s="206">
        <v>43572</v>
      </c>
      <c r="AA219" s="15">
        <v>4000</v>
      </c>
      <c r="AB219" s="206"/>
      <c r="AC219" s="15"/>
      <c r="AD219" s="15"/>
      <c r="AE219" s="15"/>
      <c r="AF219" s="244"/>
      <c r="AG219" s="15"/>
      <c r="AH219" s="15">
        <f t="shared" si="33"/>
        <v>4000</v>
      </c>
      <c r="AI219" s="22">
        <f t="shared" si="34"/>
        <v>0</v>
      </c>
      <c r="AJ219" s="22">
        <f t="shared" si="35"/>
        <v>0</v>
      </c>
    </row>
    <row r="220" spans="1:37" hidden="1">
      <c r="A220" s="165" t="s">
        <v>345</v>
      </c>
      <c r="B220" s="13">
        <v>43466</v>
      </c>
      <c r="C220" s="13" t="s">
        <v>23</v>
      </c>
      <c r="D220" s="165" t="s">
        <v>269</v>
      </c>
      <c r="E220" s="198" t="s">
        <v>270</v>
      </c>
      <c r="F220" s="165" t="str">
        <f t="shared" si="30"/>
        <v>TARR_14.16_300_NL2018</v>
      </c>
      <c r="G220" s="165" t="s">
        <v>62</v>
      </c>
      <c r="I220" s="12" t="s">
        <v>47</v>
      </c>
      <c r="J220" s="14">
        <v>300</v>
      </c>
      <c r="K220" s="15" t="s">
        <v>28</v>
      </c>
      <c r="M220" s="16">
        <f t="shared" si="31"/>
        <v>20</v>
      </c>
      <c r="N220" s="15">
        <f>30*300-3000</f>
        <v>6000</v>
      </c>
      <c r="O220" s="15">
        <v>4650</v>
      </c>
      <c r="P220" s="15">
        <f t="shared" si="32"/>
        <v>27900000</v>
      </c>
      <c r="Q220" s="15" t="str">
        <f t="shared" si="36"/>
        <v>Done</v>
      </c>
      <c r="R220" s="18" t="s">
        <v>44</v>
      </c>
      <c r="S220" s="23">
        <v>43572</v>
      </c>
      <c r="T220" s="20">
        <f>IFERROR(VLOOKUP(S220,'Date Converter'!$A$4:$C$368,3,0),"")</f>
        <v>43606</v>
      </c>
      <c r="U220" s="21">
        <f t="shared" si="29"/>
        <v>43606</v>
      </c>
      <c r="V220" s="12" t="s">
        <v>479</v>
      </c>
      <c r="Y220" s="15"/>
      <c r="Z220" s="206">
        <v>43604</v>
      </c>
      <c r="AA220" s="17">
        <v>6000</v>
      </c>
      <c r="AB220" s="206"/>
      <c r="AC220" s="15"/>
      <c r="AD220" s="15"/>
      <c r="AE220" s="15"/>
      <c r="AF220" s="244"/>
      <c r="AG220" s="15"/>
      <c r="AH220" s="15">
        <f t="shared" si="33"/>
        <v>6000</v>
      </c>
      <c r="AI220" s="22">
        <f t="shared" si="34"/>
        <v>0</v>
      </c>
      <c r="AJ220" s="22">
        <f t="shared" si="35"/>
        <v>0</v>
      </c>
    </row>
    <row r="221" spans="1:37" s="165" customFormat="1" hidden="1">
      <c r="A221" s="165" t="s">
        <v>345</v>
      </c>
      <c r="B221" s="13">
        <v>43629</v>
      </c>
      <c r="C221" s="13" t="s">
        <v>23</v>
      </c>
      <c r="D221" s="165" t="s">
        <v>269</v>
      </c>
      <c r="E221" s="198" t="s">
        <v>270</v>
      </c>
      <c r="F221" s="165" t="str">
        <f t="shared" si="30"/>
        <v>TARR_14.16_300_NL2018</v>
      </c>
      <c r="G221" s="165" t="s">
        <v>62</v>
      </c>
      <c r="H221" s="12"/>
      <c r="I221" s="24" t="s">
        <v>47</v>
      </c>
      <c r="J221" s="14">
        <v>300</v>
      </c>
      <c r="K221" s="15" t="s">
        <v>28</v>
      </c>
      <c r="L221" s="15"/>
      <c r="M221" s="16">
        <f t="shared" si="31"/>
        <v>20</v>
      </c>
      <c r="N221" s="15">
        <v>6000</v>
      </c>
      <c r="O221" s="15">
        <v>5000</v>
      </c>
      <c r="P221" s="15">
        <f t="shared" si="32"/>
        <v>30000000</v>
      </c>
      <c r="Q221" s="15" t="str">
        <f t="shared" si="36"/>
        <v/>
      </c>
      <c r="R221" s="18" t="s">
        <v>31</v>
      </c>
      <c r="S221" s="23">
        <v>43631</v>
      </c>
      <c r="T221" s="20">
        <f>IFERROR(VLOOKUP(S221,'Date Converter'!$A$4:$C$368,3,0),"")</f>
        <v>43663</v>
      </c>
      <c r="U221" s="21">
        <f t="shared" ref="U221:U284" si="37">+T221</f>
        <v>43663</v>
      </c>
      <c r="V221" s="12" t="s">
        <v>1876</v>
      </c>
      <c r="W221" s="18"/>
      <c r="X221" s="18"/>
      <c r="Y221" s="15"/>
      <c r="Z221" s="206"/>
      <c r="AA221" s="17"/>
      <c r="AB221" s="206"/>
      <c r="AC221" s="15"/>
      <c r="AD221" s="15"/>
      <c r="AE221" s="15"/>
      <c r="AF221" s="244"/>
      <c r="AG221" s="15"/>
      <c r="AH221" s="15">
        <f t="shared" si="33"/>
        <v>0</v>
      </c>
      <c r="AI221" s="22">
        <f t="shared" si="34"/>
        <v>6000</v>
      </c>
      <c r="AJ221" s="22">
        <f t="shared" si="35"/>
        <v>30000000</v>
      </c>
    </row>
    <row r="222" spans="1:37" s="165" customFormat="1" hidden="1">
      <c r="A222" s="165" t="s">
        <v>345</v>
      </c>
      <c r="B222" s="13">
        <v>43629</v>
      </c>
      <c r="C222" s="13" t="s">
        <v>23</v>
      </c>
      <c r="D222" s="165" t="s">
        <v>269</v>
      </c>
      <c r="E222" s="198" t="s">
        <v>270</v>
      </c>
      <c r="F222" s="165" t="str">
        <f t="shared" si="30"/>
        <v>TARR_14.16_300_NL2018</v>
      </c>
      <c r="G222" s="165" t="s">
        <v>62</v>
      </c>
      <c r="H222" s="12"/>
      <c r="I222" s="24" t="s">
        <v>47</v>
      </c>
      <c r="J222" s="14">
        <v>300</v>
      </c>
      <c r="K222" s="15" t="s">
        <v>28</v>
      </c>
      <c r="L222" s="15"/>
      <c r="M222" s="16">
        <f t="shared" si="31"/>
        <v>30</v>
      </c>
      <c r="N222" s="15">
        <v>9000</v>
      </c>
      <c r="O222" s="15">
        <v>5000</v>
      </c>
      <c r="P222" s="15">
        <f t="shared" si="32"/>
        <v>45000000</v>
      </c>
      <c r="Q222" s="15" t="str">
        <f t="shared" si="36"/>
        <v/>
      </c>
      <c r="R222" s="18" t="s">
        <v>29</v>
      </c>
      <c r="S222" s="23">
        <v>43647</v>
      </c>
      <c r="T222" s="20">
        <f>IFERROR(VLOOKUP(S222,'Date Converter'!$A$4:$C$368,3,0),"")</f>
        <v>43678</v>
      </c>
      <c r="U222" s="21">
        <f t="shared" si="37"/>
        <v>43678</v>
      </c>
      <c r="V222" s="12"/>
      <c r="W222" s="18"/>
      <c r="X222" s="18"/>
      <c r="Y222" s="15"/>
      <c r="Z222" s="206"/>
      <c r="AA222" s="17"/>
      <c r="AB222" s="206"/>
      <c r="AC222" s="15"/>
      <c r="AD222" s="15"/>
      <c r="AE222" s="15"/>
      <c r="AF222" s="244"/>
      <c r="AG222" s="15"/>
      <c r="AH222" s="15">
        <f t="shared" si="33"/>
        <v>0</v>
      </c>
      <c r="AI222" s="22">
        <f t="shared" si="34"/>
        <v>9000</v>
      </c>
      <c r="AJ222" s="22">
        <f t="shared" si="35"/>
        <v>45000000</v>
      </c>
    </row>
    <row r="223" spans="1:37" s="165" customFormat="1" hidden="1">
      <c r="A223" s="183" t="s">
        <v>1453</v>
      </c>
      <c r="B223" s="188">
        <v>43517</v>
      </c>
      <c r="C223" s="266" t="s">
        <v>23</v>
      </c>
      <c r="D223" s="258" t="s">
        <v>269</v>
      </c>
      <c r="E223" s="201" t="s">
        <v>270</v>
      </c>
      <c r="F223" s="183" t="str">
        <f t="shared" si="30"/>
        <v>SERA_20.22_125_NL2018</v>
      </c>
      <c r="G223" s="183" t="s">
        <v>227</v>
      </c>
      <c r="H223" s="12"/>
      <c r="I223" s="184" t="s">
        <v>74</v>
      </c>
      <c r="J223" s="186">
        <v>125</v>
      </c>
      <c r="K223" s="185" t="s">
        <v>28</v>
      </c>
      <c r="L223" s="185"/>
      <c r="M223" s="187">
        <f t="shared" si="31"/>
        <v>48</v>
      </c>
      <c r="N223" s="15">
        <v>6000</v>
      </c>
      <c r="O223" s="15">
        <v>9300</v>
      </c>
      <c r="P223" s="15">
        <f t="shared" si="32"/>
        <v>55800000</v>
      </c>
      <c r="Q223" s="15" t="str">
        <f t="shared" si="36"/>
        <v/>
      </c>
      <c r="R223" s="189" t="s">
        <v>29</v>
      </c>
      <c r="S223" s="190">
        <v>43709</v>
      </c>
      <c r="T223" s="20">
        <f>IFERROR(VLOOKUP(S223,'Date Converter'!$A$4:$C$368,3,0),"")</f>
        <v>43737</v>
      </c>
      <c r="U223" s="21">
        <f t="shared" si="37"/>
        <v>43737</v>
      </c>
      <c r="V223" s="184" t="s">
        <v>51</v>
      </c>
      <c r="W223" s="18"/>
      <c r="X223" s="18"/>
      <c r="Y223" s="15"/>
      <c r="Z223" s="206"/>
      <c r="AA223" s="15"/>
      <c r="AB223" s="206"/>
      <c r="AC223" s="15"/>
      <c r="AD223" s="15"/>
      <c r="AE223" s="15"/>
      <c r="AF223" s="244"/>
      <c r="AG223" s="15"/>
      <c r="AH223" s="15">
        <f t="shared" si="33"/>
        <v>0</v>
      </c>
      <c r="AI223" s="22">
        <f t="shared" si="34"/>
        <v>6000</v>
      </c>
      <c r="AJ223" s="22">
        <f t="shared" si="35"/>
        <v>55800000</v>
      </c>
    </row>
    <row r="224" spans="1:37" s="165" customFormat="1" hidden="1">
      <c r="A224" s="183" t="s">
        <v>1453</v>
      </c>
      <c r="B224" s="188">
        <v>43573</v>
      </c>
      <c r="C224" s="266" t="s">
        <v>23</v>
      </c>
      <c r="D224" s="258" t="s">
        <v>269</v>
      </c>
      <c r="E224" s="201" t="s">
        <v>270</v>
      </c>
      <c r="F224" s="183" t="str">
        <f t="shared" si="30"/>
        <v>ROBI_20.22_125_NL2018</v>
      </c>
      <c r="G224" s="183" t="s">
        <v>61</v>
      </c>
      <c r="H224" s="12"/>
      <c r="I224" s="12" t="s">
        <v>74</v>
      </c>
      <c r="J224" s="14">
        <v>125</v>
      </c>
      <c r="K224" s="185" t="s">
        <v>28</v>
      </c>
      <c r="L224" s="185"/>
      <c r="M224" s="187">
        <f t="shared" si="31"/>
        <v>24</v>
      </c>
      <c r="N224" s="15">
        <v>3000</v>
      </c>
      <c r="O224" s="15">
        <v>10700</v>
      </c>
      <c r="P224" s="15">
        <f t="shared" si="32"/>
        <v>32100000</v>
      </c>
      <c r="Q224" s="15" t="str">
        <f t="shared" si="36"/>
        <v/>
      </c>
      <c r="R224" s="189" t="s">
        <v>29</v>
      </c>
      <c r="S224" s="190">
        <v>43709</v>
      </c>
      <c r="T224" s="20">
        <f>IFERROR(VLOOKUP(S224,'Date Converter'!$A$4:$C$368,3,0),"")</f>
        <v>43737</v>
      </c>
      <c r="U224" s="21">
        <f t="shared" si="37"/>
        <v>43737</v>
      </c>
      <c r="V224" s="184" t="s">
        <v>51</v>
      </c>
      <c r="W224" s="18"/>
      <c r="X224" s="18"/>
      <c r="Y224" s="15"/>
      <c r="Z224" s="206"/>
      <c r="AA224" s="15"/>
      <c r="AB224" s="206"/>
      <c r="AC224" s="15"/>
      <c r="AD224" s="15"/>
      <c r="AE224" s="15"/>
      <c r="AF224" s="244"/>
      <c r="AG224" s="15"/>
      <c r="AH224" s="15">
        <f t="shared" si="33"/>
        <v>0</v>
      </c>
      <c r="AI224" s="22">
        <f t="shared" si="34"/>
        <v>3000</v>
      </c>
      <c r="AJ224" s="22">
        <f t="shared" si="35"/>
        <v>32100000</v>
      </c>
    </row>
    <row r="225" spans="1:37" s="165" customFormat="1" hidden="1">
      <c r="A225" s="183" t="s">
        <v>1453</v>
      </c>
      <c r="B225" s="188">
        <v>43517</v>
      </c>
      <c r="C225" s="266" t="s">
        <v>23</v>
      </c>
      <c r="D225" s="258" t="s">
        <v>269</v>
      </c>
      <c r="E225" s="201" t="s">
        <v>270</v>
      </c>
      <c r="F225" s="183" t="str">
        <f t="shared" si="30"/>
        <v>PROF_20.22_125_NL2018</v>
      </c>
      <c r="G225" s="183" t="s">
        <v>56</v>
      </c>
      <c r="H225" s="12"/>
      <c r="I225" s="12" t="s">
        <v>74</v>
      </c>
      <c r="J225" s="14">
        <v>125</v>
      </c>
      <c r="K225" s="185" t="s">
        <v>28</v>
      </c>
      <c r="L225" s="185"/>
      <c r="M225" s="187">
        <f t="shared" si="31"/>
        <v>80</v>
      </c>
      <c r="N225" s="15">
        <v>10000</v>
      </c>
      <c r="O225" s="15">
        <v>13000</v>
      </c>
      <c r="P225" s="15">
        <f t="shared" si="32"/>
        <v>130000000</v>
      </c>
      <c r="Q225" s="15" t="str">
        <f t="shared" si="36"/>
        <v/>
      </c>
      <c r="R225" s="189" t="s">
        <v>29</v>
      </c>
      <c r="S225" s="190">
        <v>43709</v>
      </c>
      <c r="T225" s="20">
        <f>IFERROR(VLOOKUP(S225,'Date Converter'!$A$4:$C$368,3,0),"")</f>
        <v>43737</v>
      </c>
      <c r="U225" s="21">
        <f t="shared" si="37"/>
        <v>43737</v>
      </c>
      <c r="V225" s="184" t="s">
        <v>51</v>
      </c>
      <c r="W225" s="18"/>
      <c r="X225" s="18"/>
      <c r="Y225" s="15"/>
      <c r="Z225" s="206"/>
      <c r="AA225" s="15"/>
      <c r="AB225" s="206"/>
      <c r="AC225" s="15"/>
      <c r="AD225" s="15"/>
      <c r="AE225" s="15"/>
      <c r="AF225" s="244"/>
      <c r="AG225" s="15"/>
      <c r="AH225" s="15">
        <f t="shared" si="33"/>
        <v>0</v>
      </c>
      <c r="AI225" s="22">
        <f t="shared" si="34"/>
        <v>10000</v>
      </c>
      <c r="AJ225" s="22">
        <f t="shared" si="35"/>
        <v>130000000</v>
      </c>
    </row>
    <row r="226" spans="1:37" s="165" customFormat="1" hidden="1">
      <c r="A226" s="165" t="s">
        <v>345</v>
      </c>
      <c r="B226" s="13">
        <v>43466</v>
      </c>
      <c r="C226" s="13" t="s">
        <v>23</v>
      </c>
      <c r="D226" s="165" t="s">
        <v>269</v>
      </c>
      <c r="E226" s="165" t="s">
        <v>270</v>
      </c>
      <c r="F226" s="165" t="str">
        <f t="shared" si="30"/>
        <v>PROF_16.18_200_NL2018</v>
      </c>
      <c r="G226" s="165" t="s">
        <v>56</v>
      </c>
      <c r="H226" s="12"/>
      <c r="I226" s="12" t="s">
        <v>35</v>
      </c>
      <c r="J226" s="14">
        <v>200</v>
      </c>
      <c r="K226" s="15" t="s">
        <v>28</v>
      </c>
      <c r="L226" s="15"/>
      <c r="M226" s="16">
        <f t="shared" si="31"/>
        <v>40</v>
      </c>
      <c r="N226" s="15">
        <v>8000</v>
      </c>
      <c r="O226" s="15">
        <v>6700</v>
      </c>
      <c r="P226" s="15">
        <f t="shared" si="32"/>
        <v>53600000</v>
      </c>
      <c r="Q226" s="15" t="str">
        <f t="shared" si="36"/>
        <v>Done</v>
      </c>
      <c r="R226" s="18" t="s">
        <v>44</v>
      </c>
      <c r="S226" s="23">
        <v>43480</v>
      </c>
      <c r="T226" s="20">
        <f>IFERROR(VLOOKUP(S226,'Date Converter'!$A$4:$C$368,3,0),"")</f>
        <v>43515</v>
      </c>
      <c r="U226" s="21">
        <f t="shared" si="37"/>
        <v>43515</v>
      </c>
      <c r="V226" s="12" t="s">
        <v>45</v>
      </c>
      <c r="W226" s="18"/>
      <c r="X226" s="18"/>
      <c r="Y226" s="15"/>
      <c r="Z226" s="206">
        <v>43515</v>
      </c>
      <c r="AA226" s="15">
        <v>8000</v>
      </c>
      <c r="AB226" s="206"/>
      <c r="AC226" s="15"/>
      <c r="AD226" s="15"/>
      <c r="AE226" s="15"/>
      <c r="AF226" s="244"/>
      <c r="AG226" s="15"/>
      <c r="AH226" s="15">
        <f t="shared" si="33"/>
        <v>8000</v>
      </c>
      <c r="AI226" s="22">
        <f t="shared" si="34"/>
        <v>0</v>
      </c>
      <c r="AJ226" s="22">
        <f t="shared" si="35"/>
        <v>0</v>
      </c>
    </row>
    <row r="227" spans="1:37" s="165" customFormat="1" hidden="1">
      <c r="A227" s="165" t="s">
        <v>345</v>
      </c>
      <c r="B227" s="13">
        <v>43466</v>
      </c>
      <c r="C227" s="13" t="s">
        <v>23</v>
      </c>
      <c r="D227" s="165" t="s">
        <v>269</v>
      </c>
      <c r="E227" s="165" t="s">
        <v>270</v>
      </c>
      <c r="F227" s="165" t="str">
        <f t="shared" si="30"/>
        <v>PROF_16.18_200_NL2018</v>
      </c>
      <c r="G227" s="165" t="s">
        <v>56</v>
      </c>
      <c r="H227" s="12"/>
      <c r="I227" s="12" t="s">
        <v>35</v>
      </c>
      <c r="J227" s="14">
        <v>200</v>
      </c>
      <c r="K227" s="15" t="s">
        <v>28</v>
      </c>
      <c r="L227" s="15"/>
      <c r="M227" s="16">
        <f t="shared" si="31"/>
        <v>30</v>
      </c>
      <c r="N227" s="15">
        <v>6000</v>
      </c>
      <c r="O227" s="15">
        <v>6700</v>
      </c>
      <c r="P227" s="15">
        <f t="shared" si="32"/>
        <v>40200000</v>
      </c>
      <c r="Q227" s="15" t="str">
        <f t="shared" si="36"/>
        <v>Done</v>
      </c>
      <c r="R227" s="18" t="s">
        <v>44</v>
      </c>
      <c r="S227" s="23">
        <v>43539</v>
      </c>
      <c r="T227" s="20">
        <f>IFERROR(VLOOKUP(S227,'Date Converter'!$A$4:$C$368,3,0),"")</f>
        <v>43574</v>
      </c>
      <c r="U227" s="21">
        <f t="shared" si="37"/>
        <v>43574</v>
      </c>
      <c r="V227" s="12" t="s">
        <v>57</v>
      </c>
      <c r="W227" s="18" t="s">
        <v>58</v>
      </c>
      <c r="X227" s="18">
        <v>43569</v>
      </c>
      <c r="Y227" s="15"/>
      <c r="Z227" s="206">
        <v>43572</v>
      </c>
      <c r="AA227" s="15">
        <v>6000</v>
      </c>
      <c r="AB227" s="206"/>
      <c r="AC227" s="15"/>
      <c r="AD227" s="15"/>
      <c r="AE227" s="15"/>
      <c r="AF227" s="244"/>
      <c r="AG227" s="15"/>
      <c r="AH227" s="15">
        <f t="shared" si="33"/>
        <v>6000</v>
      </c>
      <c r="AI227" s="22">
        <f t="shared" si="34"/>
        <v>0</v>
      </c>
      <c r="AJ227" s="22">
        <f t="shared" si="35"/>
        <v>0</v>
      </c>
    </row>
    <row r="228" spans="1:37" hidden="1">
      <c r="A228" t="s">
        <v>345</v>
      </c>
      <c r="B228" s="13">
        <v>43466</v>
      </c>
      <c r="C228" s="13" t="s">
        <v>23</v>
      </c>
      <c r="D228" t="s">
        <v>269</v>
      </c>
      <c r="E228" s="198" t="s">
        <v>270</v>
      </c>
      <c r="F228" t="str">
        <f t="shared" si="30"/>
        <v>PROF_16.18_200_NL2018</v>
      </c>
      <c r="G228" s="165" t="s">
        <v>56</v>
      </c>
      <c r="I228" s="12" t="s">
        <v>35</v>
      </c>
      <c r="J228" s="14">
        <v>200</v>
      </c>
      <c r="K228" s="15" t="s">
        <v>28</v>
      </c>
      <c r="M228" s="16">
        <f t="shared" si="31"/>
        <v>25</v>
      </c>
      <c r="N228" s="15">
        <f>40*200-3000</f>
        <v>5000</v>
      </c>
      <c r="O228" s="15">
        <v>6800</v>
      </c>
      <c r="P228" s="15">
        <f t="shared" si="32"/>
        <v>34000000</v>
      </c>
      <c r="Q228" s="15" t="str">
        <f t="shared" si="36"/>
        <v>Done</v>
      </c>
      <c r="R228" s="18" t="s">
        <v>44</v>
      </c>
      <c r="S228" s="23">
        <v>43572</v>
      </c>
      <c r="T228" s="20">
        <f>IFERROR(VLOOKUP(S228,'Date Converter'!$A$4:$C$368,3,0),"")</f>
        <v>43606</v>
      </c>
      <c r="U228" s="21">
        <f t="shared" si="37"/>
        <v>43606</v>
      </c>
      <c r="V228" s="12" t="s">
        <v>479</v>
      </c>
      <c r="Y228" s="15"/>
      <c r="Z228" s="206">
        <v>43604</v>
      </c>
      <c r="AA228" s="17">
        <v>5000</v>
      </c>
      <c r="AB228" s="206"/>
      <c r="AC228" s="15"/>
      <c r="AD228" s="15"/>
      <c r="AE228" s="15"/>
      <c r="AF228" s="244"/>
      <c r="AG228" s="15"/>
      <c r="AH228" s="15">
        <f t="shared" si="33"/>
        <v>5000</v>
      </c>
      <c r="AI228" s="22">
        <f t="shared" si="34"/>
        <v>0</v>
      </c>
      <c r="AJ228" s="22">
        <f t="shared" si="35"/>
        <v>0</v>
      </c>
    </row>
    <row r="229" spans="1:37" hidden="1">
      <c r="A229" t="s">
        <v>345</v>
      </c>
      <c r="B229" s="13">
        <v>43629</v>
      </c>
      <c r="C229" s="13" t="s">
        <v>23</v>
      </c>
      <c r="D229" t="s">
        <v>269</v>
      </c>
      <c r="E229" s="198" t="s">
        <v>270</v>
      </c>
      <c r="F229" t="str">
        <f t="shared" si="30"/>
        <v>PROF_16.18_200_NL2018</v>
      </c>
      <c r="G229" s="165" t="s">
        <v>56</v>
      </c>
      <c r="I229" s="24" t="s">
        <v>35</v>
      </c>
      <c r="J229" s="14">
        <v>200</v>
      </c>
      <c r="K229" s="15" t="s">
        <v>28</v>
      </c>
      <c r="M229" s="16">
        <f t="shared" si="31"/>
        <v>40</v>
      </c>
      <c r="N229" s="15">
        <v>8000</v>
      </c>
      <c r="O229" s="15">
        <v>8100</v>
      </c>
      <c r="P229" s="15">
        <f t="shared" si="32"/>
        <v>64800000</v>
      </c>
      <c r="Q229" s="15" t="str">
        <f t="shared" si="36"/>
        <v/>
      </c>
      <c r="R229" s="18" t="s">
        <v>29</v>
      </c>
      <c r="S229" s="23">
        <v>43647</v>
      </c>
      <c r="T229" s="20">
        <f>IFERROR(VLOOKUP(S229,'Date Converter'!$A$4:$C$368,3,0),"")</f>
        <v>43678</v>
      </c>
      <c r="U229" s="21">
        <f t="shared" si="37"/>
        <v>43678</v>
      </c>
      <c r="Y229" s="15"/>
      <c r="AA229" s="17"/>
      <c r="AB229" s="206"/>
      <c r="AC229" s="15"/>
      <c r="AD229" s="15"/>
      <c r="AE229" s="15"/>
      <c r="AF229" s="244"/>
      <c r="AG229" s="15"/>
      <c r="AH229" s="15">
        <f t="shared" si="33"/>
        <v>0</v>
      </c>
      <c r="AI229" s="22">
        <f t="shared" si="34"/>
        <v>8000</v>
      </c>
      <c r="AJ229" s="22">
        <f t="shared" si="35"/>
        <v>64800000</v>
      </c>
    </row>
    <row r="230" spans="1:37" hidden="1">
      <c r="A230" t="s">
        <v>345</v>
      </c>
      <c r="B230" s="13">
        <v>43507</v>
      </c>
      <c r="C230" s="13" t="s">
        <v>23</v>
      </c>
      <c r="D230" t="s">
        <v>269</v>
      </c>
      <c r="E230" s="165" t="s">
        <v>270</v>
      </c>
      <c r="F230" s="165" t="str">
        <f t="shared" si="30"/>
        <v>PAVI_12.14_400_NL2018</v>
      </c>
      <c r="G230" s="165" t="s">
        <v>138</v>
      </c>
      <c r="I230" s="12" t="s">
        <v>113</v>
      </c>
      <c r="J230" s="14">
        <v>400</v>
      </c>
      <c r="K230" s="15" t="s">
        <v>28</v>
      </c>
      <c r="M230" s="16">
        <f t="shared" si="31"/>
        <v>20</v>
      </c>
      <c r="N230" s="15">
        <v>8000</v>
      </c>
      <c r="O230" s="15">
        <v>2800</v>
      </c>
      <c r="P230" s="15">
        <f t="shared" si="32"/>
        <v>22400000</v>
      </c>
      <c r="Q230" s="15" t="str">
        <f t="shared" si="36"/>
        <v>Done</v>
      </c>
      <c r="R230" s="18" t="s">
        <v>44</v>
      </c>
      <c r="S230" s="23">
        <v>43511</v>
      </c>
      <c r="T230" s="20">
        <f>IFERROR(VLOOKUP(S230,'Date Converter'!$A$4:$C$368,3,0),"")</f>
        <v>43544</v>
      </c>
      <c r="U230" s="21">
        <f t="shared" si="37"/>
        <v>43544</v>
      </c>
      <c r="V230" s="12" t="s">
        <v>32</v>
      </c>
      <c r="W230" s="18" t="s">
        <v>39</v>
      </c>
      <c r="X230" s="18">
        <v>43541</v>
      </c>
      <c r="Y230" s="15"/>
      <c r="Z230" s="206">
        <v>43543</v>
      </c>
      <c r="AA230" s="15">
        <v>8000</v>
      </c>
      <c r="AB230" s="206"/>
      <c r="AC230" s="15"/>
      <c r="AD230" s="15"/>
      <c r="AE230" s="15"/>
      <c r="AF230" s="244"/>
      <c r="AG230" s="15"/>
      <c r="AH230" s="15">
        <f t="shared" si="33"/>
        <v>8000</v>
      </c>
      <c r="AI230" s="22">
        <f t="shared" si="34"/>
        <v>0</v>
      </c>
      <c r="AJ230" s="22">
        <f t="shared" si="35"/>
        <v>0</v>
      </c>
      <c r="AK230" s="165"/>
    </row>
    <row r="231" spans="1:37" hidden="1">
      <c r="A231" t="s">
        <v>345</v>
      </c>
      <c r="B231" s="13">
        <v>43507</v>
      </c>
      <c r="C231" s="13" t="s">
        <v>23</v>
      </c>
      <c r="D231" t="s">
        <v>269</v>
      </c>
      <c r="E231" s="165" t="s">
        <v>270</v>
      </c>
      <c r="F231" s="165" t="str">
        <f t="shared" si="30"/>
        <v>PAVI_12.14_400_NL2018</v>
      </c>
      <c r="G231" s="165" t="s">
        <v>138</v>
      </c>
      <c r="I231" s="12" t="s">
        <v>113</v>
      </c>
      <c r="J231" s="14">
        <v>400</v>
      </c>
      <c r="K231" s="15" t="s">
        <v>28</v>
      </c>
      <c r="M231" s="16">
        <f t="shared" si="31"/>
        <v>0</v>
      </c>
      <c r="N231" s="32">
        <f>8000-8000</f>
        <v>0</v>
      </c>
      <c r="O231" s="15">
        <v>2800</v>
      </c>
      <c r="P231" s="15">
        <f t="shared" si="32"/>
        <v>0</v>
      </c>
      <c r="Q231" s="15" t="str">
        <f t="shared" si="36"/>
        <v>Canceled</v>
      </c>
      <c r="R231" s="18" t="s">
        <v>71</v>
      </c>
      <c r="S231" s="23">
        <v>43539</v>
      </c>
      <c r="T231" s="20">
        <f>IFERROR(VLOOKUP(S231,'Date Converter'!$A$4:$C$368,3,0),"")</f>
        <v>43574</v>
      </c>
      <c r="U231" s="21">
        <f t="shared" si="37"/>
        <v>43574</v>
      </c>
      <c r="V231" s="12" t="s">
        <v>57</v>
      </c>
      <c r="W231" s="18" t="s">
        <v>132</v>
      </c>
      <c r="X231" s="18">
        <v>43569</v>
      </c>
      <c r="Y231" s="15"/>
      <c r="AA231" s="15">
        <v>0</v>
      </c>
      <c r="AB231" s="206"/>
      <c r="AC231" s="15"/>
      <c r="AD231" s="15"/>
      <c r="AE231" s="15"/>
      <c r="AF231" s="244"/>
      <c r="AG231" s="15"/>
      <c r="AH231" s="15">
        <f t="shared" si="33"/>
        <v>0</v>
      </c>
      <c r="AI231" s="22">
        <f t="shared" si="34"/>
        <v>0</v>
      </c>
      <c r="AJ231" s="22">
        <f t="shared" si="35"/>
        <v>0</v>
      </c>
      <c r="AK231" s="165" t="s">
        <v>272</v>
      </c>
    </row>
    <row r="232" spans="1:37" hidden="1">
      <c r="A232" t="s">
        <v>345</v>
      </c>
      <c r="B232" s="13">
        <v>43629</v>
      </c>
      <c r="C232" s="13" t="s">
        <v>23</v>
      </c>
      <c r="D232" t="s">
        <v>269</v>
      </c>
      <c r="E232" s="198" t="s">
        <v>270</v>
      </c>
      <c r="F232" t="str">
        <f t="shared" si="30"/>
        <v>PAVI_12.14_400_NL2018</v>
      </c>
      <c r="G232" s="165" t="s">
        <v>138</v>
      </c>
      <c r="I232" s="24" t="s">
        <v>113</v>
      </c>
      <c r="J232" s="14">
        <v>400</v>
      </c>
      <c r="K232" s="15" t="s">
        <v>28</v>
      </c>
      <c r="M232" s="16">
        <f t="shared" si="31"/>
        <v>10</v>
      </c>
      <c r="N232" s="15">
        <v>4000</v>
      </c>
      <c r="O232" s="15">
        <v>3000</v>
      </c>
      <c r="P232" s="15">
        <f t="shared" si="32"/>
        <v>12000000</v>
      </c>
      <c r="Q232" s="15" t="str">
        <f t="shared" si="36"/>
        <v/>
      </c>
      <c r="R232" s="18" t="s">
        <v>31</v>
      </c>
      <c r="S232" s="23">
        <v>43631</v>
      </c>
      <c r="T232" s="20">
        <f>IFERROR(VLOOKUP(S232,'Date Converter'!$A$4:$C$368,3,0),"")</f>
        <v>43663</v>
      </c>
      <c r="U232" s="21">
        <f t="shared" si="37"/>
        <v>43663</v>
      </c>
      <c r="V232" s="12" t="s">
        <v>1876</v>
      </c>
      <c r="Y232" s="15"/>
      <c r="AA232" s="17"/>
      <c r="AB232" s="206"/>
      <c r="AC232" s="15"/>
      <c r="AD232" s="15"/>
      <c r="AE232" s="15"/>
      <c r="AF232" s="244"/>
      <c r="AG232" s="15"/>
      <c r="AH232" s="15">
        <f t="shared" si="33"/>
        <v>0</v>
      </c>
      <c r="AI232" s="22">
        <f t="shared" si="34"/>
        <v>4000</v>
      </c>
      <c r="AJ232" s="22">
        <f t="shared" si="35"/>
        <v>12000000</v>
      </c>
      <c r="AK232" s="165"/>
    </row>
    <row r="233" spans="1:37" hidden="1">
      <c r="A233" t="s">
        <v>345</v>
      </c>
      <c r="B233" s="13">
        <v>43517</v>
      </c>
      <c r="C233" s="13" t="s">
        <v>23</v>
      </c>
      <c r="D233" t="s">
        <v>269</v>
      </c>
      <c r="E233" s="165" t="s">
        <v>270</v>
      </c>
      <c r="F233" t="str">
        <f t="shared" si="30"/>
        <v>NELL_12.14_400_NL2018</v>
      </c>
      <c r="G233" s="165" t="s">
        <v>131</v>
      </c>
      <c r="I233" s="24" t="s">
        <v>113</v>
      </c>
      <c r="J233" s="14">
        <v>400</v>
      </c>
      <c r="K233" s="15" t="s">
        <v>28</v>
      </c>
      <c r="M233" s="16">
        <f t="shared" si="31"/>
        <v>0</v>
      </c>
      <c r="N233" s="32">
        <f>4400-4400</f>
        <v>0</v>
      </c>
      <c r="O233" s="15">
        <v>3000</v>
      </c>
      <c r="P233" s="15">
        <f t="shared" si="32"/>
        <v>0</v>
      </c>
      <c r="Q233" s="15" t="str">
        <f t="shared" si="36"/>
        <v>Canceled</v>
      </c>
      <c r="R233" s="18" t="s">
        <v>71</v>
      </c>
      <c r="S233" s="23">
        <v>43537</v>
      </c>
      <c r="T233" s="20">
        <f>IFERROR(VLOOKUP(S233,'Date Converter'!$A$4:$C$368,3,0),"")</f>
        <v>43572</v>
      </c>
      <c r="U233" s="21">
        <f t="shared" si="37"/>
        <v>43572</v>
      </c>
      <c r="V233" s="12" t="s">
        <v>57</v>
      </c>
      <c r="W233" s="18" t="s">
        <v>132</v>
      </c>
      <c r="X233" s="18">
        <v>43569</v>
      </c>
      <c r="Y233" s="15"/>
      <c r="AA233" s="15">
        <v>0</v>
      </c>
      <c r="AB233" s="206"/>
      <c r="AC233" s="15"/>
      <c r="AD233" s="15"/>
      <c r="AE233" s="15"/>
      <c r="AF233" s="244"/>
      <c r="AG233" s="15"/>
      <c r="AH233" s="15">
        <f t="shared" si="33"/>
        <v>0</v>
      </c>
      <c r="AI233" s="22">
        <f t="shared" si="34"/>
        <v>0</v>
      </c>
      <c r="AJ233" s="22">
        <f t="shared" si="35"/>
        <v>0</v>
      </c>
      <c r="AK233" s="165"/>
    </row>
    <row r="234" spans="1:37" hidden="1">
      <c r="A234" s="183" t="s">
        <v>1453</v>
      </c>
      <c r="B234" s="188">
        <v>43517</v>
      </c>
      <c r="C234" s="266" t="s">
        <v>23</v>
      </c>
      <c r="D234" s="258" t="s">
        <v>269</v>
      </c>
      <c r="E234" s="201" t="s">
        <v>270</v>
      </c>
      <c r="F234" s="183" t="str">
        <f t="shared" si="30"/>
        <v>MANI_22.24_100_NL2018</v>
      </c>
      <c r="G234" s="183" t="s">
        <v>105</v>
      </c>
      <c r="I234" s="184" t="s">
        <v>78</v>
      </c>
      <c r="J234" s="186">
        <v>100</v>
      </c>
      <c r="K234" s="185" t="s">
        <v>28</v>
      </c>
      <c r="L234" s="185"/>
      <c r="M234" s="187">
        <f t="shared" si="31"/>
        <v>70</v>
      </c>
      <c r="N234" s="15">
        <v>7000</v>
      </c>
      <c r="O234" s="15">
        <v>15200</v>
      </c>
      <c r="P234" s="15">
        <f t="shared" si="32"/>
        <v>106400000</v>
      </c>
      <c r="Q234" s="15" t="str">
        <f t="shared" si="36"/>
        <v/>
      </c>
      <c r="R234" s="189" t="s">
        <v>29</v>
      </c>
      <c r="S234" s="190">
        <v>43709</v>
      </c>
      <c r="T234" s="20">
        <f>IFERROR(VLOOKUP(S234,'Date Converter'!$A$4:$C$368,3,0),"")</f>
        <v>43737</v>
      </c>
      <c r="U234" s="21">
        <f t="shared" si="37"/>
        <v>43737</v>
      </c>
      <c r="V234" s="184" t="s">
        <v>51</v>
      </c>
      <c r="Y234" s="15"/>
      <c r="AA234" s="15"/>
      <c r="AB234" s="206"/>
      <c r="AC234" s="15"/>
      <c r="AD234" s="15"/>
      <c r="AE234" s="15"/>
      <c r="AF234" s="244"/>
      <c r="AG234" s="15"/>
      <c r="AH234" s="15">
        <f t="shared" si="33"/>
        <v>0</v>
      </c>
      <c r="AI234" s="22">
        <f t="shared" si="34"/>
        <v>7000</v>
      </c>
      <c r="AJ234" s="22">
        <f t="shared" si="35"/>
        <v>106400000</v>
      </c>
      <c r="AK234" s="165"/>
    </row>
    <row r="235" spans="1:37" hidden="1">
      <c r="A235" s="183" t="s">
        <v>1453</v>
      </c>
      <c r="B235" s="188">
        <v>43517</v>
      </c>
      <c r="C235" s="266" t="s">
        <v>23</v>
      </c>
      <c r="D235" s="258" t="s">
        <v>269</v>
      </c>
      <c r="E235" s="201" t="s">
        <v>270</v>
      </c>
      <c r="F235" s="183" t="str">
        <f t="shared" si="30"/>
        <v>MANI_20.22_125_NL2018</v>
      </c>
      <c r="G235" s="183" t="s">
        <v>105</v>
      </c>
      <c r="I235" s="184" t="s">
        <v>74</v>
      </c>
      <c r="J235" s="186">
        <v>125</v>
      </c>
      <c r="K235" s="185" t="s">
        <v>28</v>
      </c>
      <c r="L235" s="185"/>
      <c r="M235" s="187">
        <f t="shared" si="31"/>
        <v>32</v>
      </c>
      <c r="N235" s="15">
        <v>4000</v>
      </c>
      <c r="O235" s="15">
        <v>13500</v>
      </c>
      <c r="P235" s="15">
        <f t="shared" si="32"/>
        <v>54000000</v>
      </c>
      <c r="Q235" s="15" t="str">
        <f t="shared" si="36"/>
        <v/>
      </c>
      <c r="R235" s="189" t="s">
        <v>29</v>
      </c>
      <c r="S235" s="190">
        <v>43709</v>
      </c>
      <c r="T235" s="20">
        <f>IFERROR(VLOOKUP(S235,'Date Converter'!$A$4:$C$368,3,0),"")</f>
        <v>43737</v>
      </c>
      <c r="U235" s="21">
        <f t="shared" si="37"/>
        <v>43737</v>
      </c>
      <c r="V235" s="184" t="s">
        <v>51</v>
      </c>
      <c r="Y235" s="15"/>
      <c r="AA235" s="15"/>
      <c r="AB235" s="206"/>
      <c r="AC235" s="15"/>
      <c r="AD235" s="15"/>
      <c r="AE235" s="15"/>
      <c r="AF235" s="244"/>
      <c r="AG235" s="15"/>
      <c r="AH235" s="15">
        <f t="shared" si="33"/>
        <v>0</v>
      </c>
      <c r="AI235" s="22">
        <f t="shared" si="34"/>
        <v>4000</v>
      </c>
      <c r="AJ235" s="22">
        <f t="shared" si="35"/>
        <v>54000000</v>
      </c>
      <c r="AK235" s="165"/>
    </row>
    <row r="236" spans="1:37" hidden="1">
      <c r="A236" t="s">
        <v>345</v>
      </c>
      <c r="B236" s="13">
        <v>43629</v>
      </c>
      <c r="C236" s="13" t="s">
        <v>23</v>
      </c>
      <c r="D236" s="165" t="s">
        <v>269</v>
      </c>
      <c r="E236" s="198" t="s">
        <v>270</v>
      </c>
      <c r="F236" t="str">
        <f t="shared" si="30"/>
        <v>MANI_16.18_200_NL2018</v>
      </c>
      <c r="G236" s="165" t="s">
        <v>105</v>
      </c>
      <c r="I236" s="24" t="s">
        <v>35</v>
      </c>
      <c r="J236" s="14">
        <v>200</v>
      </c>
      <c r="K236" s="15" t="s">
        <v>28</v>
      </c>
      <c r="M236" s="16">
        <f t="shared" si="31"/>
        <v>30</v>
      </c>
      <c r="N236" s="15">
        <v>6000</v>
      </c>
      <c r="O236" s="15">
        <v>7100</v>
      </c>
      <c r="P236" s="15">
        <f t="shared" si="32"/>
        <v>42600000</v>
      </c>
      <c r="Q236" s="15" t="str">
        <f t="shared" si="36"/>
        <v/>
      </c>
      <c r="R236" s="18" t="s">
        <v>31</v>
      </c>
      <c r="S236" s="23">
        <v>43631</v>
      </c>
      <c r="T236" s="20">
        <f>IFERROR(VLOOKUP(S236,'Date Converter'!$A$4:$C$368,3,0),"")</f>
        <v>43663</v>
      </c>
      <c r="U236" s="21">
        <f t="shared" si="37"/>
        <v>43663</v>
      </c>
      <c r="V236" s="12" t="s">
        <v>1876</v>
      </c>
      <c r="Y236" s="15"/>
      <c r="AA236" s="17"/>
      <c r="AB236" s="206"/>
      <c r="AC236" s="15"/>
      <c r="AD236" s="15"/>
      <c r="AE236" s="15"/>
      <c r="AF236" s="244"/>
      <c r="AG236" s="15"/>
      <c r="AH236" s="15">
        <f t="shared" si="33"/>
        <v>0</v>
      </c>
      <c r="AI236" s="22">
        <f t="shared" si="34"/>
        <v>6000</v>
      </c>
      <c r="AJ236" s="22">
        <f t="shared" si="35"/>
        <v>42600000</v>
      </c>
      <c r="AK236" s="165"/>
    </row>
    <row r="237" spans="1:37" hidden="1">
      <c r="A237" t="s">
        <v>345</v>
      </c>
      <c r="B237" s="13">
        <v>43629</v>
      </c>
      <c r="C237" s="13" t="s">
        <v>23</v>
      </c>
      <c r="D237" s="165" t="s">
        <v>269</v>
      </c>
      <c r="E237" s="198" t="s">
        <v>270</v>
      </c>
      <c r="F237" t="str">
        <f t="shared" si="30"/>
        <v>MANI_16.18_200_NL2018</v>
      </c>
      <c r="G237" s="165" t="s">
        <v>105</v>
      </c>
      <c r="I237" s="24" t="s">
        <v>35</v>
      </c>
      <c r="J237" s="14">
        <v>200</v>
      </c>
      <c r="K237" s="15" t="s">
        <v>28</v>
      </c>
      <c r="M237" s="16">
        <f t="shared" si="31"/>
        <v>40</v>
      </c>
      <c r="N237" s="15">
        <v>8000</v>
      </c>
      <c r="O237" s="15">
        <v>7200</v>
      </c>
      <c r="P237" s="15">
        <f t="shared" si="32"/>
        <v>57600000</v>
      </c>
      <c r="Q237" s="15" t="str">
        <f t="shared" si="36"/>
        <v/>
      </c>
      <c r="R237" s="18" t="s">
        <v>29</v>
      </c>
      <c r="S237" s="23">
        <v>43647</v>
      </c>
      <c r="T237" s="20">
        <f>IFERROR(VLOOKUP(S237,'Date Converter'!$A$4:$C$368,3,0),"")</f>
        <v>43678</v>
      </c>
      <c r="U237" s="21">
        <f t="shared" si="37"/>
        <v>43678</v>
      </c>
      <c r="Y237" s="15"/>
      <c r="AA237" s="17"/>
      <c r="AB237" s="206"/>
      <c r="AC237" s="15"/>
      <c r="AD237" s="15"/>
      <c r="AE237" s="15"/>
      <c r="AF237" s="244"/>
      <c r="AG237" s="15"/>
      <c r="AH237" s="15">
        <f t="shared" si="33"/>
        <v>0</v>
      </c>
      <c r="AI237" s="22">
        <f t="shared" si="34"/>
        <v>8000</v>
      </c>
      <c r="AJ237" s="22">
        <f t="shared" si="35"/>
        <v>57600000</v>
      </c>
      <c r="AK237" s="165"/>
    </row>
    <row r="238" spans="1:37" s="165" customFormat="1" hidden="1">
      <c r="A238" s="165" t="s">
        <v>345</v>
      </c>
      <c r="B238" s="13">
        <v>43466</v>
      </c>
      <c r="C238" s="13" t="s">
        <v>23</v>
      </c>
      <c r="D238" s="165" t="s">
        <v>269</v>
      </c>
      <c r="E238" s="198" t="s">
        <v>270</v>
      </c>
      <c r="F238" s="165" t="str">
        <f t="shared" si="30"/>
        <v>MALD_16.18_200_NL2018</v>
      </c>
      <c r="G238" s="165" t="s">
        <v>478</v>
      </c>
      <c r="H238" s="12"/>
      <c r="I238" s="12" t="s">
        <v>35</v>
      </c>
      <c r="J238" s="14">
        <v>200</v>
      </c>
      <c r="K238" s="15" t="s">
        <v>28</v>
      </c>
      <c r="L238" s="15"/>
      <c r="M238" s="16">
        <f t="shared" si="31"/>
        <v>20</v>
      </c>
      <c r="N238" s="25">
        <f>40*200-4000</f>
        <v>4000</v>
      </c>
      <c r="O238" s="15">
        <v>5200</v>
      </c>
      <c r="P238" s="15">
        <f t="shared" si="32"/>
        <v>20800000</v>
      </c>
      <c r="Q238" s="15" t="str">
        <f t="shared" si="36"/>
        <v>Done</v>
      </c>
      <c r="R238" s="18" t="s">
        <v>44</v>
      </c>
      <c r="S238" s="23">
        <v>43572</v>
      </c>
      <c r="T238" s="20">
        <f>IFERROR(VLOOKUP(S238,'Date Converter'!$A$4:$C$368,3,0),"")</f>
        <v>43606</v>
      </c>
      <c r="U238" s="21">
        <f t="shared" si="37"/>
        <v>43606</v>
      </c>
      <c r="V238" s="12" t="s">
        <v>479</v>
      </c>
      <c r="W238" s="18"/>
      <c r="X238" s="18"/>
      <c r="Y238" s="15"/>
      <c r="Z238" s="206">
        <v>43604</v>
      </c>
      <c r="AA238" s="17">
        <v>4000</v>
      </c>
      <c r="AB238" s="206"/>
      <c r="AC238" s="15"/>
      <c r="AD238" s="15"/>
      <c r="AE238" s="15"/>
      <c r="AF238" s="244"/>
      <c r="AG238" s="15"/>
      <c r="AH238" s="15">
        <f t="shared" si="33"/>
        <v>4000</v>
      </c>
      <c r="AI238" s="22">
        <f t="shared" si="34"/>
        <v>0</v>
      </c>
      <c r="AJ238" s="22">
        <f t="shared" si="35"/>
        <v>0</v>
      </c>
    </row>
    <row r="239" spans="1:37" hidden="1">
      <c r="A239" t="s">
        <v>345</v>
      </c>
      <c r="B239" s="13">
        <v>43629</v>
      </c>
      <c r="C239" s="13" t="s">
        <v>23</v>
      </c>
      <c r="D239" t="s">
        <v>269</v>
      </c>
      <c r="E239" s="198" t="s">
        <v>270</v>
      </c>
      <c r="F239" t="str">
        <f t="shared" si="30"/>
        <v>MALD_14.16_300_NL2018</v>
      </c>
      <c r="G239" s="165" t="s">
        <v>478</v>
      </c>
      <c r="I239" s="24" t="s">
        <v>47</v>
      </c>
      <c r="J239" s="14">
        <v>300</v>
      </c>
      <c r="K239" s="15" t="s">
        <v>28</v>
      </c>
      <c r="M239" s="16">
        <f t="shared" si="31"/>
        <v>20</v>
      </c>
      <c r="N239" s="15">
        <v>6000</v>
      </c>
      <c r="O239" s="15">
        <v>4500</v>
      </c>
      <c r="P239" s="15">
        <f t="shared" si="32"/>
        <v>27000000</v>
      </c>
      <c r="Q239" s="15" t="str">
        <f t="shared" si="36"/>
        <v/>
      </c>
      <c r="R239" s="18" t="s">
        <v>31</v>
      </c>
      <c r="S239" s="23">
        <v>43631</v>
      </c>
      <c r="T239" s="20">
        <f>IFERROR(VLOOKUP(S239,'Date Converter'!$A$4:$C$368,3,0),"")</f>
        <v>43663</v>
      </c>
      <c r="U239" s="21">
        <f t="shared" si="37"/>
        <v>43663</v>
      </c>
      <c r="V239" s="12" t="s">
        <v>1876</v>
      </c>
      <c r="Y239" s="15"/>
      <c r="AA239" s="17"/>
      <c r="AB239" s="206"/>
      <c r="AC239" s="15"/>
      <c r="AD239" s="15"/>
      <c r="AE239" s="15"/>
      <c r="AF239" s="244"/>
      <c r="AG239" s="15"/>
      <c r="AH239" s="15">
        <f t="shared" si="33"/>
        <v>0</v>
      </c>
      <c r="AI239" s="22">
        <f t="shared" si="34"/>
        <v>6000</v>
      </c>
      <c r="AJ239" s="22">
        <f t="shared" si="35"/>
        <v>27000000</v>
      </c>
      <c r="AK239" s="165"/>
    </row>
    <row r="240" spans="1:37" ht="15" hidden="1" customHeight="1">
      <c r="A240" s="183" t="s">
        <v>1453</v>
      </c>
      <c r="B240" s="188">
        <v>43606</v>
      </c>
      <c r="C240" s="266" t="s">
        <v>23</v>
      </c>
      <c r="D240" s="258" t="s">
        <v>269</v>
      </c>
      <c r="E240" s="201" t="s">
        <v>270</v>
      </c>
      <c r="F240" s="183" t="str">
        <f t="shared" si="30"/>
        <v>INDI_18.20_150_NL2018</v>
      </c>
      <c r="G240" s="183" t="s">
        <v>154</v>
      </c>
      <c r="I240" s="12" t="s">
        <v>27</v>
      </c>
      <c r="J240" s="14">
        <v>150</v>
      </c>
      <c r="K240" s="185" t="s">
        <v>28</v>
      </c>
      <c r="L240" s="185"/>
      <c r="M240" s="187">
        <f t="shared" si="31"/>
        <v>20</v>
      </c>
      <c r="N240" s="15">
        <v>3000</v>
      </c>
      <c r="O240" s="15">
        <v>10100</v>
      </c>
      <c r="P240" s="15">
        <f t="shared" si="32"/>
        <v>30300000</v>
      </c>
      <c r="Q240" s="15" t="str">
        <f t="shared" si="36"/>
        <v/>
      </c>
      <c r="R240" s="189" t="s">
        <v>29</v>
      </c>
      <c r="S240" s="190">
        <v>43709</v>
      </c>
      <c r="T240" s="20">
        <f>IFERROR(VLOOKUP(S240,'Date Converter'!$A$4:$C$368,3,0),"")</f>
        <v>43737</v>
      </c>
      <c r="U240" s="21">
        <f t="shared" si="37"/>
        <v>43737</v>
      </c>
      <c r="V240" s="184" t="s">
        <v>51</v>
      </c>
      <c r="Y240" s="15"/>
      <c r="AA240" s="15"/>
      <c r="AB240" s="206"/>
      <c r="AC240" s="15"/>
      <c r="AD240" s="15"/>
      <c r="AE240" s="15"/>
      <c r="AF240" s="244"/>
      <c r="AG240" s="15"/>
      <c r="AH240" s="15">
        <f t="shared" si="33"/>
        <v>0</v>
      </c>
      <c r="AI240" s="22">
        <f t="shared" si="34"/>
        <v>3000</v>
      </c>
      <c r="AJ240" s="22">
        <f t="shared" si="35"/>
        <v>30300000</v>
      </c>
      <c r="AK240" s="165"/>
    </row>
    <row r="241" spans="1:37" hidden="1">
      <c r="A241" t="s">
        <v>345</v>
      </c>
      <c r="B241" s="13">
        <v>43629</v>
      </c>
      <c r="C241" s="13" t="s">
        <v>23</v>
      </c>
      <c r="D241" t="s">
        <v>269</v>
      </c>
      <c r="E241" s="198" t="s">
        <v>270</v>
      </c>
      <c r="F241" t="str">
        <f t="shared" si="30"/>
        <v>DALI_14.16_300_NL2018</v>
      </c>
      <c r="G241" s="165" t="s">
        <v>46</v>
      </c>
      <c r="I241" s="24" t="s">
        <v>47</v>
      </c>
      <c r="J241" s="14">
        <v>300</v>
      </c>
      <c r="K241" s="15" t="s">
        <v>28</v>
      </c>
      <c r="M241" s="16">
        <f t="shared" si="31"/>
        <v>20</v>
      </c>
      <c r="N241" s="15">
        <v>6000</v>
      </c>
      <c r="O241" s="15">
        <v>5600</v>
      </c>
      <c r="P241" s="15">
        <f t="shared" si="32"/>
        <v>33600000</v>
      </c>
      <c r="Q241" s="15" t="str">
        <f t="shared" si="36"/>
        <v/>
      </c>
      <c r="R241" s="18" t="s">
        <v>31</v>
      </c>
      <c r="S241" s="23">
        <v>43631</v>
      </c>
      <c r="T241" s="20">
        <f>IFERROR(VLOOKUP(S241,'Date Converter'!$A$4:$C$368,3,0),"")</f>
        <v>43663</v>
      </c>
      <c r="U241" s="21">
        <f t="shared" si="37"/>
        <v>43663</v>
      </c>
      <c r="V241" s="12" t="s">
        <v>1876</v>
      </c>
      <c r="Y241" s="15"/>
      <c r="AA241" s="17"/>
      <c r="AB241" s="206"/>
      <c r="AC241" s="15"/>
      <c r="AD241" s="15"/>
      <c r="AE241" s="15"/>
      <c r="AF241" s="244"/>
      <c r="AG241" s="15"/>
      <c r="AH241" s="15">
        <f t="shared" si="33"/>
        <v>0</v>
      </c>
      <c r="AI241" s="22">
        <f t="shared" si="34"/>
        <v>6000</v>
      </c>
      <c r="AJ241" s="22">
        <f t="shared" si="35"/>
        <v>33600000</v>
      </c>
      <c r="AK241" s="165"/>
    </row>
    <row r="242" spans="1:37" s="165" customFormat="1" hidden="1">
      <c r="A242" s="183" t="s">
        <v>1453</v>
      </c>
      <c r="B242" s="188">
        <v>43517</v>
      </c>
      <c r="C242" s="266" t="s">
        <v>23</v>
      </c>
      <c r="D242" s="258" t="s">
        <v>269</v>
      </c>
      <c r="E242" s="201" t="s">
        <v>270</v>
      </c>
      <c r="F242" s="183" t="str">
        <f t="shared" si="30"/>
        <v>CONC_20.22_125_NL2018</v>
      </c>
      <c r="G242" s="183" t="s">
        <v>40</v>
      </c>
      <c r="H242" s="184"/>
      <c r="I242" s="184" t="s">
        <v>74</v>
      </c>
      <c r="J242" s="186">
        <v>125</v>
      </c>
      <c r="K242" s="185" t="s">
        <v>28</v>
      </c>
      <c r="L242" s="185"/>
      <c r="M242" s="187">
        <f t="shared" si="31"/>
        <v>64</v>
      </c>
      <c r="N242" s="185">
        <v>8000</v>
      </c>
      <c r="O242" s="185">
        <v>10500</v>
      </c>
      <c r="P242" s="185">
        <f t="shared" si="32"/>
        <v>84000000</v>
      </c>
      <c r="Q242" s="15" t="str">
        <f t="shared" si="36"/>
        <v/>
      </c>
      <c r="R242" s="189" t="s">
        <v>29</v>
      </c>
      <c r="S242" s="190">
        <v>43709</v>
      </c>
      <c r="T242" s="20">
        <f>IFERROR(VLOOKUP(S242,'Date Converter'!$A$4:$C$368,3,0),"")</f>
        <v>43737</v>
      </c>
      <c r="U242" s="21">
        <f t="shared" si="37"/>
        <v>43737</v>
      </c>
      <c r="V242" s="184" t="s">
        <v>51</v>
      </c>
      <c r="W242" s="18"/>
      <c r="X242" s="18"/>
      <c r="Y242" s="15"/>
      <c r="Z242" s="206"/>
      <c r="AA242" s="15"/>
      <c r="AB242" s="206"/>
      <c r="AC242" s="15"/>
      <c r="AD242" s="15"/>
      <c r="AE242" s="15"/>
      <c r="AF242" s="244"/>
      <c r="AG242" s="15"/>
      <c r="AH242" s="15">
        <f t="shared" si="33"/>
        <v>0</v>
      </c>
      <c r="AI242" s="22">
        <f t="shared" si="34"/>
        <v>8000</v>
      </c>
      <c r="AJ242" s="22">
        <f t="shared" si="35"/>
        <v>84000000</v>
      </c>
    </row>
    <row r="243" spans="1:37" s="165" customFormat="1" hidden="1">
      <c r="A243" s="165" t="s">
        <v>345</v>
      </c>
      <c r="B243" s="13">
        <v>43466</v>
      </c>
      <c r="C243" s="13" t="s">
        <v>23</v>
      </c>
      <c r="D243" s="165" t="s">
        <v>269</v>
      </c>
      <c r="E243" s="165" t="s">
        <v>270</v>
      </c>
      <c r="F243" s="165" t="str">
        <f t="shared" si="30"/>
        <v>CONC_16.18_200_NL2018</v>
      </c>
      <c r="G243" s="165" t="s">
        <v>40</v>
      </c>
      <c r="H243" s="12"/>
      <c r="I243" s="12" t="s">
        <v>35</v>
      </c>
      <c r="J243" s="14">
        <v>200</v>
      </c>
      <c r="K243" s="15" t="s">
        <v>28</v>
      </c>
      <c r="L243" s="15"/>
      <c r="M243" s="16">
        <f t="shared" si="31"/>
        <v>35</v>
      </c>
      <c r="N243" s="15">
        <v>7000</v>
      </c>
      <c r="O243" s="15">
        <v>5000</v>
      </c>
      <c r="P243" s="15">
        <f t="shared" si="32"/>
        <v>35000000</v>
      </c>
      <c r="Q243" s="15" t="str">
        <f t="shared" si="36"/>
        <v>Done</v>
      </c>
      <c r="R243" s="18" t="s">
        <v>44</v>
      </c>
      <c r="S243" s="23">
        <v>43480</v>
      </c>
      <c r="T243" s="20">
        <f>IFERROR(VLOOKUP(S243,'Date Converter'!$A$4:$C$368,3,0),"")</f>
        <v>43515</v>
      </c>
      <c r="U243" s="21">
        <f t="shared" si="37"/>
        <v>43515</v>
      </c>
      <c r="V243" s="12" t="s">
        <v>45</v>
      </c>
      <c r="W243" s="18"/>
      <c r="X243" s="18"/>
      <c r="Y243" s="15"/>
      <c r="Z243" s="206">
        <v>43515</v>
      </c>
      <c r="AA243" s="15">
        <v>7000</v>
      </c>
      <c r="AB243" s="206"/>
      <c r="AC243" s="15"/>
      <c r="AD243" s="15"/>
      <c r="AE243" s="15"/>
      <c r="AF243" s="244"/>
      <c r="AG243" s="15"/>
      <c r="AH243" s="15">
        <f t="shared" si="33"/>
        <v>7000</v>
      </c>
      <c r="AI243" s="22">
        <f t="shared" si="34"/>
        <v>0</v>
      </c>
      <c r="AJ243" s="22">
        <f t="shared" si="35"/>
        <v>0</v>
      </c>
    </row>
    <row r="244" spans="1:37" s="165" customFormat="1" hidden="1">
      <c r="A244" s="165" t="s">
        <v>345</v>
      </c>
      <c r="B244" s="13">
        <v>43466</v>
      </c>
      <c r="C244" s="13" t="s">
        <v>23</v>
      </c>
      <c r="D244" s="165" t="s">
        <v>269</v>
      </c>
      <c r="E244" s="165" t="s">
        <v>270</v>
      </c>
      <c r="F244" s="165" t="str">
        <f t="shared" si="30"/>
        <v>CONC_16.18_200_NL2018</v>
      </c>
      <c r="G244" s="165" t="s">
        <v>40</v>
      </c>
      <c r="H244" s="12"/>
      <c r="I244" s="12" t="s">
        <v>35</v>
      </c>
      <c r="J244" s="14">
        <v>200</v>
      </c>
      <c r="K244" s="15" t="s">
        <v>28</v>
      </c>
      <c r="L244" s="15"/>
      <c r="M244" s="16">
        <f t="shared" si="31"/>
        <v>35</v>
      </c>
      <c r="N244" s="15">
        <v>7000</v>
      </c>
      <c r="O244" s="15">
        <v>5000</v>
      </c>
      <c r="P244" s="15">
        <f t="shared" si="32"/>
        <v>35000000</v>
      </c>
      <c r="Q244" s="15" t="str">
        <f t="shared" si="36"/>
        <v>Done</v>
      </c>
      <c r="R244" s="18" t="s">
        <v>44</v>
      </c>
      <c r="S244" s="23">
        <v>43539</v>
      </c>
      <c r="T244" s="20">
        <f>IFERROR(VLOOKUP(S244,'Date Converter'!$A$4:$C$368,3,0),"")</f>
        <v>43574</v>
      </c>
      <c r="U244" s="21">
        <f t="shared" si="37"/>
        <v>43574</v>
      </c>
      <c r="V244" s="12" t="s">
        <v>57</v>
      </c>
      <c r="W244" s="18" t="s">
        <v>108</v>
      </c>
      <c r="X244" s="18">
        <v>43569</v>
      </c>
      <c r="Y244" s="15"/>
      <c r="Z244" s="206">
        <v>43572</v>
      </c>
      <c r="AA244" s="15">
        <v>7000</v>
      </c>
      <c r="AB244" s="206"/>
      <c r="AC244" s="15"/>
      <c r="AD244" s="15"/>
      <c r="AE244" s="15"/>
      <c r="AF244" s="244"/>
      <c r="AG244" s="15"/>
      <c r="AH244" s="15">
        <f t="shared" si="33"/>
        <v>7000</v>
      </c>
      <c r="AI244" s="22">
        <f t="shared" si="34"/>
        <v>0</v>
      </c>
      <c r="AJ244" s="22">
        <f t="shared" si="35"/>
        <v>0</v>
      </c>
    </row>
    <row r="245" spans="1:37" s="165" customFormat="1" hidden="1">
      <c r="A245" s="165" t="s">
        <v>345</v>
      </c>
      <c r="B245" s="13">
        <v>43466</v>
      </c>
      <c r="C245" s="13" t="s">
        <v>23</v>
      </c>
      <c r="D245" s="165" t="s">
        <v>269</v>
      </c>
      <c r="E245" s="198" t="s">
        <v>270</v>
      </c>
      <c r="F245" s="165" t="str">
        <f t="shared" si="30"/>
        <v>CONC_16.18_200_NL2018</v>
      </c>
      <c r="G245" s="165" t="s">
        <v>40</v>
      </c>
      <c r="H245" s="12"/>
      <c r="I245" s="12" t="s">
        <v>35</v>
      </c>
      <c r="J245" s="14">
        <v>200</v>
      </c>
      <c r="K245" s="15" t="s">
        <v>28</v>
      </c>
      <c r="L245" s="15"/>
      <c r="M245" s="16">
        <f t="shared" si="31"/>
        <v>25</v>
      </c>
      <c r="N245" s="15">
        <f>8000-3000</f>
        <v>5000</v>
      </c>
      <c r="O245" s="15">
        <v>6000</v>
      </c>
      <c r="P245" s="15">
        <f t="shared" si="32"/>
        <v>30000000</v>
      </c>
      <c r="Q245" s="15" t="str">
        <f t="shared" si="36"/>
        <v>Done</v>
      </c>
      <c r="R245" s="18" t="s">
        <v>44</v>
      </c>
      <c r="S245" s="23">
        <v>43572</v>
      </c>
      <c r="T245" s="20">
        <f>IFERROR(VLOOKUP(S245,'Date Converter'!$A$4:$C$368,3,0),"")</f>
        <v>43606</v>
      </c>
      <c r="U245" s="21">
        <f t="shared" si="37"/>
        <v>43606</v>
      </c>
      <c r="V245" s="12" t="s">
        <v>479</v>
      </c>
      <c r="W245" s="18"/>
      <c r="X245" s="18"/>
      <c r="Y245" s="15"/>
      <c r="Z245" s="206">
        <v>43604</v>
      </c>
      <c r="AA245" s="17">
        <v>5000</v>
      </c>
      <c r="AB245" s="206"/>
      <c r="AC245" s="15"/>
      <c r="AD245" s="15"/>
      <c r="AE245" s="15"/>
      <c r="AF245" s="244"/>
      <c r="AG245" s="15"/>
      <c r="AH245" s="15">
        <f t="shared" si="33"/>
        <v>5000</v>
      </c>
      <c r="AI245" s="22">
        <f t="shared" si="34"/>
        <v>0</v>
      </c>
      <c r="AJ245" s="22">
        <f t="shared" si="35"/>
        <v>0</v>
      </c>
    </row>
    <row r="246" spans="1:37" s="165" customFormat="1" hidden="1">
      <c r="A246" s="183" t="s">
        <v>1453</v>
      </c>
      <c r="B246" s="188">
        <v>43606</v>
      </c>
      <c r="C246" s="266" t="s">
        <v>23</v>
      </c>
      <c r="D246" s="258" t="s">
        <v>269</v>
      </c>
      <c r="E246" s="201" t="s">
        <v>270</v>
      </c>
      <c r="F246" s="183" t="str">
        <f t="shared" si="30"/>
        <v>BACA_20.22_125_NL2018</v>
      </c>
      <c r="G246" s="183" t="s">
        <v>67</v>
      </c>
      <c r="H246" s="12"/>
      <c r="I246" s="12" t="s">
        <v>74</v>
      </c>
      <c r="J246" s="14">
        <v>125</v>
      </c>
      <c r="K246" s="185" t="s">
        <v>28</v>
      </c>
      <c r="L246" s="185"/>
      <c r="M246" s="187">
        <f t="shared" si="31"/>
        <v>24</v>
      </c>
      <c r="N246" s="15">
        <v>3000</v>
      </c>
      <c r="O246" s="15">
        <v>11000</v>
      </c>
      <c r="P246" s="15">
        <f t="shared" si="32"/>
        <v>33000000</v>
      </c>
      <c r="Q246" s="15" t="str">
        <f t="shared" si="36"/>
        <v/>
      </c>
      <c r="R246" s="189" t="s">
        <v>29</v>
      </c>
      <c r="S246" s="190">
        <v>43709</v>
      </c>
      <c r="T246" s="20">
        <f>IFERROR(VLOOKUP(S246,'Date Converter'!$A$4:$C$368,3,0),"")</f>
        <v>43737</v>
      </c>
      <c r="U246" s="21">
        <f t="shared" si="37"/>
        <v>43737</v>
      </c>
      <c r="V246" s="184" t="s">
        <v>51</v>
      </c>
      <c r="W246" s="18"/>
      <c r="X246" s="18"/>
      <c r="Y246" s="15"/>
      <c r="Z246" s="206"/>
      <c r="AA246" s="15"/>
      <c r="AB246" s="206"/>
      <c r="AC246" s="15"/>
      <c r="AD246" s="15"/>
      <c r="AE246" s="15"/>
      <c r="AF246" s="244"/>
      <c r="AG246" s="15"/>
      <c r="AH246" s="15">
        <f t="shared" si="33"/>
        <v>0</v>
      </c>
      <c r="AI246" s="22">
        <f t="shared" si="34"/>
        <v>3000</v>
      </c>
      <c r="AJ246" s="22">
        <f t="shared" si="35"/>
        <v>33000000</v>
      </c>
    </row>
    <row r="247" spans="1:37" s="165" customFormat="1" hidden="1">
      <c r="A247" s="165" t="s">
        <v>345</v>
      </c>
      <c r="B247" s="13">
        <v>43507</v>
      </c>
      <c r="C247" s="13" t="s">
        <v>23</v>
      </c>
      <c r="D247" s="165" t="s">
        <v>269</v>
      </c>
      <c r="E247" s="165" t="s">
        <v>270</v>
      </c>
      <c r="F247" s="165" t="str">
        <f t="shared" si="30"/>
        <v>BACA_15.16_300_NL2018</v>
      </c>
      <c r="G247" s="165" t="s">
        <v>67</v>
      </c>
      <c r="H247" s="12"/>
      <c r="I247" s="12" t="s">
        <v>77</v>
      </c>
      <c r="J247" s="14">
        <v>300</v>
      </c>
      <c r="K247" s="15" t="s">
        <v>28</v>
      </c>
      <c r="L247" s="15"/>
      <c r="M247" s="16">
        <f t="shared" si="31"/>
        <v>0</v>
      </c>
      <c r="N247" s="15">
        <f>10200-10200</f>
        <v>0</v>
      </c>
      <c r="O247" s="15">
        <v>4370</v>
      </c>
      <c r="P247" s="15">
        <f t="shared" si="32"/>
        <v>0</v>
      </c>
      <c r="Q247" s="15" t="str">
        <f t="shared" si="36"/>
        <v>Canceled</v>
      </c>
      <c r="R247" s="18" t="s">
        <v>71</v>
      </c>
      <c r="S247" s="23">
        <v>43539</v>
      </c>
      <c r="T247" s="20">
        <f>IFERROR(VLOOKUP(S247,'Date Converter'!$A$4:$C$368,3,0),"")</f>
        <v>43574</v>
      </c>
      <c r="U247" s="21">
        <f t="shared" si="37"/>
        <v>43574</v>
      </c>
      <c r="V247" s="12" t="s">
        <v>57</v>
      </c>
      <c r="W247" s="18" t="s">
        <v>108</v>
      </c>
      <c r="X247" s="18">
        <v>43569</v>
      </c>
      <c r="Y247" s="15"/>
      <c r="Z247" s="206"/>
      <c r="AA247" s="15">
        <v>0</v>
      </c>
      <c r="AB247" s="206"/>
      <c r="AC247" s="15"/>
      <c r="AD247" s="15"/>
      <c r="AE247" s="15"/>
      <c r="AF247" s="244"/>
      <c r="AG247" s="15"/>
      <c r="AH247" s="15">
        <f t="shared" si="33"/>
        <v>0</v>
      </c>
      <c r="AI247" s="22">
        <f t="shared" si="34"/>
        <v>0</v>
      </c>
      <c r="AJ247" s="22">
        <f t="shared" si="35"/>
        <v>0</v>
      </c>
    </row>
    <row r="248" spans="1:37" s="165" customFormat="1" hidden="1">
      <c r="A248" s="165" t="s">
        <v>345</v>
      </c>
      <c r="B248" s="13">
        <v>43507</v>
      </c>
      <c r="C248" s="13" t="s">
        <v>23</v>
      </c>
      <c r="D248" s="165" t="s">
        <v>269</v>
      </c>
      <c r="E248" s="165" t="s">
        <v>270</v>
      </c>
      <c r="F248" s="165" t="str">
        <f t="shared" si="30"/>
        <v>BACA_16.18_200_NL2018</v>
      </c>
      <c r="G248" s="165" t="s">
        <v>67</v>
      </c>
      <c r="H248" s="12"/>
      <c r="I248" s="12" t="s">
        <v>35</v>
      </c>
      <c r="J248" s="14">
        <v>200</v>
      </c>
      <c r="K248" s="15" t="s">
        <v>28</v>
      </c>
      <c r="L248" s="15"/>
      <c r="M248" s="16">
        <f t="shared" si="31"/>
        <v>32</v>
      </c>
      <c r="N248" s="15">
        <v>6400</v>
      </c>
      <c r="O248" s="15">
        <v>6300</v>
      </c>
      <c r="P248" s="15">
        <f t="shared" si="32"/>
        <v>40320000</v>
      </c>
      <c r="Q248" s="15" t="str">
        <f t="shared" si="36"/>
        <v>Done</v>
      </c>
      <c r="R248" s="18" t="s">
        <v>44</v>
      </c>
      <c r="S248" s="19">
        <v>43539</v>
      </c>
      <c r="T248" s="20">
        <f>IFERROR(VLOOKUP(S248,'Date Converter'!$A$4:$C$368,3,0),"")</f>
        <v>43574</v>
      </c>
      <c r="U248" s="21">
        <f t="shared" si="37"/>
        <v>43574</v>
      </c>
      <c r="V248" s="12"/>
      <c r="W248" s="18" t="s">
        <v>132</v>
      </c>
      <c r="X248" s="18">
        <v>43569</v>
      </c>
      <c r="Y248" s="15"/>
      <c r="Z248" s="206">
        <v>43578</v>
      </c>
      <c r="AA248" s="15">
        <v>6400</v>
      </c>
      <c r="AB248" s="206"/>
      <c r="AC248" s="15"/>
      <c r="AD248" s="15"/>
      <c r="AE248" s="15"/>
      <c r="AF248" s="244"/>
      <c r="AG248" s="15"/>
      <c r="AH248" s="15">
        <f t="shared" si="33"/>
        <v>6400</v>
      </c>
      <c r="AI248" s="22">
        <f t="shared" si="34"/>
        <v>0</v>
      </c>
      <c r="AJ248" s="22">
        <f t="shared" si="35"/>
        <v>0</v>
      </c>
    </row>
    <row r="249" spans="1:37" s="165" customFormat="1" hidden="1">
      <c r="A249" s="165" t="s">
        <v>345</v>
      </c>
      <c r="B249" s="13">
        <v>43507</v>
      </c>
      <c r="C249" s="13" t="s">
        <v>23</v>
      </c>
      <c r="D249" s="165" t="s">
        <v>269</v>
      </c>
      <c r="E249" s="165" t="s">
        <v>270</v>
      </c>
      <c r="F249" s="165" t="str">
        <f t="shared" si="30"/>
        <v>AMAT_12.14_400_NL2018</v>
      </c>
      <c r="G249" s="165" t="s">
        <v>112</v>
      </c>
      <c r="H249" s="12"/>
      <c r="I249" s="12" t="s">
        <v>113</v>
      </c>
      <c r="J249" s="14">
        <v>400</v>
      </c>
      <c r="K249" s="15" t="s">
        <v>28</v>
      </c>
      <c r="L249" s="15"/>
      <c r="M249" s="16">
        <f t="shared" si="31"/>
        <v>20</v>
      </c>
      <c r="N249" s="15">
        <v>8000</v>
      </c>
      <c r="O249" s="15">
        <v>2800</v>
      </c>
      <c r="P249" s="15">
        <f t="shared" si="32"/>
        <v>22400000</v>
      </c>
      <c r="Q249" s="15" t="str">
        <f t="shared" si="36"/>
        <v>Done</v>
      </c>
      <c r="R249" s="18" t="s">
        <v>44</v>
      </c>
      <c r="S249" s="23">
        <v>43511</v>
      </c>
      <c r="T249" s="20">
        <f>IFERROR(VLOOKUP(S249,'Date Converter'!$A$4:$C$368,3,0),"")</f>
        <v>43544</v>
      </c>
      <c r="U249" s="21">
        <f t="shared" si="37"/>
        <v>43544</v>
      </c>
      <c r="V249" s="12" t="s">
        <v>32</v>
      </c>
      <c r="W249" s="18" t="s">
        <v>39</v>
      </c>
      <c r="X249" s="18">
        <v>43541</v>
      </c>
      <c r="Y249" s="15"/>
      <c r="Z249" s="206">
        <v>43543</v>
      </c>
      <c r="AA249" s="15">
        <v>8000</v>
      </c>
      <c r="AB249" s="206"/>
      <c r="AC249" s="15"/>
      <c r="AD249" s="15"/>
      <c r="AE249" s="15"/>
      <c r="AF249" s="244"/>
      <c r="AG249" s="15"/>
      <c r="AH249" s="15">
        <f t="shared" si="33"/>
        <v>8000</v>
      </c>
      <c r="AI249" s="22">
        <f t="shared" si="34"/>
        <v>0</v>
      </c>
      <c r="AJ249" s="22">
        <f t="shared" si="35"/>
        <v>0</v>
      </c>
    </row>
    <row r="250" spans="1:37" s="165" customFormat="1" hidden="1">
      <c r="A250" s="165" t="s">
        <v>345</v>
      </c>
      <c r="B250" s="13">
        <v>43507</v>
      </c>
      <c r="C250" s="13" t="s">
        <v>23</v>
      </c>
      <c r="D250" s="165" t="s">
        <v>269</v>
      </c>
      <c r="E250" s="165" t="s">
        <v>270</v>
      </c>
      <c r="F250" s="165" t="str">
        <f t="shared" si="30"/>
        <v>AMAT_12.14_400_NL2018</v>
      </c>
      <c r="G250" s="165" t="s">
        <v>112</v>
      </c>
      <c r="H250" s="12"/>
      <c r="I250" s="12" t="s">
        <v>113</v>
      </c>
      <c r="J250" s="14">
        <v>400</v>
      </c>
      <c r="K250" s="15" t="s">
        <v>28</v>
      </c>
      <c r="L250" s="15"/>
      <c r="M250" s="16">
        <f t="shared" si="31"/>
        <v>0</v>
      </c>
      <c r="N250" s="32">
        <f>3600-3600</f>
        <v>0</v>
      </c>
      <c r="O250" s="15">
        <v>2800</v>
      </c>
      <c r="P250" s="15">
        <f t="shared" si="32"/>
        <v>0</v>
      </c>
      <c r="Q250" s="15" t="str">
        <f t="shared" si="36"/>
        <v>Canceled</v>
      </c>
      <c r="R250" s="18" t="s">
        <v>71</v>
      </c>
      <c r="S250" s="23">
        <v>43539</v>
      </c>
      <c r="T250" s="20">
        <f>IFERROR(VLOOKUP(S250,'Date Converter'!$A$4:$C$368,3,0),"")</f>
        <v>43574</v>
      </c>
      <c r="U250" s="21">
        <f t="shared" si="37"/>
        <v>43574</v>
      </c>
      <c r="V250" s="12" t="s">
        <v>57</v>
      </c>
      <c r="W250" s="18" t="s">
        <v>132</v>
      </c>
      <c r="X250" s="18">
        <v>43569</v>
      </c>
      <c r="Y250" s="15"/>
      <c r="Z250" s="206"/>
      <c r="AA250" s="15">
        <v>0</v>
      </c>
      <c r="AB250" s="206"/>
      <c r="AC250" s="15"/>
      <c r="AD250" s="15"/>
      <c r="AE250" s="15"/>
      <c r="AF250" s="244"/>
      <c r="AG250" s="15"/>
      <c r="AH250" s="15">
        <f t="shared" si="33"/>
        <v>0</v>
      </c>
      <c r="AI250" s="22">
        <f t="shared" si="34"/>
        <v>0</v>
      </c>
      <c r="AJ250" s="22">
        <f t="shared" si="35"/>
        <v>0</v>
      </c>
      <c r="AK250" s="165" t="s">
        <v>271</v>
      </c>
    </row>
    <row r="251" spans="1:37" s="165" customFormat="1" hidden="1">
      <c r="A251" s="183" t="s">
        <v>1451</v>
      </c>
      <c r="B251" s="188">
        <v>43517</v>
      </c>
      <c r="C251" s="266" t="s">
        <v>23</v>
      </c>
      <c r="D251" s="258" t="s">
        <v>269</v>
      </c>
      <c r="E251" s="201" t="s">
        <v>1429</v>
      </c>
      <c r="F251" s="183" t="str">
        <f t="shared" si="30"/>
        <v>SERA_20.22_125_NL2018</v>
      </c>
      <c r="G251" s="183" t="s">
        <v>227</v>
      </c>
      <c r="H251" s="12"/>
      <c r="I251" s="12" t="s">
        <v>74</v>
      </c>
      <c r="J251" s="14">
        <v>125</v>
      </c>
      <c r="K251" s="185" t="s">
        <v>28</v>
      </c>
      <c r="L251" s="185"/>
      <c r="M251" s="187">
        <f t="shared" si="31"/>
        <v>16</v>
      </c>
      <c r="N251" s="15">
        <v>2000</v>
      </c>
      <c r="O251" s="185">
        <v>9300</v>
      </c>
      <c r="P251" s="15">
        <f t="shared" si="32"/>
        <v>18600000</v>
      </c>
      <c r="Q251" s="15" t="str">
        <f t="shared" si="36"/>
        <v/>
      </c>
      <c r="R251" s="189" t="s">
        <v>29</v>
      </c>
      <c r="S251" s="190">
        <v>43709</v>
      </c>
      <c r="T251" s="20">
        <f>IFERROR(VLOOKUP(S251,'Date Converter'!$A$4:$C$368,3,0),"")</f>
        <v>43737</v>
      </c>
      <c r="U251" s="21">
        <f t="shared" si="37"/>
        <v>43737</v>
      </c>
      <c r="V251" s="184" t="s">
        <v>51</v>
      </c>
      <c r="W251" s="18"/>
      <c r="X251" s="18"/>
      <c r="Y251" s="15"/>
      <c r="Z251" s="206"/>
      <c r="AA251" s="15"/>
      <c r="AB251" s="206"/>
      <c r="AC251" s="15"/>
      <c r="AD251" s="15"/>
      <c r="AE251" s="15"/>
      <c r="AF251" s="244"/>
      <c r="AG251" s="15"/>
      <c r="AH251" s="15">
        <f t="shared" si="33"/>
        <v>0</v>
      </c>
      <c r="AI251" s="22">
        <f t="shared" si="34"/>
        <v>2000</v>
      </c>
      <c r="AJ251" s="22">
        <f t="shared" si="35"/>
        <v>18600000</v>
      </c>
    </row>
    <row r="252" spans="1:37" s="165" customFormat="1" hidden="1">
      <c r="A252" s="183" t="s">
        <v>1451</v>
      </c>
      <c r="B252" s="188">
        <v>43579</v>
      </c>
      <c r="C252" s="266" t="s">
        <v>23</v>
      </c>
      <c r="D252" s="258" t="s">
        <v>269</v>
      </c>
      <c r="E252" s="201" t="s">
        <v>1429</v>
      </c>
      <c r="F252" s="183" t="str">
        <f t="shared" si="30"/>
        <v>SERA_20.22_125_NL2018</v>
      </c>
      <c r="G252" s="183" t="s">
        <v>227</v>
      </c>
      <c r="H252" s="12"/>
      <c r="I252" s="12" t="s">
        <v>74</v>
      </c>
      <c r="J252" s="14">
        <v>125</v>
      </c>
      <c r="K252" s="185" t="s">
        <v>28</v>
      </c>
      <c r="L252" s="185"/>
      <c r="M252" s="187">
        <f t="shared" si="31"/>
        <v>8</v>
      </c>
      <c r="N252" s="15">
        <v>1000</v>
      </c>
      <c r="O252" s="185">
        <v>9600</v>
      </c>
      <c r="P252" s="15">
        <f t="shared" si="32"/>
        <v>9600000</v>
      </c>
      <c r="Q252" s="15" t="str">
        <f t="shared" si="36"/>
        <v/>
      </c>
      <c r="R252" s="189" t="s">
        <v>29</v>
      </c>
      <c r="S252" s="190">
        <v>43709</v>
      </c>
      <c r="T252" s="20">
        <f>IFERROR(VLOOKUP(S252,'Date Converter'!$A$4:$C$368,3,0),"")</f>
        <v>43737</v>
      </c>
      <c r="U252" s="21">
        <f t="shared" si="37"/>
        <v>43737</v>
      </c>
      <c r="V252" s="184" t="s">
        <v>51</v>
      </c>
      <c r="W252" s="18"/>
      <c r="X252" s="18"/>
      <c r="Y252" s="15"/>
      <c r="Z252" s="206"/>
      <c r="AA252" s="15"/>
      <c r="AB252" s="206"/>
      <c r="AC252" s="15"/>
      <c r="AD252" s="15"/>
      <c r="AE252" s="15"/>
      <c r="AF252" s="244"/>
      <c r="AG252" s="15"/>
      <c r="AH252" s="15">
        <f t="shared" si="33"/>
        <v>0</v>
      </c>
      <c r="AI252" s="22">
        <f t="shared" si="34"/>
        <v>1000</v>
      </c>
      <c r="AJ252" s="22">
        <f t="shared" si="35"/>
        <v>9600000</v>
      </c>
    </row>
    <row r="253" spans="1:37" s="165" customFormat="1" hidden="1">
      <c r="A253" s="183" t="s">
        <v>1451</v>
      </c>
      <c r="B253" s="188">
        <v>43517</v>
      </c>
      <c r="C253" s="266" t="s">
        <v>23</v>
      </c>
      <c r="D253" s="258" t="s">
        <v>269</v>
      </c>
      <c r="E253" s="201" t="s">
        <v>1429</v>
      </c>
      <c r="F253" s="183" t="str">
        <f t="shared" si="30"/>
        <v>ROBI_20.22_125_NL2018</v>
      </c>
      <c r="G253" s="183" t="s">
        <v>61</v>
      </c>
      <c r="H253" s="12"/>
      <c r="I253" s="12" t="s">
        <v>74</v>
      </c>
      <c r="J253" s="14">
        <v>125</v>
      </c>
      <c r="K253" s="185" t="s">
        <v>28</v>
      </c>
      <c r="L253" s="185"/>
      <c r="M253" s="187">
        <f t="shared" si="31"/>
        <v>24</v>
      </c>
      <c r="N253" s="15">
        <v>3000</v>
      </c>
      <c r="O253" s="15">
        <v>10700</v>
      </c>
      <c r="P253" s="15">
        <f t="shared" si="32"/>
        <v>32100000</v>
      </c>
      <c r="Q253" s="15" t="str">
        <f t="shared" si="36"/>
        <v/>
      </c>
      <c r="R253" s="189" t="s">
        <v>29</v>
      </c>
      <c r="S253" s="190">
        <v>43709</v>
      </c>
      <c r="T253" s="20">
        <f>IFERROR(VLOOKUP(S253,'Date Converter'!$A$4:$C$368,3,0),"")</f>
        <v>43737</v>
      </c>
      <c r="U253" s="21">
        <f t="shared" si="37"/>
        <v>43737</v>
      </c>
      <c r="V253" s="184" t="s">
        <v>51</v>
      </c>
      <c r="W253" s="18"/>
      <c r="X253" s="18"/>
      <c r="Y253" s="15"/>
      <c r="Z253" s="206"/>
      <c r="AA253" s="15"/>
      <c r="AB253" s="206"/>
      <c r="AC253" s="15"/>
      <c r="AD253" s="15"/>
      <c r="AE253" s="15"/>
      <c r="AF253" s="244"/>
      <c r="AG253" s="15"/>
      <c r="AH253" s="15">
        <f t="shared" si="33"/>
        <v>0</v>
      </c>
      <c r="AI253" s="22">
        <f t="shared" si="34"/>
        <v>3000</v>
      </c>
      <c r="AJ253" s="22">
        <f t="shared" si="35"/>
        <v>32100000</v>
      </c>
    </row>
    <row r="254" spans="1:37" s="165" customFormat="1" hidden="1">
      <c r="A254" s="183" t="s">
        <v>1451</v>
      </c>
      <c r="B254" s="188">
        <v>43517</v>
      </c>
      <c r="C254" s="266" t="s">
        <v>23</v>
      </c>
      <c r="D254" s="258" t="s">
        <v>269</v>
      </c>
      <c r="E254" s="201" t="s">
        <v>1429</v>
      </c>
      <c r="F254" s="183" t="str">
        <f t="shared" si="30"/>
        <v>PROF_20.22_125_NL2018</v>
      </c>
      <c r="G254" s="183" t="s">
        <v>56</v>
      </c>
      <c r="H254" s="12"/>
      <c r="I254" s="12" t="s">
        <v>74</v>
      </c>
      <c r="J254" s="14">
        <v>125</v>
      </c>
      <c r="K254" s="185" t="s">
        <v>28</v>
      </c>
      <c r="L254" s="185"/>
      <c r="M254" s="187">
        <f t="shared" si="31"/>
        <v>56</v>
      </c>
      <c r="N254" s="15">
        <f>5500+1500</f>
        <v>7000</v>
      </c>
      <c r="O254" s="15">
        <v>13000</v>
      </c>
      <c r="P254" s="15">
        <f t="shared" si="32"/>
        <v>91000000</v>
      </c>
      <c r="Q254" s="15" t="str">
        <f t="shared" si="36"/>
        <v/>
      </c>
      <c r="R254" s="189" t="s">
        <v>29</v>
      </c>
      <c r="S254" s="190">
        <v>43709</v>
      </c>
      <c r="T254" s="20">
        <f>IFERROR(VLOOKUP(S254,'Date Converter'!$A$4:$C$368,3,0),"")</f>
        <v>43737</v>
      </c>
      <c r="U254" s="21">
        <f t="shared" si="37"/>
        <v>43737</v>
      </c>
      <c r="V254" s="184" t="s">
        <v>51</v>
      </c>
      <c r="W254" s="18"/>
      <c r="X254" s="18"/>
      <c r="Y254" s="15"/>
      <c r="Z254" s="206"/>
      <c r="AA254" s="15"/>
      <c r="AB254" s="206"/>
      <c r="AC254" s="15"/>
      <c r="AD254" s="15"/>
      <c r="AE254" s="15"/>
      <c r="AF254" s="244"/>
      <c r="AG254" s="15"/>
      <c r="AH254" s="15">
        <f t="shared" si="33"/>
        <v>0</v>
      </c>
      <c r="AI254" s="22">
        <f t="shared" si="34"/>
        <v>7000</v>
      </c>
      <c r="AJ254" s="22">
        <f t="shared" si="35"/>
        <v>91000000</v>
      </c>
    </row>
    <row r="255" spans="1:37" s="165" customFormat="1" hidden="1">
      <c r="A255" s="183" t="s">
        <v>1451</v>
      </c>
      <c r="B255" s="188">
        <v>43517</v>
      </c>
      <c r="C255" s="266" t="s">
        <v>23</v>
      </c>
      <c r="D255" s="258" t="s">
        <v>269</v>
      </c>
      <c r="E255" s="201" t="s">
        <v>1429</v>
      </c>
      <c r="F255" s="183" t="str">
        <f t="shared" ref="F255:F318" si="38">SUBSTITUTE(LEFT(G255,4)&amp;"_"&amp;H255&amp;"_"&amp;I255&amp;"_"&amp;J255&amp;"_"&amp;K255,"__","_")</f>
        <v>MANI_20.22_125_NL2018</v>
      </c>
      <c r="G255" s="183" t="s">
        <v>105</v>
      </c>
      <c r="H255" s="12"/>
      <c r="I255" s="12" t="s">
        <v>74</v>
      </c>
      <c r="J255" s="14">
        <v>125</v>
      </c>
      <c r="K255" s="185" t="s">
        <v>28</v>
      </c>
      <c r="L255" s="185"/>
      <c r="M255" s="187">
        <f t="shared" ref="M255:M318" si="39">+N255/J255</f>
        <v>24</v>
      </c>
      <c r="N255" s="15">
        <v>3000</v>
      </c>
      <c r="O255" s="15">
        <v>13500</v>
      </c>
      <c r="P255" s="15">
        <f t="shared" ref="P255:P313" si="40">+O255*N255</f>
        <v>40500000</v>
      </c>
      <c r="Q255" s="15" t="str">
        <f t="shared" si="36"/>
        <v/>
      </c>
      <c r="R255" s="189" t="s">
        <v>29</v>
      </c>
      <c r="S255" s="190">
        <v>43709</v>
      </c>
      <c r="T255" s="20">
        <f>IFERROR(VLOOKUP(S255,'Date Converter'!$A$4:$C$368,3,0),"")</f>
        <v>43737</v>
      </c>
      <c r="U255" s="21">
        <f t="shared" si="37"/>
        <v>43737</v>
      </c>
      <c r="V255" s="184" t="s">
        <v>51</v>
      </c>
      <c r="W255" s="18"/>
      <c r="X255" s="18"/>
      <c r="Y255" s="15"/>
      <c r="Z255" s="206"/>
      <c r="AA255" s="15"/>
      <c r="AB255" s="206"/>
      <c r="AC255" s="15"/>
      <c r="AD255" s="15"/>
      <c r="AE255" s="15"/>
      <c r="AF255" s="244"/>
      <c r="AG255" s="15"/>
      <c r="AH255" s="15">
        <f t="shared" ref="AH255:AH318" si="41">+AA255+AC255+AE255+AG255</f>
        <v>0</v>
      </c>
      <c r="AI255" s="22">
        <f t="shared" ref="AI255:AI318" si="42">+N255-AH255</f>
        <v>3000</v>
      </c>
      <c r="AJ255" s="22">
        <f t="shared" ref="AJ255:AJ318" si="43">+AI255*O255</f>
        <v>40500000</v>
      </c>
    </row>
    <row r="256" spans="1:37" s="165" customFormat="1" hidden="1">
      <c r="A256" s="183" t="s">
        <v>1451</v>
      </c>
      <c r="B256" s="188">
        <v>43517</v>
      </c>
      <c r="C256" s="266" t="s">
        <v>23</v>
      </c>
      <c r="D256" s="258" t="s">
        <v>269</v>
      </c>
      <c r="E256" s="201" t="s">
        <v>1429</v>
      </c>
      <c r="F256" s="183" t="str">
        <f t="shared" si="38"/>
        <v>CONC_20.22_125_NL2018</v>
      </c>
      <c r="G256" s="183" t="s">
        <v>40</v>
      </c>
      <c r="H256" s="12"/>
      <c r="I256" s="12" t="s">
        <v>74</v>
      </c>
      <c r="J256" s="14">
        <v>125</v>
      </c>
      <c r="K256" s="185" t="s">
        <v>28</v>
      </c>
      <c r="L256" s="185"/>
      <c r="M256" s="187">
        <f t="shared" si="39"/>
        <v>32</v>
      </c>
      <c r="N256" s="15">
        <v>4000</v>
      </c>
      <c r="O256" s="15">
        <v>10600</v>
      </c>
      <c r="P256" s="15">
        <f t="shared" si="40"/>
        <v>42400000</v>
      </c>
      <c r="Q256" s="15" t="str">
        <f t="shared" si="36"/>
        <v/>
      </c>
      <c r="R256" s="189" t="s">
        <v>29</v>
      </c>
      <c r="S256" s="190">
        <v>43709</v>
      </c>
      <c r="T256" s="20">
        <f>IFERROR(VLOOKUP(S256,'Date Converter'!$A$4:$C$368,3,0),"")</f>
        <v>43737</v>
      </c>
      <c r="U256" s="21">
        <f t="shared" si="37"/>
        <v>43737</v>
      </c>
      <c r="V256" s="184" t="s">
        <v>51</v>
      </c>
      <c r="W256" s="18"/>
      <c r="X256" s="18"/>
      <c r="Y256" s="15"/>
      <c r="Z256" s="206"/>
      <c r="AA256" s="15"/>
      <c r="AB256" s="206"/>
      <c r="AC256" s="15"/>
      <c r="AD256" s="15"/>
      <c r="AE256" s="15"/>
      <c r="AF256" s="244"/>
      <c r="AG256" s="15"/>
      <c r="AH256" s="15">
        <f t="shared" si="41"/>
        <v>0</v>
      </c>
      <c r="AI256" s="22">
        <f t="shared" si="42"/>
        <v>4000</v>
      </c>
      <c r="AJ256" s="22">
        <f t="shared" si="43"/>
        <v>42400000</v>
      </c>
    </row>
    <row r="257" spans="1:37" s="165" customFormat="1" hidden="1">
      <c r="A257" s="183" t="s">
        <v>1452</v>
      </c>
      <c r="B257" s="188">
        <v>43517</v>
      </c>
      <c r="C257" s="266" t="s">
        <v>23</v>
      </c>
      <c r="D257" s="258" t="s">
        <v>269</v>
      </c>
      <c r="E257" s="201" t="s">
        <v>1428</v>
      </c>
      <c r="F257" s="183" t="str">
        <f t="shared" si="38"/>
        <v>TARR_20.22_125_NL2018</v>
      </c>
      <c r="G257" s="183" t="s">
        <v>62</v>
      </c>
      <c r="H257" s="12"/>
      <c r="I257" s="12" t="s">
        <v>74</v>
      </c>
      <c r="J257" s="14">
        <v>125</v>
      </c>
      <c r="K257" s="185" t="s">
        <v>28</v>
      </c>
      <c r="L257" s="185"/>
      <c r="M257" s="187">
        <f t="shared" si="39"/>
        <v>28</v>
      </c>
      <c r="N257" s="15">
        <f>2000+1500</f>
        <v>3500</v>
      </c>
      <c r="O257" s="15">
        <v>10100</v>
      </c>
      <c r="P257" s="15">
        <f t="shared" si="40"/>
        <v>35350000</v>
      </c>
      <c r="Q257" s="15" t="str">
        <f t="shared" si="36"/>
        <v/>
      </c>
      <c r="R257" s="189" t="s">
        <v>29</v>
      </c>
      <c r="S257" s="190">
        <v>43709</v>
      </c>
      <c r="T257" s="20">
        <f>IFERROR(VLOOKUP(S257,'Date Converter'!$A$4:$C$368,3,0),"")</f>
        <v>43737</v>
      </c>
      <c r="U257" s="21">
        <f t="shared" si="37"/>
        <v>43737</v>
      </c>
      <c r="V257" s="184" t="s">
        <v>51</v>
      </c>
      <c r="W257" s="18"/>
      <c r="X257" s="18"/>
      <c r="Y257" s="15"/>
      <c r="Z257" s="206"/>
      <c r="AA257" s="15"/>
      <c r="AB257" s="206"/>
      <c r="AC257" s="15"/>
      <c r="AD257" s="15"/>
      <c r="AE257" s="15"/>
      <c r="AF257" s="244"/>
      <c r="AG257" s="15"/>
      <c r="AH257" s="15">
        <f t="shared" si="41"/>
        <v>0</v>
      </c>
      <c r="AI257" s="22">
        <f t="shared" si="42"/>
        <v>3500</v>
      </c>
      <c r="AJ257" s="22">
        <f t="shared" si="43"/>
        <v>35350000</v>
      </c>
    </row>
    <row r="258" spans="1:37" s="165" customFormat="1" hidden="1">
      <c r="A258" s="183" t="s">
        <v>1452</v>
      </c>
      <c r="B258" s="188">
        <v>43517</v>
      </c>
      <c r="C258" s="266" t="s">
        <v>23</v>
      </c>
      <c r="D258" s="258" t="s">
        <v>269</v>
      </c>
      <c r="E258" s="201" t="s">
        <v>1428</v>
      </c>
      <c r="F258" s="183" t="str">
        <f t="shared" si="38"/>
        <v>SERA_20.22_125_NL2018</v>
      </c>
      <c r="G258" s="183" t="s">
        <v>227</v>
      </c>
      <c r="H258" s="12"/>
      <c r="I258" s="12" t="s">
        <v>74</v>
      </c>
      <c r="J258" s="14">
        <v>125</v>
      </c>
      <c r="K258" s="185" t="s">
        <v>28</v>
      </c>
      <c r="L258" s="185"/>
      <c r="M258" s="187">
        <f t="shared" si="39"/>
        <v>46</v>
      </c>
      <c r="N258" s="15">
        <f>4750+1000</f>
        <v>5750</v>
      </c>
      <c r="O258" s="15">
        <v>9300</v>
      </c>
      <c r="P258" s="15">
        <f t="shared" si="40"/>
        <v>53475000</v>
      </c>
      <c r="Q258" s="15" t="str">
        <f t="shared" si="36"/>
        <v/>
      </c>
      <c r="R258" s="189" t="s">
        <v>29</v>
      </c>
      <c r="S258" s="190">
        <v>43709</v>
      </c>
      <c r="T258" s="20">
        <f>IFERROR(VLOOKUP(S258,'Date Converter'!$A$4:$C$368,3,0),"")</f>
        <v>43737</v>
      </c>
      <c r="U258" s="21">
        <f t="shared" si="37"/>
        <v>43737</v>
      </c>
      <c r="V258" s="184" t="s">
        <v>51</v>
      </c>
      <c r="W258" s="18"/>
      <c r="X258" s="18"/>
      <c r="Y258" s="15"/>
      <c r="Z258" s="206"/>
      <c r="AA258" s="15"/>
      <c r="AB258" s="206"/>
      <c r="AC258" s="15"/>
      <c r="AD258" s="15"/>
      <c r="AE258" s="15"/>
      <c r="AF258" s="244"/>
      <c r="AG258" s="15"/>
      <c r="AH258" s="15">
        <f t="shared" si="41"/>
        <v>0</v>
      </c>
      <c r="AI258" s="22">
        <f t="shared" si="42"/>
        <v>5750</v>
      </c>
      <c r="AJ258" s="22">
        <f t="shared" si="43"/>
        <v>53475000</v>
      </c>
    </row>
    <row r="259" spans="1:37" hidden="1">
      <c r="A259" s="183" t="s">
        <v>1452</v>
      </c>
      <c r="B259" s="188">
        <v>43579</v>
      </c>
      <c r="C259" s="266" t="s">
        <v>23</v>
      </c>
      <c r="D259" s="258" t="s">
        <v>269</v>
      </c>
      <c r="E259" s="201" t="s">
        <v>1428</v>
      </c>
      <c r="F259" s="183" t="str">
        <f t="shared" si="38"/>
        <v>SERA_20.22_125_NL2018</v>
      </c>
      <c r="G259" s="183" t="s">
        <v>227</v>
      </c>
      <c r="I259" s="12" t="s">
        <v>74</v>
      </c>
      <c r="J259" s="14">
        <v>125</v>
      </c>
      <c r="K259" s="185" t="s">
        <v>28</v>
      </c>
      <c r="L259" s="185"/>
      <c r="M259" s="187">
        <f t="shared" si="39"/>
        <v>50</v>
      </c>
      <c r="N259" s="15">
        <v>6250</v>
      </c>
      <c r="O259" s="15">
        <v>9600</v>
      </c>
      <c r="P259" s="15">
        <f t="shared" si="40"/>
        <v>60000000</v>
      </c>
      <c r="Q259" s="15" t="str">
        <f t="shared" ref="Q259:Q322" si="44">IF(AND(N259=0,AI259=0),"Canceled",IF(AND(N259&gt;0,AI259=0),"Done",""))</f>
        <v/>
      </c>
      <c r="R259" s="189" t="s">
        <v>29</v>
      </c>
      <c r="S259" s="190">
        <v>43709</v>
      </c>
      <c r="T259" s="20">
        <f>IFERROR(VLOOKUP(S259,'Date Converter'!$A$4:$C$368,3,0),"")</f>
        <v>43737</v>
      </c>
      <c r="U259" s="21">
        <f t="shared" si="37"/>
        <v>43737</v>
      </c>
      <c r="V259" s="184" t="s">
        <v>51</v>
      </c>
      <c r="Y259" s="15"/>
      <c r="AA259" s="15"/>
      <c r="AB259" s="206"/>
      <c r="AC259" s="15"/>
      <c r="AD259" s="15"/>
      <c r="AE259" s="15"/>
      <c r="AF259" s="244"/>
      <c r="AG259" s="15"/>
      <c r="AH259" s="15">
        <f t="shared" si="41"/>
        <v>0</v>
      </c>
      <c r="AI259" s="22">
        <f t="shared" si="42"/>
        <v>6250</v>
      </c>
      <c r="AJ259" s="22">
        <f t="shared" si="43"/>
        <v>60000000</v>
      </c>
      <c r="AK259" s="165"/>
    </row>
    <row r="260" spans="1:37" hidden="1">
      <c r="A260" s="183" t="s">
        <v>1452</v>
      </c>
      <c r="B260" s="188">
        <v>43517</v>
      </c>
      <c r="C260" s="266" t="s">
        <v>23</v>
      </c>
      <c r="D260" s="258" t="s">
        <v>269</v>
      </c>
      <c r="E260" s="201" t="s">
        <v>1428</v>
      </c>
      <c r="F260" s="183" t="str">
        <f t="shared" si="38"/>
        <v>PROF_20.22_125_NL2018</v>
      </c>
      <c r="G260" s="183" t="s">
        <v>56</v>
      </c>
      <c r="I260" s="12" t="s">
        <v>74</v>
      </c>
      <c r="J260" s="14">
        <v>125</v>
      </c>
      <c r="K260" s="185" t="s">
        <v>28</v>
      </c>
      <c r="L260" s="185"/>
      <c r="M260" s="187">
        <f t="shared" si="39"/>
        <v>84</v>
      </c>
      <c r="N260" s="15">
        <f>12000-1500</f>
        <v>10500</v>
      </c>
      <c r="O260" s="15">
        <v>13000</v>
      </c>
      <c r="P260" s="15">
        <f t="shared" si="40"/>
        <v>136500000</v>
      </c>
      <c r="Q260" s="15" t="str">
        <f t="shared" si="44"/>
        <v/>
      </c>
      <c r="R260" s="189" t="s">
        <v>29</v>
      </c>
      <c r="S260" s="190">
        <v>43709</v>
      </c>
      <c r="T260" s="20">
        <f>IFERROR(VLOOKUP(S260,'Date Converter'!$A$4:$C$368,3,0),"")</f>
        <v>43737</v>
      </c>
      <c r="U260" s="21">
        <f t="shared" si="37"/>
        <v>43737</v>
      </c>
      <c r="V260" s="184" t="s">
        <v>51</v>
      </c>
      <c r="Y260" s="15"/>
      <c r="AA260" s="15"/>
      <c r="AB260" s="206"/>
      <c r="AC260" s="15"/>
      <c r="AD260" s="15"/>
      <c r="AE260" s="15"/>
      <c r="AF260" s="244"/>
      <c r="AG260" s="15"/>
      <c r="AH260" s="15">
        <f t="shared" si="41"/>
        <v>0</v>
      </c>
      <c r="AI260" s="22">
        <f t="shared" si="42"/>
        <v>10500</v>
      </c>
      <c r="AJ260" s="22">
        <f t="shared" si="43"/>
        <v>136500000</v>
      </c>
      <c r="AK260" s="165"/>
    </row>
    <row r="261" spans="1:37" hidden="1">
      <c r="A261" s="183" t="s">
        <v>1452</v>
      </c>
      <c r="B261" s="188">
        <v>43517</v>
      </c>
      <c r="C261" s="266" t="s">
        <v>23</v>
      </c>
      <c r="D261" s="258" t="s">
        <v>269</v>
      </c>
      <c r="E261" s="201" t="s">
        <v>1428</v>
      </c>
      <c r="F261" s="183" t="str">
        <f t="shared" si="38"/>
        <v>CONC_20.22_125_NL2018</v>
      </c>
      <c r="G261" s="183" t="s">
        <v>40</v>
      </c>
      <c r="I261" s="12" t="s">
        <v>74</v>
      </c>
      <c r="J261" s="14">
        <v>125</v>
      </c>
      <c r="K261" s="185" t="s">
        <v>28</v>
      </c>
      <c r="L261" s="185"/>
      <c r="M261" s="187">
        <f t="shared" si="39"/>
        <v>6</v>
      </c>
      <c r="N261" s="15">
        <v>750</v>
      </c>
      <c r="O261" s="15">
        <v>10500</v>
      </c>
      <c r="P261" s="15">
        <f t="shared" si="40"/>
        <v>7875000</v>
      </c>
      <c r="Q261" s="15" t="str">
        <f t="shared" si="44"/>
        <v/>
      </c>
      <c r="R261" s="189" t="s">
        <v>29</v>
      </c>
      <c r="S261" s="190">
        <v>43709</v>
      </c>
      <c r="T261" s="20">
        <f>IFERROR(VLOOKUP(S261,'Date Converter'!$A$4:$C$368,3,0),"")</f>
        <v>43737</v>
      </c>
      <c r="U261" s="21">
        <f t="shared" si="37"/>
        <v>43737</v>
      </c>
      <c r="V261" s="184" t="s">
        <v>51</v>
      </c>
      <c r="Y261" s="15"/>
      <c r="AA261" s="15"/>
      <c r="AB261" s="206"/>
      <c r="AC261" s="15"/>
      <c r="AD261" s="15"/>
      <c r="AE261" s="15"/>
      <c r="AF261" s="244"/>
      <c r="AG261" s="15"/>
      <c r="AH261" s="15">
        <f t="shared" si="41"/>
        <v>0</v>
      </c>
      <c r="AI261" s="22">
        <f t="shared" si="42"/>
        <v>750</v>
      </c>
      <c r="AJ261" s="22">
        <f t="shared" si="43"/>
        <v>7875000</v>
      </c>
      <c r="AK261" s="165"/>
    </row>
    <row r="262" spans="1:37" s="165" customFormat="1" hidden="1">
      <c r="A262" s="183" t="s">
        <v>1452</v>
      </c>
      <c r="B262" s="188">
        <v>43517</v>
      </c>
      <c r="C262" s="266" t="s">
        <v>23</v>
      </c>
      <c r="D262" s="258" t="s">
        <v>269</v>
      </c>
      <c r="E262" s="201" t="s">
        <v>1428</v>
      </c>
      <c r="F262" s="183" t="str">
        <f t="shared" si="38"/>
        <v>CONC_20.22_125_NL2018</v>
      </c>
      <c r="G262" s="183" t="s">
        <v>40</v>
      </c>
      <c r="H262" s="12"/>
      <c r="I262" s="12" t="s">
        <v>74</v>
      </c>
      <c r="J262" s="14">
        <v>125</v>
      </c>
      <c r="K262" s="185" t="s">
        <v>28</v>
      </c>
      <c r="L262" s="185"/>
      <c r="M262" s="187">
        <f t="shared" si="39"/>
        <v>10</v>
      </c>
      <c r="N262" s="15">
        <v>1250</v>
      </c>
      <c r="O262" s="15">
        <v>10600</v>
      </c>
      <c r="P262" s="15">
        <f t="shared" si="40"/>
        <v>13250000</v>
      </c>
      <c r="Q262" s="15" t="str">
        <f t="shared" si="44"/>
        <v/>
      </c>
      <c r="R262" s="189" t="s">
        <v>29</v>
      </c>
      <c r="S262" s="190">
        <v>43709</v>
      </c>
      <c r="T262" s="20">
        <f>IFERROR(VLOOKUP(S262,'Date Converter'!$A$4:$C$368,3,0),"")</f>
        <v>43737</v>
      </c>
      <c r="U262" s="21">
        <f t="shared" si="37"/>
        <v>43737</v>
      </c>
      <c r="V262" s="184" t="s">
        <v>51</v>
      </c>
      <c r="W262" s="18"/>
      <c r="X262" s="18"/>
      <c r="Y262" s="15"/>
      <c r="Z262" s="206"/>
      <c r="AA262" s="15"/>
      <c r="AB262" s="206"/>
      <c r="AC262" s="15"/>
      <c r="AD262" s="15"/>
      <c r="AE262" s="15"/>
      <c r="AF262" s="244"/>
      <c r="AG262" s="15"/>
      <c r="AH262" s="15">
        <f t="shared" si="41"/>
        <v>0</v>
      </c>
      <c r="AI262" s="22">
        <f t="shared" si="42"/>
        <v>1250</v>
      </c>
      <c r="AJ262" s="22">
        <f t="shared" si="43"/>
        <v>13250000</v>
      </c>
    </row>
    <row r="263" spans="1:37" hidden="1">
      <c r="A263" s="165" t="s">
        <v>451</v>
      </c>
      <c r="B263" s="13">
        <v>43499</v>
      </c>
      <c r="C263" s="13" t="s">
        <v>23</v>
      </c>
      <c r="D263" s="258" t="s">
        <v>149</v>
      </c>
      <c r="E263" s="198" t="s">
        <v>150</v>
      </c>
      <c r="F263" s="165" t="str">
        <f t="shared" si="38"/>
        <v>YELL_16.18_200_NL2018</v>
      </c>
      <c r="G263" s="165" t="s">
        <v>89</v>
      </c>
      <c r="I263" s="12" t="s">
        <v>35</v>
      </c>
      <c r="J263" s="14">
        <v>200</v>
      </c>
      <c r="K263" s="15" t="s">
        <v>28</v>
      </c>
      <c r="M263" s="16">
        <f t="shared" si="39"/>
        <v>25</v>
      </c>
      <c r="N263" s="15">
        <v>5000</v>
      </c>
      <c r="O263" s="15">
        <v>5500</v>
      </c>
      <c r="P263" s="15">
        <f t="shared" si="40"/>
        <v>27500000</v>
      </c>
      <c r="Q263" s="15" t="str">
        <f t="shared" si="44"/>
        <v/>
      </c>
      <c r="R263" s="18" t="s">
        <v>29</v>
      </c>
      <c r="S263" s="23">
        <v>43709</v>
      </c>
      <c r="T263" s="20">
        <f>IFERROR(VLOOKUP(S263,'Date Converter'!$A$4:$C$368,3,0),"")</f>
        <v>43737</v>
      </c>
      <c r="U263" s="21">
        <f t="shared" si="37"/>
        <v>43737</v>
      </c>
      <c r="V263" s="15" t="s">
        <v>51</v>
      </c>
      <c r="Y263" s="15"/>
      <c r="AA263" s="15">
        <v>0</v>
      </c>
      <c r="AB263" s="206"/>
      <c r="AC263" s="15"/>
      <c r="AD263" s="206"/>
      <c r="AE263" s="15"/>
      <c r="AF263" s="244"/>
      <c r="AG263" s="15"/>
      <c r="AH263" s="15">
        <f t="shared" si="41"/>
        <v>0</v>
      </c>
      <c r="AI263" s="22">
        <f t="shared" si="42"/>
        <v>5000</v>
      </c>
      <c r="AJ263" s="22">
        <f t="shared" si="43"/>
        <v>27500000</v>
      </c>
      <c r="AK263" s="165"/>
    </row>
    <row r="264" spans="1:37" hidden="1">
      <c r="A264" s="165" t="s">
        <v>451</v>
      </c>
      <c r="B264" s="13">
        <v>43499</v>
      </c>
      <c r="C264" s="13" t="s">
        <v>23</v>
      </c>
      <c r="D264" s="165" t="s">
        <v>149</v>
      </c>
      <c r="E264" s="198" t="s">
        <v>150</v>
      </c>
      <c r="F264" s="165" t="str">
        <f t="shared" si="38"/>
        <v>ROBI_18.20_150_NL2018</v>
      </c>
      <c r="G264" s="165" t="s">
        <v>61</v>
      </c>
      <c r="I264" s="12" t="s">
        <v>27</v>
      </c>
      <c r="J264" s="14">
        <v>150</v>
      </c>
      <c r="K264" s="15" t="s">
        <v>28</v>
      </c>
      <c r="M264" s="16">
        <f t="shared" si="39"/>
        <v>0</v>
      </c>
      <c r="N264" s="15">
        <f>5100-5100</f>
        <v>0</v>
      </c>
      <c r="O264" s="15">
        <v>7200</v>
      </c>
      <c r="P264" s="15">
        <f t="shared" si="40"/>
        <v>0</v>
      </c>
      <c r="Q264" s="15" t="str">
        <f t="shared" si="44"/>
        <v>Canceled</v>
      </c>
      <c r="R264" s="18" t="s">
        <v>71</v>
      </c>
      <c r="S264" s="23">
        <v>43709</v>
      </c>
      <c r="T264" s="20">
        <f>IFERROR(VLOOKUP(S264,'Date Converter'!$A$4:$C$368,3,0),"")</f>
        <v>43737</v>
      </c>
      <c r="U264" s="21">
        <f t="shared" si="37"/>
        <v>43737</v>
      </c>
      <c r="V264" s="15" t="s">
        <v>51</v>
      </c>
      <c r="Y264" s="15"/>
      <c r="AA264" s="15">
        <v>0</v>
      </c>
      <c r="AB264" s="206"/>
      <c r="AC264" s="15"/>
      <c r="AD264" s="15"/>
      <c r="AE264" s="15"/>
      <c r="AF264" s="244"/>
      <c r="AG264" s="15"/>
      <c r="AH264" s="15">
        <f t="shared" si="41"/>
        <v>0</v>
      </c>
      <c r="AI264" s="22">
        <f t="shared" si="42"/>
        <v>0</v>
      </c>
      <c r="AJ264" s="22">
        <f t="shared" si="43"/>
        <v>0</v>
      </c>
      <c r="AK264" s="165"/>
    </row>
    <row r="265" spans="1:37" hidden="1">
      <c r="A265" s="165" t="s">
        <v>451</v>
      </c>
      <c r="B265" s="13">
        <v>43499</v>
      </c>
      <c r="C265" s="13" t="s">
        <v>23</v>
      </c>
      <c r="D265" s="165" t="s">
        <v>149</v>
      </c>
      <c r="E265" s="198" t="s">
        <v>150</v>
      </c>
      <c r="F265" s="165" t="str">
        <f t="shared" si="38"/>
        <v>ROBI_22.24_100_NL2018</v>
      </c>
      <c r="G265" s="165" t="s">
        <v>61</v>
      </c>
      <c r="I265" s="12" t="s">
        <v>78</v>
      </c>
      <c r="J265" s="14">
        <v>100</v>
      </c>
      <c r="K265" s="15" t="s">
        <v>28</v>
      </c>
      <c r="M265" s="16">
        <f t="shared" si="39"/>
        <v>0</v>
      </c>
      <c r="N265" s="15">
        <f>5000-5000</f>
        <v>0</v>
      </c>
      <c r="O265" s="15">
        <v>12500</v>
      </c>
      <c r="P265" s="15">
        <f t="shared" si="40"/>
        <v>0</v>
      </c>
      <c r="Q265" s="15" t="str">
        <f t="shared" si="44"/>
        <v>Canceled</v>
      </c>
      <c r="R265" s="18" t="s">
        <v>71</v>
      </c>
      <c r="S265" s="23">
        <v>43709</v>
      </c>
      <c r="T265" s="20">
        <f>IFERROR(VLOOKUP(S265,'Date Converter'!$A$4:$C$368,3,0),"")</f>
        <v>43737</v>
      </c>
      <c r="U265" s="21">
        <f t="shared" si="37"/>
        <v>43737</v>
      </c>
      <c r="V265" s="15" t="s">
        <v>51</v>
      </c>
      <c r="Y265" s="15"/>
      <c r="AA265" s="15">
        <v>0</v>
      </c>
      <c r="AB265" s="206"/>
      <c r="AC265" s="15"/>
      <c r="AD265" s="206"/>
      <c r="AE265" s="15"/>
      <c r="AF265" s="244"/>
      <c r="AG265" s="15"/>
      <c r="AH265" s="15">
        <f t="shared" si="41"/>
        <v>0</v>
      </c>
      <c r="AI265" s="22">
        <f t="shared" si="42"/>
        <v>0</v>
      </c>
      <c r="AJ265" s="22">
        <f t="shared" si="43"/>
        <v>0</v>
      </c>
      <c r="AK265" s="165"/>
    </row>
    <row r="266" spans="1:37" hidden="1">
      <c r="A266" s="165" t="s">
        <v>306</v>
      </c>
      <c r="B266" s="13">
        <v>43499</v>
      </c>
      <c r="C266" s="13" t="s">
        <v>23</v>
      </c>
      <c r="D266" s="165" t="s">
        <v>149</v>
      </c>
      <c r="E266" s="165" t="s">
        <v>150</v>
      </c>
      <c r="F266" s="165" t="str">
        <f t="shared" si="38"/>
        <v>ROBI_16.18_200_NL2018</v>
      </c>
      <c r="G266" s="165" t="s">
        <v>61</v>
      </c>
      <c r="I266" s="12" t="s">
        <v>35</v>
      </c>
      <c r="J266" s="14">
        <v>200</v>
      </c>
      <c r="K266" s="15" t="s">
        <v>28</v>
      </c>
      <c r="M266" s="16">
        <f t="shared" si="39"/>
        <v>0</v>
      </c>
      <c r="N266" s="15">
        <f>10000+8000-4000-3000-3200-7800</f>
        <v>0</v>
      </c>
      <c r="O266" s="15">
        <v>5000</v>
      </c>
      <c r="P266" s="15">
        <f t="shared" si="40"/>
        <v>0</v>
      </c>
      <c r="Q266" s="15" t="str">
        <f t="shared" si="44"/>
        <v>Canceled</v>
      </c>
      <c r="R266" s="18" t="s">
        <v>71</v>
      </c>
      <c r="S266" s="23">
        <v>43539</v>
      </c>
      <c r="T266" s="20">
        <f>IFERROR(VLOOKUP(S266,'Date Converter'!$A$4:$C$368,3,0),"")</f>
        <v>43574</v>
      </c>
      <c r="U266" s="21">
        <f t="shared" si="37"/>
        <v>43574</v>
      </c>
      <c r="V266" s="12" t="s">
        <v>57</v>
      </c>
      <c r="W266" s="18" t="s">
        <v>141</v>
      </c>
      <c r="X266" s="18">
        <v>43569</v>
      </c>
      <c r="Y266" s="15" t="s">
        <v>59</v>
      </c>
      <c r="AA266" s="15">
        <v>0</v>
      </c>
      <c r="AB266" s="206"/>
      <c r="AC266" s="15"/>
      <c r="AD266" s="206"/>
      <c r="AE266" s="15"/>
      <c r="AF266" s="244"/>
      <c r="AG266" s="15"/>
      <c r="AH266" s="15">
        <f t="shared" si="41"/>
        <v>0</v>
      </c>
      <c r="AI266" s="22">
        <f t="shared" si="42"/>
        <v>0</v>
      </c>
      <c r="AJ266" s="22">
        <f t="shared" si="43"/>
        <v>0</v>
      </c>
      <c r="AK266" s="165" t="s">
        <v>109</v>
      </c>
    </row>
    <row r="267" spans="1:37" hidden="1">
      <c r="A267" s="165" t="s">
        <v>306</v>
      </c>
      <c r="B267" s="13">
        <v>43499</v>
      </c>
      <c r="C267" s="13" t="s">
        <v>23</v>
      </c>
      <c r="D267" s="165" t="s">
        <v>149</v>
      </c>
      <c r="E267" s="198" t="s">
        <v>150</v>
      </c>
      <c r="F267" s="165" t="str">
        <f t="shared" si="38"/>
        <v>ROBI_18.20_150_NL2018</v>
      </c>
      <c r="G267" s="165" t="s">
        <v>61</v>
      </c>
      <c r="I267" s="12" t="s">
        <v>27</v>
      </c>
      <c r="J267" s="14">
        <v>150</v>
      </c>
      <c r="K267" s="15" t="s">
        <v>28</v>
      </c>
      <c r="M267" s="16">
        <f t="shared" si="39"/>
        <v>100</v>
      </c>
      <c r="N267" s="15">
        <v>15000</v>
      </c>
      <c r="O267" s="15">
        <v>6300</v>
      </c>
      <c r="P267" s="15">
        <f t="shared" si="40"/>
        <v>94500000</v>
      </c>
      <c r="Q267" s="15" t="str">
        <f t="shared" si="44"/>
        <v>Done</v>
      </c>
      <c r="R267" s="18" t="s">
        <v>44</v>
      </c>
      <c r="S267" s="23">
        <v>43539</v>
      </c>
      <c r="T267" s="20">
        <f>IFERROR(VLOOKUP(S267,'Date Converter'!$A$4:$C$368,3,0),"")</f>
        <v>43574</v>
      </c>
      <c r="U267" s="21">
        <f t="shared" si="37"/>
        <v>43574</v>
      </c>
      <c r="V267" s="12" t="s">
        <v>57</v>
      </c>
      <c r="W267" s="18" t="s">
        <v>118</v>
      </c>
      <c r="X267" s="18">
        <v>43569</v>
      </c>
      <c r="Y267" s="15" t="s">
        <v>59</v>
      </c>
      <c r="Z267" s="206">
        <v>43600</v>
      </c>
      <c r="AA267" s="15">
        <v>15000</v>
      </c>
      <c r="AB267" s="206"/>
      <c r="AC267" s="15"/>
      <c r="AD267" s="206"/>
      <c r="AE267" s="15"/>
      <c r="AF267" s="244"/>
      <c r="AG267" s="15"/>
      <c r="AH267" s="15">
        <f t="shared" si="41"/>
        <v>15000</v>
      </c>
      <c r="AI267" s="22">
        <f t="shared" si="42"/>
        <v>0</v>
      </c>
      <c r="AJ267" s="22">
        <f t="shared" si="43"/>
        <v>0</v>
      </c>
      <c r="AK267" s="165"/>
    </row>
    <row r="268" spans="1:37" s="165" customFormat="1" hidden="1">
      <c r="A268" s="165" t="s">
        <v>306</v>
      </c>
      <c r="B268" s="13">
        <v>43499</v>
      </c>
      <c r="C268" s="13" t="s">
        <v>23</v>
      </c>
      <c r="D268" s="165" t="s">
        <v>149</v>
      </c>
      <c r="E268" s="198" t="s">
        <v>150</v>
      </c>
      <c r="F268" s="165" t="str">
        <f t="shared" si="38"/>
        <v>ROBI_16.18_200_NL2018</v>
      </c>
      <c r="G268" s="165" t="s">
        <v>61</v>
      </c>
      <c r="H268" s="12"/>
      <c r="I268" s="12" t="s">
        <v>35</v>
      </c>
      <c r="J268" s="14">
        <v>200</v>
      </c>
      <c r="K268" s="15" t="s">
        <v>28</v>
      </c>
      <c r="L268" s="15"/>
      <c r="M268" s="16">
        <f t="shared" si="39"/>
        <v>0</v>
      </c>
      <c r="N268" s="15">
        <f>11200+3000-4200-10000</f>
        <v>0</v>
      </c>
      <c r="O268" s="15">
        <f>4800+363+85</f>
        <v>5248</v>
      </c>
      <c r="P268" s="15">
        <f t="shared" si="40"/>
        <v>0</v>
      </c>
      <c r="Q268" s="15" t="str">
        <f t="shared" si="44"/>
        <v>Canceled</v>
      </c>
      <c r="R268" s="18" t="s">
        <v>71</v>
      </c>
      <c r="S268" s="23">
        <v>43631</v>
      </c>
      <c r="T268" s="20">
        <f>IFERROR(VLOOKUP(S268,'Date Converter'!$A$4:$C$368,3,0),"")</f>
        <v>43663</v>
      </c>
      <c r="U268" s="21">
        <f t="shared" si="37"/>
        <v>43663</v>
      </c>
      <c r="V268" s="12" t="s">
        <v>57</v>
      </c>
      <c r="W268" s="18"/>
      <c r="X268" s="18"/>
      <c r="Y268" s="15"/>
      <c r="Z268" s="206"/>
      <c r="AA268" s="15"/>
      <c r="AB268" s="206"/>
      <c r="AC268" s="15"/>
      <c r="AD268" s="206"/>
      <c r="AE268" s="15"/>
      <c r="AF268" s="244"/>
      <c r="AG268" s="15"/>
      <c r="AH268" s="15">
        <f t="shared" si="41"/>
        <v>0</v>
      </c>
      <c r="AI268" s="22">
        <f t="shared" si="42"/>
        <v>0</v>
      </c>
      <c r="AJ268" s="22">
        <f t="shared" si="43"/>
        <v>0</v>
      </c>
    </row>
    <row r="269" spans="1:37" s="165" customFormat="1" hidden="1">
      <c r="A269" s="165" t="s">
        <v>306</v>
      </c>
      <c r="B269" s="13">
        <v>43499</v>
      </c>
      <c r="C269" s="13" t="s">
        <v>23</v>
      </c>
      <c r="D269" s="165" t="s">
        <v>149</v>
      </c>
      <c r="E269" s="198" t="s">
        <v>150</v>
      </c>
      <c r="F269" s="165" t="str">
        <f t="shared" si="38"/>
        <v>ROBI_16.18_200_NL2018</v>
      </c>
      <c r="G269" s="165" t="s">
        <v>61</v>
      </c>
      <c r="H269" s="12"/>
      <c r="I269" s="12" t="s">
        <v>35</v>
      </c>
      <c r="J269" s="14">
        <v>200</v>
      </c>
      <c r="K269" s="15" t="s">
        <v>28</v>
      </c>
      <c r="L269" s="15"/>
      <c r="M269" s="16">
        <f t="shared" si="39"/>
        <v>0</v>
      </c>
      <c r="N269" s="15">
        <f>10000-10000</f>
        <v>0</v>
      </c>
      <c r="O269" s="15">
        <f>4800+363</f>
        <v>5163</v>
      </c>
      <c r="P269" s="15">
        <f t="shared" si="40"/>
        <v>0</v>
      </c>
      <c r="Q269" s="15" t="str">
        <f t="shared" si="44"/>
        <v>Canceled</v>
      </c>
      <c r="R269" s="18" t="s">
        <v>71</v>
      </c>
      <c r="S269" s="23">
        <v>43603</v>
      </c>
      <c r="T269" s="20">
        <f>IFERROR(VLOOKUP(S269,'Date Converter'!$A$4:$C$368,3,0),"")</f>
        <v>43636</v>
      </c>
      <c r="U269" s="21">
        <f t="shared" si="37"/>
        <v>43636</v>
      </c>
      <c r="V269" s="12"/>
      <c r="W269" s="18"/>
      <c r="X269" s="18"/>
      <c r="Y269" s="15"/>
      <c r="Z269" s="206"/>
      <c r="AA269" s="15"/>
      <c r="AB269" s="206"/>
      <c r="AC269" s="15"/>
      <c r="AD269" s="206"/>
      <c r="AE269" s="15"/>
      <c r="AF269" s="244"/>
      <c r="AG269" s="15"/>
      <c r="AH269" s="15">
        <f t="shared" si="41"/>
        <v>0</v>
      </c>
      <c r="AI269" s="22">
        <f t="shared" si="42"/>
        <v>0</v>
      </c>
      <c r="AJ269" s="22">
        <f t="shared" si="43"/>
        <v>0</v>
      </c>
    </row>
    <row r="270" spans="1:37" hidden="1">
      <c r="A270" s="165" t="s">
        <v>306</v>
      </c>
      <c r="B270" s="13">
        <v>43499</v>
      </c>
      <c r="C270" s="13" t="s">
        <v>23</v>
      </c>
      <c r="D270" t="s">
        <v>149</v>
      </c>
      <c r="E270" s="165" t="s">
        <v>150</v>
      </c>
      <c r="F270" t="str">
        <f t="shared" si="38"/>
        <v>ROBI_16.18_200_NL2018</v>
      </c>
      <c r="G270" s="165" t="s">
        <v>61</v>
      </c>
      <c r="I270" s="12" t="s">
        <v>35</v>
      </c>
      <c r="J270" s="14">
        <v>200</v>
      </c>
      <c r="K270" s="15" t="s">
        <v>28</v>
      </c>
      <c r="M270" s="16">
        <f t="shared" si="39"/>
        <v>0</v>
      </c>
      <c r="N270" s="15">
        <f>10000-9000-1000</f>
        <v>0</v>
      </c>
      <c r="O270" s="15">
        <v>4800</v>
      </c>
      <c r="P270" s="15">
        <f t="shared" si="40"/>
        <v>0</v>
      </c>
      <c r="Q270" s="15" t="str">
        <f t="shared" si="44"/>
        <v>Canceled</v>
      </c>
      <c r="R270" s="18" t="s">
        <v>71</v>
      </c>
      <c r="S270" s="23" t="s">
        <v>53</v>
      </c>
      <c r="T270" s="20">
        <f>IFERROR(VLOOKUP(S270,'Date Converter'!$A$4:$C$368,3,0),"")</f>
        <v>43559</v>
      </c>
      <c r="U270" s="21">
        <f t="shared" si="37"/>
        <v>43559</v>
      </c>
      <c r="V270" s="20" t="s">
        <v>54</v>
      </c>
      <c r="W270" s="18" t="s">
        <v>82</v>
      </c>
      <c r="X270" s="18">
        <v>43555</v>
      </c>
      <c r="Y270" s="15" t="s">
        <v>59</v>
      </c>
      <c r="AA270" s="15">
        <v>0</v>
      </c>
      <c r="AB270" s="206"/>
      <c r="AC270" s="15"/>
      <c r="AD270" s="206"/>
      <c r="AE270" s="15"/>
      <c r="AF270" s="244"/>
      <c r="AG270" s="15"/>
      <c r="AH270" s="15">
        <f t="shared" si="41"/>
        <v>0</v>
      </c>
      <c r="AI270" s="22">
        <f t="shared" si="42"/>
        <v>0</v>
      </c>
      <c r="AJ270" s="22">
        <f t="shared" si="43"/>
        <v>0</v>
      </c>
      <c r="AK270" s="165"/>
    </row>
    <row r="271" spans="1:37" hidden="1">
      <c r="A271" t="s">
        <v>451</v>
      </c>
      <c r="B271" s="13">
        <v>43499</v>
      </c>
      <c r="C271" s="13" t="s">
        <v>23</v>
      </c>
      <c r="D271" s="258" t="s">
        <v>149</v>
      </c>
      <c r="E271" s="198" t="s">
        <v>150</v>
      </c>
      <c r="F271" t="str">
        <f t="shared" si="38"/>
        <v>PROF_20.22_125_NL2018</v>
      </c>
      <c r="G271" t="s">
        <v>56</v>
      </c>
      <c r="I271" s="12" t="s">
        <v>74</v>
      </c>
      <c r="J271" s="14">
        <v>125</v>
      </c>
      <c r="K271" s="15" t="s">
        <v>28</v>
      </c>
      <c r="M271" s="16">
        <f t="shared" si="39"/>
        <v>40</v>
      </c>
      <c r="N271" s="15">
        <v>5000</v>
      </c>
      <c r="O271" s="15">
        <v>13000</v>
      </c>
      <c r="P271" s="15">
        <f t="shared" si="40"/>
        <v>65000000</v>
      </c>
      <c r="Q271" s="15" t="str">
        <f t="shared" si="44"/>
        <v/>
      </c>
      <c r="R271" s="18" t="s">
        <v>29</v>
      </c>
      <c r="S271" s="23">
        <v>43709</v>
      </c>
      <c r="T271" s="20">
        <f>IFERROR(VLOOKUP(S271,'Date Converter'!$A$4:$C$368,3,0),"")</f>
        <v>43737</v>
      </c>
      <c r="U271" s="21">
        <f t="shared" si="37"/>
        <v>43737</v>
      </c>
      <c r="V271" s="15" t="s">
        <v>51</v>
      </c>
      <c r="Y271" s="15"/>
      <c r="AA271" s="15">
        <v>0</v>
      </c>
      <c r="AB271" s="206"/>
      <c r="AC271" s="15"/>
      <c r="AD271" s="15"/>
      <c r="AE271" s="15"/>
      <c r="AF271" s="244"/>
      <c r="AG271" s="15"/>
      <c r="AH271" s="15">
        <f t="shared" si="41"/>
        <v>0</v>
      </c>
      <c r="AI271" s="22">
        <f t="shared" si="42"/>
        <v>5000</v>
      </c>
      <c r="AJ271" s="22">
        <f t="shared" si="43"/>
        <v>65000000</v>
      </c>
      <c r="AK271" s="165"/>
    </row>
    <row r="272" spans="1:37" s="165" customFormat="1" hidden="1">
      <c r="A272" s="165" t="s">
        <v>306</v>
      </c>
      <c r="B272" s="13">
        <v>43499</v>
      </c>
      <c r="C272" s="13" t="s">
        <v>23</v>
      </c>
      <c r="D272" s="165" t="s">
        <v>149</v>
      </c>
      <c r="E272" s="165" t="s">
        <v>150</v>
      </c>
      <c r="F272" s="165" t="str">
        <f t="shared" si="38"/>
        <v>PROF_14.16_300_NL2018</v>
      </c>
      <c r="G272" s="165" t="s">
        <v>56</v>
      </c>
      <c r="H272" s="12"/>
      <c r="I272" s="12" t="s">
        <v>47</v>
      </c>
      <c r="J272" s="14">
        <v>300</v>
      </c>
      <c r="K272" s="15" t="s">
        <v>28</v>
      </c>
      <c r="L272" s="15"/>
      <c r="M272" s="16">
        <f t="shared" si="39"/>
        <v>34</v>
      </c>
      <c r="N272" s="15">
        <v>10200</v>
      </c>
      <c r="O272" s="15">
        <v>5200</v>
      </c>
      <c r="P272" s="15">
        <f t="shared" si="40"/>
        <v>53040000</v>
      </c>
      <c r="Q272" s="15" t="str">
        <f t="shared" si="44"/>
        <v>Done</v>
      </c>
      <c r="R272" s="18" t="s">
        <v>44</v>
      </c>
      <c r="S272" s="23">
        <v>43511</v>
      </c>
      <c r="T272" s="20">
        <f>IFERROR(VLOOKUP(S272,'Date Converter'!$A$4:$C$368,3,0),"")</f>
        <v>43544</v>
      </c>
      <c r="U272" s="21">
        <f t="shared" si="37"/>
        <v>43544</v>
      </c>
      <c r="V272" s="12" t="s">
        <v>32</v>
      </c>
      <c r="W272" s="18" t="s">
        <v>33</v>
      </c>
      <c r="X272" s="18">
        <v>43541</v>
      </c>
      <c r="Y272" s="15" t="s">
        <v>59</v>
      </c>
      <c r="Z272" s="206">
        <v>43543</v>
      </c>
      <c r="AA272" s="15">
        <v>10200</v>
      </c>
      <c r="AB272" s="206"/>
      <c r="AC272" s="15"/>
      <c r="AD272" s="206"/>
      <c r="AE272" s="15"/>
      <c r="AF272" s="244"/>
      <c r="AG272" s="15"/>
      <c r="AH272" s="15">
        <f t="shared" si="41"/>
        <v>10200</v>
      </c>
      <c r="AI272" s="22">
        <f t="shared" si="42"/>
        <v>0</v>
      </c>
      <c r="AJ272" s="22">
        <f t="shared" si="43"/>
        <v>0</v>
      </c>
    </row>
    <row r="273" spans="1:37" s="165" customFormat="1" hidden="1">
      <c r="A273" s="165" t="s">
        <v>306</v>
      </c>
      <c r="B273" s="13">
        <v>43499</v>
      </c>
      <c r="C273" s="13" t="s">
        <v>23</v>
      </c>
      <c r="D273" s="165" t="s">
        <v>149</v>
      </c>
      <c r="E273" s="198" t="s">
        <v>150</v>
      </c>
      <c r="F273" s="165" t="str">
        <f t="shared" si="38"/>
        <v>PROF_16.18_200_NL2018</v>
      </c>
      <c r="G273" s="165" t="s">
        <v>56</v>
      </c>
      <c r="H273" s="12"/>
      <c r="I273" s="12" t="s">
        <v>35</v>
      </c>
      <c r="J273" s="14">
        <v>200</v>
      </c>
      <c r="K273" s="15" t="s">
        <v>28</v>
      </c>
      <c r="L273" s="15"/>
      <c r="M273" s="16">
        <f t="shared" si="39"/>
        <v>100</v>
      </c>
      <c r="N273" s="15">
        <f>19800+200</f>
        <v>20000</v>
      </c>
      <c r="O273" s="15">
        <v>6700</v>
      </c>
      <c r="P273" s="15">
        <f t="shared" si="40"/>
        <v>134000000</v>
      </c>
      <c r="Q273" s="15" t="str">
        <f t="shared" si="44"/>
        <v>Done</v>
      </c>
      <c r="R273" s="18" t="s">
        <v>44</v>
      </c>
      <c r="S273" s="23">
        <v>43511</v>
      </c>
      <c r="T273" s="20">
        <f>IFERROR(VLOOKUP(S273,'Date Converter'!$A$4:$C$368,3,0),"")</f>
        <v>43544</v>
      </c>
      <c r="U273" s="21">
        <f t="shared" si="37"/>
        <v>43544</v>
      </c>
      <c r="V273" s="12" t="s">
        <v>32</v>
      </c>
      <c r="W273" s="18" t="s">
        <v>33</v>
      </c>
      <c r="X273" s="18">
        <v>43541</v>
      </c>
      <c r="Y273" s="15" t="s">
        <v>59</v>
      </c>
      <c r="Z273" s="206">
        <v>43558</v>
      </c>
      <c r="AA273" s="15">
        <v>5000</v>
      </c>
      <c r="AB273" s="206">
        <v>43570</v>
      </c>
      <c r="AC273" s="15">
        <v>5000</v>
      </c>
      <c r="AD273" s="206">
        <v>43581</v>
      </c>
      <c r="AE273" s="15">
        <f>5000+5000</f>
        <v>10000</v>
      </c>
      <c r="AF273" s="244"/>
      <c r="AG273" s="15"/>
      <c r="AH273" s="15">
        <f t="shared" si="41"/>
        <v>20000</v>
      </c>
      <c r="AI273" s="22">
        <f t="shared" si="42"/>
        <v>0</v>
      </c>
      <c r="AJ273" s="22">
        <f t="shared" si="43"/>
        <v>0</v>
      </c>
    </row>
    <row r="274" spans="1:37" s="165" customFormat="1" hidden="1">
      <c r="A274" s="165" t="s">
        <v>306</v>
      </c>
      <c r="B274" s="13">
        <v>43499</v>
      </c>
      <c r="C274" s="13" t="s">
        <v>23</v>
      </c>
      <c r="D274" s="165" t="s">
        <v>149</v>
      </c>
      <c r="E274" s="198" t="s">
        <v>150</v>
      </c>
      <c r="F274" s="165" t="str">
        <f t="shared" si="38"/>
        <v>PROF_14.16_275_NL2018</v>
      </c>
      <c r="G274" s="165" t="s">
        <v>56</v>
      </c>
      <c r="H274" s="12"/>
      <c r="I274" s="12" t="s">
        <v>47</v>
      </c>
      <c r="J274" s="14">
        <v>275</v>
      </c>
      <c r="K274" s="15" t="s">
        <v>28</v>
      </c>
      <c r="L274" s="15"/>
      <c r="M274" s="16">
        <f t="shared" si="39"/>
        <v>15</v>
      </c>
      <c r="N274" s="15">
        <f>10175-6000-50</f>
        <v>4125</v>
      </c>
      <c r="O274" s="15">
        <f>5000</f>
        <v>5000</v>
      </c>
      <c r="P274" s="15">
        <f t="shared" si="40"/>
        <v>20625000</v>
      </c>
      <c r="Q274" s="15" t="str">
        <f t="shared" si="44"/>
        <v/>
      </c>
      <c r="R274" s="18" t="s">
        <v>63</v>
      </c>
      <c r="S274" s="23">
        <v>43572</v>
      </c>
      <c r="T274" s="20">
        <f>IFERROR(VLOOKUP(S274,'Date Converter'!$A$4:$C$368,3,0),"")</f>
        <v>43606</v>
      </c>
      <c r="U274" s="21">
        <f t="shared" si="37"/>
        <v>43606</v>
      </c>
      <c r="V274" s="12" t="s">
        <v>36</v>
      </c>
      <c r="W274" s="18"/>
      <c r="X274" s="18"/>
      <c r="Y274" s="15"/>
      <c r="Z274" s="206"/>
      <c r="AA274" s="15"/>
      <c r="AB274" s="206"/>
      <c r="AC274" s="15"/>
      <c r="AD274" s="206"/>
      <c r="AE274" s="15"/>
      <c r="AF274" s="244"/>
      <c r="AG274" s="15"/>
      <c r="AH274" s="15">
        <f t="shared" si="41"/>
        <v>0</v>
      </c>
      <c r="AI274" s="22">
        <f t="shared" si="42"/>
        <v>4125</v>
      </c>
      <c r="AJ274" s="22">
        <f t="shared" si="43"/>
        <v>20625000</v>
      </c>
    </row>
    <row r="275" spans="1:37" s="165" customFormat="1" hidden="1">
      <c r="A275" s="165" t="s">
        <v>306</v>
      </c>
      <c r="B275" s="13">
        <v>43499</v>
      </c>
      <c r="C275" s="13" t="s">
        <v>23</v>
      </c>
      <c r="D275" s="165" t="s">
        <v>149</v>
      </c>
      <c r="E275" s="198" t="s">
        <v>150</v>
      </c>
      <c r="F275" s="165" t="str">
        <f t="shared" si="38"/>
        <v>PROF_14.16_300_NL2018</v>
      </c>
      <c r="G275" s="165" t="s">
        <v>56</v>
      </c>
      <c r="H275" s="12"/>
      <c r="I275" s="12" t="s">
        <v>47</v>
      </c>
      <c r="J275" s="14">
        <v>300</v>
      </c>
      <c r="K275" s="15" t="s">
        <v>28</v>
      </c>
      <c r="L275" s="15"/>
      <c r="M275" s="16">
        <f t="shared" si="39"/>
        <v>20</v>
      </c>
      <c r="N275" s="15">
        <v>6000</v>
      </c>
      <c r="O275" s="15">
        <v>5000</v>
      </c>
      <c r="P275" s="15">
        <f t="shared" si="40"/>
        <v>30000000</v>
      </c>
      <c r="Q275" s="15" t="str">
        <f t="shared" si="44"/>
        <v>Done</v>
      </c>
      <c r="R275" s="18" t="s">
        <v>44</v>
      </c>
      <c r="S275" s="23">
        <v>43572</v>
      </c>
      <c r="T275" s="20">
        <f>IFERROR(VLOOKUP(S275,'Date Converter'!$A$4:$C$368,3,0),"")</f>
        <v>43606</v>
      </c>
      <c r="U275" s="21">
        <f t="shared" si="37"/>
        <v>43606</v>
      </c>
      <c r="V275" s="12"/>
      <c r="W275" s="18"/>
      <c r="X275" s="18"/>
      <c r="Y275" s="15"/>
      <c r="Z275" s="206">
        <v>43633</v>
      </c>
      <c r="AA275" s="15">
        <v>6000</v>
      </c>
      <c r="AB275" s="206"/>
      <c r="AC275" s="15"/>
      <c r="AD275" s="206"/>
      <c r="AE275" s="15"/>
      <c r="AF275" s="244"/>
      <c r="AG275" s="15"/>
      <c r="AH275" s="15">
        <f t="shared" si="41"/>
        <v>6000</v>
      </c>
      <c r="AI275" s="22">
        <f t="shared" si="42"/>
        <v>0</v>
      </c>
      <c r="AJ275" s="22">
        <f t="shared" si="43"/>
        <v>0</v>
      </c>
    </row>
    <row r="276" spans="1:37" s="165" customFormat="1" hidden="1">
      <c r="A276" s="165" t="s">
        <v>306</v>
      </c>
      <c r="B276" s="13">
        <v>43499</v>
      </c>
      <c r="C276" s="13" t="s">
        <v>23</v>
      </c>
      <c r="D276" s="165" t="s">
        <v>149</v>
      </c>
      <c r="E276" s="165" t="s">
        <v>150</v>
      </c>
      <c r="F276" s="165" t="str">
        <f t="shared" si="38"/>
        <v>PROF_16.18_200_NL2018</v>
      </c>
      <c r="G276" s="165" t="s">
        <v>56</v>
      </c>
      <c r="H276" s="12"/>
      <c r="I276" s="12" t="s">
        <v>35</v>
      </c>
      <c r="J276" s="14">
        <v>200</v>
      </c>
      <c r="K276" s="15" t="s">
        <v>28</v>
      </c>
      <c r="L276" s="15"/>
      <c r="M276" s="16">
        <f t="shared" si="39"/>
        <v>0</v>
      </c>
      <c r="N276" s="15">
        <f>10000-10000</f>
        <v>0</v>
      </c>
      <c r="O276" s="15">
        <v>6700</v>
      </c>
      <c r="P276" s="15">
        <f t="shared" si="40"/>
        <v>0</v>
      </c>
      <c r="Q276" s="15" t="str">
        <f t="shared" si="44"/>
        <v>Canceled</v>
      </c>
      <c r="R276" s="18" t="s">
        <v>71</v>
      </c>
      <c r="S276" s="23">
        <v>43590</v>
      </c>
      <c r="T276" s="20">
        <f>IFERROR(VLOOKUP(S276,'Date Converter'!$A$4:$C$368,3,0),"")</f>
        <v>43623</v>
      </c>
      <c r="U276" s="21">
        <f t="shared" si="37"/>
        <v>43623</v>
      </c>
      <c r="V276" s="12" t="s">
        <v>57</v>
      </c>
      <c r="W276" s="18" t="s">
        <v>58</v>
      </c>
      <c r="X276" s="18">
        <v>43569</v>
      </c>
      <c r="Y276" s="15" t="s">
        <v>59</v>
      </c>
      <c r="Z276" s="206"/>
      <c r="AA276" s="15">
        <v>0</v>
      </c>
      <c r="AB276" s="206"/>
      <c r="AC276" s="15"/>
      <c r="AD276" s="206"/>
      <c r="AE276" s="15"/>
      <c r="AF276" s="244"/>
      <c r="AG276" s="15"/>
      <c r="AH276" s="15">
        <f t="shared" si="41"/>
        <v>0</v>
      </c>
      <c r="AI276" s="22">
        <f t="shared" si="42"/>
        <v>0</v>
      </c>
      <c r="AJ276" s="22">
        <f t="shared" si="43"/>
        <v>0</v>
      </c>
    </row>
    <row r="277" spans="1:37" s="165" customFormat="1" hidden="1">
      <c r="A277" s="165" t="s">
        <v>306</v>
      </c>
      <c r="B277" s="13">
        <v>43610</v>
      </c>
      <c r="C277" s="13" t="s">
        <v>23</v>
      </c>
      <c r="D277" s="165" t="s">
        <v>149</v>
      </c>
      <c r="E277" s="198" t="s">
        <v>150</v>
      </c>
      <c r="F277" s="165" t="str">
        <f t="shared" si="38"/>
        <v>MANI_14.16_300_NL2018</v>
      </c>
      <c r="G277" s="165" t="s">
        <v>105</v>
      </c>
      <c r="H277" s="12"/>
      <c r="I277" s="12" t="s">
        <v>47</v>
      </c>
      <c r="J277" s="14">
        <v>300</v>
      </c>
      <c r="K277" s="15" t="s">
        <v>28</v>
      </c>
      <c r="L277" s="15"/>
      <c r="M277" s="16">
        <f t="shared" si="39"/>
        <v>17</v>
      </c>
      <c r="N277" s="15">
        <v>5100</v>
      </c>
      <c r="O277" s="15">
        <v>3800</v>
      </c>
      <c r="P277" s="15">
        <f t="shared" si="40"/>
        <v>19380000</v>
      </c>
      <c r="Q277" s="15" t="str">
        <f t="shared" si="44"/>
        <v>Done</v>
      </c>
      <c r="R277" s="18" t="s">
        <v>44</v>
      </c>
      <c r="S277" s="23">
        <v>43590</v>
      </c>
      <c r="T277" s="20">
        <f>IFERROR(VLOOKUP(S277,'Date Converter'!$A$4:$C$368,3,0),"")</f>
        <v>43623</v>
      </c>
      <c r="U277" s="21">
        <f t="shared" si="37"/>
        <v>43623</v>
      </c>
      <c r="V277" s="12"/>
      <c r="W277" s="18"/>
      <c r="X277" s="18"/>
      <c r="Y277" s="15"/>
      <c r="Z277" s="206">
        <v>43633</v>
      </c>
      <c r="AA277" s="15">
        <v>5100</v>
      </c>
      <c r="AB277" s="206"/>
      <c r="AC277" s="15"/>
      <c r="AD277" s="206"/>
      <c r="AE277" s="15"/>
      <c r="AF277" s="244"/>
      <c r="AG277" s="15"/>
      <c r="AH277" s="15">
        <f t="shared" si="41"/>
        <v>5100</v>
      </c>
      <c r="AI277" s="22">
        <f t="shared" si="42"/>
        <v>0</v>
      </c>
      <c r="AJ277" s="22">
        <f t="shared" si="43"/>
        <v>0</v>
      </c>
    </row>
    <row r="278" spans="1:37" s="165" customFormat="1" hidden="1">
      <c r="A278" s="165" t="s">
        <v>451</v>
      </c>
      <c r="B278" s="13">
        <v>43635</v>
      </c>
      <c r="C278" s="13" t="s">
        <v>23</v>
      </c>
      <c r="D278" s="258" t="s">
        <v>149</v>
      </c>
      <c r="E278" s="198" t="s">
        <v>150</v>
      </c>
      <c r="F278" s="165" t="str">
        <f t="shared" si="38"/>
        <v>INDI_18.20_150_NL2018</v>
      </c>
      <c r="G278" s="165" t="s">
        <v>154</v>
      </c>
      <c r="H278" s="12"/>
      <c r="I278" s="12" t="s">
        <v>27</v>
      </c>
      <c r="J278" s="14">
        <v>150</v>
      </c>
      <c r="K278" s="15" t="s">
        <v>28</v>
      </c>
      <c r="L278" s="15"/>
      <c r="M278" s="16">
        <f t="shared" si="39"/>
        <v>67</v>
      </c>
      <c r="N278" s="15">
        <v>10050</v>
      </c>
      <c r="O278" s="15">
        <v>10000</v>
      </c>
      <c r="P278" s="15">
        <f t="shared" si="40"/>
        <v>100500000</v>
      </c>
      <c r="Q278" s="15" t="str">
        <f t="shared" si="44"/>
        <v/>
      </c>
      <c r="R278" s="18" t="s">
        <v>29</v>
      </c>
      <c r="S278" s="23">
        <v>43709</v>
      </c>
      <c r="T278" s="20">
        <f>IFERROR(VLOOKUP(S278,'Date Converter'!$A$4:$C$368,3,0),"")</f>
        <v>43737</v>
      </c>
      <c r="U278" s="21">
        <f t="shared" si="37"/>
        <v>43737</v>
      </c>
      <c r="V278" s="15" t="s">
        <v>51</v>
      </c>
      <c r="W278" s="18"/>
      <c r="X278" s="18"/>
      <c r="Y278" s="15"/>
      <c r="Z278" s="206"/>
      <c r="AA278" s="15"/>
      <c r="AB278" s="206"/>
      <c r="AC278" s="15"/>
      <c r="AD278" s="206"/>
      <c r="AE278" s="15"/>
      <c r="AF278" s="244"/>
      <c r="AG278" s="15"/>
      <c r="AH278" s="15">
        <f t="shared" si="41"/>
        <v>0</v>
      </c>
      <c r="AI278" s="22">
        <f t="shared" si="42"/>
        <v>10050</v>
      </c>
      <c r="AJ278" s="22">
        <f t="shared" si="43"/>
        <v>100500000</v>
      </c>
    </row>
    <row r="279" spans="1:37" s="165" customFormat="1" hidden="1">
      <c r="A279" s="165" t="s">
        <v>306</v>
      </c>
      <c r="B279" s="13">
        <v>43499</v>
      </c>
      <c r="C279" s="13" t="s">
        <v>23</v>
      </c>
      <c r="D279" s="165" t="s">
        <v>149</v>
      </c>
      <c r="E279" s="165" t="s">
        <v>150</v>
      </c>
      <c r="F279" s="165" t="str">
        <f t="shared" si="38"/>
        <v>INDI_14.16_300_NL2018</v>
      </c>
      <c r="G279" s="165" t="s">
        <v>154</v>
      </c>
      <c r="H279" s="12"/>
      <c r="I279" s="12" t="s">
        <v>47</v>
      </c>
      <c r="J279" s="14">
        <v>300</v>
      </c>
      <c r="K279" s="15" t="s">
        <v>28</v>
      </c>
      <c r="L279" s="15"/>
      <c r="M279" s="16">
        <f t="shared" si="39"/>
        <v>39</v>
      </c>
      <c r="N279" s="15">
        <v>11700</v>
      </c>
      <c r="O279" s="15">
        <v>4700</v>
      </c>
      <c r="P279" s="15">
        <f t="shared" si="40"/>
        <v>54990000</v>
      </c>
      <c r="Q279" s="15" t="str">
        <f t="shared" si="44"/>
        <v>Done</v>
      </c>
      <c r="R279" s="18" t="s">
        <v>44</v>
      </c>
      <c r="S279" s="23" t="s">
        <v>53</v>
      </c>
      <c r="T279" s="20">
        <f>IFERROR(VLOOKUP(S279,'Date Converter'!$A$4:$C$368,3,0),"")</f>
        <v>43559</v>
      </c>
      <c r="U279" s="21">
        <f t="shared" si="37"/>
        <v>43559</v>
      </c>
      <c r="V279" s="20" t="s">
        <v>54</v>
      </c>
      <c r="W279" s="18" t="s">
        <v>101</v>
      </c>
      <c r="X279" s="18">
        <v>43555</v>
      </c>
      <c r="Y279" s="15" t="s">
        <v>59</v>
      </c>
      <c r="Z279" s="206">
        <v>43570</v>
      </c>
      <c r="AA279" s="15">
        <v>5100</v>
      </c>
      <c r="AB279" s="206">
        <v>43591</v>
      </c>
      <c r="AC279" s="15">
        <v>6600</v>
      </c>
      <c r="AD279" s="206"/>
      <c r="AE279" s="15"/>
      <c r="AF279" s="244"/>
      <c r="AG279" s="15"/>
      <c r="AH279" s="15">
        <f t="shared" si="41"/>
        <v>11700</v>
      </c>
      <c r="AI279" s="22">
        <f t="shared" si="42"/>
        <v>0</v>
      </c>
      <c r="AJ279" s="22">
        <f t="shared" si="43"/>
        <v>0</v>
      </c>
    </row>
    <row r="280" spans="1:37" s="165" customFormat="1" hidden="1">
      <c r="A280" s="165" t="s">
        <v>306</v>
      </c>
      <c r="B280" s="13">
        <v>43499</v>
      </c>
      <c r="C280" s="13" t="s">
        <v>23</v>
      </c>
      <c r="D280" s="165" t="s">
        <v>149</v>
      </c>
      <c r="E280" s="198" t="s">
        <v>150</v>
      </c>
      <c r="F280" s="165" t="str">
        <f t="shared" si="38"/>
        <v>DALI_14.16_300_NL2018</v>
      </c>
      <c r="G280" s="165" t="s">
        <v>46</v>
      </c>
      <c r="H280" s="12"/>
      <c r="I280" s="24" t="s">
        <v>47</v>
      </c>
      <c r="J280" s="14">
        <v>300</v>
      </c>
      <c r="K280" s="15" t="s">
        <v>28</v>
      </c>
      <c r="L280" s="15"/>
      <c r="M280" s="16">
        <f t="shared" si="39"/>
        <v>21</v>
      </c>
      <c r="N280" s="15">
        <v>6300</v>
      </c>
      <c r="O280" s="15">
        <f>5300+113</f>
        <v>5413</v>
      </c>
      <c r="P280" s="15">
        <f t="shared" si="40"/>
        <v>34101900</v>
      </c>
      <c r="Q280" s="15" t="str">
        <f t="shared" si="44"/>
        <v>Done</v>
      </c>
      <c r="R280" s="18" t="s">
        <v>44</v>
      </c>
      <c r="S280" s="23">
        <v>43554</v>
      </c>
      <c r="T280" s="20">
        <f>IFERROR(VLOOKUP(S280,'Date Converter'!$A$4:$C$368,3,0),"")</f>
        <v>43589</v>
      </c>
      <c r="U280" s="21">
        <f t="shared" si="37"/>
        <v>43589</v>
      </c>
      <c r="V280" s="12" t="s">
        <v>57</v>
      </c>
      <c r="W280" s="18"/>
      <c r="X280" s="18"/>
      <c r="Y280" s="15"/>
      <c r="Z280" s="206">
        <v>43612</v>
      </c>
      <c r="AA280" s="15">
        <v>5100</v>
      </c>
      <c r="AB280" s="206">
        <v>43633</v>
      </c>
      <c r="AC280" s="15">
        <v>1200</v>
      </c>
      <c r="AD280" s="206"/>
      <c r="AE280" s="15"/>
      <c r="AF280" s="244"/>
      <c r="AG280" s="15"/>
      <c r="AH280" s="15">
        <f t="shared" si="41"/>
        <v>6300</v>
      </c>
      <c r="AI280" s="22">
        <f t="shared" si="42"/>
        <v>0</v>
      </c>
      <c r="AJ280" s="22">
        <f t="shared" si="43"/>
        <v>0</v>
      </c>
    </row>
    <row r="281" spans="1:37" hidden="1">
      <c r="A281" t="s">
        <v>306</v>
      </c>
      <c r="B281" s="13">
        <v>43499</v>
      </c>
      <c r="C281" s="13" t="s">
        <v>23</v>
      </c>
      <c r="D281" t="s">
        <v>149</v>
      </c>
      <c r="E281" s="198" t="s">
        <v>150</v>
      </c>
      <c r="F281" t="str">
        <f t="shared" si="38"/>
        <v>DALI_14.16_300_NL2018</v>
      </c>
      <c r="G281" s="165" t="s">
        <v>46</v>
      </c>
      <c r="I281" s="24" t="s">
        <v>47</v>
      </c>
      <c r="J281" s="14">
        <v>300</v>
      </c>
      <c r="K281" s="15" t="s">
        <v>28</v>
      </c>
      <c r="M281" s="16">
        <f t="shared" si="39"/>
        <v>13</v>
      </c>
      <c r="N281" s="15">
        <f>3600+300</f>
        <v>3900</v>
      </c>
      <c r="O281" s="15">
        <f>5300+113</f>
        <v>5413</v>
      </c>
      <c r="P281" s="15">
        <f t="shared" si="40"/>
        <v>21110700</v>
      </c>
      <c r="Q281" s="15" t="str">
        <f t="shared" si="44"/>
        <v>Done</v>
      </c>
      <c r="R281" s="18" t="s">
        <v>44</v>
      </c>
      <c r="S281" s="23">
        <v>43572</v>
      </c>
      <c r="T281" s="20">
        <f>IFERROR(VLOOKUP(S281,'Date Converter'!$A$4:$C$368,3,0),"")</f>
        <v>43606</v>
      </c>
      <c r="U281" s="21">
        <f t="shared" si="37"/>
        <v>43606</v>
      </c>
      <c r="V281" s="12" t="s">
        <v>57</v>
      </c>
      <c r="W281" s="18" t="s">
        <v>58</v>
      </c>
      <c r="X281" s="18">
        <v>43569</v>
      </c>
      <c r="Y281" s="15"/>
      <c r="Z281" s="206">
        <v>43633</v>
      </c>
      <c r="AA281" s="15">
        <v>3900</v>
      </c>
      <c r="AB281" s="206"/>
      <c r="AC281" s="15"/>
      <c r="AD281" s="206"/>
      <c r="AE281" s="15"/>
      <c r="AF281" s="244"/>
      <c r="AG281" s="15"/>
      <c r="AH281" s="15">
        <f t="shared" si="41"/>
        <v>3900</v>
      </c>
      <c r="AI281" s="22">
        <f t="shared" si="42"/>
        <v>0</v>
      </c>
      <c r="AJ281" s="22">
        <f t="shared" si="43"/>
        <v>0</v>
      </c>
      <c r="AK281" s="165"/>
    </row>
    <row r="282" spans="1:37" hidden="1">
      <c r="A282" t="s">
        <v>451</v>
      </c>
      <c r="B282" s="13">
        <v>43499</v>
      </c>
      <c r="C282" s="13" t="s">
        <v>23</v>
      </c>
      <c r="D282" s="258" t="s">
        <v>149</v>
      </c>
      <c r="E282" s="198" t="s">
        <v>150</v>
      </c>
      <c r="F282" t="str">
        <f t="shared" si="38"/>
        <v>CONC_20.22_125_NZ2019</v>
      </c>
      <c r="G282" s="165" t="s">
        <v>1509</v>
      </c>
      <c r="I282" s="12" t="s">
        <v>74</v>
      </c>
      <c r="J282" s="14">
        <v>125</v>
      </c>
      <c r="K282" s="15" t="s">
        <v>1507</v>
      </c>
      <c r="M282" s="16">
        <f t="shared" si="39"/>
        <v>8</v>
      </c>
      <c r="N282" s="15">
        <v>1000</v>
      </c>
      <c r="O282" s="15">
        <v>12000</v>
      </c>
      <c r="P282" s="15">
        <f t="shared" si="40"/>
        <v>12000000</v>
      </c>
      <c r="Q282" s="15" t="str">
        <f t="shared" si="44"/>
        <v/>
      </c>
      <c r="R282" s="18" t="s">
        <v>29</v>
      </c>
      <c r="S282" s="23">
        <v>43709</v>
      </c>
      <c r="T282" s="20" t="str">
        <f>IFERROR(VLOOKUP(S282,#REF!,3,0),"")</f>
        <v/>
      </c>
      <c r="U282" s="21" t="str">
        <f t="shared" si="37"/>
        <v/>
      </c>
      <c r="V282" s="15" t="s">
        <v>51</v>
      </c>
      <c r="Y282" s="15"/>
      <c r="AA282" s="15">
        <v>0</v>
      </c>
      <c r="AB282" s="206"/>
      <c r="AC282" s="15"/>
      <c r="AD282" s="15"/>
      <c r="AE282" s="15"/>
      <c r="AF282" s="244"/>
      <c r="AG282" s="15"/>
      <c r="AH282" s="15">
        <f t="shared" si="41"/>
        <v>0</v>
      </c>
      <c r="AI282" s="22">
        <f t="shared" si="42"/>
        <v>1000</v>
      </c>
      <c r="AJ282" s="22">
        <f t="shared" si="43"/>
        <v>12000000</v>
      </c>
      <c r="AK282" s="165"/>
    </row>
    <row r="283" spans="1:37" hidden="1">
      <c r="A283" t="s">
        <v>306</v>
      </c>
      <c r="B283" s="13">
        <v>43499</v>
      </c>
      <c r="C283" s="13" t="s">
        <v>23</v>
      </c>
      <c r="D283" t="s">
        <v>149</v>
      </c>
      <c r="E283" s="165" t="s">
        <v>150</v>
      </c>
      <c r="F283" t="str">
        <f t="shared" si="38"/>
        <v>CONC_14.16_250_NL2018</v>
      </c>
      <c r="G283" s="165" t="s">
        <v>153</v>
      </c>
      <c r="I283" s="12" t="s">
        <v>47</v>
      </c>
      <c r="J283" s="14">
        <v>250</v>
      </c>
      <c r="K283" s="15" t="s">
        <v>28</v>
      </c>
      <c r="M283" s="16">
        <f t="shared" si="39"/>
        <v>80</v>
      </c>
      <c r="N283" s="15">
        <v>20000</v>
      </c>
      <c r="O283" s="15">
        <v>3700</v>
      </c>
      <c r="P283" s="15">
        <f t="shared" si="40"/>
        <v>74000000</v>
      </c>
      <c r="Q283" s="15" t="str">
        <f t="shared" si="44"/>
        <v>Done</v>
      </c>
      <c r="R283" s="18" t="s">
        <v>44</v>
      </c>
      <c r="S283" s="23">
        <v>43480</v>
      </c>
      <c r="T283" s="20">
        <f>IFERROR(VLOOKUP(S283,'Date Converter'!$A$4:$C$368,3,0),"")</f>
        <v>43515</v>
      </c>
      <c r="U283" s="21">
        <f t="shared" si="37"/>
        <v>43515</v>
      </c>
      <c r="V283" s="12" t="s">
        <v>45</v>
      </c>
      <c r="Y283" s="15" t="s">
        <v>59</v>
      </c>
      <c r="Z283" s="206">
        <v>43515</v>
      </c>
      <c r="AA283" s="15">
        <v>10000</v>
      </c>
      <c r="AB283" s="206">
        <v>43528</v>
      </c>
      <c r="AC283" s="15">
        <v>10000</v>
      </c>
      <c r="AD283" s="206"/>
      <c r="AE283" s="15"/>
      <c r="AF283" s="244"/>
      <c r="AG283" s="15"/>
      <c r="AH283" s="15">
        <f t="shared" si="41"/>
        <v>20000</v>
      </c>
      <c r="AI283" s="22">
        <f t="shared" si="42"/>
        <v>0</v>
      </c>
      <c r="AJ283" s="22">
        <f t="shared" si="43"/>
        <v>0</v>
      </c>
      <c r="AK283" s="165"/>
    </row>
    <row r="284" spans="1:37" hidden="1">
      <c r="A284" s="165" t="s">
        <v>451</v>
      </c>
      <c r="B284" s="13">
        <v>43499</v>
      </c>
      <c r="C284" s="13" t="s">
        <v>23</v>
      </c>
      <c r="D284" s="258" t="s">
        <v>149</v>
      </c>
      <c r="E284" s="198" t="s">
        <v>150</v>
      </c>
      <c r="F284" s="165" t="str">
        <f t="shared" si="38"/>
        <v>CONC_18.20_150_NL2018</v>
      </c>
      <c r="G284" s="165" t="s">
        <v>43</v>
      </c>
      <c r="I284" s="12" t="s">
        <v>27</v>
      </c>
      <c r="J284" s="14">
        <v>150</v>
      </c>
      <c r="K284" s="15" t="s">
        <v>28</v>
      </c>
      <c r="M284" s="16">
        <f t="shared" si="39"/>
        <v>34</v>
      </c>
      <c r="N284" s="15">
        <v>5100</v>
      </c>
      <c r="O284" s="15">
        <v>7200</v>
      </c>
      <c r="P284" s="15">
        <f t="shared" si="40"/>
        <v>36720000</v>
      </c>
      <c r="Q284" s="15" t="str">
        <f t="shared" si="44"/>
        <v/>
      </c>
      <c r="R284" s="18" t="s">
        <v>29</v>
      </c>
      <c r="S284" s="23">
        <v>43709</v>
      </c>
      <c r="T284" s="20">
        <f>IFERROR(VLOOKUP(S284,'Date Converter'!$A$4:$C$368,3,0),"")</f>
        <v>43737</v>
      </c>
      <c r="U284" s="21">
        <f t="shared" si="37"/>
        <v>43737</v>
      </c>
      <c r="V284" s="15" t="s">
        <v>51</v>
      </c>
      <c r="Y284" s="15"/>
      <c r="AA284" s="15">
        <v>0</v>
      </c>
      <c r="AB284" s="206"/>
      <c r="AC284" s="15"/>
      <c r="AD284" s="15"/>
      <c r="AE284" s="15"/>
      <c r="AF284" s="244"/>
      <c r="AG284" s="15"/>
      <c r="AH284" s="15">
        <f t="shared" si="41"/>
        <v>0</v>
      </c>
      <c r="AI284" s="22">
        <f t="shared" si="42"/>
        <v>5100</v>
      </c>
      <c r="AJ284" s="22">
        <f t="shared" si="43"/>
        <v>36720000</v>
      </c>
      <c r="AK284" s="165"/>
    </row>
    <row r="285" spans="1:37" s="165" customFormat="1" hidden="1">
      <c r="A285" s="165" t="s">
        <v>451</v>
      </c>
      <c r="B285" s="13">
        <v>43499</v>
      </c>
      <c r="C285" s="13" t="s">
        <v>23</v>
      </c>
      <c r="D285" s="258" t="s">
        <v>149</v>
      </c>
      <c r="E285" s="198" t="s">
        <v>150</v>
      </c>
      <c r="F285" s="165" t="str">
        <f t="shared" si="38"/>
        <v>CONC_22.24_100_NL2018</v>
      </c>
      <c r="G285" s="165" t="s">
        <v>43</v>
      </c>
      <c r="H285" s="12"/>
      <c r="I285" s="12" t="s">
        <v>78</v>
      </c>
      <c r="J285" s="14">
        <v>100</v>
      </c>
      <c r="K285" s="15" t="s">
        <v>28</v>
      </c>
      <c r="L285" s="15"/>
      <c r="M285" s="16">
        <f t="shared" si="39"/>
        <v>40</v>
      </c>
      <c r="N285" s="15">
        <f>5000-1000</f>
        <v>4000</v>
      </c>
      <c r="O285" s="15">
        <v>12500</v>
      </c>
      <c r="P285" s="15">
        <f t="shared" si="40"/>
        <v>50000000</v>
      </c>
      <c r="Q285" s="15" t="str">
        <f t="shared" si="44"/>
        <v/>
      </c>
      <c r="R285" s="18" t="s">
        <v>29</v>
      </c>
      <c r="S285" s="23">
        <v>43709</v>
      </c>
      <c r="T285" s="20">
        <f>IFERROR(VLOOKUP(S285,'Date Converter'!$A$4:$C$368,3,0),"")</f>
        <v>43737</v>
      </c>
      <c r="U285" s="21">
        <f t="shared" ref="U285:U346" si="45">+T285</f>
        <v>43737</v>
      </c>
      <c r="V285" s="15" t="s">
        <v>51</v>
      </c>
      <c r="W285" s="18"/>
      <c r="X285" s="18"/>
      <c r="Y285" s="15"/>
      <c r="Z285" s="206"/>
      <c r="AA285" s="15">
        <v>0</v>
      </c>
      <c r="AB285" s="206"/>
      <c r="AC285" s="15"/>
      <c r="AD285" s="15"/>
      <c r="AE285" s="15"/>
      <c r="AF285" s="244"/>
      <c r="AG285" s="15"/>
      <c r="AH285" s="15">
        <f t="shared" si="41"/>
        <v>0</v>
      </c>
      <c r="AI285" s="22">
        <f t="shared" si="42"/>
        <v>4000</v>
      </c>
      <c r="AJ285" s="22">
        <f t="shared" si="43"/>
        <v>50000000</v>
      </c>
    </row>
    <row r="286" spans="1:37" hidden="1">
      <c r="A286" t="s">
        <v>306</v>
      </c>
      <c r="B286" s="13">
        <v>43499</v>
      </c>
      <c r="C286" s="13" t="s">
        <v>23</v>
      </c>
      <c r="D286" t="s">
        <v>149</v>
      </c>
      <c r="E286" s="165" t="s">
        <v>150</v>
      </c>
      <c r="F286" t="str">
        <f t="shared" si="38"/>
        <v>CONC_16.18_200_NL2018</v>
      </c>
      <c r="G286" s="165" t="s">
        <v>43</v>
      </c>
      <c r="I286" s="12" t="s">
        <v>35</v>
      </c>
      <c r="J286" s="14">
        <v>200</v>
      </c>
      <c r="K286" s="15" t="s">
        <v>28</v>
      </c>
      <c r="M286" s="16">
        <f t="shared" si="39"/>
        <v>2</v>
      </c>
      <c r="N286" s="15">
        <v>400</v>
      </c>
      <c r="O286" s="15">
        <v>4700</v>
      </c>
      <c r="P286" s="15">
        <f t="shared" si="40"/>
        <v>1880000</v>
      </c>
      <c r="Q286" s="15" t="str">
        <f t="shared" si="44"/>
        <v>Done</v>
      </c>
      <c r="R286" s="18" t="s">
        <v>44</v>
      </c>
      <c r="S286" s="23">
        <v>43511</v>
      </c>
      <c r="T286" s="20">
        <f>IFERROR(VLOOKUP(S286,'Date Converter'!$A$4:$C$368,3,0),"")</f>
        <v>43544</v>
      </c>
      <c r="U286" s="21">
        <f t="shared" si="45"/>
        <v>43544</v>
      </c>
      <c r="V286" s="12" t="s">
        <v>32</v>
      </c>
      <c r="W286" s="18" t="s">
        <v>48</v>
      </c>
      <c r="X286" s="18">
        <v>43541</v>
      </c>
      <c r="Y286" s="15" t="s">
        <v>59</v>
      </c>
      <c r="Z286" s="206">
        <v>43543</v>
      </c>
      <c r="AA286" s="15">
        <v>400</v>
      </c>
      <c r="AB286" s="206"/>
      <c r="AC286" s="15"/>
      <c r="AD286" s="206"/>
      <c r="AE286" s="15"/>
      <c r="AF286" s="244"/>
      <c r="AG286" s="15"/>
      <c r="AH286" s="15">
        <f t="shared" si="41"/>
        <v>400</v>
      </c>
      <c r="AI286" s="22">
        <f t="shared" si="42"/>
        <v>0</v>
      </c>
      <c r="AJ286" s="22">
        <f t="shared" si="43"/>
        <v>0</v>
      </c>
    </row>
    <row r="287" spans="1:37" hidden="1">
      <c r="A287" t="s">
        <v>306</v>
      </c>
      <c r="B287" s="13">
        <v>43499</v>
      </c>
      <c r="C287" s="13" t="s">
        <v>23</v>
      </c>
      <c r="D287" t="s">
        <v>149</v>
      </c>
      <c r="E287" s="165" t="s">
        <v>150</v>
      </c>
      <c r="F287" t="str">
        <f t="shared" si="38"/>
        <v>CONC_16.18_200_NL2018</v>
      </c>
      <c r="G287" s="165" t="s">
        <v>43</v>
      </c>
      <c r="I287" s="12" t="s">
        <v>35</v>
      </c>
      <c r="J287" s="14">
        <v>200</v>
      </c>
      <c r="K287" s="15" t="s">
        <v>28</v>
      </c>
      <c r="M287" s="16">
        <f t="shared" si="39"/>
        <v>13</v>
      </c>
      <c r="N287" s="15">
        <v>2600</v>
      </c>
      <c r="O287" s="15">
        <v>4700</v>
      </c>
      <c r="P287" s="15">
        <f t="shared" si="40"/>
        <v>12220000</v>
      </c>
      <c r="Q287" s="15" t="str">
        <f t="shared" si="44"/>
        <v>Done</v>
      </c>
      <c r="R287" s="18" t="s">
        <v>44</v>
      </c>
      <c r="S287" s="23">
        <v>43511</v>
      </c>
      <c r="T287" s="20">
        <f>IFERROR(VLOOKUP(S287,'Date Converter'!$A$4:$C$368,3,0),"")</f>
        <v>43544</v>
      </c>
      <c r="U287" s="21">
        <f t="shared" si="45"/>
        <v>43544</v>
      </c>
      <c r="V287" s="12" t="s">
        <v>32</v>
      </c>
      <c r="W287" s="18" t="s">
        <v>41</v>
      </c>
      <c r="X287" s="18">
        <v>43541</v>
      </c>
      <c r="Y287" s="15" t="s">
        <v>59</v>
      </c>
      <c r="Z287" s="206">
        <v>43543</v>
      </c>
      <c r="AA287" s="15">
        <v>2600</v>
      </c>
      <c r="AB287" s="206"/>
      <c r="AC287" s="15"/>
      <c r="AD287" s="206"/>
      <c r="AE287" s="15"/>
      <c r="AF287" s="244"/>
      <c r="AG287" s="15"/>
      <c r="AH287" s="15">
        <f t="shared" si="41"/>
        <v>2600</v>
      </c>
      <c r="AI287" s="22">
        <f t="shared" si="42"/>
        <v>0</v>
      </c>
      <c r="AJ287" s="22">
        <f t="shared" si="43"/>
        <v>0</v>
      </c>
    </row>
    <row r="288" spans="1:37" hidden="1">
      <c r="A288" t="s">
        <v>306</v>
      </c>
      <c r="B288" s="13">
        <v>43499</v>
      </c>
      <c r="C288" s="13" t="s">
        <v>23</v>
      </c>
      <c r="D288" t="s">
        <v>149</v>
      </c>
      <c r="E288" s="165" t="s">
        <v>150</v>
      </c>
      <c r="F288" t="str">
        <f t="shared" si="38"/>
        <v>CONC_16.18_200_NL2018</v>
      </c>
      <c r="G288" s="165" t="s">
        <v>43</v>
      </c>
      <c r="I288" s="12" t="s">
        <v>35</v>
      </c>
      <c r="J288" s="14">
        <v>200</v>
      </c>
      <c r="K288" s="15" t="s">
        <v>28</v>
      </c>
      <c r="M288" s="16">
        <f t="shared" si="39"/>
        <v>50</v>
      </c>
      <c r="N288" s="15">
        <v>10000</v>
      </c>
      <c r="O288" s="15">
        <v>4700</v>
      </c>
      <c r="P288" s="15">
        <f t="shared" si="40"/>
        <v>47000000</v>
      </c>
      <c r="Q288" s="15" t="str">
        <f t="shared" si="44"/>
        <v>Done</v>
      </c>
      <c r="R288" s="18" t="s">
        <v>44</v>
      </c>
      <c r="S288" s="19">
        <v>43539</v>
      </c>
      <c r="T288" s="20">
        <f>IFERROR(VLOOKUP(S288,'Date Converter'!$A$4:$C$368,3,0),"")</f>
        <v>43574</v>
      </c>
      <c r="U288" s="21">
        <f t="shared" si="45"/>
        <v>43574</v>
      </c>
      <c r="V288" s="12" t="s">
        <v>57</v>
      </c>
      <c r="W288" s="18" t="s">
        <v>108</v>
      </c>
      <c r="X288" s="18">
        <v>43569</v>
      </c>
      <c r="Y288" s="15" t="s">
        <v>59</v>
      </c>
      <c r="Z288" s="206">
        <v>43558</v>
      </c>
      <c r="AA288" s="15">
        <v>5000</v>
      </c>
      <c r="AB288" s="206">
        <v>43570</v>
      </c>
      <c r="AC288" s="15">
        <v>5000</v>
      </c>
      <c r="AD288" s="206"/>
      <c r="AE288" s="15"/>
      <c r="AF288" s="244"/>
      <c r="AG288" s="15"/>
      <c r="AH288" s="15">
        <f t="shared" si="41"/>
        <v>10000</v>
      </c>
      <c r="AI288" s="22">
        <f t="shared" si="42"/>
        <v>0</v>
      </c>
      <c r="AJ288" s="22">
        <f t="shared" si="43"/>
        <v>0</v>
      </c>
      <c r="AK288" t="s">
        <v>152</v>
      </c>
    </row>
    <row r="289" spans="1:37" hidden="1">
      <c r="A289" t="s">
        <v>306</v>
      </c>
      <c r="B289" s="13">
        <v>43499</v>
      </c>
      <c r="C289" s="13" t="s">
        <v>23</v>
      </c>
      <c r="D289" t="s">
        <v>149</v>
      </c>
      <c r="E289" s="165" t="s">
        <v>150</v>
      </c>
      <c r="F289" t="str">
        <f t="shared" si="38"/>
        <v>CONC_16.18_200_NL2018</v>
      </c>
      <c r="G289" t="s">
        <v>43</v>
      </c>
      <c r="I289" s="12" t="s">
        <v>35</v>
      </c>
      <c r="J289" s="14">
        <v>200</v>
      </c>
      <c r="K289" s="15" t="s">
        <v>28</v>
      </c>
      <c r="M289" s="16">
        <f t="shared" si="39"/>
        <v>50</v>
      </c>
      <c r="N289" s="15">
        <v>10000</v>
      </c>
      <c r="O289" s="15">
        <v>4700</v>
      </c>
      <c r="P289" s="15">
        <f t="shared" si="40"/>
        <v>47000000</v>
      </c>
      <c r="Q289" s="15" t="str">
        <f t="shared" si="44"/>
        <v>Done</v>
      </c>
      <c r="R289" s="18" t="s">
        <v>44</v>
      </c>
      <c r="S289" s="23" t="s">
        <v>53</v>
      </c>
      <c r="T289" s="20">
        <f>IFERROR(VLOOKUP(S289,'Date Converter'!$A$4:$C$368,3,0),"")</f>
        <v>43559</v>
      </c>
      <c r="U289" s="21">
        <f t="shared" si="45"/>
        <v>43559</v>
      </c>
      <c r="V289" s="20" t="s">
        <v>54</v>
      </c>
      <c r="W289" s="18" t="s">
        <v>107</v>
      </c>
      <c r="X289" s="18">
        <v>43555</v>
      </c>
      <c r="Y289" s="15" t="s">
        <v>59</v>
      </c>
      <c r="Z289" s="206">
        <v>43581</v>
      </c>
      <c r="AA289" s="15">
        <v>5000</v>
      </c>
      <c r="AB289" s="206">
        <v>43591</v>
      </c>
      <c r="AC289" s="15">
        <v>5000</v>
      </c>
      <c r="AD289" s="206"/>
      <c r="AE289" s="15"/>
      <c r="AF289" s="244"/>
      <c r="AG289" s="15"/>
      <c r="AH289" s="15">
        <f t="shared" si="41"/>
        <v>10000</v>
      </c>
      <c r="AI289" s="22">
        <f t="shared" si="42"/>
        <v>0</v>
      </c>
      <c r="AJ289" s="22">
        <f t="shared" si="43"/>
        <v>0</v>
      </c>
      <c r="AK289" s="165"/>
    </row>
    <row r="290" spans="1:37" hidden="1">
      <c r="A290" t="s">
        <v>306</v>
      </c>
      <c r="B290" s="13">
        <v>43610</v>
      </c>
      <c r="C290" s="13" t="s">
        <v>23</v>
      </c>
      <c r="D290" t="s">
        <v>149</v>
      </c>
      <c r="E290" s="198" t="s">
        <v>150</v>
      </c>
      <c r="F290" t="str">
        <f t="shared" si="38"/>
        <v>CONC_16.18_200_NL2018</v>
      </c>
      <c r="G290" s="165" t="s">
        <v>40</v>
      </c>
      <c r="I290" s="12" t="s">
        <v>35</v>
      </c>
      <c r="J290" s="14">
        <v>200</v>
      </c>
      <c r="K290" s="15" t="s">
        <v>28</v>
      </c>
      <c r="M290" s="16">
        <f t="shared" si="39"/>
        <v>25</v>
      </c>
      <c r="N290" s="15">
        <v>5000</v>
      </c>
      <c r="O290" s="15">
        <v>5000</v>
      </c>
      <c r="P290" s="15">
        <f t="shared" si="40"/>
        <v>25000000</v>
      </c>
      <c r="Q290" s="15" t="str">
        <f t="shared" si="44"/>
        <v>Done</v>
      </c>
      <c r="R290" s="18" t="s">
        <v>44</v>
      </c>
      <c r="S290" s="23">
        <v>43572</v>
      </c>
      <c r="T290" s="20">
        <f>IFERROR(VLOOKUP(S290,'Date Converter'!$A$4:$C$368,3,0),"")</f>
        <v>43606</v>
      </c>
      <c r="U290" s="21">
        <f t="shared" si="45"/>
        <v>43606</v>
      </c>
      <c r="Y290" s="15"/>
      <c r="Z290" s="206">
        <v>43612</v>
      </c>
      <c r="AA290" s="15">
        <v>5000</v>
      </c>
      <c r="AB290" s="206"/>
      <c r="AC290" s="15"/>
      <c r="AD290" s="206"/>
      <c r="AE290" s="15"/>
      <c r="AF290" s="244"/>
      <c r="AG290" s="15"/>
      <c r="AH290" s="15">
        <f t="shared" si="41"/>
        <v>5000</v>
      </c>
      <c r="AI290" s="22">
        <f t="shared" si="42"/>
        <v>0</v>
      </c>
      <c r="AJ290" s="22">
        <f t="shared" si="43"/>
        <v>0</v>
      </c>
      <c r="AK290" s="165"/>
    </row>
    <row r="291" spans="1:37" ht="14.25" hidden="1" customHeight="1">
      <c r="A291" t="s">
        <v>1654</v>
      </c>
      <c r="B291" s="13">
        <v>43516</v>
      </c>
      <c r="C291" s="13" t="s">
        <v>1622</v>
      </c>
      <c r="D291" s="198" t="s">
        <v>1046</v>
      </c>
      <c r="E291" s="198" t="s">
        <v>1047</v>
      </c>
      <c r="F291" t="str">
        <f t="shared" si="38"/>
        <v>YELL_14.16_300_NL2018</v>
      </c>
      <c r="G291" s="198" t="s">
        <v>89</v>
      </c>
      <c r="H291" s="213"/>
      <c r="I291" s="213" t="s">
        <v>47</v>
      </c>
      <c r="J291" s="14">
        <v>300</v>
      </c>
      <c r="K291" s="15" t="s">
        <v>28</v>
      </c>
      <c r="L291" s="17"/>
      <c r="M291" s="16">
        <f t="shared" si="39"/>
        <v>27</v>
      </c>
      <c r="N291" s="17">
        <v>8100</v>
      </c>
      <c r="O291" s="17">
        <v>3800</v>
      </c>
      <c r="P291" s="15">
        <f t="shared" si="40"/>
        <v>30780000</v>
      </c>
      <c r="Q291" s="15" t="str">
        <f t="shared" si="44"/>
        <v>Done</v>
      </c>
      <c r="R291" s="18" t="s">
        <v>1591</v>
      </c>
      <c r="S291" s="23" t="s">
        <v>53</v>
      </c>
      <c r="T291" s="20">
        <f>IFERROR(VLOOKUP(S291,'Date Converter'!$A$4:$C$368,3,0),"")</f>
        <v>43559</v>
      </c>
      <c r="U291" s="21">
        <f t="shared" si="45"/>
        <v>43559</v>
      </c>
      <c r="V291" s="12" t="s">
        <v>57</v>
      </c>
      <c r="W291" s="18" t="s">
        <v>132</v>
      </c>
      <c r="Y291" s="18"/>
      <c r="Z291" s="217">
        <v>43558</v>
      </c>
      <c r="AA291" s="15">
        <f>4200</f>
        <v>4200</v>
      </c>
      <c r="AB291" s="217">
        <v>43571</v>
      </c>
      <c r="AC291" s="17">
        <v>3900</v>
      </c>
      <c r="AD291" s="17"/>
      <c r="AE291" s="17"/>
      <c r="AF291" s="247"/>
      <c r="AG291" s="17"/>
      <c r="AH291" s="15">
        <f t="shared" si="41"/>
        <v>8100</v>
      </c>
      <c r="AI291" s="22">
        <f t="shared" si="42"/>
        <v>0</v>
      </c>
      <c r="AJ291" s="22">
        <f t="shared" si="43"/>
        <v>0</v>
      </c>
      <c r="AK291" s="13"/>
    </row>
    <row r="292" spans="1:37" ht="14.25" hidden="1" customHeight="1">
      <c r="A292" t="s">
        <v>1654</v>
      </c>
      <c r="B292" s="13">
        <v>43603</v>
      </c>
      <c r="C292" s="13" t="s">
        <v>1622</v>
      </c>
      <c r="D292" s="198" t="s">
        <v>1046</v>
      </c>
      <c r="E292" s="198" t="s">
        <v>1047</v>
      </c>
      <c r="F292" t="str">
        <f t="shared" si="38"/>
        <v>YELL_DN_16.18_200_NL2018</v>
      </c>
      <c r="G292" s="198" t="s">
        <v>89</v>
      </c>
      <c r="H292" s="213" t="s">
        <v>480</v>
      </c>
      <c r="I292" s="213" t="s">
        <v>35</v>
      </c>
      <c r="J292" s="14">
        <v>200</v>
      </c>
      <c r="K292" s="15" t="s">
        <v>28</v>
      </c>
      <c r="L292" s="17"/>
      <c r="M292" s="16">
        <f t="shared" si="39"/>
        <v>10</v>
      </c>
      <c r="N292" s="17">
        <v>2000</v>
      </c>
      <c r="O292" s="17">
        <v>5500</v>
      </c>
      <c r="P292" s="15">
        <f t="shared" si="40"/>
        <v>11000000</v>
      </c>
      <c r="Q292" s="15" t="str">
        <f t="shared" si="44"/>
        <v>Done</v>
      </c>
      <c r="R292" s="18" t="s">
        <v>44</v>
      </c>
      <c r="S292" s="23">
        <v>43572</v>
      </c>
      <c r="T292" s="20">
        <f>IFERROR(VLOOKUP(S292,'Date Converter'!$A$4:$C$368,3,0),"")</f>
        <v>43606</v>
      </c>
      <c r="U292" s="21">
        <f t="shared" si="45"/>
        <v>43606</v>
      </c>
      <c r="Y292" s="18"/>
      <c r="Z292" s="217">
        <v>43609</v>
      </c>
      <c r="AA292" s="15">
        <v>2000</v>
      </c>
      <c r="AB292" s="217"/>
      <c r="AC292" s="17"/>
      <c r="AD292" s="17"/>
      <c r="AE292" s="17"/>
      <c r="AF292" s="247"/>
      <c r="AG292" s="17"/>
      <c r="AH292" s="15">
        <f t="shared" si="41"/>
        <v>2000</v>
      </c>
      <c r="AI292" s="22">
        <f t="shared" si="42"/>
        <v>0</v>
      </c>
      <c r="AJ292" s="22">
        <f t="shared" si="43"/>
        <v>0</v>
      </c>
      <c r="AK292" s="13"/>
    </row>
    <row r="293" spans="1:37" hidden="1">
      <c r="A293" t="s">
        <v>1655</v>
      </c>
      <c r="B293" s="13">
        <v>43558</v>
      </c>
      <c r="C293" s="13" t="s">
        <v>1622</v>
      </c>
      <c r="D293" s="198" t="s">
        <v>1046</v>
      </c>
      <c r="E293" s="198" t="s">
        <v>1047</v>
      </c>
      <c r="F293" t="str">
        <f t="shared" si="38"/>
        <v>YELL_14.16_300_NL2018</v>
      </c>
      <c r="G293" s="198" t="s">
        <v>89</v>
      </c>
      <c r="H293" s="213"/>
      <c r="I293" s="213" t="s">
        <v>47</v>
      </c>
      <c r="J293" s="14">
        <v>300</v>
      </c>
      <c r="K293" s="15" t="s">
        <v>28</v>
      </c>
      <c r="L293" s="17"/>
      <c r="M293" s="16">
        <f t="shared" si="39"/>
        <v>34</v>
      </c>
      <c r="N293" s="17">
        <v>10200</v>
      </c>
      <c r="O293" s="17">
        <v>4000</v>
      </c>
      <c r="P293" s="15">
        <f t="shared" si="40"/>
        <v>40800000</v>
      </c>
      <c r="Q293" s="15" t="str">
        <f t="shared" si="44"/>
        <v/>
      </c>
      <c r="R293" s="18" t="s">
        <v>31</v>
      </c>
      <c r="S293" s="117">
        <v>43613</v>
      </c>
      <c r="T293" s="20">
        <f>IFERROR(VLOOKUP(S293,'Date Converter'!$A$4:$C$368,3,0),"")</f>
        <v>43646</v>
      </c>
      <c r="U293" s="21">
        <f t="shared" si="45"/>
        <v>43646</v>
      </c>
      <c r="V293" s="12" t="s">
        <v>1656</v>
      </c>
      <c r="Y293" s="18"/>
      <c r="Z293" s="217"/>
      <c r="AA293" s="15"/>
      <c r="AB293" s="217"/>
      <c r="AC293" s="17"/>
      <c r="AD293" s="17"/>
      <c r="AE293" s="17"/>
      <c r="AF293" s="247"/>
      <c r="AG293" s="17"/>
      <c r="AH293" s="15">
        <f t="shared" si="41"/>
        <v>0</v>
      </c>
      <c r="AI293" s="22">
        <f t="shared" si="42"/>
        <v>10200</v>
      </c>
      <c r="AJ293" s="22">
        <f t="shared" si="43"/>
        <v>40800000</v>
      </c>
      <c r="AK293" s="13"/>
    </row>
    <row r="294" spans="1:37" hidden="1">
      <c r="A294" t="s">
        <v>1657</v>
      </c>
      <c r="B294" s="13">
        <v>43516</v>
      </c>
      <c r="C294" s="13" t="s">
        <v>1622</v>
      </c>
      <c r="D294" s="259" t="s">
        <v>1046</v>
      </c>
      <c r="E294" s="198" t="s">
        <v>1047</v>
      </c>
      <c r="F294" t="str">
        <f t="shared" si="38"/>
        <v>TEBA_16.18_200_NL2018</v>
      </c>
      <c r="G294" s="198" t="s">
        <v>127</v>
      </c>
      <c r="H294" s="213"/>
      <c r="I294" s="213" t="s">
        <v>35</v>
      </c>
      <c r="J294" s="14">
        <v>200</v>
      </c>
      <c r="K294" s="15" t="s">
        <v>28</v>
      </c>
      <c r="L294" s="17"/>
      <c r="M294" s="16">
        <f t="shared" si="39"/>
        <v>25</v>
      </c>
      <c r="N294" s="17">
        <v>5000</v>
      </c>
      <c r="O294" s="17">
        <v>6100</v>
      </c>
      <c r="P294" s="15">
        <f t="shared" si="40"/>
        <v>30500000</v>
      </c>
      <c r="Q294" s="15" t="str">
        <f t="shared" si="44"/>
        <v/>
      </c>
      <c r="R294" s="18" t="s">
        <v>29</v>
      </c>
      <c r="S294" s="117">
        <v>43709</v>
      </c>
      <c r="T294" s="20">
        <f>IFERROR(VLOOKUP(S294,'Date Converter'!$A$4:$C$368,3,0),"")</f>
        <v>43737</v>
      </c>
      <c r="U294" s="21">
        <f t="shared" si="45"/>
        <v>43737</v>
      </c>
      <c r="V294" s="213" t="s">
        <v>51</v>
      </c>
      <c r="Y294" s="18"/>
      <c r="Z294" s="217"/>
      <c r="AA294" s="15">
        <v>0</v>
      </c>
      <c r="AB294" s="217"/>
      <c r="AC294" s="17"/>
      <c r="AD294" s="17"/>
      <c r="AE294" s="17"/>
      <c r="AF294" s="247"/>
      <c r="AG294" s="17"/>
      <c r="AH294" s="15">
        <f t="shared" si="41"/>
        <v>0</v>
      </c>
      <c r="AI294" s="22">
        <f t="shared" si="42"/>
        <v>5000</v>
      </c>
      <c r="AJ294" s="22">
        <f t="shared" si="43"/>
        <v>30500000</v>
      </c>
      <c r="AK294" s="13"/>
    </row>
    <row r="295" spans="1:37" hidden="1">
      <c r="A295" t="s">
        <v>1655</v>
      </c>
      <c r="B295" s="13">
        <v>43558</v>
      </c>
      <c r="C295" s="13" t="s">
        <v>1622</v>
      </c>
      <c r="D295" s="198" t="s">
        <v>1046</v>
      </c>
      <c r="E295" s="198" t="s">
        <v>1047</v>
      </c>
      <c r="F295" t="str">
        <f t="shared" si="38"/>
        <v>TARR_14.16_300_NL2018</v>
      </c>
      <c r="G295" s="198" t="s">
        <v>62</v>
      </c>
      <c r="H295" s="213"/>
      <c r="I295" s="213" t="s">
        <v>47</v>
      </c>
      <c r="J295" s="14">
        <v>300</v>
      </c>
      <c r="K295" s="15" t="s">
        <v>28</v>
      </c>
      <c r="L295" s="17"/>
      <c r="M295" s="16">
        <f t="shared" si="39"/>
        <v>20</v>
      </c>
      <c r="N295" s="17">
        <v>6000</v>
      </c>
      <c r="O295" s="17">
        <v>4800</v>
      </c>
      <c r="P295" s="15">
        <f t="shared" si="40"/>
        <v>28800000</v>
      </c>
      <c r="Q295" s="15" t="str">
        <f t="shared" si="44"/>
        <v/>
      </c>
      <c r="R295" s="18" t="s">
        <v>31</v>
      </c>
      <c r="S295" s="117">
        <v>43613</v>
      </c>
      <c r="T295" s="20">
        <f>IFERROR(VLOOKUP(S295,'Date Converter'!$A$4:$C$368,3,0),"")</f>
        <v>43646</v>
      </c>
      <c r="U295" s="21">
        <f t="shared" si="45"/>
        <v>43646</v>
      </c>
      <c r="V295" s="12" t="s">
        <v>1656</v>
      </c>
      <c r="Y295" s="18"/>
      <c r="Z295" s="217"/>
      <c r="AA295" s="15"/>
      <c r="AB295" s="217"/>
      <c r="AC295" s="17"/>
      <c r="AD295" s="17"/>
      <c r="AE295" s="17"/>
      <c r="AF295" s="247"/>
      <c r="AG295" s="17"/>
      <c r="AH295" s="15">
        <f t="shared" si="41"/>
        <v>0</v>
      </c>
      <c r="AI295" s="22">
        <f t="shared" si="42"/>
        <v>6000</v>
      </c>
      <c r="AJ295" s="22">
        <f t="shared" si="43"/>
        <v>28800000</v>
      </c>
      <c r="AK295" s="13"/>
    </row>
    <row r="296" spans="1:37" hidden="1">
      <c r="A296" t="s">
        <v>1657</v>
      </c>
      <c r="B296" s="13">
        <v>43516</v>
      </c>
      <c r="C296" s="13" t="s">
        <v>1622</v>
      </c>
      <c r="D296" s="259" t="s">
        <v>1046</v>
      </c>
      <c r="E296" s="198" t="s">
        <v>1047</v>
      </c>
      <c r="F296" s="165" t="str">
        <f t="shared" si="38"/>
        <v>TARR_20.22_125_NL2018</v>
      </c>
      <c r="G296" s="198" t="s">
        <v>62</v>
      </c>
      <c r="H296" s="213"/>
      <c r="I296" s="213" t="s">
        <v>74</v>
      </c>
      <c r="J296" s="14">
        <v>125</v>
      </c>
      <c r="K296" s="15" t="s">
        <v>28</v>
      </c>
      <c r="L296" s="17"/>
      <c r="M296" s="16">
        <f t="shared" si="39"/>
        <v>40</v>
      </c>
      <c r="N296" s="17">
        <v>5000</v>
      </c>
      <c r="O296" s="17">
        <v>11000</v>
      </c>
      <c r="P296" s="15">
        <f t="shared" si="40"/>
        <v>55000000</v>
      </c>
      <c r="Q296" s="15" t="str">
        <f t="shared" si="44"/>
        <v/>
      </c>
      <c r="R296" s="18" t="s">
        <v>29</v>
      </c>
      <c r="S296" s="117">
        <v>43709</v>
      </c>
      <c r="T296" s="20">
        <f>IFERROR(VLOOKUP(S296,'Date Converter'!$A$4:$C$368,3,0),"")</f>
        <v>43737</v>
      </c>
      <c r="U296" s="21">
        <f t="shared" si="45"/>
        <v>43737</v>
      </c>
      <c r="V296" s="213" t="s">
        <v>51</v>
      </c>
      <c r="Y296" s="18"/>
      <c r="Z296" s="217"/>
      <c r="AA296" s="15">
        <v>0</v>
      </c>
      <c r="AB296" s="217"/>
      <c r="AC296" s="17"/>
      <c r="AD296" s="17"/>
      <c r="AE296" s="17"/>
      <c r="AF296" s="247"/>
      <c r="AG296" s="17"/>
      <c r="AH296" s="15">
        <f t="shared" si="41"/>
        <v>0</v>
      </c>
      <c r="AI296" s="22">
        <f t="shared" si="42"/>
        <v>5000</v>
      </c>
      <c r="AJ296" s="22">
        <f t="shared" si="43"/>
        <v>55000000</v>
      </c>
      <c r="AK296" s="13">
        <v>43836</v>
      </c>
    </row>
    <row r="297" spans="1:37" hidden="1">
      <c r="A297" t="s">
        <v>1654</v>
      </c>
      <c r="B297" s="13">
        <v>43516</v>
      </c>
      <c r="C297" s="13" t="s">
        <v>1622</v>
      </c>
      <c r="D297" s="198" t="s">
        <v>1046</v>
      </c>
      <c r="E297" s="198" t="s">
        <v>1047</v>
      </c>
      <c r="F297" t="str">
        <f t="shared" si="38"/>
        <v>ROBI_16.18_200_NL2018</v>
      </c>
      <c r="G297" s="165" t="s">
        <v>61</v>
      </c>
      <c r="H297" s="213"/>
      <c r="I297" s="213" t="s">
        <v>35</v>
      </c>
      <c r="J297" s="14">
        <v>200</v>
      </c>
      <c r="K297" s="15" t="s">
        <v>28</v>
      </c>
      <c r="L297" s="17"/>
      <c r="M297" s="16">
        <f t="shared" si="39"/>
        <v>50</v>
      </c>
      <c r="N297" s="17">
        <v>10000</v>
      </c>
      <c r="O297" s="17">
        <v>5000</v>
      </c>
      <c r="P297" s="15">
        <f t="shared" si="40"/>
        <v>50000000</v>
      </c>
      <c r="Q297" s="15" t="str">
        <f t="shared" si="44"/>
        <v>Done</v>
      </c>
      <c r="R297" s="18" t="s">
        <v>44</v>
      </c>
      <c r="S297" s="23" t="s">
        <v>53</v>
      </c>
      <c r="T297" s="20">
        <f>IFERROR(VLOOKUP(S297,'Date Converter'!$A$4:$C$368,3,0),"")</f>
        <v>43559</v>
      </c>
      <c r="U297" s="21">
        <f t="shared" si="45"/>
        <v>43559</v>
      </c>
      <c r="V297" s="12" t="s">
        <v>57</v>
      </c>
      <c r="W297" s="18" t="s">
        <v>141</v>
      </c>
      <c r="Y297" s="18"/>
      <c r="Z297" s="217">
        <v>43558</v>
      </c>
      <c r="AA297" s="15">
        <f>5000</f>
        <v>5000</v>
      </c>
      <c r="AB297" s="217">
        <v>43571</v>
      </c>
      <c r="AC297" s="17">
        <v>5000</v>
      </c>
      <c r="AD297" s="17"/>
      <c r="AE297" s="17"/>
      <c r="AF297" s="247"/>
      <c r="AG297" s="17"/>
      <c r="AH297" s="15">
        <f t="shared" si="41"/>
        <v>10000</v>
      </c>
      <c r="AI297" s="22">
        <f t="shared" si="42"/>
        <v>0</v>
      </c>
      <c r="AJ297" s="22">
        <f t="shared" si="43"/>
        <v>0</v>
      </c>
      <c r="AK297" s="13">
        <v>43835</v>
      </c>
    </row>
    <row r="298" spans="1:37" hidden="1">
      <c r="A298" t="s">
        <v>1655</v>
      </c>
      <c r="B298" s="13">
        <v>43558</v>
      </c>
      <c r="C298" s="13" t="s">
        <v>1622</v>
      </c>
      <c r="D298" s="198" t="s">
        <v>1046</v>
      </c>
      <c r="E298" s="198" t="s">
        <v>1047</v>
      </c>
      <c r="F298" t="str">
        <f t="shared" si="38"/>
        <v>ROBI_16.18_200_NL2018</v>
      </c>
      <c r="G298" s="198" t="s">
        <v>61</v>
      </c>
      <c r="H298" s="213"/>
      <c r="I298" s="213" t="s">
        <v>35</v>
      </c>
      <c r="J298" s="14">
        <v>200</v>
      </c>
      <c r="K298" s="15" t="s">
        <v>28</v>
      </c>
      <c r="L298" s="17"/>
      <c r="M298" s="16">
        <f t="shared" si="39"/>
        <v>0</v>
      </c>
      <c r="N298" s="17">
        <f>10000-10000</f>
        <v>0</v>
      </c>
      <c r="O298" s="17">
        <v>5400</v>
      </c>
      <c r="P298" s="15">
        <f t="shared" si="40"/>
        <v>0</v>
      </c>
      <c r="Q298" s="15" t="str">
        <f t="shared" si="44"/>
        <v>Canceled</v>
      </c>
      <c r="R298" s="18" t="s">
        <v>71</v>
      </c>
      <c r="S298" s="117">
        <v>43613</v>
      </c>
      <c r="T298" s="20">
        <f>IFERROR(VLOOKUP(S298,'Date Converter'!$A$4:$C$368,3,0),"")</f>
        <v>43646</v>
      </c>
      <c r="U298" s="21">
        <f t="shared" si="45"/>
        <v>43646</v>
      </c>
      <c r="V298" s="12" t="s">
        <v>1656</v>
      </c>
      <c r="Y298" s="18"/>
      <c r="Z298" s="217"/>
      <c r="AA298" s="15"/>
      <c r="AB298" s="217"/>
      <c r="AC298" s="17"/>
      <c r="AD298" s="17"/>
      <c r="AE298" s="17"/>
      <c r="AF298" s="247"/>
      <c r="AG298" s="17"/>
      <c r="AH298" s="15">
        <f t="shared" si="41"/>
        <v>0</v>
      </c>
      <c r="AI298" s="22">
        <f t="shared" si="42"/>
        <v>0</v>
      </c>
      <c r="AJ298" s="22">
        <f t="shared" si="43"/>
        <v>0</v>
      </c>
      <c r="AK298" s="13"/>
    </row>
    <row r="299" spans="1:37" hidden="1">
      <c r="A299" t="s">
        <v>1657</v>
      </c>
      <c r="B299" s="13">
        <v>43516</v>
      </c>
      <c r="C299" s="13" t="s">
        <v>1622</v>
      </c>
      <c r="D299" s="259" t="s">
        <v>1046</v>
      </c>
      <c r="E299" s="198" t="s">
        <v>1047</v>
      </c>
      <c r="F299" t="str">
        <f t="shared" si="38"/>
        <v>PROF_20.22_125_NL2018</v>
      </c>
      <c r="G299" s="198" t="s">
        <v>56</v>
      </c>
      <c r="H299" s="213"/>
      <c r="I299" s="213" t="s">
        <v>74</v>
      </c>
      <c r="J299" s="14">
        <v>125</v>
      </c>
      <c r="K299" s="15" t="s">
        <v>28</v>
      </c>
      <c r="L299" s="17"/>
      <c r="M299" s="16">
        <f t="shared" si="39"/>
        <v>80</v>
      </c>
      <c r="N299" s="17">
        <v>10000</v>
      </c>
      <c r="O299" s="17">
        <v>13000</v>
      </c>
      <c r="P299" s="15">
        <f t="shared" si="40"/>
        <v>130000000</v>
      </c>
      <c r="Q299" s="15" t="str">
        <f t="shared" si="44"/>
        <v/>
      </c>
      <c r="R299" s="18" t="s">
        <v>29</v>
      </c>
      <c r="S299" s="117">
        <v>43709</v>
      </c>
      <c r="T299" s="20">
        <f>IFERROR(VLOOKUP(S299,'Date Converter'!$A$4:$C$368,3,0),"")</f>
        <v>43737</v>
      </c>
      <c r="U299" s="21">
        <f t="shared" si="45"/>
        <v>43737</v>
      </c>
      <c r="V299" s="213" t="s">
        <v>51</v>
      </c>
      <c r="Y299" s="18"/>
      <c r="Z299" s="217"/>
      <c r="AA299" s="15">
        <v>0</v>
      </c>
      <c r="AB299" s="217"/>
      <c r="AC299" s="17"/>
      <c r="AD299" s="17"/>
      <c r="AE299" s="17"/>
      <c r="AF299" s="247"/>
      <c r="AG299" s="17"/>
      <c r="AH299" s="15">
        <f t="shared" si="41"/>
        <v>0</v>
      </c>
      <c r="AI299" s="22">
        <f t="shared" si="42"/>
        <v>10000</v>
      </c>
      <c r="AJ299" s="22">
        <f t="shared" si="43"/>
        <v>130000000</v>
      </c>
      <c r="AK299" s="13">
        <v>43836</v>
      </c>
    </row>
    <row r="300" spans="1:37" hidden="1">
      <c r="A300" t="s">
        <v>1654</v>
      </c>
      <c r="B300" s="13">
        <v>43603</v>
      </c>
      <c r="C300" s="13" t="s">
        <v>1622</v>
      </c>
      <c r="D300" s="198" t="s">
        <v>1046</v>
      </c>
      <c r="E300" s="198" t="s">
        <v>1047</v>
      </c>
      <c r="F300" s="165" t="str">
        <f t="shared" si="38"/>
        <v>PAVI_12.14_400_NL2018</v>
      </c>
      <c r="G300" s="198" t="s">
        <v>138</v>
      </c>
      <c r="H300" s="213"/>
      <c r="I300" s="213" t="s">
        <v>113</v>
      </c>
      <c r="J300" s="14">
        <v>400</v>
      </c>
      <c r="K300" s="15" t="s">
        <v>28</v>
      </c>
      <c r="L300" s="17"/>
      <c r="M300" s="16">
        <f t="shared" si="39"/>
        <v>5</v>
      </c>
      <c r="N300" s="17">
        <v>2000</v>
      </c>
      <c r="O300" s="17">
        <v>2900</v>
      </c>
      <c r="P300" s="15">
        <f t="shared" si="40"/>
        <v>5800000</v>
      </c>
      <c r="Q300" s="15" t="str">
        <f t="shared" si="44"/>
        <v>Done</v>
      </c>
      <c r="R300" s="18" t="s">
        <v>44</v>
      </c>
      <c r="S300" s="23">
        <v>43572</v>
      </c>
      <c r="T300" s="20">
        <f>IFERROR(VLOOKUP(S300,'Date Converter'!$A$4:$C$368,3,0),"")</f>
        <v>43606</v>
      </c>
      <c r="U300" s="21">
        <f t="shared" si="45"/>
        <v>43606</v>
      </c>
      <c r="Y300" s="18"/>
      <c r="Z300" s="217">
        <v>43619</v>
      </c>
      <c r="AA300" s="15">
        <v>2000</v>
      </c>
      <c r="AB300" s="217"/>
      <c r="AC300" s="17"/>
      <c r="AD300" s="17"/>
      <c r="AE300" s="17"/>
      <c r="AF300" s="247"/>
      <c r="AG300" s="17"/>
      <c r="AH300" s="15">
        <f t="shared" si="41"/>
        <v>2000</v>
      </c>
      <c r="AI300" s="22">
        <f t="shared" si="42"/>
        <v>0</v>
      </c>
      <c r="AJ300" s="22">
        <f t="shared" si="43"/>
        <v>0</v>
      </c>
      <c r="AK300" s="13"/>
    </row>
    <row r="301" spans="1:37" hidden="1">
      <c r="A301" t="s">
        <v>1654</v>
      </c>
      <c r="B301" s="13">
        <v>43516</v>
      </c>
      <c r="C301" s="13" t="s">
        <v>1622</v>
      </c>
      <c r="D301" s="198" t="s">
        <v>1046</v>
      </c>
      <c r="E301" s="198" t="s">
        <v>1047</v>
      </c>
      <c r="F301" t="str">
        <f t="shared" si="38"/>
        <v>NELL_12.14_400_NL2018</v>
      </c>
      <c r="G301" s="198" t="s">
        <v>131</v>
      </c>
      <c r="H301" s="213"/>
      <c r="I301" s="213" t="s">
        <v>113</v>
      </c>
      <c r="J301" s="14">
        <v>400</v>
      </c>
      <c r="K301" s="15" t="s">
        <v>28</v>
      </c>
      <c r="L301" s="17"/>
      <c r="M301" s="16">
        <f t="shared" si="39"/>
        <v>5</v>
      </c>
      <c r="N301" s="17">
        <v>2000</v>
      </c>
      <c r="O301" s="17">
        <v>3000</v>
      </c>
      <c r="P301" s="15">
        <f t="shared" si="40"/>
        <v>6000000</v>
      </c>
      <c r="Q301" s="15" t="str">
        <f t="shared" si="44"/>
        <v>Done</v>
      </c>
      <c r="R301" s="18" t="s">
        <v>44</v>
      </c>
      <c r="S301" s="23">
        <v>43539</v>
      </c>
      <c r="T301" s="20">
        <f>IFERROR(VLOOKUP(S301,'Date Converter'!$A$4:$C$368,3,0),"")</f>
        <v>43574</v>
      </c>
      <c r="U301" s="21">
        <f t="shared" si="45"/>
        <v>43574</v>
      </c>
      <c r="V301" s="12" t="s">
        <v>57</v>
      </c>
      <c r="W301" s="18" t="s">
        <v>132</v>
      </c>
      <c r="Y301" s="18"/>
      <c r="Z301" s="217">
        <v>43578</v>
      </c>
      <c r="AA301" s="15">
        <v>2000</v>
      </c>
      <c r="AB301" s="217"/>
      <c r="AC301" s="17"/>
      <c r="AD301" s="17"/>
      <c r="AE301" s="17"/>
      <c r="AF301" s="247"/>
      <c r="AG301" s="17"/>
      <c r="AH301" s="15">
        <f t="shared" si="41"/>
        <v>2000</v>
      </c>
      <c r="AI301" s="22">
        <f t="shared" si="42"/>
        <v>0</v>
      </c>
      <c r="AJ301" s="22">
        <f t="shared" si="43"/>
        <v>0</v>
      </c>
      <c r="AK301" s="13"/>
    </row>
    <row r="302" spans="1:37" hidden="1">
      <c r="A302" t="s">
        <v>1654</v>
      </c>
      <c r="B302" s="13">
        <v>43603</v>
      </c>
      <c r="C302" s="13" t="s">
        <v>1622</v>
      </c>
      <c r="D302" s="198" t="s">
        <v>1046</v>
      </c>
      <c r="E302" s="198" t="s">
        <v>1047</v>
      </c>
      <c r="F302" t="str">
        <f t="shared" si="38"/>
        <v>MALD_16.18_200_NL2018</v>
      </c>
      <c r="G302" s="198" t="s">
        <v>478</v>
      </c>
      <c r="H302" s="213"/>
      <c r="I302" s="213" t="s">
        <v>35</v>
      </c>
      <c r="J302" s="14">
        <v>200</v>
      </c>
      <c r="K302" s="15" t="s">
        <v>28</v>
      </c>
      <c r="L302" s="17"/>
      <c r="M302" s="16">
        <f t="shared" si="39"/>
        <v>20</v>
      </c>
      <c r="N302" s="195">
        <v>4000</v>
      </c>
      <c r="O302" s="17">
        <v>5400</v>
      </c>
      <c r="P302" s="15">
        <f t="shared" si="40"/>
        <v>21600000</v>
      </c>
      <c r="Q302" s="15" t="str">
        <f t="shared" si="44"/>
        <v>Done</v>
      </c>
      <c r="R302" s="18" t="s">
        <v>44</v>
      </c>
      <c r="S302" s="23">
        <v>43572</v>
      </c>
      <c r="T302" s="20">
        <f>IFERROR(VLOOKUP(S302,'Date Converter'!$A$4:$C$368,3,0),"")</f>
        <v>43606</v>
      </c>
      <c r="U302" s="21">
        <f t="shared" si="45"/>
        <v>43606</v>
      </c>
      <c r="Y302" s="18"/>
      <c r="Z302" s="217">
        <v>43604</v>
      </c>
      <c r="AA302" s="15">
        <v>4000</v>
      </c>
      <c r="AB302" s="217"/>
      <c r="AC302" s="17"/>
      <c r="AD302" s="17"/>
      <c r="AE302" s="17"/>
      <c r="AF302" s="247"/>
      <c r="AG302" s="17"/>
      <c r="AH302" s="15">
        <f t="shared" si="41"/>
        <v>4000</v>
      </c>
      <c r="AI302" s="22">
        <f t="shared" si="42"/>
        <v>0</v>
      </c>
      <c r="AJ302" s="22">
        <f t="shared" si="43"/>
        <v>0</v>
      </c>
      <c r="AK302" s="13"/>
    </row>
    <row r="303" spans="1:37" hidden="1">
      <c r="A303" t="s">
        <v>1655</v>
      </c>
      <c r="B303" s="13">
        <v>43605</v>
      </c>
      <c r="C303" s="13" t="s">
        <v>1622</v>
      </c>
      <c r="D303" s="198" t="s">
        <v>1046</v>
      </c>
      <c r="E303" s="198" t="s">
        <v>1047</v>
      </c>
      <c r="F303" t="str">
        <f t="shared" si="38"/>
        <v>MALD_16.18_200_NL2018</v>
      </c>
      <c r="G303" s="198" t="s">
        <v>478</v>
      </c>
      <c r="H303" s="213"/>
      <c r="I303" s="213" t="s">
        <v>35</v>
      </c>
      <c r="J303" s="14">
        <v>200</v>
      </c>
      <c r="K303" s="15" t="s">
        <v>28</v>
      </c>
      <c r="L303" s="17"/>
      <c r="M303" s="16">
        <f t="shared" si="39"/>
        <v>50</v>
      </c>
      <c r="N303" s="17">
        <v>10000</v>
      </c>
      <c r="O303" s="17">
        <v>5500</v>
      </c>
      <c r="P303" s="15">
        <f t="shared" si="40"/>
        <v>55000000</v>
      </c>
      <c r="Q303" s="15" t="str">
        <f t="shared" si="44"/>
        <v/>
      </c>
      <c r="R303" s="18" t="s">
        <v>31</v>
      </c>
      <c r="S303" s="117">
        <v>43613</v>
      </c>
      <c r="T303" s="20">
        <f>IFERROR(VLOOKUP(S303,'Date Converter'!$A$4:$C$368,3,0),"")</f>
        <v>43646</v>
      </c>
      <c r="U303" s="21">
        <f t="shared" si="45"/>
        <v>43646</v>
      </c>
      <c r="V303" s="12" t="s">
        <v>1656</v>
      </c>
      <c r="Y303" s="18"/>
      <c r="Z303" s="217"/>
      <c r="AA303" s="15"/>
      <c r="AB303" s="217"/>
      <c r="AC303" s="17"/>
      <c r="AD303" s="17"/>
      <c r="AE303" s="17"/>
      <c r="AF303" s="247"/>
      <c r="AG303" s="17"/>
      <c r="AH303" s="15">
        <f t="shared" si="41"/>
        <v>0</v>
      </c>
      <c r="AI303" s="22">
        <f t="shared" si="42"/>
        <v>10000</v>
      </c>
      <c r="AJ303" s="22">
        <f t="shared" si="43"/>
        <v>55000000</v>
      </c>
      <c r="AK303" s="13"/>
    </row>
    <row r="304" spans="1:37" hidden="1">
      <c r="A304" t="s">
        <v>1655</v>
      </c>
      <c r="B304" s="13">
        <v>43605</v>
      </c>
      <c r="C304" s="13" t="s">
        <v>1622</v>
      </c>
      <c r="D304" s="198" t="s">
        <v>1046</v>
      </c>
      <c r="E304" s="198" t="s">
        <v>1047</v>
      </c>
      <c r="F304" t="str">
        <f t="shared" si="38"/>
        <v>MALD_14.16_300_NL2018</v>
      </c>
      <c r="G304" s="198" t="s">
        <v>478</v>
      </c>
      <c r="H304" s="213"/>
      <c r="I304" s="213" t="s">
        <v>47</v>
      </c>
      <c r="J304" s="31" t="s">
        <v>124</v>
      </c>
      <c r="K304" s="15" t="s">
        <v>28</v>
      </c>
      <c r="L304" s="17"/>
      <c r="M304" s="16">
        <f t="shared" si="39"/>
        <v>14</v>
      </c>
      <c r="N304" s="17">
        <v>4200</v>
      </c>
      <c r="O304" s="17">
        <v>4100</v>
      </c>
      <c r="P304" s="15">
        <f t="shared" si="40"/>
        <v>17220000</v>
      </c>
      <c r="Q304" s="15" t="str">
        <f t="shared" si="44"/>
        <v/>
      </c>
      <c r="R304" s="18" t="s">
        <v>31</v>
      </c>
      <c r="S304" s="117">
        <v>43613</v>
      </c>
      <c r="T304" s="20">
        <f>IFERROR(VLOOKUP(S304,'Date Converter'!$A$4:$C$368,3,0),"")</f>
        <v>43646</v>
      </c>
      <c r="U304" s="21">
        <f t="shared" si="45"/>
        <v>43646</v>
      </c>
      <c r="V304" s="12" t="s">
        <v>1656</v>
      </c>
      <c r="Y304" s="18"/>
      <c r="Z304" s="217"/>
      <c r="AA304" s="15"/>
      <c r="AB304" s="217"/>
      <c r="AC304" s="17"/>
      <c r="AD304" s="17"/>
      <c r="AE304" s="17"/>
      <c r="AF304" s="247"/>
      <c r="AG304" s="17"/>
      <c r="AH304" s="15">
        <f t="shared" si="41"/>
        <v>0</v>
      </c>
      <c r="AI304" s="22">
        <f t="shared" si="42"/>
        <v>4200</v>
      </c>
      <c r="AJ304" s="22">
        <f t="shared" si="43"/>
        <v>17220000</v>
      </c>
      <c r="AK304" s="13"/>
    </row>
    <row r="305" spans="1:37" hidden="1">
      <c r="A305" t="s">
        <v>1654</v>
      </c>
      <c r="B305" s="13">
        <v>43516</v>
      </c>
      <c r="C305" s="13" t="s">
        <v>1622</v>
      </c>
      <c r="D305" s="198" t="s">
        <v>1046</v>
      </c>
      <c r="E305" s="198" t="s">
        <v>1047</v>
      </c>
      <c r="F305" t="str">
        <f t="shared" si="38"/>
        <v>CONC_16.18_200_NL2018</v>
      </c>
      <c r="G305" s="198" t="s">
        <v>40</v>
      </c>
      <c r="H305" s="213"/>
      <c r="I305" s="213" t="s">
        <v>35</v>
      </c>
      <c r="J305" s="14">
        <v>200</v>
      </c>
      <c r="K305" s="15" t="s">
        <v>28</v>
      </c>
      <c r="L305" s="17"/>
      <c r="M305" s="16">
        <f t="shared" si="39"/>
        <v>10</v>
      </c>
      <c r="N305" s="17">
        <v>2000</v>
      </c>
      <c r="O305" s="17">
        <v>4700</v>
      </c>
      <c r="P305" s="15">
        <f t="shared" si="40"/>
        <v>9400000</v>
      </c>
      <c r="Q305" s="15" t="str">
        <f t="shared" si="44"/>
        <v>Done</v>
      </c>
      <c r="R305" s="18" t="s">
        <v>44</v>
      </c>
      <c r="S305" s="23" t="s">
        <v>53</v>
      </c>
      <c r="T305" s="20">
        <f>IFERROR(VLOOKUP(S305,'Date Converter'!$A$4:$C$368,3,0),"")</f>
        <v>43559</v>
      </c>
      <c r="U305" s="21">
        <f t="shared" si="45"/>
        <v>43559</v>
      </c>
      <c r="V305" s="12" t="s">
        <v>57</v>
      </c>
      <c r="W305" s="18" t="s">
        <v>86</v>
      </c>
      <c r="Y305" s="18"/>
      <c r="Z305" s="217">
        <v>43558</v>
      </c>
      <c r="AA305" s="15">
        <v>2000</v>
      </c>
      <c r="AB305" s="217"/>
      <c r="AC305" s="17"/>
      <c r="AD305" s="17"/>
      <c r="AE305" s="17"/>
      <c r="AF305" s="247"/>
      <c r="AG305" s="17"/>
      <c r="AH305" s="15">
        <f t="shared" si="41"/>
        <v>2000</v>
      </c>
      <c r="AI305" s="22">
        <f t="shared" si="42"/>
        <v>0</v>
      </c>
      <c r="AJ305" s="22">
        <f t="shared" si="43"/>
        <v>0</v>
      </c>
      <c r="AK305" s="13"/>
    </row>
    <row r="306" spans="1:37" hidden="1">
      <c r="A306" t="s">
        <v>1654</v>
      </c>
      <c r="B306" s="13">
        <v>43516</v>
      </c>
      <c r="C306" s="13" t="s">
        <v>1622</v>
      </c>
      <c r="D306" s="198" t="s">
        <v>1046</v>
      </c>
      <c r="E306" s="198" t="s">
        <v>1047</v>
      </c>
      <c r="F306" t="str">
        <f t="shared" si="38"/>
        <v>CONC_16.18_200_NL2018</v>
      </c>
      <c r="G306" s="198" t="s">
        <v>40</v>
      </c>
      <c r="H306" s="213"/>
      <c r="I306" s="213" t="s">
        <v>35</v>
      </c>
      <c r="J306" s="14">
        <v>200</v>
      </c>
      <c r="K306" s="15" t="s">
        <v>28</v>
      </c>
      <c r="L306" s="17"/>
      <c r="M306" s="16">
        <f t="shared" si="39"/>
        <v>20</v>
      </c>
      <c r="N306" s="17">
        <v>4000</v>
      </c>
      <c r="O306" s="17">
        <v>4700</v>
      </c>
      <c r="P306" s="15">
        <f t="shared" si="40"/>
        <v>18800000</v>
      </c>
      <c r="Q306" s="15" t="str">
        <f t="shared" si="44"/>
        <v>Done</v>
      </c>
      <c r="R306" s="18" t="s">
        <v>44</v>
      </c>
      <c r="S306" s="23" t="s">
        <v>53</v>
      </c>
      <c r="T306" s="20">
        <f>IFERROR(VLOOKUP(S306,'Date Converter'!$A$4:$C$368,3,0),"")</f>
        <v>43559</v>
      </c>
      <c r="U306" s="21">
        <f t="shared" si="45"/>
        <v>43559</v>
      </c>
      <c r="Y306" s="18"/>
      <c r="Z306" s="217">
        <v>43571</v>
      </c>
      <c r="AA306" s="15">
        <v>4000</v>
      </c>
      <c r="AB306" s="217"/>
      <c r="AC306" s="17"/>
      <c r="AD306" s="17"/>
      <c r="AE306" s="17"/>
      <c r="AF306" s="247"/>
      <c r="AG306" s="17"/>
      <c r="AH306" s="15">
        <f t="shared" si="41"/>
        <v>4000</v>
      </c>
      <c r="AI306" s="22">
        <f t="shared" si="42"/>
        <v>0</v>
      </c>
      <c r="AJ306" s="22">
        <f t="shared" si="43"/>
        <v>0</v>
      </c>
      <c r="AK306" s="13"/>
    </row>
    <row r="307" spans="1:37" s="165" customFormat="1" hidden="1">
      <c r="A307" s="165" t="s">
        <v>1657</v>
      </c>
      <c r="B307" s="13">
        <v>43516</v>
      </c>
      <c r="C307" s="13" t="s">
        <v>1622</v>
      </c>
      <c r="D307" s="259" t="s">
        <v>1046</v>
      </c>
      <c r="E307" s="198" t="s">
        <v>1047</v>
      </c>
      <c r="F307" s="165" t="str">
        <f t="shared" si="38"/>
        <v>CONC_22.24_100_NL2018</v>
      </c>
      <c r="G307" s="198" t="s">
        <v>40</v>
      </c>
      <c r="H307" s="213"/>
      <c r="I307" s="213" t="s">
        <v>78</v>
      </c>
      <c r="J307" s="14">
        <v>100</v>
      </c>
      <c r="K307" s="15" t="s">
        <v>28</v>
      </c>
      <c r="L307" s="17"/>
      <c r="M307" s="16">
        <f t="shared" si="39"/>
        <v>50</v>
      </c>
      <c r="N307" s="17">
        <v>5000</v>
      </c>
      <c r="O307" s="17">
        <v>12500</v>
      </c>
      <c r="P307" s="15">
        <f t="shared" si="40"/>
        <v>62500000</v>
      </c>
      <c r="Q307" s="15" t="str">
        <f t="shared" si="44"/>
        <v/>
      </c>
      <c r="R307" s="18" t="s">
        <v>29</v>
      </c>
      <c r="S307" s="117">
        <v>43709</v>
      </c>
      <c r="T307" s="20">
        <f>IFERROR(VLOOKUP(S307,'Date Converter'!$A$4:$C$368,3,0),"")</f>
        <v>43737</v>
      </c>
      <c r="U307" s="21">
        <f t="shared" si="45"/>
        <v>43737</v>
      </c>
      <c r="V307" s="213" t="s">
        <v>51</v>
      </c>
      <c r="W307" s="18"/>
      <c r="X307" s="18"/>
      <c r="Y307" s="18"/>
      <c r="Z307" s="217"/>
      <c r="AA307" s="15">
        <v>0</v>
      </c>
      <c r="AB307" s="217"/>
      <c r="AC307" s="17"/>
      <c r="AD307" s="17"/>
      <c r="AE307" s="17"/>
      <c r="AF307" s="247"/>
      <c r="AG307" s="17"/>
      <c r="AH307" s="15">
        <f t="shared" si="41"/>
        <v>0</v>
      </c>
      <c r="AI307" s="22">
        <f t="shared" si="42"/>
        <v>5000</v>
      </c>
      <c r="AJ307" s="22">
        <f t="shared" si="43"/>
        <v>62500000</v>
      </c>
      <c r="AK307" s="13"/>
    </row>
    <row r="308" spans="1:37" s="165" customFormat="1" hidden="1">
      <c r="A308" s="165" t="s">
        <v>1654</v>
      </c>
      <c r="B308" s="13">
        <v>43516</v>
      </c>
      <c r="C308" s="13" t="s">
        <v>1622</v>
      </c>
      <c r="D308" s="198" t="s">
        <v>1046</v>
      </c>
      <c r="E308" s="198" t="s">
        <v>1047</v>
      </c>
      <c r="F308" s="165" t="str">
        <f t="shared" si="38"/>
        <v>BACA_15.16_250_NL2018</v>
      </c>
      <c r="G308" s="198" t="s">
        <v>67</v>
      </c>
      <c r="H308" s="213"/>
      <c r="I308" s="213" t="s">
        <v>77</v>
      </c>
      <c r="J308" s="14">
        <v>250</v>
      </c>
      <c r="K308" s="15" t="s">
        <v>28</v>
      </c>
      <c r="L308" s="17"/>
      <c r="M308" s="16">
        <f t="shared" si="39"/>
        <v>8</v>
      </c>
      <c r="N308" s="17">
        <v>2000</v>
      </c>
      <c r="O308" s="17">
        <v>4500</v>
      </c>
      <c r="P308" s="15">
        <f t="shared" si="40"/>
        <v>9000000</v>
      </c>
      <c r="Q308" s="15" t="str">
        <f t="shared" si="44"/>
        <v>Done</v>
      </c>
      <c r="R308" s="18" t="s">
        <v>44</v>
      </c>
      <c r="S308" s="23">
        <v>43539</v>
      </c>
      <c r="T308" s="20">
        <f>IFERROR(VLOOKUP(S308,'Date Converter'!$A$4:$C$368,3,0),"")</f>
        <v>43574</v>
      </c>
      <c r="U308" s="21">
        <f t="shared" si="45"/>
        <v>43574</v>
      </c>
      <c r="V308" s="12" t="s">
        <v>57</v>
      </c>
      <c r="W308" s="18" t="s">
        <v>132</v>
      </c>
      <c r="X308" s="18"/>
      <c r="Y308" s="18"/>
      <c r="Z308" s="217">
        <v>43578</v>
      </c>
      <c r="AA308" s="15">
        <v>2000</v>
      </c>
      <c r="AB308" s="217"/>
      <c r="AC308" s="17"/>
      <c r="AD308" s="17"/>
      <c r="AE308" s="17"/>
      <c r="AF308" s="247"/>
      <c r="AG308" s="17"/>
      <c r="AH308" s="15">
        <f t="shared" si="41"/>
        <v>2000</v>
      </c>
      <c r="AI308" s="22">
        <f t="shared" si="42"/>
        <v>0</v>
      </c>
      <c r="AJ308" s="22">
        <f t="shared" si="43"/>
        <v>0</v>
      </c>
      <c r="AK308" s="13"/>
    </row>
    <row r="309" spans="1:37" hidden="1">
      <c r="A309" t="s">
        <v>1481</v>
      </c>
      <c r="B309" s="13">
        <v>43581</v>
      </c>
      <c r="C309" s="13" t="s">
        <v>23</v>
      </c>
      <c r="D309" s="165" t="s">
        <v>1482</v>
      </c>
      <c r="E309" s="13" t="s">
        <v>1483</v>
      </c>
      <c r="F309" t="str">
        <f t="shared" si="38"/>
        <v>YELL_14.16_300_NL2018</v>
      </c>
      <c r="G309" s="13" t="s">
        <v>89</v>
      </c>
      <c r="I309" s="12" t="s">
        <v>47</v>
      </c>
      <c r="J309" s="31" t="s">
        <v>124</v>
      </c>
      <c r="K309" s="15" t="s">
        <v>28</v>
      </c>
      <c r="M309" s="16">
        <f t="shared" si="39"/>
        <v>0</v>
      </c>
      <c r="N309" s="15">
        <f>10200-10200</f>
        <v>0</v>
      </c>
      <c r="O309" s="15">
        <v>3800</v>
      </c>
      <c r="P309" s="15">
        <f t="shared" si="40"/>
        <v>0</v>
      </c>
      <c r="Q309" s="15" t="str">
        <f t="shared" si="44"/>
        <v>Canceled</v>
      </c>
      <c r="R309" s="18" t="s">
        <v>71</v>
      </c>
      <c r="S309" s="23">
        <v>43539</v>
      </c>
      <c r="T309" s="20">
        <f>IFERROR(VLOOKUP(S309,'Date Converter'!$A$4:$C$368,3,0),"")</f>
        <v>43574</v>
      </c>
      <c r="U309" s="21">
        <f t="shared" si="45"/>
        <v>43574</v>
      </c>
      <c r="V309" s="12" t="s">
        <v>1484</v>
      </c>
      <c r="AA309" s="15"/>
      <c r="AB309" s="206"/>
      <c r="AD309" s="206"/>
      <c r="AH309" s="15">
        <f t="shared" si="41"/>
        <v>0</v>
      </c>
      <c r="AI309" s="22">
        <f t="shared" si="42"/>
        <v>0</v>
      </c>
      <c r="AJ309" s="22">
        <f t="shared" si="43"/>
        <v>0</v>
      </c>
      <c r="AK309" s="165"/>
    </row>
    <row r="310" spans="1:37" hidden="1">
      <c r="A310" t="s">
        <v>1481</v>
      </c>
      <c r="B310" s="13">
        <v>43581</v>
      </c>
      <c r="C310" s="13" t="s">
        <v>23</v>
      </c>
      <c r="D310" t="s">
        <v>1482</v>
      </c>
      <c r="E310" s="13" t="s">
        <v>1483</v>
      </c>
      <c r="F310" t="str">
        <f t="shared" si="38"/>
        <v>YELL_14.16_300_NL2018</v>
      </c>
      <c r="G310" s="13" t="s">
        <v>89</v>
      </c>
      <c r="I310" s="12" t="s">
        <v>47</v>
      </c>
      <c r="J310" s="31" t="s">
        <v>124</v>
      </c>
      <c r="K310" s="15" t="s">
        <v>28</v>
      </c>
      <c r="M310" s="16">
        <f t="shared" si="39"/>
        <v>0</v>
      </c>
      <c r="N310" s="15">
        <f>5100-5100</f>
        <v>0</v>
      </c>
      <c r="O310" s="15">
        <v>3800</v>
      </c>
      <c r="P310" s="15">
        <f t="shared" si="40"/>
        <v>0</v>
      </c>
      <c r="Q310" s="15" t="str">
        <f t="shared" si="44"/>
        <v>Canceled</v>
      </c>
      <c r="R310" s="18" t="s">
        <v>71</v>
      </c>
      <c r="S310" s="23">
        <v>43572</v>
      </c>
      <c r="T310" s="20">
        <f>IFERROR(VLOOKUP(S310,'Date Converter'!$A$4:$C$368,3,0),"")</f>
        <v>43606</v>
      </c>
      <c r="U310" s="21">
        <f t="shared" si="45"/>
        <v>43606</v>
      </c>
      <c r="V310" s="12" t="s">
        <v>1485</v>
      </c>
      <c r="AA310" s="15"/>
      <c r="AB310" s="206"/>
      <c r="AD310" s="206"/>
      <c r="AH310" s="15">
        <f t="shared" si="41"/>
        <v>0</v>
      </c>
      <c r="AI310" s="22">
        <f t="shared" si="42"/>
        <v>0</v>
      </c>
      <c r="AJ310" s="22">
        <f t="shared" si="43"/>
        <v>0</v>
      </c>
      <c r="AK310" s="165"/>
    </row>
    <row r="311" spans="1:37" hidden="1">
      <c r="A311" t="s">
        <v>1481</v>
      </c>
      <c r="B311" s="13">
        <v>43581</v>
      </c>
      <c r="C311" s="13" t="s">
        <v>23</v>
      </c>
      <c r="D311" t="s">
        <v>1482</v>
      </c>
      <c r="E311" s="13" t="s">
        <v>1483</v>
      </c>
      <c r="F311" t="str">
        <f t="shared" si="38"/>
        <v>YELL_14.16_300_NL2018</v>
      </c>
      <c r="G311" s="13" t="s">
        <v>89</v>
      </c>
      <c r="I311" s="12" t="s">
        <v>47</v>
      </c>
      <c r="J311" s="31" t="s">
        <v>124</v>
      </c>
      <c r="K311" s="15" t="s">
        <v>28</v>
      </c>
      <c r="M311" s="16">
        <f t="shared" si="39"/>
        <v>0</v>
      </c>
      <c r="N311" s="15">
        <f>10200-10200</f>
        <v>0</v>
      </c>
      <c r="O311" s="15">
        <v>3900</v>
      </c>
      <c r="P311" s="15">
        <f t="shared" si="40"/>
        <v>0</v>
      </c>
      <c r="Q311" s="15" t="str">
        <f t="shared" si="44"/>
        <v>Canceled</v>
      </c>
      <c r="R311" s="18" t="s">
        <v>71</v>
      </c>
      <c r="S311" s="23">
        <v>43590</v>
      </c>
      <c r="T311" s="20">
        <f>IFERROR(VLOOKUP(S311,'Date Converter'!$A$4:$C$368,3,0),"")</f>
        <v>43623</v>
      </c>
      <c r="U311" s="21">
        <f t="shared" si="45"/>
        <v>43623</v>
      </c>
      <c r="V311" s="12" t="s">
        <v>1486</v>
      </c>
      <c r="AA311" s="15"/>
      <c r="AB311" s="206"/>
      <c r="AD311" s="206"/>
      <c r="AH311" s="15">
        <f t="shared" si="41"/>
        <v>0</v>
      </c>
      <c r="AI311" s="22">
        <f t="shared" si="42"/>
        <v>0</v>
      </c>
      <c r="AJ311" s="22">
        <f t="shared" si="43"/>
        <v>0</v>
      </c>
      <c r="AK311" s="165"/>
    </row>
    <row r="312" spans="1:37" s="165" customFormat="1" hidden="1">
      <c r="A312" s="165" t="s">
        <v>1481</v>
      </c>
      <c r="B312" s="13">
        <v>43581</v>
      </c>
      <c r="C312" s="13" t="s">
        <v>23</v>
      </c>
      <c r="D312" s="165" t="s">
        <v>1482</v>
      </c>
      <c r="E312" s="13" t="s">
        <v>1483</v>
      </c>
      <c r="F312" s="165" t="str">
        <f t="shared" si="38"/>
        <v>SERA_16.18_200_NL2018</v>
      </c>
      <c r="G312" s="13" t="s">
        <v>227</v>
      </c>
      <c r="H312" s="12"/>
      <c r="I312" s="12" t="s">
        <v>35</v>
      </c>
      <c r="J312" s="31" t="s">
        <v>121</v>
      </c>
      <c r="K312" s="15" t="s">
        <v>28</v>
      </c>
      <c r="L312" s="15"/>
      <c r="M312" s="16">
        <f t="shared" si="39"/>
        <v>0</v>
      </c>
      <c r="N312" s="15">
        <f>5000+5000-10000</f>
        <v>0</v>
      </c>
      <c r="O312" s="15">
        <v>5300</v>
      </c>
      <c r="P312" s="15">
        <f t="shared" si="40"/>
        <v>0</v>
      </c>
      <c r="Q312" s="15" t="str">
        <f t="shared" si="44"/>
        <v>Canceled</v>
      </c>
      <c r="R312" s="18" t="s">
        <v>71</v>
      </c>
      <c r="S312" s="23">
        <v>43590</v>
      </c>
      <c r="T312" s="20">
        <f>IFERROR(VLOOKUP(S312,'Date Converter'!$A$4:$C$368,3,0),"")</f>
        <v>43623</v>
      </c>
      <c r="U312" s="21">
        <f t="shared" si="45"/>
        <v>43623</v>
      </c>
      <c r="V312" s="12" t="s">
        <v>1486</v>
      </c>
      <c r="W312" s="18"/>
      <c r="X312" s="18"/>
      <c r="Y312" s="12"/>
      <c r="Z312" s="206"/>
      <c r="AA312" s="15"/>
      <c r="AB312" s="206"/>
      <c r="AC312" s="12"/>
      <c r="AD312" s="206"/>
      <c r="AE312" s="12"/>
      <c r="AF312" s="245"/>
      <c r="AG312" s="12"/>
      <c r="AH312" s="15">
        <f t="shared" si="41"/>
        <v>0</v>
      </c>
      <c r="AI312" s="22">
        <f t="shared" si="42"/>
        <v>0</v>
      </c>
      <c r="AJ312" s="22">
        <f t="shared" si="43"/>
        <v>0</v>
      </c>
    </row>
    <row r="313" spans="1:37" s="165" customFormat="1" hidden="1">
      <c r="A313" s="165" t="s">
        <v>1481</v>
      </c>
      <c r="B313" s="13">
        <v>43581</v>
      </c>
      <c r="C313" s="13" t="s">
        <v>23</v>
      </c>
      <c r="D313" s="165" t="s">
        <v>1482</v>
      </c>
      <c r="E313" s="13" t="s">
        <v>1483</v>
      </c>
      <c r="F313" s="165" t="str">
        <f t="shared" si="38"/>
        <v>ROBI_16.18_200_NL2018</v>
      </c>
      <c r="G313" s="13" t="s">
        <v>61</v>
      </c>
      <c r="H313" s="12"/>
      <c r="I313" s="12" t="s">
        <v>35</v>
      </c>
      <c r="J313" s="31" t="s">
        <v>121</v>
      </c>
      <c r="K313" s="15" t="s">
        <v>28</v>
      </c>
      <c r="L313" s="15"/>
      <c r="M313" s="16">
        <f t="shared" si="39"/>
        <v>0</v>
      </c>
      <c r="N313" s="15">
        <f>10000-10000</f>
        <v>0</v>
      </c>
      <c r="O313" s="15">
        <v>5500</v>
      </c>
      <c r="P313" s="15">
        <f t="shared" si="40"/>
        <v>0</v>
      </c>
      <c r="Q313" s="15" t="str">
        <f t="shared" si="44"/>
        <v>Canceled</v>
      </c>
      <c r="R313" s="18" t="s">
        <v>71</v>
      </c>
      <c r="S313" s="23">
        <v>43590</v>
      </c>
      <c r="T313" s="20">
        <f>IFERROR(VLOOKUP(S313,'Date Converter'!$A$4:$C$368,3,0),"")</f>
        <v>43623</v>
      </c>
      <c r="U313" s="21">
        <f t="shared" si="45"/>
        <v>43623</v>
      </c>
      <c r="V313" s="12" t="s">
        <v>1486</v>
      </c>
      <c r="W313" s="18"/>
      <c r="X313" s="18"/>
      <c r="Y313" s="12"/>
      <c r="Z313" s="206"/>
      <c r="AA313" s="15"/>
      <c r="AB313" s="206"/>
      <c r="AC313" s="12"/>
      <c r="AD313" s="206"/>
      <c r="AE313" s="12"/>
      <c r="AF313" s="245"/>
      <c r="AG313" s="12"/>
      <c r="AH313" s="15">
        <f t="shared" si="41"/>
        <v>0</v>
      </c>
      <c r="AI313" s="22">
        <f t="shared" si="42"/>
        <v>0</v>
      </c>
      <c r="AJ313" s="22">
        <f t="shared" si="43"/>
        <v>0</v>
      </c>
    </row>
    <row r="314" spans="1:37" s="165" customFormat="1" hidden="1">
      <c r="A314" s="165" t="s">
        <v>1481</v>
      </c>
      <c r="B314" s="13">
        <v>43581</v>
      </c>
      <c r="C314" s="13" t="s">
        <v>23</v>
      </c>
      <c r="D314" s="165" t="s">
        <v>1482</v>
      </c>
      <c r="E314" s="13" t="s">
        <v>1483</v>
      </c>
      <c r="F314" s="183" t="str">
        <f t="shared" si="38"/>
        <v>PROF_20.22_125_CL2019</v>
      </c>
      <c r="G314" s="188" t="s">
        <v>1382</v>
      </c>
      <c r="H314" s="184"/>
      <c r="I314" s="184" t="s">
        <v>74</v>
      </c>
      <c r="J314" s="192" t="s">
        <v>122</v>
      </c>
      <c r="K314" s="15" t="s">
        <v>1423</v>
      </c>
      <c r="L314" s="185"/>
      <c r="M314" s="187">
        <f t="shared" si="39"/>
        <v>0</v>
      </c>
      <c r="N314" s="185">
        <f>5000-5000</f>
        <v>0</v>
      </c>
      <c r="O314" s="15" t="s">
        <v>1487</v>
      </c>
      <c r="P314" s="15"/>
      <c r="Q314" s="15" t="str">
        <f t="shared" si="44"/>
        <v>Canceled</v>
      </c>
      <c r="R314" s="18" t="s">
        <v>71</v>
      </c>
      <c r="S314" s="23">
        <v>43709</v>
      </c>
      <c r="T314" s="20">
        <f>IFERROR(VLOOKUP(S314,'Date Converter'!$A$4:$C$368,3,0),"")</f>
        <v>43737</v>
      </c>
      <c r="U314" s="21">
        <f t="shared" si="45"/>
        <v>43737</v>
      </c>
      <c r="V314" s="12" t="s">
        <v>51</v>
      </c>
      <c r="W314" s="18"/>
      <c r="X314" s="18"/>
      <c r="Y314" s="12"/>
      <c r="Z314" s="206"/>
      <c r="AA314" s="15"/>
      <c r="AB314" s="206"/>
      <c r="AC314" s="12"/>
      <c r="AD314" s="206"/>
      <c r="AE314" s="12"/>
      <c r="AF314" s="245"/>
      <c r="AG314" s="12"/>
      <c r="AH314" s="15">
        <f t="shared" si="41"/>
        <v>0</v>
      </c>
      <c r="AI314" s="22">
        <f t="shared" si="42"/>
        <v>0</v>
      </c>
      <c r="AJ314" s="22" t="e">
        <f t="shared" si="43"/>
        <v>#VALUE!</v>
      </c>
    </row>
    <row r="315" spans="1:37" s="165" customFormat="1" hidden="1">
      <c r="A315" s="165" t="s">
        <v>1481</v>
      </c>
      <c r="B315" s="13">
        <v>43581</v>
      </c>
      <c r="C315" s="13" t="s">
        <v>23</v>
      </c>
      <c r="D315" s="165" t="s">
        <v>1482</v>
      </c>
      <c r="E315" s="13" t="s">
        <v>1483</v>
      </c>
      <c r="F315" s="165" t="str">
        <f t="shared" si="38"/>
        <v>PROF_16.18_200_NL2018</v>
      </c>
      <c r="G315" s="13" t="s">
        <v>56</v>
      </c>
      <c r="H315" s="12"/>
      <c r="I315" s="12" t="s">
        <v>35</v>
      </c>
      <c r="J315" s="31" t="s">
        <v>121</v>
      </c>
      <c r="K315" s="15" t="s">
        <v>28</v>
      </c>
      <c r="L315" s="15"/>
      <c r="M315" s="16">
        <f t="shared" si="39"/>
        <v>0</v>
      </c>
      <c r="N315" s="15">
        <f>7000-7000</f>
        <v>0</v>
      </c>
      <c r="O315" s="15">
        <v>7700</v>
      </c>
      <c r="P315" s="15">
        <f t="shared" ref="P315:P376" si="46">+O315*N315</f>
        <v>0</v>
      </c>
      <c r="Q315" s="15" t="str">
        <f t="shared" si="44"/>
        <v>Canceled</v>
      </c>
      <c r="R315" s="18" t="s">
        <v>71</v>
      </c>
      <c r="S315" s="23">
        <v>43560</v>
      </c>
      <c r="T315" s="20">
        <f>IFERROR(VLOOKUP(S315,'Date Converter'!$A$4:$C$368,3,0),"")</f>
        <v>43594</v>
      </c>
      <c r="U315" s="21">
        <f t="shared" si="45"/>
        <v>43594</v>
      </c>
      <c r="V315" s="12" t="s">
        <v>1484</v>
      </c>
      <c r="W315" s="18"/>
      <c r="X315" s="18"/>
      <c r="Y315" s="12"/>
      <c r="Z315" s="206"/>
      <c r="AA315" s="15"/>
      <c r="AB315" s="206"/>
      <c r="AC315" s="12"/>
      <c r="AD315" s="206"/>
      <c r="AE315" s="12"/>
      <c r="AF315" s="245"/>
      <c r="AG315" s="12"/>
      <c r="AH315" s="15">
        <f t="shared" si="41"/>
        <v>0</v>
      </c>
      <c r="AI315" s="22">
        <f t="shared" si="42"/>
        <v>0</v>
      </c>
      <c r="AJ315" s="22">
        <f t="shared" si="43"/>
        <v>0</v>
      </c>
    </row>
    <row r="316" spans="1:37" s="165" customFormat="1" hidden="1">
      <c r="A316" s="165" t="s">
        <v>1481</v>
      </c>
      <c r="B316" s="13">
        <v>43581</v>
      </c>
      <c r="C316" s="13" t="s">
        <v>23</v>
      </c>
      <c r="D316" s="165" t="s">
        <v>1482</v>
      </c>
      <c r="E316" s="13" t="s">
        <v>1483</v>
      </c>
      <c r="F316" s="165" t="str">
        <f t="shared" si="38"/>
        <v>PROF_16.18_200_NL2018</v>
      </c>
      <c r="G316" s="13" t="s">
        <v>56</v>
      </c>
      <c r="H316" s="12"/>
      <c r="I316" s="12" t="s">
        <v>35</v>
      </c>
      <c r="J316" s="31" t="s">
        <v>121</v>
      </c>
      <c r="K316" s="15" t="s">
        <v>28</v>
      </c>
      <c r="L316" s="15"/>
      <c r="M316" s="16">
        <f t="shared" si="39"/>
        <v>0</v>
      </c>
      <c r="N316" s="15">
        <f>7000-7000</f>
        <v>0</v>
      </c>
      <c r="O316" s="15">
        <v>7700</v>
      </c>
      <c r="P316" s="15">
        <f t="shared" si="46"/>
        <v>0</v>
      </c>
      <c r="Q316" s="15" t="str">
        <f t="shared" si="44"/>
        <v>Canceled</v>
      </c>
      <c r="R316" s="18" t="s">
        <v>71</v>
      </c>
      <c r="S316" s="23">
        <v>43560</v>
      </c>
      <c r="T316" s="20">
        <f>IFERROR(VLOOKUP(S316,'Date Converter'!$A$4:$C$368,3,0),"")</f>
        <v>43594</v>
      </c>
      <c r="U316" s="21">
        <f t="shared" si="45"/>
        <v>43594</v>
      </c>
      <c r="V316" s="12" t="s">
        <v>1485</v>
      </c>
      <c r="W316" s="18"/>
      <c r="X316" s="18"/>
      <c r="Y316" s="12"/>
      <c r="Z316" s="206"/>
      <c r="AA316" s="15"/>
      <c r="AB316" s="206"/>
      <c r="AC316" s="12"/>
      <c r="AD316" s="206"/>
      <c r="AE316" s="12"/>
      <c r="AF316" s="245"/>
      <c r="AG316" s="12"/>
      <c r="AH316" s="15">
        <f t="shared" si="41"/>
        <v>0</v>
      </c>
      <c r="AI316" s="22">
        <f t="shared" si="42"/>
        <v>0</v>
      </c>
      <c r="AJ316" s="22">
        <f t="shared" si="43"/>
        <v>0</v>
      </c>
    </row>
    <row r="317" spans="1:37" s="165" customFormat="1" hidden="1">
      <c r="A317" s="165" t="s">
        <v>1481</v>
      </c>
      <c r="B317" s="13">
        <v>43581</v>
      </c>
      <c r="C317" s="13" t="s">
        <v>23</v>
      </c>
      <c r="D317" s="165" t="s">
        <v>1482</v>
      </c>
      <c r="E317" s="13" t="s">
        <v>1483</v>
      </c>
      <c r="F317" s="165" t="str">
        <f t="shared" si="38"/>
        <v>PROF_18.20_150_NL2018</v>
      </c>
      <c r="G317" s="13" t="s">
        <v>56</v>
      </c>
      <c r="H317" s="12"/>
      <c r="I317" s="12" t="s">
        <v>27</v>
      </c>
      <c r="J317" s="31" t="s">
        <v>126</v>
      </c>
      <c r="K317" s="15" t="s">
        <v>28</v>
      </c>
      <c r="L317" s="15"/>
      <c r="M317" s="16">
        <f t="shared" si="39"/>
        <v>0</v>
      </c>
      <c r="N317" s="15">
        <f>5100-5100</f>
        <v>0</v>
      </c>
      <c r="O317" s="15">
        <v>10900</v>
      </c>
      <c r="P317" s="15">
        <f t="shared" si="46"/>
        <v>0</v>
      </c>
      <c r="Q317" s="15" t="str">
        <f t="shared" si="44"/>
        <v>Canceled</v>
      </c>
      <c r="R317" s="18" t="s">
        <v>71</v>
      </c>
      <c r="S317" s="23">
        <v>43709</v>
      </c>
      <c r="T317" s="20">
        <f>IFERROR(VLOOKUP(S317,'Date Converter'!$A$4:$C$368,3,0),"")</f>
        <v>43737</v>
      </c>
      <c r="U317" s="21">
        <f t="shared" si="45"/>
        <v>43737</v>
      </c>
      <c r="V317" s="12" t="s">
        <v>51</v>
      </c>
      <c r="W317" s="18"/>
      <c r="X317" s="18"/>
      <c r="Y317" s="12"/>
      <c r="Z317" s="206"/>
      <c r="AA317" s="15"/>
      <c r="AB317" s="206"/>
      <c r="AC317" s="12"/>
      <c r="AD317" s="206"/>
      <c r="AE317" s="12"/>
      <c r="AF317" s="245"/>
      <c r="AG317" s="12"/>
      <c r="AH317" s="15">
        <f t="shared" si="41"/>
        <v>0</v>
      </c>
      <c r="AI317" s="22">
        <f t="shared" si="42"/>
        <v>0</v>
      </c>
      <c r="AJ317" s="22">
        <f t="shared" si="43"/>
        <v>0</v>
      </c>
    </row>
    <row r="318" spans="1:37" s="165" customFormat="1" hidden="1">
      <c r="A318" s="165" t="s">
        <v>1481</v>
      </c>
      <c r="B318" s="13">
        <v>43581</v>
      </c>
      <c r="C318" s="13" t="s">
        <v>23</v>
      </c>
      <c r="D318" s="165" t="s">
        <v>1482</v>
      </c>
      <c r="E318" s="13" t="s">
        <v>1483</v>
      </c>
      <c r="F318" s="165" t="str">
        <f t="shared" si="38"/>
        <v>DALI_14.16_300_NL2018</v>
      </c>
      <c r="G318" s="13" t="s">
        <v>46</v>
      </c>
      <c r="H318" s="12"/>
      <c r="I318" s="12" t="s">
        <v>47</v>
      </c>
      <c r="J318" s="31" t="s">
        <v>124</v>
      </c>
      <c r="K318" s="15" t="s">
        <v>28</v>
      </c>
      <c r="L318" s="15"/>
      <c r="M318" s="16">
        <f t="shared" si="39"/>
        <v>0</v>
      </c>
      <c r="N318" s="15">
        <f>3000-3000</f>
        <v>0</v>
      </c>
      <c r="O318" s="15">
        <v>5400</v>
      </c>
      <c r="P318" s="15">
        <f t="shared" si="46"/>
        <v>0</v>
      </c>
      <c r="Q318" s="15" t="str">
        <f t="shared" si="44"/>
        <v>Canceled</v>
      </c>
      <c r="R318" s="18" t="s">
        <v>71</v>
      </c>
      <c r="S318" s="23">
        <v>43560</v>
      </c>
      <c r="T318" s="20">
        <f>IFERROR(VLOOKUP(S318,'Date Converter'!$A$4:$C$368,3,0),"")</f>
        <v>43594</v>
      </c>
      <c r="U318" s="21">
        <f t="shared" si="45"/>
        <v>43594</v>
      </c>
      <c r="V318" s="12" t="s">
        <v>1484</v>
      </c>
      <c r="W318" s="18"/>
      <c r="X318" s="18"/>
      <c r="Y318" s="12"/>
      <c r="Z318" s="206"/>
      <c r="AA318" s="15"/>
      <c r="AB318" s="206"/>
      <c r="AC318" s="12"/>
      <c r="AD318" s="206"/>
      <c r="AE318" s="12"/>
      <c r="AF318" s="245"/>
      <c r="AG318" s="12"/>
      <c r="AH318" s="15">
        <f t="shared" si="41"/>
        <v>0</v>
      </c>
      <c r="AI318" s="22">
        <f t="shared" si="42"/>
        <v>0</v>
      </c>
      <c r="AJ318" s="22">
        <f t="shared" si="43"/>
        <v>0</v>
      </c>
    </row>
    <row r="319" spans="1:37" s="165" customFormat="1" hidden="1">
      <c r="A319" s="165" t="s">
        <v>1481</v>
      </c>
      <c r="B319" s="13">
        <v>43581</v>
      </c>
      <c r="C319" s="13" t="s">
        <v>23</v>
      </c>
      <c r="D319" s="165" t="s">
        <v>1482</v>
      </c>
      <c r="E319" s="13" t="s">
        <v>1483</v>
      </c>
      <c r="F319" s="165" t="str">
        <f t="shared" ref="F319:F380" si="47">SUBSTITUTE(LEFT(G319,4)&amp;"_"&amp;H319&amp;"_"&amp;I319&amp;"_"&amp;J319&amp;"_"&amp;K319,"__","_")</f>
        <v>CONC_16.18_200_NL2018</v>
      </c>
      <c r="G319" s="13" t="s">
        <v>40</v>
      </c>
      <c r="H319" s="12"/>
      <c r="I319" s="12" t="s">
        <v>35</v>
      </c>
      <c r="J319" s="31" t="s">
        <v>121</v>
      </c>
      <c r="K319" s="15" t="s">
        <v>28</v>
      </c>
      <c r="L319" s="15"/>
      <c r="M319" s="16">
        <f t="shared" ref="M319:M380" si="48">+N319/J319</f>
        <v>0</v>
      </c>
      <c r="N319" s="15">
        <f>5400-5400</f>
        <v>0</v>
      </c>
      <c r="O319" s="15">
        <v>6400</v>
      </c>
      <c r="P319" s="15">
        <f t="shared" si="46"/>
        <v>0</v>
      </c>
      <c r="Q319" s="15" t="str">
        <f t="shared" si="44"/>
        <v>Canceled</v>
      </c>
      <c r="R319" s="18" t="s">
        <v>71</v>
      </c>
      <c r="S319" s="23">
        <v>43572</v>
      </c>
      <c r="T319" s="20">
        <f>IFERROR(VLOOKUP(S319,'Date Converter'!$A$4:$C$368,3,0),"")</f>
        <v>43606</v>
      </c>
      <c r="U319" s="21">
        <f t="shared" si="45"/>
        <v>43606</v>
      </c>
      <c r="V319" s="12" t="s">
        <v>1485</v>
      </c>
      <c r="W319" s="18"/>
      <c r="X319" s="18"/>
      <c r="Y319" s="12"/>
      <c r="Z319" s="206"/>
      <c r="AA319" s="15"/>
      <c r="AB319" s="206"/>
      <c r="AC319" s="12"/>
      <c r="AD319" s="206"/>
      <c r="AE319" s="12"/>
      <c r="AF319" s="245"/>
      <c r="AG319" s="12"/>
      <c r="AH319" s="15">
        <f t="shared" ref="AH319:AH380" si="49">+AA319+AC319+AE319+AG319</f>
        <v>0</v>
      </c>
      <c r="AI319" s="22">
        <f t="shared" ref="AI319:AI380" si="50">+N319-AH319</f>
        <v>0</v>
      </c>
      <c r="AJ319" s="22">
        <f t="shared" ref="AJ319:AJ380" si="51">+AI319*O319</f>
        <v>0</v>
      </c>
    </row>
    <row r="320" spans="1:37" s="165" customFormat="1" hidden="1">
      <c r="A320" s="165" t="s">
        <v>1481</v>
      </c>
      <c r="B320" s="13">
        <v>43581</v>
      </c>
      <c r="C320" s="13" t="s">
        <v>23</v>
      </c>
      <c r="D320" s="165" t="s">
        <v>1482</v>
      </c>
      <c r="E320" s="13" t="s">
        <v>1483</v>
      </c>
      <c r="F320" s="165" t="str">
        <f t="shared" si="47"/>
        <v>CONC_20.22_125_NL2018</v>
      </c>
      <c r="G320" s="13" t="s">
        <v>40</v>
      </c>
      <c r="H320" s="12"/>
      <c r="I320" s="12" t="s">
        <v>74</v>
      </c>
      <c r="J320" s="31" t="s">
        <v>122</v>
      </c>
      <c r="K320" s="15" t="s">
        <v>28</v>
      </c>
      <c r="L320" s="15"/>
      <c r="M320" s="16">
        <f t="shared" si="48"/>
        <v>0</v>
      </c>
      <c r="N320" s="15">
        <f>15000-15000</f>
        <v>0</v>
      </c>
      <c r="O320" s="15">
        <v>10600</v>
      </c>
      <c r="P320" s="15">
        <f t="shared" si="46"/>
        <v>0</v>
      </c>
      <c r="Q320" s="15" t="str">
        <f t="shared" si="44"/>
        <v>Canceled</v>
      </c>
      <c r="R320" s="18" t="s">
        <v>71</v>
      </c>
      <c r="S320" s="23">
        <v>43709</v>
      </c>
      <c r="T320" s="20">
        <f>IFERROR(VLOOKUP(S320,'Date Converter'!$A$4:$C$368,3,0),"")</f>
        <v>43737</v>
      </c>
      <c r="U320" s="21">
        <f t="shared" si="45"/>
        <v>43737</v>
      </c>
      <c r="V320" s="12" t="s">
        <v>51</v>
      </c>
      <c r="W320" s="18"/>
      <c r="X320" s="18"/>
      <c r="Y320" s="12"/>
      <c r="Z320" s="206"/>
      <c r="AA320" s="15"/>
      <c r="AB320" s="206"/>
      <c r="AC320" s="12"/>
      <c r="AD320" s="206"/>
      <c r="AE320" s="12"/>
      <c r="AF320" s="245"/>
      <c r="AG320" s="12"/>
      <c r="AH320" s="15">
        <f t="shared" si="49"/>
        <v>0</v>
      </c>
      <c r="AI320" s="22">
        <f t="shared" si="50"/>
        <v>0</v>
      </c>
      <c r="AJ320" s="22">
        <f t="shared" si="51"/>
        <v>0</v>
      </c>
    </row>
    <row r="321" spans="1:37" s="165" customFormat="1" hidden="1">
      <c r="A321" s="165" t="s">
        <v>1481</v>
      </c>
      <c r="B321" s="13">
        <v>43581</v>
      </c>
      <c r="C321" s="13" t="s">
        <v>23</v>
      </c>
      <c r="D321" s="165" t="s">
        <v>1482</v>
      </c>
      <c r="E321" s="13" t="s">
        <v>1483</v>
      </c>
      <c r="F321" s="165" t="str">
        <f t="shared" si="47"/>
        <v>CONC_24.26_80_NL2018</v>
      </c>
      <c r="G321" s="13" t="s">
        <v>40</v>
      </c>
      <c r="H321" s="12"/>
      <c r="I321" s="12" t="s">
        <v>220</v>
      </c>
      <c r="J321" s="31" t="s">
        <v>504</v>
      </c>
      <c r="K321" s="15" t="s">
        <v>28</v>
      </c>
      <c r="L321" s="15"/>
      <c r="M321" s="16">
        <f t="shared" si="48"/>
        <v>0</v>
      </c>
      <c r="N321" s="15">
        <f>5040-5040</f>
        <v>0</v>
      </c>
      <c r="O321" s="15">
        <v>15200</v>
      </c>
      <c r="P321" s="15">
        <f t="shared" si="46"/>
        <v>0</v>
      </c>
      <c r="Q321" s="15" t="str">
        <f t="shared" si="44"/>
        <v>Canceled</v>
      </c>
      <c r="R321" s="18" t="s">
        <v>71</v>
      </c>
      <c r="S321" s="23">
        <v>43709</v>
      </c>
      <c r="T321" s="20">
        <f>IFERROR(VLOOKUP(S321,'Date Converter'!$A$4:$C$368,3,0),"")</f>
        <v>43737</v>
      </c>
      <c r="U321" s="21">
        <f t="shared" si="45"/>
        <v>43737</v>
      </c>
      <c r="V321" s="12" t="s">
        <v>51</v>
      </c>
      <c r="W321" s="18"/>
      <c r="X321" s="18"/>
      <c r="Y321" s="12"/>
      <c r="Z321" s="206"/>
      <c r="AA321" s="15"/>
      <c r="AB321" s="206"/>
      <c r="AC321" s="12"/>
      <c r="AD321" s="206"/>
      <c r="AE321" s="12"/>
      <c r="AF321" s="245"/>
      <c r="AG321" s="12"/>
      <c r="AH321" s="15">
        <f t="shared" si="49"/>
        <v>0</v>
      </c>
      <c r="AI321" s="22">
        <f t="shared" si="50"/>
        <v>0</v>
      </c>
      <c r="AJ321" s="22">
        <f t="shared" si="51"/>
        <v>0</v>
      </c>
    </row>
    <row r="322" spans="1:37" s="165" customFormat="1" hidden="1">
      <c r="A322" s="165" t="s">
        <v>1481</v>
      </c>
      <c r="B322" s="13">
        <v>43581</v>
      </c>
      <c r="C322" s="13" t="s">
        <v>23</v>
      </c>
      <c r="D322" s="165" t="s">
        <v>1482</v>
      </c>
      <c r="E322" s="13" t="s">
        <v>1483</v>
      </c>
      <c r="F322" s="165" t="str">
        <f t="shared" si="47"/>
        <v>ARVA_16.18_200_NL2018</v>
      </c>
      <c r="G322" s="13" t="s">
        <v>85</v>
      </c>
      <c r="H322" s="12"/>
      <c r="I322" s="12" t="s">
        <v>35</v>
      </c>
      <c r="J322" s="31" t="s">
        <v>121</v>
      </c>
      <c r="K322" s="15" t="s">
        <v>28</v>
      </c>
      <c r="L322" s="15"/>
      <c r="M322" s="16">
        <f t="shared" si="48"/>
        <v>0</v>
      </c>
      <c r="N322" s="15">
        <f>3000-3000</f>
        <v>0</v>
      </c>
      <c r="O322" s="15">
        <v>5700</v>
      </c>
      <c r="P322" s="15">
        <f t="shared" si="46"/>
        <v>0</v>
      </c>
      <c r="Q322" s="15" t="str">
        <f t="shared" si="44"/>
        <v>Canceled</v>
      </c>
      <c r="R322" s="18" t="s">
        <v>71</v>
      </c>
      <c r="S322" s="23">
        <v>43572</v>
      </c>
      <c r="T322" s="20">
        <f>IFERROR(VLOOKUP(S322,'Date Converter'!$A$4:$C$368,3,0),"")</f>
        <v>43606</v>
      </c>
      <c r="U322" s="21">
        <f t="shared" si="45"/>
        <v>43606</v>
      </c>
      <c r="V322" s="12" t="s">
        <v>1485</v>
      </c>
      <c r="W322" s="18"/>
      <c r="X322" s="18"/>
      <c r="Y322" s="12"/>
      <c r="Z322" s="206"/>
      <c r="AA322" s="15"/>
      <c r="AB322" s="206"/>
      <c r="AC322" s="12"/>
      <c r="AD322" s="206"/>
      <c r="AE322" s="12"/>
      <c r="AF322" s="245"/>
      <c r="AG322" s="12"/>
      <c r="AH322" s="15">
        <f t="shared" si="49"/>
        <v>0</v>
      </c>
      <c r="AI322" s="22">
        <f t="shared" si="50"/>
        <v>0</v>
      </c>
      <c r="AJ322" s="22">
        <f t="shared" si="51"/>
        <v>0</v>
      </c>
    </row>
    <row r="323" spans="1:37" s="165" customFormat="1" hidden="1">
      <c r="A323" s="165" t="s">
        <v>1481</v>
      </c>
      <c r="B323" s="13">
        <v>43581</v>
      </c>
      <c r="C323" s="13" t="s">
        <v>23</v>
      </c>
      <c r="D323" s="165" t="s">
        <v>1482</v>
      </c>
      <c r="E323" s="13" t="s">
        <v>1483</v>
      </c>
      <c r="F323" s="165" t="str">
        <f t="shared" si="47"/>
        <v>ARVA_16.18_200_NL2018</v>
      </c>
      <c r="G323" s="13" t="s">
        <v>85</v>
      </c>
      <c r="H323" s="12"/>
      <c r="I323" s="12" t="s">
        <v>35</v>
      </c>
      <c r="J323" s="31" t="s">
        <v>121</v>
      </c>
      <c r="K323" s="15" t="s">
        <v>28</v>
      </c>
      <c r="L323" s="15"/>
      <c r="M323" s="16">
        <f t="shared" si="48"/>
        <v>0</v>
      </c>
      <c r="N323" s="15">
        <f>10000-10000</f>
        <v>0</v>
      </c>
      <c r="O323" s="15">
        <v>5800</v>
      </c>
      <c r="P323" s="15">
        <f t="shared" si="46"/>
        <v>0</v>
      </c>
      <c r="Q323" s="15" t="str">
        <f t="shared" ref="Q323:Q386" si="52">IF(AND(N323=0,AI323=0),"Canceled",IF(AND(N323&gt;0,AI323=0),"Done",""))</f>
        <v>Canceled</v>
      </c>
      <c r="R323" s="18" t="s">
        <v>71</v>
      </c>
      <c r="S323" s="23">
        <v>43590</v>
      </c>
      <c r="T323" s="20">
        <f>IFERROR(VLOOKUP(S323,'Date Converter'!$A$4:$C$368,3,0),"")</f>
        <v>43623</v>
      </c>
      <c r="U323" s="21">
        <f t="shared" si="45"/>
        <v>43623</v>
      </c>
      <c r="V323" s="12" t="s">
        <v>1486</v>
      </c>
      <c r="W323" s="18"/>
      <c r="X323" s="18"/>
      <c r="Y323" s="12"/>
      <c r="Z323" s="206"/>
      <c r="AA323" s="15"/>
      <c r="AB323" s="206"/>
      <c r="AC323" s="12"/>
      <c r="AD323" s="206"/>
      <c r="AE323" s="12"/>
      <c r="AF323" s="245"/>
      <c r="AG323" s="12"/>
      <c r="AH323" s="15">
        <f t="shared" si="49"/>
        <v>0</v>
      </c>
      <c r="AI323" s="22">
        <f t="shared" si="50"/>
        <v>0</v>
      </c>
      <c r="AJ323" s="22">
        <f t="shared" si="51"/>
        <v>0</v>
      </c>
    </row>
    <row r="324" spans="1:37" s="165" customFormat="1" hidden="1">
      <c r="A324" s="165" t="s">
        <v>1795</v>
      </c>
      <c r="B324" s="13">
        <v>43608</v>
      </c>
      <c r="C324" s="13" t="s">
        <v>1622</v>
      </c>
      <c r="D324" s="165" t="s">
        <v>1234</v>
      </c>
      <c r="E324" s="13" t="s">
        <v>1235</v>
      </c>
      <c r="F324" s="165" t="str">
        <f t="shared" si="47"/>
        <v>TARR_14.16_300_NL2018</v>
      </c>
      <c r="G324" s="13" t="s">
        <v>1796</v>
      </c>
      <c r="H324" s="12"/>
      <c r="I324" s="12" t="s">
        <v>47</v>
      </c>
      <c r="J324" s="31" t="s">
        <v>124</v>
      </c>
      <c r="K324" s="15" t="s">
        <v>28</v>
      </c>
      <c r="L324" s="15"/>
      <c r="M324" s="33">
        <f t="shared" si="48"/>
        <v>34</v>
      </c>
      <c r="N324" s="15">
        <v>10200</v>
      </c>
      <c r="O324" s="15">
        <v>4800</v>
      </c>
      <c r="P324" s="15">
        <f t="shared" si="46"/>
        <v>48960000</v>
      </c>
      <c r="Q324" s="15" t="str">
        <f t="shared" si="52"/>
        <v>Done</v>
      </c>
      <c r="R324" s="18" t="s">
        <v>44</v>
      </c>
      <c r="S324" s="23">
        <v>43574</v>
      </c>
      <c r="T324" s="20">
        <f>IFERROR(VLOOKUP(S324,'Date Converter'!$A$4:$C$368,3,0),"")</f>
        <v>43608</v>
      </c>
      <c r="U324" s="21">
        <f t="shared" si="45"/>
        <v>43608</v>
      </c>
      <c r="V324" s="15"/>
      <c r="W324" s="18"/>
      <c r="X324" s="18"/>
      <c r="Y324" s="18"/>
      <c r="Z324" s="206">
        <v>43608</v>
      </c>
      <c r="AA324" s="15">
        <v>10200</v>
      </c>
      <c r="AB324" s="206"/>
      <c r="AC324" s="12"/>
      <c r="AD324" s="12"/>
      <c r="AE324" s="12"/>
      <c r="AF324" s="245"/>
      <c r="AG324" s="12"/>
      <c r="AH324" s="15">
        <f t="shared" si="49"/>
        <v>10200</v>
      </c>
      <c r="AI324" s="22">
        <f t="shared" si="50"/>
        <v>0</v>
      </c>
      <c r="AJ324" s="22">
        <f t="shared" si="51"/>
        <v>0</v>
      </c>
    </row>
    <row r="325" spans="1:37" s="165" customFormat="1" hidden="1">
      <c r="A325" s="165" t="s">
        <v>1795</v>
      </c>
      <c r="B325" s="13">
        <v>43608</v>
      </c>
      <c r="C325" s="13" t="s">
        <v>1622</v>
      </c>
      <c r="D325" s="165" t="s">
        <v>1234</v>
      </c>
      <c r="E325" s="13" t="s">
        <v>1235</v>
      </c>
      <c r="F325" s="165" t="str">
        <f t="shared" si="47"/>
        <v>PAVI_12.14_400_NL2018</v>
      </c>
      <c r="G325" s="13" t="s">
        <v>138</v>
      </c>
      <c r="H325" s="12"/>
      <c r="I325" s="12" t="s">
        <v>113</v>
      </c>
      <c r="J325" s="31" t="s">
        <v>128</v>
      </c>
      <c r="K325" s="15" t="s">
        <v>28</v>
      </c>
      <c r="L325" s="15"/>
      <c r="M325" s="33">
        <f t="shared" si="48"/>
        <v>25</v>
      </c>
      <c r="N325" s="15">
        <v>10000</v>
      </c>
      <c r="O325" s="15">
        <v>2900</v>
      </c>
      <c r="P325" s="15">
        <f t="shared" si="46"/>
        <v>29000000</v>
      </c>
      <c r="Q325" s="15" t="str">
        <f t="shared" si="52"/>
        <v>Done</v>
      </c>
      <c r="R325" s="18" t="s">
        <v>44</v>
      </c>
      <c r="S325" s="23">
        <v>43574</v>
      </c>
      <c r="T325" s="20">
        <f>IFERROR(VLOOKUP(S325,'Date Converter'!$A$4:$C$368,3,0),"")</f>
        <v>43608</v>
      </c>
      <c r="U325" s="21">
        <f t="shared" si="45"/>
        <v>43608</v>
      </c>
      <c r="V325" s="15"/>
      <c r="W325" s="18"/>
      <c r="X325" s="18"/>
      <c r="Y325" s="18"/>
      <c r="Z325" s="206">
        <v>43608</v>
      </c>
      <c r="AA325" s="15">
        <v>10000</v>
      </c>
      <c r="AB325" s="206"/>
      <c r="AC325" s="12"/>
      <c r="AD325" s="12"/>
      <c r="AE325" s="12"/>
      <c r="AF325" s="245"/>
      <c r="AG325" s="12"/>
      <c r="AH325" s="15">
        <f t="shared" si="49"/>
        <v>10000</v>
      </c>
      <c r="AI325" s="22">
        <f t="shared" si="50"/>
        <v>0</v>
      </c>
      <c r="AJ325" s="22">
        <f t="shared" si="51"/>
        <v>0</v>
      </c>
    </row>
    <row r="326" spans="1:37" s="165" customFormat="1" hidden="1">
      <c r="A326" s="165" t="s">
        <v>1797</v>
      </c>
      <c r="B326" s="13">
        <v>43615</v>
      </c>
      <c r="C326" s="266" t="s">
        <v>23</v>
      </c>
      <c r="D326" s="258" t="s">
        <v>1799</v>
      </c>
      <c r="E326" s="13" t="s">
        <v>1798</v>
      </c>
      <c r="F326" s="165" t="str">
        <f t="shared" si="47"/>
        <v>ROBI_20.22_125_NZ2019</v>
      </c>
      <c r="G326" s="13" t="s">
        <v>1679</v>
      </c>
      <c r="H326" s="12"/>
      <c r="I326" s="12" t="s">
        <v>74</v>
      </c>
      <c r="J326" s="31" t="s">
        <v>122</v>
      </c>
      <c r="K326" s="15" t="s">
        <v>1507</v>
      </c>
      <c r="L326" s="15"/>
      <c r="M326" s="33">
        <f t="shared" si="48"/>
        <v>40</v>
      </c>
      <c r="N326" s="15">
        <v>5000</v>
      </c>
      <c r="O326" s="15">
        <v>12500</v>
      </c>
      <c r="P326" s="15">
        <f t="shared" si="46"/>
        <v>62500000</v>
      </c>
      <c r="Q326" s="15" t="str">
        <f t="shared" si="52"/>
        <v/>
      </c>
      <c r="R326" s="18" t="s">
        <v>29</v>
      </c>
      <c r="S326" s="23">
        <v>43709</v>
      </c>
      <c r="T326" s="20">
        <f>IFERROR(VLOOKUP(S326,'Date Converter'!$A$4:$C$368,3,0),"")</f>
        <v>43737</v>
      </c>
      <c r="U326" s="21">
        <f t="shared" si="45"/>
        <v>43737</v>
      </c>
      <c r="V326" s="12"/>
      <c r="W326" s="18"/>
      <c r="X326" s="18"/>
      <c r="Y326" s="12"/>
      <c r="Z326" s="206"/>
      <c r="AA326" s="12"/>
      <c r="AB326" s="12"/>
      <c r="AC326" s="12"/>
      <c r="AD326" s="12"/>
      <c r="AE326" s="12"/>
      <c r="AF326" s="245"/>
      <c r="AG326" s="12"/>
      <c r="AH326" s="15">
        <f t="shared" si="49"/>
        <v>0</v>
      </c>
      <c r="AI326" s="22">
        <f t="shared" si="50"/>
        <v>5000</v>
      </c>
      <c r="AJ326" s="22">
        <f t="shared" si="51"/>
        <v>62500000</v>
      </c>
    </row>
    <row r="327" spans="1:37" hidden="1">
      <c r="A327" s="165" t="s">
        <v>1797</v>
      </c>
      <c r="B327" s="13">
        <v>43615</v>
      </c>
      <c r="C327" s="266" t="s">
        <v>23</v>
      </c>
      <c r="D327" s="258" t="s">
        <v>1799</v>
      </c>
      <c r="E327" s="13" t="s">
        <v>1798</v>
      </c>
      <c r="F327" s="165" t="str">
        <f t="shared" si="47"/>
        <v>ROBI_20.22_125_NL2018</v>
      </c>
      <c r="G327" s="13" t="s">
        <v>61</v>
      </c>
      <c r="I327" s="12" t="s">
        <v>74</v>
      </c>
      <c r="J327" s="31" t="s">
        <v>122</v>
      </c>
      <c r="K327" s="15" t="s">
        <v>28</v>
      </c>
      <c r="M327" s="33">
        <f t="shared" si="48"/>
        <v>64</v>
      </c>
      <c r="N327" s="15">
        <v>8000</v>
      </c>
      <c r="O327" s="15">
        <v>10700</v>
      </c>
      <c r="P327" s="15">
        <f t="shared" si="46"/>
        <v>85600000</v>
      </c>
      <c r="Q327" s="15" t="str">
        <f t="shared" si="52"/>
        <v/>
      </c>
      <c r="R327" s="18" t="s">
        <v>29</v>
      </c>
      <c r="S327" s="23">
        <v>43709</v>
      </c>
      <c r="T327" s="20">
        <f>IFERROR(VLOOKUP(S327,'Date Converter'!$A$4:$C$368,3,0),"")</f>
        <v>43737</v>
      </c>
      <c r="U327" s="21">
        <f t="shared" si="45"/>
        <v>43737</v>
      </c>
      <c r="AD327" s="12"/>
      <c r="AH327" s="15">
        <f t="shared" si="49"/>
        <v>0</v>
      </c>
      <c r="AI327" s="22">
        <f t="shared" si="50"/>
        <v>8000</v>
      </c>
      <c r="AJ327" s="22">
        <f t="shared" si="51"/>
        <v>85600000</v>
      </c>
      <c r="AK327" s="165"/>
    </row>
    <row r="328" spans="1:37" s="165" customFormat="1" hidden="1">
      <c r="A328" s="165" t="s">
        <v>1797</v>
      </c>
      <c r="B328" s="13">
        <v>43615</v>
      </c>
      <c r="C328" s="266" t="s">
        <v>23</v>
      </c>
      <c r="D328" s="258" t="s">
        <v>1799</v>
      </c>
      <c r="E328" s="13" t="s">
        <v>1798</v>
      </c>
      <c r="F328" s="165" t="str">
        <f t="shared" si="47"/>
        <v>ROBI_24+_75_NL2018</v>
      </c>
      <c r="G328" s="13" t="s">
        <v>61</v>
      </c>
      <c r="H328" s="12"/>
      <c r="I328" s="12" t="s">
        <v>185</v>
      </c>
      <c r="J328" s="31" t="s">
        <v>392</v>
      </c>
      <c r="K328" s="15" t="s">
        <v>28</v>
      </c>
      <c r="L328" s="15"/>
      <c r="M328" s="33">
        <f t="shared" si="48"/>
        <v>134</v>
      </c>
      <c r="N328" s="15">
        <v>10050</v>
      </c>
      <c r="O328" s="15">
        <v>15300</v>
      </c>
      <c r="P328" s="15">
        <f t="shared" si="46"/>
        <v>153765000</v>
      </c>
      <c r="Q328" s="15" t="str">
        <f t="shared" si="52"/>
        <v/>
      </c>
      <c r="R328" s="18" t="s">
        <v>29</v>
      </c>
      <c r="S328" s="23">
        <v>43709</v>
      </c>
      <c r="T328" s="20">
        <f>IFERROR(VLOOKUP(S328,'Date Converter'!$A$4:$C$368,3,0),"")</f>
        <v>43737</v>
      </c>
      <c r="U328" s="21">
        <f t="shared" si="45"/>
        <v>43737</v>
      </c>
      <c r="V328" s="12"/>
      <c r="W328" s="18"/>
      <c r="X328" s="18"/>
      <c r="Y328" s="12"/>
      <c r="Z328" s="206"/>
      <c r="AA328" s="12"/>
      <c r="AB328" s="12"/>
      <c r="AC328" s="12"/>
      <c r="AD328" s="12"/>
      <c r="AE328" s="12"/>
      <c r="AF328" s="245"/>
      <c r="AG328" s="12"/>
      <c r="AH328" s="15">
        <f t="shared" si="49"/>
        <v>0</v>
      </c>
      <c r="AI328" s="22">
        <f t="shared" si="50"/>
        <v>10050</v>
      </c>
      <c r="AJ328" s="22">
        <f t="shared" si="51"/>
        <v>153765000</v>
      </c>
    </row>
    <row r="329" spans="1:37" s="165" customFormat="1" hidden="1">
      <c r="A329" s="165" t="s">
        <v>1797</v>
      </c>
      <c r="B329" s="13">
        <v>43615</v>
      </c>
      <c r="C329" s="266" t="s">
        <v>23</v>
      </c>
      <c r="D329" s="258" t="s">
        <v>1799</v>
      </c>
      <c r="E329" s="13" t="s">
        <v>1798</v>
      </c>
      <c r="F329" s="165" t="str">
        <f t="shared" si="47"/>
        <v>CONC_20.22_125_NL2018</v>
      </c>
      <c r="G329" s="13" t="s">
        <v>40</v>
      </c>
      <c r="H329" s="12"/>
      <c r="I329" s="12" t="s">
        <v>74</v>
      </c>
      <c r="J329" s="31" t="s">
        <v>122</v>
      </c>
      <c r="K329" s="15" t="s">
        <v>28</v>
      </c>
      <c r="L329" s="15"/>
      <c r="M329" s="33">
        <f t="shared" si="48"/>
        <v>56</v>
      </c>
      <c r="N329" s="15">
        <v>7000</v>
      </c>
      <c r="O329" s="15">
        <v>10600</v>
      </c>
      <c r="P329" s="15">
        <f t="shared" si="46"/>
        <v>74200000</v>
      </c>
      <c r="Q329" s="15" t="str">
        <f t="shared" si="52"/>
        <v/>
      </c>
      <c r="R329" s="18" t="s">
        <v>29</v>
      </c>
      <c r="S329" s="23">
        <v>43709</v>
      </c>
      <c r="T329" s="20">
        <f>IFERROR(VLOOKUP(S329,'Date Converter'!$A$4:$C$368,3,0),"")</f>
        <v>43737</v>
      </c>
      <c r="U329" s="21">
        <f t="shared" si="45"/>
        <v>43737</v>
      </c>
      <c r="V329" s="12"/>
      <c r="W329" s="18"/>
      <c r="X329" s="18"/>
      <c r="Y329" s="12"/>
      <c r="Z329" s="206"/>
      <c r="AA329" s="12"/>
      <c r="AB329" s="12"/>
      <c r="AC329" s="12"/>
      <c r="AD329" s="12"/>
      <c r="AE329" s="12"/>
      <c r="AF329" s="245"/>
      <c r="AG329" s="12"/>
      <c r="AH329" s="15">
        <f t="shared" si="49"/>
        <v>0</v>
      </c>
      <c r="AI329" s="22">
        <f t="shared" si="50"/>
        <v>7000</v>
      </c>
      <c r="AJ329" s="22">
        <f t="shared" si="51"/>
        <v>74200000</v>
      </c>
    </row>
    <row r="330" spans="1:37" s="165" customFormat="1" hidden="1">
      <c r="A330" s="165" t="s">
        <v>1797</v>
      </c>
      <c r="B330" s="13">
        <v>43615</v>
      </c>
      <c r="C330" s="266" t="s">
        <v>23</v>
      </c>
      <c r="D330" s="258" t="s">
        <v>1799</v>
      </c>
      <c r="E330" s="13" t="s">
        <v>1798</v>
      </c>
      <c r="F330" s="165" t="str">
        <f t="shared" si="47"/>
        <v>CONC_24.26_80_NL2018</v>
      </c>
      <c r="G330" s="13" t="s">
        <v>40</v>
      </c>
      <c r="H330" s="12"/>
      <c r="I330" s="12" t="s">
        <v>220</v>
      </c>
      <c r="J330" s="31" t="s">
        <v>504</v>
      </c>
      <c r="K330" s="15" t="s">
        <v>28</v>
      </c>
      <c r="L330" s="15"/>
      <c r="M330" s="33">
        <f t="shared" si="48"/>
        <v>125</v>
      </c>
      <c r="N330" s="15">
        <v>10000</v>
      </c>
      <c r="O330" s="15">
        <v>15200</v>
      </c>
      <c r="P330" s="15">
        <f t="shared" si="46"/>
        <v>152000000</v>
      </c>
      <c r="Q330" s="15" t="str">
        <f t="shared" si="52"/>
        <v/>
      </c>
      <c r="R330" s="18" t="s">
        <v>29</v>
      </c>
      <c r="S330" s="23">
        <v>43709</v>
      </c>
      <c r="T330" s="20">
        <f>IFERROR(VLOOKUP(S330,'Date Converter'!$A$4:$C$368,3,0),"")</f>
        <v>43737</v>
      </c>
      <c r="U330" s="21">
        <f t="shared" si="45"/>
        <v>43737</v>
      </c>
      <c r="V330" s="12"/>
      <c r="W330" s="18"/>
      <c r="X330" s="18"/>
      <c r="Y330" s="12"/>
      <c r="Z330" s="206"/>
      <c r="AA330" s="12"/>
      <c r="AB330" s="12"/>
      <c r="AC330" s="12"/>
      <c r="AD330" s="12"/>
      <c r="AE330" s="12"/>
      <c r="AF330" s="245"/>
      <c r="AG330" s="12"/>
      <c r="AH330" s="15">
        <f t="shared" si="49"/>
        <v>0</v>
      </c>
      <c r="AI330" s="22">
        <f t="shared" si="50"/>
        <v>10000</v>
      </c>
      <c r="AJ330" s="22">
        <f t="shared" si="51"/>
        <v>152000000</v>
      </c>
    </row>
    <row r="331" spans="1:37" s="165" customFormat="1" hidden="1">
      <c r="A331" s="165" t="s">
        <v>1797</v>
      </c>
      <c r="B331" s="13">
        <v>43616</v>
      </c>
      <c r="C331" s="266" t="s">
        <v>23</v>
      </c>
      <c r="D331" s="258" t="s">
        <v>1799</v>
      </c>
      <c r="E331" s="13" t="s">
        <v>1798</v>
      </c>
      <c r="F331" s="165" t="str">
        <f t="shared" si="47"/>
        <v>CONC_18.20_150_NL2018</v>
      </c>
      <c r="G331" s="13" t="s">
        <v>40</v>
      </c>
      <c r="H331" s="12"/>
      <c r="I331" s="12" t="s">
        <v>27</v>
      </c>
      <c r="J331" s="31" t="s">
        <v>126</v>
      </c>
      <c r="K331" s="15" t="s">
        <v>28</v>
      </c>
      <c r="L331" s="15"/>
      <c r="M331" s="33">
        <f t="shared" si="48"/>
        <v>34</v>
      </c>
      <c r="N331" s="15">
        <v>5100</v>
      </c>
      <c r="O331" s="15">
        <v>8000</v>
      </c>
      <c r="P331" s="15">
        <f t="shared" si="46"/>
        <v>40800000</v>
      </c>
      <c r="Q331" s="15" t="str">
        <f t="shared" si="52"/>
        <v/>
      </c>
      <c r="R331" s="18" t="s">
        <v>29</v>
      </c>
      <c r="S331" s="23">
        <v>43709</v>
      </c>
      <c r="T331" s="20">
        <f>IFERROR(VLOOKUP(S331,'Date Converter'!$A$4:$C$368,3,0),"")</f>
        <v>43737</v>
      </c>
      <c r="U331" s="21">
        <f t="shared" si="45"/>
        <v>43737</v>
      </c>
      <c r="V331" s="12"/>
      <c r="W331" s="18"/>
      <c r="X331" s="18"/>
      <c r="Y331" s="12"/>
      <c r="Z331" s="206"/>
      <c r="AA331" s="12"/>
      <c r="AB331" s="12"/>
      <c r="AC331" s="12"/>
      <c r="AD331" s="12"/>
      <c r="AE331" s="12"/>
      <c r="AF331" s="245"/>
      <c r="AG331" s="12"/>
      <c r="AH331" s="15">
        <f t="shared" si="49"/>
        <v>0</v>
      </c>
      <c r="AI331" s="22">
        <f t="shared" si="50"/>
        <v>5100</v>
      </c>
      <c r="AJ331" s="22">
        <f t="shared" si="51"/>
        <v>40800000</v>
      </c>
    </row>
    <row r="332" spans="1:37" hidden="1">
      <c r="A332" t="s">
        <v>2361</v>
      </c>
      <c r="B332" s="13">
        <v>43634</v>
      </c>
      <c r="C332" s="13" t="s">
        <v>1622</v>
      </c>
      <c r="D332" t="s">
        <v>709</v>
      </c>
      <c r="E332" s="165" t="s">
        <v>710</v>
      </c>
      <c r="F332" t="str">
        <f t="shared" si="47"/>
        <v>YELL_14.16_300_NL2018</v>
      </c>
      <c r="G332" s="165" t="s">
        <v>2024</v>
      </c>
      <c r="I332" s="12" t="s">
        <v>47</v>
      </c>
      <c r="J332" s="31" t="s">
        <v>124</v>
      </c>
      <c r="K332" s="15" t="s">
        <v>28</v>
      </c>
      <c r="M332" s="16">
        <f t="shared" si="48"/>
        <v>100</v>
      </c>
      <c r="N332" s="15">
        <v>30000</v>
      </c>
      <c r="O332" s="15">
        <v>4000</v>
      </c>
      <c r="P332" s="15">
        <f t="shared" si="46"/>
        <v>120000000</v>
      </c>
      <c r="Q332" s="15" t="str">
        <f t="shared" si="52"/>
        <v/>
      </c>
      <c r="R332" s="18" t="s">
        <v>29</v>
      </c>
      <c r="S332" s="23">
        <v>43631</v>
      </c>
      <c r="T332" s="20">
        <f>IFERROR(VLOOKUP(S332,'Date Converter'!$A$4:$C$368,3,0),"")</f>
        <v>43663</v>
      </c>
      <c r="U332" s="21">
        <f t="shared" si="45"/>
        <v>43663</v>
      </c>
      <c r="Y332" s="18"/>
      <c r="Z332" s="210"/>
      <c r="AA332" s="15"/>
      <c r="AB332" s="210"/>
      <c r="AC332" s="15"/>
      <c r="AD332" s="15"/>
      <c r="AE332" s="15"/>
      <c r="AF332" s="244"/>
      <c r="AG332" s="15"/>
      <c r="AH332" s="15">
        <f t="shared" si="49"/>
        <v>0</v>
      </c>
      <c r="AI332" s="22">
        <f t="shared" si="50"/>
        <v>30000</v>
      </c>
      <c r="AJ332" s="22">
        <f t="shared" si="51"/>
        <v>120000000</v>
      </c>
      <c r="AK332" s="13"/>
    </row>
    <row r="333" spans="1:37" s="165" customFormat="1" hidden="1">
      <c r="A333" s="165" t="s">
        <v>2361</v>
      </c>
      <c r="B333" s="13">
        <v>43614</v>
      </c>
      <c r="C333" s="13" t="s">
        <v>1622</v>
      </c>
      <c r="D333" s="165" t="s">
        <v>709</v>
      </c>
      <c r="E333" s="165" t="s">
        <v>710</v>
      </c>
      <c r="F333" s="165" t="str">
        <f t="shared" si="47"/>
        <v>THAL_RL_12.14_400_NL2018</v>
      </c>
      <c r="G333" s="165" t="s">
        <v>1473</v>
      </c>
      <c r="H333" s="12" t="s">
        <v>219</v>
      </c>
      <c r="I333" s="12" t="s">
        <v>113</v>
      </c>
      <c r="J333" s="14">
        <v>400</v>
      </c>
      <c r="K333" s="15" t="s">
        <v>28</v>
      </c>
      <c r="L333" s="15"/>
      <c r="M333" s="16">
        <f t="shared" si="48"/>
        <v>0</v>
      </c>
      <c r="N333" s="15">
        <f>1200-1200</f>
        <v>0</v>
      </c>
      <c r="O333" s="15">
        <v>8700</v>
      </c>
      <c r="P333" s="15">
        <f t="shared" si="46"/>
        <v>0</v>
      </c>
      <c r="Q333" s="15" t="str">
        <f t="shared" si="52"/>
        <v>Canceled</v>
      </c>
      <c r="R333" s="18" t="s">
        <v>71</v>
      </c>
      <c r="S333" s="23">
        <v>43584</v>
      </c>
      <c r="T333" s="20">
        <f>IFERROR(VLOOKUP(S333,'Date Converter'!$A$4:$C$368,3,0),"")</f>
        <v>43618</v>
      </c>
      <c r="U333" s="21">
        <f t="shared" si="45"/>
        <v>43618</v>
      </c>
      <c r="V333" s="12"/>
      <c r="W333" s="18"/>
      <c r="X333" s="18"/>
      <c r="Y333" s="18"/>
      <c r="Z333" s="210"/>
      <c r="AA333" s="15"/>
      <c r="AB333" s="210"/>
      <c r="AC333" s="15"/>
      <c r="AD333" s="15"/>
      <c r="AE333" s="15"/>
      <c r="AF333" s="244"/>
      <c r="AG333" s="15"/>
      <c r="AH333" s="15">
        <f t="shared" si="49"/>
        <v>0</v>
      </c>
      <c r="AI333" s="22">
        <f t="shared" si="50"/>
        <v>0</v>
      </c>
      <c r="AJ333" s="22">
        <f t="shared" si="51"/>
        <v>0</v>
      </c>
      <c r="AK333" s="13"/>
    </row>
    <row r="334" spans="1:37" hidden="1">
      <c r="A334" t="s">
        <v>2361</v>
      </c>
      <c r="B334" s="13">
        <v>43515</v>
      </c>
      <c r="C334" s="13" t="s">
        <v>1622</v>
      </c>
      <c r="D334" t="s">
        <v>709</v>
      </c>
      <c r="E334" s="165" t="s">
        <v>710</v>
      </c>
      <c r="F334" t="str">
        <f t="shared" si="47"/>
        <v>ROBI_18.20_150_NL2018</v>
      </c>
      <c r="G334" s="165" t="s">
        <v>61</v>
      </c>
      <c r="I334" s="12" t="s">
        <v>27</v>
      </c>
      <c r="J334" s="14">
        <v>150</v>
      </c>
      <c r="K334" s="15" t="s">
        <v>28</v>
      </c>
      <c r="M334" s="16">
        <f t="shared" si="48"/>
        <v>200</v>
      </c>
      <c r="N334" s="15">
        <v>30000</v>
      </c>
      <c r="O334" s="15">
        <f>6300+170</f>
        <v>6470</v>
      </c>
      <c r="P334" s="15">
        <f t="shared" si="46"/>
        <v>194100000</v>
      </c>
      <c r="Q334" s="15" t="str">
        <f t="shared" si="52"/>
        <v>Done</v>
      </c>
      <c r="R334" s="18" t="s">
        <v>44</v>
      </c>
      <c r="S334" s="23">
        <v>43572</v>
      </c>
      <c r="T334" s="20">
        <f>IFERROR(VLOOKUP(S334,'Date Converter'!$A$4:$C$368,3,0),"")</f>
        <v>43606</v>
      </c>
      <c r="U334" s="21">
        <f t="shared" si="45"/>
        <v>43606</v>
      </c>
      <c r="V334" s="12" t="s">
        <v>1416</v>
      </c>
      <c r="Y334" s="18"/>
      <c r="Z334" s="210">
        <v>43604</v>
      </c>
      <c r="AA334" s="15">
        <v>15000</v>
      </c>
      <c r="AB334" s="210">
        <v>43624</v>
      </c>
      <c r="AC334" s="15">
        <v>15000</v>
      </c>
      <c r="AD334" s="15"/>
      <c r="AE334" s="15"/>
      <c r="AF334" s="244"/>
      <c r="AG334" s="15"/>
      <c r="AH334" s="15">
        <f t="shared" si="49"/>
        <v>30000</v>
      </c>
      <c r="AI334" s="22">
        <f t="shared" si="50"/>
        <v>0</v>
      </c>
      <c r="AJ334" s="22">
        <f t="shared" si="51"/>
        <v>0</v>
      </c>
      <c r="AK334" s="13">
        <v>43836</v>
      </c>
    </row>
    <row r="335" spans="1:37" hidden="1">
      <c r="A335" t="s">
        <v>2361</v>
      </c>
      <c r="B335" s="13">
        <v>43515</v>
      </c>
      <c r="C335" s="13" t="s">
        <v>1622</v>
      </c>
      <c r="D335" t="s">
        <v>709</v>
      </c>
      <c r="E335" s="165" t="s">
        <v>710</v>
      </c>
      <c r="F335" t="str">
        <f t="shared" si="47"/>
        <v>ROBI_18.20_150_NL2018</v>
      </c>
      <c r="G335" s="165" t="s">
        <v>61</v>
      </c>
      <c r="I335" s="12" t="s">
        <v>27</v>
      </c>
      <c r="J335" s="14">
        <v>150</v>
      </c>
      <c r="K335" s="15" t="s">
        <v>28</v>
      </c>
      <c r="M335" s="16">
        <f t="shared" si="48"/>
        <v>145</v>
      </c>
      <c r="N335" s="15">
        <f>30000-8250</f>
        <v>21750</v>
      </c>
      <c r="O335" s="15">
        <f>6300+230</f>
        <v>6530</v>
      </c>
      <c r="P335" s="15">
        <f t="shared" si="46"/>
        <v>142027500</v>
      </c>
      <c r="Q335" s="15" t="str">
        <f t="shared" si="52"/>
        <v/>
      </c>
      <c r="R335" s="18" t="s">
        <v>63</v>
      </c>
      <c r="S335" s="23">
        <v>43584</v>
      </c>
      <c r="T335" s="20">
        <f>IFERROR(VLOOKUP(S335,'Date Converter'!$A$4:$C$368,3,0),"")</f>
        <v>43618</v>
      </c>
      <c r="U335" s="21">
        <f t="shared" si="45"/>
        <v>43618</v>
      </c>
      <c r="V335" s="12" t="s">
        <v>443</v>
      </c>
      <c r="Y335" s="18"/>
      <c r="Z335" s="210"/>
      <c r="AA335" s="15">
        <v>0</v>
      </c>
      <c r="AB335" s="210"/>
      <c r="AC335" s="15"/>
      <c r="AD335" s="15"/>
      <c r="AE335" s="15"/>
      <c r="AF335" s="244"/>
      <c r="AG335" s="15"/>
      <c r="AH335" s="15">
        <f t="shared" si="49"/>
        <v>0</v>
      </c>
      <c r="AI335" s="22">
        <f t="shared" si="50"/>
        <v>21750</v>
      </c>
      <c r="AJ335" s="22">
        <f t="shared" si="51"/>
        <v>142027500</v>
      </c>
      <c r="AK335" s="13">
        <v>43836</v>
      </c>
    </row>
    <row r="336" spans="1:37" hidden="1">
      <c r="A336" s="165" t="s">
        <v>2361</v>
      </c>
      <c r="B336" s="13">
        <v>43515</v>
      </c>
      <c r="C336" s="13" t="s">
        <v>1622</v>
      </c>
      <c r="D336" s="165" t="s">
        <v>709</v>
      </c>
      <c r="E336" s="165" t="s">
        <v>710</v>
      </c>
      <c r="F336" s="165" t="str">
        <f t="shared" si="47"/>
        <v>ROBI_18.20_150_NL2018</v>
      </c>
      <c r="G336" s="165" t="s">
        <v>61</v>
      </c>
      <c r="I336" s="12" t="s">
        <v>27</v>
      </c>
      <c r="J336" s="14">
        <v>150</v>
      </c>
      <c r="K336" s="15" t="s">
        <v>28</v>
      </c>
      <c r="M336" s="16">
        <f t="shared" si="48"/>
        <v>55</v>
      </c>
      <c r="N336" s="15">
        <v>8250</v>
      </c>
      <c r="O336" s="15">
        <v>6530</v>
      </c>
      <c r="P336" s="15">
        <f t="shared" si="46"/>
        <v>53872500</v>
      </c>
      <c r="Q336" s="15" t="str">
        <f t="shared" si="52"/>
        <v/>
      </c>
      <c r="R336" s="18" t="s">
        <v>63</v>
      </c>
      <c r="S336" s="23">
        <v>43603</v>
      </c>
      <c r="T336" s="20">
        <f>IFERROR(VLOOKUP(S336,'Date Converter'!$A$4:$C$368,3,0),"")</f>
        <v>43636</v>
      </c>
      <c r="U336" s="21">
        <f t="shared" si="45"/>
        <v>43636</v>
      </c>
      <c r="V336" s="12" t="s">
        <v>443</v>
      </c>
      <c r="Y336" s="18"/>
      <c r="Z336" s="210"/>
      <c r="AA336" s="15"/>
      <c r="AB336" s="210"/>
      <c r="AC336" s="15"/>
      <c r="AD336" s="15"/>
      <c r="AE336" s="15"/>
      <c r="AF336" s="244"/>
      <c r="AG336" s="15"/>
      <c r="AH336" s="15">
        <f t="shared" si="49"/>
        <v>0</v>
      </c>
      <c r="AI336" s="22">
        <f t="shared" si="50"/>
        <v>8250</v>
      </c>
      <c r="AJ336" s="22">
        <f t="shared" si="51"/>
        <v>53872500</v>
      </c>
      <c r="AK336" s="13"/>
    </row>
    <row r="337" spans="1:37" hidden="1">
      <c r="A337" s="165" t="s">
        <v>2361</v>
      </c>
      <c r="B337" s="13">
        <v>43515</v>
      </c>
      <c r="C337" s="13" t="s">
        <v>1622</v>
      </c>
      <c r="D337" s="165" t="s">
        <v>709</v>
      </c>
      <c r="E337" s="165" t="s">
        <v>710</v>
      </c>
      <c r="F337" s="165" t="str">
        <f t="shared" si="47"/>
        <v>ROBI_18.20_150_NL2018</v>
      </c>
      <c r="G337" s="165" t="s">
        <v>61</v>
      </c>
      <c r="I337" s="12" t="s">
        <v>27</v>
      </c>
      <c r="J337" s="14">
        <v>150</v>
      </c>
      <c r="K337" s="15" t="s">
        <v>28</v>
      </c>
      <c r="M337" s="16">
        <f t="shared" si="48"/>
        <v>134</v>
      </c>
      <c r="N337" s="15">
        <v>20100</v>
      </c>
      <c r="O337" s="15">
        <f>6300+230</f>
        <v>6530</v>
      </c>
      <c r="P337" s="15">
        <f t="shared" si="46"/>
        <v>131253000</v>
      </c>
      <c r="Q337" s="15" t="str">
        <f t="shared" si="52"/>
        <v/>
      </c>
      <c r="R337" s="18" t="s">
        <v>31</v>
      </c>
      <c r="S337" s="23">
        <v>43614</v>
      </c>
      <c r="T337" s="20">
        <f>IFERROR(VLOOKUP(S337,'Date Converter'!$A$4:$C$368,3,0),"")</f>
        <v>43647</v>
      </c>
      <c r="U337" s="21">
        <f t="shared" si="45"/>
        <v>43647</v>
      </c>
      <c r="V337" s="12" t="s">
        <v>1633</v>
      </c>
      <c r="Y337" s="18"/>
      <c r="Z337" s="210"/>
      <c r="AA337" s="15">
        <v>0</v>
      </c>
      <c r="AB337" s="210"/>
      <c r="AC337" s="15"/>
      <c r="AD337" s="15"/>
      <c r="AE337" s="15"/>
      <c r="AF337" s="244"/>
      <c r="AG337" s="15"/>
      <c r="AH337" s="15">
        <f t="shared" si="49"/>
        <v>0</v>
      </c>
      <c r="AI337" s="22">
        <f t="shared" si="50"/>
        <v>20100</v>
      </c>
      <c r="AJ337" s="22">
        <f t="shared" si="51"/>
        <v>131253000</v>
      </c>
      <c r="AK337" s="13">
        <v>43836</v>
      </c>
    </row>
    <row r="338" spans="1:37" s="165" customFormat="1" hidden="1">
      <c r="A338" s="165" t="s">
        <v>2361</v>
      </c>
      <c r="B338" s="13">
        <v>43515</v>
      </c>
      <c r="C338" s="13" t="s">
        <v>1622</v>
      </c>
      <c r="D338" s="165" t="s">
        <v>709</v>
      </c>
      <c r="E338" s="165" t="s">
        <v>710</v>
      </c>
      <c r="F338" s="165" t="str">
        <f t="shared" si="47"/>
        <v>ROBI_16.18_200_NL2018</v>
      </c>
      <c r="G338" s="165" t="s">
        <v>61</v>
      </c>
      <c r="H338" s="12"/>
      <c r="I338" s="12" t="s">
        <v>35</v>
      </c>
      <c r="J338" s="14">
        <v>200</v>
      </c>
      <c r="K338" s="15" t="s">
        <v>28</v>
      </c>
      <c r="L338" s="15"/>
      <c r="M338" s="16">
        <f t="shared" si="48"/>
        <v>150</v>
      </c>
      <c r="N338" s="15">
        <f>22000-1000+9000</f>
        <v>30000</v>
      </c>
      <c r="O338" s="15">
        <v>4800</v>
      </c>
      <c r="P338" s="15">
        <f t="shared" si="46"/>
        <v>144000000</v>
      </c>
      <c r="Q338" s="15" t="str">
        <f t="shared" si="52"/>
        <v>Done</v>
      </c>
      <c r="R338" s="18" t="s">
        <v>44</v>
      </c>
      <c r="S338" s="23" t="s">
        <v>53</v>
      </c>
      <c r="T338" s="20">
        <f>IFERROR(VLOOKUP(S338,'Date Converter'!$A$4:$C$368,3,0),"")</f>
        <v>43559</v>
      </c>
      <c r="U338" s="21">
        <f t="shared" si="45"/>
        <v>43559</v>
      </c>
      <c r="V338" s="12" t="s">
        <v>54</v>
      </c>
      <c r="W338" s="18" t="s">
        <v>72</v>
      </c>
      <c r="X338" s="18"/>
      <c r="Y338" s="18"/>
      <c r="Z338" s="210">
        <v>43558</v>
      </c>
      <c r="AA338" s="15">
        <f>15000</f>
        <v>15000</v>
      </c>
      <c r="AB338" s="210">
        <v>43567</v>
      </c>
      <c r="AC338" s="15">
        <v>15000</v>
      </c>
      <c r="AD338" s="15"/>
      <c r="AE338" s="15"/>
      <c r="AF338" s="244"/>
      <c r="AG338" s="15"/>
      <c r="AH338" s="15">
        <f t="shared" si="49"/>
        <v>30000</v>
      </c>
      <c r="AI338" s="22">
        <f t="shared" si="50"/>
        <v>0</v>
      </c>
      <c r="AJ338" s="22">
        <f t="shared" si="51"/>
        <v>0</v>
      </c>
      <c r="AK338" s="13">
        <v>43836</v>
      </c>
    </row>
    <row r="339" spans="1:37" hidden="1">
      <c r="A339" t="s">
        <v>1660</v>
      </c>
      <c r="B339" s="13">
        <v>43544</v>
      </c>
      <c r="C339" s="13" t="s">
        <v>1622</v>
      </c>
      <c r="D339" s="258" t="s">
        <v>709</v>
      </c>
      <c r="E339" s="165" t="s">
        <v>710</v>
      </c>
      <c r="F339" t="str">
        <f t="shared" si="47"/>
        <v>ROBI_20.22_125_NL2018</v>
      </c>
      <c r="G339" s="165" t="s">
        <v>61</v>
      </c>
      <c r="I339" s="12" t="s">
        <v>74</v>
      </c>
      <c r="J339" s="14">
        <v>125</v>
      </c>
      <c r="K339" s="15" t="s">
        <v>28</v>
      </c>
      <c r="M339" s="16">
        <f t="shared" si="48"/>
        <v>160</v>
      </c>
      <c r="N339" s="15">
        <v>20000</v>
      </c>
      <c r="O339" s="15">
        <v>10500</v>
      </c>
      <c r="P339" s="15">
        <f t="shared" si="46"/>
        <v>210000000</v>
      </c>
      <c r="Q339" s="15" t="str">
        <f t="shared" si="52"/>
        <v/>
      </c>
      <c r="R339" s="18" t="s">
        <v>29</v>
      </c>
      <c r="S339" s="23">
        <v>43709</v>
      </c>
      <c r="T339" s="20">
        <f>IFERROR(VLOOKUP(S339,'Date Converter'!$A$4:$C$368,3,0),"")</f>
        <v>43737</v>
      </c>
      <c r="U339" s="21">
        <f t="shared" si="45"/>
        <v>43737</v>
      </c>
      <c r="V339" s="12" t="s">
        <v>51</v>
      </c>
      <c r="Y339" s="18"/>
      <c r="Z339" s="210"/>
      <c r="AA339" s="15"/>
      <c r="AB339" s="210"/>
      <c r="AC339" s="15"/>
      <c r="AD339" s="15"/>
      <c r="AE339" s="15"/>
      <c r="AF339" s="244"/>
      <c r="AG339" s="15"/>
      <c r="AH339" s="15">
        <f t="shared" si="49"/>
        <v>0</v>
      </c>
      <c r="AI339" s="22">
        <f t="shared" si="50"/>
        <v>20000</v>
      </c>
      <c r="AJ339" s="22">
        <f t="shared" si="51"/>
        <v>210000000</v>
      </c>
      <c r="AK339" s="13"/>
    </row>
    <row r="340" spans="1:37" hidden="1">
      <c r="A340" t="s">
        <v>2361</v>
      </c>
      <c r="B340" s="13">
        <v>43515</v>
      </c>
      <c r="C340" s="13" t="s">
        <v>1622</v>
      </c>
      <c r="D340" t="s">
        <v>709</v>
      </c>
      <c r="E340" s="165" t="s">
        <v>710</v>
      </c>
      <c r="F340" t="str">
        <f t="shared" si="47"/>
        <v>MALD_16.18_200_NL2018</v>
      </c>
      <c r="G340" t="s">
        <v>478</v>
      </c>
      <c r="I340" s="12" t="s">
        <v>35</v>
      </c>
      <c r="J340" s="14">
        <v>200</v>
      </c>
      <c r="K340" s="15" t="s">
        <v>28</v>
      </c>
      <c r="M340" s="16">
        <f t="shared" si="48"/>
        <v>100</v>
      </c>
      <c r="N340" s="25">
        <v>20000</v>
      </c>
      <c r="O340" s="15">
        <v>5200</v>
      </c>
      <c r="P340" s="15">
        <f t="shared" si="46"/>
        <v>104000000</v>
      </c>
      <c r="Q340" s="15" t="str">
        <f t="shared" si="52"/>
        <v>Done</v>
      </c>
      <c r="R340" s="18" t="s">
        <v>44</v>
      </c>
      <c r="S340" s="23">
        <v>43572</v>
      </c>
      <c r="T340" s="20">
        <f>IFERROR(VLOOKUP(S340,'Date Converter'!$A$4:$C$368,3,0),"")</f>
        <v>43606</v>
      </c>
      <c r="U340" s="21">
        <f t="shared" si="45"/>
        <v>43606</v>
      </c>
      <c r="V340" s="12" t="s">
        <v>1416</v>
      </c>
      <c r="Y340" s="18"/>
      <c r="Z340" s="210">
        <v>43617</v>
      </c>
      <c r="AA340" s="15">
        <v>10000</v>
      </c>
      <c r="AB340" s="210">
        <v>43637</v>
      </c>
      <c r="AC340" s="15">
        <v>10000</v>
      </c>
      <c r="AD340" s="15"/>
      <c r="AE340" s="15"/>
      <c r="AF340" s="244"/>
      <c r="AG340" s="15"/>
      <c r="AH340" s="15">
        <f t="shared" si="49"/>
        <v>20000</v>
      </c>
      <c r="AI340" s="22">
        <f t="shared" si="50"/>
        <v>0</v>
      </c>
      <c r="AJ340" s="22">
        <f t="shared" si="51"/>
        <v>0</v>
      </c>
      <c r="AK340" s="13">
        <v>43836</v>
      </c>
    </row>
    <row r="341" spans="1:37" hidden="1">
      <c r="A341" t="s">
        <v>2361</v>
      </c>
      <c r="B341" s="13">
        <v>43515</v>
      </c>
      <c r="C341" s="13" t="s">
        <v>1622</v>
      </c>
      <c r="D341" t="s">
        <v>709</v>
      </c>
      <c r="E341" s="165" t="s">
        <v>710</v>
      </c>
      <c r="F341" t="str">
        <f t="shared" si="47"/>
        <v>MALD_16.18_200_NL2018</v>
      </c>
      <c r="G341" t="s">
        <v>478</v>
      </c>
      <c r="I341" s="12" t="s">
        <v>35</v>
      </c>
      <c r="J341" s="14">
        <v>200</v>
      </c>
      <c r="K341" s="15" t="s">
        <v>28</v>
      </c>
      <c r="M341" s="16">
        <f t="shared" si="48"/>
        <v>100</v>
      </c>
      <c r="N341" s="15">
        <v>20000</v>
      </c>
      <c r="O341" s="15">
        <v>5300</v>
      </c>
      <c r="P341" s="15">
        <f t="shared" si="46"/>
        <v>106000000</v>
      </c>
      <c r="Q341" s="15" t="str">
        <f t="shared" si="52"/>
        <v/>
      </c>
      <c r="R341" s="18" t="s">
        <v>63</v>
      </c>
      <c r="S341" s="23">
        <v>43584</v>
      </c>
      <c r="T341" s="20">
        <f>IFERROR(VLOOKUP(S341,'Date Converter'!$A$4:$C$368,3,0),"")</f>
        <v>43618</v>
      </c>
      <c r="U341" s="21">
        <f t="shared" si="45"/>
        <v>43618</v>
      </c>
      <c r="V341" s="12" t="s">
        <v>443</v>
      </c>
      <c r="Y341" s="18"/>
      <c r="Z341" s="210"/>
      <c r="AA341" s="15">
        <v>0</v>
      </c>
      <c r="AB341" s="210"/>
      <c r="AC341" s="15"/>
      <c r="AD341" s="15"/>
      <c r="AE341" s="15"/>
      <c r="AF341" s="244"/>
      <c r="AG341" s="15"/>
      <c r="AH341" s="15">
        <f t="shared" si="49"/>
        <v>0</v>
      </c>
      <c r="AI341" s="22">
        <f t="shared" si="50"/>
        <v>20000</v>
      </c>
      <c r="AJ341" s="22">
        <f t="shared" si="51"/>
        <v>106000000</v>
      </c>
      <c r="AK341" s="13">
        <v>43836</v>
      </c>
    </row>
    <row r="342" spans="1:37" s="165" customFormat="1" hidden="1">
      <c r="A342" s="165" t="s">
        <v>2361</v>
      </c>
      <c r="B342" s="13">
        <v>43515</v>
      </c>
      <c r="C342" s="13" t="s">
        <v>1622</v>
      </c>
      <c r="D342" s="165" t="s">
        <v>709</v>
      </c>
      <c r="E342" s="165" t="s">
        <v>710</v>
      </c>
      <c r="F342" s="165" t="str">
        <f t="shared" si="47"/>
        <v>MALD_15.16_300_NL2018</v>
      </c>
      <c r="G342" s="165" t="s">
        <v>478</v>
      </c>
      <c r="H342" s="12"/>
      <c r="I342" s="12" t="s">
        <v>77</v>
      </c>
      <c r="J342" s="14">
        <v>300</v>
      </c>
      <c r="K342" s="15" t="s">
        <v>28</v>
      </c>
      <c r="L342" s="15"/>
      <c r="M342" s="16">
        <f t="shared" si="48"/>
        <v>0</v>
      </c>
      <c r="N342" s="15">
        <f>5100-5100</f>
        <v>0</v>
      </c>
      <c r="O342" s="15">
        <v>3900</v>
      </c>
      <c r="P342" s="15">
        <f t="shared" si="46"/>
        <v>0</v>
      </c>
      <c r="Q342" s="15" t="str">
        <f t="shared" si="52"/>
        <v>Canceled</v>
      </c>
      <c r="R342" s="18" t="s">
        <v>71</v>
      </c>
      <c r="S342" s="23" t="s">
        <v>53</v>
      </c>
      <c r="T342" s="20">
        <f>IFERROR(VLOOKUP(S342,'Date Converter'!$A$4:$C$368,3,0),"")</f>
        <v>43559</v>
      </c>
      <c r="U342" s="21">
        <f t="shared" si="45"/>
        <v>43559</v>
      </c>
      <c r="V342" s="20" t="s">
        <v>54</v>
      </c>
      <c r="W342" s="18"/>
      <c r="X342" s="18"/>
      <c r="Y342" s="18"/>
      <c r="Z342" s="210"/>
      <c r="AA342" s="15">
        <v>0</v>
      </c>
      <c r="AB342" s="210"/>
      <c r="AC342" s="15"/>
      <c r="AD342" s="15"/>
      <c r="AE342" s="15"/>
      <c r="AF342" s="244"/>
      <c r="AG342" s="15"/>
      <c r="AH342" s="15">
        <f t="shared" si="49"/>
        <v>0</v>
      </c>
      <c r="AI342" s="22">
        <f t="shared" si="50"/>
        <v>0</v>
      </c>
      <c r="AJ342" s="22">
        <f t="shared" si="51"/>
        <v>0</v>
      </c>
      <c r="AK342" s="13">
        <v>43836</v>
      </c>
    </row>
    <row r="343" spans="1:37" s="183" customFormat="1" hidden="1">
      <c r="A343" s="165" t="s">
        <v>2361</v>
      </c>
      <c r="B343" s="13">
        <v>43515</v>
      </c>
      <c r="C343" s="13" t="s">
        <v>1622</v>
      </c>
      <c r="D343" s="165" t="s">
        <v>709</v>
      </c>
      <c r="E343" s="165" t="s">
        <v>710</v>
      </c>
      <c r="F343" s="165" t="str">
        <f t="shared" si="47"/>
        <v>CONC_16.18_200_NL2018</v>
      </c>
      <c r="G343" s="165" t="s">
        <v>43</v>
      </c>
      <c r="H343" s="12"/>
      <c r="I343" s="12" t="s">
        <v>35</v>
      </c>
      <c r="J343" s="14">
        <v>200</v>
      </c>
      <c r="K343" s="15" t="s">
        <v>28</v>
      </c>
      <c r="L343" s="15"/>
      <c r="M343" s="16">
        <f t="shared" si="48"/>
        <v>150</v>
      </c>
      <c r="N343" s="15">
        <v>30000</v>
      </c>
      <c r="O343" s="15">
        <v>5000</v>
      </c>
      <c r="P343" s="15">
        <f t="shared" si="46"/>
        <v>150000000</v>
      </c>
      <c r="Q343" s="15" t="str">
        <f t="shared" si="52"/>
        <v>Done</v>
      </c>
      <c r="R343" s="18" t="s">
        <v>44</v>
      </c>
      <c r="S343" s="23">
        <v>43539</v>
      </c>
      <c r="T343" s="20">
        <f>IFERROR(VLOOKUP(S343,'Date Converter'!$A$4:$C$368,3,0),"")</f>
        <v>43574</v>
      </c>
      <c r="U343" s="21">
        <f t="shared" si="45"/>
        <v>43574</v>
      </c>
      <c r="V343" s="12" t="s">
        <v>57</v>
      </c>
      <c r="W343" s="18" t="s">
        <v>108</v>
      </c>
      <c r="X343" s="18"/>
      <c r="Y343" s="18"/>
      <c r="Z343" s="210">
        <v>43573</v>
      </c>
      <c r="AA343" s="15">
        <f>10000</f>
        <v>10000</v>
      </c>
      <c r="AB343" s="210">
        <v>43604</v>
      </c>
      <c r="AC343" s="15">
        <f>10000+10000</f>
        <v>20000</v>
      </c>
      <c r="AD343" s="15"/>
      <c r="AE343" s="15"/>
      <c r="AF343" s="244"/>
      <c r="AG343" s="15"/>
      <c r="AH343" s="15">
        <f t="shared" si="49"/>
        <v>30000</v>
      </c>
      <c r="AI343" s="22">
        <f t="shared" si="50"/>
        <v>0</v>
      </c>
      <c r="AJ343" s="22">
        <f t="shared" si="51"/>
        <v>0</v>
      </c>
      <c r="AK343" s="13">
        <v>43836</v>
      </c>
    </row>
    <row r="344" spans="1:37" hidden="1">
      <c r="A344" s="165" t="s">
        <v>1660</v>
      </c>
      <c r="B344" s="13">
        <v>43544</v>
      </c>
      <c r="C344" s="13" t="s">
        <v>1622</v>
      </c>
      <c r="D344" s="258" t="s">
        <v>709</v>
      </c>
      <c r="E344" s="165" t="s">
        <v>710</v>
      </c>
      <c r="F344" s="165" t="str">
        <f t="shared" si="47"/>
        <v>CONC_20.22_125_NL2018</v>
      </c>
      <c r="G344" s="165" t="s">
        <v>40</v>
      </c>
      <c r="I344" s="12" t="s">
        <v>74</v>
      </c>
      <c r="J344" s="14">
        <v>125</v>
      </c>
      <c r="K344" s="15" t="s">
        <v>28</v>
      </c>
      <c r="M344" s="16">
        <f t="shared" si="48"/>
        <v>80</v>
      </c>
      <c r="N344" s="15">
        <v>10000</v>
      </c>
      <c r="O344" s="15">
        <v>10500</v>
      </c>
      <c r="P344" s="15">
        <f t="shared" si="46"/>
        <v>105000000</v>
      </c>
      <c r="Q344" s="15" t="str">
        <f t="shared" si="52"/>
        <v/>
      </c>
      <c r="R344" s="18" t="s">
        <v>29</v>
      </c>
      <c r="S344" s="23">
        <v>43709</v>
      </c>
      <c r="T344" s="20">
        <f>IFERROR(VLOOKUP(S344,'Date Converter'!$A$4:$C$368,3,0),"")</f>
        <v>43737</v>
      </c>
      <c r="U344" s="21">
        <f t="shared" si="45"/>
        <v>43737</v>
      </c>
      <c r="V344" s="12" t="s">
        <v>51</v>
      </c>
      <c r="Y344" s="18"/>
      <c r="Z344" s="210"/>
      <c r="AA344" s="15"/>
      <c r="AB344" s="210"/>
      <c r="AC344" s="15"/>
      <c r="AD344" s="15"/>
      <c r="AE344" s="15"/>
      <c r="AF344" s="244"/>
      <c r="AG344" s="15"/>
      <c r="AH344" s="15">
        <f t="shared" si="49"/>
        <v>0</v>
      </c>
      <c r="AI344" s="22">
        <f t="shared" si="50"/>
        <v>10000</v>
      </c>
      <c r="AJ344" s="22">
        <f t="shared" si="51"/>
        <v>105000000</v>
      </c>
      <c r="AK344" s="13"/>
    </row>
    <row r="345" spans="1:37" hidden="1">
      <c r="A345" t="s">
        <v>1660</v>
      </c>
      <c r="B345" s="13">
        <v>43544</v>
      </c>
      <c r="C345" s="13" t="s">
        <v>1622</v>
      </c>
      <c r="D345" s="258" t="s">
        <v>709</v>
      </c>
      <c r="E345" s="165" t="s">
        <v>710</v>
      </c>
      <c r="F345" t="str">
        <f t="shared" si="47"/>
        <v>CONC_18.20_150_NL2018</v>
      </c>
      <c r="G345" s="165" t="s">
        <v>40</v>
      </c>
      <c r="I345" s="12" t="s">
        <v>27</v>
      </c>
      <c r="J345" s="14">
        <v>150</v>
      </c>
      <c r="K345" s="15" t="s">
        <v>28</v>
      </c>
      <c r="M345" s="16">
        <f t="shared" si="48"/>
        <v>67</v>
      </c>
      <c r="N345" s="15">
        <v>10050</v>
      </c>
      <c r="O345" s="15">
        <v>7500</v>
      </c>
      <c r="P345" s="15">
        <f t="shared" si="46"/>
        <v>75375000</v>
      </c>
      <c r="Q345" s="15" t="str">
        <f t="shared" si="52"/>
        <v/>
      </c>
      <c r="R345" s="18" t="s">
        <v>29</v>
      </c>
      <c r="S345" s="23">
        <v>43709</v>
      </c>
      <c r="T345" s="20">
        <f>IFERROR(VLOOKUP(S345,'Date Converter'!$A$4:$C$368,3,0),"")</f>
        <v>43737</v>
      </c>
      <c r="U345" s="21">
        <f t="shared" si="45"/>
        <v>43737</v>
      </c>
      <c r="V345" s="12" t="s">
        <v>51</v>
      </c>
      <c r="Y345" s="18"/>
      <c r="Z345" s="210"/>
      <c r="AA345" s="15"/>
      <c r="AB345" s="210"/>
      <c r="AC345" s="15"/>
      <c r="AD345" s="15"/>
      <c r="AE345" s="15"/>
      <c r="AF345" s="244"/>
      <c r="AG345" s="15"/>
      <c r="AH345" s="15">
        <f t="shared" si="49"/>
        <v>0</v>
      </c>
      <c r="AI345" s="22">
        <f t="shared" si="50"/>
        <v>10050</v>
      </c>
      <c r="AJ345" s="22">
        <f t="shared" si="51"/>
        <v>75375000</v>
      </c>
      <c r="AK345" s="13"/>
    </row>
    <row r="346" spans="1:37" hidden="1">
      <c r="A346" s="165" t="s">
        <v>2361</v>
      </c>
      <c r="B346" s="13">
        <v>43515</v>
      </c>
      <c r="C346" s="13" t="s">
        <v>1622</v>
      </c>
      <c r="D346" s="165" t="s">
        <v>709</v>
      </c>
      <c r="E346" s="165" t="s">
        <v>710</v>
      </c>
      <c r="F346" s="165" t="str">
        <f t="shared" si="47"/>
        <v>BACA_15.16_250_NL2018</v>
      </c>
      <c r="G346" s="165" t="s">
        <v>67</v>
      </c>
      <c r="I346" s="12" t="s">
        <v>77</v>
      </c>
      <c r="J346" s="14">
        <v>250</v>
      </c>
      <c r="K346" s="15" t="s">
        <v>28</v>
      </c>
      <c r="M346" s="16">
        <f t="shared" si="48"/>
        <v>0</v>
      </c>
      <c r="N346" s="15">
        <f>6500-6500</f>
        <v>0</v>
      </c>
      <c r="O346" s="15">
        <v>4370</v>
      </c>
      <c r="P346" s="15">
        <f t="shared" si="46"/>
        <v>0</v>
      </c>
      <c r="Q346" s="15" t="str">
        <f t="shared" si="52"/>
        <v>Canceled</v>
      </c>
      <c r="R346" s="18" t="s">
        <v>71</v>
      </c>
      <c r="S346" s="23">
        <v>43539</v>
      </c>
      <c r="T346" s="20">
        <f>IFERROR(VLOOKUP(S346,'Date Converter'!$A$4:$C$368,3,0),"")</f>
        <v>43574</v>
      </c>
      <c r="U346" s="21">
        <f t="shared" si="45"/>
        <v>43574</v>
      </c>
      <c r="V346" s="12" t="s">
        <v>57</v>
      </c>
      <c r="Y346" s="18"/>
      <c r="Z346" s="210"/>
      <c r="AA346" s="15"/>
      <c r="AB346" s="210"/>
      <c r="AC346" s="15"/>
      <c r="AD346" s="15"/>
      <c r="AE346" s="15"/>
      <c r="AF346" s="244"/>
      <c r="AG346" s="15"/>
      <c r="AH346" s="15">
        <f t="shared" si="49"/>
        <v>0</v>
      </c>
      <c r="AI346" s="22">
        <f t="shared" si="50"/>
        <v>0</v>
      </c>
      <c r="AJ346" s="22">
        <f t="shared" si="51"/>
        <v>0</v>
      </c>
      <c r="AK346" s="13"/>
    </row>
    <row r="347" spans="1:37" hidden="1">
      <c r="A347" t="s">
        <v>2361</v>
      </c>
      <c r="B347" s="13">
        <v>43515</v>
      </c>
      <c r="C347" s="13" t="s">
        <v>1622</v>
      </c>
      <c r="D347" t="s">
        <v>709</v>
      </c>
      <c r="E347" s="165" t="s">
        <v>710</v>
      </c>
      <c r="F347" t="str">
        <f t="shared" si="47"/>
        <v>BACA_15.16_300_NL2018</v>
      </c>
      <c r="G347" t="s">
        <v>67</v>
      </c>
      <c r="I347" s="12" t="s">
        <v>77</v>
      </c>
      <c r="J347" s="14">
        <v>300</v>
      </c>
      <c r="K347" s="15" t="s">
        <v>28</v>
      </c>
      <c r="M347" s="16">
        <f t="shared" si="48"/>
        <v>34</v>
      </c>
      <c r="N347" s="15">
        <f>28500-4800-13500</f>
        <v>10200</v>
      </c>
      <c r="O347" s="15">
        <v>4370</v>
      </c>
      <c r="P347" s="15">
        <f t="shared" si="46"/>
        <v>44574000</v>
      </c>
      <c r="Q347" s="15" t="str">
        <f t="shared" si="52"/>
        <v>Done</v>
      </c>
      <c r="R347" s="18" t="s">
        <v>44</v>
      </c>
      <c r="S347" s="23" t="s">
        <v>53</v>
      </c>
      <c r="T347" s="20">
        <f>IFERROR(VLOOKUP(S347,'Date Converter'!$A$4:$C$368,3,0),"")</f>
        <v>43559</v>
      </c>
      <c r="U347" s="21">
        <f t="shared" ref="U347:U410" si="53">+T347</f>
        <v>43559</v>
      </c>
      <c r="V347" s="20" t="s">
        <v>54</v>
      </c>
      <c r="W347" s="18" t="s">
        <v>101</v>
      </c>
      <c r="Y347" s="18"/>
      <c r="Z347" s="210">
        <v>43558</v>
      </c>
      <c r="AA347" s="15">
        <v>10200</v>
      </c>
      <c r="AB347" s="210"/>
      <c r="AC347" s="15"/>
      <c r="AD347" s="15"/>
      <c r="AE347" s="15"/>
      <c r="AF347" s="244"/>
      <c r="AG347" s="15"/>
      <c r="AH347" s="15">
        <f t="shared" si="49"/>
        <v>10200</v>
      </c>
      <c r="AI347" s="22">
        <f t="shared" si="50"/>
        <v>0</v>
      </c>
      <c r="AJ347" s="22">
        <f t="shared" si="51"/>
        <v>0</v>
      </c>
      <c r="AK347" s="13"/>
    </row>
    <row r="348" spans="1:37" hidden="1">
      <c r="A348" t="s">
        <v>1660</v>
      </c>
      <c r="B348" s="13">
        <v>43544</v>
      </c>
      <c r="C348" s="13" t="s">
        <v>1622</v>
      </c>
      <c r="D348" s="258" t="s">
        <v>709</v>
      </c>
      <c r="E348" s="165" t="s">
        <v>710</v>
      </c>
      <c r="F348" t="str">
        <f t="shared" si="47"/>
        <v>BACA_20.22_125_NL2018</v>
      </c>
      <c r="G348" t="s">
        <v>67</v>
      </c>
      <c r="I348" s="12" t="s">
        <v>74</v>
      </c>
      <c r="J348" s="14">
        <v>125</v>
      </c>
      <c r="K348" s="15" t="s">
        <v>28</v>
      </c>
      <c r="M348" s="16">
        <f t="shared" si="48"/>
        <v>80</v>
      </c>
      <c r="N348" s="15">
        <v>10000</v>
      </c>
      <c r="O348" s="15">
        <v>10800</v>
      </c>
      <c r="P348" s="15">
        <f t="shared" si="46"/>
        <v>108000000</v>
      </c>
      <c r="Q348" s="15" t="str">
        <f t="shared" si="52"/>
        <v/>
      </c>
      <c r="R348" s="18" t="s">
        <v>29</v>
      </c>
      <c r="S348" s="23">
        <v>43709</v>
      </c>
      <c r="T348" s="20">
        <f>IFERROR(VLOOKUP(S348,'Date Converter'!$A$4:$C$368,3,0),"")</f>
        <v>43737</v>
      </c>
      <c r="U348" s="21">
        <f t="shared" si="53"/>
        <v>43737</v>
      </c>
      <c r="V348" s="12" t="s">
        <v>51</v>
      </c>
      <c r="Y348" s="18"/>
      <c r="Z348" s="210"/>
      <c r="AA348" s="15"/>
      <c r="AB348" s="210"/>
      <c r="AC348" s="15"/>
      <c r="AD348" s="15"/>
      <c r="AE348" s="15"/>
      <c r="AF348" s="244"/>
      <c r="AG348" s="15"/>
      <c r="AH348" s="15">
        <f t="shared" si="49"/>
        <v>0</v>
      </c>
      <c r="AI348" s="22">
        <f t="shared" si="50"/>
        <v>10000</v>
      </c>
      <c r="AJ348" s="22">
        <f t="shared" si="51"/>
        <v>108000000</v>
      </c>
      <c r="AK348" s="13"/>
    </row>
    <row r="349" spans="1:37" hidden="1">
      <c r="A349" t="s">
        <v>2361</v>
      </c>
      <c r="B349" s="13">
        <v>43635</v>
      </c>
      <c r="C349" s="13" t="s">
        <v>1622</v>
      </c>
      <c r="D349" t="s">
        <v>709</v>
      </c>
      <c r="E349" s="165" t="s">
        <v>710</v>
      </c>
      <c r="F349" t="str">
        <f t="shared" si="47"/>
        <v>ARVA_16.18_200_NL2018</v>
      </c>
      <c r="G349" s="165" t="s">
        <v>85</v>
      </c>
      <c r="I349" s="12" t="s">
        <v>35</v>
      </c>
      <c r="J349" s="14">
        <v>200</v>
      </c>
      <c r="K349" s="15" t="s">
        <v>28</v>
      </c>
      <c r="M349" s="16">
        <f t="shared" si="48"/>
        <v>100</v>
      </c>
      <c r="N349" s="15">
        <v>20000</v>
      </c>
      <c r="O349" s="15">
        <v>5300</v>
      </c>
      <c r="P349" s="15">
        <f t="shared" si="46"/>
        <v>106000000</v>
      </c>
      <c r="Q349" s="15" t="str">
        <f t="shared" si="52"/>
        <v/>
      </c>
      <c r="R349" s="18" t="s">
        <v>29</v>
      </c>
      <c r="S349" s="23">
        <v>43641</v>
      </c>
      <c r="T349" s="20">
        <f>IFERROR(VLOOKUP(S349,'Date Converter'!$A$4:$C$368,3,0),"")</f>
        <v>43673</v>
      </c>
      <c r="U349" s="21">
        <f t="shared" si="53"/>
        <v>43673</v>
      </c>
      <c r="Y349" s="18"/>
      <c r="Z349" s="210"/>
      <c r="AA349" s="15"/>
      <c r="AB349" s="210"/>
      <c r="AC349" s="15"/>
      <c r="AD349" s="15"/>
      <c r="AE349" s="15"/>
      <c r="AF349" s="244"/>
      <c r="AG349" s="15"/>
      <c r="AH349" s="15">
        <f t="shared" si="49"/>
        <v>0</v>
      </c>
      <c r="AI349" s="22">
        <f t="shared" si="50"/>
        <v>20000</v>
      </c>
      <c r="AJ349" s="22">
        <f t="shared" si="51"/>
        <v>106000000</v>
      </c>
      <c r="AK349" s="13"/>
    </row>
    <row r="350" spans="1:37" hidden="1">
      <c r="A350" t="s">
        <v>2361</v>
      </c>
      <c r="B350" s="13">
        <v>43635</v>
      </c>
      <c r="C350" s="13" t="s">
        <v>1622</v>
      </c>
      <c r="D350" t="s">
        <v>709</v>
      </c>
      <c r="E350" s="165" t="s">
        <v>710</v>
      </c>
      <c r="F350" t="str">
        <f t="shared" si="47"/>
        <v>ARVA_16.18_200_NL2018</v>
      </c>
      <c r="G350" s="165" t="s">
        <v>85</v>
      </c>
      <c r="I350" s="12" t="s">
        <v>35</v>
      </c>
      <c r="J350" s="14">
        <v>200</v>
      </c>
      <c r="K350" s="15" t="s">
        <v>28</v>
      </c>
      <c r="M350" s="16">
        <f t="shared" si="48"/>
        <v>150</v>
      </c>
      <c r="N350" s="15">
        <v>30000</v>
      </c>
      <c r="O350" s="15">
        <v>5400</v>
      </c>
      <c r="P350" s="15">
        <f t="shared" si="46"/>
        <v>162000000</v>
      </c>
      <c r="Q350" s="15" t="str">
        <f t="shared" si="52"/>
        <v/>
      </c>
      <c r="R350" s="18" t="s">
        <v>29</v>
      </c>
      <c r="S350" s="23">
        <v>43661</v>
      </c>
      <c r="T350" s="20">
        <f>IFERROR(VLOOKUP(S350,'Date Converter'!$A$4:$C$368,3,0),"")</f>
        <v>43692</v>
      </c>
      <c r="U350" s="21">
        <f t="shared" si="53"/>
        <v>43692</v>
      </c>
      <c r="Y350" s="18"/>
      <c r="Z350" s="210"/>
      <c r="AA350" s="15"/>
      <c r="AB350" s="210"/>
      <c r="AC350" s="15"/>
      <c r="AD350" s="15"/>
      <c r="AE350" s="15"/>
      <c r="AF350" s="244"/>
      <c r="AG350" s="15"/>
      <c r="AH350" s="15">
        <f t="shared" si="49"/>
        <v>0</v>
      </c>
      <c r="AI350" s="22">
        <f t="shared" si="50"/>
        <v>30000</v>
      </c>
      <c r="AJ350" s="22">
        <f t="shared" si="51"/>
        <v>162000000</v>
      </c>
      <c r="AK350" s="13"/>
    </row>
    <row r="351" spans="1:37" hidden="1">
      <c r="A351" s="165" t="s">
        <v>2361</v>
      </c>
      <c r="B351" s="13">
        <v>43635</v>
      </c>
      <c r="C351" s="13" t="s">
        <v>1622</v>
      </c>
      <c r="D351" s="165" t="s">
        <v>709</v>
      </c>
      <c r="E351" s="165" t="s">
        <v>710</v>
      </c>
      <c r="F351" s="165" t="str">
        <f t="shared" si="47"/>
        <v>ARVA_18.20_150_NL2018</v>
      </c>
      <c r="G351" s="165" t="s">
        <v>85</v>
      </c>
      <c r="I351" s="12" t="s">
        <v>27</v>
      </c>
      <c r="J351" s="14">
        <v>150</v>
      </c>
      <c r="K351" s="15" t="s">
        <v>28</v>
      </c>
      <c r="M351" s="16">
        <f t="shared" si="48"/>
        <v>334</v>
      </c>
      <c r="N351" s="15">
        <v>50100</v>
      </c>
      <c r="O351" s="15">
        <v>7600</v>
      </c>
      <c r="P351" s="15">
        <f t="shared" si="46"/>
        <v>380760000</v>
      </c>
      <c r="Q351" s="15" t="str">
        <f t="shared" si="52"/>
        <v/>
      </c>
      <c r="R351" s="18" t="s">
        <v>29</v>
      </c>
      <c r="S351" s="23">
        <v>43661</v>
      </c>
      <c r="T351" s="20">
        <f>IFERROR(VLOOKUP(S351,'Date Converter'!$A$4:$C$368,3,0),"")</f>
        <v>43692</v>
      </c>
      <c r="U351" s="21">
        <f t="shared" si="53"/>
        <v>43692</v>
      </c>
      <c r="V351" s="12" t="s">
        <v>2360</v>
      </c>
      <c r="Y351" s="18"/>
      <c r="Z351" s="210"/>
      <c r="AA351" s="15"/>
      <c r="AB351" s="210"/>
      <c r="AC351" s="15"/>
      <c r="AD351" s="15"/>
      <c r="AE351" s="15"/>
      <c r="AF351" s="244"/>
      <c r="AG351" s="15"/>
      <c r="AH351" s="15">
        <f t="shared" si="49"/>
        <v>0</v>
      </c>
      <c r="AI351" s="22">
        <f t="shared" si="50"/>
        <v>50100</v>
      </c>
      <c r="AJ351" s="22">
        <f t="shared" si="51"/>
        <v>380760000</v>
      </c>
      <c r="AK351" s="13"/>
    </row>
    <row r="352" spans="1:37" hidden="1">
      <c r="A352" t="s">
        <v>1659</v>
      </c>
      <c r="B352" s="13">
        <v>43592</v>
      </c>
      <c r="C352" s="13" t="s">
        <v>1622</v>
      </c>
      <c r="D352" t="s">
        <v>709</v>
      </c>
      <c r="E352" s="165" t="s">
        <v>710</v>
      </c>
      <c r="F352" t="str">
        <f t="shared" si="47"/>
        <v>ARVA_16.18_200_NL2018</v>
      </c>
      <c r="G352" t="s">
        <v>85</v>
      </c>
      <c r="I352" s="12" t="s">
        <v>35</v>
      </c>
      <c r="J352" s="14">
        <v>200</v>
      </c>
      <c r="K352" s="15" t="s">
        <v>28</v>
      </c>
      <c r="M352" s="16">
        <f t="shared" si="48"/>
        <v>50</v>
      </c>
      <c r="N352" s="15">
        <v>10000</v>
      </c>
      <c r="O352" s="15">
        <v>5600</v>
      </c>
      <c r="P352" s="15">
        <f t="shared" si="46"/>
        <v>56000000</v>
      </c>
      <c r="Q352" s="15" t="str">
        <f t="shared" si="52"/>
        <v>Done</v>
      </c>
      <c r="R352" s="18" t="s">
        <v>44</v>
      </c>
      <c r="T352" s="20" t="str">
        <f>IFERROR(VLOOKUP(S352,'Date Converter'!$A$4:$C$368,3,0),"")</f>
        <v/>
      </c>
      <c r="U352" s="21" t="str">
        <f t="shared" si="53"/>
        <v/>
      </c>
      <c r="V352" s="20"/>
      <c r="Y352" s="18"/>
      <c r="Z352" s="210">
        <v>43594</v>
      </c>
      <c r="AA352" s="15">
        <v>10000</v>
      </c>
      <c r="AB352" s="210"/>
      <c r="AC352" s="15"/>
      <c r="AD352" s="15"/>
      <c r="AE352" s="15"/>
      <c r="AF352" s="244"/>
      <c r="AG352" s="15"/>
      <c r="AH352" s="15">
        <f t="shared" si="49"/>
        <v>10000</v>
      </c>
      <c r="AI352" s="22">
        <f t="shared" si="50"/>
        <v>0</v>
      </c>
      <c r="AJ352" s="22">
        <f t="shared" si="51"/>
        <v>0</v>
      </c>
      <c r="AK352" s="13">
        <v>43836</v>
      </c>
    </row>
    <row r="353" spans="1:37" hidden="1">
      <c r="A353" t="s">
        <v>453</v>
      </c>
      <c r="B353" s="13">
        <v>43470</v>
      </c>
      <c r="C353" s="13" t="s">
        <v>23</v>
      </c>
      <c r="D353" t="s">
        <v>161</v>
      </c>
      <c r="E353" s="198" t="s">
        <v>162</v>
      </c>
      <c r="F353" t="str">
        <f t="shared" si="47"/>
        <v>TARR_16.18_200_NL2018</v>
      </c>
      <c r="G353" s="165" t="s">
        <v>62</v>
      </c>
      <c r="I353" s="12" t="s">
        <v>35</v>
      </c>
      <c r="J353" s="14">
        <v>200</v>
      </c>
      <c r="K353" s="15" t="s">
        <v>28</v>
      </c>
      <c r="M353" s="16">
        <f t="shared" si="48"/>
        <v>50</v>
      </c>
      <c r="N353" s="15">
        <v>10000</v>
      </c>
      <c r="O353" s="15">
        <f>5600+85*2</f>
        <v>5770</v>
      </c>
      <c r="P353" s="15">
        <f t="shared" si="46"/>
        <v>57700000</v>
      </c>
      <c r="Q353" s="15" t="str">
        <f t="shared" si="52"/>
        <v/>
      </c>
      <c r="R353" s="18" t="s">
        <v>63</v>
      </c>
      <c r="S353" s="23">
        <v>43597</v>
      </c>
      <c r="T353" s="20">
        <f>IFERROR(VLOOKUP(S353,'Date Converter'!$A$4:$C$368,3,0),"")</f>
        <v>43630</v>
      </c>
      <c r="U353" s="21">
        <f t="shared" si="53"/>
        <v>43630</v>
      </c>
      <c r="V353" s="20" t="s">
        <v>165</v>
      </c>
      <c r="Y353" s="15"/>
      <c r="AA353" s="15">
        <v>0</v>
      </c>
      <c r="AB353" s="206"/>
      <c r="AC353" s="15"/>
      <c r="AD353" s="206"/>
      <c r="AE353" s="15"/>
      <c r="AF353" s="244"/>
      <c r="AG353" s="15"/>
      <c r="AH353" s="15">
        <f t="shared" si="49"/>
        <v>0</v>
      </c>
      <c r="AI353" s="22">
        <f t="shared" si="50"/>
        <v>10000</v>
      </c>
      <c r="AJ353" s="22">
        <f t="shared" si="51"/>
        <v>57700000</v>
      </c>
      <c r="AK353" s="165"/>
    </row>
    <row r="354" spans="1:37" hidden="1">
      <c r="A354" t="s">
        <v>453</v>
      </c>
      <c r="B354" s="13">
        <v>43470</v>
      </c>
      <c r="C354" s="13" t="s">
        <v>23</v>
      </c>
      <c r="D354" t="s">
        <v>161</v>
      </c>
      <c r="E354" s="198" t="s">
        <v>162</v>
      </c>
      <c r="F354" t="str">
        <f t="shared" si="47"/>
        <v>TARR_16.18_200_NL2018</v>
      </c>
      <c r="G354" t="s">
        <v>62</v>
      </c>
      <c r="I354" s="12" t="s">
        <v>35</v>
      </c>
      <c r="J354" s="14">
        <v>200</v>
      </c>
      <c r="K354" s="15" t="s">
        <v>28</v>
      </c>
      <c r="M354" s="16">
        <f t="shared" si="48"/>
        <v>50</v>
      </c>
      <c r="N354" s="15">
        <v>10000</v>
      </c>
      <c r="O354" s="15">
        <f>5500+85*3</f>
        <v>5755</v>
      </c>
      <c r="P354" s="15">
        <f t="shared" si="46"/>
        <v>57550000</v>
      </c>
      <c r="Q354" s="15" t="str">
        <f t="shared" si="52"/>
        <v/>
      </c>
      <c r="R354" s="18" t="s">
        <v>31</v>
      </c>
      <c r="S354" s="23">
        <v>43624</v>
      </c>
      <c r="T354" s="20">
        <f>IFERROR(VLOOKUP(S354,'Date Converter'!$A$4:$C$368,3,0),"")</f>
        <v>43656</v>
      </c>
      <c r="U354" s="21">
        <f t="shared" si="53"/>
        <v>43656</v>
      </c>
      <c r="V354" s="20" t="s">
        <v>163</v>
      </c>
      <c r="Y354" s="15"/>
      <c r="AA354" s="15">
        <v>0</v>
      </c>
      <c r="AB354" s="206"/>
      <c r="AC354" s="15"/>
      <c r="AD354" s="206"/>
      <c r="AE354" s="15"/>
      <c r="AF354" s="244"/>
      <c r="AG354" s="15"/>
      <c r="AH354" s="15">
        <f t="shared" si="49"/>
        <v>0</v>
      </c>
      <c r="AI354" s="22">
        <f t="shared" si="50"/>
        <v>10000</v>
      </c>
      <c r="AJ354" s="22">
        <f t="shared" si="51"/>
        <v>57550000</v>
      </c>
    </row>
    <row r="355" spans="1:37" s="165" customFormat="1" hidden="1">
      <c r="A355" s="165" t="s">
        <v>453</v>
      </c>
      <c r="B355" s="13">
        <v>43470</v>
      </c>
      <c r="C355" s="13" t="s">
        <v>23</v>
      </c>
      <c r="D355" s="165" t="s">
        <v>161</v>
      </c>
      <c r="E355" s="198" t="s">
        <v>162</v>
      </c>
      <c r="F355" s="165" t="str">
        <f t="shared" si="47"/>
        <v>TARR_16.18_200_NL2018</v>
      </c>
      <c r="G355" s="165" t="s">
        <v>62</v>
      </c>
      <c r="H355" s="12"/>
      <c r="I355" s="12" t="s">
        <v>35</v>
      </c>
      <c r="J355" s="14">
        <v>200</v>
      </c>
      <c r="K355" s="15" t="s">
        <v>28</v>
      </c>
      <c r="L355" s="15"/>
      <c r="M355" s="16">
        <f t="shared" si="48"/>
        <v>50</v>
      </c>
      <c r="N355" s="15">
        <v>10000</v>
      </c>
      <c r="O355" s="15">
        <f>5500+85*4</f>
        <v>5840</v>
      </c>
      <c r="P355" s="15">
        <f t="shared" si="46"/>
        <v>58400000</v>
      </c>
      <c r="Q355" s="15" t="str">
        <f t="shared" si="52"/>
        <v/>
      </c>
      <c r="R355" s="18" t="s">
        <v>29</v>
      </c>
      <c r="S355" s="23">
        <v>43655</v>
      </c>
      <c r="T355" s="20">
        <f>IFERROR(VLOOKUP(S355,'Date Converter'!$A$4:$C$368,3,0),"")</f>
        <v>43686</v>
      </c>
      <c r="U355" s="21">
        <f t="shared" si="53"/>
        <v>43686</v>
      </c>
      <c r="V355" s="20" t="s">
        <v>164</v>
      </c>
      <c r="W355" s="18"/>
      <c r="X355" s="18"/>
      <c r="Y355" s="15"/>
      <c r="Z355" s="206"/>
      <c r="AA355" s="15">
        <v>0</v>
      </c>
      <c r="AB355" s="206"/>
      <c r="AC355" s="15"/>
      <c r="AD355" s="206"/>
      <c r="AE355" s="15"/>
      <c r="AF355" s="244"/>
      <c r="AG355" s="15"/>
      <c r="AH355" s="15">
        <f t="shared" si="49"/>
        <v>0</v>
      </c>
      <c r="AI355" s="22">
        <f t="shared" si="50"/>
        <v>10000</v>
      </c>
      <c r="AJ355" s="22">
        <f t="shared" si="51"/>
        <v>58400000</v>
      </c>
    </row>
    <row r="356" spans="1:37" s="165" customFormat="1" hidden="1">
      <c r="A356" s="165" t="s">
        <v>453</v>
      </c>
      <c r="B356" s="13">
        <v>43470</v>
      </c>
      <c r="C356" s="13" t="s">
        <v>23</v>
      </c>
      <c r="D356" s="165" t="s">
        <v>161</v>
      </c>
      <c r="E356" s="198" t="s">
        <v>162</v>
      </c>
      <c r="F356" s="165" t="str">
        <f t="shared" si="47"/>
        <v>TARR_16.18_200_NL2018</v>
      </c>
      <c r="G356" s="165" t="s">
        <v>62</v>
      </c>
      <c r="H356" s="12"/>
      <c r="I356" s="12" t="s">
        <v>35</v>
      </c>
      <c r="J356" s="14">
        <v>200</v>
      </c>
      <c r="K356" s="15" t="s">
        <v>28</v>
      </c>
      <c r="L356" s="15"/>
      <c r="M356" s="16">
        <f t="shared" si="48"/>
        <v>50</v>
      </c>
      <c r="N356" s="15">
        <v>10000</v>
      </c>
      <c r="O356" s="15">
        <f>5500+85*6</f>
        <v>6010</v>
      </c>
      <c r="P356" s="15">
        <f t="shared" si="46"/>
        <v>60100000</v>
      </c>
      <c r="Q356" s="15" t="str">
        <f t="shared" si="52"/>
        <v/>
      </c>
      <c r="R356" s="18" t="s">
        <v>29</v>
      </c>
      <c r="S356" s="23">
        <v>43718</v>
      </c>
      <c r="T356" s="20">
        <f>IFERROR(VLOOKUP(S356,'Date Converter'!$A$4:$C$368,3,0),"")</f>
        <v>43746</v>
      </c>
      <c r="U356" s="21">
        <f t="shared" si="53"/>
        <v>43746</v>
      </c>
      <c r="V356" s="20" t="s">
        <v>166</v>
      </c>
      <c r="W356" s="18"/>
      <c r="X356" s="18"/>
      <c r="Y356" s="15"/>
      <c r="Z356" s="206"/>
      <c r="AA356" s="15">
        <v>0</v>
      </c>
      <c r="AB356" s="206"/>
      <c r="AC356" s="15"/>
      <c r="AD356" s="206"/>
      <c r="AE356" s="15"/>
      <c r="AF356" s="244"/>
      <c r="AG356" s="15"/>
      <c r="AH356" s="15">
        <f t="shared" si="49"/>
        <v>0</v>
      </c>
      <c r="AI356" s="22">
        <f t="shared" si="50"/>
        <v>10000</v>
      </c>
      <c r="AJ356" s="22">
        <f t="shared" si="51"/>
        <v>60100000</v>
      </c>
    </row>
    <row r="357" spans="1:37" s="165" customFormat="1" hidden="1">
      <c r="A357" s="165" t="s">
        <v>310</v>
      </c>
      <c r="B357" s="13">
        <v>43470</v>
      </c>
      <c r="C357" s="13" t="s">
        <v>23</v>
      </c>
      <c r="D357" s="165" t="s">
        <v>161</v>
      </c>
      <c r="E357" s="165" t="s">
        <v>162</v>
      </c>
      <c r="F357" s="165" t="str">
        <f t="shared" si="47"/>
        <v>TARR_16.18_200_NL2018</v>
      </c>
      <c r="G357" s="165" t="s">
        <v>62</v>
      </c>
      <c r="H357" s="12"/>
      <c r="I357" s="12" t="s">
        <v>35</v>
      </c>
      <c r="J357" s="14">
        <v>200</v>
      </c>
      <c r="K357" s="15" t="s">
        <v>28</v>
      </c>
      <c r="L357" s="15"/>
      <c r="M357" s="16">
        <f t="shared" si="48"/>
        <v>50</v>
      </c>
      <c r="N357" s="15">
        <v>10000</v>
      </c>
      <c r="O357" s="15">
        <v>5500</v>
      </c>
      <c r="P357" s="15">
        <f t="shared" si="46"/>
        <v>55000000</v>
      </c>
      <c r="Q357" s="15" t="str">
        <f t="shared" si="52"/>
        <v>Done</v>
      </c>
      <c r="R357" s="18" t="s">
        <v>44</v>
      </c>
      <c r="S357" s="23">
        <v>43480</v>
      </c>
      <c r="T357" s="20">
        <f>IFERROR(VLOOKUP(S357,'Date Converter'!$A$4:$C$368,3,0),"")</f>
        <v>43515</v>
      </c>
      <c r="U357" s="21">
        <f t="shared" si="53"/>
        <v>43515</v>
      </c>
      <c r="V357" s="12" t="s">
        <v>45</v>
      </c>
      <c r="W357" s="18"/>
      <c r="X357" s="18"/>
      <c r="Y357" s="15"/>
      <c r="Z357" s="206">
        <v>43515</v>
      </c>
      <c r="AA357" s="15">
        <v>10000</v>
      </c>
      <c r="AB357" s="206"/>
      <c r="AC357" s="15"/>
      <c r="AD357" s="206"/>
      <c r="AE357" s="15"/>
      <c r="AF357" s="244"/>
      <c r="AG357" s="15"/>
      <c r="AH357" s="15">
        <f t="shared" si="49"/>
        <v>10000</v>
      </c>
      <c r="AI357" s="22">
        <f t="shared" si="50"/>
        <v>0</v>
      </c>
      <c r="AJ357" s="22">
        <f t="shared" si="51"/>
        <v>0</v>
      </c>
    </row>
    <row r="358" spans="1:37" hidden="1">
      <c r="A358" s="165" t="s">
        <v>454</v>
      </c>
      <c r="B358" s="13">
        <v>43470</v>
      </c>
      <c r="C358" s="266" t="s">
        <v>23</v>
      </c>
      <c r="D358" s="258" t="s">
        <v>161</v>
      </c>
      <c r="E358" s="198" t="s">
        <v>162</v>
      </c>
      <c r="F358" s="165" t="str">
        <f t="shared" si="47"/>
        <v>TARR_18.20_150_NL2018</v>
      </c>
      <c r="G358" s="165" t="s">
        <v>62</v>
      </c>
      <c r="I358" s="12" t="s">
        <v>27</v>
      </c>
      <c r="J358" s="14">
        <v>150</v>
      </c>
      <c r="K358" s="15" t="s">
        <v>28</v>
      </c>
      <c r="M358" s="16">
        <f t="shared" si="48"/>
        <v>34</v>
      </c>
      <c r="N358" s="15">
        <v>5100</v>
      </c>
      <c r="O358" s="15">
        <v>9100</v>
      </c>
      <c r="P358" s="15">
        <f t="shared" si="46"/>
        <v>46410000</v>
      </c>
      <c r="Q358" s="15" t="str">
        <f t="shared" si="52"/>
        <v/>
      </c>
      <c r="R358" s="18" t="s">
        <v>29</v>
      </c>
      <c r="S358" s="23">
        <v>43709</v>
      </c>
      <c r="T358" s="20">
        <f>IFERROR(VLOOKUP(S358,'Date Converter'!$A$4:$C$368,3,0),"")</f>
        <v>43737</v>
      </c>
      <c r="U358" s="21">
        <f t="shared" si="53"/>
        <v>43737</v>
      </c>
      <c r="V358" s="15" t="s">
        <v>51</v>
      </c>
      <c r="Y358" s="15"/>
      <c r="AA358" s="15">
        <v>0</v>
      </c>
      <c r="AB358" s="206"/>
      <c r="AC358" s="15"/>
      <c r="AD358" s="206"/>
      <c r="AE358" s="15"/>
      <c r="AF358" s="244"/>
      <c r="AG358" s="15"/>
      <c r="AH358" s="15">
        <f t="shared" si="49"/>
        <v>0</v>
      </c>
      <c r="AI358" s="22">
        <f t="shared" si="50"/>
        <v>5100</v>
      </c>
      <c r="AJ358" s="22">
        <f t="shared" si="51"/>
        <v>46410000</v>
      </c>
      <c r="AK358" s="165"/>
    </row>
    <row r="359" spans="1:37" hidden="1">
      <c r="A359" s="165" t="s">
        <v>453</v>
      </c>
      <c r="B359" s="13">
        <v>43596</v>
      </c>
      <c r="C359" s="13" t="s">
        <v>23</v>
      </c>
      <c r="D359" s="165" t="s">
        <v>161</v>
      </c>
      <c r="E359" s="198" t="s">
        <v>162</v>
      </c>
      <c r="F359" s="165" t="str">
        <f t="shared" si="47"/>
        <v>ROBI_18.20_150_NL2018</v>
      </c>
      <c r="G359" s="165" t="s">
        <v>61</v>
      </c>
      <c r="I359" s="12" t="s">
        <v>27</v>
      </c>
      <c r="J359" s="14">
        <v>150</v>
      </c>
      <c r="K359" s="15" t="s">
        <v>28</v>
      </c>
      <c r="L359" s="15" t="s">
        <v>413</v>
      </c>
      <c r="M359" s="16">
        <f t="shared" si="48"/>
        <v>134</v>
      </c>
      <c r="N359" s="15">
        <v>20100</v>
      </c>
      <c r="O359" s="15">
        <v>8000</v>
      </c>
      <c r="P359" s="15">
        <f t="shared" si="46"/>
        <v>160800000</v>
      </c>
      <c r="Q359" s="15" t="str">
        <f t="shared" si="52"/>
        <v/>
      </c>
      <c r="R359" s="18" t="s">
        <v>63</v>
      </c>
      <c r="S359" s="23">
        <v>43590</v>
      </c>
      <c r="T359" s="20">
        <f>IFERROR(VLOOKUP(S359,'Date Converter'!$A$4:$C$368,3,0),"")</f>
        <v>43623</v>
      </c>
      <c r="U359" s="21">
        <f t="shared" si="53"/>
        <v>43623</v>
      </c>
      <c r="V359" s="20" t="s">
        <v>165</v>
      </c>
      <c r="Y359" s="15"/>
      <c r="Z359" s="206">
        <v>43624</v>
      </c>
      <c r="AA359" s="15">
        <v>10050</v>
      </c>
      <c r="AB359" s="206"/>
      <c r="AC359" s="15"/>
      <c r="AD359" s="206"/>
      <c r="AE359" s="15"/>
      <c r="AF359" s="244"/>
      <c r="AG359" s="15"/>
      <c r="AH359" s="15">
        <f t="shared" si="49"/>
        <v>10050</v>
      </c>
      <c r="AI359" s="22">
        <f t="shared" si="50"/>
        <v>10050</v>
      </c>
      <c r="AJ359" s="22">
        <f t="shared" si="51"/>
        <v>80400000</v>
      </c>
      <c r="AK359" s="165"/>
    </row>
    <row r="360" spans="1:37" hidden="1">
      <c r="A360" s="165" t="s">
        <v>453</v>
      </c>
      <c r="B360" s="13">
        <v>43470</v>
      </c>
      <c r="C360" s="13" t="s">
        <v>23</v>
      </c>
      <c r="D360" s="165" t="s">
        <v>161</v>
      </c>
      <c r="E360" s="198" t="s">
        <v>162</v>
      </c>
      <c r="F360" s="165" t="str">
        <f t="shared" si="47"/>
        <v>ROBI_18.20_150_NL2018</v>
      </c>
      <c r="G360" s="165" t="s">
        <v>61</v>
      </c>
      <c r="I360" s="12" t="s">
        <v>27</v>
      </c>
      <c r="J360" s="14">
        <v>150</v>
      </c>
      <c r="K360" s="15" t="s">
        <v>28</v>
      </c>
      <c r="M360" s="16">
        <f t="shared" si="48"/>
        <v>67</v>
      </c>
      <c r="N360" s="15">
        <v>10050</v>
      </c>
      <c r="O360" s="15">
        <v>6613</v>
      </c>
      <c r="P360" s="15">
        <f t="shared" si="46"/>
        <v>66460650</v>
      </c>
      <c r="Q360" s="15" t="str">
        <f t="shared" si="52"/>
        <v>Done</v>
      </c>
      <c r="R360" s="18" t="s">
        <v>44</v>
      </c>
      <c r="S360" s="23">
        <v>43590</v>
      </c>
      <c r="T360" s="20">
        <f>IFERROR(VLOOKUP(S360,'Date Converter'!$A$4:$C$368,3,0),"")</f>
        <v>43623</v>
      </c>
      <c r="U360" s="21">
        <f t="shared" si="53"/>
        <v>43623</v>
      </c>
      <c r="V360" s="20"/>
      <c r="Y360" s="15"/>
      <c r="Z360" s="206">
        <v>43624</v>
      </c>
      <c r="AA360" s="15">
        <v>10050</v>
      </c>
      <c r="AB360" s="206"/>
      <c r="AC360" s="15"/>
      <c r="AD360" s="206"/>
      <c r="AE360" s="15"/>
      <c r="AF360" s="244"/>
      <c r="AG360" s="15"/>
      <c r="AH360" s="15">
        <f t="shared" si="49"/>
        <v>10050</v>
      </c>
      <c r="AI360" s="22">
        <f t="shared" si="50"/>
        <v>0</v>
      </c>
      <c r="AJ360" s="22">
        <f t="shared" si="51"/>
        <v>0</v>
      </c>
      <c r="AK360" s="165"/>
    </row>
    <row r="361" spans="1:37" hidden="1">
      <c r="A361" t="s">
        <v>453</v>
      </c>
      <c r="B361" s="13">
        <v>43470</v>
      </c>
      <c r="C361" s="13" t="s">
        <v>23</v>
      </c>
      <c r="D361" t="s">
        <v>161</v>
      </c>
      <c r="E361" s="198" t="s">
        <v>162</v>
      </c>
      <c r="F361" t="str">
        <f t="shared" si="47"/>
        <v>ROBI_18.20_150_NL2018</v>
      </c>
      <c r="G361" t="s">
        <v>61</v>
      </c>
      <c r="I361" s="12" t="s">
        <v>27</v>
      </c>
      <c r="J361" s="14">
        <v>150</v>
      </c>
      <c r="K361" s="15" t="s">
        <v>28</v>
      </c>
      <c r="M361" s="16">
        <f t="shared" si="48"/>
        <v>67</v>
      </c>
      <c r="N361" s="15">
        <v>10050</v>
      </c>
      <c r="O361" s="15">
        <f>6300+100*3</f>
        <v>6600</v>
      </c>
      <c r="P361" s="15">
        <f t="shared" si="46"/>
        <v>66330000</v>
      </c>
      <c r="Q361" s="15" t="str">
        <f t="shared" si="52"/>
        <v/>
      </c>
      <c r="R361" s="18" t="s">
        <v>31</v>
      </c>
      <c r="S361" s="23">
        <v>43624</v>
      </c>
      <c r="T361" s="20">
        <f>IFERROR(VLOOKUP(S361,'Date Converter'!$A$4:$C$368,3,0),"")</f>
        <v>43656</v>
      </c>
      <c r="U361" s="21">
        <f t="shared" si="53"/>
        <v>43656</v>
      </c>
      <c r="V361" s="20" t="s">
        <v>163</v>
      </c>
      <c r="Y361" s="15"/>
      <c r="AA361" s="15">
        <v>0</v>
      </c>
      <c r="AB361" s="206"/>
      <c r="AC361" s="15"/>
      <c r="AD361" s="206"/>
      <c r="AE361" s="15"/>
      <c r="AF361" s="244"/>
      <c r="AG361" s="15"/>
      <c r="AH361" s="15">
        <f t="shared" si="49"/>
        <v>0</v>
      </c>
      <c r="AI361" s="22">
        <f t="shared" si="50"/>
        <v>10050</v>
      </c>
      <c r="AJ361" s="22">
        <f t="shared" si="51"/>
        <v>66330000</v>
      </c>
    </row>
    <row r="362" spans="1:37" hidden="1">
      <c r="A362" t="s">
        <v>453</v>
      </c>
      <c r="B362" s="13">
        <v>43470</v>
      </c>
      <c r="C362" s="13" t="s">
        <v>23</v>
      </c>
      <c r="D362" t="s">
        <v>161</v>
      </c>
      <c r="E362" s="198" t="s">
        <v>162</v>
      </c>
      <c r="F362" t="str">
        <f t="shared" si="47"/>
        <v>ROBI_18.20_150_NL2018</v>
      </c>
      <c r="G362" t="s">
        <v>61</v>
      </c>
      <c r="I362" s="12" t="s">
        <v>27</v>
      </c>
      <c r="J362" s="14">
        <v>150</v>
      </c>
      <c r="K362" s="15" t="s">
        <v>28</v>
      </c>
      <c r="M362" s="16">
        <f t="shared" si="48"/>
        <v>134</v>
      </c>
      <c r="N362" s="15">
        <v>20100</v>
      </c>
      <c r="O362" s="15">
        <f>6300+100*4</f>
        <v>6700</v>
      </c>
      <c r="P362" s="15">
        <f t="shared" si="46"/>
        <v>134670000</v>
      </c>
      <c r="Q362" s="15" t="str">
        <f t="shared" si="52"/>
        <v/>
      </c>
      <c r="R362" s="18" t="s">
        <v>29</v>
      </c>
      <c r="S362" s="23">
        <v>43655</v>
      </c>
      <c r="T362" s="20">
        <f>IFERROR(VLOOKUP(S362,'Date Converter'!$A$4:$C$368,3,0),"")</f>
        <v>43686</v>
      </c>
      <c r="U362" s="21">
        <f t="shared" si="53"/>
        <v>43686</v>
      </c>
      <c r="V362" s="20" t="s">
        <v>164</v>
      </c>
      <c r="Y362" s="15"/>
      <c r="AA362" s="15">
        <v>0</v>
      </c>
      <c r="AB362" s="206"/>
      <c r="AC362" s="15"/>
      <c r="AD362" s="206"/>
      <c r="AE362" s="15"/>
      <c r="AF362" s="244"/>
      <c r="AG362" s="15"/>
      <c r="AH362" s="15">
        <f t="shared" si="49"/>
        <v>0</v>
      </c>
      <c r="AI362" s="22">
        <f t="shared" si="50"/>
        <v>20100</v>
      </c>
      <c r="AJ362" s="22">
        <f t="shared" si="51"/>
        <v>134670000</v>
      </c>
    </row>
    <row r="363" spans="1:37" hidden="1">
      <c r="A363" s="165" t="s">
        <v>453</v>
      </c>
      <c r="B363" s="13">
        <v>43470</v>
      </c>
      <c r="C363" s="13" t="s">
        <v>23</v>
      </c>
      <c r="D363" t="s">
        <v>161</v>
      </c>
      <c r="E363" s="198" t="s">
        <v>162</v>
      </c>
      <c r="F363" t="str">
        <f t="shared" si="47"/>
        <v>ROBI_18.20_150_NL2018</v>
      </c>
      <c r="G363" s="165" t="s">
        <v>61</v>
      </c>
      <c r="I363" s="12" t="s">
        <v>27</v>
      </c>
      <c r="J363" s="14">
        <v>150</v>
      </c>
      <c r="K363" s="15" t="s">
        <v>28</v>
      </c>
      <c r="M363" s="16">
        <f t="shared" si="48"/>
        <v>200</v>
      </c>
      <c r="N363" s="15">
        <v>30000</v>
      </c>
      <c r="O363" s="15">
        <f>6300+100*5</f>
        <v>6800</v>
      </c>
      <c r="P363" s="15">
        <f t="shared" si="46"/>
        <v>204000000</v>
      </c>
      <c r="Q363" s="15" t="str">
        <f t="shared" si="52"/>
        <v/>
      </c>
      <c r="R363" s="18" t="s">
        <v>29</v>
      </c>
      <c r="S363" s="23">
        <v>43687</v>
      </c>
      <c r="T363" s="20">
        <f>IFERROR(VLOOKUP(S363,'Date Converter'!$A$4:$C$368,3,0),"")</f>
        <v>43716</v>
      </c>
      <c r="U363" s="21">
        <f t="shared" si="53"/>
        <v>43716</v>
      </c>
      <c r="V363" s="20" t="s">
        <v>73</v>
      </c>
      <c r="Y363" s="15"/>
      <c r="AA363" s="15">
        <v>0</v>
      </c>
      <c r="AB363" s="206"/>
      <c r="AC363" s="15"/>
      <c r="AD363" s="206"/>
      <c r="AE363" s="15"/>
      <c r="AF363" s="244"/>
      <c r="AG363" s="15"/>
      <c r="AH363" s="15">
        <f t="shared" si="49"/>
        <v>0</v>
      </c>
      <c r="AI363" s="22">
        <f t="shared" si="50"/>
        <v>30000</v>
      </c>
      <c r="AJ363" s="22">
        <f t="shared" si="51"/>
        <v>204000000</v>
      </c>
      <c r="AK363" s="165"/>
    </row>
    <row r="364" spans="1:37" hidden="1">
      <c r="A364" t="s">
        <v>454</v>
      </c>
      <c r="B364" s="13">
        <v>43470</v>
      </c>
      <c r="C364" s="266" t="s">
        <v>23</v>
      </c>
      <c r="D364" s="258" t="s">
        <v>161</v>
      </c>
      <c r="E364" s="198" t="s">
        <v>162</v>
      </c>
      <c r="F364" t="str">
        <f t="shared" si="47"/>
        <v>ROBI_20.22_125_NL2018</v>
      </c>
      <c r="G364" s="165" t="s">
        <v>61</v>
      </c>
      <c r="I364" s="12" t="s">
        <v>74</v>
      </c>
      <c r="J364" s="14">
        <v>125</v>
      </c>
      <c r="K364" s="15" t="s">
        <v>28</v>
      </c>
      <c r="M364" s="16">
        <f t="shared" si="48"/>
        <v>80</v>
      </c>
      <c r="N364" s="15">
        <v>10000</v>
      </c>
      <c r="O364" s="15">
        <v>10500</v>
      </c>
      <c r="P364" s="15">
        <f t="shared" si="46"/>
        <v>105000000</v>
      </c>
      <c r="Q364" s="15" t="str">
        <f t="shared" si="52"/>
        <v/>
      </c>
      <c r="R364" s="18" t="s">
        <v>29</v>
      </c>
      <c r="S364" s="23">
        <v>43709</v>
      </c>
      <c r="T364" s="20">
        <f>IFERROR(VLOOKUP(S364,'Date Converter'!$A$4:$C$368,3,0),"")</f>
        <v>43737</v>
      </c>
      <c r="U364" s="21">
        <f t="shared" si="53"/>
        <v>43737</v>
      </c>
      <c r="V364" s="15" t="s">
        <v>51</v>
      </c>
      <c r="Y364" s="15"/>
      <c r="AA364" s="15">
        <v>0</v>
      </c>
      <c r="AB364" s="206"/>
      <c r="AC364" s="15"/>
      <c r="AD364" s="206"/>
      <c r="AE364" s="15"/>
      <c r="AF364" s="244"/>
      <c r="AG364" s="15"/>
      <c r="AH364" s="15">
        <f t="shared" si="49"/>
        <v>0</v>
      </c>
      <c r="AI364" s="22">
        <f t="shared" si="50"/>
        <v>10000</v>
      </c>
      <c r="AJ364" s="22">
        <f t="shared" si="51"/>
        <v>105000000</v>
      </c>
    </row>
    <row r="365" spans="1:37" ht="14.25" hidden="1" customHeight="1">
      <c r="A365" t="s">
        <v>310</v>
      </c>
      <c r="B365" s="13">
        <v>43470</v>
      </c>
      <c r="C365" s="13" t="s">
        <v>23</v>
      </c>
      <c r="D365" t="s">
        <v>161</v>
      </c>
      <c r="E365" s="198" t="s">
        <v>162</v>
      </c>
      <c r="F365" t="str">
        <f t="shared" si="47"/>
        <v>ROBI_18.20_150_NL2018</v>
      </c>
      <c r="G365" t="s">
        <v>61</v>
      </c>
      <c r="I365" s="12" t="s">
        <v>27</v>
      </c>
      <c r="J365" s="14">
        <v>150</v>
      </c>
      <c r="K365" s="15" t="s">
        <v>28</v>
      </c>
      <c r="M365" s="16">
        <f t="shared" si="48"/>
        <v>67</v>
      </c>
      <c r="N365" s="15">
        <v>10050</v>
      </c>
      <c r="O365" s="15">
        <f>6300+228</f>
        <v>6528</v>
      </c>
      <c r="P365" s="15">
        <f t="shared" si="46"/>
        <v>65606400</v>
      </c>
      <c r="Q365" s="15" t="str">
        <f t="shared" si="52"/>
        <v>Done</v>
      </c>
      <c r="R365" s="18" t="s">
        <v>44</v>
      </c>
      <c r="S365" s="23">
        <v>43572</v>
      </c>
      <c r="T365" s="20">
        <f>IFERROR(VLOOKUP(S365,'Date Converter'!$A$4:$C$368,3,0),"")</f>
        <v>43606</v>
      </c>
      <c r="U365" s="21">
        <f t="shared" si="53"/>
        <v>43606</v>
      </c>
      <c r="V365" s="20" t="s">
        <v>87</v>
      </c>
      <c r="Y365" s="15"/>
      <c r="AA365" s="15">
        <v>0</v>
      </c>
      <c r="AB365" s="206">
        <v>43612</v>
      </c>
      <c r="AC365" s="15">
        <v>10050</v>
      </c>
      <c r="AD365" s="206"/>
      <c r="AE365" s="15"/>
      <c r="AF365" s="244"/>
      <c r="AG365" s="15"/>
      <c r="AH365" s="15">
        <f t="shared" si="49"/>
        <v>10050</v>
      </c>
      <c r="AI365" s="22">
        <f t="shared" si="50"/>
        <v>0</v>
      </c>
      <c r="AJ365" s="22">
        <f t="shared" si="51"/>
        <v>0</v>
      </c>
      <c r="AK365" s="165"/>
    </row>
    <row r="366" spans="1:37" hidden="1">
      <c r="A366" t="s">
        <v>310</v>
      </c>
      <c r="B366" s="13">
        <v>43470</v>
      </c>
      <c r="C366" s="13" t="s">
        <v>23</v>
      </c>
      <c r="D366" t="s">
        <v>161</v>
      </c>
      <c r="E366" s="165" t="s">
        <v>162</v>
      </c>
      <c r="F366" t="str">
        <f t="shared" si="47"/>
        <v>ROBI_18.20_150_NL2018</v>
      </c>
      <c r="G366" s="165" t="s">
        <v>61</v>
      </c>
      <c r="I366" s="12" t="s">
        <v>27</v>
      </c>
      <c r="J366" s="14">
        <v>150</v>
      </c>
      <c r="K366" s="15" t="s">
        <v>28</v>
      </c>
      <c r="M366" s="16">
        <f t="shared" si="48"/>
        <v>67</v>
      </c>
      <c r="N366" s="185">
        <v>10050</v>
      </c>
      <c r="O366" s="15">
        <v>6300</v>
      </c>
      <c r="P366" s="15">
        <f t="shared" si="46"/>
        <v>63315000</v>
      </c>
      <c r="Q366" s="15" t="str">
        <f t="shared" si="52"/>
        <v>Done</v>
      </c>
      <c r="R366" s="18" t="s">
        <v>44</v>
      </c>
      <c r="S366" s="23">
        <v>43488</v>
      </c>
      <c r="T366" s="20">
        <f>IFERROR(VLOOKUP(S366,'Date Converter'!$A$4:$C$368,3,0),"")</f>
        <v>43523</v>
      </c>
      <c r="U366" s="21">
        <f t="shared" si="53"/>
        <v>43523</v>
      </c>
      <c r="V366" s="12" t="s">
        <v>69</v>
      </c>
      <c r="Y366" s="15"/>
      <c r="Z366" s="206">
        <v>43523</v>
      </c>
      <c r="AA366" s="15">
        <v>10050</v>
      </c>
      <c r="AB366" s="206"/>
      <c r="AC366" s="15"/>
      <c r="AD366" s="206"/>
      <c r="AE366" s="15"/>
      <c r="AF366" s="244"/>
      <c r="AG366" s="15"/>
      <c r="AH366" s="15">
        <f t="shared" si="49"/>
        <v>10050</v>
      </c>
      <c r="AI366" s="22">
        <f t="shared" si="50"/>
        <v>0</v>
      </c>
      <c r="AJ366" s="22">
        <f t="shared" si="51"/>
        <v>0</v>
      </c>
      <c r="AK366" s="165"/>
    </row>
    <row r="367" spans="1:37" hidden="1">
      <c r="A367" t="s">
        <v>310</v>
      </c>
      <c r="B367" s="13">
        <v>43470</v>
      </c>
      <c r="C367" s="13" t="s">
        <v>23</v>
      </c>
      <c r="D367" t="s">
        <v>161</v>
      </c>
      <c r="E367" s="165" t="s">
        <v>162</v>
      </c>
      <c r="F367" t="str">
        <f t="shared" si="47"/>
        <v>ROBI_18.20_150_NL2018</v>
      </c>
      <c r="G367" s="165" t="s">
        <v>61</v>
      </c>
      <c r="I367" s="12" t="s">
        <v>27</v>
      </c>
      <c r="J367" s="14">
        <v>150</v>
      </c>
      <c r="K367" s="15" t="s">
        <v>28</v>
      </c>
      <c r="M367" s="16">
        <f t="shared" si="48"/>
        <v>15</v>
      </c>
      <c r="N367" s="15">
        <f>15*150</f>
        <v>2250</v>
      </c>
      <c r="O367" s="15">
        <v>6300</v>
      </c>
      <c r="P367" s="15">
        <f t="shared" si="46"/>
        <v>14175000</v>
      </c>
      <c r="Q367" s="15" t="str">
        <f t="shared" si="52"/>
        <v>Done</v>
      </c>
      <c r="R367" s="18" t="s">
        <v>44</v>
      </c>
      <c r="S367" s="23">
        <v>43488</v>
      </c>
      <c r="T367" s="20">
        <f>IFERROR(VLOOKUP(S367,'Date Converter'!$A$4:$C$368,3,0),"")</f>
        <v>43523</v>
      </c>
      <c r="U367" s="21">
        <f t="shared" si="53"/>
        <v>43523</v>
      </c>
      <c r="V367" s="12" t="s">
        <v>69</v>
      </c>
      <c r="Y367" s="15"/>
      <c r="Z367" s="206">
        <v>43543</v>
      </c>
      <c r="AA367" s="15">
        <v>2250</v>
      </c>
      <c r="AB367" s="206"/>
      <c r="AC367" s="15"/>
      <c r="AD367" s="206"/>
      <c r="AE367" s="15"/>
      <c r="AF367" s="244"/>
      <c r="AG367" s="15"/>
      <c r="AH367" s="15">
        <f t="shared" si="49"/>
        <v>2250</v>
      </c>
      <c r="AI367" s="22">
        <f t="shared" si="50"/>
        <v>0</v>
      </c>
      <c r="AJ367" s="22">
        <f t="shared" si="51"/>
        <v>0</v>
      </c>
      <c r="AK367" s="165"/>
    </row>
    <row r="368" spans="1:37" hidden="1">
      <c r="A368" t="s">
        <v>310</v>
      </c>
      <c r="B368" s="13">
        <v>43470</v>
      </c>
      <c r="C368" s="13" t="s">
        <v>23</v>
      </c>
      <c r="D368" t="s">
        <v>161</v>
      </c>
      <c r="E368" s="165" t="s">
        <v>162</v>
      </c>
      <c r="F368" t="str">
        <f t="shared" si="47"/>
        <v>ROBI_18.20_150_NL2018</v>
      </c>
      <c r="G368" s="165" t="s">
        <v>61</v>
      </c>
      <c r="I368" s="12" t="s">
        <v>27</v>
      </c>
      <c r="J368" s="14">
        <v>150</v>
      </c>
      <c r="K368" s="15" t="s">
        <v>28</v>
      </c>
      <c r="M368" s="16">
        <f t="shared" si="48"/>
        <v>60</v>
      </c>
      <c r="N368" s="15">
        <v>9000</v>
      </c>
      <c r="O368" s="15">
        <v>6300</v>
      </c>
      <c r="P368" s="15">
        <f t="shared" si="46"/>
        <v>56700000</v>
      </c>
      <c r="Q368" s="15" t="str">
        <f t="shared" si="52"/>
        <v>Done</v>
      </c>
      <c r="R368" s="18" t="s">
        <v>44</v>
      </c>
      <c r="S368" s="23">
        <v>43511</v>
      </c>
      <c r="T368" s="20">
        <f>IFERROR(VLOOKUP(S368,'Date Converter'!$A$4:$C$368,3,0),"")</f>
        <v>43544</v>
      </c>
      <c r="U368" s="21">
        <f t="shared" si="53"/>
        <v>43544</v>
      </c>
      <c r="V368" s="12" t="s">
        <v>32</v>
      </c>
      <c r="W368" s="18" t="s">
        <v>41</v>
      </c>
      <c r="X368" s="18">
        <v>43541</v>
      </c>
      <c r="Y368" s="15"/>
      <c r="Z368" s="206">
        <v>43543</v>
      </c>
      <c r="AA368" s="15">
        <v>9000</v>
      </c>
      <c r="AB368" s="206"/>
      <c r="AC368" s="15"/>
      <c r="AD368" s="206"/>
      <c r="AE368" s="15"/>
      <c r="AF368" s="244"/>
      <c r="AG368" s="15"/>
      <c r="AH368" s="15">
        <f t="shared" si="49"/>
        <v>9000</v>
      </c>
      <c r="AI368" s="22">
        <f t="shared" si="50"/>
        <v>0</v>
      </c>
      <c r="AJ368" s="22">
        <f t="shared" si="51"/>
        <v>0</v>
      </c>
      <c r="AK368" s="165"/>
    </row>
    <row r="369" spans="1:37" hidden="1">
      <c r="A369" t="s">
        <v>310</v>
      </c>
      <c r="B369" s="13">
        <v>43470</v>
      </c>
      <c r="C369" s="13" t="s">
        <v>23</v>
      </c>
      <c r="D369" t="s">
        <v>161</v>
      </c>
      <c r="E369" s="165" t="s">
        <v>162</v>
      </c>
      <c r="F369" t="str">
        <f t="shared" si="47"/>
        <v>ROBI_18.20_150_NL2018</v>
      </c>
      <c r="G369" s="165" t="s">
        <v>61</v>
      </c>
      <c r="I369" s="12" t="s">
        <v>27</v>
      </c>
      <c r="J369" s="14">
        <v>150</v>
      </c>
      <c r="K369" s="15" t="s">
        <v>28</v>
      </c>
      <c r="M369" s="16">
        <f t="shared" si="48"/>
        <v>167</v>
      </c>
      <c r="N369" s="15">
        <v>25050</v>
      </c>
      <c r="O369" s="15">
        <v>6300</v>
      </c>
      <c r="P369" s="15">
        <f t="shared" si="46"/>
        <v>157815000</v>
      </c>
      <c r="Q369" s="15" t="str">
        <f t="shared" si="52"/>
        <v>Done</v>
      </c>
      <c r="R369" s="18" t="s">
        <v>44</v>
      </c>
      <c r="S369" s="23">
        <v>43539</v>
      </c>
      <c r="T369" s="20">
        <f>IFERROR(VLOOKUP(S369,'Date Converter'!$A$4:$C$368,3,0),"")</f>
        <v>43574</v>
      </c>
      <c r="U369" s="21">
        <f t="shared" si="53"/>
        <v>43574</v>
      </c>
      <c r="V369" s="12" t="s">
        <v>57</v>
      </c>
      <c r="W369" s="18" t="s">
        <v>118</v>
      </c>
      <c r="X369" s="18">
        <v>43569</v>
      </c>
      <c r="Y369" s="15"/>
      <c r="Z369" s="206">
        <v>43578</v>
      </c>
      <c r="AA369" s="15">
        <v>12000</v>
      </c>
      <c r="AB369" s="206">
        <v>43589</v>
      </c>
      <c r="AC369" s="15">
        <v>13050</v>
      </c>
      <c r="AD369" s="206"/>
      <c r="AE369" s="15"/>
      <c r="AF369" s="244"/>
      <c r="AG369" s="15"/>
      <c r="AH369" s="15">
        <f t="shared" si="49"/>
        <v>25050</v>
      </c>
      <c r="AI369" s="22">
        <f t="shared" si="50"/>
        <v>0</v>
      </c>
      <c r="AJ369" s="22">
        <f t="shared" si="51"/>
        <v>0</v>
      </c>
      <c r="AK369" s="165"/>
    </row>
    <row r="370" spans="1:37" hidden="1">
      <c r="A370" t="s">
        <v>1371</v>
      </c>
      <c r="B370" s="13">
        <v>43563</v>
      </c>
      <c r="C370" s="13" t="s">
        <v>23</v>
      </c>
      <c r="D370" t="s">
        <v>161</v>
      </c>
      <c r="E370" s="165" t="s">
        <v>162</v>
      </c>
      <c r="F370" s="165" t="str">
        <f t="shared" si="47"/>
        <v>PROF_16.18_200_NL2018</v>
      </c>
      <c r="G370" s="165" t="s">
        <v>56</v>
      </c>
      <c r="I370" s="12" t="s">
        <v>35</v>
      </c>
      <c r="J370" s="14">
        <v>200</v>
      </c>
      <c r="K370" s="15" t="s">
        <v>28</v>
      </c>
      <c r="M370" s="16">
        <f t="shared" si="48"/>
        <v>25</v>
      </c>
      <c r="N370" s="15">
        <f>3000+2000</f>
        <v>5000</v>
      </c>
      <c r="O370" s="15">
        <v>6700</v>
      </c>
      <c r="P370" s="15">
        <f t="shared" si="46"/>
        <v>33500000</v>
      </c>
      <c r="Q370" s="15" t="str">
        <f t="shared" si="52"/>
        <v>Done</v>
      </c>
      <c r="R370" s="18" t="s">
        <v>44</v>
      </c>
      <c r="S370" s="23" t="s">
        <v>53</v>
      </c>
      <c r="T370" s="20">
        <f>IFERROR(VLOOKUP(S370,'Date Converter'!$A$4:$C$368,3,0),"")</f>
        <v>43559</v>
      </c>
      <c r="U370" s="21">
        <f t="shared" si="53"/>
        <v>43559</v>
      </c>
      <c r="V370" s="20" t="s">
        <v>54</v>
      </c>
      <c r="Y370" s="15"/>
      <c r="Z370" s="206">
        <v>43567</v>
      </c>
      <c r="AA370" s="15">
        <v>5000</v>
      </c>
      <c r="AB370" s="206"/>
      <c r="AC370" s="15"/>
      <c r="AD370" s="206"/>
      <c r="AE370" s="15"/>
      <c r="AF370" s="244"/>
      <c r="AG370" s="15"/>
      <c r="AH370" s="15">
        <f t="shared" si="49"/>
        <v>5000</v>
      </c>
      <c r="AI370" s="22">
        <f t="shared" si="50"/>
        <v>0</v>
      </c>
      <c r="AJ370" s="22">
        <f t="shared" si="51"/>
        <v>0</v>
      </c>
      <c r="AK370" s="165"/>
    </row>
    <row r="371" spans="1:37" hidden="1">
      <c r="A371" t="s">
        <v>310</v>
      </c>
      <c r="B371" s="13">
        <v>43470</v>
      </c>
      <c r="C371" s="13" t="s">
        <v>23</v>
      </c>
      <c r="D371" t="s">
        <v>161</v>
      </c>
      <c r="E371" s="165" t="s">
        <v>162</v>
      </c>
      <c r="F371" t="str">
        <f t="shared" si="47"/>
        <v>PROF_16.18_200_NL2018</v>
      </c>
      <c r="G371" s="165" t="s">
        <v>56</v>
      </c>
      <c r="I371" s="12" t="s">
        <v>35</v>
      </c>
      <c r="J371" s="14">
        <v>200</v>
      </c>
      <c r="K371" s="15" t="s">
        <v>28</v>
      </c>
      <c r="M371" s="16">
        <f t="shared" si="48"/>
        <v>35</v>
      </c>
      <c r="N371" s="15">
        <v>7000</v>
      </c>
      <c r="O371" s="185">
        <v>6500</v>
      </c>
      <c r="P371" s="15">
        <f t="shared" si="46"/>
        <v>45500000</v>
      </c>
      <c r="Q371" s="15" t="str">
        <f t="shared" si="52"/>
        <v>Done</v>
      </c>
      <c r="R371" s="18" t="s">
        <v>44</v>
      </c>
      <c r="S371" s="23">
        <v>43480</v>
      </c>
      <c r="T371" s="20">
        <f>IFERROR(VLOOKUP(S371,'Date Converter'!$A$4:$C$368,3,0),"")</f>
        <v>43515</v>
      </c>
      <c r="U371" s="21">
        <f t="shared" si="53"/>
        <v>43515</v>
      </c>
      <c r="V371" s="12" t="s">
        <v>45</v>
      </c>
      <c r="Y371" s="15"/>
      <c r="Z371" s="206">
        <v>43515</v>
      </c>
      <c r="AA371" s="15">
        <v>7000</v>
      </c>
      <c r="AB371" s="206"/>
      <c r="AC371" s="15"/>
      <c r="AD371" s="206"/>
      <c r="AE371" s="15"/>
      <c r="AF371" s="244"/>
      <c r="AG371" s="15"/>
      <c r="AH371" s="15">
        <f t="shared" si="49"/>
        <v>7000</v>
      </c>
      <c r="AI371" s="22">
        <f t="shared" si="50"/>
        <v>0</v>
      </c>
      <c r="AJ371" s="22">
        <f t="shared" si="51"/>
        <v>0</v>
      </c>
      <c r="AK371" s="165"/>
    </row>
    <row r="372" spans="1:37" hidden="1">
      <c r="A372" t="s">
        <v>310</v>
      </c>
      <c r="B372" s="13">
        <v>43470</v>
      </c>
      <c r="C372" s="13" t="s">
        <v>23</v>
      </c>
      <c r="D372" t="s">
        <v>161</v>
      </c>
      <c r="E372" s="165" t="s">
        <v>162</v>
      </c>
      <c r="F372" t="str">
        <f t="shared" si="47"/>
        <v>PROF_16.18_200_NL2018</v>
      </c>
      <c r="G372" s="165" t="s">
        <v>56</v>
      </c>
      <c r="I372" s="12" t="s">
        <v>35</v>
      </c>
      <c r="J372" s="14">
        <v>200</v>
      </c>
      <c r="K372" s="15" t="s">
        <v>28</v>
      </c>
      <c r="M372" s="16">
        <f t="shared" si="48"/>
        <v>50</v>
      </c>
      <c r="N372" s="15">
        <v>10000</v>
      </c>
      <c r="O372" s="15">
        <v>6700</v>
      </c>
      <c r="P372" s="15">
        <f t="shared" si="46"/>
        <v>67000000</v>
      </c>
      <c r="Q372" s="15" t="str">
        <f t="shared" si="52"/>
        <v>Done</v>
      </c>
      <c r="R372" s="18" t="s">
        <v>44</v>
      </c>
      <c r="S372" s="23">
        <v>43511</v>
      </c>
      <c r="T372" s="20">
        <f>IFERROR(VLOOKUP(S372,'Date Converter'!$A$4:$C$368,3,0),"")</f>
        <v>43544</v>
      </c>
      <c r="U372" s="21">
        <f t="shared" si="53"/>
        <v>43544</v>
      </c>
      <c r="V372" s="12" t="s">
        <v>32</v>
      </c>
      <c r="W372" s="18" t="s">
        <v>33</v>
      </c>
      <c r="X372" s="18">
        <v>43541</v>
      </c>
      <c r="Y372" s="15"/>
      <c r="Z372" s="206">
        <v>43543</v>
      </c>
      <c r="AA372" s="15">
        <v>10000</v>
      </c>
      <c r="AB372" s="206"/>
      <c r="AC372" s="15"/>
      <c r="AD372" s="206"/>
      <c r="AE372" s="15"/>
      <c r="AF372" s="244"/>
      <c r="AG372" s="15"/>
      <c r="AH372" s="15">
        <f t="shared" si="49"/>
        <v>10000</v>
      </c>
      <c r="AI372" s="22">
        <f t="shared" si="50"/>
        <v>0</v>
      </c>
      <c r="AJ372" s="22">
        <f t="shared" si="51"/>
        <v>0</v>
      </c>
      <c r="AK372" s="165"/>
    </row>
    <row r="373" spans="1:37" hidden="1">
      <c r="A373" t="s">
        <v>453</v>
      </c>
      <c r="B373" s="13">
        <v>43470</v>
      </c>
      <c r="C373" s="13" t="s">
        <v>23</v>
      </c>
      <c r="D373" t="s">
        <v>161</v>
      </c>
      <c r="E373" s="198" t="s">
        <v>162</v>
      </c>
      <c r="F373" t="str">
        <f t="shared" si="47"/>
        <v>LAKE_16.18_200_NL2018</v>
      </c>
      <c r="G373" s="165" t="s">
        <v>50</v>
      </c>
      <c r="I373" s="12" t="s">
        <v>35</v>
      </c>
      <c r="J373" s="14">
        <v>200</v>
      </c>
      <c r="K373" s="15" t="s">
        <v>28</v>
      </c>
      <c r="M373" s="16">
        <f t="shared" si="48"/>
        <v>50</v>
      </c>
      <c r="N373" s="15">
        <v>10000</v>
      </c>
      <c r="O373" s="15">
        <f>5500+85*2</f>
        <v>5670</v>
      </c>
      <c r="P373" s="15">
        <f t="shared" si="46"/>
        <v>56700000</v>
      </c>
      <c r="Q373" s="15" t="str">
        <f t="shared" si="52"/>
        <v/>
      </c>
      <c r="R373" s="18" t="s">
        <v>63</v>
      </c>
      <c r="S373" s="23">
        <v>43597</v>
      </c>
      <c r="T373" s="20">
        <f>IFERROR(VLOOKUP(S373,'Date Converter'!$A$4:$C$368,3,0),"")</f>
        <v>43630</v>
      </c>
      <c r="U373" s="21">
        <f t="shared" si="53"/>
        <v>43630</v>
      </c>
      <c r="V373" s="20" t="s">
        <v>165</v>
      </c>
      <c r="Y373" s="15"/>
      <c r="AA373" s="15">
        <v>0</v>
      </c>
      <c r="AB373" s="206"/>
      <c r="AC373" s="15"/>
      <c r="AD373" s="206"/>
      <c r="AE373" s="15"/>
      <c r="AF373" s="244"/>
      <c r="AG373" s="15"/>
      <c r="AH373" s="15">
        <f t="shared" si="49"/>
        <v>0</v>
      </c>
      <c r="AI373" s="22">
        <f t="shared" si="50"/>
        <v>10000</v>
      </c>
      <c r="AJ373" s="22">
        <f t="shared" si="51"/>
        <v>56700000</v>
      </c>
      <c r="AK373" s="165"/>
    </row>
    <row r="374" spans="1:37" hidden="1">
      <c r="A374" t="s">
        <v>453</v>
      </c>
      <c r="B374" s="13">
        <v>43470</v>
      </c>
      <c r="C374" s="13" t="s">
        <v>23</v>
      </c>
      <c r="D374" t="s">
        <v>161</v>
      </c>
      <c r="E374" s="198" t="s">
        <v>162</v>
      </c>
      <c r="F374" t="str">
        <f t="shared" si="47"/>
        <v>LAKE_16.18_200_NL2018</v>
      </c>
      <c r="G374" s="165" t="s">
        <v>50</v>
      </c>
      <c r="I374" s="12" t="s">
        <v>35</v>
      </c>
      <c r="J374" s="14">
        <v>200</v>
      </c>
      <c r="K374" s="15" t="s">
        <v>28</v>
      </c>
      <c r="M374" s="16">
        <f t="shared" si="48"/>
        <v>150</v>
      </c>
      <c r="N374" s="15">
        <v>30000</v>
      </c>
      <c r="O374" s="15">
        <f>5500+85*5</f>
        <v>5925</v>
      </c>
      <c r="P374" s="15">
        <f t="shared" si="46"/>
        <v>177750000</v>
      </c>
      <c r="Q374" s="15" t="str">
        <f t="shared" si="52"/>
        <v/>
      </c>
      <c r="R374" s="18" t="s">
        <v>29</v>
      </c>
      <c r="S374" s="23">
        <v>43687</v>
      </c>
      <c r="T374" s="20">
        <f>IFERROR(VLOOKUP(S374,'Date Converter'!$A$4:$C$368,3,0),"")</f>
        <v>43716</v>
      </c>
      <c r="U374" s="21">
        <f t="shared" si="53"/>
        <v>43716</v>
      </c>
      <c r="V374" s="20" t="s">
        <v>73</v>
      </c>
      <c r="Y374" s="15"/>
      <c r="AA374" s="15">
        <v>0</v>
      </c>
      <c r="AB374" s="206"/>
      <c r="AC374" s="15"/>
      <c r="AD374" s="206"/>
      <c r="AE374" s="15"/>
      <c r="AF374" s="244"/>
      <c r="AG374" s="15"/>
      <c r="AH374" s="15">
        <f t="shared" si="49"/>
        <v>0</v>
      </c>
      <c r="AI374" s="22">
        <f t="shared" si="50"/>
        <v>30000</v>
      </c>
      <c r="AJ374" s="22">
        <f t="shared" si="51"/>
        <v>177750000</v>
      </c>
      <c r="AK374" s="165"/>
    </row>
    <row r="375" spans="1:37" hidden="1">
      <c r="A375" t="s">
        <v>310</v>
      </c>
      <c r="B375" s="13">
        <v>43470</v>
      </c>
      <c r="C375" s="13" t="s">
        <v>23</v>
      </c>
      <c r="D375" t="s">
        <v>161</v>
      </c>
      <c r="E375" s="165" t="s">
        <v>162</v>
      </c>
      <c r="F375" t="str">
        <f t="shared" si="47"/>
        <v>LAKE_16.18_200_NL2018</v>
      </c>
      <c r="G375" s="165" t="s">
        <v>50</v>
      </c>
      <c r="I375" s="12" t="s">
        <v>35</v>
      </c>
      <c r="J375" s="14">
        <v>200</v>
      </c>
      <c r="K375" s="15" t="s">
        <v>28</v>
      </c>
      <c r="M375" s="16">
        <f t="shared" si="48"/>
        <v>75</v>
      </c>
      <c r="N375" s="15">
        <v>15000</v>
      </c>
      <c r="O375" s="15">
        <v>5500</v>
      </c>
      <c r="P375" s="15">
        <f t="shared" si="46"/>
        <v>82500000</v>
      </c>
      <c r="Q375" s="15" t="str">
        <f t="shared" si="52"/>
        <v>Done</v>
      </c>
      <c r="R375" s="18" t="s">
        <v>44</v>
      </c>
      <c r="S375" s="23" t="s">
        <v>53</v>
      </c>
      <c r="T375" s="20">
        <f>IFERROR(VLOOKUP(S375,'Date Converter'!$A$4:$C$368,3,0),"")</f>
        <v>43559</v>
      </c>
      <c r="U375" s="21">
        <f t="shared" si="53"/>
        <v>43559</v>
      </c>
      <c r="V375" s="20" t="s">
        <v>54</v>
      </c>
      <c r="W375" s="18" t="s">
        <v>101</v>
      </c>
      <c r="X375" s="18">
        <v>43555</v>
      </c>
      <c r="Y375" s="15"/>
      <c r="Z375" s="206">
        <v>43567</v>
      </c>
      <c r="AA375" s="15">
        <v>15000</v>
      </c>
      <c r="AB375" s="206"/>
      <c r="AC375" s="15"/>
      <c r="AD375" s="206"/>
      <c r="AE375" s="15"/>
      <c r="AF375" s="244"/>
      <c r="AG375" s="15"/>
      <c r="AH375" s="15">
        <f t="shared" si="49"/>
        <v>15000</v>
      </c>
      <c r="AI375" s="22">
        <f t="shared" si="50"/>
        <v>0</v>
      </c>
      <c r="AJ375" s="22">
        <f t="shared" si="51"/>
        <v>0</v>
      </c>
      <c r="AK375" s="165"/>
    </row>
    <row r="376" spans="1:37" hidden="1">
      <c r="A376" t="s">
        <v>453</v>
      </c>
      <c r="B376" s="13">
        <v>43470</v>
      </c>
      <c r="C376" s="13" t="s">
        <v>23</v>
      </c>
      <c r="D376" t="s">
        <v>161</v>
      </c>
      <c r="E376" s="198" t="s">
        <v>162</v>
      </c>
      <c r="F376" t="str">
        <f t="shared" si="47"/>
        <v>CONC_16.18_200_NL2018</v>
      </c>
      <c r="G376" s="165" t="s">
        <v>43</v>
      </c>
      <c r="I376" s="12" t="s">
        <v>35</v>
      </c>
      <c r="J376" s="14">
        <v>200</v>
      </c>
      <c r="K376" s="15" t="s">
        <v>28</v>
      </c>
      <c r="L376" s="15" t="s">
        <v>413</v>
      </c>
      <c r="M376" s="16">
        <f t="shared" si="48"/>
        <v>18</v>
      </c>
      <c r="N376" s="185">
        <v>3600</v>
      </c>
      <c r="O376" s="185">
        <v>5834</v>
      </c>
      <c r="P376" s="185">
        <f t="shared" si="46"/>
        <v>21002400</v>
      </c>
      <c r="Q376" s="15" t="str">
        <f t="shared" si="52"/>
        <v>Done</v>
      </c>
      <c r="R376" s="189" t="s">
        <v>44</v>
      </c>
      <c r="S376" s="23">
        <v>43590</v>
      </c>
      <c r="T376" s="20">
        <f>IFERROR(VLOOKUP(S376,'Date Converter'!$A$4:$C$368,3,0),"")</f>
        <v>43623</v>
      </c>
      <c r="U376" s="21">
        <f t="shared" si="53"/>
        <v>43623</v>
      </c>
      <c r="V376" s="20" t="s">
        <v>165</v>
      </c>
      <c r="Y376" s="15"/>
      <c r="Z376" s="206">
        <v>43641</v>
      </c>
      <c r="AA376" s="15">
        <v>3600</v>
      </c>
      <c r="AB376" s="206"/>
      <c r="AC376" s="15"/>
      <c r="AD376" s="206"/>
      <c r="AE376" s="15"/>
      <c r="AF376" s="244"/>
      <c r="AG376" s="15"/>
      <c r="AH376" s="15">
        <f t="shared" si="49"/>
        <v>3600</v>
      </c>
      <c r="AI376" s="22">
        <f t="shared" si="50"/>
        <v>0</v>
      </c>
      <c r="AJ376" s="22">
        <f t="shared" si="51"/>
        <v>0</v>
      </c>
      <c r="AK376" s="165"/>
    </row>
    <row r="377" spans="1:37" hidden="1">
      <c r="A377" t="s">
        <v>453</v>
      </c>
      <c r="B377" s="13">
        <v>43470</v>
      </c>
      <c r="C377" s="13" t="s">
        <v>23</v>
      </c>
      <c r="D377" t="s">
        <v>161</v>
      </c>
      <c r="E377" s="198" t="s">
        <v>162</v>
      </c>
      <c r="F377" t="str">
        <f t="shared" si="47"/>
        <v>CONC_16.18_200_NL2018</v>
      </c>
      <c r="G377" s="165" t="s">
        <v>43</v>
      </c>
      <c r="I377" s="12" t="s">
        <v>35</v>
      </c>
      <c r="J377" s="14">
        <v>200</v>
      </c>
      <c r="K377" s="15" t="s">
        <v>28</v>
      </c>
      <c r="L377" s="15" t="s">
        <v>413</v>
      </c>
      <c r="M377" s="16">
        <f t="shared" si="48"/>
        <v>25</v>
      </c>
      <c r="N377" s="185">
        <v>5000</v>
      </c>
      <c r="O377" s="185">
        <v>5876</v>
      </c>
      <c r="P377" s="185">
        <f t="shared" ref="P377:P437" si="54">+O377*N377</f>
        <v>29380000</v>
      </c>
      <c r="Q377" s="15" t="str">
        <f t="shared" si="52"/>
        <v>Done</v>
      </c>
      <c r="R377" s="189" t="s">
        <v>44</v>
      </c>
      <c r="S377" s="23">
        <v>43603</v>
      </c>
      <c r="T377" s="20">
        <f>IFERROR(VLOOKUP(S377,'Date Converter'!$A$4:$C$368,3,0),"")</f>
        <v>43636</v>
      </c>
      <c r="U377" s="21">
        <f t="shared" si="53"/>
        <v>43636</v>
      </c>
      <c r="V377" s="20"/>
      <c r="Y377" s="15"/>
      <c r="Z377" s="206">
        <v>43641</v>
      </c>
      <c r="AA377" s="15">
        <v>5000</v>
      </c>
      <c r="AB377" s="206"/>
      <c r="AC377" s="15"/>
      <c r="AD377" s="206"/>
      <c r="AE377" s="15"/>
      <c r="AF377" s="244"/>
      <c r="AG377" s="15"/>
      <c r="AH377" s="15">
        <f t="shared" si="49"/>
        <v>5000</v>
      </c>
      <c r="AI377" s="22">
        <f t="shared" si="50"/>
        <v>0</v>
      </c>
      <c r="AJ377" s="22">
        <f t="shared" si="51"/>
        <v>0</v>
      </c>
      <c r="AK377" s="165"/>
    </row>
    <row r="378" spans="1:37" hidden="1">
      <c r="A378" t="s">
        <v>453</v>
      </c>
      <c r="B378" s="13">
        <v>43470</v>
      </c>
      <c r="C378" s="13" t="s">
        <v>23</v>
      </c>
      <c r="D378" t="s">
        <v>161</v>
      </c>
      <c r="E378" s="198" t="s">
        <v>162</v>
      </c>
      <c r="F378" t="str">
        <f t="shared" si="47"/>
        <v>CONC_16.18_200_NL2018</v>
      </c>
      <c r="G378" s="165" t="s">
        <v>43</v>
      </c>
      <c r="I378" s="12" t="s">
        <v>35</v>
      </c>
      <c r="J378" s="14">
        <v>200</v>
      </c>
      <c r="K378" s="15" t="s">
        <v>28</v>
      </c>
      <c r="M378" s="16">
        <f t="shared" si="48"/>
        <v>0</v>
      </c>
      <c r="N378" s="15">
        <f>1400-1400</f>
        <v>0</v>
      </c>
      <c r="O378" s="15">
        <v>5170</v>
      </c>
      <c r="P378" s="15">
        <f t="shared" si="54"/>
        <v>0</v>
      </c>
      <c r="Q378" s="15" t="str">
        <f t="shared" si="52"/>
        <v>Canceled</v>
      </c>
      <c r="R378" s="18" t="s">
        <v>71</v>
      </c>
      <c r="S378" s="23">
        <v>43590</v>
      </c>
      <c r="T378" s="20">
        <f>IFERROR(VLOOKUP(S378,'Date Converter'!$A$4:$C$368,3,0),"")</f>
        <v>43623</v>
      </c>
      <c r="U378" s="21">
        <f t="shared" si="53"/>
        <v>43623</v>
      </c>
      <c r="V378" s="20"/>
      <c r="Y378" s="15"/>
      <c r="AA378" s="15"/>
      <c r="AB378" s="206"/>
      <c r="AC378" s="15"/>
      <c r="AD378" s="206"/>
      <c r="AE378" s="15"/>
      <c r="AF378" s="244"/>
      <c r="AG378" s="15"/>
      <c r="AH378" s="15">
        <f t="shared" si="49"/>
        <v>0</v>
      </c>
      <c r="AI378" s="22">
        <f t="shared" si="50"/>
        <v>0</v>
      </c>
      <c r="AJ378" s="22">
        <f t="shared" si="51"/>
        <v>0</v>
      </c>
      <c r="AK378" s="165"/>
    </row>
    <row r="379" spans="1:37" hidden="1">
      <c r="A379" t="s">
        <v>453</v>
      </c>
      <c r="B379" s="13">
        <v>43470</v>
      </c>
      <c r="C379" s="13" t="s">
        <v>23</v>
      </c>
      <c r="D379" t="s">
        <v>161</v>
      </c>
      <c r="E379" s="198" t="s">
        <v>162</v>
      </c>
      <c r="F379" t="str">
        <f t="shared" si="47"/>
        <v>CONC_16.18_200_NL2018</v>
      </c>
      <c r="G379" s="165" t="s">
        <v>43</v>
      </c>
      <c r="I379" s="12" t="s">
        <v>35</v>
      </c>
      <c r="J379" s="14">
        <v>200</v>
      </c>
      <c r="K379" s="15" t="s">
        <v>28</v>
      </c>
      <c r="M379" s="16">
        <f t="shared" si="48"/>
        <v>50</v>
      </c>
      <c r="N379" s="15">
        <v>10000</v>
      </c>
      <c r="O379" s="15">
        <f>5000+85*3</f>
        <v>5255</v>
      </c>
      <c r="P379" s="15">
        <f t="shared" si="54"/>
        <v>52550000</v>
      </c>
      <c r="Q379" s="15" t="str">
        <f t="shared" si="52"/>
        <v/>
      </c>
      <c r="R379" s="18" t="s">
        <v>31</v>
      </c>
      <c r="S379" s="23">
        <v>43624</v>
      </c>
      <c r="T379" s="20">
        <f>IFERROR(VLOOKUP(S379,'Date Converter'!$A$4:$C$368,3,0),"")</f>
        <v>43656</v>
      </c>
      <c r="U379" s="21">
        <f t="shared" si="53"/>
        <v>43656</v>
      </c>
      <c r="V379" s="20" t="s">
        <v>163</v>
      </c>
      <c r="Y379" s="15"/>
      <c r="AA379" s="15">
        <v>0</v>
      </c>
      <c r="AB379" s="206"/>
      <c r="AC379" s="15"/>
      <c r="AD379" s="206"/>
      <c r="AE379" s="15"/>
      <c r="AF379" s="244"/>
      <c r="AG379" s="15"/>
      <c r="AH379" s="15">
        <f t="shared" si="49"/>
        <v>0</v>
      </c>
      <c r="AI379" s="22">
        <f t="shared" si="50"/>
        <v>10000</v>
      </c>
      <c r="AJ379" s="22">
        <f t="shared" si="51"/>
        <v>52550000</v>
      </c>
      <c r="AK379" s="165"/>
    </row>
    <row r="380" spans="1:37" hidden="1">
      <c r="A380" t="s">
        <v>453</v>
      </c>
      <c r="B380" s="13">
        <v>43470</v>
      </c>
      <c r="C380" s="13" t="s">
        <v>23</v>
      </c>
      <c r="D380" t="s">
        <v>161</v>
      </c>
      <c r="E380" s="198" t="s">
        <v>162</v>
      </c>
      <c r="F380" t="str">
        <f t="shared" si="47"/>
        <v>CONC_16.18_200_NL2018</v>
      </c>
      <c r="G380" s="165" t="s">
        <v>43</v>
      </c>
      <c r="I380" s="12" t="s">
        <v>35</v>
      </c>
      <c r="J380" s="14">
        <v>200</v>
      </c>
      <c r="K380" s="15" t="s">
        <v>28</v>
      </c>
      <c r="M380" s="16">
        <f t="shared" si="48"/>
        <v>100</v>
      </c>
      <c r="N380" s="15">
        <v>20000</v>
      </c>
      <c r="O380" s="15">
        <f>5000+85*4</f>
        <v>5340</v>
      </c>
      <c r="P380" s="15">
        <f t="shared" si="54"/>
        <v>106800000</v>
      </c>
      <c r="Q380" s="15" t="str">
        <f t="shared" si="52"/>
        <v/>
      </c>
      <c r="R380" s="18" t="s">
        <v>29</v>
      </c>
      <c r="S380" s="23">
        <v>43655</v>
      </c>
      <c r="T380" s="20">
        <f>IFERROR(VLOOKUP(S380,'Date Converter'!$A$4:$C$368,3,0),"")</f>
        <v>43686</v>
      </c>
      <c r="U380" s="21">
        <f t="shared" si="53"/>
        <v>43686</v>
      </c>
      <c r="V380" s="20" t="s">
        <v>164</v>
      </c>
      <c r="Y380" s="15"/>
      <c r="AA380" s="15">
        <v>0</v>
      </c>
      <c r="AB380" s="206"/>
      <c r="AC380" s="15"/>
      <c r="AD380" s="206"/>
      <c r="AE380" s="15"/>
      <c r="AF380" s="244"/>
      <c r="AG380" s="15"/>
      <c r="AH380" s="15">
        <f t="shared" si="49"/>
        <v>0</v>
      </c>
      <c r="AI380" s="22">
        <f t="shared" si="50"/>
        <v>20000</v>
      </c>
      <c r="AJ380" s="22">
        <f t="shared" si="51"/>
        <v>106800000</v>
      </c>
      <c r="AK380" s="165"/>
    </row>
    <row r="381" spans="1:37" hidden="1">
      <c r="A381" t="s">
        <v>310</v>
      </c>
      <c r="B381" s="13">
        <v>43470</v>
      </c>
      <c r="C381" s="13" t="s">
        <v>23</v>
      </c>
      <c r="D381" t="s">
        <v>161</v>
      </c>
      <c r="E381" s="198" t="s">
        <v>162</v>
      </c>
      <c r="F381" t="str">
        <f t="shared" ref="F381:F441" si="55">SUBSTITUTE(LEFT(G381,4)&amp;"_"&amp;H381&amp;"_"&amp;I381&amp;"_"&amp;J381&amp;"_"&amp;K381,"__","_")</f>
        <v>CONC_16.18_200_NL2018</v>
      </c>
      <c r="G381" s="165" t="s">
        <v>43</v>
      </c>
      <c r="I381" s="12" t="s">
        <v>35</v>
      </c>
      <c r="J381" s="14" t="s">
        <v>121</v>
      </c>
      <c r="K381" s="15" t="s">
        <v>28</v>
      </c>
      <c r="M381" s="16">
        <f t="shared" ref="M381:M441" si="56">+N381/J381</f>
        <v>35</v>
      </c>
      <c r="N381" s="15">
        <f>7000</f>
        <v>7000</v>
      </c>
      <c r="O381" s="15">
        <v>5085</v>
      </c>
      <c r="P381" s="15">
        <f t="shared" si="54"/>
        <v>35595000</v>
      </c>
      <c r="Q381" s="15" t="str">
        <f t="shared" si="52"/>
        <v>Done</v>
      </c>
      <c r="R381" s="18" t="s">
        <v>44</v>
      </c>
      <c r="S381" s="23">
        <v>43539</v>
      </c>
      <c r="T381" s="20">
        <f>IFERROR(VLOOKUP(S381,'Date Converter'!$A$4:$C$368,3,0),"")</f>
        <v>43574</v>
      </c>
      <c r="U381" s="21">
        <f t="shared" si="53"/>
        <v>43574</v>
      </c>
      <c r="V381" s="12" t="s">
        <v>57</v>
      </c>
      <c r="Y381" s="15"/>
      <c r="Z381" s="206">
        <v>43598</v>
      </c>
      <c r="AA381" s="15">
        <v>7000</v>
      </c>
      <c r="AB381" s="206"/>
      <c r="AC381" s="15"/>
      <c r="AD381" s="206"/>
      <c r="AE381" s="15"/>
      <c r="AF381" s="244"/>
      <c r="AG381" s="15"/>
      <c r="AH381" s="15">
        <f t="shared" ref="AH381:AH441" si="57">+AA381+AC381+AE381+AG381</f>
        <v>7000</v>
      </c>
      <c r="AI381" s="22">
        <f t="shared" ref="AI381:AI441" si="58">+N381-AH381</f>
        <v>0</v>
      </c>
      <c r="AJ381" s="22">
        <f t="shared" ref="AJ381:AJ441" si="59">+AI381*O381</f>
        <v>0</v>
      </c>
      <c r="AK381" s="165"/>
    </row>
    <row r="382" spans="1:37" hidden="1">
      <c r="A382" t="s">
        <v>310</v>
      </c>
      <c r="B382" s="13">
        <v>43470</v>
      </c>
      <c r="C382" s="13" t="s">
        <v>23</v>
      </c>
      <c r="D382" t="s">
        <v>161</v>
      </c>
      <c r="E382" s="198" t="s">
        <v>162</v>
      </c>
      <c r="F382" t="str">
        <f t="shared" si="55"/>
        <v>CONC_16.18_200_NL2018</v>
      </c>
      <c r="G382" s="165" t="s">
        <v>43</v>
      </c>
      <c r="I382" s="12" t="s">
        <v>35</v>
      </c>
      <c r="J382" s="14">
        <v>200</v>
      </c>
      <c r="K382" s="15" t="s">
        <v>28</v>
      </c>
      <c r="M382" s="16">
        <f t="shared" si="56"/>
        <v>65</v>
      </c>
      <c r="N382" s="15">
        <f>20000-7000</f>
        <v>13000</v>
      </c>
      <c r="O382" s="15">
        <v>5170</v>
      </c>
      <c r="P382" s="15">
        <f t="shared" si="54"/>
        <v>67210000</v>
      </c>
      <c r="Q382" s="15" t="str">
        <f t="shared" si="52"/>
        <v>Done</v>
      </c>
      <c r="R382" s="18" t="s">
        <v>44</v>
      </c>
      <c r="S382" s="23">
        <v>43572</v>
      </c>
      <c r="T382" s="20">
        <f>IFERROR(VLOOKUP(S382,'Date Converter'!$A$4:$C$368,3,0),"")</f>
        <v>43606</v>
      </c>
      <c r="U382" s="21">
        <f t="shared" si="53"/>
        <v>43606</v>
      </c>
      <c r="V382" s="20" t="s">
        <v>452</v>
      </c>
      <c r="Y382" s="15"/>
      <c r="Z382" s="206">
        <v>43608</v>
      </c>
      <c r="AA382" s="15">
        <v>2600</v>
      </c>
      <c r="AB382" s="206">
        <v>43612</v>
      </c>
      <c r="AC382" s="15">
        <v>10400</v>
      </c>
      <c r="AD382" s="206"/>
      <c r="AE382" s="15"/>
      <c r="AF382" s="244"/>
      <c r="AG382" s="15"/>
      <c r="AH382" s="15">
        <f t="shared" si="57"/>
        <v>13000</v>
      </c>
      <c r="AI382" s="22">
        <f t="shared" si="58"/>
        <v>0</v>
      </c>
      <c r="AJ382" s="22">
        <f t="shared" si="59"/>
        <v>0</v>
      </c>
      <c r="AK382" s="165"/>
    </row>
    <row r="383" spans="1:37" hidden="1">
      <c r="A383" t="s">
        <v>310</v>
      </c>
      <c r="B383" s="13">
        <v>43470</v>
      </c>
      <c r="C383" s="13" t="s">
        <v>23</v>
      </c>
      <c r="D383" t="s">
        <v>161</v>
      </c>
      <c r="E383" s="165" t="s">
        <v>162</v>
      </c>
      <c r="F383" t="str">
        <f t="shared" si="55"/>
        <v>CONC_16.18_200_NL2018</v>
      </c>
      <c r="G383" s="165" t="s">
        <v>43</v>
      </c>
      <c r="I383" s="12" t="s">
        <v>35</v>
      </c>
      <c r="J383" s="14">
        <v>200</v>
      </c>
      <c r="K383" s="15" t="s">
        <v>28</v>
      </c>
      <c r="M383" s="16">
        <f t="shared" si="56"/>
        <v>40</v>
      </c>
      <c r="N383" s="15">
        <v>8000</v>
      </c>
      <c r="O383" s="15">
        <v>4600</v>
      </c>
      <c r="P383" s="15">
        <f t="shared" si="54"/>
        <v>36800000</v>
      </c>
      <c r="Q383" s="15" t="str">
        <f t="shared" si="52"/>
        <v>Done</v>
      </c>
      <c r="R383" s="18" t="s">
        <v>44</v>
      </c>
      <c r="S383" s="23">
        <v>43480</v>
      </c>
      <c r="T383" s="20">
        <f>IFERROR(VLOOKUP(S383,'Date Converter'!$A$4:$C$368,3,0),"")</f>
        <v>43515</v>
      </c>
      <c r="U383" s="21">
        <f t="shared" si="53"/>
        <v>43515</v>
      </c>
      <c r="V383" s="12" t="s">
        <v>45</v>
      </c>
      <c r="Y383" s="15"/>
      <c r="Z383" s="206">
        <v>43515</v>
      </c>
      <c r="AA383" s="15">
        <v>8000</v>
      </c>
      <c r="AB383" s="206"/>
      <c r="AC383" s="15"/>
      <c r="AD383" s="206"/>
      <c r="AE383" s="15"/>
      <c r="AF383" s="244"/>
      <c r="AG383" s="15"/>
      <c r="AH383" s="15">
        <f t="shared" si="57"/>
        <v>8000</v>
      </c>
      <c r="AI383" s="22">
        <f t="shared" si="58"/>
        <v>0</v>
      </c>
      <c r="AJ383" s="22">
        <f t="shared" si="59"/>
        <v>0</v>
      </c>
      <c r="AK383" s="165"/>
    </row>
    <row r="384" spans="1:37" hidden="1">
      <c r="A384" t="s">
        <v>454</v>
      </c>
      <c r="B384" s="13">
        <v>43470</v>
      </c>
      <c r="C384" s="266" t="s">
        <v>23</v>
      </c>
      <c r="D384" s="258" t="s">
        <v>161</v>
      </c>
      <c r="E384" s="198" t="s">
        <v>162</v>
      </c>
      <c r="F384" t="str">
        <f t="shared" si="55"/>
        <v>CONC_18.20_150_NL2018</v>
      </c>
      <c r="G384" s="165" t="s">
        <v>40</v>
      </c>
      <c r="I384" s="12" t="s">
        <v>27</v>
      </c>
      <c r="J384" s="14">
        <v>150</v>
      </c>
      <c r="K384" s="15" t="s">
        <v>28</v>
      </c>
      <c r="M384" s="16">
        <f t="shared" si="56"/>
        <v>134</v>
      </c>
      <c r="N384" s="15">
        <v>20100</v>
      </c>
      <c r="O384" s="15">
        <v>7200</v>
      </c>
      <c r="P384" s="15">
        <f t="shared" si="54"/>
        <v>144720000</v>
      </c>
      <c r="Q384" s="15" t="str">
        <f t="shared" si="52"/>
        <v/>
      </c>
      <c r="R384" s="18" t="s">
        <v>29</v>
      </c>
      <c r="S384" s="23">
        <v>43709</v>
      </c>
      <c r="T384" s="20">
        <f>IFERROR(VLOOKUP(S384,'Date Converter'!$A$4:$C$368,3,0),"")</f>
        <v>43737</v>
      </c>
      <c r="U384" s="21">
        <f t="shared" si="53"/>
        <v>43737</v>
      </c>
      <c r="V384" s="15" t="s">
        <v>51</v>
      </c>
      <c r="Y384" s="15"/>
      <c r="AA384" s="15">
        <v>0</v>
      </c>
      <c r="AB384" s="206"/>
      <c r="AC384" s="15"/>
      <c r="AD384" s="206"/>
      <c r="AE384" s="15"/>
      <c r="AF384" s="244"/>
      <c r="AG384" s="15"/>
      <c r="AH384" s="15">
        <f t="shared" si="57"/>
        <v>0</v>
      </c>
      <c r="AI384" s="22">
        <f t="shared" si="58"/>
        <v>20100</v>
      </c>
      <c r="AJ384" s="22">
        <f t="shared" si="59"/>
        <v>144720000</v>
      </c>
      <c r="AK384" s="165"/>
    </row>
    <row r="385" spans="1:37" hidden="1">
      <c r="A385" t="s">
        <v>454</v>
      </c>
      <c r="B385" s="13">
        <v>43470</v>
      </c>
      <c r="C385" s="266" t="s">
        <v>23</v>
      </c>
      <c r="D385" s="258" t="s">
        <v>161</v>
      </c>
      <c r="E385" s="198" t="s">
        <v>162</v>
      </c>
      <c r="F385" t="str">
        <f t="shared" si="55"/>
        <v>CONC_20.22_125_NL2018</v>
      </c>
      <c r="G385" s="165" t="s">
        <v>40</v>
      </c>
      <c r="I385" s="12" t="s">
        <v>74</v>
      </c>
      <c r="J385" s="14">
        <v>125</v>
      </c>
      <c r="K385" s="15" t="s">
        <v>28</v>
      </c>
      <c r="M385" s="16">
        <f t="shared" si="56"/>
        <v>24</v>
      </c>
      <c r="N385" s="15">
        <v>3000</v>
      </c>
      <c r="O385" s="15">
        <v>10500</v>
      </c>
      <c r="P385" s="15">
        <f t="shared" si="54"/>
        <v>31500000</v>
      </c>
      <c r="Q385" s="15" t="str">
        <f t="shared" si="52"/>
        <v/>
      </c>
      <c r="R385" s="18" t="s">
        <v>29</v>
      </c>
      <c r="S385" s="23">
        <v>43709</v>
      </c>
      <c r="T385" s="20">
        <f>IFERROR(VLOOKUP(S385,'Date Converter'!$A$4:$C$368,3,0),"")</f>
        <v>43737</v>
      </c>
      <c r="U385" s="21">
        <f t="shared" si="53"/>
        <v>43737</v>
      </c>
      <c r="V385" s="15" t="s">
        <v>51</v>
      </c>
      <c r="Y385" s="15"/>
      <c r="AA385" s="15">
        <v>0</v>
      </c>
      <c r="AB385" s="206"/>
      <c r="AC385" s="15"/>
      <c r="AD385" s="206"/>
      <c r="AE385" s="15"/>
      <c r="AF385" s="244"/>
      <c r="AG385" s="15"/>
      <c r="AH385" s="15">
        <f t="shared" si="57"/>
        <v>0</v>
      </c>
      <c r="AI385" s="22">
        <f t="shared" si="58"/>
        <v>3000</v>
      </c>
      <c r="AJ385" s="22">
        <f t="shared" si="59"/>
        <v>31500000</v>
      </c>
      <c r="AK385" s="165"/>
    </row>
    <row r="386" spans="1:37" hidden="1">
      <c r="A386" t="s">
        <v>310</v>
      </c>
      <c r="B386" s="13">
        <v>43470</v>
      </c>
      <c r="C386" s="13" t="s">
        <v>23</v>
      </c>
      <c r="D386" t="s">
        <v>161</v>
      </c>
      <c r="E386" s="165" t="s">
        <v>162</v>
      </c>
      <c r="F386" t="str">
        <f t="shared" si="55"/>
        <v>CONC_16.18_200_NL2018</v>
      </c>
      <c r="G386" s="165" t="s">
        <v>40</v>
      </c>
      <c r="I386" s="12" t="s">
        <v>35</v>
      </c>
      <c r="J386" s="14">
        <v>200</v>
      </c>
      <c r="K386" s="15" t="s">
        <v>28</v>
      </c>
      <c r="M386" s="16">
        <f t="shared" si="56"/>
        <v>50</v>
      </c>
      <c r="N386" s="15">
        <v>10000</v>
      </c>
      <c r="O386" s="15">
        <v>4600</v>
      </c>
      <c r="P386" s="15">
        <f t="shared" si="54"/>
        <v>46000000</v>
      </c>
      <c r="Q386" s="15" t="str">
        <f t="shared" si="52"/>
        <v>Done</v>
      </c>
      <c r="R386" s="18" t="s">
        <v>44</v>
      </c>
      <c r="S386" s="23">
        <v>43511</v>
      </c>
      <c r="T386" s="20">
        <f>IFERROR(VLOOKUP(S386,'Date Converter'!$A$4:$C$368,3,0),"")</f>
        <v>43544</v>
      </c>
      <c r="U386" s="21">
        <f t="shared" si="53"/>
        <v>43544</v>
      </c>
      <c r="V386" s="12" t="s">
        <v>32</v>
      </c>
      <c r="W386" s="18" t="s">
        <v>41</v>
      </c>
      <c r="X386" s="18">
        <v>43541</v>
      </c>
      <c r="Y386" s="15"/>
      <c r="Z386" s="206">
        <v>43543</v>
      </c>
      <c r="AA386" s="15">
        <v>10000</v>
      </c>
      <c r="AB386" s="206"/>
      <c r="AC386" s="15"/>
      <c r="AD386" s="206"/>
      <c r="AE386" s="15"/>
      <c r="AF386" s="244"/>
      <c r="AG386" s="15"/>
      <c r="AH386" s="15">
        <f t="shared" si="57"/>
        <v>10000</v>
      </c>
      <c r="AI386" s="22">
        <f t="shared" si="58"/>
        <v>0</v>
      </c>
      <c r="AJ386" s="22">
        <f t="shared" si="59"/>
        <v>0</v>
      </c>
      <c r="AK386" s="165"/>
    </row>
    <row r="387" spans="1:37" hidden="1" outlineLevel="1">
      <c r="A387" t="s">
        <v>1661</v>
      </c>
      <c r="B387" s="13">
        <v>43519</v>
      </c>
      <c r="C387" s="13" t="s">
        <v>1622</v>
      </c>
      <c r="D387" t="s">
        <v>993</v>
      </c>
      <c r="E387" s="165" t="s">
        <v>994</v>
      </c>
      <c r="F387" t="str">
        <f t="shared" si="55"/>
        <v>ROBI_16.18_200_NL2018</v>
      </c>
      <c r="G387" s="165" t="s">
        <v>61</v>
      </c>
      <c r="I387" s="12" t="s">
        <v>35</v>
      </c>
      <c r="J387" s="14">
        <v>200</v>
      </c>
      <c r="K387" s="15" t="s">
        <v>28</v>
      </c>
      <c r="M387" s="16">
        <f t="shared" si="56"/>
        <v>100</v>
      </c>
      <c r="N387" s="15">
        <v>20000</v>
      </c>
      <c r="O387" s="15">
        <v>5000</v>
      </c>
      <c r="P387" s="15">
        <f t="shared" si="54"/>
        <v>100000000</v>
      </c>
      <c r="Q387" s="15" t="str">
        <f t="shared" ref="Q387:Q450" si="60">IF(AND(N387=0,AI387=0),"Canceled",IF(AND(N387&gt;0,AI387=0),"Done",""))</f>
        <v>Done</v>
      </c>
      <c r="R387" s="18" t="s">
        <v>44</v>
      </c>
      <c r="S387" s="117">
        <v>43539</v>
      </c>
      <c r="T387" s="20">
        <f>IFERROR(VLOOKUP(S387,'Date Converter'!$A$4:$C$368,3,0),"")</f>
        <v>43574</v>
      </c>
      <c r="U387" s="21">
        <f t="shared" si="53"/>
        <v>43574</v>
      </c>
      <c r="V387" s="27" t="s">
        <v>36</v>
      </c>
      <c r="Y387" s="18"/>
      <c r="Z387" s="210">
        <v>43599</v>
      </c>
      <c r="AA387" s="15">
        <v>20000</v>
      </c>
      <c r="AB387" s="210"/>
      <c r="AC387" s="15"/>
      <c r="AD387" s="15"/>
      <c r="AE387" s="15"/>
      <c r="AF387" s="244"/>
      <c r="AG387" s="15"/>
      <c r="AH387" s="15">
        <f t="shared" si="57"/>
        <v>20000</v>
      </c>
      <c r="AI387" s="22">
        <f t="shared" si="58"/>
        <v>0</v>
      </c>
      <c r="AJ387" s="22">
        <f t="shared" si="59"/>
        <v>0</v>
      </c>
      <c r="AK387" s="13">
        <v>43835</v>
      </c>
    </row>
    <row r="388" spans="1:37" hidden="1" outlineLevel="1">
      <c r="A388" t="s">
        <v>467</v>
      </c>
      <c r="B388" s="13">
        <v>43550</v>
      </c>
      <c r="C388" s="267" t="s">
        <v>1622</v>
      </c>
      <c r="D388" s="258" t="s">
        <v>993</v>
      </c>
      <c r="E388" s="97" t="s">
        <v>994</v>
      </c>
      <c r="F388" t="str">
        <f t="shared" si="55"/>
        <v>ROBI_20.22_125_NL2018</v>
      </c>
      <c r="G388" s="165" t="s">
        <v>61</v>
      </c>
      <c r="I388" s="12" t="s">
        <v>74</v>
      </c>
      <c r="J388" s="14">
        <v>125</v>
      </c>
      <c r="K388" s="15" t="s">
        <v>28</v>
      </c>
      <c r="M388" s="16">
        <f t="shared" si="56"/>
        <v>240</v>
      </c>
      <c r="N388" s="15">
        <v>30000</v>
      </c>
      <c r="O388" s="15">
        <v>10500</v>
      </c>
      <c r="P388" s="15">
        <f t="shared" si="54"/>
        <v>315000000</v>
      </c>
      <c r="Q388" s="15" t="str">
        <f t="shared" si="60"/>
        <v/>
      </c>
      <c r="R388" s="18" t="s">
        <v>29</v>
      </c>
      <c r="S388" s="117">
        <v>43709</v>
      </c>
      <c r="T388" s="20">
        <f>IFERROR(VLOOKUP(S388,'Date Converter'!$A$4:$C$368,3,0),"")</f>
        <v>43737</v>
      </c>
      <c r="U388" s="21">
        <f t="shared" si="53"/>
        <v>43737</v>
      </c>
      <c r="V388" s="27" t="s">
        <v>51</v>
      </c>
      <c r="Y388" s="18"/>
      <c r="Z388" s="210"/>
      <c r="AA388" s="15">
        <v>0</v>
      </c>
      <c r="AB388" s="210"/>
      <c r="AC388" s="15"/>
      <c r="AD388" s="15"/>
      <c r="AE388" s="15"/>
      <c r="AF388" s="244"/>
      <c r="AG388" s="15"/>
      <c r="AH388" s="15">
        <f t="shared" si="57"/>
        <v>0</v>
      </c>
      <c r="AI388" s="22">
        <f t="shared" si="58"/>
        <v>30000</v>
      </c>
      <c r="AJ388" s="22">
        <f t="shared" si="59"/>
        <v>315000000</v>
      </c>
      <c r="AK388" s="13">
        <v>43835</v>
      </c>
    </row>
    <row r="389" spans="1:37" hidden="1" outlineLevel="1">
      <c r="A389" t="s">
        <v>467</v>
      </c>
      <c r="B389" s="13">
        <v>43550</v>
      </c>
      <c r="C389" s="267" t="s">
        <v>1622</v>
      </c>
      <c r="D389" s="258" t="s">
        <v>993</v>
      </c>
      <c r="E389" s="97" t="s">
        <v>994</v>
      </c>
      <c r="F389" s="165" t="str">
        <f t="shared" si="55"/>
        <v>CONC_18.20_150_NL2018</v>
      </c>
      <c r="G389" s="165" t="s">
        <v>40</v>
      </c>
      <c r="I389" s="12" t="s">
        <v>27</v>
      </c>
      <c r="J389" s="14">
        <v>150</v>
      </c>
      <c r="K389" s="15" t="s">
        <v>28</v>
      </c>
      <c r="M389" s="16">
        <f t="shared" si="56"/>
        <v>400</v>
      </c>
      <c r="N389" s="15">
        <v>60000</v>
      </c>
      <c r="O389" s="15">
        <v>8000</v>
      </c>
      <c r="P389" s="15">
        <f t="shared" si="54"/>
        <v>480000000</v>
      </c>
      <c r="Q389" s="15" t="str">
        <f t="shared" si="60"/>
        <v/>
      </c>
      <c r="R389" s="18" t="s">
        <v>29</v>
      </c>
      <c r="S389" s="117">
        <v>43709</v>
      </c>
      <c r="T389" s="20">
        <f>IFERROR(VLOOKUP(S389,'Date Converter'!$A$4:$C$368,3,0),"")</f>
        <v>43737</v>
      </c>
      <c r="U389" s="21">
        <f t="shared" si="53"/>
        <v>43737</v>
      </c>
      <c r="V389" s="27" t="s">
        <v>51</v>
      </c>
      <c r="Y389" s="18"/>
      <c r="Z389" s="210"/>
      <c r="AA389" s="15"/>
      <c r="AB389" s="210"/>
      <c r="AC389" s="15"/>
      <c r="AD389" s="15"/>
      <c r="AE389" s="15"/>
      <c r="AF389" s="244"/>
      <c r="AG389" s="15"/>
      <c r="AH389" s="15">
        <f t="shared" si="57"/>
        <v>0</v>
      </c>
      <c r="AI389" s="22">
        <f t="shared" si="58"/>
        <v>60000</v>
      </c>
      <c r="AJ389" s="22">
        <f t="shared" si="59"/>
        <v>480000000</v>
      </c>
      <c r="AK389" s="13"/>
    </row>
    <row r="390" spans="1:37" hidden="1" outlineLevel="1">
      <c r="A390" t="s">
        <v>1462</v>
      </c>
      <c r="B390" s="13">
        <v>43577</v>
      </c>
      <c r="C390" s="13" t="s">
        <v>23</v>
      </c>
      <c r="D390" t="s">
        <v>284</v>
      </c>
      <c r="E390" s="198" t="s">
        <v>285</v>
      </c>
      <c r="F390" t="str">
        <f t="shared" si="55"/>
        <v>ZAMB_16.18_200_NL2018</v>
      </c>
      <c r="G390" s="165" t="s">
        <v>1464</v>
      </c>
      <c r="I390" s="12" t="s">
        <v>35</v>
      </c>
      <c r="J390" s="14">
        <v>200</v>
      </c>
      <c r="K390" s="15" t="s">
        <v>28</v>
      </c>
      <c r="M390" s="16">
        <f t="shared" si="56"/>
        <v>20</v>
      </c>
      <c r="N390" s="15">
        <v>4000</v>
      </c>
      <c r="O390" s="15">
        <v>6300</v>
      </c>
      <c r="P390" s="15">
        <f t="shared" si="54"/>
        <v>25200000</v>
      </c>
      <c r="Q390" s="15" t="str">
        <f t="shared" si="60"/>
        <v>Done</v>
      </c>
      <c r="R390" s="18" t="s">
        <v>44</v>
      </c>
      <c r="S390" s="23">
        <v>43590</v>
      </c>
      <c r="T390" s="20">
        <f>IFERROR(VLOOKUP(S390,'Date Converter'!$A$4:$C$368,3,0),"")</f>
        <v>43623</v>
      </c>
      <c r="U390" s="21">
        <f t="shared" si="53"/>
        <v>43623</v>
      </c>
      <c r="V390" s="20" t="s">
        <v>443</v>
      </c>
      <c r="Y390" s="15"/>
      <c r="Z390" s="206">
        <v>43629</v>
      </c>
      <c r="AA390" s="15">
        <v>4000</v>
      </c>
      <c r="AB390" s="206"/>
      <c r="AC390" s="15"/>
      <c r="AD390" s="206"/>
      <c r="AE390" s="15"/>
      <c r="AF390" s="244"/>
      <c r="AG390" s="15"/>
      <c r="AH390" s="15">
        <f t="shared" si="57"/>
        <v>4000</v>
      </c>
      <c r="AI390" s="22">
        <f t="shared" si="58"/>
        <v>0</v>
      </c>
      <c r="AJ390" s="22">
        <f t="shared" si="59"/>
        <v>0</v>
      </c>
      <c r="AK390" s="165"/>
    </row>
    <row r="391" spans="1:37" hidden="1" outlineLevel="1">
      <c r="A391" t="s">
        <v>1462</v>
      </c>
      <c r="B391" s="13">
        <v>43577</v>
      </c>
      <c r="C391" s="13" t="s">
        <v>23</v>
      </c>
      <c r="D391" t="s">
        <v>284</v>
      </c>
      <c r="E391" s="198" t="s">
        <v>285</v>
      </c>
      <c r="F391" t="str">
        <f t="shared" si="55"/>
        <v>ZAMB_18.20_150_NL2018</v>
      </c>
      <c r="G391" s="165" t="s">
        <v>1464</v>
      </c>
      <c r="I391" s="12" t="s">
        <v>27</v>
      </c>
      <c r="J391" s="14">
        <v>150</v>
      </c>
      <c r="K391" s="15" t="s">
        <v>28</v>
      </c>
      <c r="M391" s="16">
        <f t="shared" si="56"/>
        <v>23</v>
      </c>
      <c r="N391" s="15">
        <v>3450</v>
      </c>
      <c r="O391" s="15">
        <v>7200</v>
      </c>
      <c r="P391" s="15">
        <f t="shared" si="54"/>
        <v>24840000</v>
      </c>
      <c r="Q391" s="15" t="str">
        <f t="shared" si="60"/>
        <v>Done</v>
      </c>
      <c r="R391" s="18" t="s">
        <v>44</v>
      </c>
      <c r="S391" s="23">
        <v>43590</v>
      </c>
      <c r="T391" s="20">
        <f>IFERROR(VLOOKUP(S391,'Date Converter'!$A$4:$C$368,3,0),"")</f>
        <v>43623</v>
      </c>
      <c r="U391" s="21">
        <f t="shared" si="53"/>
        <v>43623</v>
      </c>
      <c r="V391" s="20" t="s">
        <v>443</v>
      </c>
      <c r="Y391" s="15"/>
      <c r="Z391" s="206">
        <v>43629</v>
      </c>
      <c r="AA391" s="15">
        <v>3450</v>
      </c>
      <c r="AB391" s="206"/>
      <c r="AC391" s="15"/>
      <c r="AD391" s="206"/>
      <c r="AE391" s="15"/>
      <c r="AF391" s="244"/>
      <c r="AG391" s="15"/>
      <c r="AH391" s="15">
        <f t="shared" si="57"/>
        <v>3450</v>
      </c>
      <c r="AI391" s="22">
        <f t="shared" si="58"/>
        <v>0</v>
      </c>
      <c r="AJ391" s="22">
        <f t="shared" si="59"/>
        <v>0</v>
      </c>
      <c r="AK391" s="165"/>
    </row>
    <row r="392" spans="1:37" hidden="1" outlineLevel="1">
      <c r="A392" t="s">
        <v>1462</v>
      </c>
      <c r="B392" s="13">
        <v>43626</v>
      </c>
      <c r="C392" s="13" t="s">
        <v>23</v>
      </c>
      <c r="D392" t="s">
        <v>284</v>
      </c>
      <c r="E392" s="198" t="s">
        <v>285</v>
      </c>
      <c r="F392" t="str">
        <f t="shared" si="55"/>
        <v>YELL_12.14_400_NL2018</v>
      </c>
      <c r="G392" s="165" t="s">
        <v>89</v>
      </c>
      <c r="I392" s="12" t="s">
        <v>113</v>
      </c>
      <c r="J392" s="14">
        <v>400</v>
      </c>
      <c r="K392" s="15" t="s">
        <v>28</v>
      </c>
      <c r="M392" s="16">
        <f t="shared" si="56"/>
        <v>23</v>
      </c>
      <c r="N392" s="15">
        <v>9200</v>
      </c>
      <c r="O392" s="15">
        <v>2800</v>
      </c>
      <c r="P392" s="15">
        <f t="shared" si="54"/>
        <v>25760000</v>
      </c>
      <c r="Q392" s="15" t="str">
        <f t="shared" si="60"/>
        <v>Done</v>
      </c>
      <c r="R392" s="18" t="s">
        <v>44</v>
      </c>
      <c r="S392" s="23">
        <v>43590</v>
      </c>
      <c r="T392" s="20">
        <f>IFERROR(VLOOKUP(S392,'Date Converter'!$A$4:$C$368,3,0),"")</f>
        <v>43623</v>
      </c>
      <c r="U392" s="21">
        <f t="shared" si="53"/>
        <v>43623</v>
      </c>
      <c r="V392" s="20"/>
      <c r="Y392" s="15"/>
      <c r="Z392" s="206">
        <v>43629</v>
      </c>
      <c r="AA392" s="15">
        <v>9200</v>
      </c>
      <c r="AB392" s="206"/>
      <c r="AC392" s="15"/>
      <c r="AD392" s="206"/>
      <c r="AE392" s="15"/>
      <c r="AF392" s="244"/>
      <c r="AG392" s="15"/>
      <c r="AH392" s="15">
        <f t="shared" si="57"/>
        <v>9200</v>
      </c>
      <c r="AI392" s="22">
        <f t="shared" si="58"/>
        <v>0</v>
      </c>
      <c r="AJ392" s="22">
        <f t="shared" si="59"/>
        <v>0</v>
      </c>
      <c r="AK392" s="165"/>
    </row>
    <row r="393" spans="1:37" hidden="1" outlineLevel="1">
      <c r="A393" t="s">
        <v>1462</v>
      </c>
      <c r="B393" s="13">
        <v>43626</v>
      </c>
      <c r="C393" s="13" t="s">
        <v>23</v>
      </c>
      <c r="D393" t="s">
        <v>284</v>
      </c>
      <c r="E393" s="198" t="s">
        <v>285</v>
      </c>
      <c r="F393" s="165" t="str">
        <f t="shared" si="55"/>
        <v>YELL_DN_16.18_200_NL2018</v>
      </c>
      <c r="G393" s="165" t="s">
        <v>89</v>
      </c>
      <c r="H393" s="12" t="s">
        <v>480</v>
      </c>
      <c r="I393" s="12" t="s">
        <v>35</v>
      </c>
      <c r="J393" s="14">
        <v>200</v>
      </c>
      <c r="K393" s="15" t="s">
        <v>28</v>
      </c>
      <c r="M393" s="16">
        <f t="shared" si="56"/>
        <v>15</v>
      </c>
      <c r="N393" s="15">
        <v>3000</v>
      </c>
      <c r="O393" s="15">
        <v>6000</v>
      </c>
      <c r="P393" s="15">
        <f t="shared" si="54"/>
        <v>18000000</v>
      </c>
      <c r="Q393" s="15" t="str">
        <f t="shared" si="60"/>
        <v>Done</v>
      </c>
      <c r="R393" s="18" t="s">
        <v>44</v>
      </c>
      <c r="S393" s="23">
        <v>43590</v>
      </c>
      <c r="T393" s="20">
        <f>IFERROR(VLOOKUP(S393,'Date Converter'!$A$4:$C$368,3,0),"")</f>
        <v>43623</v>
      </c>
      <c r="U393" s="21">
        <f t="shared" si="53"/>
        <v>43623</v>
      </c>
      <c r="V393" s="20"/>
      <c r="Y393" s="15"/>
      <c r="Z393" s="206">
        <v>43629</v>
      </c>
      <c r="AA393" s="15">
        <v>3000</v>
      </c>
      <c r="AB393" s="206"/>
      <c r="AC393" s="15"/>
      <c r="AD393" s="206"/>
      <c r="AE393" s="15"/>
      <c r="AF393" s="244"/>
      <c r="AG393" s="15"/>
      <c r="AH393" s="15">
        <f t="shared" si="57"/>
        <v>3000</v>
      </c>
      <c r="AI393" s="22">
        <f t="shared" si="58"/>
        <v>0</v>
      </c>
      <c r="AJ393" s="22">
        <f t="shared" si="59"/>
        <v>0</v>
      </c>
      <c r="AK393" s="165"/>
    </row>
    <row r="394" spans="1:37" hidden="1" outlineLevel="1">
      <c r="A394" t="s">
        <v>1871</v>
      </c>
      <c r="B394" s="13">
        <v>43628</v>
      </c>
      <c r="C394" s="13" t="s">
        <v>23</v>
      </c>
      <c r="D394" s="165" t="s">
        <v>284</v>
      </c>
      <c r="E394" s="198" t="s">
        <v>285</v>
      </c>
      <c r="F394" t="str">
        <f t="shared" si="55"/>
        <v>YELL_14.16_300_NL2018</v>
      </c>
      <c r="G394" s="165" t="s">
        <v>89</v>
      </c>
      <c r="I394" s="24" t="s">
        <v>47</v>
      </c>
      <c r="J394" s="14">
        <v>300</v>
      </c>
      <c r="K394" s="15" t="s">
        <v>28</v>
      </c>
      <c r="M394" s="16">
        <f t="shared" si="56"/>
        <v>34</v>
      </c>
      <c r="N394" s="185">
        <v>10200</v>
      </c>
      <c r="O394" s="15">
        <v>4000</v>
      </c>
      <c r="P394" s="15">
        <f t="shared" si="54"/>
        <v>40800000</v>
      </c>
      <c r="Q394" s="15" t="str">
        <f t="shared" si="60"/>
        <v/>
      </c>
      <c r="R394" s="18" t="s">
        <v>29</v>
      </c>
      <c r="S394" s="23">
        <v>43645</v>
      </c>
      <c r="T394" s="20">
        <f>IFERROR(VLOOKUP(S394,'Date Converter'!$A$4:$C$368,3,0),"")</f>
        <v>43677</v>
      </c>
      <c r="U394" s="21">
        <f t="shared" si="53"/>
        <v>43677</v>
      </c>
      <c r="V394" s="20"/>
      <c r="Y394" s="15"/>
      <c r="AA394" s="15"/>
      <c r="AB394" s="206"/>
      <c r="AC394" s="15"/>
      <c r="AD394" s="206"/>
      <c r="AE394" s="15"/>
      <c r="AF394" s="244"/>
      <c r="AG394" s="15"/>
      <c r="AH394" s="15">
        <f t="shared" si="57"/>
        <v>0</v>
      </c>
      <c r="AI394" s="22">
        <f t="shared" si="58"/>
        <v>10200</v>
      </c>
      <c r="AJ394" s="22">
        <f t="shared" si="59"/>
        <v>40800000</v>
      </c>
      <c r="AK394" s="165"/>
    </row>
    <row r="395" spans="1:37" hidden="1" outlineLevel="1">
      <c r="A395" t="s">
        <v>1871</v>
      </c>
      <c r="B395" s="13">
        <v>43630</v>
      </c>
      <c r="C395" s="13" t="s">
        <v>23</v>
      </c>
      <c r="D395" s="165" t="s">
        <v>284</v>
      </c>
      <c r="E395" s="198" t="s">
        <v>285</v>
      </c>
      <c r="F395" t="str">
        <f t="shared" si="55"/>
        <v>YELL_12.14_400_NL2018</v>
      </c>
      <c r="G395" s="165" t="s">
        <v>89</v>
      </c>
      <c r="I395" s="12" t="s">
        <v>113</v>
      </c>
      <c r="J395" s="14">
        <v>400</v>
      </c>
      <c r="K395" s="15" t="s">
        <v>28</v>
      </c>
      <c r="M395" s="16">
        <f t="shared" si="56"/>
        <v>50</v>
      </c>
      <c r="N395" s="185">
        <v>20000</v>
      </c>
      <c r="O395" s="15">
        <v>2900</v>
      </c>
      <c r="P395" s="15">
        <f t="shared" si="54"/>
        <v>58000000</v>
      </c>
      <c r="Q395" s="15" t="str">
        <f t="shared" si="60"/>
        <v/>
      </c>
      <c r="R395" s="18" t="s">
        <v>29</v>
      </c>
      <c r="S395" s="23">
        <v>43641</v>
      </c>
      <c r="T395" s="20">
        <f>IFERROR(VLOOKUP(S395,'Date Converter'!$A$4:$C$368,3,0),"")</f>
        <v>43673</v>
      </c>
      <c r="U395" s="21">
        <f t="shared" si="53"/>
        <v>43673</v>
      </c>
      <c r="V395" s="20"/>
      <c r="Y395" s="15"/>
      <c r="AA395" s="15"/>
      <c r="AB395" s="206"/>
      <c r="AC395" s="15"/>
      <c r="AD395" s="206"/>
      <c r="AE395" s="15"/>
      <c r="AF395" s="244"/>
      <c r="AG395" s="15"/>
      <c r="AH395" s="15">
        <f t="shared" si="57"/>
        <v>0</v>
      </c>
      <c r="AI395" s="22">
        <f t="shared" si="58"/>
        <v>20000</v>
      </c>
      <c r="AJ395" s="22">
        <f t="shared" si="59"/>
        <v>58000000</v>
      </c>
      <c r="AK395" s="165"/>
    </row>
    <row r="396" spans="1:37" hidden="1" outlineLevel="1">
      <c r="A396" t="s">
        <v>1462</v>
      </c>
      <c r="B396" s="13">
        <v>43577</v>
      </c>
      <c r="C396" s="13" t="s">
        <v>23</v>
      </c>
      <c r="D396" s="165" t="s">
        <v>284</v>
      </c>
      <c r="E396" s="198" t="s">
        <v>285</v>
      </c>
      <c r="F396" t="str">
        <f t="shared" si="55"/>
        <v>YELL_12.14_400_NL2018</v>
      </c>
      <c r="G396" s="165" t="s">
        <v>89</v>
      </c>
      <c r="I396" s="12" t="s">
        <v>113</v>
      </c>
      <c r="J396" s="14">
        <v>400</v>
      </c>
      <c r="K396" s="15" t="s">
        <v>28</v>
      </c>
      <c r="M396" s="16">
        <f t="shared" si="56"/>
        <v>50</v>
      </c>
      <c r="N396" s="15">
        <f>10000+10000</f>
        <v>20000</v>
      </c>
      <c r="O396" s="15">
        <v>2800</v>
      </c>
      <c r="P396" s="15">
        <f t="shared" si="54"/>
        <v>56000000</v>
      </c>
      <c r="Q396" s="15" t="str">
        <f t="shared" si="60"/>
        <v/>
      </c>
      <c r="R396" s="18" t="s">
        <v>31</v>
      </c>
      <c r="S396" s="23">
        <v>43605</v>
      </c>
      <c r="T396" s="20">
        <f>IFERROR(VLOOKUP(S396,'Date Converter'!$A$4:$C$368,3,0),"")</f>
        <v>43638</v>
      </c>
      <c r="U396" s="21">
        <f t="shared" si="53"/>
        <v>43638</v>
      </c>
      <c r="V396" s="20" t="s">
        <v>174</v>
      </c>
      <c r="Y396" s="15"/>
      <c r="AA396" s="15"/>
      <c r="AB396" s="206"/>
      <c r="AC396" s="15"/>
      <c r="AD396" s="206"/>
      <c r="AE396" s="15"/>
      <c r="AF396" s="244"/>
      <c r="AG396" s="15"/>
      <c r="AH396" s="15">
        <f t="shared" si="57"/>
        <v>0</v>
      </c>
      <c r="AI396" s="22">
        <f t="shared" si="58"/>
        <v>20000</v>
      </c>
      <c r="AJ396" s="22">
        <f t="shared" si="59"/>
        <v>56000000</v>
      </c>
      <c r="AK396" s="165"/>
    </row>
    <row r="397" spans="1:37" s="165" customFormat="1" hidden="1" outlineLevel="1">
      <c r="A397" s="165" t="s">
        <v>1503</v>
      </c>
      <c r="B397" s="13">
        <v>43588</v>
      </c>
      <c r="C397" s="13" t="s">
        <v>23</v>
      </c>
      <c r="D397" s="165" t="s">
        <v>284</v>
      </c>
      <c r="E397" s="165" t="s">
        <v>285</v>
      </c>
      <c r="F397" s="165" t="str">
        <f t="shared" si="55"/>
        <v>YELL_14.16_300_NL2018</v>
      </c>
      <c r="G397" s="165" t="s">
        <v>89</v>
      </c>
      <c r="H397" s="12"/>
      <c r="I397" s="12" t="s">
        <v>47</v>
      </c>
      <c r="J397" s="14">
        <v>300</v>
      </c>
      <c r="K397" s="15" t="s">
        <v>28</v>
      </c>
      <c r="L397" s="15"/>
      <c r="M397" s="16">
        <f t="shared" si="56"/>
        <v>34</v>
      </c>
      <c r="N397" s="15">
        <v>10200</v>
      </c>
      <c r="O397" s="15">
        <v>3800</v>
      </c>
      <c r="P397" s="15">
        <f t="shared" si="54"/>
        <v>38760000</v>
      </c>
      <c r="Q397" s="15" t="str">
        <f t="shared" si="60"/>
        <v>Done</v>
      </c>
      <c r="R397" s="18" t="s">
        <v>44</v>
      </c>
      <c r="S397" s="23">
        <v>43539</v>
      </c>
      <c r="T397" s="20">
        <f>IFERROR(VLOOKUP(S397,'Date Converter'!$A$4:$C$368,3,0),"")</f>
        <v>43574</v>
      </c>
      <c r="U397" s="21">
        <f t="shared" si="53"/>
        <v>43574</v>
      </c>
      <c r="V397" s="20"/>
      <c r="W397" s="18"/>
      <c r="X397" s="18"/>
      <c r="Y397" s="15"/>
      <c r="Z397" s="206">
        <v>43575</v>
      </c>
      <c r="AA397" s="15">
        <v>10200</v>
      </c>
      <c r="AB397" s="206"/>
      <c r="AC397" s="15"/>
      <c r="AD397" s="206"/>
      <c r="AE397" s="15"/>
      <c r="AF397" s="244"/>
      <c r="AG397" s="15"/>
      <c r="AH397" s="15">
        <f t="shared" si="57"/>
        <v>10200</v>
      </c>
      <c r="AI397" s="22">
        <f t="shared" si="58"/>
        <v>0</v>
      </c>
      <c r="AJ397" s="22">
        <f t="shared" si="59"/>
        <v>0</v>
      </c>
    </row>
    <row r="398" spans="1:37" s="165" customFormat="1" hidden="1" outlineLevel="1">
      <c r="A398" s="165" t="s">
        <v>351</v>
      </c>
      <c r="B398" s="13">
        <v>43518</v>
      </c>
      <c r="C398" s="13" t="s">
        <v>23</v>
      </c>
      <c r="D398" s="165" t="s">
        <v>284</v>
      </c>
      <c r="E398" s="165" t="s">
        <v>285</v>
      </c>
      <c r="F398" s="165" t="str">
        <f t="shared" si="55"/>
        <v>YELL_14.16_300_NL2018</v>
      </c>
      <c r="G398" s="165" t="s">
        <v>89</v>
      </c>
      <c r="H398" s="12"/>
      <c r="I398" s="12" t="s">
        <v>47</v>
      </c>
      <c r="J398" s="14">
        <v>300</v>
      </c>
      <c r="K398" s="15" t="s">
        <v>28</v>
      </c>
      <c r="L398" s="15"/>
      <c r="M398" s="16">
        <f t="shared" si="56"/>
        <v>28</v>
      </c>
      <c r="N398" s="15">
        <v>8400</v>
      </c>
      <c r="O398" s="15">
        <v>3800</v>
      </c>
      <c r="P398" s="15">
        <f t="shared" si="54"/>
        <v>31920000</v>
      </c>
      <c r="Q398" s="15" t="str">
        <f t="shared" si="60"/>
        <v>Done</v>
      </c>
      <c r="R398" s="18" t="s">
        <v>44</v>
      </c>
      <c r="S398" s="23" t="s">
        <v>53</v>
      </c>
      <c r="T398" s="20">
        <f>IFERROR(VLOOKUP(S398,'Date Converter'!$A$4:$C$368,3,0),"")</f>
        <v>43559</v>
      </c>
      <c r="U398" s="21">
        <f t="shared" si="53"/>
        <v>43559</v>
      </c>
      <c r="V398" s="20" t="s">
        <v>54</v>
      </c>
      <c r="W398" s="18" t="s">
        <v>101</v>
      </c>
      <c r="X398" s="18">
        <v>43555</v>
      </c>
      <c r="Y398" s="15" t="s">
        <v>59</v>
      </c>
      <c r="Z398" s="206">
        <v>43575</v>
      </c>
      <c r="AA398" s="15">
        <v>8400</v>
      </c>
      <c r="AB398" s="206"/>
      <c r="AC398" s="15"/>
      <c r="AD398" s="206"/>
      <c r="AE398" s="15"/>
      <c r="AF398" s="244"/>
      <c r="AG398" s="15"/>
      <c r="AH398" s="15">
        <f t="shared" si="57"/>
        <v>8400</v>
      </c>
      <c r="AI398" s="22">
        <f t="shared" si="58"/>
        <v>0</v>
      </c>
      <c r="AJ398" s="22">
        <f t="shared" si="59"/>
        <v>0</v>
      </c>
      <c r="AK398" s="165" t="s">
        <v>240</v>
      </c>
    </row>
    <row r="399" spans="1:37" s="165" customFormat="1" hidden="1" outlineLevel="1">
      <c r="A399" s="165" t="s">
        <v>1462</v>
      </c>
      <c r="B399" s="13">
        <v>43588</v>
      </c>
      <c r="C399" s="13" t="s">
        <v>23</v>
      </c>
      <c r="D399" s="165" t="s">
        <v>284</v>
      </c>
      <c r="E399" s="198" t="s">
        <v>285</v>
      </c>
      <c r="F399" s="165" t="str">
        <f t="shared" si="55"/>
        <v>TARR_14.16_300_NL2018</v>
      </c>
      <c r="G399" s="165" t="s">
        <v>62</v>
      </c>
      <c r="H399" s="12"/>
      <c r="I399" s="24" t="s">
        <v>47</v>
      </c>
      <c r="J399" s="14">
        <v>300</v>
      </c>
      <c r="K399" s="15" t="s">
        <v>28</v>
      </c>
      <c r="L399" s="15"/>
      <c r="M399" s="16">
        <f t="shared" si="56"/>
        <v>33</v>
      </c>
      <c r="N399" s="185">
        <f>10200-300</f>
        <v>9900</v>
      </c>
      <c r="O399" s="15">
        <v>4900</v>
      </c>
      <c r="P399" s="15">
        <f t="shared" si="54"/>
        <v>48510000</v>
      </c>
      <c r="Q399" s="15" t="str">
        <f t="shared" si="60"/>
        <v/>
      </c>
      <c r="R399" s="18" t="s">
        <v>63</v>
      </c>
      <c r="S399" s="23">
        <v>43603</v>
      </c>
      <c r="T399" s="20">
        <f>IFERROR(VLOOKUP(S399,'Date Converter'!$A$4:$C$368,3,0),"")</f>
        <v>43636</v>
      </c>
      <c r="U399" s="21">
        <f t="shared" si="53"/>
        <v>43636</v>
      </c>
      <c r="V399" s="20" t="s">
        <v>174</v>
      </c>
      <c r="W399" s="18"/>
      <c r="X399" s="18"/>
      <c r="Y399" s="15"/>
      <c r="Z399" s="206"/>
      <c r="AA399" s="15"/>
      <c r="AB399" s="206"/>
      <c r="AC399" s="15"/>
      <c r="AD399" s="206"/>
      <c r="AE399" s="15"/>
      <c r="AF399" s="244"/>
      <c r="AG399" s="15"/>
      <c r="AH399" s="15">
        <f t="shared" si="57"/>
        <v>0</v>
      </c>
      <c r="AI399" s="22">
        <f t="shared" si="58"/>
        <v>9900</v>
      </c>
      <c r="AJ399" s="22">
        <f t="shared" si="59"/>
        <v>48510000</v>
      </c>
    </row>
    <row r="400" spans="1:37" s="165" customFormat="1" hidden="1" outlineLevel="1">
      <c r="A400" s="165" t="s">
        <v>351</v>
      </c>
      <c r="B400" s="13">
        <v>43518</v>
      </c>
      <c r="C400" s="13" t="s">
        <v>23</v>
      </c>
      <c r="D400" s="165" t="s">
        <v>284</v>
      </c>
      <c r="E400" s="165" t="s">
        <v>285</v>
      </c>
      <c r="F400" s="165" t="str">
        <f t="shared" si="55"/>
        <v>TARR_14.16_300_NL2018</v>
      </c>
      <c r="G400" s="165" t="s">
        <v>62</v>
      </c>
      <c r="H400" s="12"/>
      <c r="I400" s="12" t="s">
        <v>47</v>
      </c>
      <c r="J400" s="14">
        <v>300</v>
      </c>
      <c r="K400" s="15" t="s">
        <v>28</v>
      </c>
      <c r="L400" s="15"/>
      <c r="M400" s="16">
        <f t="shared" si="56"/>
        <v>39</v>
      </c>
      <c r="N400" s="15">
        <v>11700</v>
      </c>
      <c r="O400" s="15">
        <v>4600</v>
      </c>
      <c r="P400" s="15">
        <f t="shared" si="54"/>
        <v>53820000</v>
      </c>
      <c r="Q400" s="15" t="str">
        <f t="shared" si="60"/>
        <v>Done</v>
      </c>
      <c r="R400" s="18" t="s">
        <v>44</v>
      </c>
      <c r="S400" s="23">
        <v>43511</v>
      </c>
      <c r="T400" s="20">
        <f>IFERROR(VLOOKUP(S400,'Date Converter'!$A$4:$C$368,3,0),"")</f>
        <v>43544</v>
      </c>
      <c r="U400" s="21">
        <f t="shared" si="53"/>
        <v>43544</v>
      </c>
      <c r="V400" s="12" t="s">
        <v>32</v>
      </c>
      <c r="W400" s="18" t="s">
        <v>41</v>
      </c>
      <c r="X400" s="18">
        <v>43541</v>
      </c>
      <c r="Y400" s="15" t="s">
        <v>59</v>
      </c>
      <c r="Z400" s="206">
        <v>43544</v>
      </c>
      <c r="AA400" s="15">
        <v>11700</v>
      </c>
      <c r="AB400" s="206"/>
      <c r="AC400" s="15"/>
      <c r="AD400" s="206"/>
      <c r="AE400" s="15"/>
      <c r="AF400" s="244"/>
      <c r="AG400" s="15"/>
      <c r="AH400" s="15">
        <f t="shared" si="57"/>
        <v>11700</v>
      </c>
      <c r="AI400" s="22">
        <f t="shared" si="58"/>
        <v>0</v>
      </c>
      <c r="AJ400" s="22">
        <f t="shared" si="59"/>
        <v>0</v>
      </c>
    </row>
    <row r="401" spans="1:37" s="165" customFormat="1" hidden="1" outlineLevel="1">
      <c r="A401" s="165" t="s">
        <v>351</v>
      </c>
      <c r="B401" s="13">
        <v>43518</v>
      </c>
      <c r="C401" s="13" t="s">
        <v>23</v>
      </c>
      <c r="D401" s="165" t="s">
        <v>284</v>
      </c>
      <c r="E401" s="165" t="s">
        <v>285</v>
      </c>
      <c r="F401" s="165" t="str">
        <f t="shared" si="55"/>
        <v>TARR_14.16_300_NL2018</v>
      </c>
      <c r="G401" s="165" t="s">
        <v>62</v>
      </c>
      <c r="H401" s="12"/>
      <c r="I401" s="12" t="s">
        <v>47</v>
      </c>
      <c r="J401" s="14">
        <v>300</v>
      </c>
      <c r="K401" s="15" t="s">
        <v>28</v>
      </c>
      <c r="L401" s="15"/>
      <c r="M401" s="16">
        <f t="shared" si="56"/>
        <v>17</v>
      </c>
      <c r="N401" s="15">
        <v>5100</v>
      </c>
      <c r="O401" s="15">
        <v>4600</v>
      </c>
      <c r="P401" s="15">
        <f t="shared" si="54"/>
        <v>23460000</v>
      </c>
      <c r="Q401" s="15" t="str">
        <f t="shared" si="60"/>
        <v>Done</v>
      </c>
      <c r="R401" s="18" t="s">
        <v>44</v>
      </c>
      <c r="S401" s="23" t="s">
        <v>53</v>
      </c>
      <c r="T401" s="20">
        <f>IFERROR(VLOOKUP(S401,'Date Converter'!$A$4:$C$368,3,0),"")</f>
        <v>43559</v>
      </c>
      <c r="U401" s="21">
        <f t="shared" si="53"/>
        <v>43559</v>
      </c>
      <c r="V401" s="20" t="s">
        <v>54</v>
      </c>
      <c r="W401" s="18" t="s">
        <v>55</v>
      </c>
      <c r="X401" s="18">
        <v>43555</v>
      </c>
      <c r="Y401" s="15" t="s">
        <v>59</v>
      </c>
      <c r="Z401" s="206">
        <v>43575</v>
      </c>
      <c r="AA401" s="15">
        <v>5100</v>
      </c>
      <c r="AB401" s="206"/>
      <c r="AC401" s="15"/>
      <c r="AD401" s="206"/>
      <c r="AE401" s="15"/>
      <c r="AF401" s="244"/>
      <c r="AG401" s="15"/>
      <c r="AH401" s="15">
        <f t="shared" si="57"/>
        <v>5100</v>
      </c>
      <c r="AI401" s="22">
        <f t="shared" si="58"/>
        <v>0</v>
      </c>
      <c r="AJ401" s="22">
        <f t="shared" si="59"/>
        <v>0</v>
      </c>
    </row>
    <row r="402" spans="1:37" s="165" customFormat="1" hidden="1" outlineLevel="1">
      <c r="A402" s="165" t="s">
        <v>1462</v>
      </c>
      <c r="B402" s="13">
        <v>43577</v>
      </c>
      <c r="C402" s="13" t="s">
        <v>23</v>
      </c>
      <c r="D402" s="165" t="s">
        <v>284</v>
      </c>
      <c r="E402" s="198" t="s">
        <v>285</v>
      </c>
      <c r="F402" s="165" t="str">
        <f t="shared" si="55"/>
        <v>SORB_16.18_200_NL2018</v>
      </c>
      <c r="G402" s="165" t="s">
        <v>1463</v>
      </c>
      <c r="H402" s="12"/>
      <c r="I402" s="12" t="s">
        <v>35</v>
      </c>
      <c r="J402" s="14">
        <v>200</v>
      </c>
      <c r="K402" s="15" t="s">
        <v>28</v>
      </c>
      <c r="L402" s="15"/>
      <c r="M402" s="16">
        <f t="shared" si="56"/>
        <v>18</v>
      </c>
      <c r="N402" s="15">
        <v>3600</v>
      </c>
      <c r="O402" s="15">
        <v>7300</v>
      </c>
      <c r="P402" s="15">
        <f t="shared" si="54"/>
        <v>26280000</v>
      </c>
      <c r="Q402" s="15" t="str">
        <f t="shared" si="60"/>
        <v>Done</v>
      </c>
      <c r="R402" s="18" t="s">
        <v>44</v>
      </c>
      <c r="S402" s="23">
        <v>43590</v>
      </c>
      <c r="T402" s="20">
        <f>IFERROR(VLOOKUP(S402,'Date Converter'!$A$4:$C$368,3,0),"")</f>
        <v>43623</v>
      </c>
      <c r="U402" s="21">
        <f t="shared" si="53"/>
        <v>43623</v>
      </c>
      <c r="V402" s="20" t="s">
        <v>443</v>
      </c>
      <c r="W402" s="18"/>
      <c r="X402" s="18"/>
      <c r="Y402" s="15"/>
      <c r="Z402" s="206">
        <v>43629</v>
      </c>
      <c r="AA402" s="15">
        <v>3600</v>
      </c>
      <c r="AB402" s="206"/>
      <c r="AC402" s="15"/>
      <c r="AD402" s="206"/>
      <c r="AE402" s="15"/>
      <c r="AF402" s="244"/>
      <c r="AG402" s="15"/>
      <c r="AH402" s="15">
        <f t="shared" si="57"/>
        <v>3600</v>
      </c>
      <c r="AI402" s="22">
        <f t="shared" si="58"/>
        <v>0</v>
      </c>
      <c r="AJ402" s="22">
        <f t="shared" si="59"/>
        <v>0</v>
      </c>
    </row>
    <row r="403" spans="1:37" s="165" customFormat="1" hidden="1" outlineLevel="1">
      <c r="A403" s="165" t="s">
        <v>1349</v>
      </c>
      <c r="B403" s="13">
        <v>43518</v>
      </c>
      <c r="C403" s="266" t="s">
        <v>23</v>
      </c>
      <c r="D403" s="258" t="s">
        <v>284</v>
      </c>
      <c r="E403" s="198" t="s">
        <v>285</v>
      </c>
      <c r="F403" s="165" t="str">
        <f t="shared" si="55"/>
        <v>ROBI_20.22_125_NL2018</v>
      </c>
      <c r="G403" s="165" t="s">
        <v>61</v>
      </c>
      <c r="H403" s="12"/>
      <c r="I403" s="12" t="s">
        <v>74</v>
      </c>
      <c r="J403" s="14">
        <v>125</v>
      </c>
      <c r="K403" s="15" t="s">
        <v>28</v>
      </c>
      <c r="L403" s="15"/>
      <c r="M403" s="16">
        <f t="shared" si="56"/>
        <v>160</v>
      </c>
      <c r="N403" s="15">
        <v>20000</v>
      </c>
      <c r="O403" s="15">
        <v>10500</v>
      </c>
      <c r="P403" s="15">
        <f t="shared" si="54"/>
        <v>210000000</v>
      </c>
      <c r="Q403" s="15" t="str">
        <f t="shared" si="60"/>
        <v/>
      </c>
      <c r="R403" s="18" t="s">
        <v>29</v>
      </c>
      <c r="S403" s="23">
        <v>43709</v>
      </c>
      <c r="T403" s="20">
        <f>IFERROR(VLOOKUP(S403,'Date Converter'!$A$4:$C$368,3,0),"")</f>
        <v>43737</v>
      </c>
      <c r="U403" s="21">
        <f t="shared" si="53"/>
        <v>43737</v>
      </c>
      <c r="V403" s="12" t="s">
        <v>51</v>
      </c>
      <c r="W403" s="18"/>
      <c r="X403" s="18"/>
      <c r="Y403" s="15" t="s">
        <v>59</v>
      </c>
      <c r="Z403" s="206"/>
      <c r="AA403" s="15">
        <v>0</v>
      </c>
      <c r="AB403" s="206"/>
      <c r="AC403" s="15"/>
      <c r="AD403" s="206"/>
      <c r="AE403" s="15"/>
      <c r="AF403" s="244"/>
      <c r="AG403" s="15"/>
      <c r="AH403" s="15">
        <f t="shared" si="57"/>
        <v>0</v>
      </c>
      <c r="AI403" s="22">
        <f t="shared" si="58"/>
        <v>20000</v>
      </c>
      <c r="AJ403" s="22">
        <f t="shared" si="59"/>
        <v>210000000</v>
      </c>
    </row>
    <row r="404" spans="1:37" s="165" customFormat="1" hidden="1" outlineLevel="1">
      <c r="A404" s="165" t="s">
        <v>1871</v>
      </c>
      <c r="B404" s="13">
        <v>43628</v>
      </c>
      <c r="C404" s="13" t="s">
        <v>23</v>
      </c>
      <c r="D404" s="165" t="s">
        <v>284</v>
      </c>
      <c r="E404" s="198" t="s">
        <v>285</v>
      </c>
      <c r="F404" s="165" t="str">
        <f t="shared" si="55"/>
        <v>ROBI_14.16_300_NL2018</v>
      </c>
      <c r="G404" s="165" t="s">
        <v>61</v>
      </c>
      <c r="H404" s="12"/>
      <c r="I404" s="24" t="s">
        <v>47</v>
      </c>
      <c r="J404" s="14">
        <v>300</v>
      </c>
      <c r="K404" s="15" t="s">
        <v>28</v>
      </c>
      <c r="L404" s="15"/>
      <c r="M404" s="16">
        <f t="shared" si="56"/>
        <v>34</v>
      </c>
      <c r="N404" s="185">
        <v>10200</v>
      </c>
      <c r="O404" s="15">
        <v>3800</v>
      </c>
      <c r="P404" s="15">
        <f t="shared" si="54"/>
        <v>38760000</v>
      </c>
      <c r="Q404" s="15" t="str">
        <f t="shared" si="60"/>
        <v/>
      </c>
      <c r="R404" s="18" t="s">
        <v>29</v>
      </c>
      <c r="S404" s="23">
        <v>43645</v>
      </c>
      <c r="T404" s="20">
        <f>IFERROR(VLOOKUP(S404,'Date Converter'!$A$4:$C$368,3,0),"")</f>
        <v>43677</v>
      </c>
      <c r="U404" s="21">
        <f t="shared" si="53"/>
        <v>43677</v>
      </c>
      <c r="V404" s="20"/>
      <c r="W404" s="18"/>
      <c r="X404" s="18"/>
      <c r="Y404" s="15"/>
      <c r="Z404" s="206"/>
      <c r="AA404" s="15"/>
      <c r="AB404" s="206"/>
      <c r="AC404" s="15"/>
      <c r="AD404" s="206"/>
      <c r="AE404" s="15"/>
      <c r="AF404" s="244"/>
      <c r="AG404" s="15"/>
      <c r="AH404" s="15">
        <f t="shared" si="57"/>
        <v>0</v>
      </c>
      <c r="AI404" s="22">
        <f t="shared" si="58"/>
        <v>10200</v>
      </c>
      <c r="AJ404" s="22">
        <f t="shared" si="59"/>
        <v>38760000</v>
      </c>
    </row>
    <row r="405" spans="1:37" s="165" customFormat="1" hidden="1" outlineLevel="1">
      <c r="A405" s="165" t="s">
        <v>351</v>
      </c>
      <c r="B405" s="13">
        <v>43518</v>
      </c>
      <c r="C405" s="13" t="s">
        <v>23</v>
      </c>
      <c r="D405" s="165" t="s">
        <v>284</v>
      </c>
      <c r="E405" s="165" t="s">
        <v>285</v>
      </c>
      <c r="F405" s="165" t="str">
        <f t="shared" si="55"/>
        <v>PROF_14.16_300_NL2018</v>
      </c>
      <c r="G405" s="165" t="s">
        <v>56</v>
      </c>
      <c r="H405" s="12"/>
      <c r="I405" s="24" t="s">
        <v>47</v>
      </c>
      <c r="J405" s="14">
        <v>300</v>
      </c>
      <c r="K405" s="15" t="s">
        <v>28</v>
      </c>
      <c r="L405" s="15"/>
      <c r="M405" s="16">
        <f t="shared" si="56"/>
        <v>17</v>
      </c>
      <c r="N405" s="15">
        <v>5100</v>
      </c>
      <c r="O405" s="15">
        <v>4800</v>
      </c>
      <c r="P405" s="15">
        <f t="shared" si="54"/>
        <v>24480000</v>
      </c>
      <c r="Q405" s="15" t="str">
        <f t="shared" si="60"/>
        <v>Done</v>
      </c>
      <c r="R405" s="18" t="s">
        <v>44</v>
      </c>
      <c r="S405" s="23" t="s">
        <v>53</v>
      </c>
      <c r="T405" s="20">
        <f>IFERROR(VLOOKUP(S405,'Date Converter'!$A$4:$C$368,3,0),"")</f>
        <v>43559</v>
      </c>
      <c r="U405" s="21">
        <f t="shared" si="53"/>
        <v>43559</v>
      </c>
      <c r="V405" s="20" t="s">
        <v>54</v>
      </c>
      <c r="W405" s="18" t="s">
        <v>82</v>
      </c>
      <c r="X405" s="18">
        <v>43555</v>
      </c>
      <c r="Y405" s="15" t="s">
        <v>59</v>
      </c>
      <c r="Z405" s="206">
        <v>43575</v>
      </c>
      <c r="AA405" s="15">
        <v>5100</v>
      </c>
      <c r="AB405" s="206"/>
      <c r="AC405" s="15"/>
      <c r="AD405" s="206"/>
      <c r="AE405" s="15"/>
      <c r="AF405" s="244"/>
      <c r="AG405" s="15"/>
      <c r="AH405" s="15">
        <f t="shared" si="57"/>
        <v>5100</v>
      </c>
      <c r="AI405" s="22">
        <f t="shared" si="58"/>
        <v>0</v>
      </c>
      <c r="AJ405" s="22">
        <f t="shared" si="59"/>
        <v>0</v>
      </c>
    </row>
    <row r="406" spans="1:37" s="165" customFormat="1" hidden="1" outlineLevel="1">
      <c r="A406" s="165" t="s">
        <v>1349</v>
      </c>
      <c r="B406" s="13">
        <v>43518</v>
      </c>
      <c r="C406" s="266" t="s">
        <v>23</v>
      </c>
      <c r="D406" s="258" t="s">
        <v>284</v>
      </c>
      <c r="E406" s="198" t="s">
        <v>285</v>
      </c>
      <c r="F406" s="165" t="str">
        <f t="shared" si="55"/>
        <v>MANI_20.22_125_NL2018</v>
      </c>
      <c r="G406" s="165" t="s">
        <v>105</v>
      </c>
      <c r="H406" s="12"/>
      <c r="I406" s="12" t="s">
        <v>74</v>
      </c>
      <c r="J406" s="14">
        <v>125</v>
      </c>
      <c r="K406" s="15" t="s">
        <v>28</v>
      </c>
      <c r="L406" s="15"/>
      <c r="M406" s="16">
        <f t="shared" si="56"/>
        <v>80</v>
      </c>
      <c r="N406" s="15">
        <v>10000</v>
      </c>
      <c r="O406" s="15">
        <v>13500</v>
      </c>
      <c r="P406" s="15">
        <f t="shared" si="54"/>
        <v>135000000</v>
      </c>
      <c r="Q406" s="15" t="str">
        <f t="shared" si="60"/>
        <v/>
      </c>
      <c r="R406" s="18" t="s">
        <v>29</v>
      </c>
      <c r="S406" s="23">
        <v>43709</v>
      </c>
      <c r="T406" s="20">
        <f>IFERROR(VLOOKUP(S406,'Date Converter'!$A$4:$C$368,3,0),"")</f>
        <v>43737</v>
      </c>
      <c r="U406" s="21">
        <f t="shared" si="53"/>
        <v>43737</v>
      </c>
      <c r="V406" s="12" t="s">
        <v>51</v>
      </c>
      <c r="W406" s="18"/>
      <c r="X406" s="18"/>
      <c r="Y406" s="15" t="s">
        <v>59</v>
      </c>
      <c r="Z406" s="206"/>
      <c r="AA406" s="15">
        <v>0</v>
      </c>
      <c r="AB406" s="206"/>
      <c r="AC406" s="15"/>
      <c r="AD406" s="206"/>
      <c r="AE406" s="15"/>
      <c r="AF406" s="244"/>
      <c r="AG406" s="15"/>
      <c r="AH406" s="15">
        <f t="shared" si="57"/>
        <v>0</v>
      </c>
      <c r="AI406" s="22">
        <f t="shared" si="58"/>
        <v>10000</v>
      </c>
      <c r="AJ406" s="22">
        <f t="shared" si="59"/>
        <v>135000000</v>
      </c>
    </row>
    <row r="407" spans="1:37" s="165" customFormat="1" hidden="1" outlineLevel="1">
      <c r="A407" s="165" t="s">
        <v>1462</v>
      </c>
      <c r="B407" s="13">
        <v>43630</v>
      </c>
      <c r="C407" s="13" t="s">
        <v>23</v>
      </c>
      <c r="D407" s="165" t="s">
        <v>284</v>
      </c>
      <c r="E407" s="198" t="s">
        <v>285</v>
      </c>
      <c r="F407" s="165" t="str">
        <f t="shared" si="55"/>
        <v>MANI_14.16_300_NL2018</v>
      </c>
      <c r="G407" s="165" t="s">
        <v>105</v>
      </c>
      <c r="H407" s="12"/>
      <c r="I407" s="24" t="s">
        <v>47</v>
      </c>
      <c r="J407" s="14">
        <v>300</v>
      </c>
      <c r="K407" s="15" t="s">
        <v>28</v>
      </c>
      <c r="L407" s="15"/>
      <c r="M407" s="16">
        <f t="shared" si="56"/>
        <v>7</v>
      </c>
      <c r="N407" s="15">
        <v>2100</v>
      </c>
      <c r="O407" s="15">
        <v>3800</v>
      </c>
      <c r="P407" s="15">
        <f t="shared" si="54"/>
        <v>7980000</v>
      </c>
      <c r="Q407" s="15" t="str">
        <f t="shared" si="60"/>
        <v/>
      </c>
      <c r="R407" s="18" t="s">
        <v>63</v>
      </c>
      <c r="S407" s="23">
        <v>43590</v>
      </c>
      <c r="T407" s="20">
        <f>IFERROR(VLOOKUP(S407,'Date Converter'!$A$4:$C$368,3,0),"")</f>
        <v>43623</v>
      </c>
      <c r="U407" s="21">
        <f t="shared" si="53"/>
        <v>43623</v>
      </c>
      <c r="V407" s="20"/>
      <c r="W407" s="18"/>
      <c r="X407" s="18"/>
      <c r="Y407" s="15"/>
      <c r="Z407" s="206"/>
      <c r="AA407" s="15"/>
      <c r="AB407" s="206"/>
      <c r="AC407" s="15"/>
      <c r="AD407" s="206"/>
      <c r="AE407" s="15"/>
      <c r="AF407" s="244"/>
      <c r="AG407" s="15"/>
      <c r="AH407" s="15">
        <f t="shared" si="57"/>
        <v>0</v>
      </c>
      <c r="AI407" s="22">
        <f t="shared" si="58"/>
        <v>2100</v>
      </c>
      <c r="AJ407" s="22">
        <f t="shared" si="59"/>
        <v>7980000</v>
      </c>
    </row>
    <row r="408" spans="1:37" s="165" customFormat="1" hidden="1" outlineLevel="1">
      <c r="A408" s="165" t="s">
        <v>1462</v>
      </c>
      <c r="B408" s="13">
        <v>43577</v>
      </c>
      <c r="C408" s="13" t="s">
        <v>23</v>
      </c>
      <c r="D408" s="165" t="s">
        <v>284</v>
      </c>
      <c r="E408" s="198" t="s">
        <v>285</v>
      </c>
      <c r="F408" s="165" t="str">
        <f t="shared" si="55"/>
        <v>FERR_13.14_400_NL2018</v>
      </c>
      <c r="G408" s="165" t="s">
        <v>1466</v>
      </c>
      <c r="H408" s="12"/>
      <c r="I408" s="12" t="s">
        <v>1467</v>
      </c>
      <c r="J408" s="14">
        <v>400</v>
      </c>
      <c r="K408" s="15" t="s">
        <v>28</v>
      </c>
      <c r="L408" s="15"/>
      <c r="M408" s="16">
        <f t="shared" si="56"/>
        <v>25</v>
      </c>
      <c r="N408" s="15">
        <v>10000</v>
      </c>
      <c r="O408" s="15">
        <v>3500</v>
      </c>
      <c r="P408" s="15">
        <f t="shared" si="54"/>
        <v>35000000</v>
      </c>
      <c r="Q408" s="15" t="str">
        <f t="shared" si="60"/>
        <v>Done</v>
      </c>
      <c r="R408" s="18" t="s">
        <v>44</v>
      </c>
      <c r="S408" s="23">
        <v>43590</v>
      </c>
      <c r="T408" s="20">
        <f>IFERROR(VLOOKUP(S408,'Date Converter'!$A$4:$C$368,3,0),"")</f>
        <v>43623</v>
      </c>
      <c r="U408" s="21">
        <f t="shared" si="53"/>
        <v>43623</v>
      </c>
      <c r="V408" s="20" t="s">
        <v>174</v>
      </c>
      <c r="W408" s="18"/>
      <c r="X408" s="18"/>
      <c r="Y408" s="15"/>
      <c r="Z408" s="206">
        <v>43629</v>
      </c>
      <c r="AA408" s="15">
        <v>10000</v>
      </c>
      <c r="AB408" s="206"/>
      <c r="AC408" s="15"/>
      <c r="AD408" s="206"/>
      <c r="AE408" s="15"/>
      <c r="AF408" s="244"/>
      <c r="AG408" s="15"/>
      <c r="AH408" s="15">
        <f t="shared" si="57"/>
        <v>10000</v>
      </c>
      <c r="AI408" s="22">
        <f t="shared" si="58"/>
        <v>0</v>
      </c>
      <c r="AJ408" s="22">
        <f t="shared" si="59"/>
        <v>0</v>
      </c>
    </row>
    <row r="409" spans="1:37" s="165" customFormat="1" hidden="1" outlineLevel="1">
      <c r="A409" s="165" t="s">
        <v>1871</v>
      </c>
      <c r="B409" s="13">
        <v>43628</v>
      </c>
      <c r="C409" s="13" t="s">
        <v>23</v>
      </c>
      <c r="D409" s="165" t="s">
        <v>284</v>
      </c>
      <c r="E409" s="198" t="s">
        <v>285</v>
      </c>
      <c r="F409" s="165" t="str">
        <f t="shared" si="55"/>
        <v>DIGA_16.18_200_NL2018</v>
      </c>
      <c r="G409" s="165" t="s">
        <v>1813</v>
      </c>
      <c r="H409" s="12"/>
      <c r="I409" s="24" t="s">
        <v>35</v>
      </c>
      <c r="J409" s="14">
        <v>200</v>
      </c>
      <c r="K409" s="15" t="s">
        <v>28</v>
      </c>
      <c r="L409" s="15"/>
      <c r="M409" s="16">
        <f t="shared" si="56"/>
        <v>14</v>
      </c>
      <c r="N409" s="185">
        <v>2800</v>
      </c>
      <c r="O409" s="15">
        <v>6600</v>
      </c>
      <c r="P409" s="15">
        <f t="shared" si="54"/>
        <v>18480000</v>
      </c>
      <c r="Q409" s="15" t="str">
        <f t="shared" si="60"/>
        <v/>
      </c>
      <c r="R409" s="18" t="s">
        <v>31</v>
      </c>
      <c r="S409" s="23">
        <v>43631</v>
      </c>
      <c r="T409" s="20">
        <f>IFERROR(VLOOKUP(S409,'Date Converter'!$A$4:$C$368,3,0),"")</f>
        <v>43663</v>
      </c>
      <c r="U409" s="21">
        <f t="shared" si="53"/>
        <v>43663</v>
      </c>
      <c r="V409" s="20"/>
      <c r="W409" s="18"/>
      <c r="X409" s="18"/>
      <c r="Y409" s="15"/>
      <c r="Z409" s="206"/>
      <c r="AA409" s="15"/>
      <c r="AB409" s="206"/>
      <c r="AC409" s="15"/>
      <c r="AD409" s="206"/>
      <c r="AE409" s="15"/>
      <c r="AF409" s="244"/>
      <c r="AG409" s="15"/>
      <c r="AH409" s="15">
        <f t="shared" si="57"/>
        <v>0</v>
      </c>
      <c r="AI409" s="22">
        <f t="shared" si="58"/>
        <v>2800</v>
      </c>
      <c r="AJ409" s="22">
        <f t="shared" si="59"/>
        <v>18480000</v>
      </c>
    </row>
    <row r="410" spans="1:37" s="165" customFormat="1" hidden="1" outlineLevel="1">
      <c r="A410" s="165" t="s">
        <v>351</v>
      </c>
      <c r="B410" s="13">
        <v>43518</v>
      </c>
      <c r="C410" s="13" t="s">
        <v>23</v>
      </c>
      <c r="D410" s="165" t="s">
        <v>284</v>
      </c>
      <c r="E410" s="165" t="s">
        <v>285</v>
      </c>
      <c r="F410" s="165" t="str">
        <f t="shared" si="55"/>
        <v>DALI_14.16_300_NL2018</v>
      </c>
      <c r="G410" s="165" t="s">
        <v>46</v>
      </c>
      <c r="H410" s="12"/>
      <c r="I410" s="12" t="s">
        <v>47</v>
      </c>
      <c r="J410" s="14">
        <v>300</v>
      </c>
      <c r="K410" s="15" t="s">
        <v>28</v>
      </c>
      <c r="L410" s="15"/>
      <c r="M410" s="16">
        <f t="shared" si="56"/>
        <v>33</v>
      </c>
      <c r="N410" s="15">
        <f>10200-300</f>
        <v>9900</v>
      </c>
      <c r="O410" s="15">
        <v>5300</v>
      </c>
      <c r="P410" s="15">
        <f t="shared" si="54"/>
        <v>52470000</v>
      </c>
      <c r="Q410" s="15" t="str">
        <f t="shared" si="60"/>
        <v>Done</v>
      </c>
      <c r="R410" s="18" t="s">
        <v>44</v>
      </c>
      <c r="S410" s="23" t="s">
        <v>53</v>
      </c>
      <c r="T410" s="20">
        <f>IFERROR(VLOOKUP(S410,'Date Converter'!$A$4:$C$368,3,0),"")</f>
        <v>43559</v>
      </c>
      <c r="U410" s="21">
        <f t="shared" si="53"/>
        <v>43559</v>
      </c>
      <c r="V410" s="20" t="s">
        <v>54</v>
      </c>
      <c r="W410" s="18" t="s">
        <v>55</v>
      </c>
      <c r="X410" s="18">
        <v>43555</v>
      </c>
      <c r="Y410" s="15" t="s">
        <v>59</v>
      </c>
      <c r="Z410" s="206">
        <v>43575</v>
      </c>
      <c r="AA410" s="15">
        <v>9900</v>
      </c>
      <c r="AB410" s="206"/>
      <c r="AC410" s="15"/>
      <c r="AD410" s="206"/>
      <c r="AE410" s="15"/>
      <c r="AF410" s="244"/>
      <c r="AG410" s="15"/>
      <c r="AH410" s="15">
        <f t="shared" si="57"/>
        <v>9900</v>
      </c>
      <c r="AI410" s="22">
        <f t="shared" si="58"/>
        <v>0</v>
      </c>
      <c r="AJ410" s="22">
        <f t="shared" si="59"/>
        <v>0</v>
      </c>
      <c r="AK410" s="165" t="s">
        <v>286</v>
      </c>
    </row>
    <row r="411" spans="1:37" s="165" customFormat="1" hidden="1" outlineLevel="1">
      <c r="A411" s="165" t="s">
        <v>1349</v>
      </c>
      <c r="B411" s="13">
        <v>43518</v>
      </c>
      <c r="C411" s="266" t="s">
        <v>23</v>
      </c>
      <c r="D411" s="258" t="s">
        <v>284</v>
      </c>
      <c r="E411" s="198" t="s">
        <v>285</v>
      </c>
      <c r="F411" s="165" t="str">
        <f t="shared" si="55"/>
        <v>CONC_18.20_150_NL2018</v>
      </c>
      <c r="G411" s="165" t="s">
        <v>133</v>
      </c>
      <c r="H411" s="12"/>
      <c r="I411" s="12" t="s">
        <v>27</v>
      </c>
      <c r="J411" s="14">
        <v>150</v>
      </c>
      <c r="K411" s="15" t="s">
        <v>28</v>
      </c>
      <c r="L411" s="15"/>
      <c r="M411" s="16">
        <f t="shared" si="56"/>
        <v>208</v>
      </c>
      <c r="N411" s="15">
        <f>21000+10200</f>
        <v>31200</v>
      </c>
      <c r="O411" s="15">
        <v>7200</v>
      </c>
      <c r="P411" s="15">
        <f t="shared" si="54"/>
        <v>224640000</v>
      </c>
      <c r="Q411" s="15" t="str">
        <f t="shared" si="60"/>
        <v/>
      </c>
      <c r="R411" s="18" t="s">
        <v>29</v>
      </c>
      <c r="S411" s="23">
        <v>43709</v>
      </c>
      <c r="T411" s="20">
        <f>IFERROR(VLOOKUP(S411,'Date Converter'!$A$4:$C$368,3,0),"")</f>
        <v>43737</v>
      </c>
      <c r="U411" s="21">
        <f t="shared" ref="U411:U470" si="61">+T411</f>
        <v>43737</v>
      </c>
      <c r="V411" s="12" t="s">
        <v>51</v>
      </c>
      <c r="W411" s="18"/>
      <c r="X411" s="18"/>
      <c r="Y411" s="15" t="s">
        <v>59</v>
      </c>
      <c r="Z411" s="206"/>
      <c r="AA411" s="15">
        <v>0</v>
      </c>
      <c r="AB411" s="206"/>
      <c r="AC411" s="15"/>
      <c r="AD411" s="206"/>
      <c r="AE411" s="15"/>
      <c r="AF411" s="244"/>
      <c r="AG411" s="15"/>
      <c r="AH411" s="15">
        <f t="shared" si="57"/>
        <v>0</v>
      </c>
      <c r="AI411" s="22">
        <f t="shared" si="58"/>
        <v>31200</v>
      </c>
      <c r="AJ411" s="22">
        <f t="shared" si="59"/>
        <v>224640000</v>
      </c>
    </row>
    <row r="412" spans="1:37" s="165" customFormat="1" hidden="1" outlineLevel="1">
      <c r="A412" s="165" t="s">
        <v>1349</v>
      </c>
      <c r="B412" s="13">
        <v>43518</v>
      </c>
      <c r="C412" s="266" t="s">
        <v>23</v>
      </c>
      <c r="D412" s="258" t="s">
        <v>284</v>
      </c>
      <c r="E412" s="198" t="s">
        <v>285</v>
      </c>
      <c r="F412" s="165" t="str">
        <f t="shared" si="55"/>
        <v>CONC_18.20_150_NL2018</v>
      </c>
      <c r="G412" s="165" t="s">
        <v>133</v>
      </c>
      <c r="H412" s="12"/>
      <c r="I412" s="12" t="s">
        <v>27</v>
      </c>
      <c r="J412" s="14">
        <v>150</v>
      </c>
      <c r="K412" s="15" t="s">
        <v>28</v>
      </c>
      <c r="L412" s="15"/>
      <c r="M412" s="16">
        <f t="shared" si="56"/>
        <v>40</v>
      </c>
      <c r="N412" s="15">
        <f>6000-6000+6000</f>
        <v>6000</v>
      </c>
      <c r="O412" s="15">
        <v>7500</v>
      </c>
      <c r="P412" s="15">
        <f t="shared" si="54"/>
        <v>45000000</v>
      </c>
      <c r="Q412" s="15" t="str">
        <f t="shared" si="60"/>
        <v/>
      </c>
      <c r="R412" s="18" t="s">
        <v>29</v>
      </c>
      <c r="S412" s="23">
        <v>43709</v>
      </c>
      <c r="T412" s="20">
        <f>IFERROR(VLOOKUP(S412,'Date Converter'!$A$4:$C$368,3,0),"")</f>
        <v>43737</v>
      </c>
      <c r="U412" s="21">
        <f t="shared" si="61"/>
        <v>43737</v>
      </c>
      <c r="V412" s="12" t="s">
        <v>51</v>
      </c>
      <c r="W412" s="18"/>
      <c r="X412" s="18"/>
      <c r="Y412" s="15"/>
      <c r="Z412" s="206"/>
      <c r="AA412" s="15"/>
      <c r="AB412" s="206"/>
      <c r="AC412" s="15"/>
      <c r="AD412" s="206"/>
      <c r="AE412" s="15"/>
      <c r="AF412" s="244"/>
      <c r="AG412" s="15"/>
      <c r="AH412" s="15">
        <f t="shared" si="57"/>
        <v>0</v>
      </c>
      <c r="AI412" s="22">
        <f t="shared" si="58"/>
        <v>6000</v>
      </c>
      <c r="AJ412" s="22">
        <f t="shared" si="59"/>
        <v>45000000</v>
      </c>
    </row>
    <row r="413" spans="1:37" hidden="1" outlineLevel="1">
      <c r="A413" t="s">
        <v>351</v>
      </c>
      <c r="B413" s="13">
        <v>43518</v>
      </c>
      <c r="C413" s="13" t="s">
        <v>23</v>
      </c>
      <c r="D413" t="s">
        <v>284</v>
      </c>
      <c r="E413" s="165" t="s">
        <v>285</v>
      </c>
      <c r="F413" t="str">
        <f t="shared" si="55"/>
        <v>CONC_16.18_200_NL2018</v>
      </c>
      <c r="G413" s="165" t="s">
        <v>133</v>
      </c>
      <c r="I413" s="12" t="s">
        <v>35</v>
      </c>
      <c r="J413" s="14">
        <v>200</v>
      </c>
      <c r="K413" s="15" t="s">
        <v>28</v>
      </c>
      <c r="M413" s="16">
        <f t="shared" si="56"/>
        <v>50</v>
      </c>
      <c r="N413" s="15">
        <v>10000</v>
      </c>
      <c r="O413" s="15">
        <v>4700</v>
      </c>
      <c r="P413" s="15">
        <f t="shared" si="54"/>
        <v>47000000</v>
      </c>
      <c r="Q413" s="15" t="str">
        <f t="shared" si="60"/>
        <v>Done</v>
      </c>
      <c r="R413" s="18" t="s">
        <v>44</v>
      </c>
      <c r="S413" s="23">
        <v>43511</v>
      </c>
      <c r="T413" s="20">
        <f>IFERROR(VLOOKUP(S413,'Date Converter'!$A$4:$C$368,3,0),"")</f>
        <v>43544</v>
      </c>
      <c r="U413" s="21">
        <f t="shared" si="61"/>
        <v>43544</v>
      </c>
      <c r="V413" s="12" t="s">
        <v>32</v>
      </c>
      <c r="W413" s="18" t="s">
        <v>41</v>
      </c>
      <c r="X413" s="18">
        <v>43541</v>
      </c>
      <c r="Y413" s="15" t="s">
        <v>59</v>
      </c>
      <c r="Z413" s="206">
        <v>43544</v>
      </c>
      <c r="AA413" s="15">
        <v>10000</v>
      </c>
      <c r="AB413" s="206"/>
      <c r="AC413" s="15"/>
      <c r="AD413" s="206"/>
      <c r="AE413" s="15"/>
      <c r="AF413" s="244"/>
      <c r="AG413" s="15"/>
      <c r="AH413" s="15">
        <f t="shared" si="57"/>
        <v>10000</v>
      </c>
      <c r="AI413" s="22">
        <f t="shared" si="58"/>
        <v>0</v>
      </c>
      <c r="AJ413" s="22">
        <f t="shared" si="59"/>
        <v>0</v>
      </c>
      <c r="AK413" s="165"/>
    </row>
    <row r="414" spans="1:37" hidden="1" outlineLevel="1">
      <c r="A414" t="s">
        <v>1662</v>
      </c>
      <c r="B414" s="13">
        <v>43543</v>
      </c>
      <c r="C414" s="13" t="s">
        <v>1622</v>
      </c>
      <c r="D414" t="s">
        <v>770</v>
      </c>
      <c r="E414" s="165" t="s">
        <v>771</v>
      </c>
      <c r="F414" t="str">
        <f t="shared" si="55"/>
        <v>YELL_14.16_300_NL2018</v>
      </c>
      <c r="G414" s="165" t="s">
        <v>89</v>
      </c>
      <c r="I414" s="12" t="s">
        <v>47</v>
      </c>
      <c r="J414" s="14">
        <v>300</v>
      </c>
      <c r="K414" s="15" t="s">
        <v>28</v>
      </c>
      <c r="M414" s="16">
        <f t="shared" si="56"/>
        <v>10</v>
      </c>
      <c r="N414" s="15">
        <f>6900-3900</f>
        <v>3000</v>
      </c>
      <c r="O414" s="15">
        <v>3800</v>
      </c>
      <c r="P414" s="15">
        <f t="shared" si="54"/>
        <v>11400000</v>
      </c>
      <c r="Q414" s="15" t="str">
        <f t="shared" si="60"/>
        <v>Done</v>
      </c>
      <c r="R414" s="18" t="s">
        <v>44</v>
      </c>
      <c r="S414" s="117">
        <v>43539</v>
      </c>
      <c r="T414" s="20">
        <f>IFERROR(VLOOKUP(S414,'Date Converter'!$A$4:$C$368,3,0),"")</f>
        <v>43574</v>
      </c>
      <c r="U414" s="21">
        <f t="shared" si="61"/>
        <v>43574</v>
      </c>
      <c r="V414" s="12" t="s">
        <v>57</v>
      </c>
      <c r="W414" s="18" t="s">
        <v>132</v>
      </c>
      <c r="Y414" s="18"/>
      <c r="Z414" s="210">
        <v>43588</v>
      </c>
      <c r="AA414" s="15">
        <v>3000</v>
      </c>
      <c r="AB414" s="210"/>
      <c r="AC414" s="15"/>
      <c r="AD414" s="15"/>
      <c r="AE414" s="15"/>
      <c r="AF414" s="244"/>
      <c r="AG414" s="15"/>
      <c r="AH414" s="15">
        <f t="shared" si="57"/>
        <v>3000</v>
      </c>
      <c r="AI414" s="22">
        <f t="shared" si="58"/>
        <v>0</v>
      </c>
      <c r="AJ414" s="22">
        <f t="shared" si="59"/>
        <v>0</v>
      </c>
      <c r="AK414" s="13"/>
    </row>
    <row r="415" spans="1:37" hidden="1" outlineLevel="1">
      <c r="A415" t="s">
        <v>1662</v>
      </c>
      <c r="B415" s="13">
        <v>43608</v>
      </c>
      <c r="C415" s="13" t="s">
        <v>1622</v>
      </c>
      <c r="D415" t="s">
        <v>770</v>
      </c>
      <c r="E415" s="165" t="s">
        <v>771</v>
      </c>
      <c r="F415" t="str">
        <f t="shared" si="55"/>
        <v>YELL_12.14_400_NL2018</v>
      </c>
      <c r="G415" s="165" t="s">
        <v>89</v>
      </c>
      <c r="I415" s="12" t="s">
        <v>113</v>
      </c>
      <c r="J415" s="14">
        <v>400</v>
      </c>
      <c r="K415" s="15" t="s">
        <v>28</v>
      </c>
      <c r="M415" s="16">
        <f t="shared" si="56"/>
        <v>0</v>
      </c>
      <c r="N415" s="15">
        <f>13200-13200</f>
        <v>0</v>
      </c>
      <c r="O415" s="15">
        <v>2800</v>
      </c>
      <c r="P415" s="15">
        <f t="shared" si="54"/>
        <v>0</v>
      </c>
      <c r="Q415" s="15" t="str">
        <f t="shared" si="60"/>
        <v>Canceled</v>
      </c>
      <c r="R415" s="18" t="s">
        <v>71</v>
      </c>
      <c r="S415" s="117">
        <v>43572</v>
      </c>
      <c r="T415" s="20">
        <f>IFERROR(VLOOKUP(S415,'Date Converter'!$A$4:$C$368,3,0),"")</f>
        <v>43606</v>
      </c>
      <c r="U415" s="21">
        <f t="shared" si="61"/>
        <v>43606</v>
      </c>
      <c r="Y415" s="18"/>
      <c r="Z415" s="210"/>
      <c r="AA415" s="15"/>
      <c r="AB415" s="210"/>
      <c r="AC415" s="15"/>
      <c r="AD415" s="15"/>
      <c r="AE415" s="15"/>
      <c r="AF415" s="244"/>
      <c r="AG415" s="15"/>
      <c r="AH415" s="15">
        <f t="shared" si="57"/>
        <v>0</v>
      </c>
      <c r="AI415" s="22">
        <f t="shared" si="58"/>
        <v>0</v>
      </c>
      <c r="AJ415" s="22">
        <f t="shared" si="59"/>
        <v>0</v>
      </c>
      <c r="AK415" s="13"/>
    </row>
    <row r="416" spans="1:37" s="165" customFormat="1" hidden="1" outlineLevel="1">
      <c r="A416" s="165" t="s">
        <v>1662</v>
      </c>
      <c r="B416" s="13">
        <v>43543</v>
      </c>
      <c r="C416" s="13" t="s">
        <v>1622</v>
      </c>
      <c r="D416" s="165" t="s">
        <v>770</v>
      </c>
      <c r="E416" s="165" t="s">
        <v>771</v>
      </c>
      <c r="F416" s="165" t="str">
        <f t="shared" si="55"/>
        <v>ROBI_16.18_200_NL2018</v>
      </c>
      <c r="G416" s="165" t="s">
        <v>61</v>
      </c>
      <c r="H416" s="12"/>
      <c r="I416" s="12" t="s">
        <v>35</v>
      </c>
      <c r="J416" s="14">
        <v>200</v>
      </c>
      <c r="K416" s="15" t="s">
        <v>28</v>
      </c>
      <c r="L416" s="15"/>
      <c r="M416" s="16">
        <f t="shared" si="56"/>
        <v>50</v>
      </c>
      <c r="N416" s="15">
        <v>10000</v>
      </c>
      <c r="O416" s="15">
        <v>5000</v>
      </c>
      <c r="P416" s="15">
        <f t="shared" si="54"/>
        <v>50000000</v>
      </c>
      <c r="Q416" s="15" t="str">
        <f t="shared" si="60"/>
        <v>Done</v>
      </c>
      <c r="R416" s="18" t="s">
        <v>44</v>
      </c>
      <c r="S416" s="117">
        <v>43539</v>
      </c>
      <c r="T416" s="20">
        <f>IFERROR(VLOOKUP(S416,'Date Converter'!$A$4:$C$368,3,0),"")</f>
        <v>43574</v>
      </c>
      <c r="U416" s="21">
        <f t="shared" si="61"/>
        <v>43574</v>
      </c>
      <c r="V416" s="12" t="s">
        <v>57</v>
      </c>
      <c r="W416" s="18" t="s">
        <v>132</v>
      </c>
      <c r="X416" s="18"/>
      <c r="Y416" s="18"/>
      <c r="Z416" s="210">
        <v>43588</v>
      </c>
      <c r="AA416" s="15">
        <v>10000</v>
      </c>
      <c r="AB416" s="210"/>
      <c r="AC416" s="15"/>
      <c r="AD416" s="15"/>
      <c r="AE416" s="15"/>
      <c r="AF416" s="244"/>
      <c r="AG416" s="15"/>
      <c r="AH416" s="15">
        <f t="shared" si="57"/>
        <v>10000</v>
      </c>
      <c r="AI416" s="22">
        <f t="shared" si="58"/>
        <v>0</v>
      </c>
      <c r="AJ416" s="22">
        <f t="shared" si="59"/>
        <v>0</v>
      </c>
      <c r="AK416" s="13"/>
    </row>
    <row r="417" spans="1:37" s="165" customFormat="1" hidden="1" outlineLevel="1">
      <c r="A417" s="165" t="s">
        <v>1662</v>
      </c>
      <c r="B417" s="13">
        <v>43543</v>
      </c>
      <c r="C417" s="13" t="s">
        <v>1622</v>
      </c>
      <c r="D417" s="165" t="s">
        <v>770</v>
      </c>
      <c r="E417" s="165" t="s">
        <v>771</v>
      </c>
      <c r="F417" s="165" t="str">
        <f t="shared" si="55"/>
        <v>PROF_14.16_300_NL2018</v>
      </c>
      <c r="G417" s="165" t="s">
        <v>56</v>
      </c>
      <c r="H417" s="12"/>
      <c r="I417" s="12" t="s">
        <v>47</v>
      </c>
      <c r="J417" s="14">
        <v>300</v>
      </c>
      <c r="K417" s="15" t="s">
        <v>28</v>
      </c>
      <c r="L417" s="15"/>
      <c r="M417" s="16">
        <f t="shared" si="56"/>
        <v>0</v>
      </c>
      <c r="N417" s="15">
        <f>6600-6600</f>
        <v>0</v>
      </c>
      <c r="O417" s="15">
        <v>5000</v>
      </c>
      <c r="P417" s="15">
        <f t="shared" si="54"/>
        <v>0</v>
      </c>
      <c r="Q417" s="15" t="str">
        <f t="shared" si="60"/>
        <v>Canceled</v>
      </c>
      <c r="R417" s="18" t="s">
        <v>71</v>
      </c>
      <c r="S417" s="117">
        <v>43539</v>
      </c>
      <c r="T417" s="20">
        <f>IFERROR(VLOOKUP(S417,'Date Converter'!$A$4:$C$368,3,0),"")</f>
        <v>43574</v>
      </c>
      <c r="U417" s="21">
        <f t="shared" si="61"/>
        <v>43574</v>
      </c>
      <c r="V417" s="12" t="s">
        <v>57</v>
      </c>
      <c r="W417" s="18"/>
      <c r="X417" s="18"/>
      <c r="Y417" s="18"/>
      <c r="Z417" s="210"/>
      <c r="AA417" s="15"/>
      <c r="AB417" s="210"/>
      <c r="AC417" s="15"/>
      <c r="AD417" s="15"/>
      <c r="AE417" s="15"/>
      <c r="AF417" s="244"/>
      <c r="AG417" s="15"/>
      <c r="AH417" s="15">
        <f t="shared" si="57"/>
        <v>0</v>
      </c>
      <c r="AI417" s="22">
        <f t="shared" si="58"/>
        <v>0</v>
      </c>
      <c r="AJ417" s="22">
        <f t="shared" si="59"/>
        <v>0</v>
      </c>
      <c r="AK417" s="13"/>
    </row>
    <row r="418" spans="1:37" s="165" customFormat="1" hidden="1" outlineLevel="1">
      <c r="A418" s="165" t="s">
        <v>1662</v>
      </c>
      <c r="B418" s="13">
        <v>43543</v>
      </c>
      <c r="C418" s="13" t="s">
        <v>1622</v>
      </c>
      <c r="D418" s="165" t="s">
        <v>770</v>
      </c>
      <c r="E418" s="165" t="s">
        <v>771</v>
      </c>
      <c r="F418" s="165" t="str">
        <f t="shared" si="55"/>
        <v>PROF_16.18_200_NL2018</v>
      </c>
      <c r="G418" s="165" t="s">
        <v>56</v>
      </c>
      <c r="H418" s="12"/>
      <c r="I418" s="12" t="s">
        <v>35</v>
      </c>
      <c r="J418" s="14">
        <v>200</v>
      </c>
      <c r="K418" s="15" t="s">
        <v>28</v>
      </c>
      <c r="L418" s="15"/>
      <c r="M418" s="16">
        <f t="shared" si="56"/>
        <v>0</v>
      </c>
      <c r="N418" s="15">
        <f>1400-1400</f>
        <v>0</v>
      </c>
      <c r="O418" s="15">
        <v>7500</v>
      </c>
      <c r="P418" s="15">
        <f t="shared" si="54"/>
        <v>0</v>
      </c>
      <c r="Q418" s="15" t="str">
        <f t="shared" si="60"/>
        <v>Canceled</v>
      </c>
      <c r="R418" s="18" t="s">
        <v>71</v>
      </c>
      <c r="S418" s="117">
        <v>43539</v>
      </c>
      <c r="T418" s="20">
        <f>IFERROR(VLOOKUP(S418,'Date Converter'!$A$4:$C$368,3,0),"")</f>
        <v>43574</v>
      </c>
      <c r="U418" s="21">
        <f t="shared" si="61"/>
        <v>43574</v>
      </c>
      <c r="V418" s="12" t="s">
        <v>57</v>
      </c>
      <c r="W418" s="18"/>
      <c r="X418" s="18"/>
      <c r="Y418" s="18"/>
      <c r="Z418" s="210"/>
      <c r="AA418" s="15"/>
      <c r="AB418" s="210"/>
      <c r="AC418" s="15"/>
      <c r="AD418" s="15"/>
      <c r="AE418" s="15"/>
      <c r="AF418" s="244"/>
      <c r="AG418" s="15"/>
      <c r="AH418" s="15">
        <f t="shared" si="57"/>
        <v>0</v>
      </c>
      <c r="AI418" s="22">
        <f t="shared" si="58"/>
        <v>0</v>
      </c>
      <c r="AJ418" s="22">
        <f t="shared" si="59"/>
        <v>0</v>
      </c>
      <c r="AK418" s="13"/>
    </row>
    <row r="419" spans="1:37" hidden="1" outlineLevel="1">
      <c r="A419" t="s">
        <v>312</v>
      </c>
      <c r="B419" s="13">
        <v>43599</v>
      </c>
      <c r="C419" s="13" t="s">
        <v>23</v>
      </c>
      <c r="D419" t="s">
        <v>169</v>
      </c>
      <c r="E419" s="198" t="s">
        <v>170</v>
      </c>
      <c r="F419" s="165" t="str">
        <f t="shared" si="55"/>
        <v>YELL_14.16_300_NL2018</v>
      </c>
      <c r="G419" s="165" t="s">
        <v>89</v>
      </c>
      <c r="I419" s="12" t="s">
        <v>47</v>
      </c>
      <c r="J419" s="14">
        <v>300</v>
      </c>
      <c r="K419" s="15" t="s">
        <v>28</v>
      </c>
      <c r="M419" s="16">
        <f t="shared" si="56"/>
        <v>10</v>
      </c>
      <c r="N419" s="15">
        <f>2600+400</f>
        <v>3000</v>
      </c>
      <c r="O419" s="15">
        <v>4000</v>
      </c>
      <c r="P419" s="15">
        <f t="shared" si="54"/>
        <v>12000000</v>
      </c>
      <c r="Q419" s="15" t="str">
        <f t="shared" si="60"/>
        <v/>
      </c>
      <c r="R419" s="18" t="s">
        <v>29</v>
      </c>
      <c r="S419" s="23">
        <v>43645</v>
      </c>
      <c r="T419" s="20">
        <f>IFERROR(VLOOKUP(S419,'Date Converter'!$A$4:$C$368,3,0),"")</f>
        <v>43677</v>
      </c>
      <c r="U419" s="21">
        <f t="shared" si="61"/>
        <v>43677</v>
      </c>
      <c r="Y419" s="15"/>
      <c r="AA419" s="15"/>
      <c r="AB419" s="206"/>
      <c r="AC419" s="15"/>
      <c r="AD419" s="206"/>
      <c r="AE419" s="15"/>
      <c r="AF419" s="244"/>
      <c r="AG419" s="15"/>
      <c r="AH419" s="15">
        <f t="shared" si="57"/>
        <v>0</v>
      </c>
      <c r="AI419" s="22">
        <f t="shared" si="58"/>
        <v>3000</v>
      </c>
      <c r="AJ419" s="22">
        <f t="shared" si="59"/>
        <v>12000000</v>
      </c>
      <c r="AK419" s="165"/>
    </row>
    <row r="420" spans="1:37" hidden="1" outlineLevel="1">
      <c r="A420" t="s">
        <v>312</v>
      </c>
      <c r="B420" s="13">
        <v>43599</v>
      </c>
      <c r="C420" s="13" t="s">
        <v>23</v>
      </c>
      <c r="D420" t="s">
        <v>169</v>
      </c>
      <c r="E420" s="198" t="s">
        <v>170</v>
      </c>
      <c r="F420" s="165" t="str">
        <f t="shared" si="55"/>
        <v>YELL_14.16_300_NL2018</v>
      </c>
      <c r="G420" s="165" t="s">
        <v>89</v>
      </c>
      <c r="I420" s="12" t="s">
        <v>47</v>
      </c>
      <c r="J420" s="14">
        <v>300</v>
      </c>
      <c r="K420" s="15" t="s">
        <v>28</v>
      </c>
      <c r="M420" s="16">
        <f t="shared" si="56"/>
        <v>10</v>
      </c>
      <c r="N420" s="15">
        <f>2600+400</f>
        <v>3000</v>
      </c>
      <c r="O420" s="15">
        <v>4000</v>
      </c>
      <c r="P420" s="15">
        <f t="shared" si="54"/>
        <v>12000000</v>
      </c>
      <c r="Q420" s="15" t="str">
        <f t="shared" si="60"/>
        <v/>
      </c>
      <c r="R420" s="18" t="s">
        <v>29</v>
      </c>
      <c r="S420" s="23">
        <v>43675</v>
      </c>
      <c r="T420" s="20">
        <f>IFERROR(VLOOKUP(S420,'Date Converter'!$A$4:$C$368,3,0),"")</f>
        <v>43706</v>
      </c>
      <c r="U420" s="21">
        <f t="shared" si="61"/>
        <v>43706</v>
      </c>
      <c r="Y420" s="15"/>
      <c r="AA420" s="15"/>
      <c r="AB420" s="206"/>
      <c r="AC420" s="15"/>
      <c r="AD420" s="206"/>
      <c r="AE420" s="15"/>
      <c r="AF420" s="244"/>
      <c r="AG420" s="15"/>
      <c r="AH420" s="15">
        <f t="shared" si="57"/>
        <v>0</v>
      </c>
      <c r="AI420" s="22">
        <f t="shared" si="58"/>
        <v>3000</v>
      </c>
      <c r="AJ420" s="22">
        <f t="shared" si="59"/>
        <v>12000000</v>
      </c>
      <c r="AK420" s="165"/>
    </row>
    <row r="421" spans="1:37" hidden="1" outlineLevel="1">
      <c r="A421" t="s">
        <v>312</v>
      </c>
      <c r="B421" s="13">
        <v>43517</v>
      </c>
      <c r="C421" s="13" t="s">
        <v>23</v>
      </c>
      <c r="D421" t="s">
        <v>169</v>
      </c>
      <c r="E421" s="165" t="s">
        <v>170</v>
      </c>
      <c r="F421" t="str">
        <f t="shared" si="55"/>
        <v>YELL_14.16_300_NL2018</v>
      </c>
      <c r="G421" s="165" t="s">
        <v>89</v>
      </c>
      <c r="I421" s="12" t="s">
        <v>47</v>
      </c>
      <c r="J421" s="14">
        <v>300</v>
      </c>
      <c r="K421" s="15" t="s">
        <v>28</v>
      </c>
      <c r="M421" s="16">
        <f t="shared" si="56"/>
        <v>8</v>
      </c>
      <c r="N421" s="15">
        <v>2400</v>
      </c>
      <c r="O421" s="15">
        <v>3800</v>
      </c>
      <c r="P421" s="15">
        <f t="shared" si="54"/>
        <v>9120000</v>
      </c>
      <c r="Q421" s="15" t="str">
        <f t="shared" si="60"/>
        <v>Done</v>
      </c>
      <c r="R421" s="18" t="s">
        <v>44</v>
      </c>
      <c r="S421" s="23" t="s">
        <v>53</v>
      </c>
      <c r="T421" s="20">
        <f>IFERROR(VLOOKUP(S421,'Date Converter'!$A$4:$C$368,3,0),"")</f>
        <v>43559</v>
      </c>
      <c r="U421" s="21">
        <f t="shared" si="61"/>
        <v>43559</v>
      </c>
      <c r="V421" s="20" t="s">
        <v>54</v>
      </c>
      <c r="W421" s="18" t="s">
        <v>101</v>
      </c>
      <c r="X421" s="18">
        <v>43555</v>
      </c>
      <c r="Y421" s="15" t="s">
        <v>59</v>
      </c>
      <c r="Z421" s="206">
        <v>43563</v>
      </c>
      <c r="AA421" s="15">
        <v>2400</v>
      </c>
      <c r="AB421" s="206"/>
      <c r="AC421" s="15"/>
      <c r="AD421" s="206"/>
      <c r="AE421" s="15"/>
      <c r="AF421" s="244"/>
      <c r="AG421" s="15"/>
      <c r="AH421" s="15">
        <f t="shared" si="57"/>
        <v>2400</v>
      </c>
      <c r="AI421" s="22">
        <f t="shared" si="58"/>
        <v>0</v>
      </c>
      <c r="AJ421" s="22">
        <f t="shared" si="59"/>
        <v>0</v>
      </c>
      <c r="AK421" s="165"/>
    </row>
    <row r="422" spans="1:37" s="165" customFormat="1" hidden="1" outlineLevel="1">
      <c r="A422" s="165" t="s">
        <v>312</v>
      </c>
      <c r="B422" s="13"/>
      <c r="C422" s="13"/>
      <c r="D422" s="165" t="s">
        <v>169</v>
      </c>
      <c r="E422" s="198" t="s">
        <v>170</v>
      </c>
      <c r="F422" s="165" t="str">
        <f t="shared" si="55"/>
        <v>TEBA_14.16_300_NL2018</v>
      </c>
      <c r="G422" s="165" t="s">
        <v>127</v>
      </c>
      <c r="H422" s="12"/>
      <c r="I422" s="12" t="s">
        <v>47</v>
      </c>
      <c r="J422" s="14">
        <v>300</v>
      </c>
      <c r="K422" s="15" t="s">
        <v>28</v>
      </c>
      <c r="L422" s="15"/>
      <c r="M422" s="16">
        <f t="shared" si="56"/>
        <v>10</v>
      </c>
      <c r="N422" s="15">
        <v>3000</v>
      </c>
      <c r="O422" s="15">
        <v>4300</v>
      </c>
      <c r="P422" s="15">
        <f t="shared" si="54"/>
        <v>12900000</v>
      </c>
      <c r="Q422" s="15" t="str">
        <f t="shared" si="60"/>
        <v>Done</v>
      </c>
      <c r="R422" s="18" t="s">
        <v>44</v>
      </c>
      <c r="S422" s="23">
        <v>43590</v>
      </c>
      <c r="T422" s="20">
        <f>IFERROR(VLOOKUP(S422,'Date Converter'!$A$4:$C$368,3,0),"")</f>
        <v>43623</v>
      </c>
      <c r="U422" s="21">
        <f t="shared" si="61"/>
        <v>43623</v>
      </c>
      <c r="V422" s="12"/>
      <c r="W422" s="18"/>
      <c r="X422" s="18"/>
      <c r="Y422" s="15"/>
      <c r="Z422" s="206">
        <v>43626</v>
      </c>
      <c r="AA422" s="15">
        <v>3000</v>
      </c>
      <c r="AB422" s="206"/>
      <c r="AC422" s="15"/>
      <c r="AD422" s="206"/>
      <c r="AE422" s="15"/>
      <c r="AF422" s="244"/>
      <c r="AG422" s="15"/>
      <c r="AH422" s="15">
        <f t="shared" si="57"/>
        <v>3000</v>
      </c>
      <c r="AI422" s="22">
        <f t="shared" si="58"/>
        <v>0</v>
      </c>
      <c r="AJ422" s="22">
        <f t="shared" si="59"/>
        <v>0</v>
      </c>
    </row>
    <row r="423" spans="1:37" s="165" customFormat="1" hidden="1" outlineLevel="1">
      <c r="A423" s="165" t="s">
        <v>312</v>
      </c>
      <c r="B423" s="13">
        <v>43599</v>
      </c>
      <c r="C423" s="13" t="s">
        <v>23</v>
      </c>
      <c r="D423" s="165" t="s">
        <v>169</v>
      </c>
      <c r="E423" s="198" t="s">
        <v>170</v>
      </c>
      <c r="F423" s="165" t="str">
        <f t="shared" si="55"/>
        <v>TEBA_14.16_300_NL2018</v>
      </c>
      <c r="G423" s="165" t="s">
        <v>127</v>
      </c>
      <c r="H423" s="12"/>
      <c r="I423" s="12" t="s">
        <v>47</v>
      </c>
      <c r="J423" s="14">
        <v>300</v>
      </c>
      <c r="K423" s="15" t="s">
        <v>28</v>
      </c>
      <c r="L423" s="15"/>
      <c r="M423" s="16">
        <f t="shared" si="56"/>
        <v>0</v>
      </c>
      <c r="N423" s="15">
        <f>2400-2400</f>
        <v>0</v>
      </c>
      <c r="O423" s="15">
        <v>4400</v>
      </c>
      <c r="P423" s="15">
        <f t="shared" si="54"/>
        <v>0</v>
      </c>
      <c r="Q423" s="15" t="str">
        <f t="shared" si="60"/>
        <v>Canceled</v>
      </c>
      <c r="R423" s="18" t="s">
        <v>71</v>
      </c>
      <c r="S423" s="23">
        <v>43645</v>
      </c>
      <c r="T423" s="20">
        <f>IFERROR(VLOOKUP(S423,'Date Converter'!$A$4:$C$368,3,0),"")</f>
        <v>43677</v>
      </c>
      <c r="U423" s="21">
        <f t="shared" si="61"/>
        <v>43677</v>
      </c>
      <c r="V423" s="12"/>
      <c r="W423" s="18"/>
      <c r="X423" s="18"/>
      <c r="Y423" s="15"/>
      <c r="Z423" s="206"/>
      <c r="AA423" s="15"/>
      <c r="AB423" s="206"/>
      <c r="AC423" s="15"/>
      <c r="AD423" s="206"/>
      <c r="AE423" s="15"/>
      <c r="AF423" s="244"/>
      <c r="AG423" s="15"/>
      <c r="AH423" s="15">
        <f t="shared" si="57"/>
        <v>0</v>
      </c>
      <c r="AI423" s="22">
        <f t="shared" si="58"/>
        <v>0</v>
      </c>
      <c r="AJ423" s="22">
        <f t="shared" si="59"/>
        <v>0</v>
      </c>
    </row>
    <row r="424" spans="1:37" s="165" customFormat="1" hidden="1" outlineLevel="1">
      <c r="A424" s="165" t="s">
        <v>312</v>
      </c>
      <c r="B424" s="13">
        <v>43599</v>
      </c>
      <c r="C424" s="13" t="s">
        <v>23</v>
      </c>
      <c r="D424" s="165" t="s">
        <v>169</v>
      </c>
      <c r="E424" s="198" t="s">
        <v>170</v>
      </c>
      <c r="F424" s="165" t="str">
        <f t="shared" si="55"/>
        <v>TEBA_14.16_300_NL2018</v>
      </c>
      <c r="G424" s="165" t="s">
        <v>127</v>
      </c>
      <c r="H424" s="12"/>
      <c r="I424" s="12" t="s">
        <v>47</v>
      </c>
      <c r="J424" s="14">
        <v>300</v>
      </c>
      <c r="K424" s="15" t="s">
        <v>28</v>
      </c>
      <c r="L424" s="15"/>
      <c r="M424" s="16">
        <f t="shared" si="56"/>
        <v>0</v>
      </c>
      <c r="N424" s="15">
        <f>2400-2400</f>
        <v>0</v>
      </c>
      <c r="O424" s="15">
        <v>4400</v>
      </c>
      <c r="P424" s="15">
        <f t="shared" si="54"/>
        <v>0</v>
      </c>
      <c r="Q424" s="15" t="str">
        <f t="shared" si="60"/>
        <v>Canceled</v>
      </c>
      <c r="R424" s="18" t="s">
        <v>71</v>
      </c>
      <c r="S424" s="23">
        <v>43675</v>
      </c>
      <c r="T424" s="20">
        <f>IFERROR(VLOOKUP(S424,'Date Converter'!$A$4:$C$368,3,0),"")</f>
        <v>43706</v>
      </c>
      <c r="U424" s="21">
        <f t="shared" si="61"/>
        <v>43706</v>
      </c>
      <c r="V424" s="12"/>
      <c r="W424" s="18"/>
      <c r="X424" s="18"/>
      <c r="Y424" s="15"/>
      <c r="Z424" s="206"/>
      <c r="AA424" s="15"/>
      <c r="AB424" s="206"/>
      <c r="AC424" s="15"/>
      <c r="AD424" s="206"/>
      <c r="AE424" s="15"/>
      <c r="AF424" s="244"/>
      <c r="AG424" s="15"/>
      <c r="AH424" s="15">
        <f t="shared" si="57"/>
        <v>0</v>
      </c>
      <c r="AI424" s="22">
        <f t="shared" si="58"/>
        <v>0</v>
      </c>
      <c r="AJ424" s="22">
        <f t="shared" si="59"/>
        <v>0</v>
      </c>
    </row>
    <row r="425" spans="1:37" hidden="1" outlineLevel="1">
      <c r="A425" t="s">
        <v>312</v>
      </c>
      <c r="B425" s="13">
        <v>43517</v>
      </c>
      <c r="C425" s="13" t="s">
        <v>23</v>
      </c>
      <c r="D425" t="s">
        <v>169</v>
      </c>
      <c r="E425" s="165" t="s">
        <v>170</v>
      </c>
      <c r="F425" t="str">
        <f t="shared" si="55"/>
        <v>TEBA_14.16_300_NL2018</v>
      </c>
      <c r="G425" s="165" t="s">
        <v>127</v>
      </c>
      <c r="I425" s="12" t="s">
        <v>47</v>
      </c>
      <c r="J425" s="14">
        <v>300</v>
      </c>
      <c r="K425" s="15" t="s">
        <v>28</v>
      </c>
      <c r="M425" s="16">
        <f t="shared" si="56"/>
        <v>9</v>
      </c>
      <c r="N425" s="15">
        <v>2700</v>
      </c>
      <c r="O425" s="15">
        <v>4100</v>
      </c>
      <c r="P425" s="15">
        <f t="shared" si="54"/>
        <v>11070000</v>
      </c>
      <c r="Q425" s="15" t="str">
        <f t="shared" si="60"/>
        <v>Done</v>
      </c>
      <c r="R425" s="18" t="s">
        <v>44</v>
      </c>
      <c r="S425" s="23" t="s">
        <v>53</v>
      </c>
      <c r="T425" s="20">
        <f>IFERROR(VLOOKUP(S425,'Date Converter'!$A$4:$C$368,3,0),"")</f>
        <v>43559</v>
      </c>
      <c r="U425" s="21">
        <f t="shared" si="61"/>
        <v>43559</v>
      </c>
      <c r="V425" s="20" t="s">
        <v>54</v>
      </c>
      <c r="W425" s="18" t="s">
        <v>82</v>
      </c>
      <c r="X425" s="18">
        <v>43555</v>
      </c>
      <c r="Y425" s="15" t="s">
        <v>59</v>
      </c>
      <c r="Z425" s="206">
        <v>43563</v>
      </c>
      <c r="AA425" s="15">
        <v>2700</v>
      </c>
      <c r="AB425" s="206"/>
      <c r="AC425" s="15"/>
      <c r="AD425" s="206"/>
      <c r="AE425" s="15"/>
      <c r="AF425" s="244"/>
      <c r="AG425" s="15"/>
      <c r="AH425" s="15">
        <f t="shared" si="57"/>
        <v>2700</v>
      </c>
      <c r="AI425" s="22">
        <f t="shared" si="58"/>
        <v>0</v>
      </c>
      <c r="AJ425" s="22">
        <f t="shared" si="59"/>
        <v>0</v>
      </c>
      <c r="AK425" s="165"/>
    </row>
    <row r="426" spans="1:37" hidden="1" outlineLevel="1">
      <c r="A426" t="s">
        <v>312</v>
      </c>
      <c r="B426" s="13">
        <v>43517</v>
      </c>
      <c r="C426" s="13" t="s">
        <v>23</v>
      </c>
      <c r="D426" t="s">
        <v>169</v>
      </c>
      <c r="E426" s="198" t="s">
        <v>170</v>
      </c>
      <c r="F426" t="str">
        <f t="shared" si="55"/>
        <v>ROBI_16.18_200_NL2018</v>
      </c>
      <c r="G426" s="165" t="s">
        <v>61</v>
      </c>
      <c r="I426" s="12" t="s">
        <v>35</v>
      </c>
      <c r="J426" s="14">
        <v>200</v>
      </c>
      <c r="K426" s="15" t="s">
        <v>28</v>
      </c>
      <c r="M426" s="16">
        <f t="shared" si="56"/>
        <v>13</v>
      </c>
      <c r="N426" s="15">
        <f>2600</f>
        <v>2600</v>
      </c>
      <c r="O426" s="15">
        <f>5000+170</f>
        <v>5170</v>
      </c>
      <c r="P426" s="15">
        <f t="shared" si="54"/>
        <v>13442000</v>
      </c>
      <c r="Q426" s="15" t="str">
        <f t="shared" si="60"/>
        <v>Done</v>
      </c>
      <c r="R426" s="18" t="s">
        <v>44</v>
      </c>
      <c r="S426" s="23">
        <v>43572</v>
      </c>
      <c r="T426" s="20">
        <f>IFERROR(VLOOKUP(S426,'Date Converter'!$A$4:$C$368,3,0),"")</f>
        <v>43606</v>
      </c>
      <c r="U426" s="21">
        <f t="shared" si="61"/>
        <v>43606</v>
      </c>
      <c r="V426" s="12" t="s">
        <v>171</v>
      </c>
      <c r="Y426" s="15" t="s">
        <v>59</v>
      </c>
      <c r="Z426" s="206">
        <v>43606</v>
      </c>
      <c r="AA426" s="15">
        <v>1400</v>
      </c>
      <c r="AB426" s="206">
        <v>43612</v>
      </c>
      <c r="AC426" s="15">
        <v>1200</v>
      </c>
      <c r="AD426" s="206"/>
      <c r="AE426" s="15"/>
      <c r="AF426" s="244"/>
      <c r="AG426" s="15"/>
      <c r="AH426" s="15">
        <f t="shared" si="57"/>
        <v>2600</v>
      </c>
      <c r="AI426" s="22">
        <f t="shared" si="58"/>
        <v>0</v>
      </c>
      <c r="AJ426" s="22">
        <f t="shared" si="59"/>
        <v>0</v>
      </c>
      <c r="AK426" s="165"/>
    </row>
    <row r="427" spans="1:37" hidden="1" outlineLevel="1">
      <c r="A427" t="s">
        <v>312</v>
      </c>
      <c r="B427" s="13">
        <v>43599</v>
      </c>
      <c r="C427" s="13" t="s">
        <v>23</v>
      </c>
      <c r="D427" t="s">
        <v>169</v>
      </c>
      <c r="E427" s="198" t="s">
        <v>170</v>
      </c>
      <c r="F427" t="str">
        <f t="shared" si="55"/>
        <v>NELL_12.14_400_NL2018</v>
      </c>
      <c r="G427" s="165" t="s">
        <v>131</v>
      </c>
      <c r="I427" s="12" t="s">
        <v>113</v>
      </c>
      <c r="J427" s="14">
        <v>400</v>
      </c>
      <c r="K427" s="15" t="s">
        <v>28</v>
      </c>
      <c r="M427" s="16">
        <f t="shared" si="56"/>
        <v>0</v>
      </c>
      <c r="N427" s="15">
        <f>5200-5200</f>
        <v>0</v>
      </c>
      <c r="O427" s="15">
        <v>3200</v>
      </c>
      <c r="P427" s="15">
        <f t="shared" si="54"/>
        <v>0</v>
      </c>
      <c r="Q427" s="15" t="str">
        <f t="shared" si="60"/>
        <v>Canceled</v>
      </c>
      <c r="R427" s="18" t="s">
        <v>71</v>
      </c>
      <c r="S427" s="23">
        <v>43610</v>
      </c>
      <c r="T427" s="20">
        <f>IFERROR(VLOOKUP(S427,'Date Converter'!$A$4:$C$368,3,0),"")</f>
        <v>43643</v>
      </c>
      <c r="U427" s="21">
        <f t="shared" si="61"/>
        <v>43643</v>
      </c>
      <c r="Y427" s="15"/>
      <c r="AA427" s="15"/>
      <c r="AB427" s="206"/>
      <c r="AC427" s="15"/>
      <c r="AD427" s="206"/>
      <c r="AE427" s="15"/>
      <c r="AF427" s="244"/>
      <c r="AG427" s="15"/>
      <c r="AH427" s="15">
        <f t="shared" si="57"/>
        <v>0</v>
      </c>
      <c r="AI427" s="22">
        <f t="shared" si="58"/>
        <v>0</v>
      </c>
      <c r="AJ427" s="22">
        <f t="shared" si="59"/>
        <v>0</v>
      </c>
      <c r="AK427" s="165"/>
    </row>
    <row r="428" spans="1:37" s="165" customFormat="1" hidden="1" outlineLevel="1">
      <c r="A428" s="165" t="s">
        <v>312</v>
      </c>
      <c r="B428" s="13">
        <v>43517</v>
      </c>
      <c r="C428" s="13" t="s">
        <v>23</v>
      </c>
      <c r="D428" s="165" t="s">
        <v>169</v>
      </c>
      <c r="E428" s="198" t="s">
        <v>170</v>
      </c>
      <c r="F428" s="165" t="str">
        <f t="shared" si="55"/>
        <v>CONC_16.18_200_NL2018</v>
      </c>
      <c r="G428" s="165" t="s">
        <v>43</v>
      </c>
      <c r="H428" s="12"/>
      <c r="I428" s="12" t="s">
        <v>35</v>
      </c>
      <c r="J428" s="14">
        <v>200</v>
      </c>
      <c r="K428" s="15" t="s">
        <v>28</v>
      </c>
      <c r="L428" s="15"/>
      <c r="M428" s="16">
        <f t="shared" si="56"/>
        <v>12</v>
      </c>
      <c r="N428" s="15">
        <f>2400</f>
        <v>2400</v>
      </c>
      <c r="O428" s="15">
        <f>5000+170</f>
        <v>5170</v>
      </c>
      <c r="P428" s="15">
        <f t="shared" si="54"/>
        <v>12408000</v>
      </c>
      <c r="Q428" s="15" t="str">
        <f t="shared" si="60"/>
        <v>Done</v>
      </c>
      <c r="R428" s="18" t="s">
        <v>44</v>
      </c>
      <c r="S428" s="23">
        <v>43572</v>
      </c>
      <c r="T428" s="20">
        <f>IFERROR(VLOOKUP(S428,'Date Converter'!$A$4:$C$368,3,0),"")</f>
        <v>43606</v>
      </c>
      <c r="U428" s="21">
        <f t="shared" si="61"/>
        <v>43606</v>
      </c>
      <c r="V428" s="12" t="s">
        <v>171</v>
      </c>
      <c r="W428" s="18"/>
      <c r="X428" s="18"/>
      <c r="Y428" s="15" t="s">
        <v>59</v>
      </c>
      <c r="Z428" s="206">
        <v>43606</v>
      </c>
      <c r="AA428" s="15">
        <v>1200</v>
      </c>
      <c r="AB428" s="206">
        <v>43612</v>
      </c>
      <c r="AC428" s="15">
        <v>1200</v>
      </c>
      <c r="AD428" s="206"/>
      <c r="AE428" s="15"/>
      <c r="AF428" s="244"/>
      <c r="AG428" s="15"/>
      <c r="AH428" s="15">
        <f t="shared" si="57"/>
        <v>2400</v>
      </c>
      <c r="AI428" s="22">
        <f t="shared" si="58"/>
        <v>0</v>
      </c>
      <c r="AJ428" s="22">
        <f t="shared" si="59"/>
        <v>0</v>
      </c>
    </row>
    <row r="429" spans="1:37" hidden="1" outlineLevel="1">
      <c r="A429" t="s">
        <v>1663</v>
      </c>
      <c r="B429" s="13">
        <v>43517</v>
      </c>
      <c r="C429" s="267" t="s">
        <v>1622</v>
      </c>
      <c r="D429" s="258" t="s">
        <v>785</v>
      </c>
      <c r="E429" s="97" t="s">
        <v>786</v>
      </c>
      <c r="F429" t="str">
        <f t="shared" si="55"/>
        <v>PROF_20.22_125_NL2018</v>
      </c>
      <c r="G429" s="165" t="s">
        <v>56</v>
      </c>
      <c r="I429" s="12" t="s">
        <v>74</v>
      </c>
      <c r="J429" s="14">
        <v>125</v>
      </c>
      <c r="K429" s="15" t="s">
        <v>28</v>
      </c>
      <c r="M429" s="16">
        <f t="shared" si="56"/>
        <v>48</v>
      </c>
      <c r="N429" s="15">
        <v>6000</v>
      </c>
      <c r="O429" s="15">
        <v>13000</v>
      </c>
      <c r="P429" s="15">
        <f t="shared" si="54"/>
        <v>78000000</v>
      </c>
      <c r="Q429" s="15" t="str">
        <f t="shared" si="60"/>
        <v/>
      </c>
      <c r="R429" s="18" t="s">
        <v>29</v>
      </c>
      <c r="S429" s="117">
        <v>43709</v>
      </c>
      <c r="T429" s="20">
        <f>IFERROR(VLOOKUP(S429,'Date Converter'!$A$4:$C$368,3,0),"")</f>
        <v>43737</v>
      </c>
      <c r="U429" s="21">
        <f t="shared" si="61"/>
        <v>43737</v>
      </c>
      <c r="V429" s="12" t="s">
        <v>51</v>
      </c>
      <c r="Y429" s="18"/>
      <c r="Z429" s="210"/>
      <c r="AA429" s="15">
        <v>0</v>
      </c>
      <c r="AB429" s="210"/>
      <c r="AC429" s="15"/>
      <c r="AD429" s="15"/>
      <c r="AE429" s="15"/>
      <c r="AF429" s="244"/>
      <c r="AG429" s="15"/>
      <c r="AH429" s="15">
        <f t="shared" si="57"/>
        <v>0</v>
      </c>
      <c r="AI429" s="22">
        <f t="shared" si="58"/>
        <v>6000</v>
      </c>
      <c r="AJ429" s="22">
        <f t="shared" si="59"/>
        <v>78000000</v>
      </c>
      <c r="AK429" s="13">
        <v>43835</v>
      </c>
    </row>
    <row r="430" spans="1:37" s="165" customFormat="1" hidden="1" outlineLevel="1">
      <c r="A430" s="165" t="s">
        <v>1663</v>
      </c>
      <c r="B430" s="13">
        <v>43517</v>
      </c>
      <c r="C430" s="267" t="s">
        <v>1622</v>
      </c>
      <c r="D430" s="258" t="s">
        <v>785</v>
      </c>
      <c r="E430" s="97" t="s">
        <v>786</v>
      </c>
      <c r="F430" s="165" t="str">
        <f t="shared" si="55"/>
        <v>CONC_20.22_125_NL2018</v>
      </c>
      <c r="G430" s="165" t="s">
        <v>40</v>
      </c>
      <c r="H430" s="12"/>
      <c r="I430" s="12" t="s">
        <v>74</v>
      </c>
      <c r="J430" s="14">
        <v>125</v>
      </c>
      <c r="K430" s="15" t="s">
        <v>28</v>
      </c>
      <c r="L430" s="15"/>
      <c r="M430" s="16">
        <f t="shared" si="56"/>
        <v>13</v>
      </c>
      <c r="N430" s="15">
        <v>1625</v>
      </c>
      <c r="O430" s="15">
        <v>0</v>
      </c>
      <c r="P430" s="15">
        <f t="shared" si="54"/>
        <v>0</v>
      </c>
      <c r="Q430" s="15" t="str">
        <f t="shared" si="60"/>
        <v/>
      </c>
      <c r="R430" s="18" t="s">
        <v>29</v>
      </c>
      <c r="S430" s="117">
        <v>43709</v>
      </c>
      <c r="T430" s="20">
        <f>IFERROR(VLOOKUP(S430,'Date Converter'!$A$4:$C$368,3,0),"")</f>
        <v>43737</v>
      </c>
      <c r="U430" s="21">
        <f t="shared" si="61"/>
        <v>43737</v>
      </c>
      <c r="V430" s="12" t="s">
        <v>1664</v>
      </c>
      <c r="W430" s="18"/>
      <c r="X430" s="18"/>
      <c r="Y430" s="18"/>
      <c r="Z430" s="210"/>
      <c r="AA430" s="15">
        <v>0</v>
      </c>
      <c r="AB430" s="210"/>
      <c r="AC430" s="15"/>
      <c r="AD430" s="15"/>
      <c r="AE430" s="15"/>
      <c r="AF430" s="244"/>
      <c r="AG430" s="15"/>
      <c r="AH430" s="15">
        <f t="shared" si="57"/>
        <v>0</v>
      </c>
      <c r="AI430" s="22">
        <f t="shared" si="58"/>
        <v>1625</v>
      </c>
      <c r="AJ430" s="22">
        <f t="shared" si="59"/>
        <v>0</v>
      </c>
      <c r="AK430" s="13">
        <v>43835</v>
      </c>
    </row>
    <row r="431" spans="1:37" hidden="1" outlineLevel="1">
      <c r="A431" t="s">
        <v>1663</v>
      </c>
      <c r="B431" s="13">
        <v>43517</v>
      </c>
      <c r="C431" s="267" t="s">
        <v>1622</v>
      </c>
      <c r="D431" s="258" t="s">
        <v>785</v>
      </c>
      <c r="E431" s="97" t="s">
        <v>786</v>
      </c>
      <c r="F431" t="str">
        <f t="shared" si="55"/>
        <v>CONC_22.24_100_NL2018</v>
      </c>
      <c r="G431" s="165" t="s">
        <v>40</v>
      </c>
      <c r="I431" s="12" t="s">
        <v>78</v>
      </c>
      <c r="J431" s="14">
        <v>100</v>
      </c>
      <c r="K431" s="15" t="s">
        <v>28</v>
      </c>
      <c r="M431" s="16">
        <f t="shared" si="56"/>
        <v>60</v>
      </c>
      <c r="N431" s="15">
        <v>6000</v>
      </c>
      <c r="O431" s="15">
        <v>12500</v>
      </c>
      <c r="P431" s="15">
        <f t="shared" si="54"/>
        <v>75000000</v>
      </c>
      <c r="Q431" s="15" t="str">
        <f t="shared" si="60"/>
        <v/>
      </c>
      <c r="R431" s="18" t="s">
        <v>29</v>
      </c>
      <c r="S431" s="117">
        <v>43709</v>
      </c>
      <c r="T431" s="20">
        <f>IFERROR(VLOOKUP(S431,'Date Converter'!$A$4:$C$368,3,0),"")</f>
        <v>43737</v>
      </c>
      <c r="U431" s="21">
        <f t="shared" si="61"/>
        <v>43737</v>
      </c>
      <c r="V431" s="12" t="s">
        <v>51</v>
      </c>
      <c r="Y431" s="18"/>
      <c r="Z431" s="210"/>
      <c r="AA431" s="15">
        <v>0</v>
      </c>
      <c r="AB431" s="210"/>
      <c r="AC431" s="15"/>
      <c r="AD431" s="15"/>
      <c r="AE431" s="15"/>
      <c r="AF431" s="244"/>
      <c r="AG431" s="15"/>
      <c r="AH431" s="15">
        <f t="shared" si="57"/>
        <v>0</v>
      </c>
      <c r="AI431" s="22">
        <f t="shared" si="58"/>
        <v>6000</v>
      </c>
      <c r="AJ431" s="22">
        <f t="shared" si="59"/>
        <v>75000000</v>
      </c>
      <c r="AK431" s="13">
        <v>43835</v>
      </c>
    </row>
    <row r="432" spans="1:37" hidden="1" outlineLevel="1">
      <c r="A432" t="s">
        <v>1665</v>
      </c>
      <c r="B432" s="13">
        <v>43532</v>
      </c>
      <c r="C432" s="267" t="s">
        <v>1622</v>
      </c>
      <c r="D432" s="258" t="s">
        <v>979</v>
      </c>
      <c r="E432" s="13" t="s">
        <v>980</v>
      </c>
      <c r="F432" t="str">
        <f t="shared" si="55"/>
        <v>YELL_16.18_200_NL2018</v>
      </c>
      <c r="G432" s="165" t="s">
        <v>89</v>
      </c>
      <c r="I432" s="12" t="s">
        <v>35</v>
      </c>
      <c r="J432" s="14">
        <v>200</v>
      </c>
      <c r="K432" s="15" t="s">
        <v>28</v>
      </c>
      <c r="M432" s="16">
        <f t="shared" si="56"/>
        <v>25</v>
      </c>
      <c r="N432" s="15">
        <v>5000</v>
      </c>
      <c r="O432" s="15">
        <v>5600</v>
      </c>
      <c r="P432" s="15">
        <f t="shared" si="54"/>
        <v>28000000</v>
      </c>
      <c r="Q432" s="15" t="str">
        <f t="shared" si="60"/>
        <v/>
      </c>
      <c r="R432" s="18" t="s">
        <v>29</v>
      </c>
      <c r="S432" s="117">
        <v>43709</v>
      </c>
      <c r="T432" s="20">
        <f>IFERROR(VLOOKUP(S432,'Date Converter'!$A$4:$C$368,3,0),"")</f>
        <v>43737</v>
      </c>
      <c r="U432" s="21">
        <f t="shared" si="61"/>
        <v>43737</v>
      </c>
      <c r="V432" s="12" t="s">
        <v>51</v>
      </c>
      <c r="Y432" s="18"/>
      <c r="Z432" s="210"/>
      <c r="AA432" s="15">
        <v>0</v>
      </c>
      <c r="AB432" s="210"/>
      <c r="AC432" s="15"/>
      <c r="AD432" s="15"/>
      <c r="AE432" s="15"/>
      <c r="AF432" s="244"/>
      <c r="AG432" s="15"/>
      <c r="AH432" s="15">
        <f t="shared" si="57"/>
        <v>0</v>
      </c>
      <c r="AI432" s="22">
        <f t="shared" si="58"/>
        <v>5000</v>
      </c>
      <c r="AJ432" s="22">
        <f t="shared" si="59"/>
        <v>28000000</v>
      </c>
      <c r="AK432" s="165"/>
    </row>
    <row r="433" spans="1:37" hidden="1" outlineLevel="1">
      <c r="A433" s="165" t="s">
        <v>1665</v>
      </c>
      <c r="B433" s="13">
        <v>43532</v>
      </c>
      <c r="C433" s="267" t="s">
        <v>1622</v>
      </c>
      <c r="D433" s="258" t="s">
        <v>979</v>
      </c>
      <c r="E433" s="13" t="s">
        <v>980</v>
      </c>
      <c r="F433" s="165" t="str">
        <f t="shared" si="55"/>
        <v>ROBI_18.20_150_NL2018</v>
      </c>
      <c r="G433" s="165" t="s">
        <v>61</v>
      </c>
      <c r="I433" s="12" t="s">
        <v>27</v>
      </c>
      <c r="J433" s="14">
        <v>150</v>
      </c>
      <c r="K433" s="15" t="s">
        <v>28</v>
      </c>
      <c r="M433" s="16">
        <f t="shared" si="56"/>
        <v>27</v>
      </c>
      <c r="N433" s="15">
        <v>4050</v>
      </c>
      <c r="O433" s="15">
        <v>7200</v>
      </c>
      <c r="P433" s="15">
        <f t="shared" si="54"/>
        <v>29160000</v>
      </c>
      <c r="Q433" s="15" t="str">
        <f t="shared" si="60"/>
        <v/>
      </c>
      <c r="R433" s="18" t="s">
        <v>29</v>
      </c>
      <c r="S433" s="117">
        <v>43709</v>
      </c>
      <c r="T433" s="20">
        <f>IFERROR(VLOOKUP(S433,'Date Converter'!$A$4:$C$368,3,0),"")</f>
        <v>43737</v>
      </c>
      <c r="U433" s="21">
        <f t="shared" si="61"/>
        <v>43737</v>
      </c>
      <c r="V433" s="12" t="s">
        <v>51</v>
      </c>
      <c r="Y433" s="18"/>
      <c r="Z433" s="210"/>
      <c r="AA433" s="15">
        <v>0</v>
      </c>
      <c r="AB433" s="210"/>
      <c r="AC433" s="15"/>
      <c r="AD433" s="15"/>
      <c r="AE433" s="15"/>
      <c r="AF433" s="244"/>
      <c r="AG433" s="15"/>
      <c r="AH433" s="15">
        <f t="shared" si="57"/>
        <v>0</v>
      </c>
      <c r="AI433" s="22">
        <f t="shared" si="58"/>
        <v>4050</v>
      </c>
      <c r="AJ433" s="22">
        <f t="shared" si="59"/>
        <v>29160000</v>
      </c>
      <c r="AK433" s="165"/>
    </row>
    <row r="434" spans="1:37" hidden="1" outlineLevel="1">
      <c r="A434" t="s">
        <v>1665</v>
      </c>
      <c r="B434" s="13">
        <v>43532</v>
      </c>
      <c r="C434" s="267" t="s">
        <v>1622</v>
      </c>
      <c r="D434" s="258" t="s">
        <v>979</v>
      </c>
      <c r="E434" s="13" t="s">
        <v>980</v>
      </c>
      <c r="F434" t="str">
        <f t="shared" si="55"/>
        <v>ROBI_22.24_100_NL2018</v>
      </c>
      <c r="G434" s="165" t="s">
        <v>61</v>
      </c>
      <c r="I434" s="12" t="s">
        <v>78</v>
      </c>
      <c r="J434" s="14">
        <v>100</v>
      </c>
      <c r="K434" s="15" t="s">
        <v>28</v>
      </c>
      <c r="M434" s="16">
        <f t="shared" si="56"/>
        <v>60</v>
      </c>
      <c r="N434" s="15">
        <v>6000</v>
      </c>
      <c r="O434" s="15">
        <v>12500</v>
      </c>
      <c r="P434" s="15">
        <f t="shared" si="54"/>
        <v>75000000</v>
      </c>
      <c r="Q434" s="15" t="str">
        <f t="shared" si="60"/>
        <v/>
      </c>
      <c r="R434" s="18" t="s">
        <v>29</v>
      </c>
      <c r="S434" s="117">
        <v>43709</v>
      </c>
      <c r="T434" s="20">
        <f>IFERROR(VLOOKUP(S434,'Date Converter'!$A$4:$C$368,3,0),"")</f>
        <v>43737</v>
      </c>
      <c r="U434" s="21">
        <f t="shared" si="61"/>
        <v>43737</v>
      </c>
      <c r="V434" s="12" t="s">
        <v>51</v>
      </c>
      <c r="Y434" s="18"/>
      <c r="Z434" s="210"/>
      <c r="AA434" s="15">
        <v>0</v>
      </c>
      <c r="AB434" s="210"/>
      <c r="AC434" s="15"/>
      <c r="AD434" s="15"/>
      <c r="AE434" s="15"/>
      <c r="AF434" s="244"/>
      <c r="AG434" s="15"/>
      <c r="AH434" s="15">
        <f t="shared" si="57"/>
        <v>0</v>
      </c>
      <c r="AI434" s="22">
        <f t="shared" si="58"/>
        <v>6000</v>
      </c>
      <c r="AJ434" s="22">
        <f t="shared" si="59"/>
        <v>75000000</v>
      </c>
      <c r="AK434" s="165"/>
    </row>
    <row r="435" spans="1:37" hidden="1" outlineLevel="1">
      <c r="A435" t="s">
        <v>1665</v>
      </c>
      <c r="B435" s="13">
        <v>43532</v>
      </c>
      <c r="C435" s="267" t="s">
        <v>1622</v>
      </c>
      <c r="D435" s="258" t="s">
        <v>979</v>
      </c>
      <c r="E435" s="13" t="s">
        <v>980</v>
      </c>
      <c r="F435" t="str">
        <f t="shared" si="55"/>
        <v>CONC_20.22_125_NL2018</v>
      </c>
      <c r="G435" s="165" t="s">
        <v>40</v>
      </c>
      <c r="I435" s="12" t="s">
        <v>74</v>
      </c>
      <c r="J435" s="14">
        <v>125</v>
      </c>
      <c r="K435" s="15" t="s">
        <v>28</v>
      </c>
      <c r="M435" s="16">
        <f t="shared" si="56"/>
        <v>48</v>
      </c>
      <c r="N435" s="15">
        <v>6000</v>
      </c>
      <c r="O435" s="15">
        <v>10500</v>
      </c>
      <c r="P435" s="15">
        <f t="shared" si="54"/>
        <v>63000000</v>
      </c>
      <c r="Q435" s="15" t="str">
        <f t="shared" si="60"/>
        <v/>
      </c>
      <c r="R435" s="18" t="s">
        <v>29</v>
      </c>
      <c r="S435" s="117">
        <v>43709</v>
      </c>
      <c r="T435" s="20">
        <f>IFERROR(VLOOKUP(S435,'Date Converter'!$A$4:$C$368,3,0),"")</f>
        <v>43737</v>
      </c>
      <c r="U435" s="21">
        <f t="shared" si="61"/>
        <v>43737</v>
      </c>
      <c r="V435" s="12" t="s">
        <v>51</v>
      </c>
      <c r="Y435" s="18"/>
      <c r="Z435" s="210"/>
      <c r="AA435" s="15">
        <v>0</v>
      </c>
      <c r="AB435" s="210"/>
      <c r="AC435" s="15"/>
      <c r="AD435" s="15"/>
      <c r="AE435" s="15"/>
      <c r="AF435" s="244"/>
      <c r="AG435" s="15"/>
      <c r="AH435" s="15">
        <f t="shared" si="57"/>
        <v>0</v>
      </c>
      <c r="AI435" s="22">
        <f t="shared" si="58"/>
        <v>6000</v>
      </c>
      <c r="AJ435" s="22">
        <f t="shared" si="59"/>
        <v>63000000</v>
      </c>
      <c r="AK435" s="165"/>
    </row>
    <row r="436" spans="1:37" hidden="1" outlineLevel="1">
      <c r="A436" t="s">
        <v>489</v>
      </c>
      <c r="C436" s="13" t="s">
        <v>23</v>
      </c>
      <c r="D436" t="s">
        <v>225</v>
      </c>
      <c r="E436" s="13" t="s">
        <v>226</v>
      </c>
      <c r="F436" t="str">
        <f t="shared" si="55"/>
        <v>SERA_14.16_300_NL2018</v>
      </c>
      <c r="G436" s="165" t="s">
        <v>227</v>
      </c>
      <c r="I436" s="24" t="s">
        <v>47</v>
      </c>
      <c r="J436" s="31" t="s">
        <v>124</v>
      </c>
      <c r="K436" s="15" t="s">
        <v>28</v>
      </c>
      <c r="M436" s="16">
        <f t="shared" si="56"/>
        <v>34</v>
      </c>
      <c r="N436" s="185">
        <v>10200</v>
      </c>
      <c r="O436" s="15">
        <v>3600</v>
      </c>
      <c r="P436" s="15">
        <f t="shared" si="54"/>
        <v>36720000</v>
      </c>
      <c r="Q436" s="15" t="str">
        <f t="shared" si="60"/>
        <v>Done</v>
      </c>
      <c r="R436" s="18" t="s">
        <v>44</v>
      </c>
      <c r="S436" s="23">
        <v>43511</v>
      </c>
      <c r="T436" s="20">
        <f>IFERROR(VLOOKUP(S436,'Date Converter'!$A$4:$C$368,3,0),"")</f>
        <v>43544</v>
      </c>
      <c r="U436" s="21">
        <f t="shared" si="61"/>
        <v>43544</v>
      </c>
      <c r="V436" s="12" t="s">
        <v>32</v>
      </c>
      <c r="W436" s="18" t="s">
        <v>41</v>
      </c>
      <c r="X436" s="18">
        <v>43541</v>
      </c>
      <c r="Z436" s="206">
        <v>43543</v>
      </c>
      <c r="AA436" s="15">
        <v>10200</v>
      </c>
      <c r="AB436" s="206"/>
      <c r="AD436" s="206"/>
      <c r="AH436" s="15">
        <f t="shared" si="57"/>
        <v>10200</v>
      </c>
      <c r="AI436" s="22">
        <f t="shared" si="58"/>
        <v>0</v>
      </c>
      <c r="AJ436" s="22">
        <f t="shared" si="59"/>
        <v>0</v>
      </c>
      <c r="AK436" s="165"/>
    </row>
    <row r="437" spans="1:37" s="165" customFormat="1" hidden="1" outlineLevel="1">
      <c r="A437" s="165" t="s">
        <v>489</v>
      </c>
      <c r="B437" s="12"/>
      <c r="C437" s="13" t="s">
        <v>23</v>
      </c>
      <c r="D437" s="165" t="s">
        <v>225</v>
      </c>
      <c r="E437" s="13" t="s">
        <v>226</v>
      </c>
      <c r="F437" s="165" t="str">
        <f t="shared" si="55"/>
        <v>DALI_14.16_300_NL2018</v>
      </c>
      <c r="G437" s="165" t="s">
        <v>46</v>
      </c>
      <c r="H437" s="12"/>
      <c r="I437" s="24" t="s">
        <v>47</v>
      </c>
      <c r="J437" s="14">
        <v>300</v>
      </c>
      <c r="K437" s="15" t="s">
        <v>28</v>
      </c>
      <c r="L437" s="15"/>
      <c r="M437" s="16">
        <f t="shared" si="56"/>
        <v>7</v>
      </c>
      <c r="N437" s="15">
        <v>2100</v>
      </c>
      <c r="O437" s="15">
        <v>5300</v>
      </c>
      <c r="P437" s="15">
        <f t="shared" si="54"/>
        <v>11130000</v>
      </c>
      <c r="Q437" s="15" t="str">
        <f t="shared" si="60"/>
        <v>Done</v>
      </c>
      <c r="R437" s="18" t="s">
        <v>44</v>
      </c>
      <c r="S437" s="23">
        <v>43511</v>
      </c>
      <c r="T437" s="20">
        <f>IFERROR(VLOOKUP(S437,'Date Converter'!$A$4:$C$368,3,0),"")</f>
        <v>43544</v>
      </c>
      <c r="U437" s="21">
        <f t="shared" si="61"/>
        <v>43544</v>
      </c>
      <c r="V437" s="12" t="s">
        <v>32</v>
      </c>
      <c r="W437" s="18" t="s">
        <v>48</v>
      </c>
      <c r="X437" s="18">
        <v>43541</v>
      </c>
      <c r="Y437" s="12"/>
      <c r="Z437" s="206">
        <v>43543</v>
      </c>
      <c r="AA437" s="15">
        <v>2100</v>
      </c>
      <c r="AB437" s="206"/>
      <c r="AC437" s="12"/>
      <c r="AD437" s="206"/>
      <c r="AE437" s="12"/>
      <c r="AF437" s="245"/>
      <c r="AG437" s="12"/>
      <c r="AH437" s="15">
        <f t="shared" si="57"/>
        <v>2100</v>
      </c>
      <c r="AI437" s="22">
        <f t="shared" si="58"/>
        <v>0</v>
      </c>
      <c r="AJ437" s="22">
        <f t="shared" si="59"/>
        <v>0</v>
      </c>
    </row>
    <row r="438" spans="1:37" s="165" customFormat="1" hidden="1" outlineLevel="1">
      <c r="A438" s="165" t="s">
        <v>488</v>
      </c>
      <c r="B438" s="13">
        <v>43551</v>
      </c>
      <c r="C438" s="13" t="s">
        <v>23</v>
      </c>
      <c r="D438" s="165" t="s">
        <v>225</v>
      </c>
      <c r="E438" s="13" t="s">
        <v>226</v>
      </c>
      <c r="F438" s="165" t="str">
        <f t="shared" si="55"/>
        <v>ALUS_14.16_300_NL2018</v>
      </c>
      <c r="G438" s="13" t="s">
        <v>501</v>
      </c>
      <c r="H438" s="12"/>
      <c r="I438" s="24" t="s">
        <v>47</v>
      </c>
      <c r="J438" s="31" t="s">
        <v>124</v>
      </c>
      <c r="K438" s="15" t="s">
        <v>28</v>
      </c>
      <c r="L438" s="15"/>
      <c r="M438" s="16">
        <f t="shared" si="56"/>
        <v>7</v>
      </c>
      <c r="N438" s="15">
        <v>2100</v>
      </c>
      <c r="O438" s="15">
        <v>4000</v>
      </c>
      <c r="P438" s="15">
        <f t="shared" ref="P438:P502" si="62">+O438*N438</f>
        <v>8400000</v>
      </c>
      <c r="Q438" s="15" t="str">
        <f t="shared" si="60"/>
        <v>Done</v>
      </c>
      <c r="R438" s="18" t="s">
        <v>44</v>
      </c>
      <c r="S438" s="23" t="s">
        <v>500</v>
      </c>
      <c r="T438" s="20" t="str">
        <f>IFERROR(VLOOKUP(S438,'Date Converter'!$A$4:$C$368,3,0),"")</f>
        <v/>
      </c>
      <c r="U438" s="21" t="str">
        <f t="shared" si="61"/>
        <v/>
      </c>
      <c r="V438" s="12" t="s">
        <v>32</v>
      </c>
      <c r="W438" s="18"/>
      <c r="X438" s="18"/>
      <c r="Y438" s="12"/>
      <c r="Z438" s="206">
        <v>43558</v>
      </c>
      <c r="AA438" s="15">
        <v>2100</v>
      </c>
      <c r="AB438" s="206"/>
      <c r="AC438" s="12"/>
      <c r="AD438" s="206"/>
      <c r="AE438" s="12"/>
      <c r="AF438" s="245"/>
      <c r="AG438" s="12"/>
      <c r="AH438" s="15">
        <f t="shared" si="57"/>
        <v>2100</v>
      </c>
      <c r="AI438" s="22">
        <f t="shared" si="58"/>
        <v>0</v>
      </c>
      <c r="AJ438" s="22">
        <f t="shared" si="59"/>
        <v>0</v>
      </c>
    </row>
    <row r="439" spans="1:37" s="165" customFormat="1" hidden="1" outlineLevel="1">
      <c r="A439" s="165" t="s">
        <v>2384</v>
      </c>
      <c r="B439" s="13">
        <v>43640</v>
      </c>
      <c r="C439" s="266" t="s">
        <v>23</v>
      </c>
      <c r="D439" s="258" t="s">
        <v>225</v>
      </c>
      <c r="E439" s="13" t="s">
        <v>226</v>
      </c>
      <c r="F439" s="165" t="str">
        <f t="shared" si="55"/>
        <v>DALI_20.22_125_NL2018</v>
      </c>
      <c r="G439" s="165" t="s">
        <v>46</v>
      </c>
      <c r="H439" s="12"/>
      <c r="I439" s="24" t="s">
        <v>74</v>
      </c>
      <c r="J439" s="31" t="s">
        <v>122</v>
      </c>
      <c r="K439" s="15" t="s">
        <v>28</v>
      </c>
      <c r="L439" s="15"/>
      <c r="M439" s="16">
        <f t="shared" si="56"/>
        <v>40</v>
      </c>
      <c r="N439" s="15">
        <v>5000</v>
      </c>
      <c r="O439" s="15">
        <v>14300</v>
      </c>
      <c r="P439" s="15">
        <f t="shared" si="62"/>
        <v>71500000</v>
      </c>
      <c r="Q439" s="15" t="str">
        <f t="shared" si="60"/>
        <v/>
      </c>
      <c r="R439" s="18" t="s">
        <v>29</v>
      </c>
      <c r="S439" s="23">
        <v>43709</v>
      </c>
      <c r="T439" s="20">
        <f>IFERROR(VLOOKUP(S439,'Date Converter'!$A$4:$C$368,3,0),"")</f>
        <v>43737</v>
      </c>
      <c r="U439" s="21">
        <f t="shared" si="61"/>
        <v>43737</v>
      </c>
      <c r="V439" s="12"/>
      <c r="W439" s="18"/>
      <c r="X439" s="18"/>
      <c r="Y439" s="12"/>
      <c r="Z439" s="206"/>
      <c r="AA439" s="15"/>
      <c r="AB439" s="206"/>
      <c r="AC439" s="12"/>
      <c r="AD439" s="206"/>
      <c r="AE439" s="12"/>
      <c r="AF439" s="245"/>
      <c r="AG439" s="12"/>
      <c r="AH439" s="15">
        <f t="shared" si="57"/>
        <v>0</v>
      </c>
      <c r="AI439" s="22">
        <f t="shared" si="58"/>
        <v>5000</v>
      </c>
      <c r="AJ439" s="22">
        <f t="shared" si="59"/>
        <v>71500000</v>
      </c>
    </row>
    <row r="440" spans="1:37" s="165" customFormat="1" hidden="1" outlineLevel="1">
      <c r="A440" s="165" t="s">
        <v>350</v>
      </c>
      <c r="B440" s="13">
        <v>43535</v>
      </c>
      <c r="C440" s="13" t="s">
        <v>23</v>
      </c>
      <c r="D440" s="165" t="s">
        <v>281</v>
      </c>
      <c r="E440" s="165" t="s">
        <v>282</v>
      </c>
      <c r="F440" s="165" t="str">
        <f t="shared" si="55"/>
        <v>YELL_14.16_300_NL2018</v>
      </c>
      <c r="G440" s="165" t="s">
        <v>89</v>
      </c>
      <c r="H440" s="12"/>
      <c r="I440" s="12" t="s">
        <v>47</v>
      </c>
      <c r="J440" s="14">
        <v>300</v>
      </c>
      <c r="K440" s="15" t="s">
        <v>28</v>
      </c>
      <c r="L440" s="15"/>
      <c r="M440" s="16">
        <f t="shared" si="56"/>
        <v>17</v>
      </c>
      <c r="N440" s="15">
        <v>5100</v>
      </c>
      <c r="O440" s="15">
        <v>3800</v>
      </c>
      <c r="P440" s="15">
        <f t="shared" si="62"/>
        <v>19380000</v>
      </c>
      <c r="Q440" s="15" t="str">
        <f t="shared" si="60"/>
        <v>Done</v>
      </c>
      <c r="R440" s="18" t="s">
        <v>44</v>
      </c>
      <c r="S440" s="23">
        <v>43539</v>
      </c>
      <c r="T440" s="20">
        <f>IFERROR(VLOOKUP(S440,'Date Converter'!$A$4:$C$368,3,0),"")</f>
        <v>43574</v>
      </c>
      <c r="U440" s="21">
        <f t="shared" si="61"/>
        <v>43574</v>
      </c>
      <c r="V440" s="20" t="s">
        <v>57</v>
      </c>
      <c r="W440" s="18" t="s">
        <v>132</v>
      </c>
      <c r="X440" s="18">
        <v>43569</v>
      </c>
      <c r="Y440" s="15"/>
      <c r="Z440" s="206">
        <v>43581</v>
      </c>
      <c r="AA440" s="15">
        <v>5100</v>
      </c>
      <c r="AB440" s="206"/>
      <c r="AC440" s="15"/>
      <c r="AD440" s="206"/>
      <c r="AE440" s="15"/>
      <c r="AF440" s="244"/>
      <c r="AG440" s="15"/>
      <c r="AH440" s="15">
        <f t="shared" si="57"/>
        <v>5100</v>
      </c>
      <c r="AI440" s="22">
        <f t="shared" si="58"/>
        <v>0</v>
      </c>
      <c r="AJ440" s="22">
        <f t="shared" si="59"/>
        <v>0</v>
      </c>
    </row>
    <row r="441" spans="1:37" s="165" customFormat="1" hidden="1" outlineLevel="1">
      <c r="A441" s="165" t="s">
        <v>350</v>
      </c>
      <c r="B441" s="119">
        <v>43535</v>
      </c>
      <c r="C441" s="13" t="s">
        <v>23</v>
      </c>
      <c r="D441" s="165" t="s">
        <v>281</v>
      </c>
      <c r="E441" s="198" t="s">
        <v>282</v>
      </c>
      <c r="F441" s="165" t="str">
        <f t="shared" si="55"/>
        <v>YELL_14.16_300_NL2018</v>
      </c>
      <c r="G441" s="165" t="s">
        <v>89</v>
      </c>
      <c r="H441" s="12"/>
      <c r="I441" s="12" t="s">
        <v>47</v>
      </c>
      <c r="J441" s="14">
        <v>300</v>
      </c>
      <c r="K441" s="15" t="s">
        <v>28</v>
      </c>
      <c r="L441" s="15"/>
      <c r="M441" s="16">
        <f t="shared" si="56"/>
        <v>17</v>
      </c>
      <c r="N441" s="15">
        <v>5100</v>
      </c>
      <c r="O441" s="15">
        <v>3800</v>
      </c>
      <c r="P441" s="15">
        <f t="shared" si="62"/>
        <v>19380000</v>
      </c>
      <c r="Q441" s="15" t="str">
        <f t="shared" si="60"/>
        <v>Done</v>
      </c>
      <c r="R441" s="200" t="s">
        <v>44</v>
      </c>
      <c r="S441" s="23">
        <v>43539</v>
      </c>
      <c r="T441" s="20">
        <f>IFERROR(VLOOKUP(S441,'Date Converter'!$A$4:$C$368,3,0),"")</f>
        <v>43574</v>
      </c>
      <c r="U441" s="21">
        <f t="shared" si="61"/>
        <v>43574</v>
      </c>
      <c r="V441" s="20" t="s">
        <v>1416</v>
      </c>
      <c r="W441" s="18"/>
      <c r="X441" s="18"/>
      <c r="Y441" s="15"/>
      <c r="Z441" s="206"/>
      <c r="AA441" s="15">
        <v>5100</v>
      </c>
      <c r="AB441" s="206"/>
      <c r="AC441" s="15"/>
      <c r="AD441" s="206"/>
      <c r="AE441" s="15"/>
      <c r="AF441" s="244"/>
      <c r="AG441" s="15"/>
      <c r="AH441" s="15">
        <f t="shared" si="57"/>
        <v>5100</v>
      </c>
      <c r="AI441" s="22">
        <f t="shared" si="58"/>
        <v>0</v>
      </c>
      <c r="AJ441" s="22">
        <f t="shared" si="59"/>
        <v>0</v>
      </c>
    </row>
    <row r="442" spans="1:37" hidden="1" outlineLevel="1">
      <c r="A442" t="s">
        <v>492</v>
      </c>
      <c r="B442" s="13">
        <v>43480</v>
      </c>
      <c r="C442" s="13" t="s">
        <v>23</v>
      </c>
      <c r="D442" t="s">
        <v>281</v>
      </c>
      <c r="E442" s="165" t="s">
        <v>282</v>
      </c>
      <c r="F442" t="str">
        <f t="shared" ref="F442:F506" si="63">SUBSTITUTE(LEFT(G442,4)&amp;"_"&amp;H442&amp;"_"&amp;I442&amp;"_"&amp;J442&amp;"_"&amp;K442,"__","_")</f>
        <v>YELL_16.18_200_NL2018</v>
      </c>
      <c r="G442" s="165" t="s">
        <v>89</v>
      </c>
      <c r="I442" s="12" t="s">
        <v>35</v>
      </c>
      <c r="J442" s="14">
        <v>200</v>
      </c>
      <c r="K442" s="15" t="s">
        <v>28</v>
      </c>
      <c r="M442" s="16">
        <f t="shared" ref="M442:M506" si="64">+N442/J442</f>
        <v>25</v>
      </c>
      <c r="N442" s="15">
        <v>5000</v>
      </c>
      <c r="O442" s="15">
        <v>5000</v>
      </c>
      <c r="P442" s="15">
        <f t="shared" si="62"/>
        <v>25000000</v>
      </c>
      <c r="Q442" s="15" t="str">
        <f t="shared" si="60"/>
        <v>Done</v>
      </c>
      <c r="R442" s="18" t="s">
        <v>44</v>
      </c>
      <c r="S442" s="23">
        <v>43480</v>
      </c>
      <c r="T442" s="20">
        <f>IFERROR(VLOOKUP(S442,'Date Converter'!$A$4:$C$368,3,0),"")</f>
        <v>43515</v>
      </c>
      <c r="U442" s="21">
        <f t="shared" si="61"/>
        <v>43515</v>
      </c>
      <c r="V442" s="20" t="s">
        <v>45</v>
      </c>
      <c r="Y442" s="15" t="s">
        <v>59</v>
      </c>
      <c r="Z442" s="206">
        <v>43533</v>
      </c>
      <c r="AA442" s="15">
        <v>5000</v>
      </c>
      <c r="AB442" s="206"/>
      <c r="AC442" s="15"/>
      <c r="AD442" s="206"/>
      <c r="AE442" s="15"/>
      <c r="AF442" s="244"/>
      <c r="AG442" s="15"/>
      <c r="AH442" s="15">
        <f t="shared" ref="AH442:AH506" si="65">+AA442+AC442+AE442+AG442</f>
        <v>5000</v>
      </c>
      <c r="AI442" s="22">
        <f t="shared" ref="AI442:AI506" si="66">+N442-AH442</f>
        <v>0</v>
      </c>
      <c r="AJ442" s="22">
        <f t="shared" ref="AJ442:AJ506" si="67">+AI442*O442</f>
        <v>0</v>
      </c>
      <c r="AK442" s="165"/>
    </row>
    <row r="443" spans="1:37" hidden="1" outlineLevel="1">
      <c r="A443" s="165" t="s">
        <v>492</v>
      </c>
      <c r="B443" s="13">
        <v>43480</v>
      </c>
      <c r="C443" s="13" t="s">
        <v>23</v>
      </c>
      <c r="D443" s="165" t="s">
        <v>281</v>
      </c>
      <c r="E443" s="165" t="s">
        <v>282</v>
      </c>
      <c r="F443" s="165" t="str">
        <f t="shared" si="63"/>
        <v>YELL_14.16_300_NL2018</v>
      </c>
      <c r="G443" s="165" t="s">
        <v>89</v>
      </c>
      <c r="I443" s="12" t="s">
        <v>47</v>
      </c>
      <c r="J443" s="14">
        <v>300</v>
      </c>
      <c r="K443" s="15" t="s">
        <v>28</v>
      </c>
      <c r="M443" s="16">
        <f t="shared" si="64"/>
        <v>20</v>
      </c>
      <c r="N443" s="15">
        <v>6000</v>
      </c>
      <c r="O443" s="15">
        <v>3800</v>
      </c>
      <c r="P443" s="15">
        <f t="shared" si="62"/>
        <v>22800000</v>
      </c>
      <c r="Q443" s="15" t="str">
        <f t="shared" si="60"/>
        <v>Done</v>
      </c>
      <c r="R443" s="18" t="s">
        <v>44</v>
      </c>
      <c r="S443" s="23">
        <v>43511</v>
      </c>
      <c r="T443" s="20">
        <f>IFERROR(VLOOKUP(S443,'Date Converter'!$A$4:$C$368,3,0),"")</f>
        <v>43544</v>
      </c>
      <c r="U443" s="21">
        <f t="shared" si="61"/>
        <v>43544</v>
      </c>
      <c r="V443" s="12" t="s">
        <v>32</v>
      </c>
      <c r="W443" s="18" t="s">
        <v>41</v>
      </c>
      <c r="X443" s="18">
        <v>43541</v>
      </c>
      <c r="Y443" s="15" t="s">
        <v>59</v>
      </c>
      <c r="Z443" s="206">
        <v>43543</v>
      </c>
      <c r="AA443" s="15">
        <v>6000</v>
      </c>
      <c r="AB443" s="206"/>
      <c r="AC443" s="15"/>
      <c r="AD443" s="206"/>
      <c r="AE443" s="15"/>
      <c r="AF443" s="244"/>
      <c r="AG443" s="15"/>
      <c r="AH443" s="15">
        <f t="shared" si="65"/>
        <v>6000</v>
      </c>
      <c r="AI443" s="22">
        <f t="shared" si="66"/>
        <v>0</v>
      </c>
      <c r="AJ443" s="22">
        <f t="shared" si="67"/>
        <v>0</v>
      </c>
      <c r="AK443" s="165"/>
    </row>
    <row r="444" spans="1:37" hidden="1" outlineLevel="1">
      <c r="A444" s="165" t="s">
        <v>492</v>
      </c>
      <c r="B444" s="119">
        <v>43578</v>
      </c>
      <c r="C444" s="13" t="s">
        <v>23</v>
      </c>
      <c r="D444" s="165" t="s">
        <v>281</v>
      </c>
      <c r="E444" s="198" t="s">
        <v>282</v>
      </c>
      <c r="F444" s="165" t="str">
        <f t="shared" si="63"/>
        <v>TARR_14.16_300_NL2018</v>
      </c>
      <c r="G444" s="165" t="s">
        <v>62</v>
      </c>
      <c r="I444" s="12" t="s">
        <v>47</v>
      </c>
      <c r="J444" s="14">
        <v>300</v>
      </c>
      <c r="K444" s="15" t="s">
        <v>28</v>
      </c>
      <c r="M444" s="16">
        <f t="shared" si="64"/>
        <v>34</v>
      </c>
      <c r="N444" s="15">
        <v>10200</v>
      </c>
      <c r="O444" s="15">
        <v>4900</v>
      </c>
      <c r="P444" s="15">
        <f t="shared" si="62"/>
        <v>49980000</v>
      </c>
      <c r="Q444" s="15" t="str">
        <f t="shared" si="60"/>
        <v>Done</v>
      </c>
      <c r="R444" s="18" t="s">
        <v>44</v>
      </c>
      <c r="S444" s="23">
        <v>43590</v>
      </c>
      <c r="T444" s="20">
        <f>IFERROR(VLOOKUP(S444,'Date Converter'!$A$4:$C$368,3,0),"")</f>
        <v>43623</v>
      </c>
      <c r="U444" s="21">
        <f t="shared" si="61"/>
        <v>43623</v>
      </c>
      <c r="V444" s="20" t="s">
        <v>1455</v>
      </c>
      <c r="Y444" s="15"/>
      <c r="Z444" s="206">
        <v>43624</v>
      </c>
      <c r="AA444" s="15">
        <v>10200</v>
      </c>
      <c r="AB444" s="206"/>
      <c r="AC444" s="15"/>
      <c r="AD444" s="206"/>
      <c r="AE444" s="15"/>
      <c r="AF444" s="244"/>
      <c r="AG444" s="15"/>
      <c r="AH444" s="15">
        <f t="shared" si="65"/>
        <v>10200</v>
      </c>
      <c r="AI444" s="22">
        <f t="shared" si="66"/>
        <v>0</v>
      </c>
      <c r="AJ444" s="22">
        <f t="shared" si="67"/>
        <v>0</v>
      </c>
      <c r="AK444" s="165"/>
    </row>
    <row r="445" spans="1:37" hidden="1" outlineLevel="1">
      <c r="A445" s="165" t="s">
        <v>492</v>
      </c>
      <c r="B445" s="119">
        <v>43578</v>
      </c>
      <c r="C445" s="13" t="s">
        <v>23</v>
      </c>
      <c r="D445" s="165" t="s">
        <v>281</v>
      </c>
      <c r="E445" s="198" t="s">
        <v>282</v>
      </c>
      <c r="F445" s="165" t="str">
        <f t="shared" si="63"/>
        <v>TARR_14.16_300_NL2018</v>
      </c>
      <c r="G445" s="165" t="s">
        <v>62</v>
      </c>
      <c r="I445" s="12" t="s">
        <v>47</v>
      </c>
      <c r="J445" s="14">
        <v>300</v>
      </c>
      <c r="K445" s="15" t="s">
        <v>28</v>
      </c>
      <c r="M445" s="16">
        <f t="shared" si="64"/>
        <v>33</v>
      </c>
      <c r="N445" s="15">
        <f>10200-300</f>
        <v>9900</v>
      </c>
      <c r="O445" s="15">
        <v>4900</v>
      </c>
      <c r="P445" s="15">
        <f t="shared" si="62"/>
        <v>48510000</v>
      </c>
      <c r="Q445" s="15" t="str">
        <f t="shared" si="60"/>
        <v/>
      </c>
      <c r="R445" s="18" t="s">
        <v>63</v>
      </c>
      <c r="S445" s="23">
        <v>43603</v>
      </c>
      <c r="T445" s="20">
        <f>IFERROR(VLOOKUP(S445,'Date Converter'!$A$4:$C$368,3,0),"")</f>
        <v>43636</v>
      </c>
      <c r="U445" s="21">
        <f t="shared" si="61"/>
        <v>43636</v>
      </c>
      <c r="V445" s="20" t="s">
        <v>1506</v>
      </c>
      <c r="Y445" s="15"/>
      <c r="AA445" s="15"/>
      <c r="AB445" s="206"/>
      <c r="AC445" s="15"/>
      <c r="AD445" s="206"/>
      <c r="AE445" s="15"/>
      <c r="AF445" s="244"/>
      <c r="AG445" s="15"/>
      <c r="AH445" s="15">
        <f t="shared" si="65"/>
        <v>0</v>
      </c>
      <c r="AI445" s="22">
        <f t="shared" si="66"/>
        <v>9900</v>
      </c>
      <c r="AJ445" s="22">
        <f t="shared" si="67"/>
        <v>48510000</v>
      </c>
      <c r="AK445" s="165"/>
    </row>
    <row r="446" spans="1:37" s="165" customFormat="1" hidden="1" outlineLevel="1">
      <c r="A446" s="165" t="s">
        <v>350</v>
      </c>
      <c r="B446" s="26">
        <v>43535</v>
      </c>
      <c r="C446" s="13" t="s">
        <v>23</v>
      </c>
      <c r="D446" s="165" t="s">
        <v>281</v>
      </c>
      <c r="E446" s="165" t="s">
        <v>282</v>
      </c>
      <c r="F446" s="165" t="str">
        <f t="shared" si="63"/>
        <v>SERA_14.16_300_NL2018</v>
      </c>
      <c r="G446" s="165" t="s">
        <v>227</v>
      </c>
      <c r="H446" s="12"/>
      <c r="I446" s="12" t="s">
        <v>47</v>
      </c>
      <c r="J446" s="14">
        <v>300</v>
      </c>
      <c r="K446" s="15" t="s">
        <v>28</v>
      </c>
      <c r="L446" s="15"/>
      <c r="M446" s="16">
        <f t="shared" si="64"/>
        <v>17</v>
      </c>
      <c r="N446" s="15">
        <v>5100</v>
      </c>
      <c r="O446" s="15">
        <v>3500</v>
      </c>
      <c r="P446" s="15">
        <f t="shared" si="62"/>
        <v>17850000</v>
      </c>
      <c r="Q446" s="15" t="str">
        <f t="shared" si="60"/>
        <v>Done</v>
      </c>
      <c r="R446" s="18" t="s">
        <v>44</v>
      </c>
      <c r="S446" s="23" t="s">
        <v>53</v>
      </c>
      <c r="T446" s="20">
        <f>IFERROR(VLOOKUP(S446,'Date Converter'!$A$4:$C$368,3,0),"")</f>
        <v>43559</v>
      </c>
      <c r="U446" s="21">
        <f t="shared" si="61"/>
        <v>43559</v>
      </c>
      <c r="V446" s="20" t="s">
        <v>54</v>
      </c>
      <c r="W446" s="18" t="s">
        <v>55</v>
      </c>
      <c r="X446" s="18">
        <v>43555</v>
      </c>
      <c r="Y446" s="15"/>
      <c r="Z446" s="206">
        <v>43571</v>
      </c>
      <c r="AA446" s="15">
        <v>5100</v>
      </c>
      <c r="AB446" s="206"/>
      <c r="AC446" s="15"/>
      <c r="AD446" s="206"/>
      <c r="AE446" s="15"/>
      <c r="AF446" s="244"/>
      <c r="AG446" s="15"/>
      <c r="AH446" s="15">
        <f t="shared" si="65"/>
        <v>5100</v>
      </c>
      <c r="AI446" s="22">
        <f t="shared" si="66"/>
        <v>0</v>
      </c>
      <c r="AJ446" s="22">
        <f t="shared" si="67"/>
        <v>0</v>
      </c>
    </row>
    <row r="447" spans="1:37" hidden="1" outlineLevel="1">
      <c r="A447" s="165" t="s">
        <v>492</v>
      </c>
      <c r="B447" s="119">
        <v>43552</v>
      </c>
      <c r="C447" s="13" t="s">
        <v>23</v>
      </c>
      <c r="D447" s="165" t="s">
        <v>281</v>
      </c>
      <c r="E447" s="198" t="s">
        <v>282</v>
      </c>
      <c r="F447" s="165" t="str">
        <f t="shared" si="63"/>
        <v>SERA_14.16_300_NL2018</v>
      </c>
      <c r="G447" s="165" t="s">
        <v>227</v>
      </c>
      <c r="I447" s="12" t="s">
        <v>47</v>
      </c>
      <c r="J447" s="14">
        <v>300</v>
      </c>
      <c r="K447" s="15" t="s">
        <v>28</v>
      </c>
      <c r="M447" s="16">
        <f t="shared" si="64"/>
        <v>17</v>
      </c>
      <c r="N447" s="15">
        <f>5100-300+300</f>
        <v>5100</v>
      </c>
      <c r="O447" s="15">
        <v>3700</v>
      </c>
      <c r="P447" s="15">
        <f t="shared" si="62"/>
        <v>18870000</v>
      </c>
      <c r="Q447" s="15" t="str">
        <f t="shared" si="60"/>
        <v>Done</v>
      </c>
      <c r="R447" s="18" t="s">
        <v>44</v>
      </c>
      <c r="S447" s="23">
        <v>43572</v>
      </c>
      <c r="T447" s="20">
        <f>IFERROR(VLOOKUP(S447,'Date Converter'!$A$4:$C$368,3,0),"")</f>
        <v>43606</v>
      </c>
      <c r="U447" s="21">
        <f t="shared" si="61"/>
        <v>43606</v>
      </c>
      <c r="V447" s="20" t="s">
        <v>1416</v>
      </c>
      <c r="Y447" s="15"/>
      <c r="Z447" s="206">
        <v>43571</v>
      </c>
      <c r="AA447" s="15">
        <v>5100</v>
      </c>
      <c r="AB447" s="206"/>
      <c r="AC447" s="15"/>
      <c r="AD447" s="206"/>
      <c r="AE447" s="15"/>
      <c r="AF447" s="244"/>
      <c r="AG447" s="15"/>
      <c r="AH447" s="15">
        <f t="shared" si="65"/>
        <v>5100</v>
      </c>
      <c r="AI447" s="22">
        <f t="shared" si="66"/>
        <v>0</v>
      </c>
      <c r="AJ447" s="22">
        <f t="shared" si="67"/>
        <v>0</v>
      </c>
      <c r="AK447" s="165"/>
    </row>
    <row r="448" spans="1:37" hidden="1" outlineLevel="1">
      <c r="A448" s="165" t="s">
        <v>492</v>
      </c>
      <c r="B448" s="119">
        <v>43552</v>
      </c>
      <c r="C448" s="13" t="s">
        <v>23</v>
      </c>
      <c r="D448" s="165" t="s">
        <v>281</v>
      </c>
      <c r="E448" s="198" t="s">
        <v>282</v>
      </c>
      <c r="F448" s="165" t="str">
        <f t="shared" si="63"/>
        <v>SERA_16.18_200_NL2018</v>
      </c>
      <c r="G448" s="165" t="s">
        <v>227</v>
      </c>
      <c r="I448" s="12" t="s">
        <v>35</v>
      </c>
      <c r="J448" s="14">
        <v>200</v>
      </c>
      <c r="K448" s="15" t="s">
        <v>28</v>
      </c>
      <c r="M448" s="16">
        <f t="shared" si="64"/>
        <v>50</v>
      </c>
      <c r="N448" s="15">
        <v>10000</v>
      </c>
      <c r="O448" s="15">
        <v>5200</v>
      </c>
      <c r="P448" s="15">
        <f t="shared" si="62"/>
        <v>52000000</v>
      </c>
      <c r="Q448" s="15" t="str">
        <f t="shared" si="60"/>
        <v>Done</v>
      </c>
      <c r="R448" s="18" t="s">
        <v>44</v>
      </c>
      <c r="S448" s="23">
        <v>43590</v>
      </c>
      <c r="T448" s="20">
        <f>IFERROR(VLOOKUP(S448,'Date Converter'!$A$4:$C$368,3,0),"")</f>
        <v>43623</v>
      </c>
      <c r="U448" s="21">
        <f t="shared" si="61"/>
        <v>43623</v>
      </c>
      <c r="V448" s="20" t="s">
        <v>1455</v>
      </c>
      <c r="Y448" s="15"/>
      <c r="Z448" s="206">
        <v>43641</v>
      </c>
      <c r="AA448" s="15">
        <v>10000</v>
      </c>
      <c r="AB448" s="206"/>
      <c r="AC448" s="15"/>
      <c r="AD448" s="206"/>
      <c r="AE448" s="15"/>
      <c r="AF448" s="244"/>
      <c r="AG448" s="15"/>
      <c r="AH448" s="15">
        <f t="shared" si="65"/>
        <v>10000</v>
      </c>
      <c r="AI448" s="22">
        <f t="shared" si="66"/>
        <v>0</v>
      </c>
      <c r="AJ448" s="22">
        <f t="shared" si="67"/>
        <v>0</v>
      </c>
      <c r="AK448" s="165"/>
    </row>
    <row r="449" spans="1:37" hidden="1" outlineLevel="1">
      <c r="A449" s="165" t="s">
        <v>492</v>
      </c>
      <c r="B449" s="119">
        <v>43578</v>
      </c>
      <c r="C449" s="13" t="s">
        <v>23</v>
      </c>
      <c r="D449" s="165" t="s">
        <v>281</v>
      </c>
      <c r="E449" s="198" t="s">
        <v>282</v>
      </c>
      <c r="F449" s="165" t="str">
        <f t="shared" si="63"/>
        <v>SERA_16.18_200_NL2018</v>
      </c>
      <c r="G449" s="165" t="s">
        <v>227</v>
      </c>
      <c r="I449" s="12" t="s">
        <v>35</v>
      </c>
      <c r="J449" s="14">
        <v>200</v>
      </c>
      <c r="K449" s="15" t="s">
        <v>28</v>
      </c>
      <c r="M449" s="16">
        <f t="shared" si="64"/>
        <v>50</v>
      </c>
      <c r="N449" s="15">
        <v>10000</v>
      </c>
      <c r="O449" s="15">
        <v>5200</v>
      </c>
      <c r="P449" s="15">
        <f t="shared" si="62"/>
        <v>52000000</v>
      </c>
      <c r="Q449" s="15" t="str">
        <f t="shared" si="60"/>
        <v/>
      </c>
      <c r="R449" s="18" t="s">
        <v>31</v>
      </c>
      <c r="S449" s="23">
        <v>43615</v>
      </c>
      <c r="T449" s="20">
        <f>IFERROR(VLOOKUP(S449,'Date Converter'!$A$4:$C$368,3,0),"")</f>
        <v>43648</v>
      </c>
      <c r="U449" s="21">
        <f t="shared" si="61"/>
        <v>43648</v>
      </c>
      <c r="V449" s="20" t="s">
        <v>1455</v>
      </c>
      <c r="Y449" s="15"/>
      <c r="AA449" s="15"/>
      <c r="AB449" s="206"/>
      <c r="AC449" s="15"/>
      <c r="AD449" s="206"/>
      <c r="AE449" s="15"/>
      <c r="AF449" s="244"/>
      <c r="AG449" s="15"/>
      <c r="AH449" s="15">
        <f t="shared" si="65"/>
        <v>0</v>
      </c>
      <c r="AI449" s="22">
        <f t="shared" si="66"/>
        <v>10000</v>
      </c>
      <c r="AJ449" s="22">
        <f t="shared" si="67"/>
        <v>52000000</v>
      </c>
      <c r="AK449" s="165"/>
    </row>
    <row r="450" spans="1:37" hidden="1" outlineLevel="1">
      <c r="A450" s="165" t="s">
        <v>492</v>
      </c>
      <c r="B450" s="119">
        <v>43552</v>
      </c>
      <c r="C450" s="13" t="s">
        <v>23</v>
      </c>
      <c r="D450" s="165" t="s">
        <v>281</v>
      </c>
      <c r="E450" s="198" t="s">
        <v>282</v>
      </c>
      <c r="F450" s="165" t="str">
        <f t="shared" si="63"/>
        <v>SERA_16.18_200_NL2018</v>
      </c>
      <c r="G450" s="165" t="s">
        <v>227</v>
      </c>
      <c r="I450" s="12" t="s">
        <v>35</v>
      </c>
      <c r="J450" s="14">
        <v>200</v>
      </c>
      <c r="K450" s="15" t="s">
        <v>28</v>
      </c>
      <c r="M450" s="16">
        <f t="shared" si="64"/>
        <v>100</v>
      </c>
      <c r="N450" s="15">
        <v>20000</v>
      </c>
      <c r="O450" s="15">
        <v>5300</v>
      </c>
      <c r="P450" s="15">
        <f t="shared" si="62"/>
        <v>106000000</v>
      </c>
      <c r="Q450" s="15" t="str">
        <f t="shared" si="60"/>
        <v/>
      </c>
      <c r="R450" s="18" t="s">
        <v>29</v>
      </c>
      <c r="S450" s="23">
        <v>43645</v>
      </c>
      <c r="T450" s="20">
        <f>IFERROR(VLOOKUP(S450,'Date Converter'!$A$4:$C$368,3,0),"")</f>
        <v>43677</v>
      </c>
      <c r="U450" s="21">
        <f t="shared" si="61"/>
        <v>43677</v>
      </c>
      <c r="V450" s="20" t="s">
        <v>1374</v>
      </c>
      <c r="Y450" s="15"/>
      <c r="AA450" s="15"/>
      <c r="AB450" s="206"/>
      <c r="AC450" s="15"/>
      <c r="AD450" s="206"/>
      <c r="AE450" s="15"/>
      <c r="AF450" s="244"/>
      <c r="AG450" s="15"/>
      <c r="AH450" s="15">
        <f t="shared" si="65"/>
        <v>0</v>
      </c>
      <c r="AI450" s="22">
        <f t="shared" si="66"/>
        <v>20000</v>
      </c>
      <c r="AJ450" s="22">
        <f t="shared" si="67"/>
        <v>106000000</v>
      </c>
      <c r="AK450" s="165"/>
    </row>
    <row r="451" spans="1:37" hidden="1" outlineLevel="1">
      <c r="A451" s="165" t="s">
        <v>492</v>
      </c>
      <c r="B451" s="119">
        <v>43591</v>
      </c>
      <c r="C451" s="13" t="s">
        <v>23</v>
      </c>
      <c r="D451" s="165" t="s">
        <v>281</v>
      </c>
      <c r="E451" s="198" t="s">
        <v>282</v>
      </c>
      <c r="F451" s="165" t="str">
        <f t="shared" si="63"/>
        <v>SERA_16.18_200_NL2018</v>
      </c>
      <c r="G451" s="165" t="s">
        <v>227</v>
      </c>
      <c r="I451" s="12" t="s">
        <v>35</v>
      </c>
      <c r="J451" s="14">
        <v>200</v>
      </c>
      <c r="K451" s="15" t="s">
        <v>28</v>
      </c>
      <c r="M451" s="16">
        <f t="shared" si="64"/>
        <v>125</v>
      </c>
      <c r="N451" s="15">
        <v>25000</v>
      </c>
      <c r="O451" s="15">
        <v>5300</v>
      </c>
      <c r="P451" s="15">
        <f t="shared" si="62"/>
        <v>132500000</v>
      </c>
      <c r="Q451" s="15" t="str">
        <f t="shared" ref="Q451:Q514" si="68">IF(AND(N451=0,AI451=0),"Canceled",IF(AND(N451&gt;0,AI451=0),"Done",""))</f>
        <v/>
      </c>
      <c r="R451" s="18" t="s">
        <v>29</v>
      </c>
      <c r="S451" s="23">
        <v>43666</v>
      </c>
      <c r="T451" s="20">
        <f>IFERROR(VLOOKUP(S451,'Date Converter'!$A$4:$C$368,3,0),"")</f>
        <v>43697</v>
      </c>
      <c r="U451" s="21">
        <f t="shared" si="61"/>
        <v>43697</v>
      </c>
      <c r="V451" s="20" t="s">
        <v>163</v>
      </c>
      <c r="Y451" s="15"/>
      <c r="AA451" s="15"/>
      <c r="AB451" s="206"/>
      <c r="AC451" s="15"/>
      <c r="AD451" s="206"/>
      <c r="AE451" s="15"/>
      <c r="AF451" s="244"/>
      <c r="AG451" s="15"/>
      <c r="AH451" s="15">
        <f t="shared" si="65"/>
        <v>0</v>
      </c>
      <c r="AI451" s="22">
        <f t="shared" si="66"/>
        <v>25000</v>
      </c>
      <c r="AJ451" s="22">
        <f t="shared" si="67"/>
        <v>132500000</v>
      </c>
      <c r="AK451" s="165"/>
    </row>
    <row r="452" spans="1:37" hidden="1" outlineLevel="1">
      <c r="A452" s="165" t="s">
        <v>492</v>
      </c>
      <c r="B452" s="119">
        <v>43591</v>
      </c>
      <c r="C452" s="13" t="s">
        <v>23</v>
      </c>
      <c r="D452" s="165" t="s">
        <v>281</v>
      </c>
      <c r="E452" s="198" t="s">
        <v>282</v>
      </c>
      <c r="F452" s="165" t="str">
        <f t="shared" si="63"/>
        <v>SERA_16.18_200_NL2018</v>
      </c>
      <c r="G452" s="165" t="s">
        <v>227</v>
      </c>
      <c r="I452" s="12" t="s">
        <v>35</v>
      </c>
      <c r="J452" s="14">
        <v>200</v>
      </c>
      <c r="K452" s="15" t="s">
        <v>28</v>
      </c>
      <c r="M452" s="16">
        <f t="shared" si="64"/>
        <v>125</v>
      </c>
      <c r="N452" s="15">
        <v>25000</v>
      </c>
      <c r="O452" s="15">
        <v>5400</v>
      </c>
      <c r="P452" s="15">
        <f t="shared" si="62"/>
        <v>135000000</v>
      </c>
      <c r="Q452" s="15" t="str">
        <f t="shared" si="68"/>
        <v/>
      </c>
      <c r="R452" s="18" t="s">
        <v>29</v>
      </c>
      <c r="S452" s="23">
        <v>43687</v>
      </c>
      <c r="T452" s="20">
        <f>IFERROR(VLOOKUP(S452,'Date Converter'!$A$4:$C$368,3,0),"")</f>
        <v>43716</v>
      </c>
      <c r="U452" s="21">
        <f t="shared" si="61"/>
        <v>43716</v>
      </c>
      <c r="V452" s="20" t="s">
        <v>164</v>
      </c>
      <c r="Y452" s="15"/>
      <c r="AA452" s="15"/>
      <c r="AB452" s="206"/>
      <c r="AC452" s="15"/>
      <c r="AD452" s="206"/>
      <c r="AE452" s="15"/>
      <c r="AF452" s="244"/>
      <c r="AG452" s="15"/>
      <c r="AH452" s="15">
        <f t="shared" si="65"/>
        <v>0</v>
      </c>
      <c r="AI452" s="22">
        <f t="shared" si="66"/>
        <v>25000</v>
      </c>
      <c r="AJ452" s="22">
        <f t="shared" si="67"/>
        <v>135000000</v>
      </c>
      <c r="AK452" s="165"/>
    </row>
    <row r="453" spans="1:37" hidden="1" outlineLevel="1">
      <c r="A453" s="165" t="s">
        <v>350</v>
      </c>
      <c r="B453" s="13">
        <v>43535</v>
      </c>
      <c r="C453" s="13" t="s">
        <v>23</v>
      </c>
      <c r="D453" s="165" t="s">
        <v>281</v>
      </c>
      <c r="E453" s="165" t="s">
        <v>282</v>
      </c>
      <c r="F453" s="165" t="str">
        <f t="shared" si="63"/>
        <v>ROBI_16.18_200_NL2018</v>
      </c>
      <c r="G453" s="165" t="s">
        <v>61</v>
      </c>
      <c r="I453" s="12" t="s">
        <v>35</v>
      </c>
      <c r="J453" s="14">
        <v>200</v>
      </c>
      <c r="K453" s="15" t="s">
        <v>28</v>
      </c>
      <c r="M453" s="16">
        <f t="shared" si="64"/>
        <v>25</v>
      </c>
      <c r="N453" s="15">
        <v>5000</v>
      </c>
      <c r="O453" s="15">
        <v>5000</v>
      </c>
      <c r="P453" s="15">
        <f t="shared" si="62"/>
        <v>25000000</v>
      </c>
      <c r="Q453" s="15" t="str">
        <f t="shared" si="68"/>
        <v>Done</v>
      </c>
      <c r="R453" s="18" t="s">
        <v>44</v>
      </c>
      <c r="S453" s="23">
        <v>43539</v>
      </c>
      <c r="T453" s="20">
        <f>IFERROR(VLOOKUP(S453,'Date Converter'!$A$4:$C$368,3,0),"")</f>
        <v>43574</v>
      </c>
      <c r="U453" s="21">
        <f t="shared" si="61"/>
        <v>43574</v>
      </c>
      <c r="V453" s="20" t="s">
        <v>57</v>
      </c>
      <c r="W453" s="18" t="s">
        <v>141</v>
      </c>
      <c r="X453" s="18">
        <v>43569</v>
      </c>
      <c r="Y453" s="15"/>
      <c r="Z453" s="206">
        <v>43581</v>
      </c>
      <c r="AA453" s="15">
        <v>5000</v>
      </c>
      <c r="AB453" s="206"/>
      <c r="AC453" s="15"/>
      <c r="AD453" s="206"/>
      <c r="AE453" s="15"/>
      <c r="AF453" s="244"/>
      <c r="AG453" s="15"/>
      <c r="AH453" s="15">
        <f t="shared" si="65"/>
        <v>5000</v>
      </c>
      <c r="AI453" s="22">
        <f t="shared" si="66"/>
        <v>0</v>
      </c>
      <c r="AJ453" s="22">
        <f t="shared" si="67"/>
        <v>0</v>
      </c>
      <c r="AK453" s="165"/>
    </row>
    <row r="454" spans="1:37" hidden="1" outlineLevel="1">
      <c r="A454" s="165" t="s">
        <v>350</v>
      </c>
      <c r="B454" s="13">
        <v>43535</v>
      </c>
      <c r="C454" s="13" t="s">
        <v>23</v>
      </c>
      <c r="D454" s="165" t="s">
        <v>281</v>
      </c>
      <c r="E454" s="165" t="s">
        <v>282</v>
      </c>
      <c r="F454" s="165" t="str">
        <f t="shared" si="63"/>
        <v>ROBI_18.20_150_NL2018</v>
      </c>
      <c r="G454" s="165" t="s">
        <v>61</v>
      </c>
      <c r="I454" s="12" t="s">
        <v>27</v>
      </c>
      <c r="J454" s="14">
        <v>150</v>
      </c>
      <c r="K454" s="15" t="s">
        <v>28</v>
      </c>
      <c r="M454" s="16">
        <f t="shared" si="64"/>
        <v>34</v>
      </c>
      <c r="N454" s="15">
        <v>5100</v>
      </c>
      <c r="O454" s="15">
        <v>6300</v>
      </c>
      <c r="P454" s="15">
        <f t="shared" si="62"/>
        <v>32130000</v>
      </c>
      <c r="Q454" s="15" t="str">
        <f t="shared" si="68"/>
        <v>Done</v>
      </c>
      <c r="R454" s="18" t="s">
        <v>44</v>
      </c>
      <c r="S454" s="23">
        <v>43539</v>
      </c>
      <c r="T454" s="20">
        <f>IFERROR(VLOOKUP(S454,'Date Converter'!$A$4:$C$368,3,0),"")</f>
        <v>43574</v>
      </c>
      <c r="U454" s="21">
        <f t="shared" si="61"/>
        <v>43574</v>
      </c>
      <c r="V454" s="20" t="s">
        <v>57</v>
      </c>
      <c r="W454" s="18" t="s">
        <v>118</v>
      </c>
      <c r="X454" s="18">
        <v>43569</v>
      </c>
      <c r="Y454" s="15"/>
      <c r="Z454" s="206">
        <v>43581</v>
      </c>
      <c r="AA454" s="15">
        <v>5100</v>
      </c>
      <c r="AB454" s="206"/>
      <c r="AC454" s="15"/>
      <c r="AD454" s="206"/>
      <c r="AE454" s="15"/>
      <c r="AF454" s="244"/>
      <c r="AG454" s="15"/>
      <c r="AH454" s="15">
        <f t="shared" si="65"/>
        <v>5100</v>
      </c>
      <c r="AI454" s="22">
        <f t="shared" si="66"/>
        <v>0</v>
      </c>
      <c r="AJ454" s="22">
        <f t="shared" si="67"/>
        <v>0</v>
      </c>
      <c r="AK454" s="165"/>
    </row>
    <row r="455" spans="1:37" hidden="1" outlineLevel="1">
      <c r="A455" s="165" t="s">
        <v>350</v>
      </c>
      <c r="B455" s="119">
        <v>43535</v>
      </c>
      <c r="C455" s="13" t="s">
        <v>23</v>
      </c>
      <c r="D455" s="165" t="s">
        <v>281</v>
      </c>
      <c r="E455" s="198" t="s">
        <v>282</v>
      </c>
      <c r="F455" s="165" t="str">
        <f t="shared" si="63"/>
        <v>ROBI_16.18_200_NL2018</v>
      </c>
      <c r="G455" s="165" t="s">
        <v>61</v>
      </c>
      <c r="I455" s="12" t="s">
        <v>35</v>
      </c>
      <c r="J455" s="14">
        <v>200</v>
      </c>
      <c r="K455" s="15" t="s">
        <v>28</v>
      </c>
      <c r="M455" s="16">
        <f t="shared" si="64"/>
        <v>25</v>
      </c>
      <c r="N455" s="15">
        <v>5000</v>
      </c>
      <c r="O455" s="15">
        <v>5300</v>
      </c>
      <c r="P455" s="15">
        <f t="shared" si="62"/>
        <v>26500000</v>
      </c>
      <c r="Q455" s="15" t="str">
        <f t="shared" si="68"/>
        <v>Done</v>
      </c>
      <c r="R455" s="200" t="s">
        <v>44</v>
      </c>
      <c r="S455" s="23">
        <v>43539</v>
      </c>
      <c r="T455" s="20">
        <f>IFERROR(VLOOKUP(S455,'Date Converter'!$A$4:$C$368,3,0),"")</f>
        <v>43574</v>
      </c>
      <c r="U455" s="21">
        <f t="shared" si="61"/>
        <v>43574</v>
      </c>
      <c r="V455" s="20" t="s">
        <v>1416</v>
      </c>
      <c r="Y455" s="15"/>
      <c r="AA455" s="15">
        <v>5000</v>
      </c>
      <c r="AB455" s="206"/>
      <c r="AC455" s="15"/>
      <c r="AD455" s="206"/>
      <c r="AE455" s="15"/>
      <c r="AF455" s="244"/>
      <c r="AG455" s="15"/>
      <c r="AH455" s="15">
        <f t="shared" si="65"/>
        <v>5000</v>
      </c>
      <c r="AI455" s="22">
        <f t="shared" si="66"/>
        <v>0</v>
      </c>
      <c r="AJ455" s="22">
        <f t="shared" si="67"/>
        <v>0</v>
      </c>
      <c r="AK455" s="165"/>
    </row>
    <row r="456" spans="1:37" hidden="1" outlineLevel="1">
      <c r="A456" s="165" t="s">
        <v>350</v>
      </c>
      <c r="B456" s="13">
        <v>43480</v>
      </c>
      <c r="C456" s="13" t="s">
        <v>23</v>
      </c>
      <c r="D456" s="165" t="s">
        <v>281</v>
      </c>
      <c r="E456" s="165" t="s">
        <v>282</v>
      </c>
      <c r="F456" s="165" t="str">
        <f t="shared" si="63"/>
        <v>ROBI_16.18_200_NL2018</v>
      </c>
      <c r="G456" s="165" t="s">
        <v>61</v>
      </c>
      <c r="I456" s="12" t="s">
        <v>35</v>
      </c>
      <c r="J456" s="14">
        <v>200</v>
      </c>
      <c r="K456" s="15" t="s">
        <v>28</v>
      </c>
      <c r="M456" s="16">
        <f t="shared" si="64"/>
        <v>40</v>
      </c>
      <c r="N456" s="15">
        <v>8000</v>
      </c>
      <c r="O456" s="15">
        <v>5000</v>
      </c>
      <c r="P456" s="15">
        <f t="shared" si="62"/>
        <v>40000000</v>
      </c>
      <c r="Q456" s="15" t="str">
        <f t="shared" si="68"/>
        <v>Done</v>
      </c>
      <c r="R456" s="18" t="s">
        <v>44</v>
      </c>
      <c r="S456" s="23" t="s">
        <v>53</v>
      </c>
      <c r="T456" s="20">
        <f>IFERROR(VLOOKUP(S456,'Date Converter'!$A$4:$C$368,3,0),"")</f>
        <v>43559</v>
      </c>
      <c r="U456" s="21">
        <f t="shared" si="61"/>
        <v>43559</v>
      </c>
      <c r="V456" s="20" t="s">
        <v>54</v>
      </c>
      <c r="W456" s="18" t="s">
        <v>82</v>
      </c>
      <c r="X456" s="18">
        <v>43555</v>
      </c>
      <c r="Y456" s="15" t="s">
        <v>59</v>
      </c>
      <c r="Z456" s="206">
        <v>43561</v>
      </c>
      <c r="AA456" s="15">
        <v>8000</v>
      </c>
      <c r="AB456" s="206"/>
      <c r="AC456" s="15"/>
      <c r="AD456" s="206"/>
      <c r="AE456" s="15"/>
      <c r="AF456" s="244"/>
      <c r="AG456" s="15"/>
      <c r="AH456" s="15">
        <f t="shared" si="65"/>
        <v>8000</v>
      </c>
      <c r="AI456" s="22">
        <f t="shared" si="66"/>
        <v>0</v>
      </c>
      <c r="AJ456" s="22">
        <f t="shared" si="67"/>
        <v>0</v>
      </c>
      <c r="AK456" s="165" t="s">
        <v>283</v>
      </c>
    </row>
    <row r="457" spans="1:37" hidden="1" outlineLevel="1">
      <c r="A457" s="165" t="s">
        <v>492</v>
      </c>
      <c r="B457" s="119">
        <v>43552</v>
      </c>
      <c r="C457" s="13" t="s">
        <v>23</v>
      </c>
      <c r="D457" s="165" t="s">
        <v>281</v>
      </c>
      <c r="E457" s="198" t="s">
        <v>282</v>
      </c>
      <c r="F457" s="165" t="str">
        <f t="shared" si="63"/>
        <v>ROBI_18.20_150_NL2018</v>
      </c>
      <c r="G457" s="165" t="s">
        <v>61</v>
      </c>
      <c r="I457" s="12" t="s">
        <v>27</v>
      </c>
      <c r="J457" s="14">
        <v>150</v>
      </c>
      <c r="K457" s="15" t="s">
        <v>28</v>
      </c>
      <c r="M457" s="16">
        <f t="shared" si="64"/>
        <v>164</v>
      </c>
      <c r="N457" s="15">
        <f>25200-600</f>
        <v>24600</v>
      </c>
      <c r="O457" s="15">
        <v>7200</v>
      </c>
      <c r="P457" s="15">
        <f t="shared" si="62"/>
        <v>177120000</v>
      </c>
      <c r="Q457" s="15" t="str">
        <f t="shared" si="68"/>
        <v/>
      </c>
      <c r="R457" s="18" t="s">
        <v>63</v>
      </c>
      <c r="S457" s="23">
        <v>43590</v>
      </c>
      <c r="T457" s="20">
        <f>IFERROR(VLOOKUP(S457,'Date Converter'!$A$4:$C$368,3,0),"")</f>
        <v>43623</v>
      </c>
      <c r="U457" s="21">
        <f t="shared" si="61"/>
        <v>43623</v>
      </c>
      <c r="V457" s="20" t="s">
        <v>1455</v>
      </c>
      <c r="Y457" s="15"/>
      <c r="Z457" s="206">
        <v>43624</v>
      </c>
      <c r="AA457" s="15">
        <v>10050</v>
      </c>
      <c r="AB457" s="206">
        <v>43641</v>
      </c>
      <c r="AC457" s="15">
        <v>10050</v>
      </c>
      <c r="AD457" s="206"/>
      <c r="AE457" s="15"/>
      <c r="AF457" s="244"/>
      <c r="AG457" s="15"/>
      <c r="AH457" s="15">
        <f t="shared" si="65"/>
        <v>20100</v>
      </c>
      <c r="AI457" s="22">
        <f t="shared" si="66"/>
        <v>4500</v>
      </c>
      <c r="AJ457" s="22">
        <f t="shared" si="67"/>
        <v>32400000</v>
      </c>
      <c r="AK457" s="165"/>
    </row>
    <row r="458" spans="1:37" hidden="1" outlineLevel="1">
      <c r="A458" s="165" t="s">
        <v>492</v>
      </c>
      <c r="B458" s="119">
        <v>43552</v>
      </c>
      <c r="C458" s="13" t="s">
        <v>23</v>
      </c>
      <c r="D458" s="165" t="s">
        <v>281</v>
      </c>
      <c r="E458" s="198" t="s">
        <v>282</v>
      </c>
      <c r="F458" s="165" t="str">
        <f t="shared" si="63"/>
        <v>ROBI_18.20_150_NL2018</v>
      </c>
      <c r="G458" s="165" t="s">
        <v>61</v>
      </c>
      <c r="I458" s="12" t="s">
        <v>27</v>
      </c>
      <c r="J458" s="14">
        <v>150</v>
      </c>
      <c r="K458" s="15" t="s">
        <v>28</v>
      </c>
      <c r="M458" s="16">
        <f t="shared" si="64"/>
        <v>168</v>
      </c>
      <c r="N458" s="15">
        <v>25200</v>
      </c>
      <c r="O458" s="15">
        <v>7300</v>
      </c>
      <c r="P458" s="15">
        <f t="shared" si="62"/>
        <v>183960000</v>
      </c>
      <c r="Q458" s="15" t="str">
        <f t="shared" si="68"/>
        <v/>
      </c>
      <c r="R458" s="18" t="s">
        <v>63</v>
      </c>
      <c r="S458" s="23">
        <v>43603</v>
      </c>
      <c r="T458" s="20">
        <f>IFERROR(VLOOKUP(S458,'Date Converter'!$A$4:$C$368,3,0),"")</f>
        <v>43636</v>
      </c>
      <c r="U458" s="21">
        <f t="shared" si="61"/>
        <v>43636</v>
      </c>
      <c r="V458" s="20" t="s">
        <v>1374</v>
      </c>
      <c r="Y458" s="15"/>
      <c r="AA458" s="15"/>
      <c r="AB458" s="206"/>
      <c r="AC458" s="15"/>
      <c r="AD458" s="206"/>
      <c r="AE458" s="15"/>
      <c r="AF458" s="244"/>
      <c r="AG458" s="15"/>
      <c r="AH458" s="15">
        <f t="shared" si="65"/>
        <v>0</v>
      </c>
      <c r="AI458" s="22">
        <f t="shared" si="66"/>
        <v>25200</v>
      </c>
      <c r="AJ458" s="22">
        <f t="shared" si="67"/>
        <v>183960000</v>
      </c>
      <c r="AK458" s="165"/>
    </row>
    <row r="459" spans="1:37" hidden="1" outlineLevel="1">
      <c r="A459" s="165" t="s">
        <v>492</v>
      </c>
      <c r="B459" s="13">
        <v>43480</v>
      </c>
      <c r="C459" s="13" t="s">
        <v>23</v>
      </c>
      <c r="D459" s="165" t="s">
        <v>281</v>
      </c>
      <c r="E459" s="165" t="s">
        <v>282</v>
      </c>
      <c r="F459" s="165" t="str">
        <f t="shared" si="63"/>
        <v>ROBI_18.20_150_NL2018</v>
      </c>
      <c r="G459" s="165" t="s">
        <v>61</v>
      </c>
      <c r="I459" s="12" t="s">
        <v>27</v>
      </c>
      <c r="J459" s="14">
        <v>150</v>
      </c>
      <c r="K459" s="15" t="s">
        <v>28</v>
      </c>
      <c r="M459" s="16">
        <f t="shared" si="64"/>
        <v>34</v>
      </c>
      <c r="N459" s="15">
        <v>5100</v>
      </c>
      <c r="O459" s="15">
        <v>6300</v>
      </c>
      <c r="P459" s="15">
        <f t="shared" si="62"/>
        <v>32130000</v>
      </c>
      <c r="Q459" s="15" t="str">
        <f t="shared" si="68"/>
        <v>Done</v>
      </c>
      <c r="R459" s="18" t="s">
        <v>44</v>
      </c>
      <c r="S459" s="23">
        <v>43511</v>
      </c>
      <c r="T459" s="20">
        <f>IFERROR(VLOOKUP(S459,'Date Converter'!$A$4:$C$368,3,0),"")</f>
        <v>43544</v>
      </c>
      <c r="U459" s="21">
        <f t="shared" si="61"/>
        <v>43544</v>
      </c>
      <c r="V459" s="12" t="s">
        <v>32</v>
      </c>
      <c r="W459" s="18" t="s">
        <v>48</v>
      </c>
      <c r="X459" s="18">
        <v>43541</v>
      </c>
      <c r="Y459" s="15"/>
      <c r="Z459" s="206">
        <v>43543</v>
      </c>
      <c r="AA459" s="15">
        <v>5100</v>
      </c>
      <c r="AB459" s="206"/>
      <c r="AC459" s="15"/>
      <c r="AD459" s="206"/>
      <c r="AE459" s="15"/>
      <c r="AF459" s="244"/>
      <c r="AG459" s="15"/>
      <c r="AH459" s="15">
        <f t="shared" si="65"/>
        <v>5100</v>
      </c>
      <c r="AI459" s="22">
        <f t="shared" si="66"/>
        <v>0</v>
      </c>
      <c r="AJ459" s="22">
        <f t="shared" si="67"/>
        <v>0</v>
      </c>
      <c r="AK459" s="165"/>
    </row>
    <row r="460" spans="1:37" ht="14.25" hidden="1" customHeight="1" outlineLevel="1">
      <c r="A460" s="165" t="s">
        <v>350</v>
      </c>
      <c r="B460" s="13">
        <v>43578</v>
      </c>
      <c r="C460" s="13" t="s">
        <v>23</v>
      </c>
      <c r="D460" s="165" t="s">
        <v>281</v>
      </c>
      <c r="E460" s="165" t="s">
        <v>282</v>
      </c>
      <c r="F460" s="165" t="str">
        <f t="shared" si="63"/>
        <v>PROF_16.18_200_NL2018</v>
      </c>
      <c r="G460" s="165" t="s">
        <v>56</v>
      </c>
      <c r="I460" s="12" t="s">
        <v>35</v>
      </c>
      <c r="J460" s="14">
        <v>200</v>
      </c>
      <c r="K460" s="15" t="s">
        <v>28</v>
      </c>
      <c r="M460" s="16">
        <f t="shared" si="64"/>
        <v>15</v>
      </c>
      <c r="N460" s="15">
        <v>3000</v>
      </c>
      <c r="O460" s="15">
        <v>7700</v>
      </c>
      <c r="P460" s="15">
        <f t="shared" si="62"/>
        <v>23100000</v>
      </c>
      <c r="Q460" s="15" t="str">
        <f t="shared" si="68"/>
        <v>Done</v>
      </c>
      <c r="R460" s="18" t="s">
        <v>44</v>
      </c>
      <c r="S460" s="23">
        <v>43539</v>
      </c>
      <c r="T460" s="20">
        <f>IFERROR(VLOOKUP(S460,'Date Converter'!$A$4:$C$368,3,0),"")</f>
        <v>43574</v>
      </c>
      <c r="U460" s="21">
        <f t="shared" si="61"/>
        <v>43574</v>
      </c>
      <c r="V460" s="20" t="s">
        <v>57</v>
      </c>
      <c r="Y460" s="15"/>
      <c r="Z460" s="206">
        <v>43581</v>
      </c>
      <c r="AA460" s="15">
        <v>3000</v>
      </c>
      <c r="AB460" s="206"/>
      <c r="AC460" s="15"/>
      <c r="AD460" s="206"/>
      <c r="AE460" s="15"/>
      <c r="AF460" s="244"/>
      <c r="AG460" s="15"/>
      <c r="AH460" s="15">
        <f t="shared" si="65"/>
        <v>3000</v>
      </c>
      <c r="AI460" s="22">
        <f t="shared" si="66"/>
        <v>0</v>
      </c>
      <c r="AJ460" s="22">
        <f t="shared" si="67"/>
        <v>0</v>
      </c>
      <c r="AK460" s="165"/>
    </row>
    <row r="461" spans="1:37" hidden="1" outlineLevel="1">
      <c r="A461" s="165" t="s">
        <v>350</v>
      </c>
      <c r="B461" s="13">
        <v>43580</v>
      </c>
      <c r="C461" s="13" t="s">
        <v>23</v>
      </c>
      <c r="D461" s="165" t="s">
        <v>281</v>
      </c>
      <c r="E461" s="165" t="s">
        <v>282</v>
      </c>
      <c r="F461" s="165" t="str">
        <f t="shared" si="63"/>
        <v>PROF_16.18_200_NL2018</v>
      </c>
      <c r="G461" s="165" t="s">
        <v>56</v>
      </c>
      <c r="I461" s="12" t="s">
        <v>35</v>
      </c>
      <c r="J461" s="14">
        <v>200</v>
      </c>
      <c r="K461" s="15" t="s">
        <v>28</v>
      </c>
      <c r="M461" s="16">
        <f t="shared" si="64"/>
        <v>5</v>
      </c>
      <c r="N461" s="15">
        <v>1000</v>
      </c>
      <c r="O461" s="15">
        <v>7700</v>
      </c>
      <c r="P461" s="15">
        <f t="shared" si="62"/>
        <v>7700000</v>
      </c>
      <c r="Q461" s="15" t="str">
        <f t="shared" si="68"/>
        <v>Done</v>
      </c>
      <c r="R461" s="18" t="s">
        <v>44</v>
      </c>
      <c r="S461" s="23">
        <v>43524</v>
      </c>
      <c r="T461" s="20">
        <f>IFERROR(VLOOKUP(S461,'Date Converter'!$A$4:$C$368,3,0),"")</f>
        <v>43557</v>
      </c>
      <c r="U461" s="21">
        <f t="shared" si="61"/>
        <v>43557</v>
      </c>
      <c r="V461" s="20" t="s">
        <v>81</v>
      </c>
      <c r="Y461" s="15"/>
      <c r="Z461" s="206">
        <v>43581</v>
      </c>
      <c r="AA461" s="15">
        <v>1000</v>
      </c>
      <c r="AB461" s="206"/>
      <c r="AC461" s="15"/>
      <c r="AD461" s="206"/>
      <c r="AE461" s="15"/>
      <c r="AF461" s="244"/>
      <c r="AG461" s="15"/>
      <c r="AH461" s="15">
        <f t="shared" si="65"/>
        <v>1000</v>
      </c>
      <c r="AI461" s="22">
        <f t="shared" si="66"/>
        <v>0</v>
      </c>
      <c r="AJ461" s="22">
        <f t="shared" si="67"/>
        <v>0</v>
      </c>
      <c r="AK461" s="165"/>
    </row>
    <row r="462" spans="1:37" hidden="1" outlineLevel="1">
      <c r="A462" s="165" t="s">
        <v>492</v>
      </c>
      <c r="B462" s="13">
        <v>43480</v>
      </c>
      <c r="C462" s="13" t="s">
        <v>23</v>
      </c>
      <c r="D462" s="165" t="s">
        <v>281</v>
      </c>
      <c r="E462" s="165" t="s">
        <v>282</v>
      </c>
      <c r="F462" s="165" t="str">
        <f t="shared" si="63"/>
        <v>PROF_16.18_200_NL2018</v>
      </c>
      <c r="G462" s="165" t="s">
        <v>56</v>
      </c>
      <c r="I462" s="12" t="s">
        <v>35</v>
      </c>
      <c r="J462" s="14">
        <v>200</v>
      </c>
      <c r="K462" s="15" t="s">
        <v>28</v>
      </c>
      <c r="M462" s="16">
        <f t="shared" si="64"/>
        <v>25</v>
      </c>
      <c r="N462" s="15">
        <v>5000</v>
      </c>
      <c r="O462" s="15">
        <v>6700</v>
      </c>
      <c r="P462" s="15">
        <f t="shared" si="62"/>
        <v>33500000</v>
      </c>
      <c r="Q462" s="15" t="str">
        <f t="shared" si="68"/>
        <v>Done</v>
      </c>
      <c r="R462" s="18" t="s">
        <v>44</v>
      </c>
      <c r="S462" s="23">
        <v>43511</v>
      </c>
      <c r="T462" s="20">
        <f>IFERROR(VLOOKUP(S462,'Date Converter'!$A$4:$C$368,3,0),"")</f>
        <v>43544</v>
      </c>
      <c r="U462" s="21">
        <f t="shared" si="61"/>
        <v>43544</v>
      </c>
      <c r="V462" s="12" t="s">
        <v>32</v>
      </c>
      <c r="W462" s="18" t="s">
        <v>33</v>
      </c>
      <c r="X462" s="18">
        <v>43541</v>
      </c>
      <c r="Y462" s="15"/>
      <c r="Z462" s="206">
        <v>43543</v>
      </c>
      <c r="AA462" s="15">
        <v>5000</v>
      </c>
      <c r="AB462" s="206"/>
      <c r="AC462" s="15"/>
      <c r="AD462" s="206"/>
      <c r="AE462" s="15"/>
      <c r="AF462" s="244"/>
      <c r="AG462" s="15"/>
      <c r="AH462" s="15">
        <f t="shared" si="65"/>
        <v>5000</v>
      </c>
      <c r="AI462" s="22">
        <f t="shared" si="66"/>
        <v>0</v>
      </c>
      <c r="AJ462" s="22">
        <f t="shared" si="67"/>
        <v>0</v>
      </c>
      <c r="AK462" s="165"/>
    </row>
    <row r="463" spans="1:37" hidden="1" outlineLevel="1">
      <c r="A463" s="165" t="s">
        <v>349</v>
      </c>
      <c r="B463" s="13">
        <v>43480</v>
      </c>
      <c r="C463" s="266" t="s">
        <v>23</v>
      </c>
      <c r="D463" s="258" t="s">
        <v>281</v>
      </c>
      <c r="E463" s="198" t="s">
        <v>282</v>
      </c>
      <c r="F463" s="165" t="str">
        <f t="shared" si="63"/>
        <v>PROF_22.24_100_NL2018</v>
      </c>
      <c r="G463" s="165" t="s">
        <v>56</v>
      </c>
      <c r="I463" s="12" t="s">
        <v>78</v>
      </c>
      <c r="J463" s="14">
        <v>100</v>
      </c>
      <c r="K463" s="15" t="s">
        <v>28</v>
      </c>
      <c r="M463" s="16">
        <f t="shared" si="64"/>
        <v>50</v>
      </c>
      <c r="N463" s="15">
        <v>5000</v>
      </c>
      <c r="O463" s="15">
        <v>14200</v>
      </c>
      <c r="P463" s="15">
        <f t="shared" si="62"/>
        <v>71000000</v>
      </c>
      <c r="Q463" s="15" t="str">
        <f t="shared" si="68"/>
        <v/>
      </c>
      <c r="R463" s="18" t="s">
        <v>29</v>
      </c>
      <c r="S463" s="23">
        <v>43709</v>
      </c>
      <c r="T463" s="20">
        <f>IFERROR(VLOOKUP(S463,'Date Converter'!$A$4:$C$368,3,0),"")</f>
        <v>43737</v>
      </c>
      <c r="U463" s="21">
        <f t="shared" si="61"/>
        <v>43737</v>
      </c>
      <c r="V463" s="15" t="s">
        <v>51</v>
      </c>
      <c r="Y463" s="15"/>
      <c r="AA463" s="15">
        <v>0</v>
      </c>
      <c r="AB463" s="206"/>
      <c r="AC463" s="15"/>
      <c r="AD463" s="206"/>
      <c r="AE463" s="15"/>
      <c r="AF463" s="244"/>
      <c r="AG463" s="15"/>
      <c r="AH463" s="15">
        <f t="shared" si="65"/>
        <v>0</v>
      </c>
      <c r="AI463" s="22">
        <f t="shared" si="66"/>
        <v>5000</v>
      </c>
      <c r="AJ463" s="22">
        <f t="shared" si="67"/>
        <v>71000000</v>
      </c>
      <c r="AK463" s="165"/>
    </row>
    <row r="464" spans="1:37" hidden="1" outlineLevel="1">
      <c r="A464" s="165" t="s">
        <v>492</v>
      </c>
      <c r="B464" s="119">
        <v>43578</v>
      </c>
      <c r="C464" s="13" t="s">
        <v>23</v>
      </c>
      <c r="D464" s="165" t="s">
        <v>281</v>
      </c>
      <c r="E464" s="198" t="s">
        <v>282</v>
      </c>
      <c r="F464" s="165" t="str">
        <f t="shared" si="63"/>
        <v>MALD_16.18_200_NL2018</v>
      </c>
      <c r="G464" s="165" t="s">
        <v>478</v>
      </c>
      <c r="I464" s="12" t="s">
        <v>35</v>
      </c>
      <c r="J464" s="14">
        <v>200</v>
      </c>
      <c r="K464" s="15" t="s">
        <v>28</v>
      </c>
      <c r="M464" s="16">
        <f t="shared" si="64"/>
        <v>10</v>
      </c>
      <c r="N464" s="25">
        <v>2000</v>
      </c>
      <c r="O464" s="15">
        <v>5300</v>
      </c>
      <c r="P464" s="15">
        <f t="shared" si="62"/>
        <v>10600000</v>
      </c>
      <c r="Q464" s="15" t="str">
        <f t="shared" si="68"/>
        <v>Done</v>
      </c>
      <c r="R464" s="18" t="s">
        <v>44</v>
      </c>
      <c r="S464" s="23">
        <v>43572</v>
      </c>
      <c r="T464" s="20">
        <f>IFERROR(VLOOKUP(S464,'Date Converter'!$A$4:$C$368,3,0),"")</f>
        <v>43606</v>
      </c>
      <c r="U464" s="21">
        <f t="shared" si="61"/>
        <v>43606</v>
      </c>
      <c r="V464" s="20" t="s">
        <v>1416</v>
      </c>
      <c r="Y464" s="15"/>
      <c r="Z464" s="206">
        <v>43604</v>
      </c>
      <c r="AA464" s="15">
        <v>2000</v>
      </c>
      <c r="AB464" s="206"/>
      <c r="AC464" s="15"/>
      <c r="AD464" s="206"/>
      <c r="AE464" s="15"/>
      <c r="AF464" s="244"/>
      <c r="AG464" s="15"/>
      <c r="AH464" s="15">
        <f t="shared" si="65"/>
        <v>2000</v>
      </c>
      <c r="AI464" s="22">
        <f t="shared" si="66"/>
        <v>0</v>
      </c>
      <c r="AJ464" s="22">
        <f t="shared" si="67"/>
        <v>0</v>
      </c>
      <c r="AK464" s="165"/>
    </row>
    <row r="465" spans="1:37" hidden="1" outlineLevel="1">
      <c r="A465" s="165" t="s">
        <v>350</v>
      </c>
      <c r="B465" s="119">
        <v>43535</v>
      </c>
      <c r="C465" s="13" t="s">
        <v>23</v>
      </c>
      <c r="D465" s="165" t="s">
        <v>281</v>
      </c>
      <c r="E465" s="198" t="s">
        <v>282</v>
      </c>
      <c r="F465" s="165" t="str">
        <f t="shared" si="63"/>
        <v>DALI_14.16_300_NL2018</v>
      </c>
      <c r="G465" s="165" t="s">
        <v>46</v>
      </c>
      <c r="I465" s="12" t="s">
        <v>47</v>
      </c>
      <c r="J465" s="14">
        <v>300</v>
      </c>
      <c r="K465" s="15" t="s">
        <v>28</v>
      </c>
      <c r="M465" s="16">
        <f t="shared" si="64"/>
        <v>17</v>
      </c>
      <c r="N465" s="15">
        <v>5100</v>
      </c>
      <c r="O465" s="15">
        <v>5300</v>
      </c>
      <c r="P465" s="15">
        <f t="shared" si="62"/>
        <v>27030000</v>
      </c>
      <c r="Q465" s="15" t="str">
        <f t="shared" si="68"/>
        <v>Done</v>
      </c>
      <c r="R465" s="200" t="s">
        <v>44</v>
      </c>
      <c r="S465" s="23">
        <v>43554</v>
      </c>
      <c r="T465" s="20">
        <f>IFERROR(VLOOKUP(S465,'Date Converter'!$A$4:$C$368,3,0),"")</f>
        <v>43589</v>
      </c>
      <c r="U465" s="21">
        <f t="shared" si="61"/>
        <v>43589</v>
      </c>
      <c r="V465" s="20" t="s">
        <v>1416</v>
      </c>
      <c r="Y465" s="15"/>
      <c r="Z465" s="206">
        <v>43604</v>
      </c>
      <c r="AA465" s="15">
        <v>5100</v>
      </c>
      <c r="AB465" s="206"/>
      <c r="AC465" s="15"/>
      <c r="AD465" s="206"/>
      <c r="AE465" s="15"/>
      <c r="AF465" s="244"/>
      <c r="AG465" s="15"/>
      <c r="AH465" s="15">
        <f t="shared" si="65"/>
        <v>5100</v>
      </c>
      <c r="AI465" s="22">
        <f t="shared" si="66"/>
        <v>0</v>
      </c>
      <c r="AJ465" s="22">
        <f t="shared" si="67"/>
        <v>0</v>
      </c>
      <c r="AK465" s="165"/>
    </row>
    <row r="466" spans="1:37" s="165" customFormat="1" hidden="1" outlineLevel="1">
      <c r="A466" s="165" t="s">
        <v>349</v>
      </c>
      <c r="B466" s="13">
        <v>43480</v>
      </c>
      <c r="C466" s="266" t="s">
        <v>23</v>
      </c>
      <c r="D466" s="258" t="s">
        <v>281</v>
      </c>
      <c r="E466" s="198" t="s">
        <v>282</v>
      </c>
      <c r="F466" s="165" t="str">
        <f t="shared" si="63"/>
        <v>DALI_20.22_125_NL2018</v>
      </c>
      <c r="G466" s="165" t="s">
        <v>46</v>
      </c>
      <c r="H466" s="12"/>
      <c r="I466" s="12" t="s">
        <v>74</v>
      </c>
      <c r="J466" s="14">
        <v>125</v>
      </c>
      <c r="K466" s="15" t="s">
        <v>28</v>
      </c>
      <c r="L466" s="15"/>
      <c r="M466" s="16">
        <f t="shared" si="64"/>
        <v>40</v>
      </c>
      <c r="N466" s="15">
        <v>5000</v>
      </c>
      <c r="O466" s="15">
        <v>14200</v>
      </c>
      <c r="P466" s="15">
        <f t="shared" si="62"/>
        <v>71000000</v>
      </c>
      <c r="Q466" s="15" t="str">
        <f t="shared" si="68"/>
        <v/>
      </c>
      <c r="R466" s="18" t="s">
        <v>29</v>
      </c>
      <c r="S466" s="23">
        <v>43709</v>
      </c>
      <c r="T466" s="20">
        <f>IFERROR(VLOOKUP(S466,'Date Converter'!$A$4:$C$368,3,0),"")</f>
        <v>43737</v>
      </c>
      <c r="U466" s="21">
        <f t="shared" si="61"/>
        <v>43737</v>
      </c>
      <c r="V466" s="15" t="s">
        <v>51</v>
      </c>
      <c r="W466" s="18"/>
      <c r="X466" s="18"/>
      <c r="Y466" s="15"/>
      <c r="Z466" s="206"/>
      <c r="AA466" s="15">
        <v>0</v>
      </c>
      <c r="AB466" s="206"/>
      <c r="AC466" s="15"/>
      <c r="AD466" s="206"/>
      <c r="AE466" s="15"/>
      <c r="AF466" s="244"/>
      <c r="AG466" s="15"/>
      <c r="AH466" s="15">
        <f t="shared" si="65"/>
        <v>0</v>
      </c>
      <c r="AI466" s="22">
        <f t="shared" si="66"/>
        <v>5000</v>
      </c>
      <c r="AJ466" s="22">
        <f t="shared" si="67"/>
        <v>71000000</v>
      </c>
    </row>
    <row r="467" spans="1:37" s="165" customFormat="1" hidden="1" outlineLevel="1">
      <c r="A467" s="165" t="s">
        <v>350</v>
      </c>
      <c r="B467" s="13">
        <v>43480</v>
      </c>
      <c r="C467" s="13" t="s">
        <v>23</v>
      </c>
      <c r="D467" s="165" t="s">
        <v>281</v>
      </c>
      <c r="E467" s="165" t="s">
        <v>282</v>
      </c>
      <c r="F467" s="165" t="str">
        <f t="shared" si="63"/>
        <v>CONC_16.18_200_NL2018</v>
      </c>
      <c r="G467" s="165" t="s">
        <v>43</v>
      </c>
      <c r="H467" s="12"/>
      <c r="I467" s="12" t="s">
        <v>35</v>
      </c>
      <c r="J467" s="14">
        <v>200</v>
      </c>
      <c r="K467" s="15" t="s">
        <v>28</v>
      </c>
      <c r="L467" s="15"/>
      <c r="M467" s="16">
        <f t="shared" si="64"/>
        <v>30</v>
      </c>
      <c r="N467" s="15">
        <v>6000</v>
      </c>
      <c r="O467" s="15">
        <v>4700</v>
      </c>
      <c r="P467" s="15">
        <f t="shared" si="62"/>
        <v>28200000</v>
      </c>
      <c r="Q467" s="15" t="str">
        <f t="shared" si="68"/>
        <v>Done</v>
      </c>
      <c r="R467" s="18" t="s">
        <v>44</v>
      </c>
      <c r="S467" s="23" t="s">
        <v>53</v>
      </c>
      <c r="T467" s="20">
        <f>IFERROR(VLOOKUP(S467,'Date Converter'!$A$4:$C$368,3,0),"")</f>
        <v>43559</v>
      </c>
      <c r="U467" s="21">
        <f t="shared" si="61"/>
        <v>43559</v>
      </c>
      <c r="V467" s="20" t="s">
        <v>54</v>
      </c>
      <c r="W467" s="18" t="s">
        <v>55</v>
      </c>
      <c r="X467" s="18">
        <v>43555</v>
      </c>
      <c r="Y467" s="15"/>
      <c r="Z467" s="206">
        <v>43571</v>
      </c>
      <c r="AA467" s="15">
        <v>6000</v>
      </c>
      <c r="AB467" s="206"/>
      <c r="AC467" s="15"/>
      <c r="AD467" s="206"/>
      <c r="AE467" s="15"/>
      <c r="AF467" s="244"/>
      <c r="AG467" s="15"/>
      <c r="AH467" s="15">
        <f t="shared" si="65"/>
        <v>6000</v>
      </c>
      <c r="AI467" s="22">
        <f t="shared" si="66"/>
        <v>0</v>
      </c>
      <c r="AJ467" s="22">
        <f t="shared" si="67"/>
        <v>0</v>
      </c>
    </row>
    <row r="468" spans="1:37" s="165" customFormat="1" hidden="1" outlineLevel="1">
      <c r="A468" s="165" t="s">
        <v>492</v>
      </c>
      <c r="B468" s="13">
        <v>43480</v>
      </c>
      <c r="C468" s="13" t="s">
        <v>23</v>
      </c>
      <c r="D468" s="165" t="s">
        <v>281</v>
      </c>
      <c r="E468" s="165" t="s">
        <v>282</v>
      </c>
      <c r="F468" s="165" t="str">
        <f t="shared" si="63"/>
        <v>CONC_16.18_200_NL2018</v>
      </c>
      <c r="G468" s="165" t="s">
        <v>43</v>
      </c>
      <c r="H468" s="12"/>
      <c r="I468" s="12" t="s">
        <v>35</v>
      </c>
      <c r="J468" s="14">
        <v>200</v>
      </c>
      <c r="K468" s="15" t="s">
        <v>28</v>
      </c>
      <c r="L468" s="15"/>
      <c r="M468" s="16">
        <f t="shared" si="64"/>
        <v>30</v>
      </c>
      <c r="N468" s="15">
        <v>6000</v>
      </c>
      <c r="O468" s="15">
        <v>4600</v>
      </c>
      <c r="P468" s="15">
        <f t="shared" si="62"/>
        <v>27600000</v>
      </c>
      <c r="Q468" s="15" t="str">
        <f t="shared" si="68"/>
        <v>Done</v>
      </c>
      <c r="R468" s="18" t="s">
        <v>44</v>
      </c>
      <c r="S468" s="23">
        <v>43480</v>
      </c>
      <c r="T468" s="20">
        <f>IFERROR(VLOOKUP(S468,'Date Converter'!$A$4:$C$368,3,0),"")</f>
        <v>43515</v>
      </c>
      <c r="U468" s="21">
        <f t="shared" si="61"/>
        <v>43515</v>
      </c>
      <c r="V468" s="12" t="s">
        <v>45</v>
      </c>
      <c r="W468" s="18"/>
      <c r="X468" s="18"/>
      <c r="Y468" s="15" t="s">
        <v>59</v>
      </c>
      <c r="Z468" s="206">
        <v>43526</v>
      </c>
      <c r="AA468" s="15">
        <v>6000</v>
      </c>
      <c r="AB468" s="206"/>
      <c r="AC468" s="15"/>
      <c r="AD468" s="206"/>
      <c r="AE468" s="15"/>
      <c r="AF468" s="244"/>
      <c r="AG468" s="15"/>
      <c r="AH468" s="15">
        <f t="shared" si="65"/>
        <v>6000</v>
      </c>
      <c r="AI468" s="22">
        <f t="shared" si="66"/>
        <v>0</v>
      </c>
      <c r="AJ468" s="22">
        <f t="shared" si="67"/>
        <v>0</v>
      </c>
    </row>
    <row r="469" spans="1:37" hidden="1" outlineLevel="1">
      <c r="A469" t="s">
        <v>350</v>
      </c>
      <c r="B469" s="13">
        <v>43535</v>
      </c>
      <c r="C469" s="13" t="s">
        <v>23</v>
      </c>
      <c r="D469" s="165" t="s">
        <v>281</v>
      </c>
      <c r="E469" s="165" t="s">
        <v>282</v>
      </c>
      <c r="F469" t="str">
        <f t="shared" si="63"/>
        <v>CONC_16.18_200_NL2018</v>
      </c>
      <c r="G469" s="165" t="s">
        <v>40</v>
      </c>
      <c r="I469" s="12" t="s">
        <v>35</v>
      </c>
      <c r="J469" s="14">
        <v>200</v>
      </c>
      <c r="K469" s="15" t="s">
        <v>28</v>
      </c>
      <c r="M469" s="16">
        <f t="shared" si="64"/>
        <v>25</v>
      </c>
      <c r="N469" s="15">
        <v>5000</v>
      </c>
      <c r="O469" s="15">
        <v>5000</v>
      </c>
      <c r="P469" s="15">
        <f t="shared" si="62"/>
        <v>25000000</v>
      </c>
      <c r="Q469" s="15" t="str">
        <f t="shared" si="68"/>
        <v>Done</v>
      </c>
      <c r="R469" s="18" t="s">
        <v>44</v>
      </c>
      <c r="S469" s="23">
        <v>43539</v>
      </c>
      <c r="T469" s="20">
        <f>IFERROR(VLOOKUP(S469,'Date Converter'!$A$4:$C$368,3,0),"")</f>
        <v>43574</v>
      </c>
      <c r="U469" s="21">
        <f t="shared" si="61"/>
        <v>43574</v>
      </c>
      <c r="V469" s="20" t="s">
        <v>57</v>
      </c>
      <c r="W469" s="18" t="s">
        <v>86</v>
      </c>
      <c r="X469" s="18">
        <v>43569</v>
      </c>
      <c r="Y469" s="15"/>
      <c r="Z469" s="206">
        <v>43581</v>
      </c>
      <c r="AA469" s="15">
        <v>5000</v>
      </c>
      <c r="AB469" s="206"/>
      <c r="AC469" s="15"/>
      <c r="AD469" s="206"/>
      <c r="AE469" s="15"/>
      <c r="AF469" s="244"/>
      <c r="AG469" s="15"/>
      <c r="AH469" s="15">
        <f t="shared" si="65"/>
        <v>5000</v>
      </c>
      <c r="AI469" s="22">
        <f t="shared" si="66"/>
        <v>0</v>
      </c>
      <c r="AJ469" s="22">
        <f t="shared" si="67"/>
        <v>0</v>
      </c>
      <c r="AK469" s="165"/>
    </row>
    <row r="470" spans="1:37" hidden="1" outlineLevel="1">
      <c r="A470" t="s">
        <v>492</v>
      </c>
      <c r="B470" s="119">
        <v>43552</v>
      </c>
      <c r="C470" s="13" t="s">
        <v>23</v>
      </c>
      <c r="D470" s="165" t="s">
        <v>281</v>
      </c>
      <c r="E470" s="198" t="s">
        <v>282</v>
      </c>
      <c r="F470" t="str">
        <f t="shared" si="63"/>
        <v>CONC_16.18_200_NL2018</v>
      </c>
      <c r="G470" s="165" t="s">
        <v>40</v>
      </c>
      <c r="I470" s="12" t="s">
        <v>35</v>
      </c>
      <c r="J470" s="14">
        <v>200</v>
      </c>
      <c r="K470" s="15" t="s">
        <v>28</v>
      </c>
      <c r="M470" s="16">
        <f t="shared" si="64"/>
        <v>26</v>
      </c>
      <c r="N470" s="15">
        <f>5000+200</f>
        <v>5200</v>
      </c>
      <c r="O470" s="15">
        <v>6000</v>
      </c>
      <c r="P470" s="15">
        <f t="shared" si="62"/>
        <v>31200000</v>
      </c>
      <c r="Q470" s="15" t="str">
        <f t="shared" si="68"/>
        <v>Done</v>
      </c>
      <c r="R470" s="18" t="s">
        <v>44</v>
      </c>
      <c r="S470" s="23">
        <v>43572</v>
      </c>
      <c r="T470" s="20">
        <f>IFERROR(VLOOKUP(S470,'Date Converter'!$A$4:$C$368,3,0),"")</f>
        <v>43606</v>
      </c>
      <c r="U470" s="21">
        <f t="shared" si="61"/>
        <v>43606</v>
      </c>
      <c r="V470" s="20" t="s">
        <v>1416</v>
      </c>
      <c r="Y470" s="15"/>
      <c r="Z470" s="206">
        <v>43604</v>
      </c>
      <c r="AA470" s="15">
        <v>5200</v>
      </c>
      <c r="AB470" s="206"/>
      <c r="AC470" s="15"/>
      <c r="AD470" s="206"/>
      <c r="AE470" s="15"/>
      <c r="AF470" s="244"/>
      <c r="AG470" s="15"/>
      <c r="AH470" s="15">
        <f t="shared" si="65"/>
        <v>5200</v>
      </c>
      <c r="AI470" s="22">
        <f t="shared" si="66"/>
        <v>0</v>
      </c>
      <c r="AJ470" s="22">
        <f t="shared" si="67"/>
        <v>0</v>
      </c>
      <c r="AK470" s="165"/>
    </row>
    <row r="471" spans="1:37" hidden="1" outlineLevel="1">
      <c r="A471" t="s">
        <v>349</v>
      </c>
      <c r="B471" s="119">
        <v>43480</v>
      </c>
      <c r="C471" s="266" t="s">
        <v>23</v>
      </c>
      <c r="D471" s="258" t="s">
        <v>281</v>
      </c>
      <c r="E471" s="198" t="s">
        <v>282</v>
      </c>
      <c r="F471" t="str">
        <f t="shared" si="63"/>
        <v>CONC_20.22_125_NL2018</v>
      </c>
      <c r="G471" s="165" t="s">
        <v>40</v>
      </c>
      <c r="I471" s="12" t="s">
        <v>74</v>
      </c>
      <c r="J471" s="14">
        <v>125</v>
      </c>
      <c r="K471" s="15" t="s">
        <v>28</v>
      </c>
      <c r="M471" s="16">
        <f t="shared" si="64"/>
        <v>40</v>
      </c>
      <c r="N471" s="15">
        <v>5000</v>
      </c>
      <c r="O471" s="15">
        <v>10500</v>
      </c>
      <c r="P471" s="15">
        <f t="shared" si="62"/>
        <v>52500000</v>
      </c>
      <c r="Q471" s="15" t="str">
        <f t="shared" si="68"/>
        <v/>
      </c>
      <c r="R471" s="18" t="s">
        <v>29</v>
      </c>
      <c r="S471" s="23">
        <v>43709</v>
      </c>
      <c r="T471" s="20">
        <f>IFERROR(VLOOKUP(S471,'Date Converter'!$A$4:$C$368,3,0),"")</f>
        <v>43737</v>
      </c>
      <c r="U471" s="21">
        <f t="shared" ref="U471:U535" si="69">+T471</f>
        <v>43737</v>
      </c>
      <c r="V471" s="15" t="s">
        <v>51</v>
      </c>
      <c r="Y471" s="15"/>
      <c r="AA471" s="15">
        <v>0</v>
      </c>
      <c r="AB471" s="206"/>
      <c r="AC471" s="15"/>
      <c r="AD471" s="206"/>
      <c r="AE471" s="15"/>
      <c r="AF471" s="244"/>
      <c r="AG471" s="15"/>
      <c r="AH471" s="15">
        <f t="shared" si="65"/>
        <v>0</v>
      </c>
      <c r="AI471" s="22">
        <f t="shared" si="66"/>
        <v>5000</v>
      </c>
      <c r="AJ471" s="22">
        <f t="shared" si="67"/>
        <v>52500000</v>
      </c>
      <c r="AK471" s="165"/>
    </row>
    <row r="472" spans="1:37" hidden="1" outlineLevel="1">
      <c r="A472" t="s">
        <v>349</v>
      </c>
      <c r="B472" s="13">
        <v>43480</v>
      </c>
      <c r="C472" s="266" t="s">
        <v>23</v>
      </c>
      <c r="D472" s="258" t="s">
        <v>281</v>
      </c>
      <c r="E472" s="198" t="s">
        <v>282</v>
      </c>
      <c r="F472" t="str">
        <f t="shared" si="63"/>
        <v>CONC_22.24_100_NL2018</v>
      </c>
      <c r="G472" s="165" t="s">
        <v>40</v>
      </c>
      <c r="I472" s="12" t="s">
        <v>78</v>
      </c>
      <c r="J472" s="14">
        <v>100</v>
      </c>
      <c r="K472" s="15" t="s">
        <v>28</v>
      </c>
      <c r="M472" s="16">
        <f t="shared" si="64"/>
        <v>100</v>
      </c>
      <c r="N472" s="15">
        <v>10000</v>
      </c>
      <c r="O472" s="15">
        <v>12500</v>
      </c>
      <c r="P472" s="15">
        <f t="shared" si="62"/>
        <v>125000000</v>
      </c>
      <c r="Q472" s="15" t="str">
        <f t="shared" si="68"/>
        <v/>
      </c>
      <c r="R472" s="18" t="s">
        <v>29</v>
      </c>
      <c r="S472" s="23">
        <v>43709</v>
      </c>
      <c r="T472" s="20">
        <f>IFERROR(VLOOKUP(S472,'Date Converter'!$A$4:$C$368,3,0),"")</f>
        <v>43737</v>
      </c>
      <c r="U472" s="21">
        <f t="shared" si="69"/>
        <v>43737</v>
      </c>
      <c r="V472" s="15" t="s">
        <v>51</v>
      </c>
      <c r="Y472" s="15"/>
      <c r="AA472" s="15">
        <v>0</v>
      </c>
      <c r="AB472" s="206"/>
      <c r="AC472" s="15"/>
      <c r="AD472" s="206"/>
      <c r="AE472" s="15"/>
      <c r="AF472" s="244"/>
      <c r="AG472" s="15"/>
      <c r="AH472" s="15">
        <f t="shared" si="65"/>
        <v>0</v>
      </c>
      <c r="AI472" s="22">
        <f t="shared" si="66"/>
        <v>10000</v>
      </c>
      <c r="AJ472" s="22">
        <f t="shared" si="67"/>
        <v>125000000</v>
      </c>
      <c r="AK472" s="165"/>
    </row>
    <row r="473" spans="1:37" s="165" customFormat="1" hidden="1" outlineLevel="1">
      <c r="A473" s="165" t="s">
        <v>350</v>
      </c>
      <c r="B473" s="13">
        <v>43480</v>
      </c>
      <c r="C473" s="13" t="s">
        <v>23</v>
      </c>
      <c r="D473" s="165" t="s">
        <v>281</v>
      </c>
      <c r="E473" s="165" t="s">
        <v>282</v>
      </c>
      <c r="F473" s="165" t="str">
        <f t="shared" si="63"/>
        <v>BACA_16.18_200_NL2018</v>
      </c>
      <c r="G473" s="165" t="s">
        <v>67</v>
      </c>
      <c r="H473" s="12"/>
      <c r="I473" s="12" t="s">
        <v>35</v>
      </c>
      <c r="J473" s="14">
        <v>200</v>
      </c>
      <c r="K473" s="15" t="s">
        <v>28</v>
      </c>
      <c r="L473" s="15"/>
      <c r="M473" s="16">
        <f t="shared" si="64"/>
        <v>20</v>
      </c>
      <c r="N473" s="15">
        <v>4000</v>
      </c>
      <c r="O473" s="15">
        <v>6300</v>
      </c>
      <c r="P473" s="15">
        <f t="shared" si="62"/>
        <v>25200000</v>
      </c>
      <c r="Q473" s="15" t="str">
        <f t="shared" si="68"/>
        <v>Done</v>
      </c>
      <c r="R473" s="18" t="s">
        <v>44</v>
      </c>
      <c r="S473" s="23" t="s">
        <v>53</v>
      </c>
      <c r="T473" s="20">
        <f>IFERROR(VLOOKUP(S473,'Date Converter'!$A$4:$C$368,3,0),"")</f>
        <v>43559</v>
      </c>
      <c r="U473" s="21">
        <f t="shared" si="69"/>
        <v>43559</v>
      </c>
      <c r="V473" s="20" t="s">
        <v>54</v>
      </c>
      <c r="W473" s="18" t="s">
        <v>101</v>
      </c>
      <c r="X473" s="18">
        <v>43555</v>
      </c>
      <c r="Y473" s="15"/>
      <c r="Z473" s="206">
        <v>43571</v>
      </c>
      <c r="AA473" s="15">
        <v>4000</v>
      </c>
      <c r="AB473" s="206"/>
      <c r="AC473" s="15"/>
      <c r="AD473" s="206"/>
      <c r="AE473" s="15"/>
      <c r="AF473" s="244"/>
      <c r="AG473" s="15"/>
      <c r="AH473" s="15">
        <f t="shared" si="65"/>
        <v>4000</v>
      </c>
      <c r="AI473" s="22">
        <f t="shared" si="66"/>
        <v>0</v>
      </c>
      <c r="AJ473" s="22">
        <f t="shared" si="67"/>
        <v>0</v>
      </c>
    </row>
    <row r="474" spans="1:37" s="165" customFormat="1" hidden="1" outlineLevel="1">
      <c r="A474" s="165" t="s">
        <v>492</v>
      </c>
      <c r="B474" s="13">
        <v>43480</v>
      </c>
      <c r="C474" s="13" t="s">
        <v>23</v>
      </c>
      <c r="D474" s="165" t="s">
        <v>281</v>
      </c>
      <c r="E474" s="165" t="s">
        <v>282</v>
      </c>
      <c r="F474" s="165" t="str">
        <f t="shared" si="63"/>
        <v>BACA_16.18_200_NL2018</v>
      </c>
      <c r="G474" s="165" t="s">
        <v>67</v>
      </c>
      <c r="H474" s="12"/>
      <c r="I474" s="12" t="s">
        <v>35</v>
      </c>
      <c r="J474" s="14">
        <v>200</v>
      </c>
      <c r="K474" s="15" t="s">
        <v>28</v>
      </c>
      <c r="L474" s="15"/>
      <c r="M474" s="16">
        <f t="shared" si="64"/>
        <v>20</v>
      </c>
      <c r="N474" s="15">
        <v>4000</v>
      </c>
      <c r="O474" s="15">
        <v>6300</v>
      </c>
      <c r="P474" s="15">
        <f t="shared" si="62"/>
        <v>25200000</v>
      </c>
      <c r="Q474" s="15" t="str">
        <f t="shared" si="68"/>
        <v>Done</v>
      </c>
      <c r="R474" s="18" t="s">
        <v>44</v>
      </c>
      <c r="S474" s="23">
        <v>43480</v>
      </c>
      <c r="T474" s="20">
        <f>IFERROR(VLOOKUP(S474,'Date Converter'!$A$4:$C$368,3,0),"")</f>
        <v>43515</v>
      </c>
      <c r="U474" s="21">
        <f t="shared" si="69"/>
        <v>43515</v>
      </c>
      <c r="V474" s="12" t="s">
        <v>45</v>
      </c>
      <c r="W474" s="18"/>
      <c r="X474" s="18"/>
      <c r="Y474" s="15" t="s">
        <v>59</v>
      </c>
      <c r="Z474" s="206">
        <v>43533</v>
      </c>
      <c r="AA474" s="15">
        <v>4000</v>
      </c>
      <c r="AB474" s="206"/>
      <c r="AC474" s="15"/>
      <c r="AD474" s="206"/>
      <c r="AE474" s="15"/>
      <c r="AF474" s="244"/>
      <c r="AG474" s="15"/>
      <c r="AH474" s="15">
        <f t="shared" si="65"/>
        <v>4000</v>
      </c>
      <c r="AI474" s="22">
        <f t="shared" si="66"/>
        <v>0</v>
      </c>
      <c r="AJ474" s="22">
        <f t="shared" si="67"/>
        <v>0</v>
      </c>
    </row>
    <row r="475" spans="1:37" hidden="1" outlineLevel="1">
      <c r="A475" t="s">
        <v>349</v>
      </c>
      <c r="B475" s="13">
        <v>43480</v>
      </c>
      <c r="C475" s="266" t="s">
        <v>23</v>
      </c>
      <c r="D475" s="258" t="s">
        <v>281</v>
      </c>
      <c r="E475" s="198" t="s">
        <v>282</v>
      </c>
      <c r="F475" t="str">
        <f t="shared" si="63"/>
        <v>BACA_22.24_85_NL2018</v>
      </c>
      <c r="G475" s="165" t="s">
        <v>67</v>
      </c>
      <c r="I475" s="12" t="s">
        <v>78</v>
      </c>
      <c r="J475" s="14">
        <v>85</v>
      </c>
      <c r="K475" s="15" t="s">
        <v>28</v>
      </c>
      <c r="M475" s="16">
        <f t="shared" si="64"/>
        <v>59</v>
      </c>
      <c r="N475" s="15">
        <v>5015</v>
      </c>
      <c r="O475" s="15">
        <v>11600</v>
      </c>
      <c r="P475" s="15">
        <f t="shared" si="62"/>
        <v>58174000</v>
      </c>
      <c r="Q475" s="15" t="str">
        <f t="shared" si="68"/>
        <v/>
      </c>
      <c r="R475" s="18" t="s">
        <v>29</v>
      </c>
      <c r="S475" s="23">
        <v>43709</v>
      </c>
      <c r="T475" s="20">
        <f>IFERROR(VLOOKUP(S475,'Date Converter'!$A$4:$C$368,3,0),"")</f>
        <v>43737</v>
      </c>
      <c r="U475" s="21">
        <f t="shared" si="69"/>
        <v>43737</v>
      </c>
      <c r="V475" s="15" t="s">
        <v>51</v>
      </c>
      <c r="Y475" s="15"/>
      <c r="AA475" s="15">
        <v>0</v>
      </c>
      <c r="AB475" s="206"/>
      <c r="AC475" s="15"/>
      <c r="AD475" s="206"/>
      <c r="AE475" s="15"/>
      <c r="AF475" s="244"/>
      <c r="AG475" s="15"/>
      <c r="AH475" s="15">
        <f t="shared" si="65"/>
        <v>0</v>
      </c>
      <c r="AI475" s="22">
        <f t="shared" si="66"/>
        <v>5015</v>
      </c>
      <c r="AJ475" s="22">
        <f t="shared" si="67"/>
        <v>58174000</v>
      </c>
      <c r="AK475" s="165"/>
    </row>
    <row r="476" spans="1:37" hidden="1" outlineLevel="1">
      <c r="A476" t="s">
        <v>492</v>
      </c>
      <c r="B476" s="119">
        <v>43552</v>
      </c>
      <c r="C476" s="13" t="s">
        <v>23</v>
      </c>
      <c r="D476" s="165" t="s">
        <v>281</v>
      </c>
      <c r="E476" s="198" t="s">
        <v>282</v>
      </c>
      <c r="F476" s="165" t="str">
        <f t="shared" si="63"/>
        <v>ARVA_16.18_200_NL2018</v>
      </c>
      <c r="G476" s="165" t="s">
        <v>85</v>
      </c>
      <c r="I476" s="12" t="s">
        <v>35</v>
      </c>
      <c r="J476" s="14">
        <v>200</v>
      </c>
      <c r="K476" s="15" t="s">
        <v>28</v>
      </c>
      <c r="M476" s="16">
        <f t="shared" si="64"/>
        <v>25</v>
      </c>
      <c r="N476" s="15">
        <v>5000</v>
      </c>
      <c r="O476" s="15">
        <v>5800</v>
      </c>
      <c r="P476" s="15">
        <f t="shared" si="62"/>
        <v>29000000</v>
      </c>
      <c r="Q476" s="15" t="str">
        <f t="shared" si="68"/>
        <v>Done</v>
      </c>
      <c r="R476" s="200" t="s">
        <v>44</v>
      </c>
      <c r="S476" s="23">
        <v>43539</v>
      </c>
      <c r="T476" s="20">
        <f>IFERROR(VLOOKUP(S476,'Date Converter'!$A$4:$C$368,3,0),"")</f>
        <v>43574</v>
      </c>
      <c r="U476" s="21">
        <f t="shared" si="69"/>
        <v>43574</v>
      </c>
      <c r="V476" s="20" t="s">
        <v>1416</v>
      </c>
      <c r="Y476" s="15"/>
      <c r="Z476" s="206">
        <v>43608</v>
      </c>
      <c r="AA476" s="15">
        <v>5000</v>
      </c>
      <c r="AB476" s="206"/>
      <c r="AC476" s="15"/>
      <c r="AD476" s="206"/>
      <c r="AE476" s="15"/>
      <c r="AF476" s="244"/>
      <c r="AG476" s="15"/>
      <c r="AH476" s="15">
        <f t="shared" si="65"/>
        <v>5000</v>
      </c>
      <c r="AI476" s="22">
        <f t="shared" si="66"/>
        <v>0</v>
      </c>
      <c r="AJ476" s="22">
        <f t="shared" si="67"/>
        <v>0</v>
      </c>
      <c r="AK476" s="165"/>
    </row>
    <row r="477" spans="1:37" hidden="1" outlineLevel="1">
      <c r="A477" t="s">
        <v>319</v>
      </c>
      <c r="B477" s="13">
        <v>43537</v>
      </c>
      <c r="C477" s="13" t="s">
        <v>23</v>
      </c>
      <c r="D477" s="165" t="s">
        <v>287</v>
      </c>
      <c r="E477" s="13" t="s">
        <v>288</v>
      </c>
      <c r="F477" t="str">
        <f t="shared" si="63"/>
        <v>YELL_14.16_300_NL2018</v>
      </c>
      <c r="G477" s="165" t="s">
        <v>89</v>
      </c>
      <c r="I477" s="12" t="s">
        <v>47</v>
      </c>
      <c r="J477" s="14">
        <v>300</v>
      </c>
      <c r="K477" s="15" t="s">
        <v>28</v>
      </c>
      <c r="M477" s="16">
        <f t="shared" si="64"/>
        <v>0</v>
      </c>
      <c r="N477" s="15">
        <f>10200-10200</f>
        <v>0</v>
      </c>
      <c r="O477" s="15">
        <v>3800</v>
      </c>
      <c r="P477" s="15">
        <f t="shared" si="62"/>
        <v>0</v>
      </c>
      <c r="Q477" s="15" t="str">
        <f t="shared" si="68"/>
        <v>Canceled</v>
      </c>
      <c r="R477" s="18" t="s">
        <v>71</v>
      </c>
      <c r="S477" s="23">
        <v>43539</v>
      </c>
      <c r="T477" s="20">
        <f>IFERROR(VLOOKUP(S477,'Date Converter'!$A$4:$C$368,3,0),"")</f>
        <v>43574</v>
      </c>
      <c r="U477" s="21">
        <f t="shared" si="69"/>
        <v>43574</v>
      </c>
      <c r="V477" s="12" t="s">
        <v>57</v>
      </c>
      <c r="W477" s="18" t="s">
        <v>79</v>
      </c>
      <c r="X477" s="18">
        <v>43569</v>
      </c>
      <c r="AA477" s="15"/>
      <c r="AB477" s="206"/>
      <c r="AD477" s="206"/>
      <c r="AH477" s="15">
        <f t="shared" si="65"/>
        <v>0</v>
      </c>
      <c r="AI477" s="22">
        <f t="shared" si="66"/>
        <v>0</v>
      </c>
      <c r="AJ477" s="22">
        <f t="shared" si="67"/>
        <v>0</v>
      </c>
      <c r="AK477" s="165"/>
    </row>
    <row r="478" spans="1:37" hidden="1" outlineLevel="1">
      <c r="A478" t="s">
        <v>319</v>
      </c>
      <c r="B478" s="13">
        <v>43537</v>
      </c>
      <c r="C478" s="13" t="s">
        <v>23</v>
      </c>
      <c r="D478" s="165" t="s">
        <v>287</v>
      </c>
      <c r="E478" s="13" t="s">
        <v>288</v>
      </c>
      <c r="F478" t="str">
        <f t="shared" si="63"/>
        <v>YELL_12.14_400_NL2018</v>
      </c>
      <c r="G478" s="13" t="s">
        <v>89</v>
      </c>
      <c r="I478" s="12" t="s">
        <v>113</v>
      </c>
      <c r="J478" s="31" t="s">
        <v>128</v>
      </c>
      <c r="K478" s="15" t="s">
        <v>28</v>
      </c>
      <c r="M478" s="16">
        <f t="shared" si="64"/>
        <v>0</v>
      </c>
      <c r="N478" s="15">
        <f>10000-10000</f>
        <v>0</v>
      </c>
      <c r="O478" s="15">
        <v>2600</v>
      </c>
      <c r="P478" s="15">
        <f t="shared" si="62"/>
        <v>0</v>
      </c>
      <c r="Q478" s="15" t="str">
        <f t="shared" si="68"/>
        <v>Canceled</v>
      </c>
      <c r="R478" s="18" t="s">
        <v>71</v>
      </c>
      <c r="S478" s="23" t="s">
        <v>53</v>
      </c>
      <c r="T478" s="20">
        <f>IFERROR(VLOOKUP(S478,'Date Converter'!$A$4:$C$368,3,0),"")</f>
        <v>43559</v>
      </c>
      <c r="U478" s="21">
        <f t="shared" si="69"/>
        <v>43559</v>
      </c>
      <c r="V478" s="12" t="s">
        <v>1376</v>
      </c>
      <c r="W478" s="18" t="s">
        <v>72</v>
      </c>
      <c r="X478" s="18">
        <v>43555</v>
      </c>
      <c r="AA478" s="15">
        <v>0</v>
      </c>
      <c r="AB478" s="206"/>
      <c r="AD478" s="206"/>
      <c r="AH478" s="15">
        <f t="shared" si="65"/>
        <v>0</v>
      </c>
      <c r="AI478" s="22">
        <f t="shared" si="66"/>
        <v>0</v>
      </c>
      <c r="AJ478" s="22">
        <f t="shared" si="67"/>
        <v>0</v>
      </c>
    </row>
    <row r="479" spans="1:37" hidden="1" outlineLevel="1">
      <c r="A479" t="s">
        <v>1375</v>
      </c>
      <c r="B479" s="13">
        <v>43564</v>
      </c>
      <c r="C479" s="13" t="s">
        <v>23</v>
      </c>
      <c r="D479" t="s">
        <v>287</v>
      </c>
      <c r="E479" s="13" t="s">
        <v>288</v>
      </c>
      <c r="F479" t="str">
        <f t="shared" si="63"/>
        <v>TARR_14.16_300_NL2018</v>
      </c>
      <c r="G479" s="13" t="s">
        <v>62</v>
      </c>
      <c r="I479" s="12" t="s">
        <v>47</v>
      </c>
      <c r="J479" s="31" t="s">
        <v>124</v>
      </c>
      <c r="K479" s="15" t="s">
        <v>28</v>
      </c>
      <c r="M479" s="16">
        <f t="shared" si="64"/>
        <v>6</v>
      </c>
      <c r="N479" s="15">
        <f>1800</f>
        <v>1800</v>
      </c>
      <c r="O479" s="15">
        <v>4700</v>
      </c>
      <c r="P479" s="15">
        <f t="shared" si="62"/>
        <v>8460000</v>
      </c>
      <c r="Q479" s="15" t="str">
        <f t="shared" si="68"/>
        <v>Done</v>
      </c>
      <c r="R479" s="18" t="s">
        <v>44</v>
      </c>
      <c r="S479" s="23" t="s">
        <v>53</v>
      </c>
      <c r="T479" s="20">
        <f>IFERROR(VLOOKUP(S479,'Date Converter'!$A$4:$C$368,3,0),"")</f>
        <v>43559</v>
      </c>
      <c r="U479" s="21">
        <f t="shared" si="69"/>
        <v>43559</v>
      </c>
      <c r="V479" s="12" t="s">
        <v>1376</v>
      </c>
      <c r="Z479" s="206">
        <v>43578</v>
      </c>
      <c r="AA479" s="15">
        <v>1800</v>
      </c>
      <c r="AB479" s="206"/>
      <c r="AD479" s="206"/>
      <c r="AH479" s="15">
        <f t="shared" si="65"/>
        <v>1800</v>
      </c>
      <c r="AI479" s="22">
        <f t="shared" si="66"/>
        <v>0</v>
      </c>
      <c r="AJ479" s="22">
        <f t="shared" si="67"/>
        <v>0</v>
      </c>
      <c r="AK479" s="165"/>
    </row>
    <row r="480" spans="1:37" hidden="1" outlineLevel="1">
      <c r="A480" s="165" t="s">
        <v>319</v>
      </c>
      <c r="B480" s="13">
        <v>43537</v>
      </c>
      <c r="C480" s="13" t="s">
        <v>23</v>
      </c>
      <c r="D480" s="165" t="s">
        <v>287</v>
      </c>
      <c r="E480" s="119" t="s">
        <v>288</v>
      </c>
      <c r="F480" s="165" t="str">
        <f t="shared" si="63"/>
        <v>ARVA_16.18_200_NL2018</v>
      </c>
      <c r="G480" s="13" t="s">
        <v>85</v>
      </c>
      <c r="I480" s="12" t="s">
        <v>35</v>
      </c>
      <c r="J480" s="31" t="s">
        <v>121</v>
      </c>
      <c r="K480" s="15" t="s">
        <v>28</v>
      </c>
      <c r="M480" s="16">
        <f t="shared" si="64"/>
        <v>25</v>
      </c>
      <c r="N480" s="15">
        <v>5000</v>
      </c>
      <c r="O480" s="15">
        <v>5500</v>
      </c>
      <c r="P480" s="15">
        <f t="shared" si="62"/>
        <v>27500000</v>
      </c>
      <c r="Q480" s="15" t="str">
        <f t="shared" si="68"/>
        <v>Done</v>
      </c>
      <c r="R480" s="18" t="s">
        <v>44</v>
      </c>
      <c r="S480" s="23">
        <v>43539</v>
      </c>
      <c r="T480" s="20">
        <f>IFERROR(VLOOKUP(S480,'Date Converter'!$A$4:$C$368,3,0),"")</f>
        <v>43574</v>
      </c>
      <c r="U480" s="21">
        <f t="shared" si="69"/>
        <v>43574</v>
      </c>
      <c r="V480" s="12" t="s">
        <v>36</v>
      </c>
      <c r="Z480" s="206">
        <v>43609</v>
      </c>
      <c r="AA480" s="15">
        <v>5000</v>
      </c>
      <c r="AB480" s="206"/>
      <c r="AD480" s="206"/>
      <c r="AH480" s="15">
        <f t="shared" si="65"/>
        <v>5000</v>
      </c>
      <c r="AI480" s="22">
        <f t="shared" si="66"/>
        <v>0</v>
      </c>
      <c r="AJ480" s="22">
        <f t="shared" si="67"/>
        <v>0</v>
      </c>
      <c r="AK480" s="165"/>
    </row>
    <row r="481" spans="1:37" hidden="1" outlineLevel="1">
      <c r="A481" t="s">
        <v>1610</v>
      </c>
      <c r="C481" s="13" t="s">
        <v>23</v>
      </c>
      <c r="D481" t="s">
        <v>244</v>
      </c>
      <c r="E481" s="13" t="s">
        <v>245</v>
      </c>
      <c r="F481" s="165" t="str">
        <f t="shared" si="63"/>
        <v>SERA_14.16_300_NL2018</v>
      </c>
      <c r="G481" s="165" t="s">
        <v>227</v>
      </c>
      <c r="I481" s="24" t="s">
        <v>47</v>
      </c>
      <c r="J481" s="31" t="s">
        <v>124</v>
      </c>
      <c r="K481" s="15" t="s">
        <v>28</v>
      </c>
      <c r="M481" s="16">
        <f t="shared" si="64"/>
        <v>0</v>
      </c>
      <c r="N481" s="15">
        <f>10200-10200</f>
        <v>0</v>
      </c>
      <c r="O481" s="15">
        <v>3700</v>
      </c>
      <c r="P481" s="15">
        <f t="shared" si="62"/>
        <v>0</v>
      </c>
      <c r="Q481" s="15" t="str">
        <f t="shared" si="68"/>
        <v>Canceled</v>
      </c>
      <c r="R481" s="18" t="s">
        <v>71</v>
      </c>
      <c r="S481" s="19">
        <v>43511</v>
      </c>
      <c r="T481" s="20">
        <f>IFERROR(VLOOKUP(S481,'Date Converter'!$A$4:$C$368,3,0),"")</f>
        <v>43544</v>
      </c>
      <c r="U481" s="21">
        <f t="shared" si="69"/>
        <v>43544</v>
      </c>
      <c r="V481" s="12" t="s">
        <v>32</v>
      </c>
      <c r="W481" s="18" t="s">
        <v>41</v>
      </c>
      <c r="X481" s="18">
        <v>43541</v>
      </c>
      <c r="AA481" s="15"/>
      <c r="AB481" s="206"/>
      <c r="AD481" s="206"/>
      <c r="AH481" s="15">
        <f t="shared" si="65"/>
        <v>0</v>
      </c>
      <c r="AI481" s="22">
        <f t="shared" si="66"/>
        <v>0</v>
      </c>
      <c r="AJ481" s="22">
        <f t="shared" si="67"/>
        <v>0</v>
      </c>
      <c r="AK481" s="165"/>
    </row>
    <row r="482" spans="1:37" hidden="1" outlineLevel="1">
      <c r="A482" t="s">
        <v>1610</v>
      </c>
      <c r="B482" s="13">
        <v>43610</v>
      </c>
      <c r="C482" s="266" t="s">
        <v>23</v>
      </c>
      <c r="D482" s="258" t="s">
        <v>244</v>
      </c>
      <c r="E482" s="13" t="s">
        <v>245</v>
      </c>
      <c r="F482" t="str">
        <f t="shared" si="63"/>
        <v>ROBI_20.22_125_NL2018</v>
      </c>
      <c r="G482" s="13" t="s">
        <v>61</v>
      </c>
      <c r="I482" s="24" t="s">
        <v>74</v>
      </c>
      <c r="J482" s="31" t="s">
        <v>122</v>
      </c>
      <c r="K482" s="15" t="s">
        <v>28</v>
      </c>
      <c r="M482" s="16">
        <f t="shared" si="64"/>
        <v>80</v>
      </c>
      <c r="N482" s="15">
        <v>10000</v>
      </c>
      <c r="O482" s="15">
        <v>10700</v>
      </c>
      <c r="P482" s="15">
        <f t="shared" si="62"/>
        <v>107000000</v>
      </c>
      <c r="Q482" s="15" t="str">
        <f t="shared" si="68"/>
        <v/>
      </c>
      <c r="R482" s="18" t="s">
        <v>29</v>
      </c>
      <c r="S482" s="19">
        <v>43709</v>
      </c>
      <c r="T482" s="20">
        <f>IFERROR(VLOOKUP(S482,'Date Converter'!$A$4:$C$368,3,0),"")</f>
        <v>43737</v>
      </c>
      <c r="U482" s="21">
        <f t="shared" si="69"/>
        <v>43737</v>
      </c>
      <c r="AA482" s="15"/>
      <c r="AB482" s="206"/>
      <c r="AD482" s="206"/>
      <c r="AH482" s="15">
        <f t="shared" si="65"/>
        <v>0</v>
      </c>
      <c r="AI482" s="22">
        <f t="shared" si="66"/>
        <v>10000</v>
      </c>
      <c r="AJ482" s="22">
        <f t="shared" si="67"/>
        <v>107000000</v>
      </c>
    </row>
    <row r="483" spans="1:37" hidden="1" outlineLevel="1">
      <c r="A483" t="s">
        <v>1610</v>
      </c>
      <c r="B483" s="13">
        <v>43610</v>
      </c>
      <c r="C483" s="266" t="s">
        <v>23</v>
      </c>
      <c r="D483" s="258" t="s">
        <v>244</v>
      </c>
      <c r="E483" s="13" t="s">
        <v>245</v>
      </c>
      <c r="F483" t="str">
        <f t="shared" si="63"/>
        <v>CONC_20.22_125_NL2018</v>
      </c>
      <c r="G483" s="13" t="s">
        <v>40</v>
      </c>
      <c r="I483" s="24" t="s">
        <v>74</v>
      </c>
      <c r="J483" s="31" t="s">
        <v>122</v>
      </c>
      <c r="K483" s="15" t="s">
        <v>28</v>
      </c>
      <c r="M483" s="16">
        <f t="shared" si="64"/>
        <v>40</v>
      </c>
      <c r="N483" s="15">
        <v>5000</v>
      </c>
      <c r="O483" s="15">
        <v>10600</v>
      </c>
      <c r="P483" s="15">
        <f t="shared" si="62"/>
        <v>53000000</v>
      </c>
      <c r="Q483" s="15" t="str">
        <f t="shared" si="68"/>
        <v/>
      </c>
      <c r="R483" s="18" t="s">
        <v>29</v>
      </c>
      <c r="S483" s="19">
        <v>43709</v>
      </c>
      <c r="T483" s="20">
        <f>IFERROR(VLOOKUP(S483,'Date Converter'!$A$4:$C$368,3,0),"")</f>
        <v>43737</v>
      </c>
      <c r="U483" s="21">
        <f t="shared" si="69"/>
        <v>43737</v>
      </c>
      <c r="AA483" s="15"/>
      <c r="AB483" s="206"/>
      <c r="AD483" s="206"/>
      <c r="AH483" s="15">
        <f t="shared" si="65"/>
        <v>0</v>
      </c>
      <c r="AI483" s="22">
        <f t="shared" si="66"/>
        <v>5000</v>
      </c>
      <c r="AJ483" s="22">
        <f t="shared" si="67"/>
        <v>53000000</v>
      </c>
    </row>
    <row r="484" spans="1:37" hidden="1" outlineLevel="1">
      <c r="A484" t="s">
        <v>1666</v>
      </c>
      <c r="B484" s="13">
        <v>43617</v>
      </c>
      <c r="C484" s="13" t="s">
        <v>1622</v>
      </c>
      <c r="D484" t="s">
        <v>1236</v>
      </c>
      <c r="E484" s="13" t="s">
        <v>1237</v>
      </c>
      <c r="F484" t="str">
        <f t="shared" si="63"/>
        <v>YELL_14.16_300_NL2018</v>
      </c>
      <c r="G484" s="13" t="s">
        <v>89</v>
      </c>
      <c r="I484" s="12">
        <v>14.16</v>
      </c>
      <c r="J484" s="14">
        <v>300</v>
      </c>
      <c r="K484" s="15" t="s">
        <v>28</v>
      </c>
      <c r="M484" s="16">
        <f t="shared" si="64"/>
        <v>20</v>
      </c>
      <c r="N484" s="15">
        <v>6000</v>
      </c>
      <c r="O484" s="15">
        <v>3800</v>
      </c>
      <c r="P484" s="15">
        <f t="shared" si="62"/>
        <v>22800000</v>
      </c>
      <c r="Q484" s="15" t="str">
        <f t="shared" si="68"/>
        <v>Done</v>
      </c>
      <c r="R484" s="18" t="s">
        <v>44</v>
      </c>
      <c r="S484" s="117">
        <v>43572</v>
      </c>
      <c r="T484" s="20">
        <f>IFERROR(VLOOKUP(S484,'Date Converter'!$A$4:$C$368,3,0),"")</f>
        <v>43606</v>
      </c>
      <c r="U484" s="21">
        <f t="shared" si="69"/>
        <v>43606</v>
      </c>
      <c r="V484" s="30"/>
      <c r="Y484" s="18"/>
      <c r="Z484" s="206">
        <v>43617</v>
      </c>
      <c r="AA484" s="15">
        <v>6000</v>
      </c>
      <c r="AB484" s="206"/>
      <c r="AD484" s="12"/>
      <c r="AH484" s="15">
        <f t="shared" si="65"/>
        <v>6000</v>
      </c>
      <c r="AI484" s="22">
        <f t="shared" si="66"/>
        <v>0</v>
      </c>
      <c r="AJ484" s="22">
        <f t="shared" si="67"/>
        <v>0</v>
      </c>
      <c r="AK484" s="13"/>
    </row>
    <row r="485" spans="1:37" hidden="1" outlineLevel="1">
      <c r="A485" t="s">
        <v>1666</v>
      </c>
      <c r="B485" s="13">
        <v>43629</v>
      </c>
      <c r="C485" s="13" t="s">
        <v>1622</v>
      </c>
      <c r="D485" t="s">
        <v>1236</v>
      </c>
      <c r="E485" s="13" t="s">
        <v>1237</v>
      </c>
      <c r="F485" t="str">
        <f t="shared" si="63"/>
        <v>YELL_14.16_300_NL2018</v>
      </c>
      <c r="G485" s="13" t="s">
        <v>89</v>
      </c>
      <c r="I485" s="12" t="s">
        <v>47</v>
      </c>
      <c r="J485" s="14">
        <v>300</v>
      </c>
      <c r="K485" s="15" t="s">
        <v>28</v>
      </c>
      <c r="M485" s="16">
        <f t="shared" si="64"/>
        <v>27</v>
      </c>
      <c r="N485" s="15">
        <v>8100</v>
      </c>
      <c r="O485" s="15">
        <v>4000</v>
      </c>
      <c r="P485" s="15">
        <f t="shared" si="62"/>
        <v>32400000</v>
      </c>
      <c r="Q485" s="15" t="str">
        <f t="shared" si="68"/>
        <v/>
      </c>
      <c r="R485" s="18" t="s">
        <v>29</v>
      </c>
      <c r="S485" s="117">
        <v>43656</v>
      </c>
      <c r="T485" s="20">
        <f>IFERROR(VLOOKUP(S485,'Date Converter'!$A$4:$C$368,3,0),"")</f>
        <v>43687</v>
      </c>
      <c r="U485" s="21">
        <f t="shared" si="69"/>
        <v>43687</v>
      </c>
      <c r="V485" s="30"/>
      <c r="Y485" s="18"/>
      <c r="AA485" s="15"/>
      <c r="AB485" s="206"/>
      <c r="AD485" s="12"/>
      <c r="AH485" s="15">
        <f t="shared" si="65"/>
        <v>0</v>
      </c>
      <c r="AI485" s="22">
        <f t="shared" si="66"/>
        <v>8100</v>
      </c>
      <c r="AJ485" s="22">
        <f t="shared" si="67"/>
        <v>32400000</v>
      </c>
      <c r="AK485" s="13"/>
    </row>
    <row r="486" spans="1:37" hidden="1" outlineLevel="1">
      <c r="A486" t="s">
        <v>1666</v>
      </c>
      <c r="B486" s="13">
        <v>43531</v>
      </c>
      <c r="C486" s="13" t="s">
        <v>1622</v>
      </c>
      <c r="D486" t="s">
        <v>1236</v>
      </c>
      <c r="E486" s="13" t="s">
        <v>1237</v>
      </c>
      <c r="F486" t="str">
        <f t="shared" si="63"/>
        <v>TARR_14.16_300_NL2018</v>
      </c>
      <c r="G486" s="165" t="s">
        <v>62</v>
      </c>
      <c r="I486" s="12" t="s">
        <v>47</v>
      </c>
      <c r="J486" s="14">
        <v>300</v>
      </c>
      <c r="K486" s="15" t="s">
        <v>28</v>
      </c>
      <c r="M486" s="16">
        <f t="shared" si="64"/>
        <v>10</v>
      </c>
      <c r="N486" s="15">
        <v>3000</v>
      </c>
      <c r="O486" s="15">
        <v>4600</v>
      </c>
      <c r="P486" s="15">
        <f t="shared" si="62"/>
        <v>13800000</v>
      </c>
      <c r="Q486" s="15" t="str">
        <f t="shared" si="68"/>
        <v>Done</v>
      </c>
      <c r="R486" s="18" t="s">
        <v>44</v>
      </c>
      <c r="S486" s="117">
        <v>43539</v>
      </c>
      <c r="T486" s="20">
        <f>IFERROR(VLOOKUP(S486,'Date Converter'!$A$4:$C$368,3,0),"")</f>
        <v>43574</v>
      </c>
      <c r="U486" s="21">
        <f t="shared" si="69"/>
        <v>43574</v>
      </c>
      <c r="V486" s="30" t="s">
        <v>57</v>
      </c>
      <c r="W486" s="18" t="s">
        <v>141</v>
      </c>
      <c r="Y486" s="18"/>
      <c r="Z486" s="206">
        <v>43574</v>
      </c>
      <c r="AA486" s="15">
        <v>3000</v>
      </c>
      <c r="AB486" s="206"/>
      <c r="AD486" s="12"/>
      <c r="AH486" s="15">
        <f t="shared" si="65"/>
        <v>3000</v>
      </c>
      <c r="AI486" s="22">
        <f t="shared" si="66"/>
        <v>0</v>
      </c>
      <c r="AJ486" s="22">
        <f t="shared" si="67"/>
        <v>0</v>
      </c>
      <c r="AK486" s="13">
        <v>43835</v>
      </c>
    </row>
    <row r="487" spans="1:37" hidden="1" outlineLevel="1">
      <c r="A487" t="s">
        <v>1667</v>
      </c>
      <c r="B487" s="13">
        <v>43558</v>
      </c>
      <c r="C487" s="13" t="s">
        <v>1622</v>
      </c>
      <c r="D487" t="s">
        <v>1236</v>
      </c>
      <c r="E487" s="13" t="s">
        <v>1237</v>
      </c>
      <c r="F487" t="str">
        <f t="shared" si="63"/>
        <v>TARR_14.16_300_NL2018</v>
      </c>
      <c r="G487" s="165" t="s">
        <v>62</v>
      </c>
      <c r="I487" s="12" t="s">
        <v>47</v>
      </c>
      <c r="J487" s="14">
        <v>300</v>
      </c>
      <c r="K487" s="15" t="s">
        <v>28</v>
      </c>
      <c r="M487" s="16">
        <f t="shared" si="64"/>
        <v>10</v>
      </c>
      <c r="N487" s="15">
        <v>3000</v>
      </c>
      <c r="O487" s="15">
        <v>4600</v>
      </c>
      <c r="P487" s="15">
        <f t="shared" si="62"/>
        <v>13800000</v>
      </c>
      <c r="Q487" s="15" t="str">
        <f t="shared" si="68"/>
        <v>Done</v>
      </c>
      <c r="R487" s="18" t="s">
        <v>44</v>
      </c>
      <c r="S487" s="117">
        <v>43539</v>
      </c>
      <c r="T487" s="20">
        <f>IFERROR(VLOOKUP(S487,'Date Converter'!$A$4:$C$368,3,0),"")</f>
        <v>43574</v>
      </c>
      <c r="U487" s="21">
        <f t="shared" si="69"/>
        <v>43574</v>
      </c>
      <c r="V487" s="30" t="s">
        <v>57</v>
      </c>
      <c r="Y487" s="18"/>
      <c r="AA487" s="15">
        <v>3000</v>
      </c>
      <c r="AB487" s="206"/>
      <c r="AD487" s="12"/>
      <c r="AH487" s="15">
        <f t="shared" si="65"/>
        <v>3000</v>
      </c>
      <c r="AI487" s="22">
        <f t="shared" si="66"/>
        <v>0</v>
      </c>
      <c r="AJ487" s="22">
        <f t="shared" si="67"/>
        <v>0</v>
      </c>
      <c r="AK487" s="13"/>
    </row>
    <row r="488" spans="1:37" hidden="1" outlineLevel="1">
      <c r="A488" s="165" t="s">
        <v>1667</v>
      </c>
      <c r="B488" s="13">
        <v>43558</v>
      </c>
      <c r="C488" s="13" t="s">
        <v>1622</v>
      </c>
      <c r="D488" s="165" t="s">
        <v>1236</v>
      </c>
      <c r="E488" s="13" t="s">
        <v>1237</v>
      </c>
      <c r="F488" s="165" t="str">
        <f t="shared" si="63"/>
        <v>TARR_16.18_200_NL2018</v>
      </c>
      <c r="G488" s="165" t="s">
        <v>62</v>
      </c>
      <c r="I488" s="12" t="s">
        <v>35</v>
      </c>
      <c r="J488" s="14">
        <v>200</v>
      </c>
      <c r="K488" s="15" t="s">
        <v>28</v>
      </c>
      <c r="M488" s="16">
        <f t="shared" si="64"/>
        <v>15</v>
      </c>
      <c r="N488" s="15">
        <v>3000</v>
      </c>
      <c r="O488" s="15">
        <v>5500</v>
      </c>
      <c r="P488" s="15">
        <f t="shared" si="62"/>
        <v>16500000</v>
      </c>
      <c r="Q488" s="15" t="str">
        <f t="shared" si="68"/>
        <v>Done</v>
      </c>
      <c r="R488" s="18" t="s">
        <v>44</v>
      </c>
      <c r="S488" s="117">
        <v>43539</v>
      </c>
      <c r="T488" s="20">
        <f>IFERROR(VLOOKUP(S488,'Date Converter'!$A$4:$C$368,3,0),"")</f>
        <v>43574</v>
      </c>
      <c r="U488" s="21">
        <f t="shared" si="69"/>
        <v>43574</v>
      </c>
      <c r="V488" s="30" t="s">
        <v>57</v>
      </c>
      <c r="Y488" s="18"/>
      <c r="Z488" s="206">
        <v>43601</v>
      </c>
      <c r="AA488" s="15">
        <v>3000</v>
      </c>
      <c r="AB488" s="206"/>
      <c r="AD488" s="12"/>
      <c r="AH488" s="15">
        <f t="shared" si="65"/>
        <v>3000</v>
      </c>
      <c r="AI488" s="22">
        <f t="shared" si="66"/>
        <v>0</v>
      </c>
      <c r="AJ488" s="22">
        <f t="shared" si="67"/>
        <v>0</v>
      </c>
      <c r="AK488" s="13"/>
    </row>
    <row r="489" spans="1:37" hidden="1" outlineLevel="1">
      <c r="A489" s="165" t="s">
        <v>1666</v>
      </c>
      <c r="B489" s="13">
        <v>43531</v>
      </c>
      <c r="C489" s="13" t="s">
        <v>1622</v>
      </c>
      <c r="D489" s="165" t="s">
        <v>1236</v>
      </c>
      <c r="E489" s="13" t="s">
        <v>1237</v>
      </c>
      <c r="F489" s="165" t="str">
        <f t="shared" si="63"/>
        <v>ROBI_16.18_200_NL2018</v>
      </c>
      <c r="G489" s="165" t="s">
        <v>61</v>
      </c>
      <c r="I489" s="12" t="s">
        <v>35</v>
      </c>
      <c r="J489" s="14">
        <v>200</v>
      </c>
      <c r="K489" s="15" t="s">
        <v>28</v>
      </c>
      <c r="M489" s="16">
        <f t="shared" si="64"/>
        <v>15</v>
      </c>
      <c r="N489" s="15">
        <f>10000-10000+3000</f>
        <v>3000</v>
      </c>
      <c r="O489" s="15">
        <v>5000</v>
      </c>
      <c r="P489" s="15">
        <f t="shared" si="62"/>
        <v>15000000</v>
      </c>
      <c r="Q489" s="15" t="str">
        <f t="shared" si="68"/>
        <v>Done</v>
      </c>
      <c r="R489" s="18" t="s">
        <v>44</v>
      </c>
      <c r="S489" s="117">
        <v>43539</v>
      </c>
      <c r="T489" s="20">
        <f>IFERROR(VLOOKUP(S489,'Date Converter'!$A$4:$C$368,3,0),"")</f>
        <v>43574</v>
      </c>
      <c r="U489" s="21">
        <f t="shared" si="69"/>
        <v>43574</v>
      </c>
      <c r="V489" s="30" t="s">
        <v>57</v>
      </c>
      <c r="W489" s="18" t="s">
        <v>141</v>
      </c>
      <c r="Y489" s="18"/>
      <c r="Z489" s="206">
        <v>43621</v>
      </c>
      <c r="AA489" s="15">
        <v>3000</v>
      </c>
      <c r="AB489" s="206"/>
      <c r="AD489" s="12"/>
      <c r="AH489" s="15">
        <f t="shared" si="65"/>
        <v>3000</v>
      </c>
      <c r="AI489" s="22">
        <f t="shared" si="66"/>
        <v>0</v>
      </c>
      <c r="AJ489" s="22">
        <f t="shared" si="67"/>
        <v>0</v>
      </c>
      <c r="AK489" s="13">
        <v>43835</v>
      </c>
    </row>
    <row r="490" spans="1:37" hidden="1" outlineLevel="1">
      <c r="A490" s="165" t="s">
        <v>1666</v>
      </c>
      <c r="B490" s="13">
        <v>43612</v>
      </c>
      <c r="C490" s="13" t="s">
        <v>1622</v>
      </c>
      <c r="D490" s="165" t="s">
        <v>1236</v>
      </c>
      <c r="E490" s="13" t="s">
        <v>1237</v>
      </c>
      <c r="F490" s="165" t="str">
        <f t="shared" si="63"/>
        <v>ROBI_14.16_300_NL2018</v>
      </c>
      <c r="G490" s="13" t="s">
        <v>61</v>
      </c>
      <c r="I490" s="12">
        <v>14.16</v>
      </c>
      <c r="J490" s="14">
        <v>300</v>
      </c>
      <c r="K490" s="15" t="s">
        <v>28</v>
      </c>
      <c r="M490" s="16">
        <f t="shared" si="64"/>
        <v>17</v>
      </c>
      <c r="N490" s="15">
        <f>6000-1200-4800+5100</f>
        <v>5100</v>
      </c>
      <c r="O490" s="15">
        <v>3800</v>
      </c>
      <c r="P490" s="15">
        <f t="shared" si="62"/>
        <v>19380000</v>
      </c>
      <c r="Q490" s="15" t="str">
        <f t="shared" si="68"/>
        <v>Done</v>
      </c>
      <c r="R490" s="18" t="s">
        <v>44</v>
      </c>
      <c r="S490" s="117">
        <v>43590</v>
      </c>
      <c r="T490" s="20">
        <f>IFERROR(VLOOKUP(S490,'Date Converter'!$A$4:$C$368,3,0),"")</f>
        <v>43623</v>
      </c>
      <c r="U490" s="21">
        <f t="shared" si="69"/>
        <v>43623</v>
      </c>
      <c r="V490" s="30"/>
      <c r="Y490" s="18"/>
      <c r="Z490" s="206">
        <v>43631</v>
      </c>
      <c r="AA490" s="15">
        <v>5100</v>
      </c>
      <c r="AB490" s="206"/>
      <c r="AD490" s="12"/>
      <c r="AH490" s="15">
        <f t="shared" si="65"/>
        <v>5100</v>
      </c>
      <c r="AI490" s="22">
        <f t="shared" si="66"/>
        <v>0</v>
      </c>
      <c r="AJ490" s="22">
        <f t="shared" si="67"/>
        <v>0</v>
      </c>
      <c r="AK490" s="13"/>
    </row>
    <row r="491" spans="1:37" hidden="1" outlineLevel="1">
      <c r="A491" s="165" t="s">
        <v>1666</v>
      </c>
      <c r="B491" s="13">
        <v>43629</v>
      </c>
      <c r="C491" s="13" t="s">
        <v>1622</v>
      </c>
      <c r="D491" s="165" t="s">
        <v>1236</v>
      </c>
      <c r="E491" s="13" t="s">
        <v>1237</v>
      </c>
      <c r="F491" s="165" t="str">
        <f t="shared" si="63"/>
        <v>ROBI_16.18_200_NL2018</v>
      </c>
      <c r="G491" s="13" t="s">
        <v>61</v>
      </c>
      <c r="I491" s="12" t="s">
        <v>35</v>
      </c>
      <c r="J491" s="14">
        <v>200</v>
      </c>
      <c r="K491" s="15" t="s">
        <v>28</v>
      </c>
      <c r="M491" s="16">
        <f t="shared" si="64"/>
        <v>25</v>
      </c>
      <c r="N491" s="15">
        <v>5000</v>
      </c>
      <c r="O491" s="15">
        <v>5700</v>
      </c>
      <c r="P491" s="15">
        <f t="shared" si="62"/>
        <v>28500000</v>
      </c>
      <c r="Q491" s="15" t="str">
        <f t="shared" si="68"/>
        <v/>
      </c>
      <c r="R491" s="18" t="s">
        <v>29</v>
      </c>
      <c r="S491" s="117">
        <v>43656</v>
      </c>
      <c r="T491" s="20">
        <f>IFERROR(VLOOKUP(S491,'Date Converter'!$A$4:$C$368,3,0),"")</f>
        <v>43687</v>
      </c>
      <c r="U491" s="21">
        <f t="shared" si="69"/>
        <v>43687</v>
      </c>
      <c r="V491" s="30"/>
      <c r="Y491" s="18"/>
      <c r="AA491" s="15"/>
      <c r="AB491" s="206"/>
      <c r="AD491" s="12"/>
      <c r="AH491" s="15">
        <f t="shared" si="65"/>
        <v>0</v>
      </c>
      <c r="AI491" s="22">
        <f t="shared" si="66"/>
        <v>5000</v>
      </c>
      <c r="AJ491" s="22">
        <f t="shared" si="67"/>
        <v>28500000</v>
      </c>
      <c r="AK491" s="13"/>
    </row>
    <row r="492" spans="1:37" hidden="1" outlineLevel="1">
      <c r="A492" s="165" t="s">
        <v>1667</v>
      </c>
      <c r="B492" s="13">
        <v>43558</v>
      </c>
      <c r="C492" s="13" t="s">
        <v>1622</v>
      </c>
      <c r="D492" s="165" t="s">
        <v>1236</v>
      </c>
      <c r="E492" s="13" t="s">
        <v>1237</v>
      </c>
      <c r="F492" s="165" t="str">
        <f t="shared" si="63"/>
        <v>ROBI_16.18_200_NL2018</v>
      </c>
      <c r="G492" s="165" t="s">
        <v>61</v>
      </c>
      <c r="I492" s="12" t="s">
        <v>35</v>
      </c>
      <c r="J492" s="14">
        <v>200</v>
      </c>
      <c r="K492" s="15" t="s">
        <v>28</v>
      </c>
      <c r="M492" s="16">
        <f t="shared" si="64"/>
        <v>0</v>
      </c>
      <c r="N492" s="15">
        <f>3000-3000</f>
        <v>0</v>
      </c>
      <c r="O492" s="15">
        <v>5400</v>
      </c>
      <c r="P492" s="15">
        <f t="shared" si="62"/>
        <v>0</v>
      </c>
      <c r="Q492" s="15" t="str">
        <f t="shared" si="68"/>
        <v>Canceled</v>
      </c>
      <c r="R492" s="18" t="s">
        <v>71</v>
      </c>
      <c r="S492" s="117">
        <v>43572</v>
      </c>
      <c r="T492" s="20">
        <f>IFERROR(VLOOKUP(S492,'Date Converter'!$A$4:$C$368,3,0),"")</f>
        <v>43606</v>
      </c>
      <c r="U492" s="21">
        <f t="shared" si="69"/>
        <v>43606</v>
      </c>
      <c r="V492" s="30" t="s">
        <v>479</v>
      </c>
      <c r="Y492" s="18"/>
      <c r="AA492" s="15"/>
      <c r="AB492" s="206"/>
      <c r="AD492" s="12"/>
      <c r="AH492" s="15">
        <f t="shared" si="65"/>
        <v>0</v>
      </c>
      <c r="AI492" s="22">
        <f t="shared" si="66"/>
        <v>0</v>
      </c>
      <c r="AJ492" s="22">
        <f t="shared" si="67"/>
        <v>0</v>
      </c>
      <c r="AK492" s="13"/>
    </row>
    <row r="493" spans="1:37" hidden="1" outlineLevel="1">
      <c r="A493" s="165" t="s">
        <v>1669</v>
      </c>
      <c r="B493" s="13">
        <v>43558</v>
      </c>
      <c r="C493" s="267" t="s">
        <v>1622</v>
      </c>
      <c r="D493" s="258" t="s">
        <v>1236</v>
      </c>
      <c r="E493" s="13" t="s">
        <v>1237</v>
      </c>
      <c r="F493" s="165" t="str">
        <f t="shared" si="63"/>
        <v>ROBI_20.22_125_NL2018</v>
      </c>
      <c r="G493" s="165" t="s">
        <v>61</v>
      </c>
      <c r="I493" s="12" t="s">
        <v>74</v>
      </c>
      <c r="J493" s="14">
        <v>125</v>
      </c>
      <c r="K493" s="15" t="s">
        <v>28</v>
      </c>
      <c r="M493" s="16">
        <f t="shared" si="64"/>
        <v>80</v>
      </c>
      <c r="N493" s="15">
        <v>10000</v>
      </c>
      <c r="O493" s="15">
        <v>10700</v>
      </c>
      <c r="P493" s="15">
        <f t="shared" si="62"/>
        <v>107000000</v>
      </c>
      <c r="Q493" s="15" t="str">
        <f t="shared" si="68"/>
        <v/>
      </c>
      <c r="R493" s="18" t="s">
        <v>29</v>
      </c>
      <c r="S493" s="117">
        <v>43709</v>
      </c>
      <c r="T493" s="20">
        <f>IFERROR(VLOOKUP(S493,'Date Converter'!$A$4:$C$368,3,0),"")</f>
        <v>43737</v>
      </c>
      <c r="U493" s="21">
        <f t="shared" si="69"/>
        <v>43737</v>
      </c>
      <c r="V493" s="30" t="s">
        <v>51</v>
      </c>
      <c r="Y493" s="18"/>
      <c r="AA493" s="15"/>
      <c r="AB493" s="206"/>
      <c r="AD493" s="12"/>
      <c r="AH493" s="15">
        <f t="shared" si="65"/>
        <v>0</v>
      </c>
      <c r="AI493" s="22">
        <f t="shared" si="66"/>
        <v>10000</v>
      </c>
      <c r="AJ493" s="22">
        <f t="shared" si="67"/>
        <v>107000000</v>
      </c>
      <c r="AK493" s="13"/>
    </row>
    <row r="494" spans="1:37" s="165" customFormat="1" hidden="1" outlineLevel="1">
      <c r="A494" s="165" t="s">
        <v>1666</v>
      </c>
      <c r="B494" s="13">
        <v>43623</v>
      </c>
      <c r="C494" s="13" t="s">
        <v>1622</v>
      </c>
      <c r="D494" s="165" t="s">
        <v>1236</v>
      </c>
      <c r="E494" s="13" t="s">
        <v>1237</v>
      </c>
      <c r="F494" s="165" t="str">
        <f t="shared" si="63"/>
        <v>PROF_14.16_300_NL2018</v>
      </c>
      <c r="G494" s="13" t="s">
        <v>56</v>
      </c>
      <c r="H494" s="12"/>
      <c r="I494" s="12">
        <v>14.16</v>
      </c>
      <c r="J494" s="14">
        <v>300</v>
      </c>
      <c r="K494" s="15" t="s">
        <v>28</v>
      </c>
      <c r="L494" s="15"/>
      <c r="M494" s="16">
        <f t="shared" si="64"/>
        <v>5</v>
      </c>
      <c r="N494" s="15">
        <f>1800-300</f>
        <v>1500</v>
      </c>
      <c r="O494" s="15">
        <v>5100</v>
      </c>
      <c r="P494" s="15">
        <f t="shared" si="62"/>
        <v>7650000</v>
      </c>
      <c r="Q494" s="15" t="str">
        <f t="shared" si="68"/>
        <v>Done</v>
      </c>
      <c r="R494" s="18" t="s">
        <v>44</v>
      </c>
      <c r="S494" s="117">
        <v>43590</v>
      </c>
      <c r="T494" s="20">
        <f>IFERROR(VLOOKUP(S494,'Date Converter'!$A$4:$C$368,3,0),"")</f>
        <v>43623</v>
      </c>
      <c r="U494" s="21">
        <f t="shared" si="69"/>
        <v>43623</v>
      </c>
      <c r="V494" s="30"/>
      <c r="W494" s="18"/>
      <c r="X494" s="18"/>
      <c r="Y494" s="18"/>
      <c r="Z494" s="206">
        <v>43631</v>
      </c>
      <c r="AA494" s="15">
        <v>1500</v>
      </c>
      <c r="AB494" s="206"/>
      <c r="AC494" s="12"/>
      <c r="AD494" s="12"/>
      <c r="AE494" s="12"/>
      <c r="AF494" s="245"/>
      <c r="AG494" s="12"/>
      <c r="AH494" s="15">
        <f t="shared" si="65"/>
        <v>1500</v>
      </c>
      <c r="AI494" s="22">
        <f t="shared" si="66"/>
        <v>0</v>
      </c>
      <c r="AJ494" s="22">
        <f t="shared" si="67"/>
        <v>0</v>
      </c>
      <c r="AK494" s="13"/>
    </row>
    <row r="495" spans="1:37" s="165" customFormat="1" hidden="1" outlineLevel="1">
      <c r="A495" s="165" t="s">
        <v>1666</v>
      </c>
      <c r="B495" s="13">
        <v>43623</v>
      </c>
      <c r="C495" s="13" t="s">
        <v>1622</v>
      </c>
      <c r="D495" s="165" t="s">
        <v>1236</v>
      </c>
      <c r="E495" s="13" t="s">
        <v>1237</v>
      </c>
      <c r="F495" s="165" t="str">
        <f t="shared" si="63"/>
        <v>PROF_14.16_275_NL2018</v>
      </c>
      <c r="G495" s="13" t="s">
        <v>56</v>
      </c>
      <c r="H495" s="12"/>
      <c r="I495" s="12">
        <v>14.16</v>
      </c>
      <c r="J495" s="14">
        <v>275</v>
      </c>
      <c r="K495" s="15" t="s">
        <v>28</v>
      </c>
      <c r="L495" s="15"/>
      <c r="M495" s="16">
        <f t="shared" si="64"/>
        <v>17</v>
      </c>
      <c r="N495" s="15">
        <v>4675</v>
      </c>
      <c r="O495" s="15">
        <v>5100</v>
      </c>
      <c r="P495" s="15">
        <f t="shared" si="62"/>
        <v>23842500</v>
      </c>
      <c r="Q495" s="15" t="str">
        <f t="shared" si="68"/>
        <v>Done</v>
      </c>
      <c r="R495" s="18" t="s">
        <v>44</v>
      </c>
      <c r="S495" s="117">
        <v>43572</v>
      </c>
      <c r="T495" s="20">
        <f>IFERROR(VLOOKUP(S495,'Date Converter'!$A$4:$C$368,3,0),"")</f>
        <v>43606</v>
      </c>
      <c r="U495" s="21">
        <f t="shared" si="69"/>
        <v>43606</v>
      </c>
      <c r="V495" s="30"/>
      <c r="W495" s="18"/>
      <c r="X495" s="18"/>
      <c r="Y495" s="18"/>
      <c r="Z495" s="206">
        <v>43631</v>
      </c>
      <c r="AA495" s="32">
        <v>4675</v>
      </c>
      <c r="AB495" s="206"/>
      <c r="AC495" s="12"/>
      <c r="AD495" s="12"/>
      <c r="AE495" s="12"/>
      <c r="AF495" s="245"/>
      <c r="AG495" s="12"/>
      <c r="AH495" s="15">
        <f t="shared" si="65"/>
        <v>4675</v>
      </c>
      <c r="AI495" s="22">
        <f t="shared" si="66"/>
        <v>0</v>
      </c>
      <c r="AJ495" s="22">
        <f t="shared" si="67"/>
        <v>0</v>
      </c>
      <c r="AK495" s="13"/>
    </row>
    <row r="496" spans="1:37" s="165" customFormat="1" hidden="1" outlineLevel="1">
      <c r="A496" s="165" t="s">
        <v>1666</v>
      </c>
      <c r="B496" s="13">
        <v>43531</v>
      </c>
      <c r="C496" s="13" t="s">
        <v>1622</v>
      </c>
      <c r="D496" s="165" t="s">
        <v>1236</v>
      </c>
      <c r="E496" s="13" t="s">
        <v>1237</v>
      </c>
      <c r="F496" s="165" t="str">
        <f t="shared" si="63"/>
        <v>MANI_16.18_200_NL2018</v>
      </c>
      <c r="G496" s="165" t="s">
        <v>105</v>
      </c>
      <c r="H496" s="12"/>
      <c r="I496" s="12" t="s">
        <v>35</v>
      </c>
      <c r="J496" s="14">
        <v>200</v>
      </c>
      <c r="K496" s="15" t="s">
        <v>28</v>
      </c>
      <c r="L496" s="15"/>
      <c r="M496" s="16">
        <f t="shared" si="64"/>
        <v>25</v>
      </c>
      <c r="N496" s="15">
        <v>5000</v>
      </c>
      <c r="O496" s="15">
        <v>6700</v>
      </c>
      <c r="P496" s="15">
        <f t="shared" si="62"/>
        <v>33500000</v>
      </c>
      <c r="Q496" s="15" t="str">
        <f t="shared" si="68"/>
        <v>Done</v>
      </c>
      <c r="R496" s="18" t="s">
        <v>44</v>
      </c>
      <c r="S496" s="117">
        <v>43539</v>
      </c>
      <c r="T496" s="20">
        <f>IFERROR(VLOOKUP(S496,'Date Converter'!$A$4:$C$368,3,0),"")</f>
        <v>43574</v>
      </c>
      <c r="U496" s="21">
        <f t="shared" si="69"/>
        <v>43574</v>
      </c>
      <c r="V496" s="30" t="s">
        <v>57</v>
      </c>
      <c r="W496" s="18" t="s">
        <v>79</v>
      </c>
      <c r="X496" s="18"/>
      <c r="Y496" s="18"/>
      <c r="Z496" s="206">
        <v>43601</v>
      </c>
      <c r="AA496" s="15">
        <v>5000</v>
      </c>
      <c r="AB496" s="206"/>
      <c r="AC496" s="12"/>
      <c r="AD496" s="12"/>
      <c r="AE496" s="12"/>
      <c r="AF496" s="245"/>
      <c r="AG496" s="12"/>
      <c r="AH496" s="15">
        <f t="shared" si="65"/>
        <v>5000</v>
      </c>
      <c r="AI496" s="22">
        <f t="shared" si="66"/>
        <v>0</v>
      </c>
      <c r="AJ496" s="22">
        <f t="shared" si="67"/>
        <v>0</v>
      </c>
      <c r="AK496" s="13">
        <v>43835</v>
      </c>
    </row>
    <row r="497" spans="1:37" s="165" customFormat="1" hidden="1" outlineLevel="1">
      <c r="A497" s="165" t="s">
        <v>1667</v>
      </c>
      <c r="B497" s="13">
        <v>43558</v>
      </c>
      <c r="C497" s="13" t="s">
        <v>1622</v>
      </c>
      <c r="D497" s="165" t="s">
        <v>1236</v>
      </c>
      <c r="E497" s="13" t="s">
        <v>1237</v>
      </c>
      <c r="F497" s="165" t="str">
        <f t="shared" si="63"/>
        <v>MANI_16.18_200_NL2018</v>
      </c>
      <c r="G497" s="165" t="s">
        <v>105</v>
      </c>
      <c r="H497" s="12"/>
      <c r="I497" s="12" t="s">
        <v>35</v>
      </c>
      <c r="J497" s="14">
        <v>200</v>
      </c>
      <c r="K497" s="15" t="s">
        <v>28</v>
      </c>
      <c r="L497" s="15"/>
      <c r="M497" s="16">
        <f t="shared" si="64"/>
        <v>25</v>
      </c>
      <c r="N497" s="15">
        <v>5000</v>
      </c>
      <c r="O497" s="15">
        <v>6700</v>
      </c>
      <c r="P497" s="15">
        <f t="shared" si="62"/>
        <v>33500000</v>
      </c>
      <c r="Q497" s="15" t="str">
        <f t="shared" si="68"/>
        <v>Done</v>
      </c>
      <c r="R497" s="18" t="s">
        <v>44</v>
      </c>
      <c r="S497" s="117">
        <v>43539</v>
      </c>
      <c r="T497" s="20">
        <f>IFERROR(VLOOKUP(S497,'Date Converter'!$A$4:$C$368,3,0),"")</f>
        <v>43574</v>
      </c>
      <c r="U497" s="21">
        <f t="shared" si="69"/>
        <v>43574</v>
      </c>
      <c r="V497" s="30" t="s">
        <v>57</v>
      </c>
      <c r="W497" s="18"/>
      <c r="X497" s="18"/>
      <c r="Y497" s="18"/>
      <c r="Z497" s="206">
        <v>43601</v>
      </c>
      <c r="AA497" s="15">
        <v>5000</v>
      </c>
      <c r="AB497" s="206"/>
      <c r="AC497" s="12"/>
      <c r="AD497" s="12"/>
      <c r="AE497" s="12"/>
      <c r="AF497" s="245"/>
      <c r="AG497" s="12"/>
      <c r="AH497" s="15">
        <f t="shared" si="65"/>
        <v>5000</v>
      </c>
      <c r="AI497" s="22">
        <f t="shared" si="66"/>
        <v>0</v>
      </c>
      <c r="AJ497" s="22">
        <f t="shared" si="67"/>
        <v>0</v>
      </c>
      <c r="AK497" s="13"/>
    </row>
    <row r="498" spans="1:37" s="165" customFormat="1" hidden="1" outlineLevel="1">
      <c r="A498" s="165" t="s">
        <v>1669</v>
      </c>
      <c r="B498" s="13">
        <v>43558</v>
      </c>
      <c r="C498" s="267" t="s">
        <v>1622</v>
      </c>
      <c r="D498" s="258" t="s">
        <v>1236</v>
      </c>
      <c r="E498" s="13" t="s">
        <v>1237</v>
      </c>
      <c r="F498" s="165" t="str">
        <f t="shared" si="63"/>
        <v>MANI_22.24_100_NL2018</v>
      </c>
      <c r="G498" s="165" t="s">
        <v>105</v>
      </c>
      <c r="H498" s="12"/>
      <c r="I498" s="12" t="s">
        <v>78</v>
      </c>
      <c r="J498" s="14">
        <v>100</v>
      </c>
      <c r="K498" s="15" t="s">
        <v>28</v>
      </c>
      <c r="L498" s="15"/>
      <c r="M498" s="16">
        <f t="shared" si="64"/>
        <v>100</v>
      </c>
      <c r="N498" s="15">
        <v>10000</v>
      </c>
      <c r="O498" s="15">
        <v>15400</v>
      </c>
      <c r="P498" s="15">
        <f t="shared" si="62"/>
        <v>154000000</v>
      </c>
      <c r="Q498" s="15" t="str">
        <f t="shared" si="68"/>
        <v/>
      </c>
      <c r="R498" s="18" t="s">
        <v>29</v>
      </c>
      <c r="S498" s="117">
        <v>43709</v>
      </c>
      <c r="T498" s="20">
        <f>IFERROR(VLOOKUP(S498,'Date Converter'!$A$4:$C$368,3,0),"")</f>
        <v>43737</v>
      </c>
      <c r="U498" s="21">
        <f t="shared" si="69"/>
        <v>43737</v>
      </c>
      <c r="V498" s="30" t="s">
        <v>51</v>
      </c>
      <c r="W498" s="18"/>
      <c r="X498" s="18"/>
      <c r="Y498" s="18"/>
      <c r="Z498" s="206"/>
      <c r="AA498" s="15"/>
      <c r="AB498" s="206"/>
      <c r="AC498" s="12"/>
      <c r="AD498" s="12"/>
      <c r="AE498" s="12"/>
      <c r="AF498" s="245"/>
      <c r="AG498" s="12"/>
      <c r="AH498" s="15">
        <f t="shared" si="65"/>
        <v>0</v>
      </c>
      <c r="AI498" s="22">
        <f t="shared" si="66"/>
        <v>10000</v>
      </c>
      <c r="AJ498" s="22">
        <f t="shared" si="67"/>
        <v>154000000</v>
      </c>
      <c r="AK498" s="13"/>
    </row>
    <row r="499" spans="1:37" s="165" customFormat="1" hidden="1" outlineLevel="1">
      <c r="A499" s="165" t="s">
        <v>1666</v>
      </c>
      <c r="B499" s="13">
        <v>43629</v>
      </c>
      <c r="C499" s="13" t="s">
        <v>1622</v>
      </c>
      <c r="D499" s="165" t="s">
        <v>1236</v>
      </c>
      <c r="E499" s="13" t="s">
        <v>1237</v>
      </c>
      <c r="F499" s="165" t="str">
        <f t="shared" si="63"/>
        <v>MALD_14.16_300_NL2018</v>
      </c>
      <c r="G499" s="13" t="s">
        <v>478</v>
      </c>
      <c r="H499" s="12"/>
      <c r="I499" s="12" t="s">
        <v>47</v>
      </c>
      <c r="J499" s="14">
        <v>300</v>
      </c>
      <c r="K499" s="15" t="s">
        <v>28</v>
      </c>
      <c r="L499" s="15"/>
      <c r="M499" s="16">
        <f t="shared" si="64"/>
        <v>7</v>
      </c>
      <c r="N499" s="15">
        <v>2100</v>
      </c>
      <c r="O499" s="15">
        <v>4500</v>
      </c>
      <c r="P499" s="15">
        <f t="shared" si="62"/>
        <v>9450000</v>
      </c>
      <c r="Q499" s="15" t="str">
        <f t="shared" si="68"/>
        <v>Done</v>
      </c>
      <c r="R499" s="18" t="s">
        <v>44</v>
      </c>
      <c r="S499" s="117">
        <v>43590</v>
      </c>
      <c r="T499" s="20">
        <f>IFERROR(VLOOKUP(S499,'Date Converter'!$A$4:$C$368,3,0),"")</f>
        <v>43623</v>
      </c>
      <c r="U499" s="21">
        <f t="shared" si="69"/>
        <v>43623</v>
      </c>
      <c r="V499" s="30"/>
      <c r="W499" s="18"/>
      <c r="X499" s="18"/>
      <c r="Y499" s="18"/>
      <c r="Z499" s="206">
        <v>43631</v>
      </c>
      <c r="AA499" s="256">
        <v>2100</v>
      </c>
      <c r="AB499" s="206"/>
      <c r="AC499" s="12"/>
      <c r="AD499" s="12"/>
      <c r="AE499" s="12"/>
      <c r="AF499" s="245"/>
      <c r="AG499" s="12"/>
      <c r="AH499" s="15">
        <f t="shared" si="65"/>
        <v>2100</v>
      </c>
      <c r="AI499" s="22">
        <f t="shared" si="66"/>
        <v>0</v>
      </c>
      <c r="AJ499" s="22">
        <f t="shared" si="67"/>
        <v>0</v>
      </c>
      <c r="AK499" s="13"/>
    </row>
    <row r="500" spans="1:37" s="165" customFormat="1" hidden="1" outlineLevel="1">
      <c r="A500" s="165" t="s">
        <v>1666</v>
      </c>
      <c r="B500" s="13">
        <v>43629</v>
      </c>
      <c r="C500" s="13" t="s">
        <v>1622</v>
      </c>
      <c r="D500" s="165" t="s">
        <v>1236</v>
      </c>
      <c r="E500" s="13" t="s">
        <v>1237</v>
      </c>
      <c r="F500" s="165" t="str">
        <f t="shared" si="63"/>
        <v>MALD_14.16_300_NL2018</v>
      </c>
      <c r="G500" s="13" t="s">
        <v>478</v>
      </c>
      <c r="H500" s="12"/>
      <c r="I500" s="12" t="s">
        <v>47</v>
      </c>
      <c r="J500" s="14">
        <v>300</v>
      </c>
      <c r="K500" s="15" t="s">
        <v>28</v>
      </c>
      <c r="L500" s="15"/>
      <c r="M500" s="16">
        <f t="shared" si="64"/>
        <v>17</v>
      </c>
      <c r="N500" s="15">
        <v>5100</v>
      </c>
      <c r="O500" s="15">
        <v>4600</v>
      </c>
      <c r="P500" s="15">
        <f t="shared" si="62"/>
        <v>23460000</v>
      </c>
      <c r="Q500" s="15" t="str">
        <f t="shared" si="68"/>
        <v/>
      </c>
      <c r="R500" s="18" t="s">
        <v>29</v>
      </c>
      <c r="S500" s="117">
        <v>43656</v>
      </c>
      <c r="T500" s="20">
        <f>IFERROR(VLOOKUP(S500,'Date Converter'!$A$4:$C$368,3,0),"")</f>
        <v>43687</v>
      </c>
      <c r="U500" s="21">
        <f t="shared" si="69"/>
        <v>43687</v>
      </c>
      <c r="V500" s="30"/>
      <c r="W500" s="18"/>
      <c r="X500" s="18"/>
      <c r="Y500" s="18"/>
      <c r="Z500" s="206"/>
      <c r="AA500" s="15"/>
      <c r="AB500" s="206"/>
      <c r="AC500" s="12"/>
      <c r="AD500" s="12"/>
      <c r="AE500" s="12"/>
      <c r="AF500" s="245"/>
      <c r="AG500" s="12"/>
      <c r="AH500" s="15">
        <f t="shared" si="65"/>
        <v>0</v>
      </c>
      <c r="AI500" s="22">
        <f t="shared" si="66"/>
        <v>5100</v>
      </c>
      <c r="AJ500" s="22">
        <f t="shared" si="67"/>
        <v>23460000</v>
      </c>
      <c r="AK500" s="13"/>
    </row>
    <row r="501" spans="1:37" s="165" customFormat="1" hidden="1" outlineLevel="1">
      <c r="A501" s="165" t="s">
        <v>1666</v>
      </c>
      <c r="B501" s="13">
        <v>43642</v>
      </c>
      <c r="C501" s="13" t="s">
        <v>1622</v>
      </c>
      <c r="D501" s="165" t="s">
        <v>1236</v>
      </c>
      <c r="E501" s="13" t="s">
        <v>1237</v>
      </c>
      <c r="F501" s="165" t="str">
        <f t="shared" ref="F501:F502" si="70">SUBSTITUTE(LEFT(G501,4)&amp;"_"&amp;H501&amp;"_"&amp;I501&amp;"_"&amp;J501&amp;"_"&amp;K501,"__","_")</f>
        <v>ROBI_16.18_200_NL2018</v>
      </c>
      <c r="G501" s="165" t="s">
        <v>61</v>
      </c>
      <c r="H501" s="12"/>
      <c r="I501" s="12" t="s">
        <v>35</v>
      </c>
      <c r="J501" s="14">
        <v>200</v>
      </c>
      <c r="K501" s="15" t="s">
        <v>28</v>
      </c>
      <c r="L501" s="15"/>
      <c r="M501" s="16">
        <f t="shared" si="64"/>
        <v>40</v>
      </c>
      <c r="N501" s="15">
        <v>8000</v>
      </c>
      <c r="O501" s="15">
        <v>5500</v>
      </c>
      <c r="P501" s="15">
        <f t="shared" si="62"/>
        <v>44000000</v>
      </c>
      <c r="Q501" s="15" t="str">
        <f t="shared" si="68"/>
        <v/>
      </c>
      <c r="R501" s="18" t="s">
        <v>63</v>
      </c>
      <c r="S501" s="117">
        <v>43603</v>
      </c>
      <c r="T501" s="20">
        <f>IFERROR(VLOOKUP(S501,'Date Converter'!$A$4:$C$368,3,0),"")</f>
        <v>43636</v>
      </c>
      <c r="U501" s="21">
        <f t="shared" ref="U501:U502" si="71">+T501</f>
        <v>43636</v>
      </c>
      <c r="V501" s="30"/>
      <c r="W501" s="18"/>
      <c r="X501" s="18"/>
      <c r="Y501" s="18"/>
      <c r="Z501" s="206"/>
      <c r="AA501" s="15"/>
      <c r="AB501" s="206"/>
      <c r="AC501" s="12"/>
      <c r="AD501" s="12"/>
      <c r="AE501" s="12"/>
      <c r="AF501" s="245"/>
      <c r="AG501" s="12"/>
      <c r="AH501" s="15">
        <f t="shared" ref="AH501:AH502" si="72">+AA501+AC501+AE501+AG501</f>
        <v>0</v>
      </c>
      <c r="AI501" s="22">
        <f t="shared" ref="AI501:AI502" si="73">+N501-AH501</f>
        <v>8000</v>
      </c>
      <c r="AJ501" s="22">
        <f t="shared" ref="AJ501:AJ502" si="74">+AI501*O501</f>
        <v>44000000</v>
      </c>
      <c r="AK501" s="13"/>
    </row>
    <row r="502" spans="1:37" s="165" customFormat="1" hidden="1" outlineLevel="1">
      <c r="A502" s="165" t="s">
        <v>1666</v>
      </c>
      <c r="B502" s="13">
        <v>43642</v>
      </c>
      <c r="C502" s="13" t="s">
        <v>1622</v>
      </c>
      <c r="D502" s="165" t="s">
        <v>1236</v>
      </c>
      <c r="E502" s="13" t="s">
        <v>1237</v>
      </c>
      <c r="F502" s="165" t="str">
        <f t="shared" si="70"/>
        <v>CONC_16.18_200_NL2018</v>
      </c>
      <c r="G502" s="165" t="s">
        <v>2404</v>
      </c>
      <c r="H502" s="12"/>
      <c r="I502" s="12" t="s">
        <v>35</v>
      </c>
      <c r="J502" s="14">
        <v>200</v>
      </c>
      <c r="K502" s="15" t="s">
        <v>28</v>
      </c>
      <c r="L502" s="15"/>
      <c r="M502" s="16">
        <f t="shared" si="64"/>
        <v>10</v>
      </c>
      <c r="N502" s="15">
        <v>2000</v>
      </c>
      <c r="O502" s="15">
        <v>6500</v>
      </c>
      <c r="P502" s="15">
        <f t="shared" si="62"/>
        <v>13000000</v>
      </c>
      <c r="Q502" s="15" t="str">
        <f t="shared" si="68"/>
        <v/>
      </c>
      <c r="R502" s="18" t="s">
        <v>63</v>
      </c>
      <c r="S502" s="117">
        <v>43590</v>
      </c>
      <c r="T502" s="20">
        <f>IFERROR(VLOOKUP(S502,'Date Converter'!$A$4:$C$368,3,0),"")</f>
        <v>43623</v>
      </c>
      <c r="U502" s="21">
        <f t="shared" si="71"/>
        <v>43623</v>
      </c>
      <c r="V502" s="30"/>
      <c r="W502" s="18"/>
      <c r="X502" s="18"/>
      <c r="Y502" s="18"/>
      <c r="Z502" s="206"/>
      <c r="AA502" s="15"/>
      <c r="AB502" s="206"/>
      <c r="AC502" s="12"/>
      <c r="AD502" s="12"/>
      <c r="AE502" s="12"/>
      <c r="AF502" s="245"/>
      <c r="AG502" s="12"/>
      <c r="AH502" s="15">
        <f t="shared" si="72"/>
        <v>0</v>
      </c>
      <c r="AI502" s="22">
        <f t="shared" si="73"/>
        <v>2000</v>
      </c>
      <c r="AJ502" s="22">
        <f t="shared" si="74"/>
        <v>13000000</v>
      </c>
      <c r="AK502" s="13"/>
    </row>
    <row r="503" spans="1:37" s="165" customFormat="1" hidden="1" outlineLevel="1">
      <c r="A503" s="165" t="s">
        <v>1667</v>
      </c>
      <c r="B503" s="13">
        <v>43604</v>
      </c>
      <c r="C503" s="13" t="s">
        <v>1622</v>
      </c>
      <c r="D503" s="165" t="s">
        <v>1236</v>
      </c>
      <c r="E503" s="13" t="s">
        <v>1237</v>
      </c>
      <c r="F503" s="165" t="str">
        <f t="shared" si="63"/>
        <v>MALD_16.18_200_NL2018</v>
      </c>
      <c r="G503" s="13" t="s">
        <v>478</v>
      </c>
      <c r="H503" s="12"/>
      <c r="I503" s="12" t="s">
        <v>35</v>
      </c>
      <c r="J503" s="14">
        <v>200</v>
      </c>
      <c r="K503" s="15" t="s">
        <v>28</v>
      </c>
      <c r="L503" s="15"/>
      <c r="M503" s="16">
        <f t="shared" si="64"/>
        <v>20</v>
      </c>
      <c r="N503" s="25">
        <v>4000</v>
      </c>
      <c r="O503" s="15">
        <v>5400</v>
      </c>
      <c r="P503" s="15">
        <f t="shared" ref="P503:P548" si="75">+O503*N503</f>
        <v>21600000</v>
      </c>
      <c r="Q503" s="15" t="str">
        <f t="shared" si="68"/>
        <v>Done</v>
      </c>
      <c r="R503" s="18" t="s">
        <v>44</v>
      </c>
      <c r="S503" s="117">
        <v>43565</v>
      </c>
      <c r="T503" s="20">
        <f>IFERROR(VLOOKUP(S503,'Date Converter'!$A$4:$C$368,3,0),"")</f>
        <v>43599</v>
      </c>
      <c r="U503" s="21">
        <f t="shared" si="69"/>
        <v>43599</v>
      </c>
      <c r="V503" s="30"/>
      <c r="W503" s="18"/>
      <c r="X503" s="18"/>
      <c r="Y503" s="18"/>
      <c r="Z503" s="206">
        <v>43604</v>
      </c>
      <c r="AA503" s="15">
        <v>4000</v>
      </c>
      <c r="AB503" s="206"/>
      <c r="AC503" s="12"/>
      <c r="AD503" s="12"/>
      <c r="AE503" s="12"/>
      <c r="AF503" s="245"/>
      <c r="AG503" s="12"/>
      <c r="AH503" s="15">
        <f t="shared" si="65"/>
        <v>4000</v>
      </c>
      <c r="AI503" s="22">
        <f t="shared" si="66"/>
        <v>0</v>
      </c>
      <c r="AJ503" s="22">
        <f t="shared" si="67"/>
        <v>0</v>
      </c>
      <c r="AK503" s="13"/>
    </row>
    <row r="504" spans="1:37" s="165" customFormat="1" hidden="1" outlineLevel="1">
      <c r="A504" s="165" t="s">
        <v>1668</v>
      </c>
      <c r="B504" s="13">
        <v>43603</v>
      </c>
      <c r="C504" s="13" t="s">
        <v>1622</v>
      </c>
      <c r="D504" s="165" t="s">
        <v>1236</v>
      </c>
      <c r="E504" s="13" t="s">
        <v>1237</v>
      </c>
      <c r="F504" s="165" t="str">
        <f t="shared" si="63"/>
        <v>MALD_16.18_200_NL2018</v>
      </c>
      <c r="G504" s="165" t="s">
        <v>478</v>
      </c>
      <c r="H504" s="12"/>
      <c r="I504" s="12" t="s">
        <v>35</v>
      </c>
      <c r="J504" s="14">
        <v>200</v>
      </c>
      <c r="K504" s="15" t="s">
        <v>28</v>
      </c>
      <c r="L504" s="15"/>
      <c r="M504" s="16">
        <f t="shared" si="64"/>
        <v>20</v>
      </c>
      <c r="N504" s="15">
        <v>4000</v>
      </c>
      <c r="O504" s="15">
        <v>5400</v>
      </c>
      <c r="P504" s="15">
        <f t="shared" si="75"/>
        <v>21600000</v>
      </c>
      <c r="Q504" s="15" t="str">
        <f t="shared" si="68"/>
        <v>Done</v>
      </c>
      <c r="R504" s="18" t="s">
        <v>44</v>
      </c>
      <c r="S504" s="117">
        <v>43569</v>
      </c>
      <c r="T504" s="20">
        <f>IFERROR(VLOOKUP(S504,'Date Converter'!$A$4:$C$368,3,0),"")</f>
        <v>43603</v>
      </c>
      <c r="U504" s="21">
        <f t="shared" si="69"/>
        <v>43603</v>
      </c>
      <c r="V504" s="30" t="s">
        <v>479</v>
      </c>
      <c r="W504" s="18"/>
      <c r="X504" s="18"/>
      <c r="Y504" s="18"/>
      <c r="Z504" s="206"/>
      <c r="AA504" s="15">
        <v>4000</v>
      </c>
      <c r="AB504" s="206"/>
      <c r="AC504" s="12"/>
      <c r="AD504" s="12"/>
      <c r="AE504" s="12"/>
      <c r="AF504" s="245"/>
      <c r="AG504" s="12"/>
      <c r="AH504" s="15">
        <f t="shared" si="65"/>
        <v>4000</v>
      </c>
      <c r="AI504" s="22">
        <f t="shared" si="66"/>
        <v>0</v>
      </c>
      <c r="AJ504" s="22">
        <f t="shared" si="67"/>
        <v>0</v>
      </c>
      <c r="AK504" s="13"/>
    </row>
    <row r="505" spans="1:37" s="165" customFormat="1" hidden="1" outlineLevel="1">
      <c r="A505" s="165" t="s">
        <v>1669</v>
      </c>
      <c r="B505" s="13">
        <v>43558</v>
      </c>
      <c r="C505" s="267" t="s">
        <v>1622</v>
      </c>
      <c r="D505" s="258" t="s">
        <v>1236</v>
      </c>
      <c r="E505" s="13" t="s">
        <v>1237</v>
      </c>
      <c r="F505" s="165" t="str">
        <f t="shared" si="63"/>
        <v>MALD_18.20_150_NL2018</v>
      </c>
      <c r="G505" s="165" t="s">
        <v>478</v>
      </c>
      <c r="H505" s="12"/>
      <c r="I505" s="12" t="s">
        <v>27</v>
      </c>
      <c r="J505" s="14">
        <v>150</v>
      </c>
      <c r="K505" s="15" t="s">
        <v>28</v>
      </c>
      <c r="L505" s="15"/>
      <c r="M505" s="16">
        <f t="shared" si="64"/>
        <v>34</v>
      </c>
      <c r="N505" s="15">
        <v>5100</v>
      </c>
      <c r="O505" s="15">
        <v>8500</v>
      </c>
      <c r="P505" s="15">
        <f t="shared" si="75"/>
        <v>43350000</v>
      </c>
      <c r="Q505" s="15" t="str">
        <f t="shared" si="68"/>
        <v/>
      </c>
      <c r="R505" s="18" t="s">
        <v>29</v>
      </c>
      <c r="S505" s="117">
        <v>43709</v>
      </c>
      <c r="T505" s="20">
        <f>IFERROR(VLOOKUP(S505,'Date Converter'!$A$4:$C$368,3,0),"")</f>
        <v>43737</v>
      </c>
      <c r="U505" s="21">
        <f t="shared" si="69"/>
        <v>43737</v>
      </c>
      <c r="V505" s="30" t="s">
        <v>51</v>
      </c>
      <c r="W505" s="18"/>
      <c r="X505" s="18"/>
      <c r="Y505" s="18"/>
      <c r="Z505" s="206"/>
      <c r="AA505" s="15"/>
      <c r="AB505" s="206"/>
      <c r="AC505" s="12"/>
      <c r="AD505" s="12"/>
      <c r="AE505" s="12"/>
      <c r="AF505" s="245"/>
      <c r="AG505" s="12"/>
      <c r="AH505" s="15">
        <f t="shared" si="65"/>
        <v>0</v>
      </c>
      <c r="AI505" s="22">
        <f t="shared" si="66"/>
        <v>5100</v>
      </c>
      <c r="AJ505" s="22">
        <f t="shared" si="67"/>
        <v>43350000</v>
      </c>
      <c r="AK505" s="13"/>
    </row>
    <row r="506" spans="1:37" s="165" customFormat="1" hidden="1" outlineLevel="1">
      <c r="A506" s="165" t="s">
        <v>1666</v>
      </c>
      <c r="B506" s="13">
        <v>43531</v>
      </c>
      <c r="C506" s="13" t="s">
        <v>1622</v>
      </c>
      <c r="D506" s="165" t="s">
        <v>1236</v>
      </c>
      <c r="E506" s="13" t="s">
        <v>1237</v>
      </c>
      <c r="F506" s="165" t="str">
        <f t="shared" si="63"/>
        <v>DALI_14.16_300_NL2018</v>
      </c>
      <c r="G506" s="13" t="s">
        <v>46</v>
      </c>
      <c r="H506" s="12"/>
      <c r="I506" s="12">
        <v>14.16</v>
      </c>
      <c r="J506" s="14">
        <v>300</v>
      </c>
      <c r="K506" s="15" t="s">
        <v>28</v>
      </c>
      <c r="L506" s="15"/>
      <c r="M506" s="16">
        <f t="shared" si="64"/>
        <v>17</v>
      </c>
      <c r="N506" s="15">
        <f>6000-900</f>
        <v>5100</v>
      </c>
      <c r="O506" s="15">
        <v>5300</v>
      </c>
      <c r="P506" s="15">
        <f t="shared" si="75"/>
        <v>27030000</v>
      </c>
      <c r="Q506" s="15" t="str">
        <f t="shared" si="68"/>
        <v>Done</v>
      </c>
      <c r="R506" s="18" t="s">
        <v>44</v>
      </c>
      <c r="S506" s="117">
        <v>43572</v>
      </c>
      <c r="T506" s="20">
        <f>IFERROR(VLOOKUP(S506,'Date Converter'!$A$4:$C$368,3,0),"")</f>
        <v>43606</v>
      </c>
      <c r="U506" s="21">
        <f t="shared" si="69"/>
        <v>43606</v>
      </c>
      <c r="V506" s="30" t="s">
        <v>36</v>
      </c>
      <c r="W506" s="18"/>
      <c r="X506" s="18"/>
      <c r="Y506" s="18"/>
      <c r="Z506" s="206">
        <v>43621</v>
      </c>
      <c r="AA506" s="15">
        <v>5100</v>
      </c>
      <c r="AB506" s="206"/>
      <c r="AC506" s="12"/>
      <c r="AD506" s="12"/>
      <c r="AE506" s="12"/>
      <c r="AF506" s="245"/>
      <c r="AG506" s="12"/>
      <c r="AH506" s="15">
        <f t="shared" si="65"/>
        <v>5100</v>
      </c>
      <c r="AI506" s="22">
        <f t="shared" si="66"/>
        <v>0</v>
      </c>
      <c r="AJ506" s="22">
        <f t="shared" si="67"/>
        <v>0</v>
      </c>
      <c r="AK506" s="13">
        <v>43835</v>
      </c>
    </row>
    <row r="507" spans="1:37" s="165" customFormat="1" hidden="1" outlineLevel="1">
      <c r="A507" s="165" t="s">
        <v>1666</v>
      </c>
      <c r="B507" s="13">
        <v>43531</v>
      </c>
      <c r="C507" s="13" t="s">
        <v>1622</v>
      </c>
      <c r="D507" s="165" t="s">
        <v>1236</v>
      </c>
      <c r="E507" s="13" t="s">
        <v>1237</v>
      </c>
      <c r="F507" s="165" t="str">
        <f t="shared" ref="F507:F568" si="76">SUBSTITUTE(LEFT(G507,4)&amp;"_"&amp;H507&amp;"_"&amp;I507&amp;"_"&amp;J507&amp;"_"&amp;K507,"__","_")</f>
        <v>DALI_14.16_300_NL2018</v>
      </c>
      <c r="G507" s="13" t="s">
        <v>46</v>
      </c>
      <c r="H507" s="12"/>
      <c r="I507" s="12">
        <v>14.16</v>
      </c>
      <c r="J507" s="14">
        <v>300</v>
      </c>
      <c r="K507" s="15" t="s">
        <v>28</v>
      </c>
      <c r="L507" s="15"/>
      <c r="M507" s="16">
        <f t="shared" ref="M507:M568" si="77">+N507/J507</f>
        <v>0</v>
      </c>
      <c r="N507" s="15">
        <f>5100-5100+2400-2400</f>
        <v>0</v>
      </c>
      <c r="O507" s="15">
        <f>5300+60</f>
        <v>5360</v>
      </c>
      <c r="P507" s="15">
        <f t="shared" si="75"/>
        <v>0</v>
      </c>
      <c r="Q507" s="15" t="str">
        <f t="shared" si="68"/>
        <v>Canceled</v>
      </c>
      <c r="R507" s="18" t="s">
        <v>71</v>
      </c>
      <c r="S507" s="117">
        <v>43572</v>
      </c>
      <c r="T507" s="20">
        <f>IFERROR(VLOOKUP(S507,'Date Converter'!$A$4:$C$368,3,0),"")</f>
        <v>43606</v>
      </c>
      <c r="U507" s="21">
        <f t="shared" si="69"/>
        <v>43606</v>
      </c>
      <c r="V507" s="30" t="s">
        <v>1416</v>
      </c>
      <c r="W507" s="18"/>
      <c r="X507" s="18"/>
      <c r="Y507" s="18"/>
      <c r="Z507" s="206"/>
      <c r="AA507" s="15">
        <v>0</v>
      </c>
      <c r="AB507" s="206"/>
      <c r="AC507" s="12"/>
      <c r="AD507" s="12"/>
      <c r="AE507" s="12"/>
      <c r="AF507" s="245"/>
      <c r="AG507" s="12"/>
      <c r="AH507" s="15">
        <f t="shared" ref="AH507:AH568" si="78">+AA507+AC507+AE507+AG507</f>
        <v>0</v>
      </c>
      <c r="AI507" s="22">
        <f t="shared" ref="AI507:AI568" si="79">+N507-AH507</f>
        <v>0</v>
      </c>
      <c r="AJ507" s="22">
        <f t="shared" ref="AJ507:AJ568" si="80">+AI507*O507</f>
        <v>0</v>
      </c>
      <c r="AK507" s="13">
        <v>43835</v>
      </c>
    </row>
    <row r="508" spans="1:37" s="165" customFormat="1" hidden="1" outlineLevel="1">
      <c r="A508" s="165" t="s">
        <v>1669</v>
      </c>
      <c r="B508" s="13">
        <v>43558</v>
      </c>
      <c r="C508" s="267" t="s">
        <v>1622</v>
      </c>
      <c r="D508" s="258" t="s">
        <v>1236</v>
      </c>
      <c r="E508" s="13" t="s">
        <v>1237</v>
      </c>
      <c r="F508" s="165" t="str">
        <f t="shared" si="76"/>
        <v>CONC_20.22_125_NL2018</v>
      </c>
      <c r="G508" s="165" t="s">
        <v>40</v>
      </c>
      <c r="H508" s="12"/>
      <c r="I508" s="12" t="s">
        <v>74</v>
      </c>
      <c r="J508" s="14">
        <v>125</v>
      </c>
      <c r="K508" s="15" t="s">
        <v>28</v>
      </c>
      <c r="L508" s="15"/>
      <c r="M508" s="16">
        <f t="shared" si="77"/>
        <v>80</v>
      </c>
      <c r="N508" s="15">
        <v>10000</v>
      </c>
      <c r="O508" s="15">
        <v>10600</v>
      </c>
      <c r="P508" s="15">
        <f t="shared" si="75"/>
        <v>106000000</v>
      </c>
      <c r="Q508" s="15" t="str">
        <f t="shared" si="68"/>
        <v/>
      </c>
      <c r="R508" s="18" t="s">
        <v>29</v>
      </c>
      <c r="S508" s="117">
        <v>43709</v>
      </c>
      <c r="T508" s="20">
        <f>IFERROR(VLOOKUP(S508,'Date Converter'!$A$4:$C$368,3,0),"")</f>
        <v>43737</v>
      </c>
      <c r="U508" s="21">
        <f t="shared" si="69"/>
        <v>43737</v>
      </c>
      <c r="V508" s="30" t="s">
        <v>51</v>
      </c>
      <c r="W508" s="18"/>
      <c r="X508" s="18"/>
      <c r="Y508" s="18"/>
      <c r="Z508" s="206"/>
      <c r="AA508" s="15"/>
      <c r="AB508" s="206"/>
      <c r="AC508" s="12"/>
      <c r="AD508" s="12"/>
      <c r="AE508" s="12"/>
      <c r="AF508" s="245"/>
      <c r="AG508" s="12"/>
      <c r="AH508" s="15">
        <f t="shared" si="78"/>
        <v>0</v>
      </c>
      <c r="AI508" s="22">
        <f t="shared" si="79"/>
        <v>10000</v>
      </c>
      <c r="AJ508" s="22">
        <f t="shared" si="80"/>
        <v>106000000</v>
      </c>
      <c r="AK508" s="13"/>
    </row>
    <row r="509" spans="1:37" s="165" customFormat="1" hidden="1" outlineLevel="1">
      <c r="A509" s="165" t="s">
        <v>1669</v>
      </c>
      <c r="B509" s="13">
        <v>43558</v>
      </c>
      <c r="C509" s="267" t="s">
        <v>1622</v>
      </c>
      <c r="D509" s="258" t="s">
        <v>1236</v>
      </c>
      <c r="E509" s="13" t="s">
        <v>1237</v>
      </c>
      <c r="F509" s="165" t="str">
        <f t="shared" si="76"/>
        <v>BACA_20.22_125_NL2018</v>
      </c>
      <c r="G509" s="165" t="s">
        <v>67</v>
      </c>
      <c r="H509" s="12"/>
      <c r="I509" s="12" t="s">
        <v>74</v>
      </c>
      <c r="J509" s="14">
        <v>125</v>
      </c>
      <c r="K509" s="15" t="s">
        <v>28</v>
      </c>
      <c r="L509" s="15"/>
      <c r="M509" s="16">
        <f t="shared" si="77"/>
        <v>48</v>
      </c>
      <c r="N509" s="15">
        <f>5000+1000</f>
        <v>6000</v>
      </c>
      <c r="O509" s="15">
        <v>11000</v>
      </c>
      <c r="P509" s="15">
        <f t="shared" si="75"/>
        <v>66000000</v>
      </c>
      <c r="Q509" s="15" t="str">
        <f t="shared" si="68"/>
        <v/>
      </c>
      <c r="R509" s="18" t="s">
        <v>29</v>
      </c>
      <c r="S509" s="117">
        <v>43709</v>
      </c>
      <c r="T509" s="20">
        <f>IFERROR(VLOOKUP(S509,'Date Converter'!$A$4:$C$368,3,0),"")</f>
        <v>43737</v>
      </c>
      <c r="U509" s="21">
        <f t="shared" si="69"/>
        <v>43737</v>
      </c>
      <c r="V509" s="30" t="s">
        <v>51</v>
      </c>
      <c r="W509" s="18"/>
      <c r="X509" s="18"/>
      <c r="Y509" s="18"/>
      <c r="Z509" s="206"/>
      <c r="AA509" s="15"/>
      <c r="AB509" s="206"/>
      <c r="AC509" s="12"/>
      <c r="AD509" s="12"/>
      <c r="AE509" s="12"/>
      <c r="AF509" s="245"/>
      <c r="AG509" s="12"/>
      <c r="AH509" s="15">
        <f t="shared" si="78"/>
        <v>0</v>
      </c>
      <c r="AI509" s="22">
        <f t="shared" si="79"/>
        <v>6000</v>
      </c>
      <c r="AJ509" s="22">
        <f t="shared" si="80"/>
        <v>66000000</v>
      </c>
      <c r="AK509" s="13"/>
    </row>
    <row r="510" spans="1:37" s="165" customFormat="1" hidden="1" outlineLevel="1">
      <c r="A510" s="165" t="s">
        <v>1666</v>
      </c>
      <c r="B510" s="13">
        <v>43531</v>
      </c>
      <c r="C510" s="13" t="s">
        <v>1622</v>
      </c>
      <c r="D510" s="165" t="s">
        <v>1236</v>
      </c>
      <c r="E510" s="13" t="s">
        <v>1237</v>
      </c>
      <c r="F510" s="165" t="str">
        <f t="shared" si="76"/>
        <v>ARVA_16.18_200_NL2018</v>
      </c>
      <c r="G510" s="13" t="s">
        <v>85</v>
      </c>
      <c r="H510" s="12"/>
      <c r="I510" s="12" t="s">
        <v>35</v>
      </c>
      <c r="J510" s="14">
        <v>200</v>
      </c>
      <c r="K510" s="15" t="s">
        <v>28</v>
      </c>
      <c r="L510" s="15"/>
      <c r="M510" s="16">
        <f t="shared" si="77"/>
        <v>0</v>
      </c>
      <c r="N510" s="15">
        <f>5000-5000</f>
        <v>0</v>
      </c>
      <c r="O510" s="15">
        <v>5500</v>
      </c>
      <c r="P510" s="15">
        <f t="shared" si="75"/>
        <v>0</v>
      </c>
      <c r="Q510" s="15" t="str">
        <f t="shared" si="68"/>
        <v>Canceled</v>
      </c>
      <c r="R510" s="18" t="s">
        <v>71</v>
      </c>
      <c r="S510" s="117">
        <v>43539</v>
      </c>
      <c r="T510" s="20">
        <f>IFERROR(VLOOKUP(S510,'Date Converter'!$A$4:$C$368,3,0),"")</f>
        <v>43574</v>
      </c>
      <c r="U510" s="21">
        <f t="shared" si="69"/>
        <v>43574</v>
      </c>
      <c r="V510" s="30" t="s">
        <v>57</v>
      </c>
      <c r="W510" s="18" t="s">
        <v>86</v>
      </c>
      <c r="X510" s="18"/>
      <c r="Y510" s="18"/>
      <c r="Z510" s="206"/>
      <c r="AA510" s="15">
        <v>0</v>
      </c>
      <c r="AB510" s="206"/>
      <c r="AC510" s="12"/>
      <c r="AD510" s="12"/>
      <c r="AE510" s="12"/>
      <c r="AF510" s="245"/>
      <c r="AG510" s="12"/>
      <c r="AH510" s="15">
        <f t="shared" si="78"/>
        <v>0</v>
      </c>
      <c r="AI510" s="22">
        <f t="shared" si="79"/>
        <v>0</v>
      </c>
      <c r="AJ510" s="22">
        <f t="shared" si="80"/>
        <v>0</v>
      </c>
      <c r="AK510" s="13"/>
    </row>
    <row r="511" spans="1:37" s="165" customFormat="1" hidden="1" outlineLevel="1">
      <c r="A511" s="165" t="s">
        <v>1666</v>
      </c>
      <c r="B511" s="13">
        <v>43629</v>
      </c>
      <c r="C511" s="13" t="s">
        <v>1622</v>
      </c>
      <c r="D511" s="165" t="s">
        <v>1236</v>
      </c>
      <c r="E511" s="13" t="s">
        <v>1237</v>
      </c>
      <c r="F511" s="165" t="str">
        <f t="shared" si="76"/>
        <v>ARVA_16.18_200_NL2018</v>
      </c>
      <c r="G511" s="13" t="s">
        <v>85</v>
      </c>
      <c r="H511" s="12"/>
      <c r="I511" s="12" t="s">
        <v>35</v>
      </c>
      <c r="J511" s="14">
        <v>200</v>
      </c>
      <c r="K511" s="15" t="s">
        <v>28</v>
      </c>
      <c r="L511" s="15"/>
      <c r="M511" s="16">
        <f t="shared" si="77"/>
        <v>25</v>
      </c>
      <c r="N511" s="15">
        <v>5000</v>
      </c>
      <c r="O511" s="15">
        <v>5600</v>
      </c>
      <c r="P511" s="15">
        <f t="shared" si="75"/>
        <v>28000000</v>
      </c>
      <c r="Q511" s="15" t="str">
        <f t="shared" si="68"/>
        <v/>
      </c>
      <c r="R511" s="18" t="s">
        <v>29</v>
      </c>
      <c r="S511" s="117">
        <v>43656</v>
      </c>
      <c r="T511" s="20">
        <f>IFERROR(VLOOKUP(S511,'Date Converter'!$A$4:$C$368,3,0),"")</f>
        <v>43687</v>
      </c>
      <c r="U511" s="21">
        <f t="shared" si="69"/>
        <v>43687</v>
      </c>
      <c r="V511" s="30"/>
      <c r="W511" s="18"/>
      <c r="X511" s="18"/>
      <c r="Y511" s="18"/>
      <c r="Z511" s="206"/>
      <c r="AA511" s="15"/>
      <c r="AB511" s="206"/>
      <c r="AC511" s="12"/>
      <c r="AD511" s="12"/>
      <c r="AE511" s="12"/>
      <c r="AF511" s="245"/>
      <c r="AG511" s="12"/>
      <c r="AH511" s="15">
        <f t="shared" si="78"/>
        <v>0</v>
      </c>
      <c r="AI511" s="22">
        <f t="shared" si="79"/>
        <v>5000</v>
      </c>
      <c r="AJ511" s="22">
        <f t="shared" si="80"/>
        <v>28000000</v>
      </c>
      <c r="AK511" s="13"/>
    </row>
    <row r="512" spans="1:37" s="165" customFormat="1" hidden="1" outlineLevel="1">
      <c r="A512" s="165" t="s">
        <v>1667</v>
      </c>
      <c r="B512" s="13">
        <v>43604</v>
      </c>
      <c r="C512" s="13" t="s">
        <v>1622</v>
      </c>
      <c r="D512" s="165" t="s">
        <v>1236</v>
      </c>
      <c r="E512" s="13" t="s">
        <v>1237</v>
      </c>
      <c r="F512" s="165" t="str">
        <f t="shared" si="76"/>
        <v>ARVA_16.18_200_NL2018</v>
      </c>
      <c r="G512" s="13" t="s">
        <v>85</v>
      </c>
      <c r="H512" s="12"/>
      <c r="I512" s="12" t="s">
        <v>35</v>
      </c>
      <c r="J512" s="14">
        <v>200</v>
      </c>
      <c r="K512" s="15" t="s">
        <v>28</v>
      </c>
      <c r="L512" s="15"/>
      <c r="M512" s="16">
        <f t="shared" si="77"/>
        <v>25</v>
      </c>
      <c r="N512" s="15">
        <v>5000</v>
      </c>
      <c r="O512" s="15">
        <v>5800</v>
      </c>
      <c r="P512" s="15">
        <f t="shared" si="75"/>
        <v>29000000</v>
      </c>
      <c r="Q512" s="15" t="str">
        <f t="shared" si="68"/>
        <v>Done</v>
      </c>
      <c r="R512" s="18" t="s">
        <v>44</v>
      </c>
      <c r="S512" s="117">
        <v>43565</v>
      </c>
      <c r="T512" s="20">
        <f>IFERROR(VLOOKUP(S512,'Date Converter'!$A$4:$C$368,3,0),"")</f>
        <v>43599</v>
      </c>
      <c r="U512" s="21">
        <f t="shared" si="69"/>
        <v>43599</v>
      </c>
      <c r="V512" s="30"/>
      <c r="W512" s="18"/>
      <c r="X512" s="18"/>
      <c r="Y512" s="18"/>
      <c r="Z512" s="206">
        <v>43587</v>
      </c>
      <c r="AA512" s="15">
        <v>5000</v>
      </c>
      <c r="AB512" s="206"/>
      <c r="AC512" s="12"/>
      <c r="AD512" s="12"/>
      <c r="AE512" s="12"/>
      <c r="AF512" s="245"/>
      <c r="AG512" s="12"/>
      <c r="AH512" s="15">
        <f t="shared" si="78"/>
        <v>5000</v>
      </c>
      <c r="AI512" s="22">
        <f t="shared" si="79"/>
        <v>0</v>
      </c>
      <c r="AJ512" s="22">
        <f t="shared" si="80"/>
        <v>0</v>
      </c>
      <c r="AK512" s="13"/>
    </row>
    <row r="513" spans="1:37" s="165" customFormat="1" hidden="1" outlineLevel="1">
      <c r="A513" s="165" t="s">
        <v>1667</v>
      </c>
      <c r="B513" s="13">
        <v>43558</v>
      </c>
      <c r="C513" s="13" t="s">
        <v>1622</v>
      </c>
      <c r="D513" s="165" t="s">
        <v>1236</v>
      </c>
      <c r="E513" s="13" t="s">
        <v>1237</v>
      </c>
      <c r="F513" s="165" t="str">
        <f t="shared" si="76"/>
        <v>ARVA_16.18_200_NL2018</v>
      </c>
      <c r="G513" s="165" t="s">
        <v>85</v>
      </c>
      <c r="H513" s="12"/>
      <c r="I513" s="12" t="s">
        <v>35</v>
      </c>
      <c r="J513" s="14">
        <v>200</v>
      </c>
      <c r="K513" s="15" t="s">
        <v>28</v>
      </c>
      <c r="L513" s="15"/>
      <c r="M513" s="16">
        <f t="shared" si="77"/>
        <v>25</v>
      </c>
      <c r="N513" s="15">
        <v>5000</v>
      </c>
      <c r="O513" s="15">
        <v>5800</v>
      </c>
      <c r="P513" s="15">
        <f t="shared" si="75"/>
        <v>29000000</v>
      </c>
      <c r="Q513" s="15" t="str">
        <f t="shared" si="68"/>
        <v>Done</v>
      </c>
      <c r="R513" s="18" t="s">
        <v>44</v>
      </c>
      <c r="S513" s="117">
        <v>43565</v>
      </c>
      <c r="T513" s="20">
        <f>IFERROR(VLOOKUP(S513,'Date Converter'!$A$4:$C$368,3,0),"")</f>
        <v>43599</v>
      </c>
      <c r="U513" s="21">
        <f t="shared" si="69"/>
        <v>43599</v>
      </c>
      <c r="V513" s="30" t="s">
        <v>479</v>
      </c>
      <c r="W513" s="18"/>
      <c r="X513" s="18"/>
      <c r="Y513" s="18"/>
      <c r="Z513" s="206">
        <v>43587</v>
      </c>
      <c r="AA513" s="15">
        <v>5000</v>
      </c>
      <c r="AB513" s="206"/>
      <c r="AC513" s="12"/>
      <c r="AD513" s="12"/>
      <c r="AE513" s="12"/>
      <c r="AF513" s="245"/>
      <c r="AG513" s="12"/>
      <c r="AH513" s="15">
        <f t="shared" si="78"/>
        <v>5000</v>
      </c>
      <c r="AI513" s="22">
        <f t="shared" si="79"/>
        <v>0</v>
      </c>
      <c r="AJ513" s="22">
        <f t="shared" si="80"/>
        <v>0</v>
      </c>
      <c r="AK513" s="13"/>
    </row>
    <row r="514" spans="1:37" s="165" customFormat="1" hidden="1" outlineLevel="1">
      <c r="A514" s="165" t="s">
        <v>1618</v>
      </c>
      <c r="B514" s="13">
        <v>43614</v>
      </c>
      <c r="C514" s="13" t="s">
        <v>23</v>
      </c>
      <c r="D514" s="165" t="s">
        <v>1821</v>
      </c>
      <c r="E514" s="13" t="s">
        <v>1619</v>
      </c>
      <c r="F514" s="165" t="str">
        <f t="shared" si="76"/>
        <v>TARR_14.16_300_NL2018</v>
      </c>
      <c r="G514" s="165" t="s">
        <v>62</v>
      </c>
      <c r="H514" s="12"/>
      <c r="I514" s="12" t="s">
        <v>47</v>
      </c>
      <c r="J514" s="31" t="s">
        <v>124</v>
      </c>
      <c r="K514" s="15" t="s">
        <v>28</v>
      </c>
      <c r="L514" s="15"/>
      <c r="M514" s="16">
        <f t="shared" si="77"/>
        <v>14</v>
      </c>
      <c r="N514" s="15">
        <v>4200</v>
      </c>
      <c r="O514" s="15">
        <v>4800</v>
      </c>
      <c r="P514" s="15">
        <f t="shared" si="75"/>
        <v>20160000</v>
      </c>
      <c r="Q514" s="15" t="str">
        <f t="shared" si="68"/>
        <v>Done</v>
      </c>
      <c r="R514" s="18" t="s">
        <v>44</v>
      </c>
      <c r="S514" s="23">
        <v>43572</v>
      </c>
      <c r="T514" s="20">
        <f>IFERROR(VLOOKUP(S514,'Date Converter'!$A$4:$C$368,3,0),"")</f>
        <v>43606</v>
      </c>
      <c r="U514" s="21">
        <f t="shared" si="69"/>
        <v>43606</v>
      </c>
      <c r="V514" s="12"/>
      <c r="W514" s="18"/>
      <c r="X514" s="18"/>
      <c r="Y514" s="12"/>
      <c r="Z514" s="206">
        <v>43614</v>
      </c>
      <c r="AA514" s="15">
        <v>4200</v>
      </c>
      <c r="AB514" s="12"/>
      <c r="AC514" s="12"/>
      <c r="AD514" s="12"/>
      <c r="AE514" s="12"/>
      <c r="AF514" s="245"/>
      <c r="AG514" s="12"/>
      <c r="AH514" s="15">
        <f t="shared" si="78"/>
        <v>4200</v>
      </c>
      <c r="AI514" s="22">
        <f t="shared" si="79"/>
        <v>0</v>
      </c>
      <c r="AJ514" s="22">
        <f t="shared" si="80"/>
        <v>0</v>
      </c>
    </row>
    <row r="515" spans="1:37" s="165" customFormat="1" hidden="1" outlineLevel="1">
      <c r="A515" s="165" t="s">
        <v>1820</v>
      </c>
      <c r="B515" s="13">
        <v>43617</v>
      </c>
      <c r="C515" s="13" t="s">
        <v>23</v>
      </c>
      <c r="D515" s="258" t="s">
        <v>1821</v>
      </c>
      <c r="E515" s="13" t="s">
        <v>1619</v>
      </c>
      <c r="F515" s="165" t="str">
        <f t="shared" si="76"/>
        <v>TARR_20.22_125_NL2018</v>
      </c>
      <c r="G515" s="165" t="s">
        <v>62</v>
      </c>
      <c r="H515" s="12"/>
      <c r="I515" s="12" t="s">
        <v>74</v>
      </c>
      <c r="J515" s="31" t="s">
        <v>122</v>
      </c>
      <c r="K515" s="15" t="s">
        <v>28</v>
      </c>
      <c r="L515" s="15"/>
      <c r="M515" s="16">
        <f t="shared" si="77"/>
        <v>48</v>
      </c>
      <c r="N515" s="15">
        <v>6000</v>
      </c>
      <c r="O515" s="15">
        <v>11000</v>
      </c>
      <c r="P515" s="15">
        <f t="shared" si="75"/>
        <v>66000000</v>
      </c>
      <c r="Q515" s="15" t="str">
        <f t="shared" ref="Q515:Q578" si="81">IF(AND(N515=0,AI515=0),"Canceled",IF(AND(N515&gt;0,AI515=0),"Done",""))</f>
        <v/>
      </c>
      <c r="R515" s="18" t="s">
        <v>29</v>
      </c>
      <c r="S515" s="23">
        <v>43709</v>
      </c>
      <c r="T515" s="20">
        <f>IFERROR(VLOOKUP(S515,'Date Converter'!$A$4:$C$368,3,0),"")</f>
        <v>43737</v>
      </c>
      <c r="U515" s="21">
        <f t="shared" si="69"/>
        <v>43737</v>
      </c>
      <c r="V515" s="12"/>
      <c r="W515" s="18"/>
      <c r="X515" s="18"/>
      <c r="Y515" s="12"/>
      <c r="Z515" s="206"/>
      <c r="AA515" s="15"/>
      <c r="AB515" s="12"/>
      <c r="AC515" s="12"/>
      <c r="AD515" s="12"/>
      <c r="AE515" s="12"/>
      <c r="AF515" s="245"/>
      <c r="AG515" s="12"/>
      <c r="AH515" s="15">
        <f t="shared" si="78"/>
        <v>0</v>
      </c>
      <c r="AI515" s="22">
        <f t="shared" si="79"/>
        <v>6000</v>
      </c>
      <c r="AJ515" s="22">
        <f t="shared" si="80"/>
        <v>66000000</v>
      </c>
    </row>
    <row r="516" spans="1:37" s="165" customFormat="1" hidden="1" outlineLevel="1">
      <c r="A516" s="165" t="s">
        <v>1820</v>
      </c>
      <c r="B516" s="13">
        <v>43617</v>
      </c>
      <c r="C516" s="13" t="s">
        <v>23</v>
      </c>
      <c r="D516" s="258" t="s">
        <v>1821</v>
      </c>
      <c r="E516" s="13" t="s">
        <v>1619</v>
      </c>
      <c r="F516" s="165" t="str">
        <f t="shared" si="76"/>
        <v>ROBI_20.22_125_NL2018</v>
      </c>
      <c r="G516" s="165" t="s">
        <v>1848</v>
      </c>
      <c r="H516" s="12"/>
      <c r="I516" s="12" t="s">
        <v>74</v>
      </c>
      <c r="J516" s="31" t="s">
        <v>122</v>
      </c>
      <c r="K516" s="15" t="s">
        <v>28</v>
      </c>
      <c r="L516" s="15"/>
      <c r="M516" s="16">
        <f t="shared" si="77"/>
        <v>48</v>
      </c>
      <c r="N516" s="15">
        <v>6000</v>
      </c>
      <c r="O516" s="15">
        <v>12500</v>
      </c>
      <c r="P516" s="15">
        <f t="shared" si="75"/>
        <v>75000000</v>
      </c>
      <c r="Q516" s="15" t="str">
        <f t="shared" si="81"/>
        <v/>
      </c>
      <c r="R516" s="18" t="s">
        <v>29</v>
      </c>
      <c r="S516" s="23">
        <v>43709</v>
      </c>
      <c r="T516" s="20">
        <f>IFERROR(VLOOKUP(S516,'Date Converter'!$A$4:$C$368,3,0),"")</f>
        <v>43737</v>
      </c>
      <c r="U516" s="21">
        <f t="shared" si="69"/>
        <v>43737</v>
      </c>
      <c r="V516" s="12"/>
      <c r="W516" s="18"/>
      <c r="X516" s="18"/>
      <c r="Y516" s="12"/>
      <c r="Z516" s="206"/>
      <c r="AA516" s="15"/>
      <c r="AB516" s="12"/>
      <c r="AC516" s="12"/>
      <c r="AD516" s="12"/>
      <c r="AE516" s="12"/>
      <c r="AF516" s="245"/>
      <c r="AG516" s="12"/>
      <c r="AH516" s="15">
        <f t="shared" si="78"/>
        <v>0</v>
      </c>
      <c r="AI516" s="22">
        <f t="shared" si="79"/>
        <v>6000</v>
      </c>
      <c r="AJ516" s="22">
        <f t="shared" si="80"/>
        <v>75000000</v>
      </c>
    </row>
    <row r="517" spans="1:37" s="165" customFormat="1" hidden="1" outlineLevel="1">
      <c r="A517" s="165" t="s">
        <v>1618</v>
      </c>
      <c r="B517" s="13">
        <v>43617</v>
      </c>
      <c r="C517" s="13" t="s">
        <v>23</v>
      </c>
      <c r="D517" s="165" t="s">
        <v>1821</v>
      </c>
      <c r="E517" s="13" t="s">
        <v>1619</v>
      </c>
      <c r="F517" s="165" t="str">
        <f t="shared" si="76"/>
        <v>NASH_14.16_300_NL2018</v>
      </c>
      <c r="G517" s="165" t="s">
        <v>123</v>
      </c>
      <c r="H517" s="12"/>
      <c r="I517" s="12" t="s">
        <v>47</v>
      </c>
      <c r="J517" s="31" t="s">
        <v>124</v>
      </c>
      <c r="K517" s="15" t="s">
        <v>28</v>
      </c>
      <c r="L517" s="15"/>
      <c r="M517" s="16">
        <f t="shared" si="77"/>
        <v>0</v>
      </c>
      <c r="N517" s="15">
        <f>7200-7200</f>
        <v>0</v>
      </c>
      <c r="O517" s="15">
        <v>4100</v>
      </c>
      <c r="P517" s="15">
        <f t="shared" si="75"/>
        <v>0</v>
      </c>
      <c r="Q517" s="15" t="str">
        <f t="shared" si="81"/>
        <v>Canceled</v>
      </c>
      <c r="R517" s="18" t="s">
        <v>71</v>
      </c>
      <c r="S517" s="23">
        <v>43666</v>
      </c>
      <c r="T517" s="20">
        <f>IFERROR(VLOOKUP(S517,'Date Converter'!$A$4:$C$368,3,0),"")</f>
        <v>43697</v>
      </c>
      <c r="U517" s="21">
        <f t="shared" si="69"/>
        <v>43697</v>
      </c>
      <c r="V517" s="12"/>
      <c r="W517" s="18"/>
      <c r="X517" s="18"/>
      <c r="Y517" s="12"/>
      <c r="Z517" s="206"/>
      <c r="AA517" s="15"/>
      <c r="AB517" s="12"/>
      <c r="AC517" s="12"/>
      <c r="AD517" s="12"/>
      <c r="AE517" s="12"/>
      <c r="AF517" s="245"/>
      <c r="AG517" s="12"/>
      <c r="AH517" s="15">
        <f t="shared" si="78"/>
        <v>0</v>
      </c>
      <c r="AI517" s="22">
        <f t="shared" si="79"/>
        <v>0</v>
      </c>
      <c r="AJ517" s="22">
        <f t="shared" si="80"/>
        <v>0</v>
      </c>
    </row>
    <row r="518" spans="1:37" s="165" customFormat="1" hidden="1" outlineLevel="1">
      <c r="A518" s="165" t="s">
        <v>1618</v>
      </c>
      <c r="B518" s="13">
        <v>43620</v>
      </c>
      <c r="C518" s="13" t="s">
        <v>23</v>
      </c>
      <c r="D518" s="165" t="s">
        <v>1821</v>
      </c>
      <c r="E518" s="13" t="s">
        <v>1619</v>
      </c>
      <c r="F518" s="165" t="str">
        <f t="shared" si="76"/>
        <v>DALI_14.16_300_NL2018</v>
      </c>
      <c r="G518" s="13" t="s">
        <v>46</v>
      </c>
      <c r="H518" s="12"/>
      <c r="I518" s="12" t="s">
        <v>47</v>
      </c>
      <c r="J518" s="31" t="s">
        <v>124</v>
      </c>
      <c r="K518" s="15" t="s">
        <v>28</v>
      </c>
      <c r="L518" s="15"/>
      <c r="M518" s="16">
        <f t="shared" si="77"/>
        <v>1</v>
      </c>
      <c r="N518" s="15">
        <v>300</v>
      </c>
      <c r="O518" s="15">
        <v>5500</v>
      </c>
      <c r="P518" s="15">
        <f t="shared" si="75"/>
        <v>1650000</v>
      </c>
      <c r="Q518" s="15" t="str">
        <f t="shared" si="81"/>
        <v>Done</v>
      </c>
      <c r="R518" s="18" t="s">
        <v>44</v>
      </c>
      <c r="S518" s="23">
        <v>43572</v>
      </c>
      <c r="T518" s="20">
        <f>IFERROR(VLOOKUP(S518,'Date Converter'!$A$4:$C$368,3,0),"")</f>
        <v>43606</v>
      </c>
      <c r="U518" s="21">
        <f t="shared" si="69"/>
        <v>43606</v>
      </c>
      <c r="V518" s="12"/>
      <c r="W518" s="18"/>
      <c r="X518" s="18"/>
      <c r="Y518" s="12"/>
      <c r="Z518" s="206">
        <v>43620</v>
      </c>
      <c r="AA518" s="15">
        <v>300</v>
      </c>
      <c r="AB518" s="12"/>
      <c r="AC518" s="12"/>
      <c r="AD518" s="12"/>
      <c r="AE518" s="12"/>
      <c r="AF518" s="245"/>
      <c r="AG518" s="12"/>
      <c r="AH518" s="15">
        <f t="shared" si="78"/>
        <v>300</v>
      </c>
      <c r="AI518" s="22">
        <f t="shared" si="79"/>
        <v>0</v>
      </c>
      <c r="AJ518" s="22">
        <f t="shared" si="80"/>
        <v>0</v>
      </c>
    </row>
    <row r="519" spans="1:37" s="183" customFormat="1" hidden="1" outlineLevel="1">
      <c r="A519" s="165" t="s">
        <v>1820</v>
      </c>
      <c r="B519" s="13">
        <v>43617</v>
      </c>
      <c r="C519" s="13" t="s">
        <v>23</v>
      </c>
      <c r="D519" s="258" t="s">
        <v>1821</v>
      </c>
      <c r="E519" s="13" t="s">
        <v>1619</v>
      </c>
      <c r="F519" s="165" t="str">
        <f t="shared" si="76"/>
        <v>CONC_20.22_125_NL2018</v>
      </c>
      <c r="G519" s="165" t="s">
        <v>1509</v>
      </c>
      <c r="H519" s="12"/>
      <c r="I519" s="12" t="s">
        <v>74</v>
      </c>
      <c r="J519" s="31" t="s">
        <v>122</v>
      </c>
      <c r="K519" s="15" t="s">
        <v>28</v>
      </c>
      <c r="L519" s="15"/>
      <c r="M519" s="16">
        <f t="shared" si="77"/>
        <v>40</v>
      </c>
      <c r="N519" s="15">
        <v>5000</v>
      </c>
      <c r="O519" s="15">
        <v>12000</v>
      </c>
      <c r="P519" s="15">
        <f t="shared" si="75"/>
        <v>60000000</v>
      </c>
      <c r="Q519" s="15" t="str">
        <f t="shared" si="81"/>
        <v/>
      </c>
      <c r="R519" s="18" t="s">
        <v>29</v>
      </c>
      <c r="S519" s="23">
        <v>43709</v>
      </c>
      <c r="T519" s="20">
        <f>IFERROR(VLOOKUP(S519,'Date Converter'!$A$4:$C$368,3,0),"")</f>
        <v>43737</v>
      </c>
      <c r="U519" s="21">
        <f t="shared" si="69"/>
        <v>43737</v>
      </c>
      <c r="V519" s="12"/>
      <c r="W519" s="18"/>
      <c r="X519" s="18"/>
      <c r="Y519" s="12"/>
      <c r="Z519" s="206"/>
      <c r="AA519" s="15"/>
      <c r="AB519" s="12"/>
      <c r="AC519" s="12"/>
      <c r="AD519" s="12"/>
      <c r="AE519" s="12"/>
      <c r="AF519" s="245"/>
      <c r="AG519" s="12"/>
      <c r="AH519" s="15">
        <f t="shared" si="78"/>
        <v>0</v>
      </c>
      <c r="AI519" s="22">
        <f t="shared" si="79"/>
        <v>5000</v>
      </c>
      <c r="AJ519" s="22">
        <f t="shared" si="80"/>
        <v>60000000</v>
      </c>
      <c r="AK519" s="165"/>
    </row>
    <row r="520" spans="1:37" s="183" customFormat="1" hidden="1" outlineLevel="1">
      <c r="A520" s="165" t="s">
        <v>1618</v>
      </c>
      <c r="B520" s="13">
        <v>43617</v>
      </c>
      <c r="C520" s="13" t="s">
        <v>23</v>
      </c>
      <c r="D520" s="165" t="s">
        <v>1821</v>
      </c>
      <c r="E520" s="13" t="s">
        <v>1619</v>
      </c>
      <c r="F520" s="165" t="str">
        <f t="shared" si="76"/>
        <v>AMAT_14.16_300_NL2018</v>
      </c>
      <c r="G520" s="165" t="s">
        <v>112</v>
      </c>
      <c r="H520" s="12"/>
      <c r="I520" s="12" t="s">
        <v>47</v>
      </c>
      <c r="J520" s="31" t="s">
        <v>124</v>
      </c>
      <c r="K520" s="15" t="s">
        <v>28</v>
      </c>
      <c r="L520" s="15"/>
      <c r="M520" s="16">
        <f t="shared" si="77"/>
        <v>0</v>
      </c>
      <c r="N520" s="15">
        <f>10200-10200</f>
        <v>0</v>
      </c>
      <c r="O520" s="15">
        <v>4600</v>
      </c>
      <c r="P520" s="15">
        <f t="shared" si="75"/>
        <v>0</v>
      </c>
      <c r="Q520" s="15" t="str">
        <f t="shared" si="81"/>
        <v>Canceled</v>
      </c>
      <c r="R520" s="18" t="s">
        <v>71</v>
      </c>
      <c r="S520" s="23">
        <v>43666</v>
      </c>
      <c r="T520" s="20">
        <f>IFERROR(VLOOKUP(S520,'Date Converter'!$A$4:$C$368,3,0),"")</f>
        <v>43697</v>
      </c>
      <c r="U520" s="21">
        <f t="shared" si="69"/>
        <v>43697</v>
      </c>
      <c r="V520" s="12"/>
      <c r="W520" s="18"/>
      <c r="X520" s="18"/>
      <c r="Y520" s="12"/>
      <c r="Z520" s="206"/>
      <c r="AA520" s="15"/>
      <c r="AB520" s="12"/>
      <c r="AC520" s="12"/>
      <c r="AD520" s="12"/>
      <c r="AE520" s="12"/>
      <c r="AF520" s="245"/>
      <c r="AG520" s="12"/>
      <c r="AH520" s="15">
        <f t="shared" si="78"/>
        <v>0</v>
      </c>
      <c r="AI520" s="22">
        <f t="shared" si="79"/>
        <v>0</v>
      </c>
      <c r="AJ520" s="22">
        <f t="shared" si="80"/>
        <v>0</v>
      </c>
      <c r="AK520" s="165"/>
    </row>
    <row r="521" spans="1:37" s="183" customFormat="1" hidden="1" outlineLevel="1">
      <c r="A521" s="165" t="s">
        <v>305</v>
      </c>
      <c r="B521" s="13">
        <v>43533</v>
      </c>
      <c r="C521" s="13" t="s">
        <v>23</v>
      </c>
      <c r="D521" s="165" t="s">
        <v>147</v>
      </c>
      <c r="E521" s="119" t="s">
        <v>148</v>
      </c>
      <c r="F521" s="165" t="str">
        <f t="shared" si="76"/>
        <v>YELL_14.16_300_NL2018</v>
      </c>
      <c r="G521" s="13" t="s">
        <v>89</v>
      </c>
      <c r="H521" s="12"/>
      <c r="I521" s="12" t="s">
        <v>47</v>
      </c>
      <c r="J521" s="14">
        <v>300</v>
      </c>
      <c r="K521" s="15" t="s">
        <v>28</v>
      </c>
      <c r="L521" s="15"/>
      <c r="M521" s="16">
        <f t="shared" si="77"/>
        <v>17</v>
      </c>
      <c r="N521" s="15">
        <v>5100</v>
      </c>
      <c r="O521" s="15">
        <v>3800</v>
      </c>
      <c r="P521" s="15">
        <f t="shared" si="75"/>
        <v>19380000</v>
      </c>
      <c r="Q521" s="15" t="str">
        <f t="shared" si="81"/>
        <v>Done</v>
      </c>
      <c r="R521" s="18" t="s">
        <v>44</v>
      </c>
      <c r="S521" s="23">
        <v>43572</v>
      </c>
      <c r="T521" s="20">
        <f>IFERROR(VLOOKUP(S521,'Date Converter'!$A$4:$C$368,3,0),"")</f>
        <v>43606</v>
      </c>
      <c r="U521" s="21">
        <f t="shared" si="69"/>
        <v>43606</v>
      </c>
      <c r="V521" s="27" t="s">
        <v>36</v>
      </c>
      <c r="W521" s="18"/>
      <c r="X521" s="18"/>
      <c r="Y521" s="12"/>
      <c r="Z521" s="206">
        <v>43603</v>
      </c>
      <c r="AA521" s="15">
        <v>5100</v>
      </c>
      <c r="AB521" s="206"/>
      <c r="AC521" s="12"/>
      <c r="AD521" s="206"/>
      <c r="AE521" s="12"/>
      <c r="AF521" s="245"/>
      <c r="AG521" s="12"/>
      <c r="AH521" s="15">
        <f t="shared" si="78"/>
        <v>5100</v>
      </c>
      <c r="AI521" s="22">
        <f t="shared" si="79"/>
        <v>0</v>
      </c>
      <c r="AJ521" s="22">
        <f t="shared" si="80"/>
        <v>0</v>
      </c>
      <c r="AK521" s="165"/>
    </row>
    <row r="522" spans="1:37" s="183" customFormat="1" hidden="1" outlineLevel="1">
      <c r="A522" s="165" t="s">
        <v>305</v>
      </c>
      <c r="B522" s="13">
        <v>43598</v>
      </c>
      <c r="C522" s="13" t="s">
        <v>23</v>
      </c>
      <c r="D522" s="165" t="s">
        <v>147</v>
      </c>
      <c r="E522" s="119" t="s">
        <v>148</v>
      </c>
      <c r="F522" s="165" t="str">
        <f t="shared" si="76"/>
        <v>YELL_14.16_300_NL2018</v>
      </c>
      <c r="G522" s="13" t="s">
        <v>89</v>
      </c>
      <c r="H522" s="12"/>
      <c r="I522" s="12" t="s">
        <v>47</v>
      </c>
      <c r="J522" s="14">
        <v>300</v>
      </c>
      <c r="K522" s="15" t="s">
        <v>28</v>
      </c>
      <c r="L522" s="15"/>
      <c r="M522" s="16">
        <f t="shared" si="77"/>
        <v>0</v>
      </c>
      <c r="N522" s="15">
        <f>4800-4800</f>
        <v>0</v>
      </c>
      <c r="O522" s="15">
        <v>3900</v>
      </c>
      <c r="P522" s="15">
        <f t="shared" si="75"/>
        <v>0</v>
      </c>
      <c r="Q522" s="15" t="str">
        <f t="shared" si="81"/>
        <v>Canceled</v>
      </c>
      <c r="R522" s="18" t="s">
        <v>71</v>
      </c>
      <c r="S522" s="23">
        <v>43590</v>
      </c>
      <c r="T522" s="20">
        <f>IFERROR(VLOOKUP(S522,'Date Converter'!$A$4:$C$368,3,0),"")</f>
        <v>43623</v>
      </c>
      <c r="U522" s="21">
        <f t="shared" si="69"/>
        <v>43623</v>
      </c>
      <c r="V522" s="27"/>
      <c r="W522" s="18"/>
      <c r="X522" s="18"/>
      <c r="Y522" s="12"/>
      <c r="Z522" s="206"/>
      <c r="AA522" s="15"/>
      <c r="AB522" s="206"/>
      <c r="AC522" s="12"/>
      <c r="AD522" s="206"/>
      <c r="AE522" s="12"/>
      <c r="AF522" s="245"/>
      <c r="AG522" s="12"/>
      <c r="AH522" s="15">
        <f t="shared" si="78"/>
        <v>0</v>
      </c>
      <c r="AI522" s="22">
        <f t="shared" si="79"/>
        <v>0</v>
      </c>
      <c r="AJ522" s="22">
        <f t="shared" si="80"/>
        <v>0</v>
      </c>
      <c r="AK522" s="165"/>
    </row>
    <row r="523" spans="1:37" s="183" customFormat="1" hidden="1" outlineLevel="1">
      <c r="A523" s="165" t="s">
        <v>305</v>
      </c>
      <c r="B523" s="13">
        <v>43628</v>
      </c>
      <c r="C523" s="13" t="s">
        <v>23</v>
      </c>
      <c r="D523" s="165" t="s">
        <v>147</v>
      </c>
      <c r="E523" s="119" t="s">
        <v>148</v>
      </c>
      <c r="F523" s="165" t="str">
        <f t="shared" si="76"/>
        <v>TARR_14.16_300_NL2018</v>
      </c>
      <c r="G523" s="13" t="s">
        <v>62</v>
      </c>
      <c r="H523" s="12"/>
      <c r="I523" s="12" t="s">
        <v>47</v>
      </c>
      <c r="J523" s="14">
        <v>300</v>
      </c>
      <c r="K523" s="15" t="s">
        <v>28</v>
      </c>
      <c r="L523" s="15"/>
      <c r="M523" s="16">
        <f t="shared" si="77"/>
        <v>17</v>
      </c>
      <c r="N523" s="15">
        <v>5100</v>
      </c>
      <c r="O523" s="15">
        <v>4900</v>
      </c>
      <c r="P523" s="15">
        <f t="shared" si="75"/>
        <v>24990000</v>
      </c>
      <c r="Q523" s="15" t="str">
        <f t="shared" si="81"/>
        <v>Done</v>
      </c>
      <c r="R523" s="18" t="s">
        <v>44</v>
      </c>
      <c r="S523" s="23">
        <v>43572</v>
      </c>
      <c r="T523" s="20">
        <f>IFERROR(VLOOKUP(S523,'Date Converter'!$A$4:$C$368,3,0),"")</f>
        <v>43606</v>
      </c>
      <c r="U523" s="21">
        <f t="shared" si="69"/>
        <v>43606</v>
      </c>
      <c r="V523" s="27"/>
      <c r="W523" s="18"/>
      <c r="X523" s="18"/>
      <c r="Y523" s="12"/>
      <c r="Z523" s="206">
        <v>43638</v>
      </c>
      <c r="AA523" s="15">
        <v>5100</v>
      </c>
      <c r="AB523" s="206"/>
      <c r="AC523" s="12"/>
      <c r="AD523" s="206"/>
      <c r="AE523" s="12"/>
      <c r="AF523" s="245"/>
      <c r="AG523" s="12"/>
      <c r="AH523" s="15">
        <f t="shared" si="78"/>
        <v>5100</v>
      </c>
      <c r="AI523" s="22">
        <f t="shared" si="79"/>
        <v>0</v>
      </c>
      <c r="AJ523" s="22">
        <f t="shared" si="80"/>
        <v>0</v>
      </c>
      <c r="AK523" s="165"/>
    </row>
    <row r="524" spans="1:37" s="183" customFormat="1" hidden="1" outlineLevel="1">
      <c r="A524" s="165" t="s">
        <v>305</v>
      </c>
      <c r="B524" s="13">
        <v>43628</v>
      </c>
      <c r="C524" s="13" t="s">
        <v>23</v>
      </c>
      <c r="D524" s="165" t="s">
        <v>147</v>
      </c>
      <c r="E524" s="119" t="s">
        <v>148</v>
      </c>
      <c r="F524" s="165" t="str">
        <f t="shared" si="76"/>
        <v>TARR_14.16_300_NL2018</v>
      </c>
      <c r="G524" s="13" t="s">
        <v>62</v>
      </c>
      <c r="H524" s="12"/>
      <c r="I524" s="12" t="s">
        <v>47</v>
      </c>
      <c r="J524" s="14">
        <v>300</v>
      </c>
      <c r="K524" s="15" t="s">
        <v>28</v>
      </c>
      <c r="L524" s="15"/>
      <c r="M524" s="16">
        <f t="shared" si="77"/>
        <v>8</v>
      </c>
      <c r="N524" s="15">
        <v>2400</v>
      </c>
      <c r="O524" s="15">
        <v>5000</v>
      </c>
      <c r="P524" s="15">
        <f t="shared" si="75"/>
        <v>12000000</v>
      </c>
      <c r="Q524" s="15" t="str">
        <f t="shared" si="81"/>
        <v/>
      </c>
      <c r="R524" s="18" t="s">
        <v>31</v>
      </c>
      <c r="S524" s="23">
        <v>43631</v>
      </c>
      <c r="T524" s="20">
        <f>IFERROR(VLOOKUP(S524,'Date Converter'!$A$4:$C$368,3,0),"")</f>
        <v>43663</v>
      </c>
      <c r="U524" s="21">
        <f t="shared" si="69"/>
        <v>43663</v>
      </c>
      <c r="V524" s="27"/>
      <c r="W524" s="18"/>
      <c r="X524" s="18"/>
      <c r="Y524" s="12"/>
      <c r="Z524" s="206"/>
      <c r="AA524" s="15"/>
      <c r="AB524" s="206"/>
      <c r="AC524" s="12"/>
      <c r="AD524" s="206"/>
      <c r="AE524" s="12"/>
      <c r="AF524" s="245"/>
      <c r="AG524" s="12"/>
      <c r="AH524" s="15">
        <f t="shared" si="78"/>
        <v>0</v>
      </c>
      <c r="AI524" s="22">
        <f t="shared" si="79"/>
        <v>2400</v>
      </c>
      <c r="AJ524" s="22">
        <f t="shared" si="80"/>
        <v>12000000</v>
      </c>
      <c r="AK524" s="165"/>
    </row>
    <row r="525" spans="1:37" s="183" customFormat="1" hidden="1" outlineLevel="1">
      <c r="A525" s="165" t="s">
        <v>2385</v>
      </c>
      <c r="B525" s="13">
        <v>43533</v>
      </c>
      <c r="C525" s="266" t="s">
        <v>23</v>
      </c>
      <c r="D525" s="258" t="s">
        <v>147</v>
      </c>
      <c r="E525" s="249" t="s">
        <v>148</v>
      </c>
      <c r="F525" s="165" t="str">
        <f t="shared" si="76"/>
        <v>SEDO_20.22_125_NL2018</v>
      </c>
      <c r="G525" s="165" t="s">
        <v>1585</v>
      </c>
      <c r="H525" s="12"/>
      <c r="I525" s="12" t="s">
        <v>74</v>
      </c>
      <c r="J525" s="14">
        <v>125</v>
      </c>
      <c r="K525" s="15" t="s">
        <v>28</v>
      </c>
      <c r="L525" s="15"/>
      <c r="M525" s="16">
        <f t="shared" si="77"/>
        <v>24</v>
      </c>
      <c r="N525" s="15">
        <v>3000</v>
      </c>
      <c r="O525" s="15">
        <v>10900</v>
      </c>
      <c r="P525" s="15">
        <f t="shared" si="75"/>
        <v>32700000</v>
      </c>
      <c r="Q525" s="15" t="str">
        <f t="shared" si="81"/>
        <v/>
      </c>
      <c r="R525" s="18" t="s">
        <v>29</v>
      </c>
      <c r="S525" s="23">
        <v>43709</v>
      </c>
      <c r="T525" s="20">
        <f>IFERROR(VLOOKUP(S525,'Date Converter'!$A$4:$C$368,3,0),"")</f>
        <v>43737</v>
      </c>
      <c r="U525" s="21">
        <f t="shared" si="69"/>
        <v>43737</v>
      </c>
      <c r="V525" s="20" t="s">
        <v>51</v>
      </c>
      <c r="W525" s="18"/>
      <c r="X525" s="18"/>
      <c r="Y525" s="12"/>
      <c r="Z525" s="206"/>
      <c r="AA525" s="15">
        <v>0</v>
      </c>
      <c r="AB525" s="206"/>
      <c r="AC525" s="12"/>
      <c r="AD525" s="206"/>
      <c r="AE525" s="12"/>
      <c r="AF525" s="245"/>
      <c r="AG525" s="12"/>
      <c r="AH525" s="15">
        <f t="shared" si="78"/>
        <v>0</v>
      </c>
      <c r="AI525" s="22">
        <f t="shared" si="79"/>
        <v>3000</v>
      </c>
      <c r="AJ525" s="22">
        <f t="shared" si="80"/>
        <v>32700000</v>
      </c>
      <c r="AK525" s="165"/>
    </row>
    <row r="526" spans="1:37" s="183" customFormat="1" hidden="1" outlineLevel="1">
      <c r="A526" s="165" t="s">
        <v>2385</v>
      </c>
      <c r="B526" s="13">
        <v>43533</v>
      </c>
      <c r="C526" s="266" t="s">
        <v>23</v>
      </c>
      <c r="D526" s="258" t="s">
        <v>147</v>
      </c>
      <c r="E526" s="249" t="s">
        <v>148</v>
      </c>
      <c r="F526" s="165" t="str">
        <f t="shared" si="76"/>
        <v>ROBI_20.22_125_NL2018</v>
      </c>
      <c r="G526" s="165" t="s">
        <v>61</v>
      </c>
      <c r="H526" s="12"/>
      <c r="I526" s="12" t="s">
        <v>74</v>
      </c>
      <c r="J526" s="14">
        <v>125</v>
      </c>
      <c r="K526" s="15" t="s">
        <v>28</v>
      </c>
      <c r="L526" s="15"/>
      <c r="M526" s="16">
        <f t="shared" si="77"/>
        <v>16</v>
      </c>
      <c r="N526" s="15">
        <v>2000</v>
      </c>
      <c r="O526" s="15">
        <v>10500</v>
      </c>
      <c r="P526" s="15">
        <f t="shared" si="75"/>
        <v>21000000</v>
      </c>
      <c r="Q526" s="15" t="str">
        <f t="shared" si="81"/>
        <v/>
      </c>
      <c r="R526" s="18" t="s">
        <v>29</v>
      </c>
      <c r="S526" s="23">
        <v>43709</v>
      </c>
      <c r="T526" s="20">
        <f>IFERROR(VLOOKUP(S526,'Date Converter'!$A$4:$C$368,3,0),"")</f>
        <v>43737</v>
      </c>
      <c r="U526" s="21">
        <f t="shared" si="69"/>
        <v>43737</v>
      </c>
      <c r="V526" s="20" t="s">
        <v>51</v>
      </c>
      <c r="W526" s="18"/>
      <c r="X526" s="18"/>
      <c r="Y526" s="12"/>
      <c r="Z526" s="206"/>
      <c r="AA526" s="15">
        <v>0</v>
      </c>
      <c r="AB526" s="206"/>
      <c r="AC526" s="12"/>
      <c r="AD526" s="206"/>
      <c r="AE526" s="12"/>
      <c r="AF526" s="245"/>
      <c r="AG526" s="12"/>
      <c r="AH526" s="15">
        <f t="shared" si="78"/>
        <v>0</v>
      </c>
      <c r="AI526" s="22">
        <f t="shared" si="79"/>
        <v>2000</v>
      </c>
      <c r="AJ526" s="22">
        <f t="shared" si="80"/>
        <v>21000000</v>
      </c>
      <c r="AK526" s="165"/>
    </row>
    <row r="527" spans="1:37" s="183" customFormat="1" hidden="1" outlineLevel="1">
      <c r="A527" s="165" t="s">
        <v>305</v>
      </c>
      <c r="B527" s="13">
        <v>43628</v>
      </c>
      <c r="C527" s="13" t="s">
        <v>23</v>
      </c>
      <c r="D527" s="165" t="s">
        <v>147</v>
      </c>
      <c r="E527" s="119" t="s">
        <v>148</v>
      </c>
      <c r="F527" s="165" t="str">
        <f t="shared" si="76"/>
        <v>AMAT_14.16_300_NL2018</v>
      </c>
      <c r="G527" s="13" t="s">
        <v>112</v>
      </c>
      <c r="H527" s="12"/>
      <c r="I527" s="12" t="s">
        <v>47</v>
      </c>
      <c r="J527" s="14">
        <v>300</v>
      </c>
      <c r="K527" s="15" t="s">
        <v>28</v>
      </c>
      <c r="L527" s="15"/>
      <c r="M527" s="16">
        <f t="shared" si="77"/>
        <v>9</v>
      </c>
      <c r="N527" s="15">
        <v>2700</v>
      </c>
      <c r="O527" s="15">
        <v>4600</v>
      </c>
      <c r="P527" s="15">
        <f t="shared" si="75"/>
        <v>12420000</v>
      </c>
      <c r="Q527" s="15" t="str">
        <f t="shared" si="81"/>
        <v/>
      </c>
      <c r="R527" s="18" t="s">
        <v>31</v>
      </c>
      <c r="S527" s="23">
        <v>43631</v>
      </c>
      <c r="T527" s="20">
        <f>IFERROR(VLOOKUP(S527,'Date Converter'!$A$4:$C$368,3,0),"")</f>
        <v>43663</v>
      </c>
      <c r="U527" s="21">
        <f t="shared" si="69"/>
        <v>43663</v>
      </c>
      <c r="V527" s="27"/>
      <c r="W527" s="18"/>
      <c r="X527" s="18"/>
      <c r="Y527" s="12"/>
      <c r="Z527" s="206"/>
      <c r="AA527" s="15"/>
      <c r="AB527" s="206"/>
      <c r="AC527" s="12"/>
      <c r="AD527" s="206"/>
      <c r="AE527" s="12"/>
      <c r="AF527" s="245"/>
      <c r="AG527" s="12"/>
      <c r="AH527" s="15">
        <f t="shared" si="78"/>
        <v>0</v>
      </c>
      <c r="AI527" s="22">
        <f t="shared" si="79"/>
        <v>2700</v>
      </c>
      <c r="AJ527" s="22">
        <f t="shared" si="80"/>
        <v>12420000</v>
      </c>
      <c r="AK527" s="165"/>
    </row>
    <row r="528" spans="1:37" s="183" customFormat="1" hidden="1" outlineLevel="1">
      <c r="A528" s="165" t="s">
        <v>386</v>
      </c>
      <c r="B528" s="13">
        <v>43542</v>
      </c>
      <c r="C528" s="13" t="s">
        <v>23</v>
      </c>
      <c r="D528" s="258" t="s">
        <v>387</v>
      </c>
      <c r="E528" s="249" t="s">
        <v>388</v>
      </c>
      <c r="F528" s="165" t="str">
        <f t="shared" si="76"/>
        <v>ROBI_22.24_100_NL2018</v>
      </c>
      <c r="G528" s="13" t="s">
        <v>61</v>
      </c>
      <c r="H528" s="12"/>
      <c r="I528" s="12" t="s">
        <v>78</v>
      </c>
      <c r="J528" s="31" t="s">
        <v>206</v>
      </c>
      <c r="K528" s="15" t="s">
        <v>28</v>
      </c>
      <c r="L528" s="15"/>
      <c r="M528" s="16">
        <f t="shared" si="77"/>
        <v>120</v>
      </c>
      <c r="N528" s="15">
        <v>12000</v>
      </c>
      <c r="O528" s="15">
        <v>12500</v>
      </c>
      <c r="P528" s="15">
        <f t="shared" si="75"/>
        <v>150000000</v>
      </c>
      <c r="Q528" s="15" t="str">
        <f t="shared" si="81"/>
        <v/>
      </c>
      <c r="R528" s="18" t="s">
        <v>29</v>
      </c>
      <c r="S528" s="23">
        <v>43709</v>
      </c>
      <c r="T528" s="20">
        <f>IFERROR(VLOOKUP(S528,'Date Converter'!$A$4:$C$368,3,0),"")</f>
        <v>43737</v>
      </c>
      <c r="U528" s="21">
        <f t="shared" si="69"/>
        <v>43737</v>
      </c>
      <c r="V528" s="12"/>
      <c r="W528" s="18"/>
      <c r="X528" s="18"/>
      <c r="Y528" s="12"/>
      <c r="Z528" s="206"/>
      <c r="AA528" s="15"/>
      <c r="AB528" s="206"/>
      <c r="AC528" s="12"/>
      <c r="AD528" s="206"/>
      <c r="AE528" s="12"/>
      <c r="AF528" s="245"/>
      <c r="AG528" s="12"/>
      <c r="AH528" s="15">
        <f t="shared" si="78"/>
        <v>0</v>
      </c>
      <c r="AI528" s="22">
        <f t="shared" si="79"/>
        <v>12000</v>
      </c>
      <c r="AJ528" s="22">
        <f t="shared" si="80"/>
        <v>150000000</v>
      </c>
      <c r="AK528" s="165"/>
    </row>
    <row r="529" spans="1:37" s="183" customFormat="1" hidden="1" outlineLevel="1">
      <c r="A529" s="165" t="s">
        <v>386</v>
      </c>
      <c r="B529" s="13">
        <v>43554</v>
      </c>
      <c r="C529" s="13" t="s">
        <v>23</v>
      </c>
      <c r="D529" s="258" t="s">
        <v>387</v>
      </c>
      <c r="E529" s="249" t="s">
        <v>388</v>
      </c>
      <c r="F529" s="165" t="str">
        <f t="shared" si="76"/>
        <v>ROBI_20.22_125_NL2018</v>
      </c>
      <c r="G529" s="13" t="s">
        <v>61</v>
      </c>
      <c r="H529" s="12"/>
      <c r="I529" s="12" t="s">
        <v>74</v>
      </c>
      <c r="J529" s="31" t="s">
        <v>122</v>
      </c>
      <c r="K529" s="15" t="s">
        <v>28</v>
      </c>
      <c r="L529" s="15"/>
      <c r="M529" s="16">
        <f t="shared" si="77"/>
        <v>40</v>
      </c>
      <c r="N529" s="15">
        <v>5000</v>
      </c>
      <c r="O529" s="15">
        <v>10700</v>
      </c>
      <c r="P529" s="15">
        <f t="shared" si="75"/>
        <v>53500000</v>
      </c>
      <c r="Q529" s="15" t="str">
        <f t="shared" si="81"/>
        <v/>
      </c>
      <c r="R529" s="18" t="s">
        <v>29</v>
      </c>
      <c r="S529" s="23">
        <v>43709</v>
      </c>
      <c r="T529" s="20">
        <f>IFERROR(VLOOKUP(S529,'Date Converter'!$A$4:$C$368,3,0),"")</f>
        <v>43737</v>
      </c>
      <c r="U529" s="21">
        <f t="shared" si="69"/>
        <v>43737</v>
      </c>
      <c r="V529" s="12"/>
      <c r="W529" s="18"/>
      <c r="X529" s="18"/>
      <c r="Y529" s="12"/>
      <c r="Z529" s="206"/>
      <c r="AA529" s="15"/>
      <c r="AB529" s="206"/>
      <c r="AC529" s="12"/>
      <c r="AD529" s="206"/>
      <c r="AE529" s="12"/>
      <c r="AF529" s="245"/>
      <c r="AG529" s="12"/>
      <c r="AH529" s="15">
        <f t="shared" si="78"/>
        <v>0</v>
      </c>
      <c r="AI529" s="22">
        <f t="shared" si="79"/>
        <v>5000</v>
      </c>
      <c r="AJ529" s="22">
        <f t="shared" si="80"/>
        <v>53500000</v>
      </c>
      <c r="AK529" s="165"/>
    </row>
    <row r="530" spans="1:37" s="183" customFormat="1" hidden="1" outlineLevel="1">
      <c r="A530" s="165" t="s">
        <v>386</v>
      </c>
      <c r="B530" s="13">
        <v>43542</v>
      </c>
      <c r="C530" s="13" t="s">
        <v>23</v>
      </c>
      <c r="D530" s="258" t="s">
        <v>387</v>
      </c>
      <c r="E530" s="249" t="s">
        <v>388</v>
      </c>
      <c r="F530" s="165" t="str">
        <f t="shared" si="76"/>
        <v>NELL_18.20_150_NL2018</v>
      </c>
      <c r="G530" s="13" t="s">
        <v>131</v>
      </c>
      <c r="H530" s="12"/>
      <c r="I530" s="12" t="s">
        <v>27</v>
      </c>
      <c r="J530" s="31" t="s">
        <v>126</v>
      </c>
      <c r="K530" s="15" t="s">
        <v>28</v>
      </c>
      <c r="L530" s="15"/>
      <c r="M530" s="16">
        <f t="shared" si="77"/>
        <v>34</v>
      </c>
      <c r="N530" s="15">
        <v>5100</v>
      </c>
      <c r="O530" s="15">
        <v>7200</v>
      </c>
      <c r="P530" s="15">
        <f t="shared" si="75"/>
        <v>36720000</v>
      </c>
      <c r="Q530" s="15" t="str">
        <f t="shared" si="81"/>
        <v/>
      </c>
      <c r="R530" s="18" t="s">
        <v>29</v>
      </c>
      <c r="S530" s="23">
        <v>43709</v>
      </c>
      <c r="T530" s="20">
        <f>IFERROR(VLOOKUP(S530,'Date Converter'!$A$4:$C$368,3,0),"")</f>
        <v>43737</v>
      </c>
      <c r="U530" s="21">
        <f t="shared" si="69"/>
        <v>43737</v>
      </c>
      <c r="V530" s="12"/>
      <c r="W530" s="18"/>
      <c r="X530" s="18"/>
      <c r="Y530" s="12"/>
      <c r="Z530" s="206"/>
      <c r="AA530" s="15"/>
      <c r="AB530" s="206"/>
      <c r="AC530" s="12"/>
      <c r="AD530" s="206"/>
      <c r="AE530" s="12"/>
      <c r="AF530" s="245"/>
      <c r="AG530" s="12"/>
      <c r="AH530" s="15">
        <f t="shared" si="78"/>
        <v>0</v>
      </c>
      <c r="AI530" s="22">
        <f t="shared" si="79"/>
        <v>5100</v>
      </c>
      <c r="AJ530" s="22">
        <f t="shared" si="80"/>
        <v>36720000</v>
      </c>
      <c r="AK530" s="165"/>
    </row>
    <row r="531" spans="1:37" s="183" customFormat="1" hidden="1" outlineLevel="1">
      <c r="A531" s="165" t="s">
        <v>386</v>
      </c>
      <c r="B531" s="13">
        <v>43554</v>
      </c>
      <c r="C531" s="13" t="s">
        <v>23</v>
      </c>
      <c r="D531" s="258" t="s">
        <v>387</v>
      </c>
      <c r="E531" s="249" t="s">
        <v>388</v>
      </c>
      <c r="F531" s="165" t="str">
        <f t="shared" si="76"/>
        <v>CONC_20.22_125_NL2018</v>
      </c>
      <c r="G531" s="13" t="s">
        <v>40</v>
      </c>
      <c r="H531" s="12"/>
      <c r="I531" s="12" t="s">
        <v>74</v>
      </c>
      <c r="J531" s="31" t="s">
        <v>122</v>
      </c>
      <c r="K531" s="15" t="s">
        <v>28</v>
      </c>
      <c r="L531" s="15"/>
      <c r="M531" s="16">
        <f t="shared" si="77"/>
        <v>40</v>
      </c>
      <c r="N531" s="15">
        <v>5000</v>
      </c>
      <c r="O531" s="15">
        <v>10600</v>
      </c>
      <c r="P531" s="15">
        <f t="shared" si="75"/>
        <v>53000000</v>
      </c>
      <c r="Q531" s="15" t="str">
        <f t="shared" si="81"/>
        <v/>
      </c>
      <c r="R531" s="18" t="s">
        <v>29</v>
      </c>
      <c r="S531" s="23">
        <v>43709</v>
      </c>
      <c r="T531" s="20">
        <f>IFERROR(VLOOKUP(S531,'Date Converter'!$A$4:$C$368,3,0),"")</f>
        <v>43737</v>
      </c>
      <c r="U531" s="21">
        <f t="shared" si="69"/>
        <v>43737</v>
      </c>
      <c r="V531" s="12"/>
      <c r="W531" s="18"/>
      <c r="X531" s="18"/>
      <c r="Y531" s="12"/>
      <c r="Z531" s="206"/>
      <c r="AA531" s="15"/>
      <c r="AB531" s="206"/>
      <c r="AC531" s="12"/>
      <c r="AD531" s="206"/>
      <c r="AE531" s="12"/>
      <c r="AF531" s="245"/>
      <c r="AG531" s="12"/>
      <c r="AH531" s="15">
        <f t="shared" si="78"/>
        <v>0</v>
      </c>
      <c r="AI531" s="22">
        <f t="shared" si="79"/>
        <v>5000</v>
      </c>
      <c r="AJ531" s="22">
        <f t="shared" si="80"/>
        <v>53000000</v>
      </c>
      <c r="AK531" s="165"/>
    </row>
    <row r="532" spans="1:37" s="183" customFormat="1" hidden="1" outlineLevel="1">
      <c r="A532" s="165" t="s">
        <v>386</v>
      </c>
      <c r="B532" s="13">
        <v>43542</v>
      </c>
      <c r="C532" s="13" t="s">
        <v>23</v>
      </c>
      <c r="D532" s="258" t="s">
        <v>387</v>
      </c>
      <c r="E532" s="249" t="s">
        <v>388</v>
      </c>
      <c r="F532" s="165" t="str">
        <f t="shared" si="76"/>
        <v>CONC_20.22_125_NL2018</v>
      </c>
      <c r="G532" s="13" t="s">
        <v>40</v>
      </c>
      <c r="H532" s="12"/>
      <c r="I532" s="12" t="s">
        <v>74</v>
      </c>
      <c r="J532" s="31" t="s">
        <v>122</v>
      </c>
      <c r="K532" s="15" t="s">
        <v>28</v>
      </c>
      <c r="L532" s="15"/>
      <c r="M532" s="16">
        <f t="shared" si="77"/>
        <v>64</v>
      </c>
      <c r="N532" s="15">
        <f>8000</f>
        <v>8000</v>
      </c>
      <c r="O532" s="15">
        <v>10500</v>
      </c>
      <c r="P532" s="15">
        <f t="shared" si="75"/>
        <v>84000000</v>
      </c>
      <c r="Q532" s="15" t="str">
        <f t="shared" si="81"/>
        <v/>
      </c>
      <c r="R532" s="18" t="s">
        <v>29</v>
      </c>
      <c r="S532" s="23">
        <v>43709</v>
      </c>
      <c r="T532" s="20">
        <f>IFERROR(VLOOKUP(S532,'Date Converter'!$A$4:$C$368,3,0),"")</f>
        <v>43737</v>
      </c>
      <c r="U532" s="21">
        <f t="shared" si="69"/>
        <v>43737</v>
      </c>
      <c r="V532" s="12"/>
      <c r="W532" s="18"/>
      <c r="X532" s="18"/>
      <c r="Y532" s="12"/>
      <c r="Z532" s="206"/>
      <c r="AA532" s="15"/>
      <c r="AB532" s="206"/>
      <c r="AC532" s="12"/>
      <c r="AD532" s="206"/>
      <c r="AE532" s="12"/>
      <c r="AF532" s="245"/>
      <c r="AG532" s="12"/>
      <c r="AH532" s="15">
        <f t="shared" si="78"/>
        <v>0</v>
      </c>
      <c r="AI532" s="22">
        <f t="shared" si="79"/>
        <v>8000</v>
      </c>
      <c r="AJ532" s="22">
        <f t="shared" si="80"/>
        <v>84000000</v>
      </c>
      <c r="AK532" s="165"/>
    </row>
    <row r="533" spans="1:37" s="183" customFormat="1" hidden="1" outlineLevel="1">
      <c r="A533" s="165" t="s">
        <v>1670</v>
      </c>
      <c r="B533" s="13">
        <v>43606</v>
      </c>
      <c r="C533" s="13" t="s">
        <v>1622</v>
      </c>
      <c r="D533" s="165" t="s">
        <v>1166</v>
      </c>
      <c r="E533" s="13" t="s">
        <v>1167</v>
      </c>
      <c r="F533" s="165" t="str">
        <f t="shared" si="76"/>
        <v>ROBI_20.22_125_NL2018</v>
      </c>
      <c r="G533" s="13" t="s">
        <v>61</v>
      </c>
      <c r="H533" s="12"/>
      <c r="I533" s="12" t="s">
        <v>74</v>
      </c>
      <c r="J533" s="31" t="s">
        <v>122</v>
      </c>
      <c r="K533" s="15" t="s">
        <v>28</v>
      </c>
      <c r="L533" s="15"/>
      <c r="M533" s="33">
        <f t="shared" si="77"/>
        <v>0</v>
      </c>
      <c r="N533" s="15">
        <f>20000-20000</f>
        <v>0</v>
      </c>
      <c r="O533" s="15">
        <v>10700</v>
      </c>
      <c r="P533" s="15">
        <f t="shared" si="75"/>
        <v>0</v>
      </c>
      <c r="Q533" s="15" t="str">
        <f t="shared" si="81"/>
        <v>Canceled</v>
      </c>
      <c r="R533" s="18" t="s">
        <v>71</v>
      </c>
      <c r="S533" s="13">
        <v>43709</v>
      </c>
      <c r="T533" s="20">
        <f>IFERROR(VLOOKUP(S533,'Date Converter'!$A$4:$C$368,3,0),"")</f>
        <v>43737</v>
      </c>
      <c r="U533" s="21">
        <f t="shared" si="69"/>
        <v>43737</v>
      </c>
      <c r="V533" s="12"/>
      <c r="W533" s="18"/>
      <c r="X533" s="18"/>
      <c r="Y533" s="18"/>
      <c r="Z533" s="206"/>
      <c r="AA533" s="15"/>
      <c r="AB533" s="206"/>
      <c r="AC533" s="12"/>
      <c r="AD533" s="12"/>
      <c r="AE533" s="12"/>
      <c r="AF533" s="245"/>
      <c r="AG533" s="12"/>
      <c r="AH533" s="15">
        <f t="shared" si="78"/>
        <v>0</v>
      </c>
      <c r="AI533" s="22">
        <f t="shared" si="79"/>
        <v>0</v>
      </c>
      <c r="AJ533" s="22">
        <f t="shared" si="80"/>
        <v>0</v>
      </c>
      <c r="AK533" s="165"/>
    </row>
    <row r="534" spans="1:37" s="183" customFormat="1" hidden="1" outlineLevel="1">
      <c r="A534" s="165" t="s">
        <v>1670</v>
      </c>
      <c r="B534" s="13">
        <v>43606</v>
      </c>
      <c r="C534" s="13" t="s">
        <v>1622</v>
      </c>
      <c r="D534" s="258" t="s">
        <v>1166</v>
      </c>
      <c r="E534" s="249" t="s">
        <v>1167</v>
      </c>
      <c r="F534" s="165" t="str">
        <f t="shared" si="76"/>
        <v>INDI_18.20_150_NL2018</v>
      </c>
      <c r="G534" s="13" t="s">
        <v>154</v>
      </c>
      <c r="H534" s="12"/>
      <c r="I534" s="12" t="s">
        <v>27</v>
      </c>
      <c r="J534" s="31" t="s">
        <v>126</v>
      </c>
      <c r="K534" s="15" t="s">
        <v>28</v>
      </c>
      <c r="L534" s="15"/>
      <c r="M534" s="33">
        <f t="shared" si="77"/>
        <v>134</v>
      </c>
      <c r="N534" s="15">
        <v>20100</v>
      </c>
      <c r="O534" s="15">
        <v>10100</v>
      </c>
      <c r="P534" s="15">
        <f t="shared" si="75"/>
        <v>203010000</v>
      </c>
      <c r="Q534" s="15" t="str">
        <f t="shared" si="81"/>
        <v/>
      </c>
      <c r="R534" s="18" t="s">
        <v>29</v>
      </c>
      <c r="S534" s="13">
        <v>43709</v>
      </c>
      <c r="T534" s="20">
        <f>IFERROR(VLOOKUP(S534,'Date Converter'!$A$4:$C$368,3,0),"")</f>
        <v>43737</v>
      </c>
      <c r="U534" s="21">
        <f t="shared" si="69"/>
        <v>43737</v>
      </c>
      <c r="V534" s="12"/>
      <c r="W534" s="18"/>
      <c r="X534" s="18"/>
      <c r="Y534" s="18"/>
      <c r="Z534" s="206"/>
      <c r="AA534" s="15"/>
      <c r="AB534" s="206"/>
      <c r="AC534" s="12"/>
      <c r="AD534" s="12"/>
      <c r="AE534" s="12"/>
      <c r="AF534" s="245"/>
      <c r="AG534" s="12"/>
      <c r="AH534" s="15">
        <f t="shared" si="78"/>
        <v>0</v>
      </c>
      <c r="AI534" s="22">
        <f t="shared" si="79"/>
        <v>20100</v>
      </c>
      <c r="AJ534" s="22">
        <f t="shared" si="80"/>
        <v>203010000</v>
      </c>
      <c r="AK534" s="165"/>
    </row>
    <row r="535" spans="1:37" s="183" customFormat="1" hidden="1" outlineLevel="1">
      <c r="A535" s="165" t="s">
        <v>1670</v>
      </c>
      <c r="B535" s="13">
        <v>43606</v>
      </c>
      <c r="C535" s="13" t="s">
        <v>1622</v>
      </c>
      <c r="D535" s="258" t="s">
        <v>1166</v>
      </c>
      <c r="E535" s="249" t="s">
        <v>1167</v>
      </c>
      <c r="F535" s="165" t="str">
        <f t="shared" si="76"/>
        <v>CONC_20.22_125_NL2018</v>
      </c>
      <c r="G535" s="13" t="s">
        <v>40</v>
      </c>
      <c r="H535" s="12"/>
      <c r="I535" s="12" t="s">
        <v>74</v>
      </c>
      <c r="J535" s="31" t="s">
        <v>122</v>
      </c>
      <c r="K535" s="15" t="s">
        <v>28</v>
      </c>
      <c r="L535" s="15"/>
      <c r="M535" s="33">
        <f t="shared" si="77"/>
        <v>160</v>
      </c>
      <c r="N535" s="15">
        <v>20000</v>
      </c>
      <c r="O535" s="15">
        <v>10600</v>
      </c>
      <c r="P535" s="15">
        <f t="shared" si="75"/>
        <v>212000000</v>
      </c>
      <c r="Q535" s="15" t="str">
        <f t="shared" si="81"/>
        <v/>
      </c>
      <c r="R535" s="18" t="s">
        <v>29</v>
      </c>
      <c r="S535" s="13">
        <v>43709</v>
      </c>
      <c r="T535" s="20">
        <f>IFERROR(VLOOKUP(S535,'Date Converter'!$A$4:$C$368,3,0),"")</f>
        <v>43737</v>
      </c>
      <c r="U535" s="21">
        <f t="shared" si="69"/>
        <v>43737</v>
      </c>
      <c r="V535" s="12"/>
      <c r="W535" s="18"/>
      <c r="X535" s="18"/>
      <c r="Y535" s="18"/>
      <c r="Z535" s="206"/>
      <c r="AA535" s="15"/>
      <c r="AB535" s="206"/>
      <c r="AC535" s="12"/>
      <c r="AD535" s="12"/>
      <c r="AE535" s="12"/>
      <c r="AF535" s="245"/>
      <c r="AG535" s="12"/>
      <c r="AH535" s="15">
        <f t="shared" si="78"/>
        <v>0</v>
      </c>
      <c r="AI535" s="22">
        <f t="shared" si="79"/>
        <v>20000</v>
      </c>
      <c r="AJ535" s="22">
        <f t="shared" si="80"/>
        <v>212000000</v>
      </c>
      <c r="AK535" s="165"/>
    </row>
    <row r="536" spans="1:37" s="183" customFormat="1" outlineLevel="1">
      <c r="A536" s="165" t="s">
        <v>496</v>
      </c>
      <c r="B536" s="13">
        <v>43553</v>
      </c>
      <c r="C536" s="13" t="s">
        <v>23</v>
      </c>
      <c r="D536" s="165" t="s">
        <v>252</v>
      </c>
      <c r="E536" s="198" t="s">
        <v>253</v>
      </c>
      <c r="F536" s="165" t="str">
        <f t="shared" si="76"/>
        <v>YELL_12.14_400_NL2018</v>
      </c>
      <c r="G536" s="165" t="s">
        <v>89</v>
      </c>
      <c r="H536" s="12"/>
      <c r="I536" s="12" t="s">
        <v>113</v>
      </c>
      <c r="J536" s="14">
        <v>400</v>
      </c>
      <c r="K536" s="15" t="s">
        <v>28</v>
      </c>
      <c r="L536" s="15"/>
      <c r="M536" s="16">
        <f t="shared" si="77"/>
        <v>22</v>
      </c>
      <c r="N536" s="15">
        <v>8800</v>
      </c>
      <c r="O536" s="15">
        <v>2700</v>
      </c>
      <c r="P536" s="15">
        <f t="shared" si="75"/>
        <v>23760000</v>
      </c>
      <c r="Q536" s="15" t="str">
        <f t="shared" si="81"/>
        <v>Done</v>
      </c>
      <c r="R536" s="18" t="s">
        <v>44</v>
      </c>
      <c r="S536" s="19">
        <v>43539</v>
      </c>
      <c r="T536" s="20">
        <f>IFERROR(VLOOKUP(S536,'Date Converter'!$A$4:$C$368,3,0),"")</f>
        <v>43574</v>
      </c>
      <c r="U536" s="21">
        <f t="shared" ref="U536:U598" si="82">+T536</f>
        <v>43574</v>
      </c>
      <c r="V536" s="20" t="s">
        <v>499</v>
      </c>
      <c r="W536" s="18"/>
      <c r="X536" s="18"/>
      <c r="Y536" s="15"/>
      <c r="Z536" s="206">
        <v>43581</v>
      </c>
      <c r="AA536" s="15">
        <v>4000</v>
      </c>
      <c r="AB536" s="206">
        <v>43587</v>
      </c>
      <c r="AC536" s="15">
        <v>1200</v>
      </c>
      <c r="AD536" s="206">
        <v>43612</v>
      </c>
      <c r="AE536" s="15">
        <v>3600</v>
      </c>
      <c r="AF536" s="244"/>
      <c r="AG536" s="15"/>
      <c r="AH536" s="15">
        <f t="shared" si="78"/>
        <v>8800</v>
      </c>
      <c r="AI536" s="22">
        <f t="shared" si="79"/>
        <v>0</v>
      </c>
      <c r="AJ536" s="22">
        <f t="shared" si="80"/>
        <v>0</v>
      </c>
      <c r="AK536" s="165"/>
    </row>
    <row r="537" spans="1:37" outlineLevel="1">
      <c r="A537" s="165" t="s">
        <v>339</v>
      </c>
      <c r="B537" s="13">
        <v>43480</v>
      </c>
      <c r="C537" s="13" t="s">
        <v>23</v>
      </c>
      <c r="D537" s="165" t="s">
        <v>252</v>
      </c>
      <c r="E537" s="198" t="s">
        <v>253</v>
      </c>
      <c r="F537" s="165" t="str">
        <f t="shared" si="76"/>
        <v>YELL_12.14_400_NL2018</v>
      </c>
      <c r="G537" s="165" t="s">
        <v>89</v>
      </c>
      <c r="I537" s="12" t="s">
        <v>113</v>
      </c>
      <c r="J537" s="14">
        <v>400</v>
      </c>
      <c r="K537" s="15" t="s">
        <v>28</v>
      </c>
      <c r="M537" s="16">
        <f t="shared" si="77"/>
        <v>25</v>
      </c>
      <c r="N537" s="15">
        <v>10000</v>
      </c>
      <c r="O537" s="15">
        <v>2600</v>
      </c>
      <c r="P537" s="15">
        <f t="shared" si="75"/>
        <v>26000000</v>
      </c>
      <c r="Q537" s="15" t="str">
        <f t="shared" si="81"/>
        <v>Done</v>
      </c>
      <c r="R537" s="18" t="s">
        <v>44</v>
      </c>
      <c r="S537" s="19" t="s">
        <v>151</v>
      </c>
      <c r="T537" s="20">
        <f>IFERROR(VLOOKUP(S537,'Date Converter'!$A$4:$C$368,3,0),"")</f>
        <v>43558</v>
      </c>
      <c r="U537" s="21">
        <f t="shared" si="82"/>
        <v>43558</v>
      </c>
      <c r="V537" s="20"/>
      <c r="W537" s="18" t="s">
        <v>72</v>
      </c>
      <c r="X537" s="18">
        <v>43555</v>
      </c>
      <c r="Y537" s="15" t="s">
        <v>59</v>
      </c>
      <c r="Z537" s="206">
        <v>43568</v>
      </c>
      <c r="AA537" s="15">
        <v>3200</v>
      </c>
      <c r="AB537" s="206">
        <v>43594</v>
      </c>
      <c r="AC537" s="15">
        <v>6800</v>
      </c>
      <c r="AD537" s="206"/>
      <c r="AE537" s="15"/>
      <c r="AF537" s="244"/>
      <c r="AG537" s="15"/>
      <c r="AH537" s="15">
        <f t="shared" si="78"/>
        <v>10000</v>
      </c>
      <c r="AI537" s="22">
        <f t="shared" si="79"/>
        <v>0</v>
      </c>
      <c r="AJ537" s="22">
        <f t="shared" si="80"/>
        <v>0</v>
      </c>
      <c r="AK537" s="165"/>
    </row>
    <row r="538" spans="1:37" outlineLevel="1">
      <c r="A538" s="165" t="s">
        <v>496</v>
      </c>
      <c r="B538" s="13">
        <v>43553</v>
      </c>
      <c r="C538" s="13" t="s">
        <v>23</v>
      </c>
      <c r="D538" s="165" t="s">
        <v>252</v>
      </c>
      <c r="E538" s="198" t="s">
        <v>253</v>
      </c>
      <c r="F538" s="165" t="str">
        <f t="shared" si="76"/>
        <v>TARR_14.16_300_NL2018</v>
      </c>
      <c r="G538" s="165" t="s">
        <v>62</v>
      </c>
      <c r="I538" s="12" t="s">
        <v>47</v>
      </c>
      <c r="J538" s="14">
        <v>300</v>
      </c>
      <c r="K538" s="15" t="s">
        <v>28</v>
      </c>
      <c r="M538" s="16">
        <f t="shared" si="77"/>
        <v>15</v>
      </c>
      <c r="N538" s="15">
        <f>9000-6000+1500</f>
        <v>4500</v>
      </c>
      <c r="O538" s="15">
        <v>4800</v>
      </c>
      <c r="P538" s="15">
        <f t="shared" si="75"/>
        <v>21600000</v>
      </c>
      <c r="Q538" s="15" t="str">
        <f t="shared" si="81"/>
        <v/>
      </c>
      <c r="R538" s="18" t="s">
        <v>44</v>
      </c>
      <c r="S538" s="23">
        <v>43572</v>
      </c>
      <c r="T538" s="20">
        <f>IFERROR(VLOOKUP(S538,'Date Converter'!$A$4:$C$368,3,0),"")</f>
        <v>43606</v>
      </c>
      <c r="U538" s="21">
        <f t="shared" si="82"/>
        <v>43606</v>
      </c>
      <c r="V538" s="20" t="s">
        <v>498</v>
      </c>
      <c r="Y538" s="15"/>
      <c r="Z538" s="206">
        <v>43620</v>
      </c>
      <c r="AA538" s="15">
        <v>3000</v>
      </c>
      <c r="AB538" s="206"/>
      <c r="AC538" s="15"/>
      <c r="AD538" s="206"/>
      <c r="AE538" s="15"/>
      <c r="AF538" s="244"/>
      <c r="AG538" s="15"/>
      <c r="AH538" s="15">
        <f t="shared" si="78"/>
        <v>3000</v>
      </c>
      <c r="AI538" s="22">
        <f t="shared" si="79"/>
        <v>1500</v>
      </c>
      <c r="AJ538" s="22">
        <f t="shared" si="80"/>
        <v>7200000</v>
      </c>
      <c r="AK538" s="165"/>
    </row>
    <row r="539" spans="1:37" outlineLevel="1">
      <c r="A539" s="165" t="s">
        <v>496</v>
      </c>
      <c r="B539" s="13">
        <v>43553</v>
      </c>
      <c r="C539" s="13" t="s">
        <v>23</v>
      </c>
      <c r="D539" s="165" t="s">
        <v>252</v>
      </c>
      <c r="E539" s="198" t="s">
        <v>253</v>
      </c>
      <c r="F539" s="165" t="str">
        <f t="shared" si="76"/>
        <v>TARR_14.16_300_NL2018</v>
      </c>
      <c r="G539" s="165" t="s">
        <v>62</v>
      </c>
      <c r="I539" s="12" t="s">
        <v>47</v>
      </c>
      <c r="J539" s="14">
        <v>300</v>
      </c>
      <c r="K539" s="15" t="s">
        <v>28</v>
      </c>
      <c r="M539" s="16">
        <f t="shared" si="77"/>
        <v>29</v>
      </c>
      <c r="N539" s="15">
        <f>4500+6000-1500-300</f>
        <v>8700</v>
      </c>
      <c r="O539" s="15">
        <v>4800</v>
      </c>
      <c r="P539" s="15">
        <f t="shared" si="75"/>
        <v>41760000</v>
      </c>
      <c r="Q539" s="15" t="str">
        <f t="shared" si="81"/>
        <v/>
      </c>
      <c r="R539" s="18" t="s">
        <v>63</v>
      </c>
      <c r="S539" s="23">
        <v>43590</v>
      </c>
      <c r="T539" s="20">
        <f>IFERROR(VLOOKUP(S539,'Date Converter'!$A$4:$C$368,3,0),"")</f>
        <v>43623</v>
      </c>
      <c r="U539" s="21">
        <f t="shared" si="82"/>
        <v>43623</v>
      </c>
      <c r="V539" s="20"/>
      <c r="Y539" s="15"/>
      <c r="AA539" s="15"/>
      <c r="AB539" s="206">
        <v>43636</v>
      </c>
      <c r="AC539" s="15">
        <v>4200</v>
      </c>
      <c r="AD539" s="206"/>
      <c r="AE539" s="15"/>
      <c r="AF539" s="244"/>
      <c r="AG539" s="15"/>
      <c r="AH539" s="15">
        <f t="shared" si="78"/>
        <v>4200</v>
      </c>
      <c r="AI539" s="22">
        <f t="shared" si="79"/>
        <v>4500</v>
      </c>
      <c r="AJ539" s="22">
        <f t="shared" si="80"/>
        <v>21600000</v>
      </c>
      <c r="AK539" s="165"/>
    </row>
    <row r="540" spans="1:37" outlineLevel="1">
      <c r="A540" s="165" t="s">
        <v>496</v>
      </c>
      <c r="B540" s="13">
        <v>43553</v>
      </c>
      <c r="C540" s="13" t="s">
        <v>23</v>
      </c>
      <c r="D540" s="165" t="s">
        <v>252</v>
      </c>
      <c r="E540" s="198" t="s">
        <v>253</v>
      </c>
      <c r="F540" s="165" t="str">
        <f t="shared" si="76"/>
        <v>TARR_14.16_300_NL2018</v>
      </c>
      <c r="G540" s="165" t="s">
        <v>62</v>
      </c>
      <c r="I540" s="12" t="s">
        <v>47</v>
      </c>
      <c r="J540" s="14">
        <v>300</v>
      </c>
      <c r="K540" s="15" t="s">
        <v>28</v>
      </c>
      <c r="M540" s="16">
        <f t="shared" si="77"/>
        <v>15</v>
      </c>
      <c r="N540" s="15">
        <v>4500</v>
      </c>
      <c r="O540" s="15">
        <v>4800</v>
      </c>
      <c r="P540" s="15">
        <f t="shared" si="75"/>
        <v>21600000</v>
      </c>
      <c r="Q540" s="15" t="str">
        <f t="shared" si="81"/>
        <v/>
      </c>
      <c r="R540" s="18" t="s">
        <v>63</v>
      </c>
      <c r="S540" s="23">
        <v>43603</v>
      </c>
      <c r="T540" s="20">
        <f>IFERROR(VLOOKUP(S540,'Date Converter'!$A$4:$C$368,3,0),"")</f>
        <v>43636</v>
      </c>
      <c r="U540" s="21">
        <f t="shared" si="82"/>
        <v>43636</v>
      </c>
      <c r="V540" s="20"/>
      <c r="Y540" s="15"/>
      <c r="AA540" s="15"/>
      <c r="AB540" s="206"/>
      <c r="AC540" s="15"/>
      <c r="AD540" s="206"/>
      <c r="AE540" s="15"/>
      <c r="AF540" s="244"/>
      <c r="AG540" s="15"/>
      <c r="AH540" s="15">
        <f t="shared" si="78"/>
        <v>0</v>
      </c>
      <c r="AI540" s="22">
        <f t="shared" si="79"/>
        <v>4500</v>
      </c>
      <c r="AJ540" s="22">
        <f t="shared" si="80"/>
        <v>21600000</v>
      </c>
      <c r="AK540" s="165"/>
    </row>
    <row r="541" spans="1:37" outlineLevel="1">
      <c r="A541" t="s">
        <v>496</v>
      </c>
      <c r="B541" s="13">
        <v>43553</v>
      </c>
      <c r="C541" s="13" t="s">
        <v>23</v>
      </c>
      <c r="D541" t="s">
        <v>252</v>
      </c>
      <c r="E541" s="198" t="s">
        <v>253</v>
      </c>
      <c r="F541" t="str">
        <f t="shared" si="76"/>
        <v>TARR_14.16_300_NL2018</v>
      </c>
      <c r="G541" s="165" t="s">
        <v>62</v>
      </c>
      <c r="I541" s="12" t="s">
        <v>47</v>
      </c>
      <c r="J541" s="14">
        <v>300</v>
      </c>
      <c r="K541" s="15" t="s">
        <v>28</v>
      </c>
      <c r="M541" s="16">
        <f t="shared" si="77"/>
        <v>8</v>
      </c>
      <c r="N541" s="15">
        <f>4500-2100</f>
        <v>2400</v>
      </c>
      <c r="O541" s="15">
        <v>4800</v>
      </c>
      <c r="P541" s="15">
        <f t="shared" si="75"/>
        <v>11520000</v>
      </c>
      <c r="Q541" s="15" t="str">
        <f t="shared" si="81"/>
        <v/>
      </c>
      <c r="R541" s="18" t="s">
        <v>31</v>
      </c>
      <c r="S541" s="19">
        <v>43615</v>
      </c>
      <c r="T541" s="20">
        <f>IFERROR(VLOOKUP(S541,'Date Converter'!$A$4:$C$368,3,0),"")</f>
        <v>43648</v>
      </c>
      <c r="U541" s="21">
        <f t="shared" si="82"/>
        <v>43648</v>
      </c>
      <c r="V541" s="20" t="s">
        <v>165</v>
      </c>
      <c r="Y541" s="15"/>
      <c r="AA541" s="15"/>
      <c r="AB541" s="206"/>
      <c r="AC541" s="15"/>
      <c r="AD541" s="206"/>
      <c r="AE541" s="15"/>
      <c r="AF541" s="244"/>
      <c r="AG541" s="15"/>
      <c r="AH541" s="15">
        <f t="shared" si="78"/>
        <v>0</v>
      </c>
      <c r="AI541" s="22">
        <f t="shared" si="79"/>
        <v>2400</v>
      </c>
      <c r="AJ541" s="22">
        <f t="shared" si="80"/>
        <v>11520000</v>
      </c>
      <c r="AK541" s="165"/>
    </row>
    <row r="542" spans="1:37" outlineLevel="1">
      <c r="A542" t="s">
        <v>339</v>
      </c>
      <c r="B542" s="13">
        <v>43480</v>
      </c>
      <c r="C542" s="13" t="s">
        <v>23</v>
      </c>
      <c r="D542" t="s">
        <v>252</v>
      </c>
      <c r="E542" s="165" t="s">
        <v>253</v>
      </c>
      <c r="F542" t="str">
        <f t="shared" si="76"/>
        <v>SERA_14.16_300_NL2018</v>
      </c>
      <c r="G542" s="165" t="s">
        <v>227</v>
      </c>
      <c r="I542" s="12" t="s">
        <v>47</v>
      </c>
      <c r="J542" s="14">
        <v>300</v>
      </c>
      <c r="K542" s="15" t="s">
        <v>28</v>
      </c>
      <c r="M542" s="16">
        <f t="shared" si="77"/>
        <v>10</v>
      </c>
      <c r="N542" s="15">
        <v>3000</v>
      </c>
      <c r="O542" s="15">
        <v>3500</v>
      </c>
      <c r="P542" s="15">
        <f t="shared" si="75"/>
        <v>10500000</v>
      </c>
      <c r="Q542" s="15" t="str">
        <f t="shared" si="81"/>
        <v>Done</v>
      </c>
      <c r="R542" s="18" t="s">
        <v>44</v>
      </c>
      <c r="S542" s="19" t="s">
        <v>151</v>
      </c>
      <c r="T542" s="20">
        <f>IFERROR(VLOOKUP(S542,'Date Converter'!$A$4:$C$368,3,0),"")</f>
        <v>43558</v>
      </c>
      <c r="U542" s="21">
        <f t="shared" si="82"/>
        <v>43558</v>
      </c>
      <c r="V542" s="20"/>
      <c r="W542" s="18" t="s">
        <v>55</v>
      </c>
      <c r="X542" s="18">
        <v>43555</v>
      </c>
      <c r="Y542" s="15" t="s">
        <v>59</v>
      </c>
      <c r="Z542" s="206">
        <v>43575</v>
      </c>
      <c r="AA542" s="15">
        <v>3000</v>
      </c>
      <c r="AB542" s="206"/>
      <c r="AC542" s="15"/>
      <c r="AD542" s="206"/>
      <c r="AE542" s="15"/>
      <c r="AF542" s="244"/>
      <c r="AG542" s="15"/>
      <c r="AH542" s="15">
        <f t="shared" si="78"/>
        <v>3000</v>
      </c>
      <c r="AI542" s="22">
        <f t="shared" si="79"/>
        <v>0</v>
      </c>
      <c r="AJ542" s="22">
        <f t="shared" si="80"/>
        <v>0</v>
      </c>
      <c r="AK542" s="165"/>
    </row>
    <row r="543" spans="1:37" outlineLevel="1">
      <c r="A543" t="s">
        <v>339</v>
      </c>
      <c r="B543" s="13">
        <v>43480</v>
      </c>
      <c r="C543" s="13" t="s">
        <v>23</v>
      </c>
      <c r="D543" t="s">
        <v>252</v>
      </c>
      <c r="E543" s="165" t="s">
        <v>253</v>
      </c>
      <c r="F543" t="str">
        <f t="shared" si="76"/>
        <v>ROBI_16.18_200_NL2018</v>
      </c>
      <c r="G543" s="165" t="s">
        <v>61</v>
      </c>
      <c r="I543" s="12" t="s">
        <v>35</v>
      </c>
      <c r="J543" s="14">
        <v>200</v>
      </c>
      <c r="K543" s="15" t="s">
        <v>28</v>
      </c>
      <c r="M543" s="16">
        <f t="shared" si="77"/>
        <v>50</v>
      </c>
      <c r="N543" s="15">
        <v>10000</v>
      </c>
      <c r="O543" s="15">
        <v>4800</v>
      </c>
      <c r="P543" s="15">
        <f t="shared" si="75"/>
        <v>48000000</v>
      </c>
      <c r="Q543" s="15" t="str">
        <f t="shared" si="81"/>
        <v>Done</v>
      </c>
      <c r="R543" s="18" t="s">
        <v>44</v>
      </c>
      <c r="S543" s="19">
        <v>43511</v>
      </c>
      <c r="T543" s="20">
        <f>IFERROR(VLOOKUP(S543,'Date Converter'!$A$4:$C$368,3,0),"")</f>
        <v>43544</v>
      </c>
      <c r="U543" s="21">
        <f t="shared" si="82"/>
        <v>43544</v>
      </c>
      <c r="V543" s="20"/>
      <c r="W543" s="18" t="s">
        <v>48</v>
      </c>
      <c r="X543" s="18">
        <v>43541</v>
      </c>
      <c r="Y543" s="15" t="s">
        <v>59</v>
      </c>
      <c r="Z543" s="206">
        <v>43543</v>
      </c>
      <c r="AA543" s="15">
        <v>5000</v>
      </c>
      <c r="AB543" s="206">
        <v>43557</v>
      </c>
      <c r="AC543" s="15">
        <v>5000</v>
      </c>
      <c r="AD543" s="206"/>
      <c r="AE543" s="15"/>
      <c r="AF543" s="244"/>
      <c r="AG543" s="15"/>
      <c r="AH543" s="15">
        <f t="shared" si="78"/>
        <v>10000</v>
      </c>
      <c r="AI543" s="22">
        <f t="shared" si="79"/>
        <v>0</v>
      </c>
      <c r="AJ543" s="22">
        <f t="shared" si="80"/>
        <v>0</v>
      </c>
      <c r="AK543" s="165"/>
    </row>
    <row r="544" spans="1:37" outlineLevel="1">
      <c r="A544" t="s">
        <v>496</v>
      </c>
      <c r="B544" s="13">
        <v>43553</v>
      </c>
      <c r="C544" s="13" t="s">
        <v>23</v>
      </c>
      <c r="D544" t="s">
        <v>252</v>
      </c>
      <c r="E544" s="198" t="s">
        <v>253</v>
      </c>
      <c r="F544" t="str">
        <f t="shared" si="76"/>
        <v>ROBI_16.18_200_NL2018</v>
      </c>
      <c r="G544" s="165" t="s">
        <v>61</v>
      </c>
      <c r="I544" s="12" t="s">
        <v>35</v>
      </c>
      <c r="J544" s="14">
        <v>200</v>
      </c>
      <c r="K544" s="15" t="s">
        <v>28</v>
      </c>
      <c r="M544" s="16">
        <f t="shared" si="77"/>
        <v>70</v>
      </c>
      <c r="N544" s="15">
        <v>14000</v>
      </c>
      <c r="O544" s="15">
        <v>5400</v>
      </c>
      <c r="P544" s="15">
        <f t="shared" si="75"/>
        <v>75600000</v>
      </c>
      <c r="Q544" s="15" t="str">
        <f t="shared" si="81"/>
        <v>Done</v>
      </c>
      <c r="R544" s="18" t="s">
        <v>44</v>
      </c>
      <c r="S544" s="23">
        <v>43572</v>
      </c>
      <c r="T544" s="20">
        <f>IFERROR(VLOOKUP(S544,'Date Converter'!$A$4:$C$368,3,0),"")</f>
        <v>43606</v>
      </c>
      <c r="U544" s="21">
        <f t="shared" si="82"/>
        <v>43606</v>
      </c>
      <c r="V544" s="20" t="s">
        <v>494</v>
      </c>
      <c r="Y544" s="15"/>
      <c r="Z544" s="206">
        <v>43603</v>
      </c>
      <c r="AA544" s="15">
        <v>6000</v>
      </c>
      <c r="AB544" s="206">
        <v>43607</v>
      </c>
      <c r="AC544" s="15">
        <v>200</v>
      </c>
      <c r="AD544" s="206">
        <v>43620</v>
      </c>
      <c r="AE544" s="15">
        <v>7800</v>
      </c>
      <c r="AF544" s="244"/>
      <c r="AG544" s="15"/>
      <c r="AH544" s="15">
        <f t="shared" si="78"/>
        <v>14000</v>
      </c>
      <c r="AI544" s="22">
        <f t="shared" si="79"/>
        <v>0</v>
      </c>
      <c r="AJ544" s="22">
        <f t="shared" si="80"/>
        <v>0</v>
      </c>
      <c r="AK544" s="165"/>
    </row>
    <row r="545" spans="1:37" outlineLevel="1">
      <c r="A545" t="s">
        <v>496</v>
      </c>
      <c r="B545" s="13">
        <v>43553</v>
      </c>
      <c r="C545" s="13" t="s">
        <v>23</v>
      </c>
      <c r="D545" t="s">
        <v>252</v>
      </c>
      <c r="E545" s="198" t="s">
        <v>253</v>
      </c>
      <c r="F545" t="str">
        <f t="shared" si="76"/>
        <v>ROBI_16.18_200_NL2018</v>
      </c>
      <c r="G545" s="165" t="s">
        <v>61</v>
      </c>
      <c r="I545" s="12" t="s">
        <v>35</v>
      </c>
      <c r="J545" s="14">
        <v>200</v>
      </c>
      <c r="K545" s="15" t="s">
        <v>28</v>
      </c>
      <c r="M545" s="16">
        <f t="shared" si="77"/>
        <v>35</v>
      </c>
      <c r="N545" s="15">
        <v>7000</v>
      </c>
      <c r="O545" s="15">
        <v>5500</v>
      </c>
      <c r="P545" s="15">
        <f t="shared" si="75"/>
        <v>38500000</v>
      </c>
      <c r="Q545" s="15" t="str">
        <f t="shared" si="81"/>
        <v>Done</v>
      </c>
      <c r="R545" s="18" t="s">
        <v>44</v>
      </c>
      <c r="S545" s="23">
        <v>43590</v>
      </c>
      <c r="T545" s="20">
        <f>IFERROR(VLOOKUP(S545,'Date Converter'!$A$4:$C$368,3,0),"")</f>
        <v>43623</v>
      </c>
      <c r="U545" s="21">
        <f t="shared" si="82"/>
        <v>43623</v>
      </c>
      <c r="V545" s="20"/>
      <c r="Y545" s="15"/>
      <c r="Z545" s="206">
        <v>43638</v>
      </c>
      <c r="AA545" s="15">
        <v>7000</v>
      </c>
      <c r="AB545" s="206"/>
      <c r="AC545" s="15"/>
      <c r="AD545" s="206"/>
      <c r="AE545" s="15"/>
      <c r="AF545" s="244"/>
      <c r="AG545" s="15"/>
      <c r="AH545" s="15">
        <f t="shared" si="78"/>
        <v>7000</v>
      </c>
      <c r="AI545" s="22">
        <f t="shared" si="79"/>
        <v>0</v>
      </c>
      <c r="AJ545" s="22">
        <f t="shared" si="80"/>
        <v>0</v>
      </c>
      <c r="AK545" s="165"/>
    </row>
    <row r="546" spans="1:37" outlineLevel="1">
      <c r="A546" t="s">
        <v>496</v>
      </c>
      <c r="B546" s="13">
        <v>43553</v>
      </c>
      <c r="C546" s="13" t="s">
        <v>23</v>
      </c>
      <c r="D546" t="s">
        <v>252</v>
      </c>
      <c r="E546" s="198" t="s">
        <v>253</v>
      </c>
      <c r="F546" t="str">
        <f t="shared" si="76"/>
        <v>ROBI_16.18_200_NL2018</v>
      </c>
      <c r="G546" s="165" t="s">
        <v>61</v>
      </c>
      <c r="I546" s="12" t="s">
        <v>35</v>
      </c>
      <c r="J546" s="14">
        <v>200</v>
      </c>
      <c r="K546" s="15" t="s">
        <v>28</v>
      </c>
      <c r="M546" s="16">
        <f t="shared" si="77"/>
        <v>35</v>
      </c>
      <c r="N546" s="262">
        <f>7000</f>
        <v>7000</v>
      </c>
      <c r="O546" s="15">
        <v>5500</v>
      </c>
      <c r="P546" s="15">
        <f t="shared" si="75"/>
        <v>38500000</v>
      </c>
      <c r="Q546" s="15" t="str">
        <f t="shared" si="81"/>
        <v/>
      </c>
      <c r="R546" s="18" t="s">
        <v>63</v>
      </c>
      <c r="S546" s="23">
        <v>43603</v>
      </c>
      <c r="T546" s="20">
        <f>IFERROR(VLOOKUP(S546,'Date Converter'!$A$4:$C$368,3,0),"")</f>
        <v>43636</v>
      </c>
      <c r="U546" s="21">
        <f t="shared" si="82"/>
        <v>43636</v>
      </c>
      <c r="V546" s="20"/>
      <c r="Y546" s="15"/>
      <c r="Z546" s="206">
        <v>43640</v>
      </c>
      <c r="AA546" s="15">
        <v>400</v>
      </c>
      <c r="AB546" s="206"/>
      <c r="AC546" s="15"/>
      <c r="AD546" s="206"/>
      <c r="AE546" s="15"/>
      <c r="AF546" s="244"/>
      <c r="AG546" s="15"/>
      <c r="AH546" s="15">
        <f t="shared" si="78"/>
        <v>400</v>
      </c>
      <c r="AI546" s="22">
        <f t="shared" si="79"/>
        <v>6600</v>
      </c>
      <c r="AJ546" s="22">
        <f t="shared" si="80"/>
        <v>36300000</v>
      </c>
      <c r="AK546" s="165"/>
    </row>
    <row r="547" spans="1:37" outlineLevel="1">
      <c r="A547" t="s">
        <v>496</v>
      </c>
      <c r="B547" s="13">
        <v>43553</v>
      </c>
      <c r="C547" s="13" t="s">
        <v>23</v>
      </c>
      <c r="D547" t="s">
        <v>252</v>
      </c>
      <c r="E547" s="198" t="s">
        <v>253</v>
      </c>
      <c r="F547" t="str">
        <f t="shared" si="76"/>
        <v>ROBI_16.18_200_NL2018</v>
      </c>
      <c r="G547" s="165" t="s">
        <v>61</v>
      </c>
      <c r="I547" s="12" t="s">
        <v>35</v>
      </c>
      <c r="J547" s="14">
        <v>200</v>
      </c>
      <c r="K547" s="15" t="s">
        <v>28</v>
      </c>
      <c r="M547" s="16">
        <f t="shared" si="77"/>
        <v>35</v>
      </c>
      <c r="N547" s="15">
        <v>7000</v>
      </c>
      <c r="O547" s="15">
        <v>5500</v>
      </c>
      <c r="P547" s="15">
        <f t="shared" si="75"/>
        <v>38500000</v>
      </c>
      <c r="Q547" s="15" t="str">
        <f t="shared" si="81"/>
        <v/>
      </c>
      <c r="R547" s="18" t="s">
        <v>31</v>
      </c>
      <c r="S547" s="19">
        <v>43631</v>
      </c>
      <c r="T547" s="20">
        <f>IFERROR(VLOOKUP(S547,'Date Converter'!$A$4:$C$368,3,0),"")</f>
        <v>43663</v>
      </c>
      <c r="U547" s="21">
        <f t="shared" si="82"/>
        <v>43663</v>
      </c>
      <c r="V547" s="20"/>
      <c r="Y547" s="15"/>
      <c r="AA547" s="15"/>
      <c r="AB547" s="206"/>
      <c r="AC547" s="15"/>
      <c r="AD547" s="206"/>
      <c r="AE547" s="15"/>
      <c r="AF547" s="244"/>
      <c r="AG547" s="15"/>
      <c r="AH547" s="15">
        <f t="shared" si="78"/>
        <v>0</v>
      </c>
      <c r="AI547" s="22">
        <f t="shared" si="79"/>
        <v>7000</v>
      </c>
      <c r="AJ547" s="22">
        <f t="shared" si="80"/>
        <v>38500000</v>
      </c>
      <c r="AK547" s="165"/>
    </row>
    <row r="548" spans="1:37" s="165" customFormat="1" outlineLevel="1">
      <c r="A548" s="165" t="s">
        <v>496</v>
      </c>
      <c r="B548" s="13">
        <v>43553</v>
      </c>
      <c r="C548" s="13" t="s">
        <v>23</v>
      </c>
      <c r="D548" s="165" t="s">
        <v>252</v>
      </c>
      <c r="E548" s="198" t="s">
        <v>253</v>
      </c>
      <c r="F548" s="165" t="str">
        <f t="shared" si="76"/>
        <v>ROBI_16.18_200_NL2018</v>
      </c>
      <c r="G548" s="165" t="s">
        <v>61</v>
      </c>
      <c r="H548" s="12"/>
      <c r="I548" s="12" t="s">
        <v>35</v>
      </c>
      <c r="J548" s="14">
        <v>200</v>
      </c>
      <c r="K548" s="15" t="s">
        <v>28</v>
      </c>
      <c r="L548" s="15"/>
      <c r="M548" s="16">
        <f t="shared" si="77"/>
        <v>35</v>
      </c>
      <c r="N548" s="15">
        <v>7000</v>
      </c>
      <c r="O548" s="15">
        <v>5600</v>
      </c>
      <c r="P548" s="15">
        <f t="shared" si="75"/>
        <v>39200000</v>
      </c>
      <c r="Q548" s="15" t="str">
        <f t="shared" si="81"/>
        <v/>
      </c>
      <c r="R548" s="18" t="s">
        <v>29</v>
      </c>
      <c r="S548" s="19">
        <v>43645</v>
      </c>
      <c r="T548" s="20">
        <f>IFERROR(VLOOKUP(S548,'Date Converter'!$A$4:$C$368,3,0),"")</f>
        <v>43677</v>
      </c>
      <c r="U548" s="21">
        <f t="shared" si="82"/>
        <v>43677</v>
      </c>
      <c r="V548" s="20"/>
      <c r="W548" s="18"/>
      <c r="X548" s="18"/>
      <c r="Y548" s="15"/>
      <c r="Z548" s="206"/>
      <c r="AA548" s="15"/>
      <c r="AB548" s="206"/>
      <c r="AC548" s="15"/>
      <c r="AD548" s="206"/>
      <c r="AE548" s="15"/>
      <c r="AF548" s="244"/>
      <c r="AG548" s="15"/>
      <c r="AH548" s="15">
        <f t="shared" si="78"/>
        <v>0</v>
      </c>
      <c r="AI548" s="22">
        <f t="shared" si="79"/>
        <v>7000</v>
      </c>
      <c r="AJ548" s="22">
        <f t="shared" si="80"/>
        <v>39200000</v>
      </c>
    </row>
    <row r="549" spans="1:37" s="165" customFormat="1" outlineLevel="1">
      <c r="A549" s="165" t="s">
        <v>496</v>
      </c>
      <c r="B549" s="13">
        <v>43553</v>
      </c>
      <c r="C549" s="13" t="s">
        <v>23</v>
      </c>
      <c r="D549" s="165" t="s">
        <v>252</v>
      </c>
      <c r="E549" s="198" t="s">
        <v>253</v>
      </c>
      <c r="F549" s="165" t="str">
        <f t="shared" si="76"/>
        <v>ROBI_16.18_200_NL2018</v>
      </c>
      <c r="G549" s="165" t="s">
        <v>61</v>
      </c>
      <c r="H549" s="12"/>
      <c r="I549" s="12" t="s">
        <v>35</v>
      </c>
      <c r="J549" s="14">
        <v>200</v>
      </c>
      <c r="K549" s="15" t="s">
        <v>28</v>
      </c>
      <c r="L549" s="15"/>
      <c r="M549" s="16">
        <f t="shared" si="77"/>
        <v>290</v>
      </c>
      <c r="N549" s="15">
        <f>86000-7000-7000-7000-7000</f>
        <v>58000</v>
      </c>
      <c r="O549" s="15" t="s">
        <v>1471</v>
      </c>
      <c r="P549" s="15"/>
      <c r="Q549" s="15" t="str">
        <f t="shared" si="81"/>
        <v/>
      </c>
      <c r="R549" s="18" t="s">
        <v>29</v>
      </c>
      <c r="S549" s="19">
        <v>43678</v>
      </c>
      <c r="T549" s="20">
        <f>IFERROR(VLOOKUP(S549,'Date Converter'!$A$4:$C$368,3,0),"")</f>
        <v>43707</v>
      </c>
      <c r="U549" s="21">
        <f t="shared" si="82"/>
        <v>43707</v>
      </c>
      <c r="V549" s="20" t="s">
        <v>495</v>
      </c>
      <c r="W549" s="18"/>
      <c r="X549" s="18"/>
      <c r="Y549" s="15"/>
      <c r="Z549" s="206"/>
      <c r="AA549" s="15"/>
      <c r="AB549" s="206"/>
      <c r="AC549" s="15"/>
      <c r="AD549" s="206"/>
      <c r="AE549" s="15"/>
      <c r="AF549" s="244"/>
      <c r="AG549" s="15"/>
      <c r="AH549" s="15">
        <f t="shared" si="78"/>
        <v>0</v>
      </c>
      <c r="AI549" s="22">
        <f t="shared" si="79"/>
        <v>58000</v>
      </c>
      <c r="AJ549" s="22" t="e">
        <f t="shared" si="80"/>
        <v>#VALUE!</v>
      </c>
    </row>
    <row r="550" spans="1:37" outlineLevel="1">
      <c r="A550" s="165" t="s">
        <v>339</v>
      </c>
      <c r="B550" s="188">
        <v>43554</v>
      </c>
      <c r="C550" s="266" t="s">
        <v>23</v>
      </c>
      <c r="D550" s="258" t="s">
        <v>252</v>
      </c>
      <c r="E550" s="201" t="s">
        <v>253</v>
      </c>
      <c r="F550" s="183" t="str">
        <f t="shared" si="76"/>
        <v>ROBI_18.20_150_NL2018</v>
      </c>
      <c r="G550" s="183" t="s">
        <v>61</v>
      </c>
      <c r="H550" s="184"/>
      <c r="I550" s="184" t="s">
        <v>27</v>
      </c>
      <c r="J550" s="186">
        <v>150</v>
      </c>
      <c r="K550" s="185" t="s">
        <v>28</v>
      </c>
      <c r="L550" s="185"/>
      <c r="M550" s="187">
        <f t="shared" si="77"/>
        <v>40</v>
      </c>
      <c r="N550" s="185">
        <v>6000</v>
      </c>
      <c r="O550" s="185">
        <v>7700</v>
      </c>
      <c r="P550" s="185">
        <f t="shared" ref="P550:P613" si="83">+O550*N550</f>
        <v>46200000</v>
      </c>
      <c r="Q550" s="15" t="str">
        <f t="shared" si="81"/>
        <v/>
      </c>
      <c r="R550" s="189" t="s">
        <v>29</v>
      </c>
      <c r="S550" s="190">
        <v>43709</v>
      </c>
      <c r="T550" s="20">
        <f>IFERROR(VLOOKUP(S550,'Date Converter'!$A$4:$C$368,3,0),"")</f>
        <v>43737</v>
      </c>
      <c r="U550" s="21">
        <f t="shared" si="82"/>
        <v>43737</v>
      </c>
      <c r="V550" s="185" t="s">
        <v>51</v>
      </c>
      <c r="W550" s="189"/>
      <c r="X550" s="189"/>
      <c r="Y550" s="185"/>
      <c r="AA550" s="185"/>
      <c r="AB550" s="206"/>
      <c r="AC550" s="185"/>
      <c r="AD550" s="206"/>
      <c r="AE550" s="185"/>
      <c r="AF550" s="246"/>
      <c r="AG550" s="185"/>
      <c r="AH550" s="15">
        <f t="shared" si="78"/>
        <v>0</v>
      </c>
      <c r="AI550" s="22">
        <f t="shared" si="79"/>
        <v>6000</v>
      </c>
      <c r="AJ550" s="22">
        <f t="shared" si="80"/>
        <v>46200000</v>
      </c>
      <c r="AK550" s="183"/>
    </row>
    <row r="551" spans="1:37" outlineLevel="1">
      <c r="A551" s="165" t="s">
        <v>339</v>
      </c>
      <c r="B551" s="13">
        <v>43554</v>
      </c>
      <c r="C551" s="266" t="s">
        <v>23</v>
      </c>
      <c r="D551" s="258" t="s">
        <v>252</v>
      </c>
      <c r="E551" s="198" t="s">
        <v>253</v>
      </c>
      <c r="F551" s="165" t="str">
        <f t="shared" si="76"/>
        <v>ROBI_20.22_125_NL2018</v>
      </c>
      <c r="G551" s="165" t="s">
        <v>61</v>
      </c>
      <c r="I551" s="12" t="s">
        <v>74</v>
      </c>
      <c r="J551" s="14">
        <v>125</v>
      </c>
      <c r="K551" s="15" t="s">
        <v>28</v>
      </c>
      <c r="M551" s="16">
        <f t="shared" si="77"/>
        <v>32</v>
      </c>
      <c r="N551" s="15">
        <v>4000</v>
      </c>
      <c r="O551" s="15">
        <v>10700</v>
      </c>
      <c r="P551" s="15">
        <f t="shared" si="83"/>
        <v>42800000</v>
      </c>
      <c r="Q551" s="15" t="str">
        <f t="shared" si="81"/>
        <v/>
      </c>
      <c r="R551" s="18" t="s">
        <v>29</v>
      </c>
      <c r="S551" s="23">
        <v>43709</v>
      </c>
      <c r="T551" s="20">
        <f>IFERROR(VLOOKUP(S551,'Date Converter'!$A$4:$C$368,3,0),"")</f>
        <v>43737</v>
      </c>
      <c r="U551" s="21">
        <f t="shared" si="82"/>
        <v>43737</v>
      </c>
      <c r="V551" s="15" t="s">
        <v>51</v>
      </c>
      <c r="Y551" s="15"/>
      <c r="AA551" s="15"/>
      <c r="AB551" s="206"/>
      <c r="AC551" s="15"/>
      <c r="AD551" s="206"/>
      <c r="AE551" s="15"/>
      <c r="AF551" s="244"/>
      <c r="AG551" s="15"/>
      <c r="AH551" s="15">
        <f t="shared" si="78"/>
        <v>0</v>
      </c>
      <c r="AI551" s="22">
        <f t="shared" si="79"/>
        <v>4000</v>
      </c>
      <c r="AJ551" s="22">
        <f t="shared" si="80"/>
        <v>42800000</v>
      </c>
      <c r="AK551" s="165"/>
    </row>
    <row r="552" spans="1:37" outlineLevel="1">
      <c r="A552" s="165" t="s">
        <v>339</v>
      </c>
      <c r="B552" s="13">
        <v>43480</v>
      </c>
      <c r="C552" s="266" t="s">
        <v>23</v>
      </c>
      <c r="D552" s="258" t="s">
        <v>252</v>
      </c>
      <c r="E552" s="198" t="s">
        <v>253</v>
      </c>
      <c r="F552" s="165" t="str">
        <f t="shared" si="76"/>
        <v>ROBI_20.22_125_NL2018</v>
      </c>
      <c r="G552" s="165" t="s">
        <v>61</v>
      </c>
      <c r="I552" s="12" t="s">
        <v>74</v>
      </c>
      <c r="J552" s="14">
        <v>125</v>
      </c>
      <c r="K552" s="15" t="s">
        <v>28</v>
      </c>
      <c r="M552" s="16">
        <f t="shared" si="77"/>
        <v>72</v>
      </c>
      <c r="N552" s="15">
        <v>9000</v>
      </c>
      <c r="O552" s="15">
        <v>10500</v>
      </c>
      <c r="P552" s="15">
        <f t="shared" si="83"/>
        <v>94500000</v>
      </c>
      <c r="Q552" s="15" t="str">
        <f t="shared" si="81"/>
        <v/>
      </c>
      <c r="R552" s="18" t="s">
        <v>29</v>
      </c>
      <c r="S552" s="23">
        <v>43709</v>
      </c>
      <c r="T552" s="20">
        <f>IFERROR(VLOOKUP(S552,'Date Converter'!$A$4:$C$368,3,0),"")</f>
        <v>43737</v>
      </c>
      <c r="U552" s="21">
        <f t="shared" si="82"/>
        <v>43737</v>
      </c>
      <c r="V552" s="15" t="s">
        <v>51</v>
      </c>
      <c r="Y552" s="15" t="s">
        <v>59</v>
      </c>
      <c r="AA552" s="15">
        <v>0</v>
      </c>
      <c r="AB552" s="206"/>
      <c r="AC552" s="15"/>
      <c r="AD552" s="206"/>
      <c r="AE552" s="15"/>
      <c r="AF552" s="244"/>
      <c r="AG552" s="15"/>
      <c r="AH552" s="15">
        <f t="shared" si="78"/>
        <v>0</v>
      </c>
      <c r="AI552" s="22">
        <f t="shared" si="79"/>
        <v>9000</v>
      </c>
      <c r="AJ552" s="22">
        <f t="shared" si="80"/>
        <v>94500000</v>
      </c>
      <c r="AK552" s="165"/>
    </row>
    <row r="553" spans="1:37" outlineLevel="1">
      <c r="A553" s="165" t="s">
        <v>339</v>
      </c>
      <c r="B553" s="13">
        <v>43480</v>
      </c>
      <c r="C553" s="266" t="s">
        <v>23</v>
      </c>
      <c r="D553" s="258" t="s">
        <v>252</v>
      </c>
      <c r="E553" s="198" t="s">
        <v>253</v>
      </c>
      <c r="F553" s="165" t="str">
        <f t="shared" si="76"/>
        <v>ROBI_22.24_100_NL2018</v>
      </c>
      <c r="G553" s="165" t="s">
        <v>61</v>
      </c>
      <c r="I553" s="12" t="s">
        <v>78</v>
      </c>
      <c r="J553" s="14">
        <v>100</v>
      </c>
      <c r="K553" s="15" t="s">
        <v>28</v>
      </c>
      <c r="M553" s="16">
        <f t="shared" si="77"/>
        <v>50</v>
      </c>
      <c r="N553" s="15">
        <v>5000</v>
      </c>
      <c r="O553" s="15">
        <v>12500</v>
      </c>
      <c r="P553" s="15">
        <f t="shared" si="83"/>
        <v>62500000</v>
      </c>
      <c r="Q553" s="15" t="str">
        <f t="shared" si="81"/>
        <v/>
      </c>
      <c r="R553" s="18" t="s">
        <v>29</v>
      </c>
      <c r="S553" s="23">
        <v>43709</v>
      </c>
      <c r="T553" s="20">
        <f>IFERROR(VLOOKUP(S553,'Date Converter'!$A$4:$C$368,3,0),"")</f>
        <v>43737</v>
      </c>
      <c r="U553" s="21">
        <f t="shared" si="82"/>
        <v>43737</v>
      </c>
      <c r="V553" s="15" t="s">
        <v>51</v>
      </c>
      <c r="Y553" s="15" t="s">
        <v>59</v>
      </c>
      <c r="AA553" s="15">
        <v>0</v>
      </c>
      <c r="AB553" s="206"/>
      <c r="AC553" s="15"/>
      <c r="AD553" s="206"/>
      <c r="AE553" s="15"/>
      <c r="AF553" s="244"/>
      <c r="AG553" s="15"/>
      <c r="AH553" s="15">
        <f t="shared" si="78"/>
        <v>0</v>
      </c>
      <c r="AI553" s="22">
        <f t="shared" si="79"/>
        <v>5000</v>
      </c>
      <c r="AJ553" s="22">
        <f t="shared" si="80"/>
        <v>62500000</v>
      </c>
      <c r="AK553" s="165"/>
    </row>
    <row r="554" spans="1:37" outlineLevel="1">
      <c r="A554" t="s">
        <v>339</v>
      </c>
      <c r="B554" s="13">
        <v>43480</v>
      </c>
      <c r="C554" s="13" t="s">
        <v>23</v>
      </c>
      <c r="D554" t="s">
        <v>252</v>
      </c>
      <c r="E554" s="165" t="s">
        <v>253</v>
      </c>
      <c r="F554" s="165" t="str">
        <f t="shared" si="76"/>
        <v>ROBI_16.18_200_NL2018</v>
      </c>
      <c r="G554" s="165" t="s">
        <v>61</v>
      </c>
      <c r="I554" s="12" t="s">
        <v>35</v>
      </c>
      <c r="J554" s="14">
        <v>200</v>
      </c>
      <c r="K554" s="15" t="s">
        <v>28</v>
      </c>
      <c r="M554" s="16">
        <f t="shared" si="77"/>
        <v>95</v>
      </c>
      <c r="N554" s="15">
        <v>19000</v>
      </c>
      <c r="O554" s="15">
        <v>4800</v>
      </c>
      <c r="P554" s="15">
        <f t="shared" si="83"/>
        <v>91200000</v>
      </c>
      <c r="Q554" s="15" t="str">
        <f t="shared" si="81"/>
        <v>Done</v>
      </c>
      <c r="R554" s="18" t="s">
        <v>44</v>
      </c>
      <c r="S554" s="19" t="s">
        <v>151</v>
      </c>
      <c r="T554" s="20">
        <f>IFERROR(VLOOKUP(S554,'Date Converter'!$A$4:$C$368,3,0),"")</f>
        <v>43558</v>
      </c>
      <c r="U554" s="21">
        <f t="shared" si="82"/>
        <v>43558</v>
      </c>
      <c r="V554" s="20" t="s">
        <v>54</v>
      </c>
      <c r="W554" s="18" t="s">
        <v>82</v>
      </c>
      <c r="X554" s="18">
        <v>43555</v>
      </c>
      <c r="Y554" s="15" t="s">
        <v>59</v>
      </c>
      <c r="Z554" s="206">
        <v>43557</v>
      </c>
      <c r="AA554" s="15">
        <v>2000</v>
      </c>
      <c r="AB554" s="206">
        <v>43575</v>
      </c>
      <c r="AC554" s="15">
        <v>10000</v>
      </c>
      <c r="AD554" s="206">
        <v>43588</v>
      </c>
      <c r="AE554" s="15">
        <v>7000</v>
      </c>
      <c r="AF554" s="244"/>
      <c r="AG554" s="15"/>
      <c r="AH554" s="15">
        <f t="shared" si="78"/>
        <v>19000</v>
      </c>
      <c r="AI554" s="22">
        <f t="shared" si="79"/>
        <v>0</v>
      </c>
      <c r="AJ554" s="22">
        <f t="shared" si="80"/>
        <v>0</v>
      </c>
      <c r="AK554" s="165"/>
    </row>
    <row r="555" spans="1:37" s="165" customFormat="1" outlineLevel="1">
      <c r="A555" s="165" t="s">
        <v>339</v>
      </c>
      <c r="B555" s="13">
        <v>43554</v>
      </c>
      <c r="C555" s="266" t="s">
        <v>23</v>
      </c>
      <c r="D555" s="258" t="s">
        <v>252</v>
      </c>
      <c r="E555" s="198" t="s">
        <v>253</v>
      </c>
      <c r="F555" s="165" t="str">
        <f t="shared" si="76"/>
        <v>PROF_22.24_100_NL2018</v>
      </c>
      <c r="G555" s="165" t="s">
        <v>56</v>
      </c>
      <c r="H555" s="12"/>
      <c r="I555" s="12" t="s">
        <v>78</v>
      </c>
      <c r="J555" s="14">
        <v>100</v>
      </c>
      <c r="K555" s="15" t="s">
        <v>28</v>
      </c>
      <c r="L555" s="15"/>
      <c r="M555" s="16">
        <f t="shared" si="77"/>
        <v>30</v>
      </c>
      <c r="N555" s="15">
        <v>3000</v>
      </c>
      <c r="O555" s="15">
        <v>14600</v>
      </c>
      <c r="P555" s="15">
        <f t="shared" si="83"/>
        <v>43800000</v>
      </c>
      <c r="Q555" s="15" t="str">
        <f t="shared" si="81"/>
        <v/>
      </c>
      <c r="R555" s="18" t="s">
        <v>29</v>
      </c>
      <c r="S555" s="23">
        <v>43709</v>
      </c>
      <c r="T555" s="20">
        <f>IFERROR(VLOOKUP(S555,'Date Converter'!$A$4:$C$368,3,0),"")</f>
        <v>43737</v>
      </c>
      <c r="U555" s="21">
        <f t="shared" si="82"/>
        <v>43737</v>
      </c>
      <c r="V555" s="15" t="s">
        <v>51</v>
      </c>
      <c r="W555" s="18"/>
      <c r="X555" s="18"/>
      <c r="Y555" s="15"/>
      <c r="Z555" s="206"/>
      <c r="AA555" s="15"/>
      <c r="AB555" s="206"/>
      <c r="AC555" s="15"/>
      <c r="AD555" s="206"/>
      <c r="AE555" s="15"/>
      <c r="AF555" s="244"/>
      <c r="AG555" s="15"/>
      <c r="AH555" s="15">
        <f t="shared" si="78"/>
        <v>0</v>
      </c>
      <c r="AI555" s="22">
        <f t="shared" si="79"/>
        <v>3000</v>
      </c>
      <c r="AJ555" s="22">
        <f t="shared" si="80"/>
        <v>43800000</v>
      </c>
    </row>
    <row r="556" spans="1:37" s="165" customFormat="1" outlineLevel="1">
      <c r="A556" s="165" t="s">
        <v>339</v>
      </c>
      <c r="B556" s="13">
        <v>43480</v>
      </c>
      <c r="C556" s="13" t="s">
        <v>23</v>
      </c>
      <c r="D556" s="165" t="s">
        <v>252</v>
      </c>
      <c r="E556" s="165" t="s">
        <v>253</v>
      </c>
      <c r="F556" s="165" t="str">
        <f t="shared" si="76"/>
        <v>NATA_RL_12.14_400_NL2018</v>
      </c>
      <c r="G556" s="165" t="s">
        <v>222</v>
      </c>
      <c r="H556" s="12" t="s">
        <v>219</v>
      </c>
      <c r="I556" s="12" t="s">
        <v>113</v>
      </c>
      <c r="J556" s="14">
        <v>400</v>
      </c>
      <c r="K556" s="15" t="s">
        <v>28</v>
      </c>
      <c r="L556" s="15"/>
      <c r="M556" s="16">
        <f t="shared" si="77"/>
        <v>1</v>
      </c>
      <c r="N556" s="15">
        <v>400</v>
      </c>
      <c r="O556" s="15">
        <v>8000</v>
      </c>
      <c r="P556" s="15">
        <f t="shared" si="83"/>
        <v>3200000</v>
      </c>
      <c r="Q556" s="15" t="str">
        <f t="shared" si="81"/>
        <v>Done</v>
      </c>
      <c r="R556" s="18" t="s">
        <v>44</v>
      </c>
      <c r="S556" s="19" t="s">
        <v>151</v>
      </c>
      <c r="T556" s="20">
        <f>IFERROR(VLOOKUP(S556,'Date Converter'!$A$4:$C$368,3,0),"")</f>
        <v>43558</v>
      </c>
      <c r="U556" s="21">
        <f t="shared" si="82"/>
        <v>43558</v>
      </c>
      <c r="V556" s="20"/>
      <c r="W556" s="18" t="s">
        <v>55</v>
      </c>
      <c r="X556" s="18">
        <v>43555</v>
      </c>
      <c r="Y556" s="15" t="s">
        <v>59</v>
      </c>
      <c r="Z556" s="206">
        <v>43575</v>
      </c>
      <c r="AA556" s="15">
        <v>400</v>
      </c>
      <c r="AB556" s="206"/>
      <c r="AC556" s="15"/>
      <c r="AD556" s="206"/>
      <c r="AE556" s="15"/>
      <c r="AF556" s="244"/>
      <c r="AG556" s="15"/>
      <c r="AH556" s="15">
        <f t="shared" si="78"/>
        <v>400</v>
      </c>
      <c r="AI556" s="22">
        <f t="shared" si="79"/>
        <v>0</v>
      </c>
      <c r="AJ556" s="22">
        <f t="shared" si="80"/>
        <v>0</v>
      </c>
    </row>
    <row r="557" spans="1:37" outlineLevel="1">
      <c r="A557" t="s">
        <v>339</v>
      </c>
      <c r="B557" s="13">
        <v>43480</v>
      </c>
      <c r="C557" s="266" t="s">
        <v>23</v>
      </c>
      <c r="D557" s="258" t="s">
        <v>252</v>
      </c>
      <c r="E557" s="198" t="s">
        <v>253</v>
      </c>
      <c r="F557" s="165" t="str">
        <f t="shared" si="76"/>
        <v>MANI_20.22_125_NL2018</v>
      </c>
      <c r="G557" s="165" t="s">
        <v>105</v>
      </c>
      <c r="I557" s="12" t="s">
        <v>74</v>
      </c>
      <c r="J557" s="14">
        <v>125</v>
      </c>
      <c r="K557" s="15" t="s">
        <v>28</v>
      </c>
      <c r="M557" s="16">
        <f t="shared" si="77"/>
        <v>40</v>
      </c>
      <c r="N557" s="15">
        <v>5000</v>
      </c>
      <c r="O557" s="15">
        <v>13500</v>
      </c>
      <c r="P557" s="15">
        <f t="shared" si="83"/>
        <v>67500000</v>
      </c>
      <c r="Q557" s="15" t="str">
        <f t="shared" si="81"/>
        <v/>
      </c>
      <c r="R557" s="18" t="s">
        <v>29</v>
      </c>
      <c r="S557" s="23">
        <v>43709</v>
      </c>
      <c r="T557" s="20">
        <f>IFERROR(VLOOKUP(S557,'Date Converter'!$A$4:$C$368,3,0),"")</f>
        <v>43737</v>
      </c>
      <c r="U557" s="21">
        <f t="shared" si="82"/>
        <v>43737</v>
      </c>
      <c r="V557" s="15" t="s">
        <v>51</v>
      </c>
      <c r="Y557" s="15" t="s">
        <v>59</v>
      </c>
      <c r="AA557" s="15">
        <v>0</v>
      </c>
      <c r="AB557" s="206"/>
      <c r="AC557" s="15"/>
      <c r="AD557" s="206"/>
      <c r="AE557" s="15"/>
      <c r="AF557" s="244"/>
      <c r="AG557" s="15"/>
      <c r="AH557" s="15">
        <f t="shared" si="78"/>
        <v>0</v>
      </c>
      <c r="AI557" s="22">
        <f t="shared" si="79"/>
        <v>5000</v>
      </c>
      <c r="AJ557" s="22">
        <f t="shared" si="80"/>
        <v>67500000</v>
      </c>
      <c r="AK557" s="165"/>
    </row>
    <row r="558" spans="1:37" s="165" customFormat="1" outlineLevel="1">
      <c r="A558" s="165" t="s">
        <v>339</v>
      </c>
      <c r="B558" s="13">
        <v>43480</v>
      </c>
      <c r="C558" s="266" t="s">
        <v>23</v>
      </c>
      <c r="D558" s="258" t="s">
        <v>252</v>
      </c>
      <c r="E558" s="198" t="s">
        <v>253</v>
      </c>
      <c r="F558" s="165" t="str">
        <f t="shared" si="76"/>
        <v>MANI_22.24_100_NL2018</v>
      </c>
      <c r="G558" s="165" t="s">
        <v>105</v>
      </c>
      <c r="H558" s="12"/>
      <c r="I558" s="12" t="s">
        <v>78</v>
      </c>
      <c r="J558" s="14">
        <v>100</v>
      </c>
      <c r="K558" s="15" t="s">
        <v>28</v>
      </c>
      <c r="L558" s="15"/>
      <c r="M558" s="16">
        <f t="shared" si="77"/>
        <v>30</v>
      </c>
      <c r="N558" s="15">
        <v>3000</v>
      </c>
      <c r="O558" s="15">
        <v>15200</v>
      </c>
      <c r="P558" s="15">
        <f t="shared" si="83"/>
        <v>45600000</v>
      </c>
      <c r="Q558" s="15" t="str">
        <f t="shared" si="81"/>
        <v/>
      </c>
      <c r="R558" s="18" t="s">
        <v>29</v>
      </c>
      <c r="S558" s="23">
        <v>43709</v>
      </c>
      <c r="T558" s="20">
        <f>IFERROR(VLOOKUP(S558,'Date Converter'!$A$4:$C$368,3,0),"")</f>
        <v>43737</v>
      </c>
      <c r="U558" s="21">
        <f t="shared" si="82"/>
        <v>43737</v>
      </c>
      <c r="V558" s="15" t="s">
        <v>51</v>
      </c>
      <c r="W558" s="18"/>
      <c r="X558" s="18"/>
      <c r="Y558" s="15" t="s">
        <v>59</v>
      </c>
      <c r="Z558" s="206"/>
      <c r="AA558" s="15">
        <v>0</v>
      </c>
      <c r="AB558" s="206"/>
      <c r="AC558" s="15"/>
      <c r="AD558" s="206"/>
      <c r="AE558" s="15"/>
      <c r="AF558" s="244"/>
      <c r="AG558" s="15"/>
      <c r="AH558" s="15">
        <f t="shared" si="78"/>
        <v>0</v>
      </c>
      <c r="AI558" s="22">
        <f t="shared" si="79"/>
        <v>3000</v>
      </c>
      <c r="AJ558" s="22">
        <f t="shared" si="80"/>
        <v>45600000</v>
      </c>
    </row>
    <row r="559" spans="1:37" s="165" customFormat="1" outlineLevel="1">
      <c r="A559" s="165" t="s">
        <v>339</v>
      </c>
      <c r="B559" s="13">
        <v>43480</v>
      </c>
      <c r="C559" s="266" t="s">
        <v>23</v>
      </c>
      <c r="D559" s="258" t="s">
        <v>252</v>
      </c>
      <c r="E559" s="198" t="s">
        <v>253</v>
      </c>
      <c r="F559" s="165" t="str">
        <f t="shared" si="76"/>
        <v>MANI_24+_75_NL2018</v>
      </c>
      <c r="G559" s="165" t="s">
        <v>105</v>
      </c>
      <c r="H559" s="12"/>
      <c r="I559" s="12" t="s">
        <v>185</v>
      </c>
      <c r="J559" s="14">
        <v>75</v>
      </c>
      <c r="K559" s="15" t="s">
        <v>28</v>
      </c>
      <c r="L559" s="15"/>
      <c r="M559" s="16">
        <f t="shared" si="77"/>
        <v>54</v>
      </c>
      <c r="N559" s="15">
        <v>4050</v>
      </c>
      <c r="O559" s="15">
        <v>16000</v>
      </c>
      <c r="P559" s="15">
        <f t="shared" si="83"/>
        <v>64800000</v>
      </c>
      <c r="Q559" s="15" t="str">
        <f t="shared" si="81"/>
        <v/>
      </c>
      <c r="R559" s="18" t="s">
        <v>29</v>
      </c>
      <c r="S559" s="23">
        <v>43709</v>
      </c>
      <c r="T559" s="20">
        <f>IFERROR(VLOOKUP(S559,'Date Converter'!$A$4:$C$368,3,0),"")</f>
        <v>43737</v>
      </c>
      <c r="U559" s="21">
        <f t="shared" si="82"/>
        <v>43737</v>
      </c>
      <c r="V559" s="15" t="s">
        <v>51</v>
      </c>
      <c r="W559" s="18"/>
      <c r="X559" s="18"/>
      <c r="Y559" s="15" t="s">
        <v>59</v>
      </c>
      <c r="Z559" s="206"/>
      <c r="AA559" s="15">
        <v>0</v>
      </c>
      <c r="AB559" s="206"/>
      <c r="AC559" s="15"/>
      <c r="AD559" s="206"/>
      <c r="AE559" s="15"/>
      <c r="AF559" s="244"/>
      <c r="AG559" s="15"/>
      <c r="AH559" s="15">
        <f t="shared" si="78"/>
        <v>0</v>
      </c>
      <c r="AI559" s="22">
        <f t="shared" si="79"/>
        <v>4050</v>
      </c>
      <c r="AJ559" s="22">
        <f t="shared" si="80"/>
        <v>64800000</v>
      </c>
    </row>
    <row r="560" spans="1:37" outlineLevel="1">
      <c r="A560" s="165" t="s">
        <v>339</v>
      </c>
      <c r="B560" s="13">
        <v>43480</v>
      </c>
      <c r="C560" s="13" t="s">
        <v>23</v>
      </c>
      <c r="D560" s="165" t="s">
        <v>252</v>
      </c>
      <c r="E560" s="165" t="s">
        <v>253</v>
      </c>
      <c r="F560" s="165" t="str">
        <f t="shared" si="76"/>
        <v>MANI_16.18_200_NL2018</v>
      </c>
      <c r="G560" s="165" t="s">
        <v>105</v>
      </c>
      <c r="I560" s="12" t="s">
        <v>35</v>
      </c>
      <c r="J560" s="14">
        <v>200</v>
      </c>
      <c r="K560" s="15" t="s">
        <v>28</v>
      </c>
      <c r="M560" s="16">
        <f t="shared" si="77"/>
        <v>60</v>
      </c>
      <c r="N560" s="15">
        <v>12000</v>
      </c>
      <c r="O560" s="15">
        <v>6700</v>
      </c>
      <c r="P560" s="15">
        <f t="shared" si="83"/>
        <v>80400000</v>
      </c>
      <c r="Q560" s="15" t="str">
        <f t="shared" si="81"/>
        <v>Done</v>
      </c>
      <c r="R560" s="18" t="s">
        <v>44</v>
      </c>
      <c r="S560" s="19" t="s">
        <v>151</v>
      </c>
      <c r="T560" s="20">
        <f>IFERROR(VLOOKUP(S560,'Date Converter'!$A$4:$C$368,3,0),"")</f>
        <v>43558</v>
      </c>
      <c r="U560" s="21">
        <f t="shared" si="82"/>
        <v>43558</v>
      </c>
      <c r="V560" s="20"/>
      <c r="W560" s="18" t="s">
        <v>107</v>
      </c>
      <c r="X560" s="18">
        <v>43555</v>
      </c>
      <c r="Y560" s="15" t="s">
        <v>59</v>
      </c>
      <c r="Z560" s="206">
        <v>43557</v>
      </c>
      <c r="AA560" s="15">
        <v>3000</v>
      </c>
      <c r="AB560" s="206">
        <v>43575</v>
      </c>
      <c r="AC560" s="15">
        <v>9000</v>
      </c>
      <c r="AD560" s="206"/>
      <c r="AE560" s="15"/>
      <c r="AF560" s="244"/>
      <c r="AG560" s="15"/>
      <c r="AH560" s="15">
        <f t="shared" si="78"/>
        <v>12000</v>
      </c>
      <c r="AI560" s="22">
        <f t="shared" si="79"/>
        <v>0</v>
      </c>
      <c r="AJ560" s="22">
        <f t="shared" si="80"/>
        <v>0</v>
      </c>
      <c r="AK560" s="165"/>
    </row>
    <row r="561" spans="1:37" outlineLevel="1">
      <c r="A561" s="165" t="s">
        <v>339</v>
      </c>
      <c r="B561" s="13">
        <v>43480</v>
      </c>
      <c r="C561" s="13" t="s">
        <v>23</v>
      </c>
      <c r="D561" s="165" t="s">
        <v>252</v>
      </c>
      <c r="E561" s="165" t="s">
        <v>253</v>
      </c>
      <c r="F561" s="165" t="str">
        <f t="shared" si="76"/>
        <v>MANI_PR_16.18_200_NL2018</v>
      </c>
      <c r="G561" s="165" t="s">
        <v>105</v>
      </c>
      <c r="H561" s="12" t="s">
        <v>106</v>
      </c>
      <c r="I561" s="12" t="s">
        <v>35</v>
      </c>
      <c r="J561" s="14">
        <v>200</v>
      </c>
      <c r="K561" s="15" t="s">
        <v>28</v>
      </c>
      <c r="M561" s="16">
        <f t="shared" si="77"/>
        <v>15</v>
      </c>
      <c r="N561" s="15">
        <v>3000</v>
      </c>
      <c r="O561" s="15">
        <v>6000</v>
      </c>
      <c r="P561" s="15">
        <f t="shared" si="83"/>
        <v>18000000</v>
      </c>
      <c r="Q561" s="15" t="str">
        <f t="shared" si="81"/>
        <v>Done</v>
      </c>
      <c r="R561" s="18" t="s">
        <v>44</v>
      </c>
      <c r="S561" s="19"/>
      <c r="T561" s="20" t="str">
        <f>IFERROR(VLOOKUP(S561,'Date Converter'!$A$4:$C$368,3,0),"")</f>
        <v/>
      </c>
      <c r="U561" s="21" t="str">
        <f t="shared" si="82"/>
        <v/>
      </c>
      <c r="V561" s="20"/>
      <c r="Y561" s="15"/>
      <c r="Z561" s="206">
        <v>43557</v>
      </c>
      <c r="AA561" s="15">
        <v>3000</v>
      </c>
      <c r="AB561" s="206"/>
      <c r="AC561" s="15"/>
      <c r="AD561" s="206"/>
      <c r="AE561" s="15"/>
      <c r="AF561" s="244"/>
      <c r="AG561" s="15"/>
      <c r="AH561" s="15">
        <f t="shared" si="78"/>
        <v>3000</v>
      </c>
      <c r="AI561" s="22">
        <f t="shared" si="79"/>
        <v>0</v>
      </c>
      <c r="AJ561" s="22">
        <f t="shared" si="80"/>
        <v>0</v>
      </c>
      <c r="AK561" s="165"/>
    </row>
    <row r="562" spans="1:37" outlineLevel="1">
      <c r="A562" s="165" t="s">
        <v>339</v>
      </c>
      <c r="B562" s="13">
        <v>43480</v>
      </c>
      <c r="C562" s="13" t="s">
        <v>23</v>
      </c>
      <c r="D562" s="165" t="s">
        <v>252</v>
      </c>
      <c r="E562" s="165" t="s">
        <v>253</v>
      </c>
      <c r="F562" s="165" t="str">
        <f t="shared" si="76"/>
        <v>CONC_16.18_200_NL2018</v>
      </c>
      <c r="G562" s="165" t="s">
        <v>43</v>
      </c>
      <c r="I562" s="12" t="s">
        <v>35</v>
      </c>
      <c r="J562" s="14">
        <v>200</v>
      </c>
      <c r="K562" s="15" t="s">
        <v>28</v>
      </c>
      <c r="M562" s="16">
        <f t="shared" si="77"/>
        <v>54</v>
      </c>
      <c r="N562" s="15">
        <v>10800</v>
      </c>
      <c r="O562" s="15">
        <v>4700</v>
      </c>
      <c r="P562" s="15">
        <f t="shared" si="83"/>
        <v>50760000</v>
      </c>
      <c r="Q562" s="15" t="str">
        <f t="shared" si="81"/>
        <v>Done</v>
      </c>
      <c r="R562" s="18" t="s">
        <v>44</v>
      </c>
      <c r="S562" s="19">
        <v>43480</v>
      </c>
      <c r="T562" s="20">
        <f>IFERROR(VLOOKUP(S562,'Date Converter'!$A$4:$C$368,3,0),"")</f>
        <v>43515</v>
      </c>
      <c r="U562" s="21">
        <f t="shared" si="82"/>
        <v>43515</v>
      </c>
      <c r="V562" s="20"/>
      <c r="Y562" s="15" t="s">
        <v>59</v>
      </c>
      <c r="Z562" s="206">
        <v>43515</v>
      </c>
      <c r="AA562" s="15">
        <v>3000</v>
      </c>
      <c r="AB562" s="206">
        <v>43529</v>
      </c>
      <c r="AC562" s="15">
        <v>7800</v>
      </c>
      <c r="AD562" s="206"/>
      <c r="AE562" s="15"/>
      <c r="AF562" s="244"/>
      <c r="AG562" s="15"/>
      <c r="AH562" s="15">
        <f t="shared" si="78"/>
        <v>10800</v>
      </c>
      <c r="AI562" s="22">
        <f t="shared" si="79"/>
        <v>0</v>
      </c>
      <c r="AJ562" s="22">
        <f t="shared" si="80"/>
        <v>0</v>
      </c>
      <c r="AK562" s="165"/>
    </row>
    <row r="563" spans="1:37" s="165" customFormat="1" outlineLevel="1">
      <c r="A563" s="165" t="s">
        <v>339</v>
      </c>
      <c r="B563" s="13">
        <v>43480</v>
      </c>
      <c r="C563" s="13" t="s">
        <v>23</v>
      </c>
      <c r="D563" s="165" t="s">
        <v>252</v>
      </c>
      <c r="E563" s="198" t="s">
        <v>253</v>
      </c>
      <c r="F563" s="165" t="str">
        <f t="shared" si="76"/>
        <v>CONC_16.18_200_NL2018</v>
      </c>
      <c r="G563" s="165" t="s">
        <v>43</v>
      </c>
      <c r="H563" s="12"/>
      <c r="I563" s="12" t="s">
        <v>35</v>
      </c>
      <c r="J563" s="14">
        <v>200</v>
      </c>
      <c r="K563" s="15" t="s">
        <v>28</v>
      </c>
      <c r="L563" s="15"/>
      <c r="M563" s="16">
        <f t="shared" si="77"/>
        <v>25</v>
      </c>
      <c r="N563" s="15">
        <v>5000</v>
      </c>
      <c r="O563" s="15">
        <v>5000</v>
      </c>
      <c r="P563" s="15">
        <f t="shared" si="83"/>
        <v>25000000</v>
      </c>
      <c r="Q563" s="15" t="str">
        <f t="shared" si="81"/>
        <v>Done</v>
      </c>
      <c r="R563" s="18" t="s">
        <v>44</v>
      </c>
      <c r="S563" s="19">
        <v>43539</v>
      </c>
      <c r="T563" s="20">
        <f>IFERROR(VLOOKUP(S563,'Date Converter'!$A$4:$C$368,3,0),"")</f>
        <v>43574</v>
      </c>
      <c r="U563" s="21">
        <f t="shared" si="82"/>
        <v>43574</v>
      </c>
      <c r="V563" s="20"/>
      <c r="W563" s="18" t="s">
        <v>108</v>
      </c>
      <c r="X563" s="18">
        <v>43569</v>
      </c>
      <c r="Y563" s="15" t="s">
        <v>59</v>
      </c>
      <c r="Z563" s="206">
        <v>43581</v>
      </c>
      <c r="AA563" s="15">
        <v>2000</v>
      </c>
      <c r="AB563" s="206">
        <v>43594</v>
      </c>
      <c r="AC563" s="15">
        <v>3000</v>
      </c>
      <c r="AD563" s="206"/>
      <c r="AE563" s="15"/>
      <c r="AF563" s="244"/>
      <c r="AG563" s="15"/>
      <c r="AH563" s="15">
        <f t="shared" si="78"/>
        <v>5000</v>
      </c>
      <c r="AI563" s="22">
        <f t="shared" si="79"/>
        <v>0</v>
      </c>
      <c r="AJ563" s="22">
        <f t="shared" si="80"/>
        <v>0</v>
      </c>
      <c r="AK563" s="165" t="s">
        <v>109</v>
      </c>
    </row>
    <row r="564" spans="1:37" s="165" customFormat="1" outlineLevel="1">
      <c r="A564" s="165" t="s">
        <v>339</v>
      </c>
      <c r="B564" s="13">
        <v>43480</v>
      </c>
      <c r="C564" s="13" t="s">
        <v>23</v>
      </c>
      <c r="D564" s="165" t="s">
        <v>252</v>
      </c>
      <c r="E564" s="165" t="s">
        <v>253</v>
      </c>
      <c r="F564" s="165" t="str">
        <f t="shared" si="76"/>
        <v>CONC_16.18_200_NL2018</v>
      </c>
      <c r="G564" s="165" t="s">
        <v>43</v>
      </c>
      <c r="H564" s="12"/>
      <c r="I564" s="12" t="s">
        <v>35</v>
      </c>
      <c r="J564" s="14">
        <v>200</v>
      </c>
      <c r="K564" s="15" t="s">
        <v>28</v>
      </c>
      <c r="L564" s="15"/>
      <c r="M564" s="16">
        <f t="shared" si="77"/>
        <v>25</v>
      </c>
      <c r="N564" s="32">
        <v>5000</v>
      </c>
      <c r="O564" s="15">
        <v>4700</v>
      </c>
      <c r="P564" s="15">
        <f t="shared" si="83"/>
        <v>23500000</v>
      </c>
      <c r="Q564" s="15" t="str">
        <f t="shared" si="81"/>
        <v>Done</v>
      </c>
      <c r="R564" s="18" t="s">
        <v>44</v>
      </c>
      <c r="S564" s="19" t="s">
        <v>151</v>
      </c>
      <c r="T564" s="20">
        <f>IFERROR(VLOOKUP(S564,'Date Converter'!$A$4:$C$368,3,0),"")</f>
        <v>43558</v>
      </c>
      <c r="U564" s="21">
        <f t="shared" si="82"/>
        <v>43558</v>
      </c>
      <c r="V564" s="20"/>
      <c r="W564" s="18" t="s">
        <v>55</v>
      </c>
      <c r="X564" s="18">
        <v>43555</v>
      </c>
      <c r="Y564" s="15" t="s">
        <v>59</v>
      </c>
      <c r="Z564" s="206">
        <v>43568</v>
      </c>
      <c r="AA564" s="15">
        <v>2000</v>
      </c>
      <c r="AB564" s="206">
        <v>43581</v>
      </c>
      <c r="AC564" s="15">
        <v>3000</v>
      </c>
      <c r="AD564" s="206"/>
      <c r="AE564" s="15"/>
      <c r="AF564" s="244"/>
      <c r="AG564" s="15"/>
      <c r="AH564" s="15">
        <f t="shared" si="78"/>
        <v>5000</v>
      </c>
      <c r="AI564" s="22">
        <f t="shared" si="79"/>
        <v>0</v>
      </c>
      <c r="AJ564" s="22">
        <f t="shared" si="80"/>
        <v>0</v>
      </c>
    </row>
    <row r="565" spans="1:37" s="165" customFormat="1" outlineLevel="1">
      <c r="A565" s="165" t="s">
        <v>339</v>
      </c>
      <c r="B565" s="13">
        <v>43554</v>
      </c>
      <c r="C565" s="266" t="s">
        <v>23</v>
      </c>
      <c r="D565" s="258" t="s">
        <v>252</v>
      </c>
      <c r="E565" s="198" t="s">
        <v>253</v>
      </c>
      <c r="F565" s="165" t="str">
        <f t="shared" si="76"/>
        <v>CONC_18.20_150_NL2018</v>
      </c>
      <c r="G565" s="165" t="s">
        <v>40</v>
      </c>
      <c r="H565" s="12"/>
      <c r="I565" s="12" t="s">
        <v>27</v>
      </c>
      <c r="J565" s="14">
        <v>150</v>
      </c>
      <c r="K565" s="15" t="s">
        <v>28</v>
      </c>
      <c r="L565" s="15"/>
      <c r="M565" s="16">
        <f t="shared" si="77"/>
        <v>60</v>
      </c>
      <c r="N565" s="15">
        <f>12000-3000</f>
        <v>9000</v>
      </c>
      <c r="O565" s="15">
        <v>8000</v>
      </c>
      <c r="P565" s="15">
        <f t="shared" si="83"/>
        <v>72000000</v>
      </c>
      <c r="Q565" s="15" t="str">
        <f t="shared" si="81"/>
        <v/>
      </c>
      <c r="R565" s="18" t="s">
        <v>29</v>
      </c>
      <c r="S565" s="23">
        <v>43709</v>
      </c>
      <c r="T565" s="20">
        <f>IFERROR(VLOOKUP(S565,'Date Converter'!$A$4:$C$368,3,0),"")</f>
        <v>43737</v>
      </c>
      <c r="U565" s="21">
        <f t="shared" si="82"/>
        <v>43737</v>
      </c>
      <c r="V565" s="15" t="s">
        <v>51</v>
      </c>
      <c r="W565" s="18"/>
      <c r="X565" s="18"/>
      <c r="Y565" s="15"/>
      <c r="Z565" s="206"/>
      <c r="AA565" s="15"/>
      <c r="AB565" s="206"/>
      <c r="AC565" s="15"/>
      <c r="AD565" s="206"/>
      <c r="AE565" s="15"/>
      <c r="AF565" s="244"/>
      <c r="AG565" s="15"/>
      <c r="AH565" s="15">
        <f t="shared" si="78"/>
        <v>0</v>
      </c>
      <c r="AI565" s="22">
        <f t="shared" si="79"/>
        <v>9000</v>
      </c>
      <c r="AJ565" s="22">
        <f t="shared" si="80"/>
        <v>72000000</v>
      </c>
    </row>
    <row r="566" spans="1:37" s="165" customFormat="1" outlineLevel="1">
      <c r="A566" s="165" t="s">
        <v>339</v>
      </c>
      <c r="B566" s="13">
        <v>43480</v>
      </c>
      <c r="C566" s="266" t="s">
        <v>23</v>
      </c>
      <c r="D566" s="258" t="s">
        <v>252</v>
      </c>
      <c r="E566" s="198" t="s">
        <v>253</v>
      </c>
      <c r="F566" s="165" t="str">
        <f t="shared" si="76"/>
        <v>CONC_20.22_125_NL2018</v>
      </c>
      <c r="G566" s="165" t="s">
        <v>40</v>
      </c>
      <c r="H566" s="12"/>
      <c r="I566" s="12" t="s">
        <v>74</v>
      </c>
      <c r="J566" s="14">
        <v>125</v>
      </c>
      <c r="K566" s="15" t="s">
        <v>28</v>
      </c>
      <c r="L566" s="15"/>
      <c r="M566" s="16">
        <f t="shared" si="77"/>
        <v>128</v>
      </c>
      <c r="N566" s="15">
        <v>16000</v>
      </c>
      <c r="O566" s="15">
        <v>10500</v>
      </c>
      <c r="P566" s="15">
        <f t="shared" si="83"/>
        <v>168000000</v>
      </c>
      <c r="Q566" s="15" t="str">
        <f t="shared" si="81"/>
        <v/>
      </c>
      <c r="R566" s="18" t="s">
        <v>29</v>
      </c>
      <c r="S566" s="23">
        <v>43709</v>
      </c>
      <c r="T566" s="20">
        <f>IFERROR(VLOOKUP(S566,'Date Converter'!$A$4:$C$368,3,0),"")</f>
        <v>43737</v>
      </c>
      <c r="U566" s="21">
        <f t="shared" si="82"/>
        <v>43737</v>
      </c>
      <c r="V566" s="15" t="s">
        <v>51</v>
      </c>
      <c r="W566" s="18"/>
      <c r="X566" s="18"/>
      <c r="Y566" s="15" t="s">
        <v>59</v>
      </c>
      <c r="Z566" s="206"/>
      <c r="AA566" s="15">
        <v>0</v>
      </c>
      <c r="AB566" s="206"/>
      <c r="AC566" s="15"/>
      <c r="AD566" s="206"/>
      <c r="AE566" s="15"/>
      <c r="AF566" s="244"/>
      <c r="AG566" s="15"/>
      <c r="AH566" s="15">
        <f t="shared" si="78"/>
        <v>0</v>
      </c>
      <c r="AI566" s="22">
        <f t="shared" si="79"/>
        <v>16000</v>
      </c>
      <c r="AJ566" s="22">
        <f t="shared" si="80"/>
        <v>168000000</v>
      </c>
    </row>
    <row r="567" spans="1:37" s="165" customFormat="1" outlineLevel="1">
      <c r="A567" s="165" t="s">
        <v>339</v>
      </c>
      <c r="B567" s="13">
        <v>43480</v>
      </c>
      <c r="C567" s="266" t="s">
        <v>23</v>
      </c>
      <c r="D567" s="258" t="s">
        <v>252</v>
      </c>
      <c r="E567" s="198" t="s">
        <v>253</v>
      </c>
      <c r="F567" s="165" t="str">
        <f t="shared" si="76"/>
        <v>CONC_22.24_100_NL2018</v>
      </c>
      <c r="G567" s="165" t="s">
        <v>40</v>
      </c>
      <c r="H567" s="12"/>
      <c r="I567" s="12" t="s">
        <v>78</v>
      </c>
      <c r="J567" s="14">
        <v>100</v>
      </c>
      <c r="K567" s="15" t="s">
        <v>28</v>
      </c>
      <c r="L567" s="15"/>
      <c r="M567" s="16">
        <f t="shared" si="77"/>
        <v>50</v>
      </c>
      <c r="N567" s="15">
        <v>5000</v>
      </c>
      <c r="O567" s="15">
        <v>12500</v>
      </c>
      <c r="P567" s="15">
        <f t="shared" si="83"/>
        <v>62500000</v>
      </c>
      <c r="Q567" s="15" t="str">
        <f t="shared" si="81"/>
        <v/>
      </c>
      <c r="R567" s="18" t="s">
        <v>29</v>
      </c>
      <c r="S567" s="23">
        <v>43709</v>
      </c>
      <c r="T567" s="20">
        <f>IFERROR(VLOOKUP(S567,'Date Converter'!$A$4:$C$368,3,0),"")</f>
        <v>43737</v>
      </c>
      <c r="U567" s="21">
        <f t="shared" si="82"/>
        <v>43737</v>
      </c>
      <c r="V567" s="15" t="s">
        <v>51</v>
      </c>
      <c r="W567" s="18"/>
      <c r="X567" s="18"/>
      <c r="Y567" s="15" t="s">
        <v>59</v>
      </c>
      <c r="Z567" s="206"/>
      <c r="AA567" s="15">
        <v>0</v>
      </c>
      <c r="AB567" s="206"/>
      <c r="AC567" s="15"/>
      <c r="AD567" s="206"/>
      <c r="AE567" s="15"/>
      <c r="AF567" s="244"/>
      <c r="AG567" s="15"/>
      <c r="AH567" s="15">
        <f t="shared" si="78"/>
        <v>0</v>
      </c>
      <c r="AI567" s="22">
        <f t="shared" si="79"/>
        <v>5000</v>
      </c>
      <c r="AJ567" s="22">
        <f t="shared" si="80"/>
        <v>62500000</v>
      </c>
    </row>
    <row r="568" spans="1:37" s="165" customFormat="1" outlineLevel="1">
      <c r="A568" s="165" t="s">
        <v>496</v>
      </c>
      <c r="B568" s="13">
        <v>43604</v>
      </c>
      <c r="C568" s="13" t="s">
        <v>23</v>
      </c>
      <c r="D568" s="165" t="s">
        <v>252</v>
      </c>
      <c r="E568" s="198" t="s">
        <v>253</v>
      </c>
      <c r="F568" s="165" t="str">
        <f t="shared" si="76"/>
        <v>BACA_16.18_200_NL2018</v>
      </c>
      <c r="G568" s="165" t="s">
        <v>67</v>
      </c>
      <c r="H568" s="12"/>
      <c r="I568" s="12" t="s">
        <v>35</v>
      </c>
      <c r="J568" s="14">
        <v>200</v>
      </c>
      <c r="K568" s="15" t="s">
        <v>28</v>
      </c>
      <c r="L568" s="15"/>
      <c r="M568" s="16">
        <f t="shared" si="77"/>
        <v>3</v>
      </c>
      <c r="N568" s="15">
        <v>600</v>
      </c>
      <c r="O568" s="15">
        <v>7000</v>
      </c>
      <c r="P568" s="15">
        <f t="shared" si="83"/>
        <v>4200000</v>
      </c>
      <c r="Q568" s="15" t="str">
        <f t="shared" si="81"/>
        <v>Done</v>
      </c>
      <c r="R568" s="18" t="s">
        <v>44</v>
      </c>
      <c r="S568" s="23">
        <v>43572</v>
      </c>
      <c r="T568" s="20">
        <f>IFERROR(VLOOKUP(S568,'Date Converter'!$A$4:$C$368,3,0),"")</f>
        <v>43606</v>
      </c>
      <c r="U568" s="21">
        <f t="shared" si="82"/>
        <v>43606</v>
      </c>
      <c r="V568" s="20"/>
      <c r="W568" s="18"/>
      <c r="X568" s="18"/>
      <c r="Y568" s="15"/>
      <c r="Z568" s="206">
        <v>43620</v>
      </c>
      <c r="AA568" s="15">
        <v>600</v>
      </c>
      <c r="AB568" s="206"/>
      <c r="AC568" s="15"/>
      <c r="AD568" s="206"/>
      <c r="AE568" s="15"/>
      <c r="AF568" s="244"/>
      <c r="AG568" s="15"/>
      <c r="AH568" s="15">
        <f t="shared" si="78"/>
        <v>600</v>
      </c>
      <c r="AI568" s="22">
        <f t="shared" si="79"/>
        <v>0</v>
      </c>
      <c r="AJ568" s="22">
        <f t="shared" si="80"/>
        <v>0</v>
      </c>
    </row>
    <row r="569" spans="1:37" s="165" customFormat="1" outlineLevel="1">
      <c r="A569" s="165" t="s">
        <v>496</v>
      </c>
      <c r="B569" s="13">
        <v>43604</v>
      </c>
      <c r="C569" s="13" t="s">
        <v>23</v>
      </c>
      <c r="D569" s="165" t="s">
        <v>252</v>
      </c>
      <c r="E569" s="198" t="s">
        <v>253</v>
      </c>
      <c r="F569" s="165" t="str">
        <f t="shared" ref="F569:F632" si="84">SUBSTITUTE(LEFT(G569,4)&amp;"_"&amp;H569&amp;"_"&amp;I569&amp;"_"&amp;J569&amp;"_"&amp;K569,"__","_")</f>
        <v>BACA_15.16_300_NL2018</v>
      </c>
      <c r="G569" s="165" t="s">
        <v>67</v>
      </c>
      <c r="H569" s="12"/>
      <c r="I569" s="12" t="s">
        <v>77</v>
      </c>
      <c r="J569" s="14">
        <v>300</v>
      </c>
      <c r="K569" s="15" t="s">
        <v>28</v>
      </c>
      <c r="L569" s="15"/>
      <c r="M569" s="16">
        <f t="shared" ref="M569:M632" si="85">+N569/J569</f>
        <v>8</v>
      </c>
      <c r="N569" s="15">
        <v>2400</v>
      </c>
      <c r="O569" s="15">
        <v>4500</v>
      </c>
      <c r="P569" s="15">
        <f t="shared" si="83"/>
        <v>10800000</v>
      </c>
      <c r="Q569" s="15" t="str">
        <f t="shared" si="81"/>
        <v>Done</v>
      </c>
      <c r="R569" s="18" t="s">
        <v>44</v>
      </c>
      <c r="S569" s="23">
        <v>43572</v>
      </c>
      <c r="T569" s="20">
        <f>IFERROR(VLOOKUP(S569,'Date Converter'!$A$4:$C$368,3,0),"")</f>
        <v>43606</v>
      </c>
      <c r="U569" s="21">
        <f t="shared" si="82"/>
        <v>43606</v>
      </c>
      <c r="V569" s="20"/>
      <c r="W569" s="18"/>
      <c r="X569" s="18"/>
      <c r="Y569" s="15"/>
      <c r="Z569" s="206">
        <v>43620</v>
      </c>
      <c r="AA569" s="15">
        <v>300</v>
      </c>
      <c r="AB569" s="206">
        <v>43636</v>
      </c>
      <c r="AC569" s="15">
        <v>2100</v>
      </c>
      <c r="AD569" s="206"/>
      <c r="AE569" s="15"/>
      <c r="AF569" s="244"/>
      <c r="AG569" s="15"/>
      <c r="AH569" s="15">
        <f t="shared" ref="AH569:AH632" si="86">+AA569+AC569+AE569+AG569</f>
        <v>2400</v>
      </c>
      <c r="AI569" s="22">
        <f t="shared" ref="AI569:AI632" si="87">+N569-AH569</f>
        <v>0</v>
      </c>
      <c r="AJ569" s="22">
        <f t="shared" ref="AJ569:AJ632" si="88">+AI569*O569</f>
        <v>0</v>
      </c>
    </row>
    <row r="570" spans="1:37" s="165" customFormat="1" outlineLevel="1">
      <c r="A570" s="165" t="s">
        <v>496</v>
      </c>
      <c r="B570" s="13">
        <v>43604</v>
      </c>
      <c r="C570" s="13" t="s">
        <v>23</v>
      </c>
      <c r="D570" s="165" t="s">
        <v>252</v>
      </c>
      <c r="E570" s="198" t="s">
        <v>253</v>
      </c>
      <c r="F570" s="165" t="str">
        <f t="shared" si="84"/>
        <v>BACA_15.16_250_NL2018</v>
      </c>
      <c r="G570" s="165" t="s">
        <v>67</v>
      </c>
      <c r="H570" s="12"/>
      <c r="I570" s="12" t="s">
        <v>77</v>
      </c>
      <c r="J570" s="14">
        <v>250</v>
      </c>
      <c r="K570" s="15" t="s">
        <v>28</v>
      </c>
      <c r="L570" s="15"/>
      <c r="M570" s="16">
        <f t="shared" si="85"/>
        <v>8</v>
      </c>
      <c r="N570" s="15">
        <v>2000</v>
      </c>
      <c r="O570" s="15">
        <v>4500</v>
      </c>
      <c r="P570" s="15">
        <f t="shared" si="83"/>
        <v>9000000</v>
      </c>
      <c r="Q570" s="15" t="str">
        <f t="shared" si="81"/>
        <v>Done</v>
      </c>
      <c r="R570" s="18" t="s">
        <v>44</v>
      </c>
      <c r="S570" s="23">
        <v>43539</v>
      </c>
      <c r="T570" s="20">
        <f>IFERROR(VLOOKUP(S570,'Date Converter'!$A$4:$C$368,3,0),"")</f>
        <v>43574</v>
      </c>
      <c r="U570" s="21">
        <f t="shared" si="82"/>
        <v>43574</v>
      </c>
      <c r="V570" s="20"/>
      <c r="W570" s="18"/>
      <c r="X570" s="18"/>
      <c r="Y570" s="15"/>
      <c r="Z570" s="206">
        <v>43620</v>
      </c>
      <c r="AA570" s="15">
        <v>2000</v>
      </c>
      <c r="AB570" s="206"/>
      <c r="AC570" s="15"/>
      <c r="AD570" s="206"/>
      <c r="AE570" s="15"/>
      <c r="AF570" s="244"/>
      <c r="AG570" s="15"/>
      <c r="AH570" s="15">
        <f t="shared" si="86"/>
        <v>2000</v>
      </c>
      <c r="AI570" s="22">
        <f t="shared" si="87"/>
        <v>0</v>
      </c>
      <c r="AJ570" s="22">
        <f t="shared" si="88"/>
        <v>0</v>
      </c>
    </row>
    <row r="571" spans="1:37" s="165" customFormat="1" outlineLevel="1">
      <c r="A571" s="165" t="s">
        <v>496</v>
      </c>
      <c r="B571" s="13">
        <v>43604</v>
      </c>
      <c r="C571" s="13" t="s">
        <v>23</v>
      </c>
      <c r="D571" s="165" t="s">
        <v>252</v>
      </c>
      <c r="E571" s="198" t="s">
        <v>253</v>
      </c>
      <c r="F571" s="165" t="str">
        <f t="shared" si="84"/>
        <v>BACA_18.20_150_NL2018</v>
      </c>
      <c r="G571" s="165" t="s">
        <v>67</v>
      </c>
      <c r="H571" s="12"/>
      <c r="I571" s="12" t="s">
        <v>27</v>
      </c>
      <c r="J571" s="14">
        <v>150</v>
      </c>
      <c r="K571" s="15" t="s">
        <v>28</v>
      </c>
      <c r="L571" s="15"/>
      <c r="M571" s="16">
        <f t="shared" si="85"/>
        <v>31</v>
      </c>
      <c r="N571" s="15">
        <v>4650</v>
      </c>
      <c r="O571" s="15">
        <v>9000</v>
      </c>
      <c r="P571" s="15">
        <f t="shared" si="83"/>
        <v>41850000</v>
      </c>
      <c r="Q571" s="15" t="str">
        <f t="shared" si="81"/>
        <v/>
      </c>
      <c r="R571" s="18" t="s">
        <v>29</v>
      </c>
      <c r="S571" s="23">
        <v>43707</v>
      </c>
      <c r="T571" s="20">
        <f>IFERROR(VLOOKUP(S571,'Date Converter'!$A$4:$C$368,3,0),"")</f>
        <v>43736</v>
      </c>
      <c r="U571" s="21">
        <f t="shared" si="82"/>
        <v>43736</v>
      </c>
      <c r="V571" s="20"/>
      <c r="W571" s="18"/>
      <c r="X571" s="18"/>
      <c r="Y571" s="15"/>
      <c r="Z571" s="206"/>
      <c r="AA571" s="15"/>
      <c r="AB571" s="206"/>
      <c r="AC571" s="15"/>
      <c r="AD571" s="206"/>
      <c r="AE571" s="15"/>
      <c r="AF571" s="244"/>
      <c r="AG571" s="15"/>
      <c r="AH571" s="15">
        <f t="shared" si="86"/>
        <v>0</v>
      </c>
      <c r="AI571" s="22">
        <f t="shared" si="87"/>
        <v>4650</v>
      </c>
      <c r="AJ571" s="22">
        <f t="shared" si="88"/>
        <v>41850000</v>
      </c>
    </row>
    <row r="572" spans="1:37" s="165" customFormat="1" hidden="1" outlineLevel="1">
      <c r="A572" s="165" t="s">
        <v>1817</v>
      </c>
      <c r="B572" s="13">
        <v>43617</v>
      </c>
      <c r="C572" s="266" t="s">
        <v>23</v>
      </c>
      <c r="D572" s="258" t="s">
        <v>1819</v>
      </c>
      <c r="E572" s="13" t="s">
        <v>1818</v>
      </c>
      <c r="F572" s="165" t="str">
        <f t="shared" si="84"/>
        <v>CONC_20.22_125_NZ2019</v>
      </c>
      <c r="G572" s="13" t="s">
        <v>1509</v>
      </c>
      <c r="H572" s="12"/>
      <c r="I572" s="12" t="s">
        <v>74</v>
      </c>
      <c r="J572" s="31" t="s">
        <v>122</v>
      </c>
      <c r="K572" s="15" t="s">
        <v>1507</v>
      </c>
      <c r="L572" s="15"/>
      <c r="M572" s="33">
        <f t="shared" si="85"/>
        <v>40</v>
      </c>
      <c r="N572" s="15">
        <v>5000</v>
      </c>
      <c r="O572" s="15">
        <v>12000</v>
      </c>
      <c r="P572" s="15">
        <f t="shared" si="83"/>
        <v>60000000</v>
      </c>
      <c r="Q572" s="15" t="str">
        <f t="shared" si="81"/>
        <v/>
      </c>
      <c r="R572" s="18" t="s">
        <v>29</v>
      </c>
      <c r="S572" s="23">
        <v>43709</v>
      </c>
      <c r="T572" s="20">
        <f>IFERROR(VLOOKUP(S572,'Date Converter'!$A$4:$C$368,3,0),"")</f>
        <v>43737</v>
      </c>
      <c r="U572" s="21">
        <f t="shared" si="82"/>
        <v>43737</v>
      </c>
      <c r="V572" s="12"/>
      <c r="W572" s="18"/>
      <c r="X572" s="18"/>
      <c r="Y572" s="12"/>
      <c r="Z572" s="206"/>
      <c r="AA572" s="12"/>
      <c r="AB572" s="12"/>
      <c r="AC572" s="12"/>
      <c r="AD572" s="12"/>
      <c r="AE572" s="12"/>
      <c r="AF572" s="245"/>
      <c r="AG572" s="12"/>
      <c r="AH572" s="15">
        <f t="shared" si="86"/>
        <v>0</v>
      </c>
      <c r="AI572" s="22">
        <f t="shared" si="87"/>
        <v>5000</v>
      </c>
      <c r="AJ572" s="22">
        <f t="shared" si="88"/>
        <v>60000000</v>
      </c>
    </row>
    <row r="573" spans="1:37" s="165" customFormat="1" hidden="1" outlineLevel="1">
      <c r="A573" s="165" t="s">
        <v>1817</v>
      </c>
      <c r="B573" s="13">
        <v>43617</v>
      </c>
      <c r="C573" s="266" t="s">
        <v>23</v>
      </c>
      <c r="D573" s="258" t="s">
        <v>1819</v>
      </c>
      <c r="E573" s="13" t="s">
        <v>1818</v>
      </c>
      <c r="F573" s="165" t="str">
        <f t="shared" si="84"/>
        <v>CONC_18.20_150_NL2018</v>
      </c>
      <c r="G573" s="13" t="s">
        <v>40</v>
      </c>
      <c r="H573" s="12"/>
      <c r="I573" s="12" t="s">
        <v>27</v>
      </c>
      <c r="J573" s="31" t="s">
        <v>126</v>
      </c>
      <c r="K573" s="15" t="s">
        <v>28</v>
      </c>
      <c r="L573" s="15"/>
      <c r="M573" s="33">
        <f t="shared" si="85"/>
        <v>34</v>
      </c>
      <c r="N573" s="15">
        <v>5100</v>
      </c>
      <c r="O573" s="15">
        <v>8000</v>
      </c>
      <c r="P573" s="15">
        <f t="shared" si="83"/>
        <v>40800000</v>
      </c>
      <c r="Q573" s="15" t="str">
        <f t="shared" si="81"/>
        <v/>
      </c>
      <c r="R573" s="18" t="s">
        <v>29</v>
      </c>
      <c r="S573" s="23">
        <v>43709</v>
      </c>
      <c r="T573" s="20">
        <f>IFERROR(VLOOKUP(S573,'Date Converter'!$A$4:$C$368,3,0),"")</f>
        <v>43737</v>
      </c>
      <c r="U573" s="21">
        <f t="shared" si="82"/>
        <v>43737</v>
      </c>
      <c r="V573" s="12"/>
      <c r="W573" s="18"/>
      <c r="X573" s="18"/>
      <c r="Y573" s="12"/>
      <c r="Z573" s="206"/>
      <c r="AA573" s="12"/>
      <c r="AB573" s="12"/>
      <c r="AC573" s="12"/>
      <c r="AD573" s="12"/>
      <c r="AE573" s="12"/>
      <c r="AF573" s="245"/>
      <c r="AG573" s="12"/>
      <c r="AH573" s="15">
        <f t="shared" si="86"/>
        <v>0</v>
      </c>
      <c r="AI573" s="22">
        <f t="shared" si="87"/>
        <v>5100</v>
      </c>
      <c r="AJ573" s="22">
        <f t="shared" si="88"/>
        <v>40800000</v>
      </c>
    </row>
    <row r="574" spans="1:37" s="165" customFormat="1" hidden="1" outlineLevel="1">
      <c r="A574" s="165" t="s">
        <v>1817</v>
      </c>
      <c r="B574" s="13">
        <v>43617</v>
      </c>
      <c r="C574" s="266" t="s">
        <v>23</v>
      </c>
      <c r="D574" s="258" t="s">
        <v>1819</v>
      </c>
      <c r="E574" s="13" t="s">
        <v>1818</v>
      </c>
      <c r="F574" s="165" t="str">
        <f t="shared" si="84"/>
        <v>CONC_20.22_125_NL2018</v>
      </c>
      <c r="G574" s="13" t="s">
        <v>40</v>
      </c>
      <c r="H574" s="12"/>
      <c r="I574" s="12" t="s">
        <v>74</v>
      </c>
      <c r="J574" s="31" t="s">
        <v>122</v>
      </c>
      <c r="K574" s="15" t="s">
        <v>28</v>
      </c>
      <c r="L574" s="15"/>
      <c r="M574" s="33">
        <f t="shared" si="85"/>
        <v>80</v>
      </c>
      <c r="N574" s="15">
        <v>10000</v>
      </c>
      <c r="O574" s="15">
        <v>10600</v>
      </c>
      <c r="P574" s="15">
        <f t="shared" si="83"/>
        <v>106000000</v>
      </c>
      <c r="Q574" s="15" t="str">
        <f t="shared" si="81"/>
        <v/>
      </c>
      <c r="R574" s="18" t="s">
        <v>29</v>
      </c>
      <c r="S574" s="23">
        <v>43709</v>
      </c>
      <c r="T574" s="20">
        <f>IFERROR(VLOOKUP(S574,'Date Converter'!$A$4:$C$368,3,0),"")</f>
        <v>43737</v>
      </c>
      <c r="U574" s="21">
        <f t="shared" si="82"/>
        <v>43737</v>
      </c>
      <c r="V574" s="12"/>
      <c r="W574" s="18"/>
      <c r="X574" s="18"/>
      <c r="Y574" s="12"/>
      <c r="Z574" s="206"/>
      <c r="AA574" s="12"/>
      <c r="AB574" s="12"/>
      <c r="AC574" s="12"/>
      <c r="AD574" s="12"/>
      <c r="AE574" s="12"/>
      <c r="AF574" s="245"/>
      <c r="AG574" s="12"/>
      <c r="AH574" s="15">
        <f t="shared" si="86"/>
        <v>0</v>
      </c>
      <c r="AI574" s="22">
        <f t="shared" si="87"/>
        <v>10000</v>
      </c>
      <c r="AJ574" s="22">
        <f t="shared" si="88"/>
        <v>106000000</v>
      </c>
    </row>
    <row r="575" spans="1:37" s="165" customFormat="1" hidden="1" outlineLevel="1">
      <c r="A575" s="165" t="s">
        <v>1849</v>
      </c>
      <c r="B575" s="13">
        <v>43630</v>
      </c>
      <c r="C575" s="266" t="s">
        <v>23</v>
      </c>
      <c r="D575" s="258" t="s">
        <v>94</v>
      </c>
      <c r="E575" s="165" t="s">
        <v>95</v>
      </c>
      <c r="F575" s="165" t="str">
        <f t="shared" si="84"/>
        <v>SERA_18.20_150_NL2018</v>
      </c>
      <c r="G575" s="13" t="s">
        <v>227</v>
      </c>
      <c r="H575" s="12"/>
      <c r="I575" s="12" t="s">
        <v>27</v>
      </c>
      <c r="J575" s="14">
        <v>150</v>
      </c>
      <c r="K575" s="15" t="s">
        <v>28</v>
      </c>
      <c r="L575" s="15"/>
      <c r="M575" s="16">
        <f t="shared" si="85"/>
        <v>14</v>
      </c>
      <c r="N575" s="15">
        <v>2100</v>
      </c>
      <c r="O575" s="15">
        <v>7700</v>
      </c>
      <c r="P575" s="15">
        <f t="shared" si="83"/>
        <v>16170000</v>
      </c>
      <c r="Q575" s="15" t="str">
        <f t="shared" si="81"/>
        <v/>
      </c>
      <c r="R575" s="18" t="s">
        <v>29</v>
      </c>
      <c r="S575" s="23">
        <v>43709</v>
      </c>
      <c r="T575" s="20">
        <f>IFERROR(VLOOKUP(S575,'Date Converter'!$A$4:$C$368,3,0),"")</f>
        <v>43737</v>
      </c>
      <c r="U575" s="21">
        <f t="shared" si="82"/>
        <v>43737</v>
      </c>
      <c r="V575" s="12"/>
      <c r="W575" s="18"/>
      <c r="X575" s="18"/>
      <c r="Y575" s="15"/>
      <c r="Z575" s="206"/>
      <c r="AA575" s="15"/>
      <c r="AB575" s="206"/>
      <c r="AC575" s="15"/>
      <c r="AD575" s="206"/>
      <c r="AE575" s="15"/>
      <c r="AF575" s="244"/>
      <c r="AG575" s="15"/>
      <c r="AH575" s="15">
        <f t="shared" si="86"/>
        <v>0</v>
      </c>
      <c r="AI575" s="22">
        <f t="shared" si="87"/>
        <v>2100</v>
      </c>
      <c r="AJ575" s="22">
        <f t="shared" si="88"/>
        <v>16170000</v>
      </c>
    </row>
    <row r="576" spans="1:37" s="165" customFormat="1" hidden="1" outlineLevel="1">
      <c r="A576" s="165" t="s">
        <v>298</v>
      </c>
      <c r="B576" s="13">
        <v>43510</v>
      </c>
      <c r="C576" s="13" t="s">
        <v>23</v>
      </c>
      <c r="D576" s="165" t="s">
        <v>94</v>
      </c>
      <c r="E576" s="165" t="s">
        <v>95</v>
      </c>
      <c r="F576" s="165" t="str">
        <f t="shared" si="84"/>
        <v>ROBI_18.20_150_NL2018</v>
      </c>
      <c r="G576" s="165" t="s">
        <v>61</v>
      </c>
      <c r="H576" s="12"/>
      <c r="I576" s="12" t="s">
        <v>27</v>
      </c>
      <c r="J576" s="14">
        <v>150</v>
      </c>
      <c r="K576" s="15" t="s">
        <v>28</v>
      </c>
      <c r="L576" s="15"/>
      <c r="M576" s="16">
        <f t="shared" si="85"/>
        <v>7</v>
      </c>
      <c r="N576" s="15">
        <v>1050</v>
      </c>
      <c r="O576" s="15">
        <v>6300</v>
      </c>
      <c r="P576" s="15">
        <f t="shared" si="83"/>
        <v>6615000</v>
      </c>
      <c r="Q576" s="15" t="str">
        <f t="shared" si="81"/>
        <v>Done</v>
      </c>
      <c r="R576" s="18" t="s">
        <v>44</v>
      </c>
      <c r="S576" s="23">
        <v>43511</v>
      </c>
      <c r="T576" s="20">
        <f>IFERROR(VLOOKUP(S576,'Date Converter'!$A$4:$C$368,3,0),"")</f>
        <v>43544</v>
      </c>
      <c r="U576" s="21">
        <f t="shared" si="82"/>
        <v>43544</v>
      </c>
      <c r="V576" s="12" t="s">
        <v>32</v>
      </c>
      <c r="W576" s="18" t="s">
        <v>41</v>
      </c>
      <c r="X576" s="18">
        <v>43541</v>
      </c>
      <c r="Y576" s="15" t="s">
        <v>59</v>
      </c>
      <c r="Z576" s="206">
        <v>43543</v>
      </c>
      <c r="AA576" s="15">
        <v>1050</v>
      </c>
      <c r="AB576" s="206"/>
      <c r="AC576" s="15"/>
      <c r="AD576" s="206"/>
      <c r="AE576" s="15"/>
      <c r="AF576" s="244"/>
      <c r="AG576" s="15"/>
      <c r="AH576" s="15">
        <f t="shared" si="86"/>
        <v>1050</v>
      </c>
      <c r="AI576" s="22">
        <f t="shared" si="87"/>
        <v>0</v>
      </c>
      <c r="AJ576" s="22">
        <f t="shared" si="88"/>
        <v>0</v>
      </c>
    </row>
    <row r="577" spans="1:37" s="165" customFormat="1" hidden="1" outlineLevel="1">
      <c r="A577" s="165" t="s">
        <v>1849</v>
      </c>
      <c r="B577" s="13">
        <v>43619</v>
      </c>
      <c r="C577" s="266" t="s">
        <v>23</v>
      </c>
      <c r="D577" s="258" t="s">
        <v>94</v>
      </c>
      <c r="E577" s="165" t="s">
        <v>95</v>
      </c>
      <c r="F577" s="165" t="str">
        <f t="shared" si="84"/>
        <v>ROBI_20.22_125_NL2018</v>
      </c>
      <c r="G577" s="13" t="s">
        <v>61</v>
      </c>
      <c r="H577" s="12"/>
      <c r="I577" s="12" t="s">
        <v>74</v>
      </c>
      <c r="J577" s="14">
        <v>125</v>
      </c>
      <c r="K577" s="15" t="s">
        <v>28</v>
      </c>
      <c r="L577" s="15"/>
      <c r="M577" s="16">
        <f t="shared" si="85"/>
        <v>8</v>
      </c>
      <c r="N577" s="15">
        <v>1000</v>
      </c>
      <c r="O577" s="15">
        <v>11700</v>
      </c>
      <c r="P577" s="15">
        <f t="shared" si="83"/>
        <v>11700000</v>
      </c>
      <c r="Q577" s="15" t="str">
        <f t="shared" si="81"/>
        <v/>
      </c>
      <c r="R577" s="18" t="s">
        <v>29</v>
      </c>
      <c r="S577" s="23">
        <v>43709</v>
      </c>
      <c r="T577" s="20">
        <f>IFERROR(VLOOKUP(S577,'Date Converter'!$A$4:$C$368,3,0),"")</f>
        <v>43737</v>
      </c>
      <c r="U577" s="21">
        <f t="shared" si="82"/>
        <v>43737</v>
      </c>
      <c r="V577" s="12"/>
      <c r="W577" s="18"/>
      <c r="X577" s="18"/>
      <c r="Y577" s="15"/>
      <c r="Z577" s="206"/>
      <c r="AA577" s="15"/>
      <c r="AB577" s="206"/>
      <c r="AC577" s="15"/>
      <c r="AD577" s="206"/>
      <c r="AE577" s="15"/>
      <c r="AF577" s="244"/>
      <c r="AG577" s="15"/>
      <c r="AH577" s="15">
        <f t="shared" si="86"/>
        <v>0</v>
      </c>
      <c r="AI577" s="22">
        <f t="shared" si="87"/>
        <v>1000</v>
      </c>
      <c r="AJ577" s="22">
        <f t="shared" si="88"/>
        <v>11700000</v>
      </c>
    </row>
    <row r="578" spans="1:37" s="165" customFormat="1" hidden="1" outlineLevel="1">
      <c r="A578" s="165" t="s">
        <v>1849</v>
      </c>
      <c r="B578" s="13">
        <v>43619</v>
      </c>
      <c r="C578" s="266" t="s">
        <v>23</v>
      </c>
      <c r="D578" s="258" t="s">
        <v>94</v>
      </c>
      <c r="E578" s="165" t="s">
        <v>95</v>
      </c>
      <c r="F578" s="165" t="str">
        <f t="shared" si="84"/>
        <v>MANI_20.22_125_NL2018</v>
      </c>
      <c r="G578" s="13" t="s">
        <v>105</v>
      </c>
      <c r="H578" s="12"/>
      <c r="I578" s="12" t="s">
        <v>74</v>
      </c>
      <c r="J578" s="14">
        <v>125</v>
      </c>
      <c r="K578" s="15" t="s">
        <v>28</v>
      </c>
      <c r="L578" s="15"/>
      <c r="M578" s="16">
        <f t="shared" si="85"/>
        <v>16</v>
      </c>
      <c r="N578" s="15">
        <v>2000</v>
      </c>
      <c r="O578" s="15">
        <v>14600</v>
      </c>
      <c r="P578" s="15">
        <f t="shared" si="83"/>
        <v>29200000</v>
      </c>
      <c r="Q578" s="15" t="str">
        <f t="shared" si="81"/>
        <v/>
      </c>
      <c r="R578" s="18" t="s">
        <v>29</v>
      </c>
      <c r="S578" s="23">
        <v>43709</v>
      </c>
      <c r="T578" s="20">
        <f>IFERROR(VLOOKUP(S578,'Date Converter'!$A$4:$C$368,3,0),"")</f>
        <v>43737</v>
      </c>
      <c r="U578" s="21">
        <f t="shared" si="82"/>
        <v>43737</v>
      </c>
      <c r="V578" s="12"/>
      <c r="W578" s="18"/>
      <c r="X578" s="18"/>
      <c r="Y578" s="15"/>
      <c r="Z578" s="206"/>
      <c r="AA578" s="15"/>
      <c r="AB578" s="206"/>
      <c r="AC578" s="15"/>
      <c r="AD578" s="206"/>
      <c r="AE578" s="15"/>
      <c r="AF578" s="244"/>
      <c r="AG578" s="15"/>
      <c r="AH578" s="15">
        <f t="shared" si="86"/>
        <v>0</v>
      </c>
      <c r="AI578" s="22">
        <f t="shared" si="87"/>
        <v>2000</v>
      </c>
      <c r="AJ578" s="22">
        <f t="shared" si="88"/>
        <v>29200000</v>
      </c>
    </row>
    <row r="579" spans="1:37" hidden="1" outlineLevel="1">
      <c r="A579" s="165" t="s">
        <v>1412</v>
      </c>
      <c r="B579" s="13">
        <v>43567</v>
      </c>
      <c r="C579" s="13" t="s">
        <v>23</v>
      </c>
      <c r="D579" s="165" t="s">
        <v>94</v>
      </c>
      <c r="E579" s="198" t="s">
        <v>95</v>
      </c>
      <c r="F579" s="165" t="str">
        <f t="shared" si="84"/>
        <v>FELI_16.18_200_NL2018</v>
      </c>
      <c r="G579" s="165" t="s">
        <v>117</v>
      </c>
      <c r="I579" s="12" t="s">
        <v>35</v>
      </c>
      <c r="J579" s="14">
        <v>200</v>
      </c>
      <c r="K579" s="15" t="s">
        <v>28</v>
      </c>
      <c r="M579" s="16">
        <f t="shared" si="85"/>
        <v>8</v>
      </c>
      <c r="N579" s="15">
        <v>1600</v>
      </c>
      <c r="O579" s="15">
        <v>7400</v>
      </c>
      <c r="P579" s="15">
        <f t="shared" si="83"/>
        <v>11840000</v>
      </c>
      <c r="Q579" s="15" t="str">
        <f t="shared" ref="Q579:Q642" si="89">IF(AND(N579=0,AI579=0),"Canceled",IF(AND(N579&gt;0,AI579=0),"Done",""))</f>
        <v>Done</v>
      </c>
      <c r="R579" s="18" t="s">
        <v>44</v>
      </c>
      <c r="S579" s="23">
        <v>43539</v>
      </c>
      <c r="T579" s="20">
        <f>IFERROR(VLOOKUP(S579,'Date Converter'!$A$4:$C$368,3,0),"")</f>
        <v>43574</v>
      </c>
      <c r="U579" s="21">
        <f t="shared" si="82"/>
        <v>43574</v>
      </c>
      <c r="V579" s="12" t="s">
        <v>57</v>
      </c>
      <c r="Y579" s="15"/>
      <c r="Z579" s="206">
        <v>43575</v>
      </c>
      <c r="AA579" s="15">
        <v>800</v>
      </c>
      <c r="AB579" s="206">
        <v>43609</v>
      </c>
      <c r="AC579" s="15">
        <v>800</v>
      </c>
      <c r="AD579" s="206"/>
      <c r="AE579" s="15"/>
      <c r="AF579" s="244"/>
      <c r="AG579" s="15"/>
      <c r="AH579" s="15">
        <f t="shared" si="86"/>
        <v>1600</v>
      </c>
      <c r="AI579" s="22">
        <f t="shared" si="87"/>
        <v>0</v>
      </c>
      <c r="AJ579" s="22">
        <f t="shared" si="88"/>
        <v>0</v>
      </c>
    </row>
    <row r="580" spans="1:37" hidden="1" outlineLevel="1">
      <c r="A580" s="165" t="s">
        <v>1801</v>
      </c>
      <c r="B580" s="13">
        <v>43615</v>
      </c>
      <c r="C580" s="266" t="s">
        <v>23</v>
      </c>
      <c r="D580" s="258" t="s">
        <v>826</v>
      </c>
      <c r="E580" s="13" t="s">
        <v>827</v>
      </c>
      <c r="F580" s="165" t="str">
        <f t="shared" si="84"/>
        <v>ROBI_20.22_125_NZ2019</v>
      </c>
      <c r="G580" s="13" t="s">
        <v>1850</v>
      </c>
      <c r="I580" s="12" t="s">
        <v>74</v>
      </c>
      <c r="J580" s="31" t="s">
        <v>122</v>
      </c>
      <c r="K580" s="15" t="s">
        <v>1507</v>
      </c>
      <c r="M580" s="33">
        <f t="shared" si="85"/>
        <v>64</v>
      </c>
      <c r="N580" s="15">
        <v>8000</v>
      </c>
      <c r="O580" s="15">
        <v>12500</v>
      </c>
      <c r="P580" s="15">
        <f t="shared" si="83"/>
        <v>100000000</v>
      </c>
      <c r="Q580" s="15" t="str">
        <f t="shared" si="89"/>
        <v/>
      </c>
      <c r="R580" s="18" t="s">
        <v>29</v>
      </c>
      <c r="S580" s="23">
        <v>43709</v>
      </c>
      <c r="T580" s="20">
        <f>IFERROR(VLOOKUP(S580,'Date Converter'!$A$4:$C$368,3,0),"")</f>
        <v>43737</v>
      </c>
      <c r="U580" s="21">
        <f t="shared" si="82"/>
        <v>43737</v>
      </c>
      <c r="AD580" s="12"/>
      <c r="AH580" s="15">
        <f t="shared" si="86"/>
        <v>0</v>
      </c>
      <c r="AI580" s="22">
        <f t="shared" si="87"/>
        <v>8000</v>
      </c>
      <c r="AJ580" s="22">
        <f t="shared" si="88"/>
        <v>100000000</v>
      </c>
    </row>
    <row r="581" spans="1:37" hidden="1" outlineLevel="1">
      <c r="A581" s="165" t="s">
        <v>1801</v>
      </c>
      <c r="B581" s="13">
        <v>43615</v>
      </c>
      <c r="C581" s="266" t="s">
        <v>23</v>
      </c>
      <c r="D581" s="258" t="s">
        <v>826</v>
      </c>
      <c r="E581" s="13" t="s">
        <v>827</v>
      </c>
      <c r="F581" s="165" t="str">
        <f t="shared" si="84"/>
        <v>ROBI_22.24_100_NZ2019</v>
      </c>
      <c r="G581" s="13" t="s">
        <v>1850</v>
      </c>
      <c r="I581" s="12" t="s">
        <v>78</v>
      </c>
      <c r="J581" s="31" t="s">
        <v>206</v>
      </c>
      <c r="K581" s="15" t="s">
        <v>1507</v>
      </c>
      <c r="M581" s="33">
        <f t="shared" si="85"/>
        <v>70</v>
      </c>
      <c r="N581" s="15">
        <v>7000</v>
      </c>
      <c r="O581" s="15">
        <v>13000</v>
      </c>
      <c r="P581" s="15">
        <f t="shared" si="83"/>
        <v>91000000</v>
      </c>
      <c r="Q581" s="15" t="str">
        <f t="shared" si="89"/>
        <v/>
      </c>
      <c r="R581" s="18" t="s">
        <v>29</v>
      </c>
      <c r="S581" s="23">
        <v>43709</v>
      </c>
      <c r="T581" s="20">
        <f>IFERROR(VLOOKUP(S581,'Date Converter'!$A$4:$C$368,3,0),"")</f>
        <v>43737</v>
      </c>
      <c r="U581" s="21">
        <f t="shared" si="82"/>
        <v>43737</v>
      </c>
      <c r="AD581" s="12"/>
      <c r="AH581" s="15">
        <f t="shared" si="86"/>
        <v>0</v>
      </c>
      <c r="AI581" s="22">
        <f t="shared" si="87"/>
        <v>7000</v>
      </c>
      <c r="AJ581" s="22">
        <f t="shared" si="88"/>
        <v>91000000</v>
      </c>
    </row>
    <row r="582" spans="1:37" s="165" customFormat="1" hidden="1" outlineLevel="1">
      <c r="A582" s="165" t="s">
        <v>1801</v>
      </c>
      <c r="B582" s="13">
        <v>43615</v>
      </c>
      <c r="C582" s="13" t="s">
        <v>23</v>
      </c>
      <c r="D582" s="165" t="s">
        <v>826</v>
      </c>
      <c r="E582" s="13" t="s">
        <v>827</v>
      </c>
      <c r="F582" s="165" t="str">
        <f t="shared" si="84"/>
        <v>ROBI_20.22_125_NL2018</v>
      </c>
      <c r="G582" s="13" t="s">
        <v>61</v>
      </c>
      <c r="H582" s="12"/>
      <c r="I582" s="12" t="s">
        <v>74</v>
      </c>
      <c r="J582" s="31" t="s">
        <v>122</v>
      </c>
      <c r="K582" s="15" t="s">
        <v>28</v>
      </c>
      <c r="L582" s="15"/>
      <c r="M582" s="33">
        <f t="shared" si="85"/>
        <v>0</v>
      </c>
      <c r="N582" s="15">
        <f>5000-5000</f>
        <v>0</v>
      </c>
      <c r="O582" s="15">
        <v>10700</v>
      </c>
      <c r="P582" s="15">
        <f t="shared" si="83"/>
        <v>0</v>
      </c>
      <c r="Q582" s="15" t="str">
        <f t="shared" si="89"/>
        <v>Canceled</v>
      </c>
      <c r="R582" s="18" t="s">
        <v>71</v>
      </c>
      <c r="S582" s="23">
        <v>43709</v>
      </c>
      <c r="T582" s="20" t="str">
        <f>IFERROR(VLOOKUP(S582,#REF!,3,0),"")</f>
        <v/>
      </c>
      <c r="U582" s="21" t="str">
        <f t="shared" si="82"/>
        <v/>
      </c>
      <c r="V582" s="12"/>
      <c r="W582" s="18"/>
      <c r="X582" s="18"/>
      <c r="Y582" s="12"/>
      <c r="Z582" s="206"/>
      <c r="AA582" s="12"/>
      <c r="AB582" s="12"/>
      <c r="AC582" s="12"/>
      <c r="AD582" s="12"/>
      <c r="AE582" s="12"/>
      <c r="AF582" s="245"/>
      <c r="AG582" s="12"/>
      <c r="AH582" s="15">
        <f t="shared" si="86"/>
        <v>0</v>
      </c>
      <c r="AI582" s="22">
        <f t="shared" si="87"/>
        <v>0</v>
      </c>
      <c r="AJ582" s="22">
        <f t="shared" si="88"/>
        <v>0</v>
      </c>
    </row>
    <row r="583" spans="1:37" s="165" customFormat="1" hidden="1" outlineLevel="1">
      <c r="A583" s="165" t="s">
        <v>1801</v>
      </c>
      <c r="B583" s="13">
        <v>43615</v>
      </c>
      <c r="C583" s="13" t="s">
        <v>23</v>
      </c>
      <c r="D583" s="165" t="s">
        <v>826</v>
      </c>
      <c r="E583" s="13" t="s">
        <v>827</v>
      </c>
      <c r="F583" s="165" t="str">
        <f t="shared" si="84"/>
        <v>ROBI_22.24_100_NL2018</v>
      </c>
      <c r="G583" s="13" t="s">
        <v>61</v>
      </c>
      <c r="H583" s="12"/>
      <c r="I583" s="12" t="s">
        <v>78</v>
      </c>
      <c r="J583" s="31" t="s">
        <v>206</v>
      </c>
      <c r="K583" s="15" t="s">
        <v>28</v>
      </c>
      <c r="L583" s="15"/>
      <c r="M583" s="33">
        <f t="shared" si="85"/>
        <v>0</v>
      </c>
      <c r="N583" s="15">
        <f>10000-10000</f>
        <v>0</v>
      </c>
      <c r="O583" s="15">
        <v>12500</v>
      </c>
      <c r="P583" s="15">
        <f t="shared" si="83"/>
        <v>0</v>
      </c>
      <c r="Q583" s="15" t="str">
        <f t="shared" si="89"/>
        <v>Canceled</v>
      </c>
      <c r="R583" s="18" t="s">
        <v>71</v>
      </c>
      <c r="S583" s="23">
        <v>43709</v>
      </c>
      <c r="T583" s="20" t="str">
        <f>IFERROR(VLOOKUP(S583,#REF!,3,0),"")</f>
        <v/>
      </c>
      <c r="U583" s="21" t="str">
        <f t="shared" si="82"/>
        <v/>
      </c>
      <c r="V583" s="12"/>
      <c r="W583" s="18"/>
      <c r="X583" s="18"/>
      <c r="Y583" s="12"/>
      <c r="Z583" s="206"/>
      <c r="AA583" s="12"/>
      <c r="AB583" s="12"/>
      <c r="AC583" s="12"/>
      <c r="AD583" s="12"/>
      <c r="AE583" s="12"/>
      <c r="AF583" s="245"/>
      <c r="AG583" s="12"/>
      <c r="AH583" s="15">
        <f t="shared" si="86"/>
        <v>0</v>
      </c>
      <c r="AI583" s="22">
        <f t="shared" si="87"/>
        <v>0</v>
      </c>
      <c r="AJ583" s="22">
        <f t="shared" si="88"/>
        <v>0</v>
      </c>
    </row>
    <row r="584" spans="1:37" s="165" customFormat="1" hidden="1" outlineLevel="1">
      <c r="A584" s="165" t="s">
        <v>1801</v>
      </c>
      <c r="B584" s="13">
        <v>43615</v>
      </c>
      <c r="C584" s="13" t="s">
        <v>23</v>
      </c>
      <c r="D584" s="165" t="s">
        <v>826</v>
      </c>
      <c r="E584" s="13" t="s">
        <v>827</v>
      </c>
      <c r="F584" s="165" t="str">
        <f t="shared" si="84"/>
        <v>CONC_20.22_125_NL2018</v>
      </c>
      <c r="G584" s="13" t="s">
        <v>40</v>
      </c>
      <c r="H584" s="12"/>
      <c r="I584" s="12" t="s">
        <v>74</v>
      </c>
      <c r="J584" s="31" t="s">
        <v>122</v>
      </c>
      <c r="K584" s="15" t="s">
        <v>28</v>
      </c>
      <c r="L584" s="15"/>
      <c r="M584" s="33">
        <f t="shared" si="85"/>
        <v>0</v>
      </c>
      <c r="N584" s="15">
        <f>15000-15000</f>
        <v>0</v>
      </c>
      <c r="O584" s="15">
        <v>10600</v>
      </c>
      <c r="P584" s="15">
        <f t="shared" si="83"/>
        <v>0</v>
      </c>
      <c r="Q584" s="15" t="str">
        <f t="shared" si="89"/>
        <v>Canceled</v>
      </c>
      <c r="R584" s="18" t="s">
        <v>71</v>
      </c>
      <c r="S584" s="23">
        <v>43709</v>
      </c>
      <c r="T584" s="20" t="str">
        <f>IFERROR(VLOOKUP(S584,#REF!,3,0),"")</f>
        <v/>
      </c>
      <c r="U584" s="21" t="str">
        <f t="shared" si="82"/>
        <v/>
      </c>
      <c r="V584" s="12"/>
      <c r="W584" s="18"/>
      <c r="X584" s="18"/>
      <c r="Y584" s="12"/>
      <c r="Z584" s="206"/>
      <c r="AA584" s="12"/>
      <c r="AB584" s="12"/>
      <c r="AC584" s="12"/>
      <c r="AD584" s="12"/>
      <c r="AE584" s="12"/>
      <c r="AF584" s="245"/>
      <c r="AG584" s="12"/>
      <c r="AH584" s="15">
        <f t="shared" si="86"/>
        <v>0</v>
      </c>
      <c r="AI584" s="22">
        <f t="shared" si="87"/>
        <v>0</v>
      </c>
      <c r="AJ584" s="22">
        <f t="shared" si="88"/>
        <v>0</v>
      </c>
    </row>
    <row r="585" spans="1:37" s="165" customFormat="1" hidden="1" outlineLevel="1">
      <c r="A585" s="165" t="s">
        <v>1801</v>
      </c>
      <c r="B585" s="13">
        <v>43615</v>
      </c>
      <c r="C585" s="13" t="s">
        <v>23</v>
      </c>
      <c r="D585" s="165" t="s">
        <v>826</v>
      </c>
      <c r="E585" s="13" t="s">
        <v>827</v>
      </c>
      <c r="F585" s="165" t="str">
        <f t="shared" si="84"/>
        <v>CONC_22.24_100_NL2018</v>
      </c>
      <c r="G585" s="13" t="s">
        <v>40</v>
      </c>
      <c r="H585" s="12"/>
      <c r="I585" s="12" t="s">
        <v>78</v>
      </c>
      <c r="J585" s="31" t="s">
        <v>206</v>
      </c>
      <c r="K585" s="15" t="s">
        <v>28</v>
      </c>
      <c r="L585" s="15"/>
      <c r="M585" s="33">
        <f t="shared" si="85"/>
        <v>0</v>
      </c>
      <c r="N585" s="15">
        <f>10000-10000</f>
        <v>0</v>
      </c>
      <c r="O585" s="15">
        <v>12500</v>
      </c>
      <c r="P585" s="15">
        <f t="shared" si="83"/>
        <v>0</v>
      </c>
      <c r="Q585" s="15" t="str">
        <f t="shared" si="89"/>
        <v>Canceled</v>
      </c>
      <c r="R585" s="18" t="s">
        <v>71</v>
      </c>
      <c r="S585" s="23">
        <v>43709</v>
      </c>
      <c r="T585" s="20" t="str">
        <f>IFERROR(VLOOKUP(S585,#REF!,3,0),"")</f>
        <v/>
      </c>
      <c r="U585" s="21" t="str">
        <f t="shared" si="82"/>
        <v/>
      </c>
      <c r="V585" s="12"/>
      <c r="W585" s="18"/>
      <c r="X585" s="18"/>
      <c r="Y585" s="12"/>
      <c r="Z585" s="206"/>
      <c r="AA585" s="12"/>
      <c r="AB585" s="12"/>
      <c r="AC585" s="12"/>
      <c r="AD585" s="12"/>
      <c r="AE585" s="12"/>
      <c r="AF585" s="245"/>
      <c r="AG585" s="12"/>
      <c r="AH585" s="15">
        <f t="shared" si="86"/>
        <v>0</v>
      </c>
      <c r="AI585" s="22">
        <f t="shared" si="87"/>
        <v>0</v>
      </c>
      <c r="AJ585" s="22">
        <f t="shared" si="88"/>
        <v>0</v>
      </c>
    </row>
    <row r="586" spans="1:37" s="165" customFormat="1" hidden="1" outlineLevel="1">
      <c r="A586" s="165" t="s">
        <v>1801</v>
      </c>
      <c r="B586" s="13">
        <v>43619</v>
      </c>
      <c r="C586" s="266" t="s">
        <v>23</v>
      </c>
      <c r="D586" s="258" t="s">
        <v>826</v>
      </c>
      <c r="E586" s="13" t="s">
        <v>827</v>
      </c>
      <c r="F586" s="165" t="str">
        <f t="shared" si="84"/>
        <v>CONC_18.20_150_NL2018</v>
      </c>
      <c r="G586" s="13" t="s">
        <v>40</v>
      </c>
      <c r="H586" s="12"/>
      <c r="I586" s="12" t="s">
        <v>27</v>
      </c>
      <c r="J586" s="31" t="s">
        <v>126</v>
      </c>
      <c r="K586" s="15" t="s">
        <v>28</v>
      </c>
      <c r="L586" s="15"/>
      <c r="M586" s="33">
        <f t="shared" si="85"/>
        <v>34</v>
      </c>
      <c r="N586" s="15">
        <v>5100</v>
      </c>
      <c r="O586" s="15">
        <v>8000</v>
      </c>
      <c r="P586" s="15">
        <f t="shared" si="83"/>
        <v>40800000</v>
      </c>
      <c r="Q586" s="15" t="str">
        <f t="shared" si="89"/>
        <v/>
      </c>
      <c r="R586" s="18" t="s">
        <v>29</v>
      </c>
      <c r="S586" s="23">
        <v>43709</v>
      </c>
      <c r="T586" s="20">
        <f>IFERROR(VLOOKUP(S586,'Date Converter'!$A$4:$C$368,3,0),"")</f>
        <v>43737</v>
      </c>
      <c r="U586" s="21">
        <f t="shared" si="82"/>
        <v>43737</v>
      </c>
      <c r="V586" s="12"/>
      <c r="W586" s="18"/>
      <c r="X586" s="18"/>
      <c r="Y586" s="12"/>
      <c r="Z586" s="206"/>
      <c r="AA586" s="12"/>
      <c r="AB586" s="12"/>
      <c r="AC586" s="12"/>
      <c r="AD586" s="12"/>
      <c r="AE586" s="12"/>
      <c r="AF586" s="245"/>
      <c r="AG586" s="12"/>
      <c r="AH586" s="15">
        <f t="shared" si="86"/>
        <v>0</v>
      </c>
      <c r="AI586" s="22">
        <f t="shared" si="87"/>
        <v>5100</v>
      </c>
      <c r="AJ586" s="22">
        <f t="shared" si="88"/>
        <v>40800000</v>
      </c>
    </row>
    <row r="587" spans="1:37" s="165" customFormat="1" hidden="1" outlineLevel="1">
      <c r="A587" s="165" t="s">
        <v>1801</v>
      </c>
      <c r="B587" s="13">
        <v>43619</v>
      </c>
      <c r="C587" s="266" t="s">
        <v>23</v>
      </c>
      <c r="D587" s="258" t="s">
        <v>826</v>
      </c>
      <c r="E587" s="13" t="s">
        <v>827</v>
      </c>
      <c r="F587" s="165" t="str">
        <f t="shared" si="84"/>
        <v>CONC_20.22_125_NZ2019</v>
      </c>
      <c r="G587" s="13" t="s">
        <v>40</v>
      </c>
      <c r="H587" s="12"/>
      <c r="I587" s="12" t="s">
        <v>74</v>
      </c>
      <c r="J587" s="31" t="s">
        <v>122</v>
      </c>
      <c r="K587" s="15" t="s">
        <v>1507</v>
      </c>
      <c r="L587" s="15"/>
      <c r="M587" s="33">
        <f t="shared" si="85"/>
        <v>200</v>
      </c>
      <c r="N587" s="15">
        <v>25000</v>
      </c>
      <c r="O587" s="15">
        <v>12000</v>
      </c>
      <c r="P587" s="15">
        <f t="shared" si="83"/>
        <v>300000000</v>
      </c>
      <c r="Q587" s="15" t="str">
        <f t="shared" si="89"/>
        <v/>
      </c>
      <c r="R587" s="18" t="s">
        <v>29</v>
      </c>
      <c r="S587" s="23">
        <v>43709</v>
      </c>
      <c r="T587" s="20">
        <f>IFERROR(VLOOKUP(S587,'Date Converter'!$A$4:$C$368,3,0),"")</f>
        <v>43737</v>
      </c>
      <c r="U587" s="21">
        <f t="shared" si="82"/>
        <v>43737</v>
      </c>
      <c r="V587" s="12"/>
      <c r="W587" s="18"/>
      <c r="X587" s="18"/>
      <c r="Y587" s="12"/>
      <c r="Z587" s="206"/>
      <c r="AA587" s="12"/>
      <c r="AB587" s="12"/>
      <c r="AC587" s="12"/>
      <c r="AD587" s="12"/>
      <c r="AE587" s="12"/>
      <c r="AF587" s="245"/>
      <c r="AG587" s="12"/>
      <c r="AH587" s="15">
        <f t="shared" si="86"/>
        <v>0</v>
      </c>
      <c r="AI587" s="22">
        <f t="shared" si="87"/>
        <v>25000</v>
      </c>
      <c r="AJ587" s="22">
        <f t="shared" si="88"/>
        <v>300000000</v>
      </c>
    </row>
    <row r="588" spans="1:37" hidden="1" outlineLevel="1">
      <c r="A588" s="165" t="s">
        <v>1889</v>
      </c>
      <c r="B588" s="13">
        <v>43630</v>
      </c>
      <c r="C588" s="13" t="s">
        <v>23</v>
      </c>
      <c r="D588" s="258" t="s">
        <v>1926</v>
      </c>
      <c r="E588" s="249" t="s">
        <v>2004</v>
      </c>
      <c r="F588" s="165" t="str">
        <f t="shared" si="84"/>
        <v>ROBI_24+_75_NL2018</v>
      </c>
      <c r="G588" s="13" t="s">
        <v>61</v>
      </c>
      <c r="I588" s="24" t="s">
        <v>185</v>
      </c>
      <c r="J588" s="31" t="s">
        <v>392</v>
      </c>
      <c r="K588" s="15" t="s">
        <v>28</v>
      </c>
      <c r="M588" s="16">
        <f t="shared" si="85"/>
        <v>11</v>
      </c>
      <c r="N588" s="15">
        <v>825</v>
      </c>
      <c r="O588" s="15">
        <v>15300</v>
      </c>
      <c r="P588" s="15">
        <f t="shared" si="83"/>
        <v>12622500</v>
      </c>
      <c r="Q588" s="15" t="str">
        <f t="shared" si="89"/>
        <v/>
      </c>
      <c r="R588" s="18" t="s">
        <v>29</v>
      </c>
      <c r="S588" s="23">
        <v>43709</v>
      </c>
      <c r="T588" s="20">
        <f>IFERROR(VLOOKUP(S588,'Date Converter'!$A$4:$C$368,3,0),"")</f>
        <v>43737</v>
      </c>
      <c r="U588" s="21">
        <f t="shared" si="82"/>
        <v>43737</v>
      </c>
      <c r="V588" s="20"/>
      <c r="AA588" s="15"/>
      <c r="AB588" s="206"/>
      <c r="AD588" s="206"/>
      <c r="AH588" s="15">
        <f t="shared" si="86"/>
        <v>0</v>
      </c>
      <c r="AI588" s="22">
        <f t="shared" si="87"/>
        <v>825</v>
      </c>
      <c r="AJ588" s="22">
        <f t="shared" si="88"/>
        <v>12622500</v>
      </c>
      <c r="AK588" s="165"/>
    </row>
    <row r="589" spans="1:37" hidden="1" outlineLevel="1">
      <c r="A589" s="165" t="s">
        <v>1889</v>
      </c>
      <c r="B589" s="13">
        <v>43630</v>
      </c>
      <c r="C589" s="13" t="s">
        <v>23</v>
      </c>
      <c r="D589" s="258" t="s">
        <v>1926</v>
      </c>
      <c r="E589" s="249" t="s">
        <v>2004</v>
      </c>
      <c r="F589" s="165" t="str">
        <f t="shared" si="84"/>
        <v>MANI_24.26_80_NL2018</v>
      </c>
      <c r="G589" s="13" t="s">
        <v>105</v>
      </c>
      <c r="I589" s="24" t="s">
        <v>220</v>
      </c>
      <c r="J589" s="31" t="s">
        <v>504</v>
      </c>
      <c r="K589" s="15" t="s">
        <v>28</v>
      </c>
      <c r="M589" s="16">
        <f t="shared" si="85"/>
        <v>5</v>
      </c>
      <c r="N589" s="15">
        <v>400</v>
      </c>
      <c r="O589" s="15">
        <v>16200</v>
      </c>
      <c r="P589" s="15">
        <f t="shared" si="83"/>
        <v>6480000</v>
      </c>
      <c r="Q589" s="15" t="str">
        <f t="shared" si="89"/>
        <v/>
      </c>
      <c r="R589" s="18" t="s">
        <v>29</v>
      </c>
      <c r="S589" s="23">
        <v>43709</v>
      </c>
      <c r="T589" s="20">
        <f>IFERROR(VLOOKUP(S589,'Date Converter'!$A$4:$C$368,3,0),"")</f>
        <v>43737</v>
      </c>
      <c r="U589" s="21">
        <f t="shared" si="82"/>
        <v>43737</v>
      </c>
      <c r="V589" s="20"/>
      <c r="AA589" s="15"/>
      <c r="AB589" s="206"/>
      <c r="AD589" s="206"/>
      <c r="AH589" s="15">
        <f t="shared" si="86"/>
        <v>0</v>
      </c>
      <c r="AI589" s="22">
        <f t="shared" si="87"/>
        <v>400</v>
      </c>
      <c r="AJ589" s="22">
        <f t="shared" si="88"/>
        <v>6480000</v>
      </c>
      <c r="AK589" s="165"/>
    </row>
    <row r="590" spans="1:37" s="165" customFormat="1" hidden="1" outlineLevel="1">
      <c r="A590" s="165" t="s">
        <v>315</v>
      </c>
      <c r="B590" s="13">
        <v>43529</v>
      </c>
      <c r="C590" s="165" t="s">
        <v>23</v>
      </c>
      <c r="D590" s="165" t="s">
        <v>953</v>
      </c>
      <c r="E590" s="165" t="s">
        <v>182</v>
      </c>
      <c r="F590" s="165" t="str">
        <f t="shared" si="84"/>
        <v>YELL_14.16_300_NL2018</v>
      </c>
      <c r="G590" s="165" t="s">
        <v>89</v>
      </c>
      <c r="H590" s="12"/>
      <c r="I590" s="12" t="s">
        <v>47</v>
      </c>
      <c r="J590" s="14">
        <v>300</v>
      </c>
      <c r="K590" s="15" t="s">
        <v>28</v>
      </c>
      <c r="L590" s="15"/>
      <c r="M590" s="16">
        <f t="shared" si="85"/>
        <v>10</v>
      </c>
      <c r="N590" s="15">
        <v>3000</v>
      </c>
      <c r="O590" s="15">
        <v>3800</v>
      </c>
      <c r="P590" s="15">
        <f t="shared" si="83"/>
        <v>11400000</v>
      </c>
      <c r="Q590" s="15" t="str">
        <f t="shared" si="89"/>
        <v>Done</v>
      </c>
      <c r="R590" s="18" t="s">
        <v>44</v>
      </c>
      <c r="S590" s="23">
        <v>43539</v>
      </c>
      <c r="T590" s="20">
        <f>IFERROR(VLOOKUP(S590,'Date Converter'!$A$4:$C$368,3,0),"")</f>
        <v>43574</v>
      </c>
      <c r="U590" s="21">
        <f t="shared" si="82"/>
        <v>43574</v>
      </c>
      <c r="V590" s="12" t="s">
        <v>57</v>
      </c>
      <c r="W590" s="18" t="s">
        <v>132</v>
      </c>
      <c r="X590" s="18">
        <v>43569</v>
      </c>
      <c r="Y590" s="12"/>
      <c r="Z590" s="206">
        <v>43619</v>
      </c>
      <c r="AA590" s="15">
        <v>3000</v>
      </c>
      <c r="AB590" s="206"/>
      <c r="AC590" s="12"/>
      <c r="AD590" s="206"/>
      <c r="AE590" s="12"/>
      <c r="AF590" s="245"/>
      <c r="AG590" s="12"/>
      <c r="AH590" s="15">
        <f t="shared" si="86"/>
        <v>3000</v>
      </c>
      <c r="AI590" s="22">
        <f t="shared" si="87"/>
        <v>0</v>
      </c>
      <c r="AJ590" s="22">
        <f t="shared" si="88"/>
        <v>0</v>
      </c>
    </row>
    <row r="591" spans="1:37" s="165" customFormat="1" hidden="1" outlineLevel="1">
      <c r="A591" s="165" t="s">
        <v>315</v>
      </c>
      <c r="B591" s="13">
        <v>43529</v>
      </c>
      <c r="C591" s="165" t="s">
        <v>23</v>
      </c>
      <c r="D591" s="165" t="s">
        <v>953</v>
      </c>
      <c r="E591" s="198" t="s">
        <v>182</v>
      </c>
      <c r="F591" s="165" t="str">
        <f t="shared" si="84"/>
        <v>YELL_14.16_300_NL2018</v>
      </c>
      <c r="G591" s="165" t="s">
        <v>89</v>
      </c>
      <c r="H591" s="12"/>
      <c r="I591" s="12" t="s">
        <v>47</v>
      </c>
      <c r="J591" s="14">
        <v>300</v>
      </c>
      <c r="K591" s="15" t="s">
        <v>28</v>
      </c>
      <c r="L591" s="15"/>
      <c r="M591" s="16">
        <f t="shared" si="85"/>
        <v>10</v>
      </c>
      <c r="N591" s="15">
        <v>3000</v>
      </c>
      <c r="O591" s="15">
        <v>3800</v>
      </c>
      <c r="P591" s="15">
        <f t="shared" si="83"/>
        <v>11400000</v>
      </c>
      <c r="Q591" s="15" t="str">
        <f t="shared" si="89"/>
        <v>Done</v>
      </c>
      <c r="R591" s="18" t="s">
        <v>44</v>
      </c>
      <c r="S591" s="23">
        <v>43572</v>
      </c>
      <c r="T591" s="20">
        <f>IFERROR(VLOOKUP(S591,'Date Converter'!$A$4:$C$368,3,0),"")</f>
        <v>43606</v>
      </c>
      <c r="U591" s="21">
        <f t="shared" si="82"/>
        <v>43606</v>
      </c>
      <c r="V591" s="12" t="s">
        <v>36</v>
      </c>
      <c r="W591" s="18"/>
      <c r="X591" s="18"/>
      <c r="Y591" s="12"/>
      <c r="Z591" s="206">
        <v>43584</v>
      </c>
      <c r="AA591" s="15">
        <v>3000</v>
      </c>
      <c r="AB591" s="206"/>
      <c r="AC591" s="12"/>
      <c r="AD591" s="206"/>
      <c r="AE591" s="12"/>
      <c r="AF591" s="245"/>
      <c r="AG591" s="12"/>
      <c r="AH591" s="15">
        <f t="shared" si="86"/>
        <v>3000</v>
      </c>
      <c r="AI591" s="22">
        <f t="shared" si="87"/>
        <v>0</v>
      </c>
      <c r="AJ591" s="22">
        <f t="shared" si="88"/>
        <v>0</v>
      </c>
    </row>
    <row r="592" spans="1:37" s="165" customFormat="1" hidden="1" outlineLevel="1">
      <c r="A592" s="165" t="s">
        <v>457</v>
      </c>
      <c r="B592" s="13">
        <v>43529</v>
      </c>
      <c r="C592" s="165" t="s">
        <v>23</v>
      </c>
      <c r="D592" s="165" t="s">
        <v>953</v>
      </c>
      <c r="E592" s="198" t="s">
        <v>182</v>
      </c>
      <c r="F592" s="165" t="str">
        <f t="shared" si="84"/>
        <v>ROBI_22.24_100_NL2018</v>
      </c>
      <c r="G592" s="165" t="s">
        <v>61</v>
      </c>
      <c r="H592" s="12"/>
      <c r="I592" s="12" t="s">
        <v>78</v>
      </c>
      <c r="J592" s="14">
        <v>100</v>
      </c>
      <c r="K592" s="15" t="s">
        <v>28</v>
      </c>
      <c r="L592" s="15"/>
      <c r="M592" s="16">
        <f t="shared" si="85"/>
        <v>0</v>
      </c>
      <c r="N592" s="15">
        <f>5000-5000</f>
        <v>0</v>
      </c>
      <c r="O592" s="15">
        <v>12500</v>
      </c>
      <c r="P592" s="15">
        <f t="shared" si="83"/>
        <v>0</v>
      </c>
      <c r="Q592" s="15" t="str">
        <f t="shared" si="89"/>
        <v>Canceled</v>
      </c>
      <c r="R592" s="18" t="s">
        <v>71</v>
      </c>
      <c r="S592" s="23">
        <v>43709</v>
      </c>
      <c r="T592" s="20">
        <f>IFERROR(VLOOKUP(S592,'Date Converter'!$A$4:$C$368,3,0),"")</f>
        <v>43737</v>
      </c>
      <c r="U592" s="21">
        <f t="shared" si="82"/>
        <v>43737</v>
      </c>
      <c r="V592" s="12" t="s">
        <v>51</v>
      </c>
      <c r="W592" s="18"/>
      <c r="X592" s="18"/>
      <c r="Y592" s="12"/>
      <c r="Z592" s="206"/>
      <c r="AA592" s="15"/>
      <c r="AB592" s="206"/>
      <c r="AC592" s="12"/>
      <c r="AD592" s="206"/>
      <c r="AE592" s="12"/>
      <c r="AF592" s="245"/>
      <c r="AG592" s="12"/>
      <c r="AH592" s="15">
        <f t="shared" si="86"/>
        <v>0</v>
      </c>
      <c r="AI592" s="22">
        <f t="shared" si="87"/>
        <v>0</v>
      </c>
      <c r="AJ592" s="22">
        <f t="shared" si="88"/>
        <v>0</v>
      </c>
    </row>
    <row r="593" spans="1:37" s="165" customFormat="1" hidden="1" outlineLevel="1">
      <c r="A593" s="165" t="s">
        <v>457</v>
      </c>
      <c r="B593" s="13">
        <v>43529</v>
      </c>
      <c r="C593" s="165" t="s">
        <v>23</v>
      </c>
      <c r="D593" s="165" t="s">
        <v>953</v>
      </c>
      <c r="E593" s="198" t="s">
        <v>182</v>
      </c>
      <c r="F593" s="165" t="str">
        <f t="shared" si="84"/>
        <v>CONC_20.22_125_NL2018</v>
      </c>
      <c r="G593" s="165" t="s">
        <v>40</v>
      </c>
      <c r="H593" s="12"/>
      <c r="I593" s="12" t="s">
        <v>74</v>
      </c>
      <c r="J593" s="14">
        <v>125</v>
      </c>
      <c r="K593" s="15" t="s">
        <v>28</v>
      </c>
      <c r="L593" s="15"/>
      <c r="M593" s="16">
        <f t="shared" si="85"/>
        <v>0</v>
      </c>
      <c r="N593" s="15">
        <f>10000-10000</f>
        <v>0</v>
      </c>
      <c r="O593" s="15">
        <v>10500</v>
      </c>
      <c r="P593" s="15">
        <f t="shared" si="83"/>
        <v>0</v>
      </c>
      <c r="Q593" s="15" t="str">
        <f t="shared" si="89"/>
        <v>Canceled</v>
      </c>
      <c r="R593" s="18" t="s">
        <v>71</v>
      </c>
      <c r="S593" s="23">
        <v>43709</v>
      </c>
      <c r="T593" s="20">
        <f>IFERROR(VLOOKUP(S593,'Date Converter'!$A$4:$C$368,3,0),"")</f>
        <v>43737</v>
      </c>
      <c r="U593" s="21">
        <f t="shared" si="82"/>
        <v>43737</v>
      </c>
      <c r="V593" s="12" t="s">
        <v>51</v>
      </c>
      <c r="W593" s="18"/>
      <c r="X593" s="18"/>
      <c r="Y593" s="12"/>
      <c r="Z593" s="206"/>
      <c r="AA593" s="15"/>
      <c r="AB593" s="206"/>
      <c r="AC593" s="12"/>
      <c r="AD593" s="206"/>
      <c r="AE593" s="12"/>
      <c r="AF593" s="245"/>
      <c r="AG593" s="12"/>
      <c r="AH593" s="15">
        <f t="shared" si="86"/>
        <v>0</v>
      </c>
      <c r="AI593" s="22">
        <f t="shared" si="87"/>
        <v>0</v>
      </c>
      <c r="AJ593" s="22">
        <f t="shared" si="88"/>
        <v>0</v>
      </c>
    </row>
    <row r="594" spans="1:37" s="165" customFormat="1" hidden="1" outlineLevel="1">
      <c r="A594" s="165" t="s">
        <v>315</v>
      </c>
      <c r="B594" s="13">
        <v>43529</v>
      </c>
      <c r="C594" s="165" t="s">
        <v>23</v>
      </c>
      <c r="D594" s="165" t="s">
        <v>953</v>
      </c>
      <c r="E594" s="165" t="s">
        <v>182</v>
      </c>
      <c r="F594" s="165" t="str">
        <f t="shared" si="84"/>
        <v>CONC_16.18_200_NL2018</v>
      </c>
      <c r="G594" s="165" t="s">
        <v>40</v>
      </c>
      <c r="H594" s="12"/>
      <c r="I594" s="12" t="s">
        <v>35</v>
      </c>
      <c r="J594" s="14">
        <v>200</v>
      </c>
      <c r="K594" s="15" t="s">
        <v>28</v>
      </c>
      <c r="L594" s="15"/>
      <c r="M594" s="16">
        <f t="shared" si="85"/>
        <v>25</v>
      </c>
      <c r="N594" s="15">
        <v>5000</v>
      </c>
      <c r="O594" s="15">
        <v>5000</v>
      </c>
      <c r="P594" s="15">
        <f t="shared" si="83"/>
        <v>25000000</v>
      </c>
      <c r="Q594" s="15" t="str">
        <f t="shared" si="89"/>
        <v>Done</v>
      </c>
      <c r="R594" s="18" t="s">
        <v>44</v>
      </c>
      <c r="S594" s="23">
        <v>43539</v>
      </c>
      <c r="T594" s="20">
        <f>IFERROR(VLOOKUP(S594,'Date Converter'!$A$4:$C$368,3,0),"")</f>
        <v>43574</v>
      </c>
      <c r="U594" s="21">
        <f t="shared" si="82"/>
        <v>43574</v>
      </c>
      <c r="V594" s="12" t="s">
        <v>57</v>
      </c>
      <c r="W594" s="18" t="s">
        <v>86</v>
      </c>
      <c r="X594" s="18">
        <v>43569</v>
      </c>
      <c r="Y594" s="12"/>
      <c r="Z594" s="206">
        <v>43577</v>
      </c>
      <c r="AA594" s="15">
        <v>5000</v>
      </c>
      <c r="AB594" s="206"/>
      <c r="AC594" s="12"/>
      <c r="AD594" s="206"/>
      <c r="AE594" s="12"/>
      <c r="AF594" s="245"/>
      <c r="AG594" s="12"/>
      <c r="AH594" s="15">
        <f t="shared" si="86"/>
        <v>5000</v>
      </c>
      <c r="AI594" s="22">
        <f t="shared" si="87"/>
        <v>0</v>
      </c>
      <c r="AJ594" s="22">
        <f t="shared" si="88"/>
        <v>0</v>
      </c>
    </row>
    <row r="595" spans="1:37" s="165" customFormat="1" hidden="1" outlineLevel="1">
      <c r="A595" s="165" t="s">
        <v>315</v>
      </c>
      <c r="B595" s="13">
        <v>43529</v>
      </c>
      <c r="C595" s="165" t="s">
        <v>23</v>
      </c>
      <c r="D595" s="165" t="s">
        <v>953</v>
      </c>
      <c r="E595" s="198" t="s">
        <v>182</v>
      </c>
      <c r="F595" s="165" t="str">
        <f t="shared" si="84"/>
        <v>CONC_16.18_200_NL2018</v>
      </c>
      <c r="G595" s="165" t="s">
        <v>40</v>
      </c>
      <c r="H595" s="12"/>
      <c r="I595" s="12" t="s">
        <v>35</v>
      </c>
      <c r="J595" s="14">
        <v>200</v>
      </c>
      <c r="K595" s="15" t="s">
        <v>28</v>
      </c>
      <c r="L595" s="15"/>
      <c r="M595" s="16">
        <f t="shared" si="85"/>
        <v>0</v>
      </c>
      <c r="N595" s="15">
        <f>4200-4200</f>
        <v>0</v>
      </c>
      <c r="O595" s="15">
        <v>6000</v>
      </c>
      <c r="P595" s="15">
        <f t="shared" si="83"/>
        <v>0</v>
      </c>
      <c r="Q595" s="15" t="str">
        <f t="shared" si="89"/>
        <v>Canceled</v>
      </c>
      <c r="R595" s="18" t="s">
        <v>71</v>
      </c>
      <c r="S595" s="23">
        <v>43572</v>
      </c>
      <c r="T595" s="20">
        <f>IFERROR(VLOOKUP(S595,'Date Converter'!$A$4:$C$368,3,0),"")</f>
        <v>43606</v>
      </c>
      <c r="U595" s="21">
        <f t="shared" si="82"/>
        <v>43606</v>
      </c>
      <c r="V595" s="12" t="s">
        <v>36</v>
      </c>
      <c r="W595" s="18"/>
      <c r="X595" s="18"/>
      <c r="Y595" s="12"/>
      <c r="Z595" s="206"/>
      <c r="AA595" s="15"/>
      <c r="AB595" s="206"/>
      <c r="AC595" s="12"/>
      <c r="AD595" s="206"/>
      <c r="AE595" s="12"/>
      <c r="AF595" s="245"/>
      <c r="AG595" s="12"/>
      <c r="AH595" s="15">
        <f t="shared" si="86"/>
        <v>0</v>
      </c>
      <c r="AI595" s="22">
        <f t="shared" si="87"/>
        <v>0</v>
      </c>
      <c r="AJ595" s="22">
        <f t="shared" si="88"/>
        <v>0</v>
      </c>
    </row>
    <row r="596" spans="1:37" s="165" customFormat="1" hidden="1" outlineLevel="1">
      <c r="A596" s="165" t="s">
        <v>315</v>
      </c>
      <c r="B596" s="13">
        <v>43529</v>
      </c>
      <c r="C596" s="165" t="s">
        <v>23</v>
      </c>
      <c r="D596" s="165" t="s">
        <v>953</v>
      </c>
      <c r="E596" s="165" t="s">
        <v>182</v>
      </c>
      <c r="F596" s="165" t="str">
        <f t="shared" si="84"/>
        <v>ARVA_16.18_200_NL2018</v>
      </c>
      <c r="G596" s="165" t="s">
        <v>85</v>
      </c>
      <c r="H596" s="12"/>
      <c r="I596" s="12" t="s">
        <v>35</v>
      </c>
      <c r="J596" s="14">
        <v>200</v>
      </c>
      <c r="K596" s="15" t="s">
        <v>28</v>
      </c>
      <c r="L596" s="15"/>
      <c r="M596" s="16">
        <f t="shared" si="85"/>
        <v>10</v>
      </c>
      <c r="N596" s="15">
        <v>2000</v>
      </c>
      <c r="O596" s="15">
        <v>5500</v>
      </c>
      <c r="P596" s="15">
        <f t="shared" si="83"/>
        <v>11000000</v>
      </c>
      <c r="Q596" s="15" t="str">
        <f t="shared" si="89"/>
        <v>Done</v>
      </c>
      <c r="R596" s="18" t="s">
        <v>44</v>
      </c>
      <c r="S596" s="23">
        <v>43539</v>
      </c>
      <c r="T596" s="20">
        <f>IFERROR(VLOOKUP(S596,'Date Converter'!$A$4:$C$368,3,0),"")</f>
        <v>43574</v>
      </c>
      <c r="U596" s="21">
        <f t="shared" si="82"/>
        <v>43574</v>
      </c>
      <c r="V596" s="12" t="s">
        <v>57</v>
      </c>
      <c r="W596" s="18" t="s">
        <v>108</v>
      </c>
      <c r="X596" s="18">
        <v>43569</v>
      </c>
      <c r="Y596" s="12"/>
      <c r="Z596" s="206">
        <v>43584</v>
      </c>
      <c r="AA596" s="15">
        <v>2000</v>
      </c>
      <c r="AB596" s="206"/>
      <c r="AC596" s="12"/>
      <c r="AD596" s="206"/>
      <c r="AE596" s="12"/>
      <c r="AF596" s="245"/>
      <c r="AG596" s="12"/>
      <c r="AH596" s="15">
        <f t="shared" si="86"/>
        <v>2000</v>
      </c>
      <c r="AI596" s="22">
        <f t="shared" si="87"/>
        <v>0</v>
      </c>
      <c r="AJ596" s="22">
        <f t="shared" si="88"/>
        <v>0</v>
      </c>
    </row>
    <row r="597" spans="1:37" s="165" customFormat="1" hidden="1" outlineLevel="1">
      <c r="A597" s="165" t="s">
        <v>315</v>
      </c>
      <c r="B597" s="13">
        <v>43529</v>
      </c>
      <c r="C597" s="165" t="s">
        <v>23</v>
      </c>
      <c r="D597" s="165" t="s">
        <v>953</v>
      </c>
      <c r="E597" s="198" t="s">
        <v>182</v>
      </c>
      <c r="F597" s="165" t="str">
        <f t="shared" si="84"/>
        <v>ARVA_16.18_200_NL2018</v>
      </c>
      <c r="G597" s="165" t="s">
        <v>85</v>
      </c>
      <c r="H597" s="12"/>
      <c r="I597" s="12" t="s">
        <v>35</v>
      </c>
      <c r="J597" s="14">
        <v>200</v>
      </c>
      <c r="K597" s="15" t="s">
        <v>28</v>
      </c>
      <c r="L597" s="15"/>
      <c r="M597" s="16">
        <f t="shared" si="85"/>
        <v>15</v>
      </c>
      <c r="N597" s="15">
        <v>3000</v>
      </c>
      <c r="O597" s="15">
        <v>5500</v>
      </c>
      <c r="P597" s="15">
        <f t="shared" si="83"/>
        <v>16500000</v>
      </c>
      <c r="Q597" s="15" t="str">
        <f t="shared" si="89"/>
        <v>Done</v>
      </c>
      <c r="R597" s="18" t="s">
        <v>44</v>
      </c>
      <c r="S597" s="23">
        <v>43572</v>
      </c>
      <c r="T597" s="20">
        <f>IFERROR(VLOOKUP(S597,'Date Converter'!$A$4:$C$368,3,0),"")</f>
        <v>43606</v>
      </c>
      <c r="U597" s="21">
        <f t="shared" si="82"/>
        <v>43606</v>
      </c>
      <c r="V597" s="12" t="s">
        <v>36</v>
      </c>
      <c r="W597" s="18"/>
      <c r="X597" s="18"/>
      <c r="Y597" s="12"/>
      <c r="Z597" s="206">
        <v>43619</v>
      </c>
      <c r="AA597" s="15">
        <v>3000</v>
      </c>
      <c r="AB597" s="206"/>
      <c r="AC597" s="12"/>
      <c r="AD597" s="206"/>
      <c r="AE597" s="12"/>
      <c r="AF597" s="245"/>
      <c r="AG597" s="12"/>
      <c r="AH597" s="15">
        <f t="shared" si="86"/>
        <v>3000</v>
      </c>
      <c r="AI597" s="22">
        <f t="shared" si="87"/>
        <v>0</v>
      </c>
      <c r="AJ597" s="22">
        <f t="shared" si="88"/>
        <v>0</v>
      </c>
    </row>
    <row r="598" spans="1:37" s="165" customFormat="1" hidden="1" outlineLevel="1">
      <c r="A598" s="165" t="s">
        <v>1672</v>
      </c>
      <c r="B598" s="13">
        <v>43575</v>
      </c>
      <c r="C598" s="267" t="s">
        <v>1622</v>
      </c>
      <c r="D598" s="258" t="s">
        <v>1554</v>
      </c>
      <c r="E598" s="13" t="s">
        <v>1555</v>
      </c>
      <c r="F598" s="165" t="str">
        <f t="shared" si="84"/>
        <v>THAL_RL_14.16_300_NL2018</v>
      </c>
      <c r="G598" s="13" t="s">
        <v>1473</v>
      </c>
      <c r="H598" s="12" t="s">
        <v>219</v>
      </c>
      <c r="I598" s="12" t="s">
        <v>47</v>
      </c>
      <c r="J598" s="31" t="s">
        <v>124</v>
      </c>
      <c r="K598" s="15" t="s">
        <v>28</v>
      </c>
      <c r="L598" s="15"/>
      <c r="M598" s="33">
        <f t="shared" si="85"/>
        <v>7</v>
      </c>
      <c r="N598" s="15">
        <v>2100</v>
      </c>
      <c r="O598" s="15">
        <v>13900</v>
      </c>
      <c r="P598" s="15">
        <f t="shared" si="83"/>
        <v>29190000</v>
      </c>
      <c r="Q598" s="15" t="str">
        <f t="shared" si="89"/>
        <v/>
      </c>
      <c r="R598" s="18" t="s">
        <v>29</v>
      </c>
      <c r="S598" s="23">
        <v>43709</v>
      </c>
      <c r="T598" s="20">
        <f>IFERROR(VLOOKUP(S598,'Date Converter'!$A$4:$C$368,3,0),"")</f>
        <v>43737</v>
      </c>
      <c r="U598" s="21">
        <f t="shared" si="82"/>
        <v>43737</v>
      </c>
      <c r="V598" s="15" t="s">
        <v>51</v>
      </c>
      <c r="W598" s="18"/>
      <c r="X598" s="18"/>
      <c r="Y598" s="18"/>
      <c r="Z598" s="206"/>
      <c r="AA598" s="15"/>
      <c r="AB598" s="206"/>
      <c r="AC598" s="12"/>
      <c r="AD598" s="12"/>
      <c r="AE598" s="12"/>
      <c r="AF598" s="245"/>
      <c r="AG598" s="12"/>
      <c r="AH598" s="15">
        <f t="shared" si="86"/>
        <v>0</v>
      </c>
      <c r="AI598" s="22">
        <f t="shared" si="87"/>
        <v>2100</v>
      </c>
      <c r="AJ598" s="22">
        <f t="shared" si="88"/>
        <v>29190000</v>
      </c>
    </row>
    <row r="599" spans="1:37" s="165" customFormat="1" hidden="1" outlineLevel="1">
      <c r="A599" s="165" t="s">
        <v>1671</v>
      </c>
      <c r="B599" s="13">
        <v>43575</v>
      </c>
      <c r="C599" s="13" t="s">
        <v>1622</v>
      </c>
      <c r="D599" s="165" t="s">
        <v>1554</v>
      </c>
      <c r="E599" s="13" t="s">
        <v>1555</v>
      </c>
      <c r="F599" s="165" t="str">
        <f t="shared" si="84"/>
        <v>ROBI_16.18_200_NL2018</v>
      </c>
      <c r="G599" s="13" t="s">
        <v>61</v>
      </c>
      <c r="H599" s="12"/>
      <c r="I599" s="12" t="s">
        <v>35</v>
      </c>
      <c r="J599" s="31" t="s">
        <v>121</v>
      </c>
      <c r="K599" s="15" t="s">
        <v>28</v>
      </c>
      <c r="L599" s="15"/>
      <c r="M599" s="33">
        <f t="shared" si="85"/>
        <v>50</v>
      </c>
      <c r="N599" s="15">
        <v>10000</v>
      </c>
      <c r="O599" s="15">
        <v>5300</v>
      </c>
      <c r="P599" s="15">
        <f t="shared" si="83"/>
        <v>53000000</v>
      </c>
      <c r="Q599" s="15" t="str">
        <f t="shared" si="89"/>
        <v>Done</v>
      </c>
      <c r="R599" s="18" t="s">
        <v>44</v>
      </c>
      <c r="S599" s="13">
        <v>43542</v>
      </c>
      <c r="T599" s="20">
        <f>IFERROR(VLOOKUP(S599,'Date Converter'!$A$4:$C$368,3,0),"")</f>
        <v>43577</v>
      </c>
      <c r="U599" s="21">
        <f t="shared" ref="U599:U604" si="90">+T599</f>
        <v>43577</v>
      </c>
      <c r="V599" s="12"/>
      <c r="W599" s="18"/>
      <c r="X599" s="18"/>
      <c r="Y599" s="18"/>
      <c r="Z599" s="206">
        <v>43578</v>
      </c>
      <c r="AA599" s="15">
        <v>10000</v>
      </c>
      <c r="AB599" s="206"/>
      <c r="AC599" s="12"/>
      <c r="AD599" s="12"/>
      <c r="AE599" s="12"/>
      <c r="AF599" s="245"/>
      <c r="AG599" s="12"/>
      <c r="AH599" s="15">
        <f t="shared" si="86"/>
        <v>10000</v>
      </c>
      <c r="AI599" s="22">
        <f t="shared" si="87"/>
        <v>0</v>
      </c>
      <c r="AJ599" s="22">
        <f t="shared" si="88"/>
        <v>0</v>
      </c>
    </row>
    <row r="600" spans="1:37" s="165" customFormat="1" hidden="1" outlineLevel="1">
      <c r="A600" s="165" t="s">
        <v>1671</v>
      </c>
      <c r="B600" s="13">
        <v>43575</v>
      </c>
      <c r="C600" s="13" t="s">
        <v>1622</v>
      </c>
      <c r="D600" s="165" t="s">
        <v>1554</v>
      </c>
      <c r="E600" s="13" t="s">
        <v>1555</v>
      </c>
      <c r="F600" s="165" t="str">
        <f t="shared" si="84"/>
        <v>PROF_14.16_300_NL2018</v>
      </c>
      <c r="G600" s="13" t="s">
        <v>56</v>
      </c>
      <c r="H600" s="12"/>
      <c r="I600" s="12" t="s">
        <v>47</v>
      </c>
      <c r="J600" s="31" t="s">
        <v>124</v>
      </c>
      <c r="K600" s="15" t="s">
        <v>28</v>
      </c>
      <c r="L600" s="15"/>
      <c r="M600" s="33">
        <f t="shared" si="85"/>
        <v>34</v>
      </c>
      <c r="N600" s="15">
        <v>10200</v>
      </c>
      <c r="O600" s="15">
        <v>5000</v>
      </c>
      <c r="P600" s="15">
        <f t="shared" si="83"/>
        <v>51000000</v>
      </c>
      <c r="Q600" s="15" t="str">
        <f t="shared" si="89"/>
        <v>Done</v>
      </c>
      <c r="R600" s="18" t="s">
        <v>44</v>
      </c>
      <c r="S600" s="13">
        <v>43542</v>
      </c>
      <c r="T600" s="20">
        <f>IFERROR(VLOOKUP(S600,'Date Converter'!$A$4:$C$368,3,0),"")</f>
        <v>43577</v>
      </c>
      <c r="U600" s="21">
        <f t="shared" si="90"/>
        <v>43577</v>
      </c>
      <c r="V600" s="12"/>
      <c r="W600" s="18"/>
      <c r="X600" s="18"/>
      <c r="Y600" s="18"/>
      <c r="Z600" s="206">
        <v>43598</v>
      </c>
      <c r="AA600" s="15">
        <v>10200</v>
      </c>
      <c r="AB600" s="206"/>
      <c r="AC600" s="12"/>
      <c r="AD600" s="12"/>
      <c r="AE600" s="12"/>
      <c r="AF600" s="245"/>
      <c r="AG600" s="12"/>
      <c r="AH600" s="15">
        <f t="shared" si="86"/>
        <v>10200</v>
      </c>
      <c r="AI600" s="22">
        <f t="shared" si="87"/>
        <v>0</v>
      </c>
      <c r="AJ600" s="22">
        <f t="shared" si="88"/>
        <v>0</v>
      </c>
    </row>
    <row r="601" spans="1:37" hidden="1" outlineLevel="1">
      <c r="A601" s="165" t="s">
        <v>1671</v>
      </c>
      <c r="B601" s="13">
        <v>43575</v>
      </c>
      <c r="C601" s="13" t="s">
        <v>1622</v>
      </c>
      <c r="D601" s="165" t="s">
        <v>1554</v>
      </c>
      <c r="E601" s="13" t="s">
        <v>1555</v>
      </c>
      <c r="F601" s="165" t="str">
        <f t="shared" si="84"/>
        <v>LODI_16.18_200_NL2018</v>
      </c>
      <c r="G601" s="13" t="s">
        <v>1367</v>
      </c>
      <c r="I601" s="12" t="s">
        <v>35</v>
      </c>
      <c r="J601" s="31" t="s">
        <v>121</v>
      </c>
      <c r="K601" s="15" t="s">
        <v>28</v>
      </c>
      <c r="M601" s="33">
        <f t="shared" si="85"/>
        <v>24</v>
      </c>
      <c r="N601" s="15">
        <v>4800</v>
      </c>
      <c r="O601" s="15">
        <v>7100</v>
      </c>
      <c r="P601" s="15">
        <f t="shared" si="83"/>
        <v>34080000</v>
      </c>
      <c r="Q601" s="15" t="str">
        <f t="shared" si="89"/>
        <v>Done</v>
      </c>
      <c r="R601" s="18" t="s">
        <v>44</v>
      </c>
      <c r="S601" s="13">
        <v>43542</v>
      </c>
      <c r="T601" s="20">
        <f>IFERROR(VLOOKUP(S601,'Date Converter'!$A$4:$C$368,3,0),"")</f>
        <v>43577</v>
      </c>
      <c r="U601" s="21">
        <f t="shared" si="90"/>
        <v>43577</v>
      </c>
      <c r="Y601" s="18"/>
      <c r="Z601" s="206">
        <v>43577</v>
      </c>
      <c r="AA601" s="15">
        <v>4800</v>
      </c>
      <c r="AB601" s="206"/>
      <c r="AD601" s="12"/>
      <c r="AH601" s="15">
        <f t="shared" si="86"/>
        <v>4800</v>
      </c>
      <c r="AI601" s="22">
        <f t="shared" si="87"/>
        <v>0</v>
      </c>
      <c r="AJ601" s="22">
        <f t="shared" si="88"/>
        <v>0</v>
      </c>
      <c r="AK601" s="165"/>
    </row>
    <row r="602" spans="1:37" hidden="1" outlineLevel="1">
      <c r="A602" s="165" t="s">
        <v>1671</v>
      </c>
      <c r="B602" s="13">
        <v>43575</v>
      </c>
      <c r="C602" s="13" t="s">
        <v>1622</v>
      </c>
      <c r="D602" s="165" t="s">
        <v>1554</v>
      </c>
      <c r="E602" s="13" t="s">
        <v>1555</v>
      </c>
      <c r="F602" s="165" t="str">
        <f t="shared" si="84"/>
        <v>LARG_16.18_200_NL2018</v>
      </c>
      <c r="G602" s="13" t="s">
        <v>70</v>
      </c>
      <c r="I602" s="12" t="s">
        <v>35</v>
      </c>
      <c r="J602" s="31" t="s">
        <v>121</v>
      </c>
      <c r="K602" s="15" t="s">
        <v>28</v>
      </c>
      <c r="M602" s="33">
        <f t="shared" si="85"/>
        <v>50</v>
      </c>
      <c r="N602" s="15">
        <v>10000</v>
      </c>
      <c r="O602" s="15">
        <v>5800</v>
      </c>
      <c r="P602" s="15">
        <f t="shared" si="83"/>
        <v>58000000</v>
      </c>
      <c r="Q602" s="15" t="str">
        <f t="shared" si="89"/>
        <v/>
      </c>
      <c r="R602" s="18" t="s">
        <v>63</v>
      </c>
      <c r="S602" s="13">
        <v>43584</v>
      </c>
      <c r="T602" s="20">
        <f>IFERROR(VLOOKUP(S602,'Date Converter'!$A$4:$C$368,3,0),"")</f>
        <v>43618</v>
      </c>
      <c r="U602" s="21">
        <f t="shared" si="90"/>
        <v>43618</v>
      </c>
      <c r="V602" s="12" t="s">
        <v>443</v>
      </c>
      <c r="Y602" s="18"/>
      <c r="AA602" s="15"/>
      <c r="AB602" s="206"/>
      <c r="AD602" s="12"/>
      <c r="AH602" s="15">
        <f t="shared" si="86"/>
        <v>0</v>
      </c>
      <c r="AI602" s="22">
        <f t="shared" si="87"/>
        <v>10000</v>
      </c>
      <c r="AJ602" s="22">
        <f t="shared" si="88"/>
        <v>58000000</v>
      </c>
      <c r="AK602" s="165"/>
    </row>
    <row r="603" spans="1:37" hidden="1" outlineLevel="1">
      <c r="A603" s="165" t="s">
        <v>1672</v>
      </c>
      <c r="B603" s="13">
        <v>43575</v>
      </c>
      <c r="C603" s="267" t="s">
        <v>1622</v>
      </c>
      <c r="D603" s="258" t="s">
        <v>1554</v>
      </c>
      <c r="E603" s="13" t="s">
        <v>1555</v>
      </c>
      <c r="F603" s="165" t="str">
        <f t="shared" si="84"/>
        <v>LARG_22.24_100_NL2018</v>
      </c>
      <c r="G603" s="13" t="s">
        <v>70</v>
      </c>
      <c r="I603" s="12" t="s">
        <v>78</v>
      </c>
      <c r="J603" s="31" t="s">
        <v>206</v>
      </c>
      <c r="K603" s="15" t="s">
        <v>28</v>
      </c>
      <c r="M603" s="33">
        <f t="shared" si="85"/>
        <v>200</v>
      </c>
      <c r="N603" s="15">
        <v>20000</v>
      </c>
      <c r="O603" s="15">
        <v>11500</v>
      </c>
      <c r="P603" s="15">
        <f t="shared" si="83"/>
        <v>230000000</v>
      </c>
      <c r="Q603" s="15" t="str">
        <f t="shared" si="89"/>
        <v/>
      </c>
      <c r="R603" s="18" t="s">
        <v>29</v>
      </c>
      <c r="S603" s="23">
        <v>43709</v>
      </c>
      <c r="T603" s="20">
        <f>IFERROR(VLOOKUP(S603,'Date Converter'!$A$4:$C$368,3,0),"")</f>
        <v>43737</v>
      </c>
      <c r="U603" s="21">
        <f t="shared" si="90"/>
        <v>43737</v>
      </c>
      <c r="V603" s="15" t="s">
        <v>51</v>
      </c>
      <c r="Y603" s="18"/>
      <c r="AA603" s="15"/>
      <c r="AB603" s="206"/>
      <c r="AD603" s="12"/>
      <c r="AH603" s="15">
        <f t="shared" si="86"/>
        <v>0</v>
      </c>
      <c r="AI603" s="22">
        <f t="shared" si="87"/>
        <v>20000</v>
      </c>
      <c r="AJ603" s="22">
        <f t="shared" si="88"/>
        <v>230000000</v>
      </c>
      <c r="AK603" s="165"/>
    </row>
    <row r="604" spans="1:37" hidden="1" outlineLevel="1">
      <c r="A604" s="165" t="s">
        <v>1671</v>
      </c>
      <c r="B604" s="13">
        <v>43605</v>
      </c>
      <c r="C604" s="13" t="s">
        <v>1622</v>
      </c>
      <c r="D604" s="165" t="s">
        <v>1554</v>
      </c>
      <c r="E604" s="13" t="s">
        <v>1555</v>
      </c>
      <c r="F604" s="165" t="str">
        <f t="shared" si="84"/>
        <v>DALI_14.16_300_NL2018</v>
      </c>
      <c r="G604" s="13" t="s">
        <v>46</v>
      </c>
      <c r="I604" s="12" t="s">
        <v>47</v>
      </c>
      <c r="J604" s="31" t="s">
        <v>124</v>
      </c>
      <c r="K604" s="15" t="s">
        <v>28</v>
      </c>
      <c r="M604" s="33">
        <f t="shared" si="85"/>
        <v>5</v>
      </c>
      <c r="N604" s="15">
        <v>1500</v>
      </c>
      <c r="O604" s="15">
        <v>5500</v>
      </c>
      <c r="P604" s="15">
        <f t="shared" si="83"/>
        <v>8250000</v>
      </c>
      <c r="Q604" s="15" t="str">
        <f t="shared" si="89"/>
        <v>Done</v>
      </c>
      <c r="R604" s="18" t="s">
        <v>44</v>
      </c>
      <c r="S604" s="13">
        <v>43572</v>
      </c>
      <c r="T604" s="20">
        <f>IFERROR(VLOOKUP(S604,'Date Converter'!$A$4:$C$368,3,0),"")</f>
        <v>43606</v>
      </c>
      <c r="U604" s="21">
        <f t="shared" si="90"/>
        <v>43606</v>
      </c>
      <c r="Y604" s="18"/>
      <c r="Z604" s="206">
        <v>43606</v>
      </c>
      <c r="AA604" s="15">
        <v>1500</v>
      </c>
      <c r="AB604" s="206"/>
      <c r="AD604" s="12"/>
      <c r="AH604" s="15">
        <f t="shared" si="86"/>
        <v>1500</v>
      </c>
      <c r="AI604" s="22">
        <f t="shared" si="87"/>
        <v>0</v>
      </c>
      <c r="AJ604" s="22">
        <f t="shared" si="88"/>
        <v>0</v>
      </c>
      <c r="AK604" s="165"/>
    </row>
    <row r="605" spans="1:37" hidden="1" outlineLevel="1">
      <c r="A605" s="165" t="s">
        <v>1671</v>
      </c>
      <c r="B605" s="13">
        <v>43630</v>
      </c>
      <c r="C605" s="13" t="s">
        <v>1622</v>
      </c>
      <c r="D605" s="165" t="s">
        <v>1554</v>
      </c>
      <c r="E605" s="13" t="s">
        <v>1555</v>
      </c>
      <c r="F605" s="165" t="str">
        <f t="shared" si="84"/>
        <v>DALI_14.16_300_NL2018</v>
      </c>
      <c r="G605" s="13" t="s">
        <v>46</v>
      </c>
      <c r="I605" s="12" t="s">
        <v>47</v>
      </c>
      <c r="J605" s="31" t="s">
        <v>124</v>
      </c>
      <c r="K605" s="15" t="s">
        <v>28</v>
      </c>
      <c r="M605" s="33">
        <f t="shared" si="85"/>
        <v>33</v>
      </c>
      <c r="N605" s="15">
        <v>9900</v>
      </c>
      <c r="O605" s="15">
        <v>5500</v>
      </c>
      <c r="P605" s="15">
        <f t="shared" si="83"/>
        <v>54450000</v>
      </c>
      <c r="Q605" s="15" t="str">
        <f t="shared" si="89"/>
        <v>Done</v>
      </c>
      <c r="R605" s="18" t="s">
        <v>44</v>
      </c>
      <c r="S605" s="13"/>
      <c r="Y605" s="18"/>
      <c r="Z605" s="206">
        <v>43630</v>
      </c>
      <c r="AA605" s="15">
        <v>9900</v>
      </c>
      <c r="AB605" s="206"/>
      <c r="AD605" s="12"/>
      <c r="AH605" s="15">
        <f t="shared" si="86"/>
        <v>9900</v>
      </c>
      <c r="AI605" s="22">
        <f t="shared" si="87"/>
        <v>0</v>
      </c>
      <c r="AJ605" s="22">
        <f t="shared" si="88"/>
        <v>0</v>
      </c>
      <c r="AK605" s="165"/>
    </row>
    <row r="606" spans="1:37" hidden="1" outlineLevel="1">
      <c r="A606" t="s">
        <v>1672</v>
      </c>
      <c r="B606" s="13">
        <v>43575</v>
      </c>
      <c r="C606" s="267" t="s">
        <v>1622</v>
      </c>
      <c r="D606" s="258" t="s">
        <v>1554</v>
      </c>
      <c r="E606" s="13" t="s">
        <v>1555</v>
      </c>
      <c r="F606" t="str">
        <f t="shared" si="84"/>
        <v>CONC_24+_75_NL2018</v>
      </c>
      <c r="G606" s="13" t="s">
        <v>40</v>
      </c>
      <c r="I606" s="12" t="s">
        <v>185</v>
      </c>
      <c r="J606" s="31" t="s">
        <v>392</v>
      </c>
      <c r="K606" s="15" t="s">
        <v>28</v>
      </c>
      <c r="M606" s="33">
        <f t="shared" si="85"/>
        <v>85</v>
      </c>
      <c r="N606" s="15">
        <f>10000-3625</f>
        <v>6375</v>
      </c>
      <c r="O606" s="15">
        <v>15200</v>
      </c>
      <c r="P606" s="15">
        <f t="shared" si="83"/>
        <v>96900000</v>
      </c>
      <c r="Q606" s="15" t="str">
        <f t="shared" si="89"/>
        <v/>
      </c>
      <c r="R606" s="18" t="s">
        <v>29</v>
      </c>
      <c r="S606" s="23">
        <v>43709</v>
      </c>
      <c r="T606" s="20">
        <f>IFERROR(VLOOKUP(S606,'Date Converter'!$A$4:$C$368,3,0),"")</f>
        <v>43737</v>
      </c>
      <c r="U606" s="21">
        <f t="shared" ref="U606:U637" si="91">+T606</f>
        <v>43737</v>
      </c>
      <c r="V606" s="15" t="s">
        <v>51</v>
      </c>
      <c r="Y606" s="18"/>
      <c r="AA606" s="15"/>
      <c r="AB606" s="206"/>
      <c r="AD606" s="12"/>
      <c r="AH606" s="15">
        <f t="shared" si="86"/>
        <v>0</v>
      </c>
      <c r="AI606" s="22">
        <f t="shared" si="87"/>
        <v>6375</v>
      </c>
      <c r="AJ606" s="22">
        <f t="shared" si="88"/>
        <v>96900000</v>
      </c>
      <c r="AK606" s="165"/>
    </row>
    <row r="607" spans="1:37" s="165" customFormat="1" hidden="1" outlineLevel="1">
      <c r="A607" s="165" t="s">
        <v>1672</v>
      </c>
      <c r="B607" s="13">
        <v>43637</v>
      </c>
      <c r="C607" s="267" t="s">
        <v>1622</v>
      </c>
      <c r="D607" s="258" t="s">
        <v>1554</v>
      </c>
      <c r="E607" s="13" t="s">
        <v>1555</v>
      </c>
      <c r="F607" s="165" t="str">
        <f t="shared" si="84"/>
        <v>CONC_24.26_80_NL2018</v>
      </c>
      <c r="G607" s="13" t="s">
        <v>40</v>
      </c>
      <c r="H607" s="12"/>
      <c r="I607" s="24" t="s">
        <v>220</v>
      </c>
      <c r="J607" s="31" t="s">
        <v>504</v>
      </c>
      <c r="K607" s="15" t="s">
        <v>28</v>
      </c>
      <c r="L607" s="15"/>
      <c r="M607" s="33">
        <f t="shared" si="85"/>
        <v>41</v>
      </c>
      <c r="N607" s="15">
        <v>3280</v>
      </c>
      <c r="O607" s="15">
        <v>15200</v>
      </c>
      <c r="P607" s="15">
        <f t="shared" si="83"/>
        <v>49856000</v>
      </c>
      <c r="Q607" s="15" t="str">
        <f t="shared" si="89"/>
        <v/>
      </c>
      <c r="R607" s="18" t="s">
        <v>29</v>
      </c>
      <c r="S607" s="23">
        <v>43709</v>
      </c>
      <c r="T607" s="20">
        <f>IFERROR(VLOOKUP(S607,'Date Converter'!$A$4:$C$368,3,0),"")</f>
        <v>43737</v>
      </c>
      <c r="U607" s="21">
        <f t="shared" si="91"/>
        <v>43737</v>
      </c>
      <c r="V607" s="15" t="s">
        <v>51</v>
      </c>
      <c r="W607" s="18"/>
      <c r="X607" s="18"/>
      <c r="Y607" s="18"/>
      <c r="Z607" s="206"/>
      <c r="AA607" s="15"/>
      <c r="AB607" s="206"/>
      <c r="AC607" s="12"/>
      <c r="AD607" s="12"/>
      <c r="AE607" s="12"/>
      <c r="AF607" s="245"/>
      <c r="AG607" s="12"/>
      <c r="AH607" s="15">
        <f t="shared" si="86"/>
        <v>0</v>
      </c>
      <c r="AI607" s="22">
        <f t="shared" si="87"/>
        <v>3280</v>
      </c>
      <c r="AJ607" s="22">
        <f t="shared" si="88"/>
        <v>49856000</v>
      </c>
    </row>
    <row r="608" spans="1:37" s="165" customFormat="1" hidden="1" outlineLevel="1">
      <c r="A608" s="165" t="s">
        <v>1671</v>
      </c>
      <c r="B608" s="13">
        <v>43575</v>
      </c>
      <c r="C608" s="13" t="s">
        <v>1622</v>
      </c>
      <c r="D608" s="165" t="s">
        <v>1554</v>
      </c>
      <c r="E608" s="13" t="s">
        <v>1555</v>
      </c>
      <c r="F608" s="165" t="str">
        <f t="shared" si="84"/>
        <v>BACA_15.16_300_NL2018</v>
      </c>
      <c r="G608" s="13" t="s">
        <v>67</v>
      </c>
      <c r="H608" s="12"/>
      <c r="I608" s="12" t="s">
        <v>77</v>
      </c>
      <c r="J608" s="31" t="s">
        <v>124</v>
      </c>
      <c r="K608" s="15" t="s">
        <v>28</v>
      </c>
      <c r="L608" s="15"/>
      <c r="M608" s="33">
        <f t="shared" si="85"/>
        <v>0</v>
      </c>
      <c r="N608" s="15">
        <f>9000+900-9900</f>
        <v>0</v>
      </c>
      <c r="O608" s="15">
        <v>4500</v>
      </c>
      <c r="P608" s="15">
        <f t="shared" si="83"/>
        <v>0</v>
      </c>
      <c r="Q608" s="15" t="str">
        <f t="shared" si="89"/>
        <v>Canceled</v>
      </c>
      <c r="R608" s="18" t="s">
        <v>71</v>
      </c>
      <c r="S608" s="13">
        <v>43542</v>
      </c>
      <c r="T608" s="20">
        <f>IFERROR(VLOOKUP(S608,'Date Converter'!$A$4:$C$368,3,0),"")</f>
        <v>43577</v>
      </c>
      <c r="U608" s="21">
        <f t="shared" si="91"/>
        <v>43577</v>
      </c>
      <c r="V608" s="12"/>
      <c r="W608" s="18"/>
      <c r="X608" s="18"/>
      <c r="Y608" s="18"/>
      <c r="Z608" s="206"/>
      <c r="AA608" s="15"/>
      <c r="AB608" s="206"/>
      <c r="AC608" s="12"/>
      <c r="AD608" s="12"/>
      <c r="AE608" s="12"/>
      <c r="AF608" s="245"/>
      <c r="AG608" s="12"/>
      <c r="AH608" s="15">
        <f t="shared" si="86"/>
        <v>0</v>
      </c>
      <c r="AI608" s="22">
        <f t="shared" si="87"/>
        <v>0</v>
      </c>
      <c r="AJ608" s="22">
        <f t="shared" si="88"/>
        <v>0</v>
      </c>
    </row>
    <row r="609" spans="1:37" s="165" customFormat="1" hidden="1" outlineLevel="1">
      <c r="A609" s="165" t="s">
        <v>1671</v>
      </c>
      <c r="B609" s="13">
        <v>43575</v>
      </c>
      <c r="C609" s="13" t="s">
        <v>1622</v>
      </c>
      <c r="D609" s="165" t="s">
        <v>1554</v>
      </c>
      <c r="E609" s="13" t="s">
        <v>1555</v>
      </c>
      <c r="F609" s="165" t="str">
        <f t="shared" si="84"/>
        <v>BACA_15.16_250_NL2018</v>
      </c>
      <c r="G609" s="13" t="s">
        <v>67</v>
      </c>
      <c r="H609" s="12"/>
      <c r="I609" s="12" t="s">
        <v>77</v>
      </c>
      <c r="J609" s="31" t="s">
        <v>1434</v>
      </c>
      <c r="K609" s="15" t="s">
        <v>28</v>
      </c>
      <c r="L609" s="15"/>
      <c r="M609" s="33">
        <f t="shared" si="85"/>
        <v>0</v>
      </c>
      <c r="N609" s="15">
        <f>2000-2000</f>
        <v>0</v>
      </c>
      <c r="O609" s="15">
        <v>4500</v>
      </c>
      <c r="P609" s="15">
        <f t="shared" si="83"/>
        <v>0</v>
      </c>
      <c r="Q609" s="15" t="str">
        <f t="shared" si="89"/>
        <v>Canceled</v>
      </c>
      <c r="R609" s="18" t="s">
        <v>71</v>
      </c>
      <c r="S609" s="13">
        <v>43542</v>
      </c>
      <c r="T609" s="20">
        <f>IFERROR(VLOOKUP(S609,'Date Converter'!$A$4:$C$368,3,0),"")</f>
        <v>43577</v>
      </c>
      <c r="U609" s="21">
        <f t="shared" si="91"/>
        <v>43577</v>
      </c>
      <c r="V609" s="12"/>
      <c r="W609" s="18"/>
      <c r="X609" s="18"/>
      <c r="Y609" s="18"/>
      <c r="Z609" s="206"/>
      <c r="AA609" s="15"/>
      <c r="AB609" s="206"/>
      <c r="AC609" s="12"/>
      <c r="AD609" s="12"/>
      <c r="AE609" s="12"/>
      <c r="AF609" s="245"/>
      <c r="AG609" s="12"/>
      <c r="AH609" s="15">
        <f t="shared" si="86"/>
        <v>0</v>
      </c>
      <c r="AI609" s="22">
        <f t="shared" si="87"/>
        <v>0</v>
      </c>
      <c r="AJ609" s="22">
        <f t="shared" si="88"/>
        <v>0</v>
      </c>
    </row>
    <row r="610" spans="1:37" hidden="1" outlineLevel="1">
      <c r="A610" t="s">
        <v>332</v>
      </c>
      <c r="B610" s="13">
        <v>43518</v>
      </c>
      <c r="C610" s="13" t="s">
        <v>23</v>
      </c>
      <c r="D610" t="s">
        <v>230</v>
      </c>
      <c r="E610" s="165" t="s">
        <v>231</v>
      </c>
      <c r="F610" t="str">
        <f t="shared" si="84"/>
        <v>YELL_14.16_300_NL2018</v>
      </c>
      <c r="G610" s="165" t="s">
        <v>89</v>
      </c>
      <c r="I610" s="24" t="s">
        <v>47</v>
      </c>
      <c r="J610" s="14">
        <v>300</v>
      </c>
      <c r="K610" s="15" t="s">
        <v>28</v>
      </c>
      <c r="M610" s="16">
        <f t="shared" si="85"/>
        <v>14</v>
      </c>
      <c r="N610" s="15">
        <f>5100+5100-6000</f>
        <v>4200</v>
      </c>
      <c r="O610" s="15">
        <v>3800</v>
      </c>
      <c r="P610" s="15">
        <f t="shared" si="83"/>
        <v>15960000</v>
      </c>
      <c r="Q610" s="15" t="str">
        <f t="shared" si="89"/>
        <v>Done</v>
      </c>
      <c r="R610" s="18" t="s">
        <v>44</v>
      </c>
      <c r="S610" s="23">
        <v>43539</v>
      </c>
      <c r="T610" s="20">
        <f>IFERROR(VLOOKUP(S610,'Date Converter'!$A$4:$C$368,3,0),"")</f>
        <v>43574</v>
      </c>
      <c r="U610" s="21">
        <f t="shared" si="91"/>
        <v>43574</v>
      </c>
      <c r="V610" s="20" t="s">
        <v>57</v>
      </c>
      <c r="W610" s="18" t="s">
        <v>132</v>
      </c>
      <c r="X610" s="18">
        <v>43569</v>
      </c>
      <c r="Y610" s="15" t="s">
        <v>59</v>
      </c>
      <c r="Z610" s="206">
        <v>43581</v>
      </c>
      <c r="AA610" s="15">
        <v>4200</v>
      </c>
      <c r="AB610" s="206"/>
      <c r="AC610" s="15"/>
      <c r="AD610" s="206"/>
      <c r="AE610" s="15"/>
      <c r="AF610" s="244"/>
      <c r="AG610" s="15"/>
      <c r="AH610" s="15">
        <f t="shared" si="86"/>
        <v>4200</v>
      </c>
      <c r="AI610" s="22">
        <f t="shared" si="87"/>
        <v>0</v>
      </c>
      <c r="AJ610" s="22">
        <f t="shared" si="88"/>
        <v>0</v>
      </c>
      <c r="AK610" s="165"/>
    </row>
    <row r="611" spans="1:37" hidden="1" outlineLevel="1">
      <c r="A611" t="s">
        <v>332</v>
      </c>
      <c r="B611" s="13">
        <v>43518</v>
      </c>
      <c r="C611" s="13" t="s">
        <v>23</v>
      </c>
      <c r="D611" t="s">
        <v>230</v>
      </c>
      <c r="E611" s="165" t="s">
        <v>231</v>
      </c>
      <c r="F611" t="str">
        <f t="shared" si="84"/>
        <v>YELL_16.18_200_NL2018</v>
      </c>
      <c r="G611" s="165" t="s">
        <v>89</v>
      </c>
      <c r="I611" s="12" t="s">
        <v>35</v>
      </c>
      <c r="J611" s="14">
        <v>200</v>
      </c>
      <c r="K611" s="15" t="s">
        <v>28</v>
      </c>
      <c r="M611" s="16">
        <f t="shared" si="85"/>
        <v>0</v>
      </c>
      <c r="N611" s="15">
        <f>5000-5000</f>
        <v>0</v>
      </c>
      <c r="O611" s="25"/>
      <c r="P611" s="15">
        <f t="shared" si="83"/>
        <v>0</v>
      </c>
      <c r="Q611" s="15" t="str">
        <f t="shared" si="89"/>
        <v>Canceled</v>
      </c>
      <c r="R611" s="18" t="s">
        <v>71</v>
      </c>
      <c r="S611" s="23">
        <v>43586</v>
      </c>
      <c r="T611" s="20">
        <f>IFERROR(VLOOKUP(S611,'Date Converter'!$A$4:$C$368,3,0),"")</f>
        <v>43619</v>
      </c>
      <c r="U611" s="21">
        <f t="shared" si="91"/>
        <v>43619</v>
      </c>
      <c r="V611" s="12" t="s">
        <v>486</v>
      </c>
      <c r="Y611" s="15" t="s">
        <v>59</v>
      </c>
      <c r="AA611" s="15">
        <v>0</v>
      </c>
      <c r="AB611" s="206"/>
      <c r="AC611" s="15"/>
      <c r="AD611" s="206"/>
      <c r="AE611" s="15"/>
      <c r="AF611" s="244"/>
      <c r="AG611" s="15"/>
      <c r="AH611" s="15">
        <f t="shared" si="86"/>
        <v>0</v>
      </c>
      <c r="AI611" s="22">
        <f t="shared" si="87"/>
        <v>0</v>
      </c>
      <c r="AJ611" s="22">
        <f t="shared" si="88"/>
        <v>0</v>
      </c>
      <c r="AK611" s="165"/>
    </row>
    <row r="612" spans="1:37" hidden="1" outlineLevel="1">
      <c r="A612" t="s">
        <v>332</v>
      </c>
      <c r="B612" s="13">
        <v>43518</v>
      </c>
      <c r="C612" s="13" t="s">
        <v>23</v>
      </c>
      <c r="D612" t="s">
        <v>230</v>
      </c>
      <c r="E612" s="165" t="s">
        <v>231</v>
      </c>
      <c r="F612" t="str">
        <f t="shared" si="84"/>
        <v>TEBA_12.14_400_NL2018</v>
      </c>
      <c r="G612" s="165" t="s">
        <v>127</v>
      </c>
      <c r="I612" s="12" t="s">
        <v>113</v>
      </c>
      <c r="J612" s="14">
        <v>400</v>
      </c>
      <c r="K612" s="15" t="s">
        <v>28</v>
      </c>
      <c r="M612" s="16">
        <f t="shared" si="85"/>
        <v>2</v>
      </c>
      <c r="N612" s="15">
        <v>800</v>
      </c>
      <c r="O612" s="15">
        <v>2800</v>
      </c>
      <c r="P612" s="15">
        <f t="shared" si="83"/>
        <v>2240000</v>
      </c>
      <c r="Q612" s="15" t="str">
        <f t="shared" si="89"/>
        <v>Done</v>
      </c>
      <c r="R612" s="18" t="s">
        <v>44</v>
      </c>
      <c r="S612" s="23">
        <v>43524</v>
      </c>
      <c r="T612" s="20">
        <f>IFERROR(VLOOKUP(S612,'Date Converter'!$A$4:$C$368,3,0),"")</f>
        <v>43557</v>
      </c>
      <c r="U612" s="21">
        <f t="shared" si="91"/>
        <v>43557</v>
      </c>
      <c r="V612" s="12" t="s">
        <v>57</v>
      </c>
      <c r="W612" s="18" t="s">
        <v>82</v>
      </c>
      <c r="X612" s="18">
        <v>43555</v>
      </c>
      <c r="Y612" s="15" t="s">
        <v>59</v>
      </c>
      <c r="Z612" s="206">
        <v>43581</v>
      </c>
      <c r="AA612" s="15">
        <v>800</v>
      </c>
      <c r="AB612" s="206"/>
      <c r="AC612" s="15"/>
      <c r="AD612" s="206"/>
      <c r="AE612" s="15"/>
      <c r="AF612" s="244"/>
      <c r="AG612" s="15"/>
      <c r="AH612" s="15">
        <f t="shared" si="86"/>
        <v>800</v>
      </c>
      <c r="AI612" s="22">
        <f t="shared" si="87"/>
        <v>0</v>
      </c>
      <c r="AJ612" s="22">
        <f t="shared" si="88"/>
        <v>0</v>
      </c>
      <c r="AK612" s="165"/>
    </row>
    <row r="613" spans="1:37" hidden="1" outlineLevel="1">
      <c r="A613" t="s">
        <v>1350</v>
      </c>
      <c r="B613" s="13">
        <v>43518</v>
      </c>
      <c r="C613" s="13" t="s">
        <v>23</v>
      </c>
      <c r="D613" s="258" t="s">
        <v>230</v>
      </c>
      <c r="E613" s="198" t="s">
        <v>231</v>
      </c>
      <c r="F613" t="str">
        <f t="shared" si="84"/>
        <v>ROBI_22.24_100_NL2018</v>
      </c>
      <c r="G613" s="165" t="s">
        <v>61</v>
      </c>
      <c r="I613" s="12" t="s">
        <v>78</v>
      </c>
      <c r="J613" s="14">
        <v>100</v>
      </c>
      <c r="K613" s="15" t="s">
        <v>28</v>
      </c>
      <c r="M613" s="16">
        <f t="shared" si="85"/>
        <v>55</v>
      </c>
      <c r="N613" s="15">
        <v>5500</v>
      </c>
      <c r="O613" s="15">
        <v>12500</v>
      </c>
      <c r="P613" s="15">
        <f t="shared" si="83"/>
        <v>68750000</v>
      </c>
      <c r="Q613" s="15" t="str">
        <f t="shared" si="89"/>
        <v/>
      </c>
      <c r="R613" s="18" t="s">
        <v>29</v>
      </c>
      <c r="S613" s="23">
        <v>43709</v>
      </c>
      <c r="T613" s="20">
        <f>IFERROR(VLOOKUP(S613,'Date Converter'!$A$4:$C$368,3,0),"")</f>
        <v>43737</v>
      </c>
      <c r="U613" s="21">
        <f t="shared" si="91"/>
        <v>43737</v>
      </c>
      <c r="V613" s="12" t="s">
        <v>51</v>
      </c>
      <c r="Y613" s="15" t="s">
        <v>59</v>
      </c>
      <c r="AA613" s="15">
        <v>0</v>
      </c>
      <c r="AB613" s="206"/>
      <c r="AC613" s="15"/>
      <c r="AD613" s="206"/>
      <c r="AE613" s="15"/>
      <c r="AF613" s="244"/>
      <c r="AG613" s="15"/>
      <c r="AH613" s="15">
        <f t="shared" si="86"/>
        <v>0</v>
      </c>
      <c r="AI613" s="22">
        <f t="shared" si="87"/>
        <v>5500</v>
      </c>
      <c r="AJ613" s="22">
        <f t="shared" si="88"/>
        <v>68750000</v>
      </c>
      <c r="AK613" s="165"/>
    </row>
    <row r="614" spans="1:37" hidden="1" outlineLevel="1">
      <c r="A614" t="s">
        <v>1350</v>
      </c>
      <c r="B614" s="13">
        <v>43518</v>
      </c>
      <c r="C614" s="13" t="s">
        <v>23</v>
      </c>
      <c r="D614" s="258" t="s">
        <v>230</v>
      </c>
      <c r="E614" s="198" t="s">
        <v>231</v>
      </c>
      <c r="F614" t="str">
        <f t="shared" si="84"/>
        <v>PROF_20.22_125_NL2018</v>
      </c>
      <c r="G614" s="165" t="s">
        <v>56</v>
      </c>
      <c r="I614" s="12" t="s">
        <v>74</v>
      </c>
      <c r="J614" s="14">
        <v>125</v>
      </c>
      <c r="K614" s="15" t="s">
        <v>28</v>
      </c>
      <c r="M614" s="16">
        <f t="shared" si="85"/>
        <v>20</v>
      </c>
      <c r="N614" s="15">
        <v>2500</v>
      </c>
      <c r="O614" s="15">
        <v>13000</v>
      </c>
      <c r="P614" s="15">
        <f t="shared" ref="P614:P677" si="92">+O614*N614</f>
        <v>32500000</v>
      </c>
      <c r="Q614" s="15" t="str">
        <f t="shared" si="89"/>
        <v/>
      </c>
      <c r="R614" s="18" t="s">
        <v>29</v>
      </c>
      <c r="S614" s="23">
        <v>43709</v>
      </c>
      <c r="T614" s="20">
        <f>IFERROR(VLOOKUP(S614,'Date Converter'!$A$4:$C$368,3,0),"")</f>
        <v>43737</v>
      </c>
      <c r="U614" s="21">
        <f t="shared" si="91"/>
        <v>43737</v>
      </c>
      <c r="V614" s="12" t="s">
        <v>51</v>
      </c>
      <c r="Y614" s="15" t="s">
        <v>59</v>
      </c>
      <c r="AA614" s="15">
        <v>0</v>
      </c>
      <c r="AB614" s="206"/>
      <c r="AC614" s="15"/>
      <c r="AD614" s="206"/>
      <c r="AE614" s="15"/>
      <c r="AF614" s="244"/>
      <c r="AG614" s="15"/>
      <c r="AH614" s="15">
        <f t="shared" si="86"/>
        <v>0</v>
      </c>
      <c r="AI614" s="22">
        <f t="shared" si="87"/>
        <v>2500</v>
      </c>
      <c r="AJ614" s="22">
        <f t="shared" si="88"/>
        <v>32500000</v>
      </c>
      <c r="AK614" s="165"/>
    </row>
    <row r="615" spans="1:37" hidden="1" outlineLevel="1">
      <c r="A615" t="s">
        <v>1350</v>
      </c>
      <c r="B615" s="13">
        <v>43518</v>
      </c>
      <c r="C615" s="13" t="s">
        <v>23</v>
      </c>
      <c r="D615" s="258" t="s">
        <v>230</v>
      </c>
      <c r="E615" s="198" t="s">
        <v>231</v>
      </c>
      <c r="F615" s="165" t="str">
        <f t="shared" si="84"/>
        <v>PROF_22.24_100_NL2018</v>
      </c>
      <c r="G615" s="165" t="s">
        <v>56</v>
      </c>
      <c r="I615" s="12" t="s">
        <v>78</v>
      </c>
      <c r="J615" s="14">
        <v>100</v>
      </c>
      <c r="K615" s="15" t="s">
        <v>28</v>
      </c>
      <c r="M615" s="16">
        <f t="shared" si="85"/>
        <v>25</v>
      </c>
      <c r="N615" s="15">
        <v>2500</v>
      </c>
      <c r="O615" s="15">
        <v>14200</v>
      </c>
      <c r="P615" s="15">
        <f t="shared" si="92"/>
        <v>35500000</v>
      </c>
      <c r="Q615" s="15" t="str">
        <f t="shared" si="89"/>
        <v/>
      </c>
      <c r="R615" s="18" t="s">
        <v>29</v>
      </c>
      <c r="S615" s="23">
        <v>43709</v>
      </c>
      <c r="T615" s="20">
        <f>IFERROR(VLOOKUP(S615,'Date Converter'!$A$4:$C$368,3,0),"")</f>
        <v>43737</v>
      </c>
      <c r="U615" s="21">
        <f t="shared" si="91"/>
        <v>43737</v>
      </c>
      <c r="V615" s="12" t="s">
        <v>51</v>
      </c>
      <c r="Y615" s="15" t="s">
        <v>59</v>
      </c>
      <c r="AA615" s="15">
        <v>0</v>
      </c>
      <c r="AB615" s="206"/>
      <c r="AC615" s="15"/>
      <c r="AD615" s="206"/>
      <c r="AE615" s="15"/>
      <c r="AF615" s="244"/>
      <c r="AG615" s="15"/>
      <c r="AH615" s="15">
        <f t="shared" si="86"/>
        <v>0</v>
      </c>
      <c r="AI615" s="22">
        <f t="shared" si="87"/>
        <v>2500</v>
      </c>
      <c r="AJ615" s="22">
        <f t="shared" si="88"/>
        <v>35500000</v>
      </c>
      <c r="AK615" s="165"/>
    </row>
    <row r="616" spans="1:37" s="165" customFormat="1" hidden="1" outlineLevel="1">
      <c r="A616" s="165" t="s">
        <v>332</v>
      </c>
      <c r="B616" s="13">
        <v>43518</v>
      </c>
      <c r="C616" s="13" t="s">
        <v>23</v>
      </c>
      <c r="D616" s="165" t="s">
        <v>230</v>
      </c>
      <c r="E616" s="165" t="s">
        <v>231</v>
      </c>
      <c r="F616" s="165" t="str">
        <f t="shared" si="84"/>
        <v>PROF_16.18_200_NL2018</v>
      </c>
      <c r="G616" s="165" t="s">
        <v>56</v>
      </c>
      <c r="H616" s="12"/>
      <c r="I616" s="12" t="s">
        <v>35</v>
      </c>
      <c r="J616" s="14">
        <v>200</v>
      </c>
      <c r="K616" s="15" t="s">
        <v>28</v>
      </c>
      <c r="L616" s="15"/>
      <c r="M616" s="16">
        <f t="shared" si="85"/>
        <v>55</v>
      </c>
      <c r="N616" s="15">
        <v>11000</v>
      </c>
      <c r="O616" s="15">
        <v>6700</v>
      </c>
      <c r="P616" s="15">
        <f t="shared" si="92"/>
        <v>73700000</v>
      </c>
      <c r="Q616" s="15" t="str">
        <f t="shared" si="89"/>
        <v>Done</v>
      </c>
      <c r="R616" s="18" t="s">
        <v>44</v>
      </c>
      <c r="S616" s="23">
        <v>43539</v>
      </c>
      <c r="T616" s="20">
        <f>IFERROR(VLOOKUP(S616,'Date Converter'!$A$4:$C$368,3,0),"")</f>
        <v>43574</v>
      </c>
      <c r="U616" s="21">
        <f t="shared" si="91"/>
        <v>43574</v>
      </c>
      <c r="V616" s="12" t="s">
        <v>57</v>
      </c>
      <c r="W616" s="18" t="s">
        <v>58</v>
      </c>
      <c r="X616" s="18">
        <v>43569</v>
      </c>
      <c r="Y616" s="15" t="s">
        <v>59</v>
      </c>
      <c r="Z616" s="206">
        <v>43581</v>
      </c>
      <c r="AA616" s="15">
        <v>11000</v>
      </c>
      <c r="AB616" s="206"/>
      <c r="AC616" s="15"/>
      <c r="AD616" s="206"/>
      <c r="AE616" s="15"/>
      <c r="AF616" s="244"/>
      <c r="AG616" s="15"/>
      <c r="AH616" s="15">
        <f t="shared" si="86"/>
        <v>11000</v>
      </c>
      <c r="AI616" s="22">
        <f t="shared" si="87"/>
        <v>0</v>
      </c>
      <c r="AJ616" s="22">
        <f t="shared" si="88"/>
        <v>0</v>
      </c>
    </row>
    <row r="617" spans="1:37" hidden="1" outlineLevel="1">
      <c r="A617" t="s">
        <v>1350</v>
      </c>
      <c r="B617" s="13">
        <v>43518</v>
      </c>
      <c r="C617" s="13" t="s">
        <v>23</v>
      </c>
      <c r="D617" s="258" t="s">
        <v>230</v>
      </c>
      <c r="E617" s="198" t="s">
        <v>231</v>
      </c>
      <c r="F617" t="str">
        <f t="shared" si="84"/>
        <v>CONC_22.24_100_NL2018</v>
      </c>
      <c r="G617" s="165" t="s">
        <v>133</v>
      </c>
      <c r="I617" s="12" t="s">
        <v>78</v>
      </c>
      <c r="J617" s="14">
        <v>100</v>
      </c>
      <c r="K617" s="15" t="s">
        <v>28</v>
      </c>
      <c r="M617" s="16">
        <f t="shared" si="85"/>
        <v>80</v>
      </c>
      <c r="N617" s="15">
        <v>8000</v>
      </c>
      <c r="O617" s="15">
        <v>12500</v>
      </c>
      <c r="P617" s="15">
        <f t="shared" si="92"/>
        <v>100000000</v>
      </c>
      <c r="Q617" s="15" t="str">
        <f t="shared" si="89"/>
        <v/>
      </c>
      <c r="R617" s="18" t="s">
        <v>29</v>
      </c>
      <c r="S617" s="23">
        <v>43709</v>
      </c>
      <c r="T617" s="20">
        <f>IFERROR(VLOOKUP(S617,'Date Converter'!$A$4:$C$368,3,0),"")</f>
        <v>43737</v>
      </c>
      <c r="U617" s="21">
        <f t="shared" si="91"/>
        <v>43737</v>
      </c>
      <c r="V617" s="12" t="s">
        <v>51</v>
      </c>
      <c r="Y617" s="15" t="s">
        <v>59</v>
      </c>
      <c r="AA617" s="15">
        <v>0</v>
      </c>
      <c r="AB617" s="206"/>
      <c r="AC617" s="15"/>
      <c r="AD617" s="206"/>
      <c r="AE617" s="15"/>
      <c r="AF617" s="244"/>
      <c r="AG617" s="15"/>
      <c r="AH617" s="15">
        <f t="shared" si="86"/>
        <v>0</v>
      </c>
      <c r="AI617" s="22">
        <f t="shared" si="87"/>
        <v>8000</v>
      </c>
      <c r="AJ617" s="22">
        <f t="shared" si="88"/>
        <v>100000000</v>
      </c>
      <c r="AK617" s="165"/>
    </row>
    <row r="618" spans="1:37" hidden="1" outlineLevel="1">
      <c r="A618" t="s">
        <v>302</v>
      </c>
      <c r="B618" s="13">
        <v>43538</v>
      </c>
      <c r="C618" s="13" t="s">
        <v>23</v>
      </c>
      <c r="D618" t="s">
        <v>119</v>
      </c>
      <c r="E618" s="119" t="s">
        <v>120</v>
      </c>
      <c r="F618" t="str">
        <f t="shared" si="84"/>
        <v>TEBA_12.14_400_NL2018</v>
      </c>
      <c r="G618" s="13" t="s">
        <v>127</v>
      </c>
      <c r="I618" s="12" t="s">
        <v>113</v>
      </c>
      <c r="J618" s="31" t="s">
        <v>128</v>
      </c>
      <c r="K618" s="15" t="s">
        <v>28</v>
      </c>
      <c r="M618" s="16">
        <f t="shared" si="85"/>
        <v>8</v>
      </c>
      <c r="N618" s="15">
        <v>3200</v>
      </c>
      <c r="O618" s="15">
        <v>3100</v>
      </c>
      <c r="P618" s="15">
        <f t="shared" si="92"/>
        <v>9920000</v>
      </c>
      <c r="Q618" s="15" t="str">
        <f t="shared" si="89"/>
        <v/>
      </c>
      <c r="R618" s="18" t="s">
        <v>29</v>
      </c>
      <c r="S618" s="23">
        <v>43671</v>
      </c>
      <c r="T618" s="20">
        <f>IFERROR(VLOOKUP(S618,'Date Converter'!$A$4:$C$368,3,0),"")</f>
        <v>43702</v>
      </c>
      <c r="U618" s="21">
        <f t="shared" si="91"/>
        <v>43702</v>
      </c>
      <c r="V618" s="12" t="s">
        <v>125</v>
      </c>
      <c r="AA618" s="15">
        <v>0</v>
      </c>
      <c r="AB618" s="206"/>
      <c r="AD618" s="206"/>
      <c r="AH618" s="15">
        <f t="shared" si="86"/>
        <v>0</v>
      </c>
      <c r="AI618" s="22">
        <f t="shared" si="87"/>
        <v>3200</v>
      </c>
      <c r="AJ618" s="22">
        <f t="shared" si="88"/>
        <v>9920000</v>
      </c>
      <c r="AK618" s="165"/>
    </row>
    <row r="619" spans="1:37" hidden="1" outlineLevel="1">
      <c r="A619" s="165" t="s">
        <v>1348</v>
      </c>
      <c r="B619" s="13">
        <v>43538</v>
      </c>
      <c r="C619" s="13" t="s">
        <v>23</v>
      </c>
      <c r="D619" s="258" t="s">
        <v>119</v>
      </c>
      <c r="E619" s="119" t="s">
        <v>120</v>
      </c>
      <c r="F619" s="165" t="str">
        <f t="shared" si="84"/>
        <v>TEBA_14.16_300_NL2018</v>
      </c>
      <c r="G619" s="13" t="s">
        <v>127</v>
      </c>
      <c r="I619" s="12" t="s">
        <v>47</v>
      </c>
      <c r="J619" s="31" t="s">
        <v>124</v>
      </c>
      <c r="K619" s="15" t="s">
        <v>28</v>
      </c>
      <c r="M619" s="16">
        <f t="shared" si="85"/>
        <v>44</v>
      </c>
      <c r="N619" s="15">
        <v>13200</v>
      </c>
      <c r="O619" s="15">
        <v>4600</v>
      </c>
      <c r="P619" s="15">
        <f t="shared" si="92"/>
        <v>60720000</v>
      </c>
      <c r="Q619" s="15" t="str">
        <f t="shared" si="89"/>
        <v/>
      </c>
      <c r="R619" s="18" t="s">
        <v>29</v>
      </c>
      <c r="S619" s="23">
        <v>43709</v>
      </c>
      <c r="T619" s="20">
        <f>IFERROR(VLOOKUP(S619,'Date Converter'!$A$4:$C$368,3,0),"")</f>
        <v>43737</v>
      </c>
      <c r="U619" s="21">
        <f t="shared" si="91"/>
        <v>43737</v>
      </c>
      <c r="V619" s="12" t="s">
        <v>51</v>
      </c>
      <c r="AA619" s="15">
        <v>0</v>
      </c>
      <c r="AB619" s="206"/>
      <c r="AD619" s="206"/>
      <c r="AH619" s="15">
        <f t="shared" si="86"/>
        <v>0</v>
      </c>
      <c r="AI619" s="22">
        <f t="shared" si="87"/>
        <v>13200</v>
      </c>
      <c r="AJ619" s="22">
        <f t="shared" si="88"/>
        <v>60720000</v>
      </c>
      <c r="AK619" s="165"/>
    </row>
    <row r="620" spans="1:37" hidden="1" outlineLevel="1">
      <c r="A620" s="165" t="s">
        <v>1348</v>
      </c>
      <c r="B620" s="13">
        <v>43538</v>
      </c>
      <c r="C620" s="13" t="s">
        <v>23</v>
      </c>
      <c r="D620" s="258" t="s">
        <v>119</v>
      </c>
      <c r="E620" s="119" t="s">
        <v>120</v>
      </c>
      <c r="F620" t="str">
        <f t="shared" si="84"/>
        <v>ROBI_20.22_125_NL2018</v>
      </c>
      <c r="G620" s="165" t="s">
        <v>61</v>
      </c>
      <c r="I620" s="12" t="s">
        <v>74</v>
      </c>
      <c r="J620" s="31" t="s">
        <v>122</v>
      </c>
      <c r="K620" s="15" t="s">
        <v>28</v>
      </c>
      <c r="M620" s="16">
        <f t="shared" si="85"/>
        <v>16</v>
      </c>
      <c r="N620" s="15">
        <v>2000</v>
      </c>
      <c r="O620" s="15">
        <v>10500</v>
      </c>
      <c r="P620" s="15">
        <f t="shared" si="92"/>
        <v>21000000</v>
      </c>
      <c r="Q620" s="15" t="str">
        <f t="shared" si="89"/>
        <v/>
      </c>
      <c r="R620" s="18" t="s">
        <v>29</v>
      </c>
      <c r="S620" s="23">
        <v>43709</v>
      </c>
      <c r="T620" s="20">
        <f>IFERROR(VLOOKUP(S620,'Date Converter'!$A$4:$C$368,3,0),"")</f>
        <v>43737</v>
      </c>
      <c r="U620" s="21">
        <f t="shared" si="91"/>
        <v>43737</v>
      </c>
      <c r="V620" s="12" t="s">
        <v>51</v>
      </c>
      <c r="AA620" s="15">
        <v>0</v>
      </c>
      <c r="AB620" s="206"/>
      <c r="AD620" s="206"/>
      <c r="AH620" s="15">
        <f t="shared" si="86"/>
        <v>0</v>
      </c>
      <c r="AI620" s="22">
        <f t="shared" si="87"/>
        <v>2000</v>
      </c>
      <c r="AJ620" s="22">
        <f t="shared" si="88"/>
        <v>21000000</v>
      </c>
      <c r="AK620" s="165"/>
    </row>
    <row r="621" spans="1:37" hidden="1" outlineLevel="1">
      <c r="A621" t="s">
        <v>1348</v>
      </c>
      <c r="B621" s="13">
        <v>43558</v>
      </c>
      <c r="C621" s="13" t="s">
        <v>23</v>
      </c>
      <c r="D621" s="258" t="s">
        <v>119</v>
      </c>
      <c r="E621" s="119" t="s">
        <v>120</v>
      </c>
      <c r="F621" t="str">
        <f t="shared" si="84"/>
        <v>ROBI_20.22_125_NL2018</v>
      </c>
      <c r="G621" s="13" t="s">
        <v>61</v>
      </c>
      <c r="I621" s="12" t="s">
        <v>74</v>
      </c>
      <c r="J621" s="31" t="s">
        <v>122</v>
      </c>
      <c r="K621" s="15" t="s">
        <v>28</v>
      </c>
      <c r="M621" s="16">
        <f t="shared" si="85"/>
        <v>16</v>
      </c>
      <c r="N621" s="15">
        <v>2000</v>
      </c>
      <c r="O621" s="15">
        <v>10700</v>
      </c>
      <c r="P621" s="15">
        <f t="shared" si="92"/>
        <v>21400000</v>
      </c>
      <c r="Q621" s="15" t="str">
        <f t="shared" si="89"/>
        <v/>
      </c>
      <c r="R621" s="18" t="s">
        <v>29</v>
      </c>
      <c r="S621" s="23">
        <v>43709</v>
      </c>
      <c r="T621" s="20">
        <f>IFERROR(VLOOKUP(S621,'Date Converter'!$A$4:$C$368,3,0),"")</f>
        <v>43737</v>
      </c>
      <c r="U621" s="21">
        <f t="shared" si="91"/>
        <v>43737</v>
      </c>
      <c r="V621" s="12" t="s">
        <v>51</v>
      </c>
      <c r="AA621" s="15"/>
      <c r="AB621" s="206"/>
      <c r="AD621" s="206"/>
      <c r="AH621" s="15">
        <f t="shared" si="86"/>
        <v>0</v>
      </c>
      <c r="AI621" s="22">
        <f t="shared" si="87"/>
        <v>2000</v>
      </c>
      <c r="AJ621" s="22">
        <f t="shared" si="88"/>
        <v>21400000</v>
      </c>
      <c r="AK621" s="165"/>
    </row>
    <row r="622" spans="1:37" hidden="1" outlineLevel="1">
      <c r="A622" s="165" t="s">
        <v>1348</v>
      </c>
      <c r="B622" s="13">
        <v>43538</v>
      </c>
      <c r="C622" s="13" t="s">
        <v>23</v>
      </c>
      <c r="D622" s="258" t="s">
        <v>119</v>
      </c>
      <c r="E622" s="119" t="s">
        <v>120</v>
      </c>
      <c r="F622" t="str">
        <f t="shared" si="84"/>
        <v>REDD_18.20_150_NL2018</v>
      </c>
      <c r="G622" s="13" t="s">
        <v>60</v>
      </c>
      <c r="I622" s="12" t="s">
        <v>27</v>
      </c>
      <c r="J622" s="31" t="s">
        <v>126</v>
      </c>
      <c r="K622" s="15" t="s">
        <v>28</v>
      </c>
      <c r="M622" s="16">
        <f t="shared" si="85"/>
        <v>14</v>
      </c>
      <c r="N622" s="15">
        <v>2100</v>
      </c>
      <c r="O622" s="15">
        <v>10500</v>
      </c>
      <c r="P622" s="15">
        <f t="shared" si="92"/>
        <v>22050000</v>
      </c>
      <c r="Q622" s="15" t="str">
        <f t="shared" si="89"/>
        <v/>
      </c>
      <c r="R622" s="18" t="s">
        <v>29</v>
      </c>
      <c r="S622" s="23">
        <v>43709</v>
      </c>
      <c r="T622" s="20">
        <f>IFERROR(VLOOKUP(S622,'Date Converter'!$A$4:$C$368,3,0),"")</f>
        <v>43737</v>
      </c>
      <c r="U622" s="21">
        <f t="shared" si="91"/>
        <v>43737</v>
      </c>
      <c r="V622" s="12" t="s">
        <v>51</v>
      </c>
      <c r="AA622" s="15">
        <v>0</v>
      </c>
      <c r="AB622" s="206"/>
      <c r="AD622" s="206"/>
      <c r="AH622" s="15">
        <f t="shared" si="86"/>
        <v>0</v>
      </c>
      <c r="AI622" s="22">
        <f t="shared" si="87"/>
        <v>2100</v>
      </c>
      <c r="AJ622" s="22">
        <f t="shared" si="88"/>
        <v>22050000</v>
      </c>
      <c r="AK622" s="165"/>
    </row>
    <row r="623" spans="1:37" hidden="1" outlineLevel="1">
      <c r="A623" t="s">
        <v>1348</v>
      </c>
      <c r="B623" s="13">
        <v>43558</v>
      </c>
      <c r="C623" s="13" t="s">
        <v>23</v>
      </c>
      <c r="D623" s="258" t="s">
        <v>119</v>
      </c>
      <c r="E623" s="119" t="s">
        <v>120</v>
      </c>
      <c r="F623" t="str">
        <f t="shared" si="84"/>
        <v>REDD_18.20_150_NL2018</v>
      </c>
      <c r="G623" s="13" t="s">
        <v>60</v>
      </c>
      <c r="I623" s="12" t="s">
        <v>27</v>
      </c>
      <c r="J623" s="31" t="s">
        <v>126</v>
      </c>
      <c r="K623" s="15" t="s">
        <v>28</v>
      </c>
      <c r="M623" s="16">
        <f t="shared" si="85"/>
        <v>14</v>
      </c>
      <c r="N623" s="15">
        <v>2100</v>
      </c>
      <c r="O623" s="15">
        <v>10500</v>
      </c>
      <c r="P623" s="15">
        <f t="shared" si="92"/>
        <v>22050000</v>
      </c>
      <c r="Q623" s="15" t="str">
        <f t="shared" si="89"/>
        <v/>
      </c>
      <c r="R623" s="18" t="s">
        <v>29</v>
      </c>
      <c r="S623" s="23">
        <v>43709</v>
      </c>
      <c r="T623" s="20">
        <f>IFERROR(VLOOKUP(S623,'Date Converter'!$A$4:$C$368,3,0),"")</f>
        <v>43737</v>
      </c>
      <c r="U623" s="21">
        <f t="shared" si="91"/>
        <v>43737</v>
      </c>
      <c r="V623" s="12" t="s">
        <v>51</v>
      </c>
      <c r="AA623" s="15"/>
      <c r="AB623" s="206"/>
      <c r="AD623" s="206"/>
      <c r="AH623" s="15">
        <f t="shared" si="86"/>
        <v>0</v>
      </c>
      <c r="AI623" s="22">
        <f t="shared" si="87"/>
        <v>2100</v>
      </c>
      <c r="AJ623" s="22">
        <f t="shared" si="88"/>
        <v>22050000</v>
      </c>
      <c r="AK623" s="165"/>
    </row>
    <row r="624" spans="1:37" hidden="1">
      <c r="A624" s="165" t="s">
        <v>1348</v>
      </c>
      <c r="B624" s="13">
        <v>43538</v>
      </c>
      <c r="C624" s="13" t="s">
        <v>23</v>
      </c>
      <c r="D624" s="258" t="s">
        <v>119</v>
      </c>
      <c r="E624" s="119" t="s">
        <v>120</v>
      </c>
      <c r="F624" t="str">
        <f t="shared" si="84"/>
        <v>PROF_18.20_150_NL2018</v>
      </c>
      <c r="G624" s="13" t="s">
        <v>56</v>
      </c>
      <c r="I624" s="12" t="s">
        <v>27</v>
      </c>
      <c r="J624" s="31" t="s">
        <v>126</v>
      </c>
      <c r="K624" s="15" t="s">
        <v>28</v>
      </c>
      <c r="M624" s="16">
        <f t="shared" si="85"/>
        <v>14</v>
      </c>
      <c r="N624" s="15">
        <v>2100</v>
      </c>
      <c r="O624" s="15">
        <v>10800</v>
      </c>
      <c r="P624" s="15">
        <f t="shared" si="92"/>
        <v>22680000</v>
      </c>
      <c r="Q624" s="15" t="str">
        <f t="shared" si="89"/>
        <v/>
      </c>
      <c r="R624" s="18" t="s">
        <v>29</v>
      </c>
      <c r="S624" s="23">
        <v>43709</v>
      </c>
      <c r="T624" s="20">
        <f>IFERROR(VLOOKUP(S624,'Date Converter'!$A$4:$C$368,3,0),"")</f>
        <v>43737</v>
      </c>
      <c r="U624" s="21">
        <f t="shared" si="91"/>
        <v>43737</v>
      </c>
      <c r="V624" s="12" t="s">
        <v>51</v>
      </c>
      <c r="AA624" s="15">
        <v>0</v>
      </c>
      <c r="AB624" s="206"/>
      <c r="AD624" s="206"/>
      <c r="AH624" s="15">
        <f t="shared" si="86"/>
        <v>0</v>
      </c>
      <c r="AI624" s="22">
        <f t="shared" si="87"/>
        <v>2100</v>
      </c>
      <c r="AJ624" s="22">
        <f t="shared" si="88"/>
        <v>22680000</v>
      </c>
      <c r="AK624" s="165"/>
    </row>
    <row r="625" spans="1:37" s="165" customFormat="1" hidden="1">
      <c r="A625" s="165" t="s">
        <v>302</v>
      </c>
      <c r="B625" s="13">
        <v>43538</v>
      </c>
      <c r="C625" s="13" t="s">
        <v>23</v>
      </c>
      <c r="D625" s="165" t="s">
        <v>119</v>
      </c>
      <c r="E625" s="119" t="s">
        <v>120</v>
      </c>
      <c r="F625" s="165" t="str">
        <f t="shared" si="84"/>
        <v>NASH_14.16_300_NL2018</v>
      </c>
      <c r="G625" s="13" t="s">
        <v>123</v>
      </c>
      <c r="H625" s="12"/>
      <c r="I625" s="12" t="s">
        <v>47</v>
      </c>
      <c r="J625" s="31" t="s">
        <v>124</v>
      </c>
      <c r="K625" s="15" t="s">
        <v>28</v>
      </c>
      <c r="L625" s="15"/>
      <c r="M625" s="16">
        <f t="shared" si="85"/>
        <v>10</v>
      </c>
      <c r="N625" s="15">
        <v>3000</v>
      </c>
      <c r="O625" s="15">
        <v>4300</v>
      </c>
      <c r="P625" s="15">
        <f t="shared" si="92"/>
        <v>12900000</v>
      </c>
      <c r="Q625" s="15" t="str">
        <f t="shared" si="89"/>
        <v/>
      </c>
      <c r="R625" s="18" t="s">
        <v>29</v>
      </c>
      <c r="S625" s="23">
        <v>43671</v>
      </c>
      <c r="T625" s="20">
        <f>IFERROR(VLOOKUP(S625,'Date Converter'!$A$4:$C$368,3,0),"")</f>
        <v>43702</v>
      </c>
      <c r="U625" s="21">
        <f t="shared" si="91"/>
        <v>43702</v>
      </c>
      <c r="V625" s="12" t="s">
        <v>125</v>
      </c>
      <c r="W625" s="18"/>
      <c r="X625" s="18"/>
      <c r="Y625" s="12"/>
      <c r="Z625" s="206"/>
      <c r="AA625" s="15">
        <v>0</v>
      </c>
      <c r="AB625" s="206"/>
      <c r="AC625" s="12"/>
      <c r="AD625" s="206"/>
      <c r="AE625" s="12"/>
      <c r="AF625" s="245"/>
      <c r="AG625" s="12"/>
      <c r="AH625" s="15">
        <f t="shared" si="86"/>
        <v>0</v>
      </c>
      <c r="AI625" s="22">
        <f t="shared" si="87"/>
        <v>3000</v>
      </c>
      <c r="AJ625" s="22">
        <f t="shared" si="88"/>
        <v>12900000</v>
      </c>
    </row>
    <row r="626" spans="1:37" hidden="1">
      <c r="A626" s="165" t="s">
        <v>1348</v>
      </c>
      <c r="B626" s="13">
        <v>43538</v>
      </c>
      <c r="C626" s="13" t="s">
        <v>23</v>
      </c>
      <c r="D626" s="258" t="s">
        <v>119</v>
      </c>
      <c r="E626" s="119" t="s">
        <v>120</v>
      </c>
      <c r="F626" t="str">
        <f t="shared" si="84"/>
        <v>MANI_20.22_125_NL2018</v>
      </c>
      <c r="G626" s="13" t="s">
        <v>105</v>
      </c>
      <c r="I626" s="12" t="s">
        <v>74</v>
      </c>
      <c r="J626" s="31" t="s">
        <v>122</v>
      </c>
      <c r="K626" s="15" t="s">
        <v>28</v>
      </c>
      <c r="M626" s="16">
        <f t="shared" si="85"/>
        <v>8</v>
      </c>
      <c r="N626" s="15">
        <v>1000</v>
      </c>
      <c r="O626" s="15">
        <v>13500</v>
      </c>
      <c r="P626" s="15">
        <f t="shared" si="92"/>
        <v>13500000</v>
      </c>
      <c r="Q626" s="15" t="str">
        <f t="shared" si="89"/>
        <v/>
      </c>
      <c r="R626" s="18" t="s">
        <v>29</v>
      </c>
      <c r="S626" s="23">
        <v>43709</v>
      </c>
      <c r="T626" s="20">
        <f>IFERROR(VLOOKUP(S626,'Date Converter'!$A$4:$C$368,3,0),"")</f>
        <v>43737</v>
      </c>
      <c r="U626" s="21">
        <f t="shared" si="91"/>
        <v>43737</v>
      </c>
      <c r="V626" s="12" t="s">
        <v>51</v>
      </c>
      <c r="AA626" s="15">
        <v>0</v>
      </c>
      <c r="AB626" s="206"/>
      <c r="AD626" s="206"/>
      <c r="AH626" s="15">
        <f t="shared" si="86"/>
        <v>0</v>
      </c>
      <c r="AI626" s="22">
        <f t="shared" si="87"/>
        <v>1000</v>
      </c>
      <c r="AJ626" s="22">
        <f t="shared" si="88"/>
        <v>13500000</v>
      </c>
      <c r="AK626" s="165"/>
    </row>
    <row r="627" spans="1:37" s="183" customFormat="1" hidden="1">
      <c r="A627" s="165" t="s">
        <v>1348</v>
      </c>
      <c r="B627" s="13">
        <v>43558</v>
      </c>
      <c r="C627" s="13" t="s">
        <v>23</v>
      </c>
      <c r="D627" s="258" t="s">
        <v>119</v>
      </c>
      <c r="E627" s="119" t="s">
        <v>120</v>
      </c>
      <c r="F627" s="165" t="str">
        <f t="shared" si="84"/>
        <v>MANI_18.20_150_NL2018</v>
      </c>
      <c r="G627" s="13" t="s">
        <v>105</v>
      </c>
      <c r="H627" s="12"/>
      <c r="I627" s="12" t="s">
        <v>27</v>
      </c>
      <c r="J627" s="31" t="s">
        <v>126</v>
      </c>
      <c r="K627" s="15" t="s">
        <v>28</v>
      </c>
      <c r="L627" s="15"/>
      <c r="M627" s="16">
        <f t="shared" si="85"/>
        <v>14</v>
      </c>
      <c r="N627" s="15">
        <v>2100</v>
      </c>
      <c r="O627" s="15">
        <v>10300</v>
      </c>
      <c r="P627" s="15">
        <f t="shared" si="92"/>
        <v>21630000</v>
      </c>
      <c r="Q627" s="15" t="str">
        <f t="shared" si="89"/>
        <v/>
      </c>
      <c r="R627" s="18" t="s">
        <v>29</v>
      </c>
      <c r="S627" s="23">
        <v>43709</v>
      </c>
      <c r="T627" s="20">
        <f>IFERROR(VLOOKUP(S627,'Date Converter'!$A$4:$C$368,3,0),"")</f>
        <v>43737</v>
      </c>
      <c r="U627" s="21">
        <f t="shared" si="91"/>
        <v>43737</v>
      </c>
      <c r="V627" s="12" t="s">
        <v>51</v>
      </c>
      <c r="W627" s="18"/>
      <c r="X627" s="18"/>
      <c r="Y627" s="12"/>
      <c r="Z627" s="206"/>
      <c r="AA627" s="15"/>
      <c r="AB627" s="206"/>
      <c r="AC627" s="12"/>
      <c r="AD627" s="206"/>
      <c r="AE627" s="12"/>
      <c r="AF627" s="245"/>
      <c r="AG627" s="12"/>
      <c r="AH627" s="15">
        <f t="shared" si="86"/>
        <v>0</v>
      </c>
      <c r="AI627" s="22">
        <f t="shared" si="87"/>
        <v>2100</v>
      </c>
      <c r="AJ627" s="22">
        <f t="shared" si="88"/>
        <v>21630000</v>
      </c>
      <c r="AK627" s="165"/>
    </row>
    <row r="628" spans="1:37" s="183" customFormat="1" hidden="1">
      <c r="A628" s="165" t="s">
        <v>1348</v>
      </c>
      <c r="B628" s="13">
        <v>43538</v>
      </c>
      <c r="C628" s="13" t="s">
        <v>23</v>
      </c>
      <c r="D628" s="258" t="s">
        <v>119</v>
      </c>
      <c r="E628" s="119" t="s">
        <v>120</v>
      </c>
      <c r="F628" s="165" t="str">
        <f t="shared" si="84"/>
        <v>CONC_20.22_125_NL2018</v>
      </c>
      <c r="G628" s="13" t="s">
        <v>40</v>
      </c>
      <c r="H628" s="12"/>
      <c r="I628" s="12" t="s">
        <v>74</v>
      </c>
      <c r="J628" s="31" t="s">
        <v>122</v>
      </c>
      <c r="K628" s="15" t="s">
        <v>28</v>
      </c>
      <c r="L628" s="15"/>
      <c r="M628" s="16">
        <f t="shared" si="85"/>
        <v>40</v>
      </c>
      <c r="N628" s="15">
        <v>5000</v>
      </c>
      <c r="O628" s="15">
        <v>10500</v>
      </c>
      <c r="P628" s="15">
        <f t="shared" si="92"/>
        <v>52500000</v>
      </c>
      <c r="Q628" s="15" t="str">
        <f t="shared" si="89"/>
        <v/>
      </c>
      <c r="R628" s="18" t="s">
        <v>29</v>
      </c>
      <c r="S628" s="23">
        <v>43709</v>
      </c>
      <c r="T628" s="20">
        <f>IFERROR(VLOOKUP(S628,'Date Converter'!$A$4:$C$368,3,0),"")</f>
        <v>43737</v>
      </c>
      <c r="U628" s="21">
        <f t="shared" si="91"/>
        <v>43737</v>
      </c>
      <c r="V628" s="12" t="s">
        <v>51</v>
      </c>
      <c r="W628" s="18"/>
      <c r="X628" s="18"/>
      <c r="Y628" s="12"/>
      <c r="Z628" s="206"/>
      <c r="AA628" s="15">
        <v>0</v>
      </c>
      <c r="AB628" s="206"/>
      <c r="AC628" s="12"/>
      <c r="AD628" s="206"/>
      <c r="AE628" s="12"/>
      <c r="AF628" s="245"/>
      <c r="AG628" s="12"/>
      <c r="AH628" s="15">
        <f t="shared" si="86"/>
        <v>0</v>
      </c>
      <c r="AI628" s="22">
        <f t="shared" si="87"/>
        <v>5000</v>
      </c>
      <c r="AJ628" s="22">
        <f t="shared" si="88"/>
        <v>52500000</v>
      </c>
      <c r="AK628" s="165"/>
    </row>
    <row r="629" spans="1:37" s="183" customFormat="1" hidden="1">
      <c r="A629" s="165" t="s">
        <v>1348</v>
      </c>
      <c r="B629" s="13">
        <v>43558</v>
      </c>
      <c r="C629" s="13" t="s">
        <v>23</v>
      </c>
      <c r="D629" s="258" t="s">
        <v>119</v>
      </c>
      <c r="E629" s="119" t="s">
        <v>120</v>
      </c>
      <c r="F629" s="165" t="str">
        <f t="shared" si="84"/>
        <v>CONC_20.22_125_NL2018</v>
      </c>
      <c r="G629" s="13" t="s">
        <v>40</v>
      </c>
      <c r="H629" s="12"/>
      <c r="I629" s="12" t="s">
        <v>74</v>
      </c>
      <c r="J629" s="31" t="s">
        <v>122</v>
      </c>
      <c r="K629" s="15" t="s">
        <v>28</v>
      </c>
      <c r="L629" s="15"/>
      <c r="M629" s="16">
        <f t="shared" si="85"/>
        <v>8</v>
      </c>
      <c r="N629" s="15">
        <v>1000</v>
      </c>
      <c r="O629" s="15">
        <v>10600</v>
      </c>
      <c r="P629" s="15">
        <f t="shared" si="92"/>
        <v>10600000</v>
      </c>
      <c r="Q629" s="15" t="str">
        <f t="shared" si="89"/>
        <v/>
      </c>
      <c r="R629" s="18" t="s">
        <v>29</v>
      </c>
      <c r="S629" s="23">
        <v>43709</v>
      </c>
      <c r="T629" s="20">
        <f>IFERROR(VLOOKUP(S629,'Date Converter'!$A$4:$C$368,3,0),"")</f>
        <v>43737</v>
      </c>
      <c r="U629" s="21">
        <f t="shared" si="91"/>
        <v>43737</v>
      </c>
      <c r="V629" s="12" t="s">
        <v>51</v>
      </c>
      <c r="W629" s="18"/>
      <c r="X629" s="18"/>
      <c r="Y629" s="12"/>
      <c r="Z629" s="206"/>
      <c r="AA629" s="15"/>
      <c r="AB629" s="206"/>
      <c r="AC629" s="12"/>
      <c r="AD629" s="206"/>
      <c r="AE629" s="12"/>
      <c r="AF629" s="245"/>
      <c r="AG629" s="12"/>
      <c r="AH629" s="15">
        <f t="shared" si="86"/>
        <v>0</v>
      </c>
      <c r="AI629" s="22">
        <f t="shared" si="87"/>
        <v>1000</v>
      </c>
      <c r="AJ629" s="22">
        <f t="shared" si="88"/>
        <v>10600000</v>
      </c>
      <c r="AK629" s="165"/>
    </row>
    <row r="630" spans="1:37" s="183" customFormat="1" hidden="1">
      <c r="A630" s="165" t="s">
        <v>1413</v>
      </c>
      <c r="B630" s="13">
        <v>43567</v>
      </c>
      <c r="C630" s="13" t="s">
        <v>23</v>
      </c>
      <c r="D630" s="165" t="s">
        <v>1414</v>
      </c>
      <c r="E630" s="13" t="s">
        <v>1415</v>
      </c>
      <c r="F630" s="165" t="str">
        <f t="shared" si="84"/>
        <v>SERA_14.16_300_NL2018</v>
      </c>
      <c r="G630" s="13" t="s">
        <v>227</v>
      </c>
      <c r="H630" s="12"/>
      <c r="I630" s="12" t="s">
        <v>47</v>
      </c>
      <c r="J630" s="31" t="s">
        <v>124</v>
      </c>
      <c r="K630" s="15" t="s">
        <v>28</v>
      </c>
      <c r="L630" s="15"/>
      <c r="M630" s="16">
        <f t="shared" si="85"/>
        <v>0</v>
      </c>
      <c r="N630" s="15">
        <f>8700-8700</f>
        <v>0</v>
      </c>
      <c r="O630" s="15">
        <v>3700</v>
      </c>
      <c r="P630" s="15">
        <f t="shared" si="92"/>
        <v>0</v>
      </c>
      <c r="Q630" s="15" t="str">
        <f t="shared" si="89"/>
        <v>Canceled</v>
      </c>
      <c r="R630" s="18" t="s">
        <v>71</v>
      </c>
      <c r="S630" s="23">
        <v>43572</v>
      </c>
      <c r="T630" s="20">
        <f>IFERROR(VLOOKUP(S630,'Date Converter'!$A$4:$C$368,3,0),"")</f>
        <v>43606</v>
      </c>
      <c r="U630" s="21">
        <f t="shared" si="91"/>
        <v>43606</v>
      </c>
      <c r="V630" s="12" t="s">
        <v>1416</v>
      </c>
      <c r="W630" s="18"/>
      <c r="X630" s="18"/>
      <c r="Y630" s="12"/>
      <c r="Z630" s="206"/>
      <c r="AA630" s="15"/>
      <c r="AB630" s="206"/>
      <c r="AC630" s="12"/>
      <c r="AD630" s="206"/>
      <c r="AE630" s="12"/>
      <c r="AF630" s="245"/>
      <c r="AG630" s="12"/>
      <c r="AH630" s="15">
        <f t="shared" si="86"/>
        <v>0</v>
      </c>
      <c r="AI630" s="22">
        <f t="shared" si="87"/>
        <v>0</v>
      </c>
      <c r="AJ630" s="22">
        <f t="shared" si="88"/>
        <v>0</v>
      </c>
      <c r="AK630" s="165"/>
    </row>
    <row r="631" spans="1:37" hidden="1">
      <c r="A631" t="s">
        <v>1413</v>
      </c>
      <c r="B631" s="13">
        <v>43567</v>
      </c>
      <c r="C631" s="13" t="s">
        <v>23</v>
      </c>
      <c r="D631" t="s">
        <v>1414</v>
      </c>
      <c r="E631" s="13" t="s">
        <v>1415</v>
      </c>
      <c r="F631" t="str">
        <f t="shared" si="84"/>
        <v>ROBI_16.18_200_NL2018</v>
      </c>
      <c r="G631" s="13" t="s">
        <v>61</v>
      </c>
      <c r="I631" s="12" t="s">
        <v>35</v>
      </c>
      <c r="J631" s="31" t="s">
        <v>121</v>
      </c>
      <c r="K631" s="15" t="s">
        <v>28</v>
      </c>
      <c r="M631" s="16">
        <f t="shared" si="85"/>
        <v>0</v>
      </c>
      <c r="N631" s="15">
        <f>10000-10000</f>
        <v>0</v>
      </c>
      <c r="O631" s="15">
        <v>5300</v>
      </c>
      <c r="P631" s="15">
        <f t="shared" si="92"/>
        <v>0</v>
      </c>
      <c r="Q631" s="15" t="str">
        <f t="shared" si="89"/>
        <v>Canceled</v>
      </c>
      <c r="R631" s="18" t="s">
        <v>71</v>
      </c>
      <c r="S631" s="23">
        <v>43572</v>
      </c>
      <c r="T631" s="20">
        <f>IFERROR(VLOOKUP(S631,'Date Converter'!$A$4:$C$368,3,0),"")</f>
        <v>43606</v>
      </c>
      <c r="U631" s="21">
        <f t="shared" si="91"/>
        <v>43606</v>
      </c>
      <c r="V631" s="12" t="s">
        <v>1416</v>
      </c>
      <c r="AA631" s="15"/>
      <c r="AB631" s="206"/>
      <c r="AD631" s="206"/>
      <c r="AH631" s="15">
        <f t="shared" si="86"/>
        <v>0</v>
      </c>
      <c r="AI631" s="22">
        <f t="shared" si="87"/>
        <v>0</v>
      </c>
      <c r="AJ631" s="22">
        <f t="shared" si="88"/>
        <v>0</v>
      </c>
      <c r="AK631" s="165"/>
    </row>
    <row r="632" spans="1:37" hidden="1">
      <c r="A632" t="s">
        <v>1413</v>
      </c>
      <c r="B632" s="13">
        <v>43567</v>
      </c>
      <c r="C632" s="13" t="s">
        <v>23</v>
      </c>
      <c r="D632" t="s">
        <v>1414</v>
      </c>
      <c r="E632" s="13" t="s">
        <v>1415</v>
      </c>
      <c r="F632" t="str">
        <f t="shared" si="84"/>
        <v>PAVI_12.14_400_NL2018</v>
      </c>
      <c r="G632" s="13" t="s">
        <v>138</v>
      </c>
      <c r="I632" s="12" t="s">
        <v>113</v>
      </c>
      <c r="J632" s="31" t="s">
        <v>128</v>
      </c>
      <c r="K632" s="15" t="s">
        <v>28</v>
      </c>
      <c r="M632" s="16">
        <f t="shared" si="85"/>
        <v>0</v>
      </c>
      <c r="N632" s="15">
        <f>10000-10000</f>
        <v>0</v>
      </c>
      <c r="O632" s="15">
        <v>3000</v>
      </c>
      <c r="P632" s="15">
        <f t="shared" si="92"/>
        <v>0</v>
      </c>
      <c r="Q632" s="15" t="str">
        <f t="shared" si="89"/>
        <v>Canceled</v>
      </c>
      <c r="R632" s="18" t="s">
        <v>71</v>
      </c>
      <c r="S632" s="23">
        <v>43572</v>
      </c>
      <c r="T632" s="20">
        <f>IFERROR(VLOOKUP(S632,'Date Converter'!$A$4:$C$368,3,0),"")</f>
        <v>43606</v>
      </c>
      <c r="U632" s="21">
        <f t="shared" si="91"/>
        <v>43606</v>
      </c>
      <c r="V632" s="12" t="s">
        <v>1416</v>
      </c>
      <c r="AA632" s="15"/>
      <c r="AB632" s="206"/>
      <c r="AD632" s="206"/>
      <c r="AH632" s="15">
        <f t="shared" si="86"/>
        <v>0</v>
      </c>
      <c r="AI632" s="22">
        <f t="shared" si="87"/>
        <v>0</v>
      </c>
      <c r="AJ632" s="22">
        <f t="shared" si="88"/>
        <v>0</v>
      </c>
      <c r="AK632" s="165"/>
    </row>
    <row r="633" spans="1:37" hidden="1">
      <c r="A633" t="s">
        <v>1413</v>
      </c>
      <c r="B633" s="13">
        <v>43567</v>
      </c>
      <c r="C633" s="13" t="s">
        <v>23</v>
      </c>
      <c r="D633" t="s">
        <v>1414</v>
      </c>
      <c r="E633" s="13" t="s">
        <v>1415</v>
      </c>
      <c r="F633" t="str">
        <f t="shared" ref="F633:F695" si="93">SUBSTITUTE(LEFT(G633,4)&amp;"_"&amp;H633&amp;"_"&amp;I633&amp;"_"&amp;J633&amp;"_"&amp;K633,"__","_")</f>
        <v>PARA_14.16_275_NL2018</v>
      </c>
      <c r="G633" s="13" t="s">
        <v>490</v>
      </c>
      <c r="I633" s="12" t="s">
        <v>47</v>
      </c>
      <c r="J633" s="31" t="s">
        <v>1427</v>
      </c>
      <c r="K633" s="15" t="s">
        <v>28</v>
      </c>
      <c r="M633" s="16">
        <f t="shared" ref="M633:M695" si="94">+N633/J633</f>
        <v>18</v>
      </c>
      <c r="N633" s="15">
        <v>4950</v>
      </c>
      <c r="O633" s="15">
        <v>4600</v>
      </c>
      <c r="P633" s="15">
        <f t="shared" si="92"/>
        <v>22770000</v>
      </c>
      <c r="Q633" s="15" t="str">
        <f t="shared" si="89"/>
        <v>Done</v>
      </c>
      <c r="R633" s="18" t="s">
        <v>44</v>
      </c>
      <c r="S633" s="23">
        <v>43539</v>
      </c>
      <c r="T633" s="20">
        <f>IFERROR(VLOOKUP(S633,'Date Converter'!$A$4:$C$368,3,0),"")</f>
        <v>43574</v>
      </c>
      <c r="U633" s="21">
        <f t="shared" si="91"/>
        <v>43574</v>
      </c>
      <c r="V633" s="12" t="s">
        <v>57</v>
      </c>
      <c r="Z633" s="206">
        <v>43572</v>
      </c>
      <c r="AA633" s="15">
        <v>4950</v>
      </c>
      <c r="AB633" s="206"/>
      <c r="AD633" s="206"/>
      <c r="AH633" s="15">
        <f t="shared" ref="AH633:AH695" si="95">+AA633+AC633+AE633+AG633</f>
        <v>4950</v>
      </c>
      <c r="AI633" s="22">
        <f t="shared" ref="AI633:AI695" si="96">+N633-AH633</f>
        <v>0</v>
      </c>
      <c r="AJ633" s="22">
        <f t="shared" ref="AJ633:AJ695" si="97">+AI633*O633</f>
        <v>0</v>
      </c>
      <c r="AK633" s="165"/>
    </row>
    <row r="634" spans="1:37" hidden="1">
      <c r="A634" t="s">
        <v>1458</v>
      </c>
      <c r="B634" s="13">
        <v>43566</v>
      </c>
      <c r="C634" s="13" t="s">
        <v>23</v>
      </c>
      <c r="D634" t="s">
        <v>1097</v>
      </c>
      <c r="E634" s="119" t="s">
        <v>1098</v>
      </c>
      <c r="F634" t="str">
        <f t="shared" si="93"/>
        <v>YELL_12.14_400_NL2018</v>
      </c>
      <c r="G634" s="13" t="s">
        <v>89</v>
      </c>
      <c r="I634" s="12" t="s">
        <v>113</v>
      </c>
      <c r="J634" s="31" t="s">
        <v>128</v>
      </c>
      <c r="K634" s="15" t="s">
        <v>28</v>
      </c>
      <c r="M634" s="16">
        <f t="shared" si="94"/>
        <v>5</v>
      </c>
      <c r="N634" s="15">
        <f>1200+800</f>
        <v>2000</v>
      </c>
      <c r="O634" s="15">
        <v>2700</v>
      </c>
      <c r="P634" s="15">
        <f t="shared" si="92"/>
        <v>5400000</v>
      </c>
      <c r="Q634" s="15" t="str">
        <f t="shared" si="89"/>
        <v>Done</v>
      </c>
      <c r="R634" s="18" t="s">
        <v>44</v>
      </c>
      <c r="S634" s="23">
        <v>43539</v>
      </c>
      <c r="T634" s="20">
        <f>IFERROR(VLOOKUP(S634,'Date Converter'!$A$4:$C$368,3,0),"")</f>
        <v>43574</v>
      </c>
      <c r="U634" s="21">
        <f t="shared" si="91"/>
        <v>43574</v>
      </c>
      <c r="Z634" s="206">
        <v>43613</v>
      </c>
      <c r="AA634" s="15">
        <v>2000</v>
      </c>
      <c r="AB634" s="206"/>
      <c r="AD634" s="206"/>
      <c r="AH634" s="15">
        <f t="shared" si="95"/>
        <v>2000</v>
      </c>
      <c r="AI634" s="22">
        <f t="shared" si="96"/>
        <v>0</v>
      </c>
      <c r="AJ634" s="22">
        <f t="shared" si="97"/>
        <v>0</v>
      </c>
      <c r="AK634" s="165"/>
    </row>
    <row r="635" spans="1:37" hidden="1">
      <c r="A635" t="s">
        <v>1614</v>
      </c>
      <c r="B635" s="13">
        <v>43613</v>
      </c>
      <c r="C635" s="266" t="s">
        <v>23</v>
      </c>
      <c r="D635" s="258" t="s">
        <v>1097</v>
      </c>
      <c r="E635" s="119" t="s">
        <v>1098</v>
      </c>
      <c r="F635" t="str">
        <f t="shared" si="93"/>
        <v>TRES_16.18_200_NL2018</v>
      </c>
      <c r="G635" s="13" t="s">
        <v>1615</v>
      </c>
      <c r="I635" s="12" t="s">
        <v>35</v>
      </c>
      <c r="J635" s="31" t="s">
        <v>121</v>
      </c>
      <c r="K635" s="15" t="s">
        <v>28</v>
      </c>
      <c r="M635" s="16">
        <f t="shared" si="94"/>
        <v>5</v>
      </c>
      <c r="N635" s="15">
        <v>1000</v>
      </c>
      <c r="O635" s="15">
        <v>7000</v>
      </c>
      <c r="P635" s="15">
        <f t="shared" si="92"/>
        <v>7000000</v>
      </c>
      <c r="Q635" s="15" t="str">
        <f t="shared" si="89"/>
        <v/>
      </c>
      <c r="R635" s="18" t="s">
        <v>29</v>
      </c>
      <c r="S635" s="23">
        <v>43709</v>
      </c>
      <c r="T635" s="20">
        <f>IFERROR(VLOOKUP(S635,'Date Converter'!$A$4:$C$368,3,0),"")</f>
        <v>43737</v>
      </c>
      <c r="U635" s="21">
        <f t="shared" si="91"/>
        <v>43737</v>
      </c>
      <c r="AA635" s="15"/>
      <c r="AB635" s="206"/>
      <c r="AD635" s="206"/>
      <c r="AH635" s="15">
        <f t="shared" si="95"/>
        <v>0</v>
      </c>
      <c r="AI635" s="22">
        <f t="shared" si="96"/>
        <v>1000</v>
      </c>
      <c r="AJ635" s="22">
        <f t="shared" si="97"/>
        <v>7000000</v>
      </c>
      <c r="AK635" s="165"/>
    </row>
    <row r="636" spans="1:37" hidden="1">
      <c r="A636" t="s">
        <v>1614</v>
      </c>
      <c r="B636" s="13">
        <v>43613</v>
      </c>
      <c r="C636" s="266" t="s">
        <v>23</v>
      </c>
      <c r="D636" s="258" t="s">
        <v>1097</v>
      </c>
      <c r="E636" s="119" t="s">
        <v>1098</v>
      </c>
      <c r="F636" t="str">
        <f t="shared" si="93"/>
        <v>SORB_18.20_150_NL2018</v>
      </c>
      <c r="G636" s="13" t="s">
        <v>1463</v>
      </c>
      <c r="I636" s="12" t="s">
        <v>27</v>
      </c>
      <c r="J636" s="31" t="s">
        <v>126</v>
      </c>
      <c r="K636" s="15" t="s">
        <v>28</v>
      </c>
      <c r="M636" s="16">
        <f t="shared" si="94"/>
        <v>13.333333333333334</v>
      </c>
      <c r="N636" s="15">
        <v>2000</v>
      </c>
      <c r="O636" s="15">
        <v>10100</v>
      </c>
      <c r="P636" s="15">
        <f t="shared" si="92"/>
        <v>20200000</v>
      </c>
      <c r="Q636" s="15" t="str">
        <f t="shared" si="89"/>
        <v/>
      </c>
      <c r="R636" s="18" t="s">
        <v>29</v>
      </c>
      <c r="S636" s="23">
        <v>43709</v>
      </c>
      <c r="T636" s="20">
        <f>IFERROR(VLOOKUP(S636,'Date Converter'!$A$4:$C$368,3,0),"")</f>
        <v>43737</v>
      </c>
      <c r="U636" s="21">
        <f t="shared" si="91"/>
        <v>43737</v>
      </c>
      <c r="AA636" s="15"/>
      <c r="AB636" s="206"/>
      <c r="AD636" s="206"/>
      <c r="AH636" s="15">
        <f t="shared" si="95"/>
        <v>0</v>
      </c>
      <c r="AI636" s="22">
        <f t="shared" si="96"/>
        <v>2000</v>
      </c>
      <c r="AJ636" s="22">
        <f t="shared" si="97"/>
        <v>20200000</v>
      </c>
      <c r="AK636" s="165"/>
    </row>
    <row r="637" spans="1:37" s="165" customFormat="1" hidden="1">
      <c r="A637" s="165" t="s">
        <v>1458</v>
      </c>
      <c r="B637" s="13">
        <v>43566</v>
      </c>
      <c r="C637" s="13" t="s">
        <v>23</v>
      </c>
      <c r="D637" s="165" t="s">
        <v>1097</v>
      </c>
      <c r="E637" s="119" t="s">
        <v>1098</v>
      </c>
      <c r="F637" s="165" t="str">
        <f t="shared" si="93"/>
        <v>NASH_14.16_300_NL2018</v>
      </c>
      <c r="G637" s="13" t="s">
        <v>123</v>
      </c>
      <c r="H637" s="12"/>
      <c r="I637" s="12" t="s">
        <v>47</v>
      </c>
      <c r="J637" s="31" t="s">
        <v>124</v>
      </c>
      <c r="K637" s="15" t="s">
        <v>28</v>
      </c>
      <c r="L637" s="15"/>
      <c r="M637" s="16">
        <f t="shared" si="94"/>
        <v>0</v>
      </c>
      <c r="N637" s="15">
        <f>2100-2100</f>
        <v>0</v>
      </c>
      <c r="O637" s="15">
        <v>3900</v>
      </c>
      <c r="P637" s="15">
        <f t="shared" si="92"/>
        <v>0</v>
      </c>
      <c r="Q637" s="15" t="str">
        <f t="shared" si="89"/>
        <v>Canceled</v>
      </c>
      <c r="R637" s="18" t="s">
        <v>71</v>
      </c>
      <c r="S637" s="23">
        <v>43615</v>
      </c>
      <c r="T637" s="20">
        <f>IFERROR(VLOOKUP(S637,'Date Converter'!$A$4:$C$368,3,0),"")</f>
        <v>43648</v>
      </c>
      <c r="U637" s="21">
        <f t="shared" si="91"/>
        <v>43648</v>
      </c>
      <c r="V637" s="12"/>
      <c r="W637" s="18"/>
      <c r="X637" s="18"/>
      <c r="Y637" s="12"/>
      <c r="Z637" s="206"/>
      <c r="AA637" s="15"/>
      <c r="AB637" s="206"/>
      <c r="AC637" s="12"/>
      <c r="AD637" s="206"/>
      <c r="AE637" s="12"/>
      <c r="AF637" s="245"/>
      <c r="AG637" s="12"/>
      <c r="AH637" s="15">
        <f t="shared" si="95"/>
        <v>0</v>
      </c>
      <c r="AI637" s="22">
        <f t="shared" si="96"/>
        <v>0</v>
      </c>
      <c r="AJ637" s="22">
        <f t="shared" si="97"/>
        <v>0</v>
      </c>
    </row>
    <row r="638" spans="1:37" hidden="1">
      <c r="A638" t="s">
        <v>1614</v>
      </c>
      <c r="B638" s="13">
        <v>43613</v>
      </c>
      <c r="C638" s="266" t="s">
        <v>23</v>
      </c>
      <c r="D638" s="258" t="s">
        <v>1097</v>
      </c>
      <c r="E638" s="119" t="s">
        <v>1098</v>
      </c>
      <c r="F638" t="str">
        <f t="shared" si="93"/>
        <v>NASH_14.16_300_NL2018</v>
      </c>
      <c r="G638" s="13" t="s">
        <v>123</v>
      </c>
      <c r="I638" s="12" t="s">
        <v>47</v>
      </c>
      <c r="J638" s="31" t="s">
        <v>124</v>
      </c>
      <c r="K638" s="15" t="s">
        <v>28</v>
      </c>
      <c r="M638" s="16">
        <f t="shared" si="94"/>
        <v>4</v>
      </c>
      <c r="N638" s="15">
        <v>1200</v>
      </c>
      <c r="O638" s="15">
        <v>4200</v>
      </c>
      <c r="P638" s="15">
        <f t="shared" si="92"/>
        <v>5040000</v>
      </c>
      <c r="Q638" s="15" t="str">
        <f t="shared" si="89"/>
        <v/>
      </c>
      <c r="R638" s="18" t="s">
        <v>29</v>
      </c>
      <c r="S638" s="23">
        <v>43709</v>
      </c>
      <c r="T638" s="20">
        <f>IFERROR(VLOOKUP(S638,'Date Converter'!$A$4:$C$368,3,0),"")</f>
        <v>43737</v>
      </c>
      <c r="U638" s="21">
        <f t="shared" ref="U638:U669" si="98">+T638</f>
        <v>43737</v>
      </c>
      <c r="AA638" s="15"/>
      <c r="AB638" s="206"/>
      <c r="AD638" s="206"/>
      <c r="AH638" s="15">
        <f t="shared" si="95"/>
        <v>0</v>
      </c>
      <c r="AI638" s="22">
        <f t="shared" si="96"/>
        <v>1200</v>
      </c>
      <c r="AJ638" s="22">
        <f t="shared" si="97"/>
        <v>5040000</v>
      </c>
      <c r="AK638" s="165"/>
    </row>
    <row r="639" spans="1:37" hidden="1">
      <c r="A639" t="s">
        <v>1458</v>
      </c>
      <c r="B639" s="13">
        <v>43566</v>
      </c>
      <c r="C639" s="13" t="s">
        <v>23</v>
      </c>
      <c r="D639" t="s">
        <v>1097</v>
      </c>
      <c r="E639" s="119" t="s">
        <v>1098</v>
      </c>
      <c r="F639" t="str">
        <f t="shared" si="93"/>
        <v>MANI_16.18_200_NL2018</v>
      </c>
      <c r="G639" s="13" t="s">
        <v>105</v>
      </c>
      <c r="I639" s="12" t="s">
        <v>35</v>
      </c>
      <c r="J639" s="31" t="s">
        <v>121</v>
      </c>
      <c r="K639" s="15" t="s">
        <v>28</v>
      </c>
      <c r="M639" s="16">
        <f t="shared" si="94"/>
        <v>14</v>
      </c>
      <c r="N639" s="15">
        <v>2800</v>
      </c>
      <c r="O639" s="15">
        <f>6750+190</f>
        <v>6940</v>
      </c>
      <c r="P639" s="15">
        <f t="shared" si="92"/>
        <v>19432000</v>
      </c>
      <c r="Q639" s="15" t="str">
        <f t="shared" si="89"/>
        <v/>
      </c>
      <c r="R639" s="18" t="s">
        <v>63</v>
      </c>
      <c r="S639" s="23">
        <v>43539</v>
      </c>
      <c r="T639" s="20">
        <f>IFERROR(VLOOKUP(S639,'Date Converter'!$A$4:$C$368,3,0),"")</f>
        <v>43574</v>
      </c>
      <c r="U639" s="21">
        <f t="shared" si="98"/>
        <v>43574</v>
      </c>
      <c r="Z639" s="206">
        <v>43613</v>
      </c>
      <c r="AA639" s="15">
        <v>1000</v>
      </c>
      <c r="AB639" s="206"/>
      <c r="AD639" s="206"/>
      <c r="AH639" s="15">
        <f t="shared" si="95"/>
        <v>1000</v>
      </c>
      <c r="AI639" s="22">
        <f t="shared" si="96"/>
        <v>1800</v>
      </c>
      <c r="AJ639" s="22">
        <f t="shared" si="97"/>
        <v>12492000</v>
      </c>
      <c r="AK639" s="165"/>
    </row>
    <row r="640" spans="1:37" hidden="1">
      <c r="A640" t="s">
        <v>1614</v>
      </c>
      <c r="B640" s="13">
        <v>43613</v>
      </c>
      <c r="C640" s="266" t="s">
        <v>23</v>
      </c>
      <c r="D640" s="258" t="s">
        <v>1097</v>
      </c>
      <c r="E640" s="119" t="s">
        <v>1098</v>
      </c>
      <c r="F640" t="str">
        <f t="shared" si="93"/>
        <v>MANI_18.20_150_NL2018</v>
      </c>
      <c r="G640" s="13" t="s">
        <v>105</v>
      </c>
      <c r="I640" s="12" t="s">
        <v>27</v>
      </c>
      <c r="J640" s="31" t="s">
        <v>126</v>
      </c>
      <c r="K640" s="15" t="s">
        <v>28</v>
      </c>
      <c r="M640" s="16">
        <f t="shared" si="94"/>
        <v>14</v>
      </c>
      <c r="N640" s="15">
        <v>2100</v>
      </c>
      <c r="O640" s="15">
        <v>10300</v>
      </c>
      <c r="P640" s="15">
        <f t="shared" si="92"/>
        <v>21630000</v>
      </c>
      <c r="Q640" s="15" t="str">
        <f t="shared" si="89"/>
        <v/>
      </c>
      <c r="R640" s="18" t="s">
        <v>29</v>
      </c>
      <c r="S640" s="23">
        <v>43709</v>
      </c>
      <c r="T640" s="20">
        <f>IFERROR(VLOOKUP(S640,'Date Converter'!$A$4:$C$368,3,0),"")</f>
        <v>43737</v>
      </c>
      <c r="U640" s="21">
        <f t="shared" si="98"/>
        <v>43737</v>
      </c>
      <c r="AA640" s="15"/>
      <c r="AB640" s="206"/>
      <c r="AD640" s="206"/>
      <c r="AH640" s="15">
        <f t="shared" si="95"/>
        <v>0</v>
      </c>
      <c r="AI640" s="22">
        <f t="shared" si="96"/>
        <v>2100</v>
      </c>
      <c r="AJ640" s="22">
        <f t="shared" si="97"/>
        <v>21630000</v>
      </c>
      <c r="AK640" s="165"/>
    </row>
    <row r="641" spans="1:37" hidden="1">
      <c r="A641" t="s">
        <v>1458</v>
      </c>
      <c r="B641" s="13">
        <v>43620</v>
      </c>
      <c r="C641" s="13" t="s">
        <v>23</v>
      </c>
      <c r="D641" t="s">
        <v>1097</v>
      </c>
      <c r="E641" s="119" t="s">
        <v>1098</v>
      </c>
      <c r="F641" s="198" t="str">
        <f t="shared" si="93"/>
        <v>MALD_14.16_300_NL2018</v>
      </c>
      <c r="G641" s="13" t="s">
        <v>478</v>
      </c>
      <c r="I641" s="12" t="s">
        <v>47</v>
      </c>
      <c r="J641" s="31" t="s">
        <v>124</v>
      </c>
      <c r="K641" s="15" t="s">
        <v>28</v>
      </c>
      <c r="M641" s="16">
        <f t="shared" si="94"/>
        <v>4</v>
      </c>
      <c r="N641" s="15">
        <v>1200</v>
      </c>
      <c r="O641" s="15">
        <v>4000</v>
      </c>
      <c r="P641" s="15">
        <f t="shared" si="92"/>
        <v>4800000</v>
      </c>
      <c r="Q641" s="15" t="str">
        <f t="shared" si="89"/>
        <v>Done</v>
      </c>
      <c r="R641" s="18" t="s">
        <v>44</v>
      </c>
      <c r="S641" s="23">
        <v>43590</v>
      </c>
      <c r="T641" s="20">
        <f>IFERROR(VLOOKUP(S641,'Date Converter'!$A$4:$C$368,3,0),"")</f>
        <v>43623</v>
      </c>
      <c r="U641" s="21">
        <f t="shared" si="98"/>
        <v>43623</v>
      </c>
      <c r="Z641" s="206">
        <v>43626</v>
      </c>
      <c r="AA641" s="256">
        <v>1200</v>
      </c>
      <c r="AB641" s="206"/>
      <c r="AD641" s="206"/>
      <c r="AH641" s="15">
        <f t="shared" si="95"/>
        <v>1200</v>
      </c>
      <c r="AI641" s="22">
        <f t="shared" si="96"/>
        <v>0</v>
      </c>
      <c r="AJ641" s="22">
        <f t="shared" si="97"/>
        <v>0</v>
      </c>
      <c r="AK641" s="165"/>
    </row>
    <row r="642" spans="1:37" hidden="1">
      <c r="A642" t="s">
        <v>1458</v>
      </c>
      <c r="B642" s="13">
        <v>43566</v>
      </c>
      <c r="C642" s="13" t="s">
        <v>23</v>
      </c>
      <c r="D642" t="s">
        <v>1097</v>
      </c>
      <c r="E642" s="119" t="s">
        <v>1098</v>
      </c>
      <c r="F642" s="198" t="str">
        <f t="shared" si="93"/>
        <v>LARG_16.18_200_NL2018</v>
      </c>
      <c r="G642" s="13" t="s">
        <v>70</v>
      </c>
      <c r="I642" s="12" t="s">
        <v>35</v>
      </c>
      <c r="J642" s="31" t="s">
        <v>121</v>
      </c>
      <c r="K642" s="15" t="s">
        <v>28</v>
      </c>
      <c r="M642" s="16">
        <f t="shared" si="94"/>
        <v>10</v>
      </c>
      <c r="N642" s="15">
        <v>2000</v>
      </c>
      <c r="O642" s="15">
        <v>5700</v>
      </c>
      <c r="P642" s="15">
        <f t="shared" si="92"/>
        <v>11400000</v>
      </c>
      <c r="Q642" s="15" t="str">
        <f t="shared" si="89"/>
        <v/>
      </c>
      <c r="R642" s="18" t="s">
        <v>63</v>
      </c>
      <c r="S642" s="23">
        <v>43590</v>
      </c>
      <c r="T642" s="20">
        <f>IFERROR(VLOOKUP(S642,'Date Converter'!$A$4:$C$368,3,0),"")</f>
        <v>43623</v>
      </c>
      <c r="U642" s="21">
        <f t="shared" si="98"/>
        <v>43623</v>
      </c>
      <c r="Z642" s="206">
        <v>43626</v>
      </c>
      <c r="AA642" s="15">
        <v>1000</v>
      </c>
      <c r="AB642" s="206"/>
      <c r="AD642" s="206"/>
      <c r="AH642" s="15">
        <f t="shared" si="95"/>
        <v>1000</v>
      </c>
      <c r="AI642" s="22">
        <f t="shared" si="96"/>
        <v>1000</v>
      </c>
      <c r="AJ642" s="22">
        <f t="shared" si="97"/>
        <v>5700000</v>
      </c>
      <c r="AK642" s="165"/>
    </row>
    <row r="643" spans="1:37" hidden="1">
      <c r="A643" t="s">
        <v>1614</v>
      </c>
      <c r="B643" s="13">
        <v>43613</v>
      </c>
      <c r="C643" s="266" t="s">
        <v>23</v>
      </c>
      <c r="D643" s="258" t="s">
        <v>1097</v>
      </c>
      <c r="E643" s="119" t="s">
        <v>1098</v>
      </c>
      <c r="F643" t="str">
        <f t="shared" si="93"/>
        <v>LARG_16.18_200_NL2018</v>
      </c>
      <c r="G643" s="13" t="s">
        <v>70</v>
      </c>
      <c r="I643" s="12" t="s">
        <v>35</v>
      </c>
      <c r="J643" s="31" t="s">
        <v>121</v>
      </c>
      <c r="K643" s="15" t="s">
        <v>28</v>
      </c>
      <c r="M643" s="16">
        <f t="shared" si="94"/>
        <v>5</v>
      </c>
      <c r="N643" s="15">
        <v>1000</v>
      </c>
      <c r="O643" s="15">
        <v>6100</v>
      </c>
      <c r="P643" s="15">
        <f t="shared" si="92"/>
        <v>6100000</v>
      </c>
      <c r="Q643" s="15" t="str">
        <f t="shared" ref="Q643:Q706" si="99">IF(AND(N643=0,AI643=0),"Canceled",IF(AND(N643&gt;0,AI643=0),"Done",""))</f>
        <v/>
      </c>
      <c r="R643" s="18" t="s">
        <v>29</v>
      </c>
      <c r="S643" s="23">
        <v>43709</v>
      </c>
      <c r="T643" s="20">
        <f>IFERROR(VLOOKUP(S643,'Date Converter'!$A$4:$C$368,3,0),"")</f>
        <v>43737</v>
      </c>
      <c r="U643" s="21">
        <f t="shared" si="98"/>
        <v>43737</v>
      </c>
      <c r="AA643" s="15"/>
      <c r="AB643" s="206"/>
      <c r="AD643" s="206"/>
      <c r="AH643" s="15">
        <f t="shared" si="95"/>
        <v>0</v>
      </c>
      <c r="AI643" s="22">
        <f t="shared" si="96"/>
        <v>1000</v>
      </c>
      <c r="AJ643" s="22">
        <f t="shared" si="97"/>
        <v>6100000</v>
      </c>
      <c r="AK643" s="165"/>
    </row>
    <row r="644" spans="1:37" ht="15" hidden="1" customHeight="1">
      <c r="A644" t="s">
        <v>1614</v>
      </c>
      <c r="B644" s="13">
        <v>43613</v>
      </c>
      <c r="C644" s="266" t="s">
        <v>23</v>
      </c>
      <c r="D644" s="258" t="s">
        <v>1097</v>
      </c>
      <c r="E644" s="119" t="s">
        <v>1098</v>
      </c>
      <c r="F644" s="165" t="str">
        <f t="shared" si="93"/>
        <v>LARG_22.24_100_NL2018</v>
      </c>
      <c r="G644" s="13" t="s">
        <v>70</v>
      </c>
      <c r="I644" s="12" t="s">
        <v>78</v>
      </c>
      <c r="J644" s="31" t="s">
        <v>206</v>
      </c>
      <c r="K644" s="15" t="s">
        <v>28</v>
      </c>
      <c r="M644" s="16">
        <f t="shared" si="94"/>
        <v>20</v>
      </c>
      <c r="N644" s="15">
        <v>2000</v>
      </c>
      <c r="O644" s="15">
        <v>11400</v>
      </c>
      <c r="P644" s="15">
        <f t="shared" si="92"/>
        <v>22800000</v>
      </c>
      <c r="Q644" s="15" t="str">
        <f t="shared" si="99"/>
        <v/>
      </c>
      <c r="R644" s="18" t="s">
        <v>29</v>
      </c>
      <c r="S644" s="23">
        <v>43709</v>
      </c>
      <c r="T644" s="20">
        <f>IFERROR(VLOOKUP(S644,'Date Converter'!$A$4:$C$368,3,0),"")</f>
        <v>43737</v>
      </c>
      <c r="U644" s="21">
        <f t="shared" si="98"/>
        <v>43737</v>
      </c>
      <c r="AA644" s="15"/>
      <c r="AB644" s="206"/>
      <c r="AD644" s="206"/>
      <c r="AH644" s="15">
        <f t="shared" si="95"/>
        <v>0</v>
      </c>
      <c r="AI644" s="22">
        <f t="shared" si="96"/>
        <v>2000</v>
      </c>
      <c r="AJ644" s="22">
        <f t="shared" si="97"/>
        <v>22800000</v>
      </c>
      <c r="AK644" s="165"/>
    </row>
    <row r="645" spans="1:37" s="165" customFormat="1" ht="15" hidden="1" customHeight="1">
      <c r="A645" s="165" t="s">
        <v>1614</v>
      </c>
      <c r="B645" s="13">
        <v>43613</v>
      </c>
      <c r="C645" s="266" t="s">
        <v>23</v>
      </c>
      <c r="D645" s="258" t="s">
        <v>1097</v>
      </c>
      <c r="E645" s="119" t="s">
        <v>1098</v>
      </c>
      <c r="F645" s="165" t="str">
        <f t="shared" si="93"/>
        <v>CONC_20.22_125_NL2018</v>
      </c>
      <c r="G645" s="13" t="s">
        <v>40</v>
      </c>
      <c r="H645" s="12"/>
      <c r="I645" s="12" t="s">
        <v>74</v>
      </c>
      <c r="J645" s="31" t="s">
        <v>122</v>
      </c>
      <c r="K645" s="15" t="s">
        <v>28</v>
      </c>
      <c r="L645" s="15"/>
      <c r="M645" s="16">
        <f t="shared" si="94"/>
        <v>16</v>
      </c>
      <c r="N645" s="15">
        <v>2000</v>
      </c>
      <c r="O645" s="15">
        <v>10600</v>
      </c>
      <c r="P645" s="15">
        <f t="shared" si="92"/>
        <v>21200000</v>
      </c>
      <c r="Q645" s="15" t="str">
        <f t="shared" si="99"/>
        <v/>
      </c>
      <c r="R645" s="18" t="s">
        <v>29</v>
      </c>
      <c r="S645" s="23">
        <v>43709</v>
      </c>
      <c r="T645" s="20">
        <f>IFERROR(VLOOKUP(S645,'Date Converter'!$A$4:$C$368,3,0),"")</f>
        <v>43737</v>
      </c>
      <c r="U645" s="21">
        <f t="shared" si="98"/>
        <v>43737</v>
      </c>
      <c r="V645" s="12"/>
      <c r="W645" s="18"/>
      <c r="X645" s="18"/>
      <c r="Y645" s="12"/>
      <c r="Z645" s="206"/>
      <c r="AA645" s="15"/>
      <c r="AB645" s="206"/>
      <c r="AC645" s="12"/>
      <c r="AD645" s="206"/>
      <c r="AE645" s="12"/>
      <c r="AF645" s="245"/>
      <c r="AG645" s="12"/>
      <c r="AH645" s="15">
        <f t="shared" si="95"/>
        <v>0</v>
      </c>
      <c r="AI645" s="22">
        <f t="shared" si="96"/>
        <v>2000</v>
      </c>
      <c r="AJ645" s="22">
        <f t="shared" si="97"/>
        <v>21200000</v>
      </c>
    </row>
    <row r="646" spans="1:37" hidden="1">
      <c r="A646" t="s">
        <v>1614</v>
      </c>
      <c r="B646" s="13">
        <v>43613</v>
      </c>
      <c r="C646" s="266" t="s">
        <v>23</v>
      </c>
      <c r="D646" s="258" t="s">
        <v>1097</v>
      </c>
      <c r="E646" s="119" t="s">
        <v>1098</v>
      </c>
      <c r="F646" s="165" t="str">
        <f t="shared" si="93"/>
        <v>CONC_24.26_80_NL2018</v>
      </c>
      <c r="G646" s="13" t="s">
        <v>40</v>
      </c>
      <c r="I646" s="12" t="s">
        <v>220</v>
      </c>
      <c r="J646" s="31" t="s">
        <v>504</v>
      </c>
      <c r="K646" s="15" t="s">
        <v>28</v>
      </c>
      <c r="M646" s="16">
        <f t="shared" si="94"/>
        <v>25</v>
      </c>
      <c r="N646" s="15">
        <v>2000</v>
      </c>
      <c r="O646" s="15">
        <v>15200</v>
      </c>
      <c r="P646" s="15">
        <f t="shared" si="92"/>
        <v>30400000</v>
      </c>
      <c r="Q646" s="15" t="str">
        <f t="shared" si="99"/>
        <v/>
      </c>
      <c r="R646" s="18" t="s">
        <v>29</v>
      </c>
      <c r="S646" s="23">
        <v>43709</v>
      </c>
      <c r="T646" s="20">
        <f>IFERROR(VLOOKUP(S646,'Date Converter'!$A$4:$C$368,3,0),"")</f>
        <v>43737</v>
      </c>
      <c r="U646" s="21">
        <f t="shared" si="98"/>
        <v>43737</v>
      </c>
      <c r="AA646" s="15"/>
      <c r="AB646" s="206"/>
      <c r="AD646" s="206"/>
      <c r="AH646" s="15">
        <f t="shared" si="95"/>
        <v>0</v>
      </c>
      <c r="AI646" s="22">
        <f t="shared" si="96"/>
        <v>2000</v>
      </c>
      <c r="AJ646" s="22">
        <f t="shared" si="97"/>
        <v>30400000</v>
      </c>
      <c r="AK646" s="165"/>
    </row>
    <row r="647" spans="1:37" hidden="1">
      <c r="A647" t="s">
        <v>1673</v>
      </c>
      <c r="B647" s="13">
        <v>43579</v>
      </c>
      <c r="C647" s="13" t="s">
        <v>1622</v>
      </c>
      <c r="D647" t="s">
        <v>1566</v>
      </c>
      <c r="E647" s="13" t="s">
        <v>1567</v>
      </c>
      <c r="F647" s="165" t="str">
        <f t="shared" si="93"/>
        <v>ROBI_16.18_200_NL2018</v>
      </c>
      <c r="G647" s="13" t="s">
        <v>61</v>
      </c>
      <c r="I647" s="12" t="s">
        <v>35</v>
      </c>
      <c r="J647" s="31" t="s">
        <v>121</v>
      </c>
      <c r="K647" s="15" t="s">
        <v>28</v>
      </c>
      <c r="M647" s="33">
        <f t="shared" si="94"/>
        <v>50</v>
      </c>
      <c r="N647" s="262">
        <v>10000</v>
      </c>
      <c r="O647" s="15">
        <v>5500</v>
      </c>
      <c r="P647" s="15">
        <f t="shared" si="92"/>
        <v>55000000</v>
      </c>
      <c r="Q647" s="15" t="str">
        <f t="shared" si="99"/>
        <v/>
      </c>
      <c r="R647" s="18" t="s">
        <v>63</v>
      </c>
      <c r="S647" s="23">
        <v>43603</v>
      </c>
      <c r="T647" s="20">
        <f>IFERROR(VLOOKUP(S647,'Date Converter'!$A$4:$C$368,3,0),"")</f>
        <v>43636</v>
      </c>
      <c r="U647" s="21">
        <f t="shared" si="98"/>
        <v>43636</v>
      </c>
      <c r="V647" s="15" t="s">
        <v>1632</v>
      </c>
      <c r="Y647" s="18"/>
      <c r="AA647" s="15"/>
      <c r="AB647" s="206"/>
      <c r="AD647" s="12"/>
      <c r="AH647" s="15">
        <f t="shared" si="95"/>
        <v>0</v>
      </c>
      <c r="AI647" s="22">
        <f t="shared" si="96"/>
        <v>10000</v>
      </c>
      <c r="AJ647" s="22">
        <f t="shared" si="97"/>
        <v>55000000</v>
      </c>
      <c r="AK647" s="165"/>
    </row>
    <row r="648" spans="1:37" hidden="1">
      <c r="A648" t="s">
        <v>1673</v>
      </c>
      <c r="B648" s="13">
        <v>43579</v>
      </c>
      <c r="C648" s="13" t="s">
        <v>1622</v>
      </c>
      <c r="D648" t="s">
        <v>1566</v>
      </c>
      <c r="E648" s="13" t="s">
        <v>1567</v>
      </c>
      <c r="F648" t="str">
        <f t="shared" si="93"/>
        <v>ROBI_18.20_150_NL2018</v>
      </c>
      <c r="G648" s="13" t="s">
        <v>61</v>
      </c>
      <c r="I648" s="12" t="s">
        <v>27</v>
      </c>
      <c r="J648" s="31" t="s">
        <v>126</v>
      </c>
      <c r="K648" s="15" t="s">
        <v>28</v>
      </c>
      <c r="M648" s="33">
        <f t="shared" si="94"/>
        <v>67</v>
      </c>
      <c r="N648" s="15">
        <v>10050</v>
      </c>
      <c r="O648" s="15">
        <v>7300</v>
      </c>
      <c r="P648" s="15">
        <f t="shared" si="92"/>
        <v>73365000</v>
      </c>
      <c r="Q648" s="15" t="str">
        <f t="shared" si="99"/>
        <v/>
      </c>
      <c r="R648" s="18" t="s">
        <v>63</v>
      </c>
      <c r="S648" s="23">
        <v>43584</v>
      </c>
      <c r="T648" s="20">
        <f>IFERROR(VLOOKUP(S648,'Date Converter'!$A$4:$C$368,3,0),"")</f>
        <v>43618</v>
      </c>
      <c r="U648" s="21">
        <f t="shared" si="98"/>
        <v>43618</v>
      </c>
      <c r="V648" s="15" t="s">
        <v>443</v>
      </c>
      <c r="Y648" s="18"/>
      <c r="AA648" s="15"/>
      <c r="AB648" s="206"/>
      <c r="AD648" s="12"/>
      <c r="AH648" s="15">
        <f t="shared" si="95"/>
        <v>0</v>
      </c>
      <c r="AI648" s="22">
        <f t="shared" si="96"/>
        <v>10050</v>
      </c>
      <c r="AJ648" s="22">
        <f t="shared" si="97"/>
        <v>73365000</v>
      </c>
      <c r="AK648" s="165"/>
    </row>
    <row r="649" spans="1:37" hidden="1">
      <c r="A649" t="s">
        <v>1673</v>
      </c>
      <c r="B649" s="13">
        <v>43579</v>
      </c>
      <c r="C649" s="13" t="s">
        <v>1622</v>
      </c>
      <c r="D649" t="s">
        <v>1566</v>
      </c>
      <c r="E649" s="13" t="s">
        <v>1567</v>
      </c>
      <c r="F649" t="str">
        <f t="shared" si="93"/>
        <v>BACA_15.16_300_NL2018</v>
      </c>
      <c r="G649" s="13" t="s">
        <v>67</v>
      </c>
      <c r="I649" s="12" t="s">
        <v>77</v>
      </c>
      <c r="J649" s="31" t="s">
        <v>124</v>
      </c>
      <c r="K649" s="15" t="s">
        <v>28</v>
      </c>
      <c r="M649" s="33">
        <f t="shared" si="94"/>
        <v>20</v>
      </c>
      <c r="N649" s="15">
        <f>3000+3000</f>
        <v>6000</v>
      </c>
      <c r="O649" s="15">
        <v>4500</v>
      </c>
      <c r="P649" s="15">
        <f t="shared" si="92"/>
        <v>27000000</v>
      </c>
      <c r="Q649" s="15" t="str">
        <f t="shared" si="99"/>
        <v>Done</v>
      </c>
      <c r="R649" s="18" t="s">
        <v>44</v>
      </c>
      <c r="S649" s="23">
        <v>43539</v>
      </c>
      <c r="T649" s="20">
        <f>IFERROR(VLOOKUP(S649,'Date Converter'!$A$4:$C$368,3,0),"")</f>
        <v>43574</v>
      </c>
      <c r="U649" s="21">
        <f t="shared" si="98"/>
        <v>43574</v>
      </c>
      <c r="V649" s="15" t="s">
        <v>57</v>
      </c>
      <c r="Y649" s="18"/>
      <c r="Z649" s="206">
        <v>43579</v>
      </c>
      <c r="AA649" s="15">
        <f>3000</f>
        <v>3000</v>
      </c>
      <c r="AB649" s="206">
        <v>43581</v>
      </c>
      <c r="AC649" s="12" t="s">
        <v>1674</v>
      </c>
      <c r="AD649" s="12"/>
      <c r="AH649" s="15">
        <f t="shared" si="95"/>
        <v>6000</v>
      </c>
      <c r="AI649" s="22">
        <f t="shared" si="96"/>
        <v>0</v>
      </c>
      <c r="AJ649" s="22">
        <f t="shared" si="97"/>
        <v>0</v>
      </c>
      <c r="AK649" s="165"/>
    </row>
    <row r="650" spans="1:37" hidden="1">
      <c r="A650" t="s">
        <v>1673</v>
      </c>
      <c r="B650" s="13">
        <v>43579</v>
      </c>
      <c r="C650" s="13" t="s">
        <v>1622</v>
      </c>
      <c r="D650" t="s">
        <v>1566</v>
      </c>
      <c r="E650" s="13" t="s">
        <v>1567</v>
      </c>
      <c r="F650" t="str">
        <f t="shared" si="93"/>
        <v>BACA_15.16_250_NL2018</v>
      </c>
      <c r="G650" s="13" t="s">
        <v>67</v>
      </c>
      <c r="I650" s="12" t="s">
        <v>77</v>
      </c>
      <c r="J650" s="31" t="s">
        <v>1434</v>
      </c>
      <c r="K650" s="15" t="s">
        <v>28</v>
      </c>
      <c r="M650" s="33">
        <f t="shared" si="94"/>
        <v>20</v>
      </c>
      <c r="N650" s="15">
        <f>3000+2000</f>
        <v>5000</v>
      </c>
      <c r="O650" s="15">
        <v>4500</v>
      </c>
      <c r="P650" s="15">
        <f t="shared" si="92"/>
        <v>22500000</v>
      </c>
      <c r="Q650" s="15" t="str">
        <f t="shared" si="99"/>
        <v>Done</v>
      </c>
      <c r="R650" s="18" t="s">
        <v>44</v>
      </c>
      <c r="S650" s="23">
        <v>43539</v>
      </c>
      <c r="T650" s="20">
        <f>IFERROR(VLOOKUP(S650,'Date Converter'!$A$4:$C$368,3,0),"")</f>
        <v>43574</v>
      </c>
      <c r="U650" s="21">
        <f t="shared" si="98"/>
        <v>43574</v>
      </c>
      <c r="V650" s="15" t="s">
        <v>57</v>
      </c>
      <c r="Y650" s="18"/>
      <c r="Z650" s="206">
        <v>43579</v>
      </c>
      <c r="AA650" s="15">
        <f>3000</f>
        <v>3000</v>
      </c>
      <c r="AB650" s="206">
        <v>43581</v>
      </c>
      <c r="AC650" s="12" t="s">
        <v>1675</v>
      </c>
      <c r="AD650" s="12"/>
      <c r="AH650" s="15">
        <f t="shared" si="95"/>
        <v>5000</v>
      </c>
      <c r="AI650" s="22">
        <f t="shared" si="96"/>
        <v>0</v>
      </c>
      <c r="AJ650" s="22">
        <f t="shared" si="97"/>
        <v>0</v>
      </c>
      <c r="AK650" s="165"/>
    </row>
    <row r="651" spans="1:37" hidden="1">
      <c r="A651" s="12" t="s">
        <v>1676</v>
      </c>
      <c r="B651" s="13">
        <v>43589</v>
      </c>
      <c r="C651" s="13" t="s">
        <v>1622</v>
      </c>
      <c r="D651" t="s">
        <v>1017</v>
      </c>
      <c r="E651" s="165" t="s">
        <v>1018</v>
      </c>
      <c r="F651" t="str">
        <f t="shared" si="93"/>
        <v>YELL_14.16_300_NL2018</v>
      </c>
      <c r="G651" s="165" t="s">
        <v>89</v>
      </c>
      <c r="I651" s="12" t="s">
        <v>47</v>
      </c>
      <c r="J651" s="14">
        <v>300</v>
      </c>
      <c r="K651" s="15" t="s">
        <v>28</v>
      </c>
      <c r="M651" s="16">
        <f t="shared" si="94"/>
        <v>5</v>
      </c>
      <c r="N651" s="15">
        <v>1500</v>
      </c>
      <c r="O651" s="15">
        <v>3800</v>
      </c>
      <c r="P651" s="15">
        <f t="shared" si="92"/>
        <v>5700000</v>
      </c>
      <c r="Q651" s="15" t="str">
        <f t="shared" si="99"/>
        <v>Done</v>
      </c>
      <c r="R651" s="18" t="s">
        <v>44</v>
      </c>
      <c r="S651" s="117">
        <v>43539</v>
      </c>
      <c r="T651" s="20" t="str">
        <f>IFERROR(VLOOKUP(S651,#REF!,3,0),"")</f>
        <v/>
      </c>
      <c r="U651" s="21" t="str">
        <f t="shared" si="98"/>
        <v/>
      </c>
      <c r="Y651" s="18"/>
      <c r="Z651" s="210">
        <v>43589</v>
      </c>
      <c r="AA651" s="15">
        <v>1500</v>
      </c>
      <c r="AB651" s="210"/>
      <c r="AC651" s="15"/>
      <c r="AD651" s="15"/>
      <c r="AE651" s="15"/>
      <c r="AF651" s="244"/>
      <c r="AG651" s="15"/>
      <c r="AH651" s="15">
        <f t="shared" si="95"/>
        <v>1500</v>
      </c>
      <c r="AI651" s="22">
        <f t="shared" si="96"/>
        <v>0</v>
      </c>
      <c r="AJ651" s="22">
        <f t="shared" si="97"/>
        <v>0</v>
      </c>
      <c r="AK651" s="165"/>
    </row>
    <row r="652" spans="1:37" s="165" customFormat="1" hidden="1">
      <c r="A652" s="12" t="s">
        <v>1676</v>
      </c>
      <c r="B652" s="13">
        <v>43547</v>
      </c>
      <c r="C652" s="13" t="s">
        <v>1622</v>
      </c>
      <c r="D652" s="165" t="s">
        <v>1017</v>
      </c>
      <c r="E652" s="165" t="s">
        <v>1018</v>
      </c>
      <c r="F652" s="165" t="str">
        <f t="shared" si="93"/>
        <v>SERA_14.16_300_NL2018</v>
      </c>
      <c r="G652" s="165" t="s">
        <v>227</v>
      </c>
      <c r="H652" s="12"/>
      <c r="I652" s="12" t="s">
        <v>47</v>
      </c>
      <c r="J652" s="14">
        <v>300</v>
      </c>
      <c r="K652" s="15" t="s">
        <v>28</v>
      </c>
      <c r="L652" s="15"/>
      <c r="M652" s="16">
        <f t="shared" si="94"/>
        <v>0</v>
      </c>
      <c r="N652" s="15">
        <f>2400-2400</f>
        <v>0</v>
      </c>
      <c r="O652" s="15">
        <v>3600</v>
      </c>
      <c r="P652" s="15">
        <f t="shared" si="92"/>
        <v>0</v>
      </c>
      <c r="Q652" s="15" t="str">
        <f t="shared" si="99"/>
        <v>Canceled</v>
      </c>
      <c r="R652" s="18" t="s">
        <v>71</v>
      </c>
      <c r="S652" s="117">
        <v>43511</v>
      </c>
      <c r="T652" s="20" t="str">
        <f>IFERROR(VLOOKUP(S652,#REF!,3,0),"")</f>
        <v/>
      </c>
      <c r="U652" s="21" t="str">
        <f t="shared" si="98"/>
        <v/>
      </c>
      <c r="V652" s="12" t="s">
        <v>32</v>
      </c>
      <c r="W652" s="18"/>
      <c r="X652" s="18"/>
      <c r="Y652" s="18"/>
      <c r="Z652" s="210"/>
      <c r="AA652" s="15"/>
      <c r="AB652" s="210"/>
      <c r="AC652" s="15"/>
      <c r="AD652" s="15"/>
      <c r="AE652" s="15"/>
      <c r="AF652" s="244"/>
      <c r="AG652" s="15"/>
      <c r="AH652" s="15">
        <f t="shared" si="95"/>
        <v>0</v>
      </c>
      <c r="AI652" s="22">
        <f t="shared" si="96"/>
        <v>0</v>
      </c>
      <c r="AJ652" s="22">
        <f t="shared" si="97"/>
        <v>0</v>
      </c>
    </row>
    <row r="653" spans="1:37" hidden="1" outlineLevel="1">
      <c r="A653" t="s">
        <v>1802</v>
      </c>
      <c r="B653" s="13">
        <v>43615</v>
      </c>
      <c r="C653" s="13" t="s">
        <v>23</v>
      </c>
      <c r="D653" s="258" t="s">
        <v>1017</v>
      </c>
      <c r="E653" s="13" t="s">
        <v>1018</v>
      </c>
      <c r="F653" t="str">
        <f t="shared" si="93"/>
        <v>ROBI_20.22_125_NZ2019</v>
      </c>
      <c r="G653" s="13" t="s">
        <v>1850</v>
      </c>
      <c r="I653" s="12" t="s">
        <v>74</v>
      </c>
      <c r="J653" s="31" t="s">
        <v>122</v>
      </c>
      <c r="K653" s="15" t="s">
        <v>1507</v>
      </c>
      <c r="M653" s="33">
        <f t="shared" si="94"/>
        <v>16</v>
      </c>
      <c r="N653" s="15">
        <v>2000</v>
      </c>
      <c r="O653" s="15">
        <v>12500</v>
      </c>
      <c r="P653" s="15">
        <f t="shared" si="92"/>
        <v>25000000</v>
      </c>
      <c r="Q653" s="15" t="str">
        <f t="shared" si="99"/>
        <v/>
      </c>
      <c r="R653" s="18" t="s">
        <v>29</v>
      </c>
      <c r="S653" s="23">
        <v>43709</v>
      </c>
      <c r="T653" s="20">
        <f>IFERROR(VLOOKUP(S653,'Date Converter'!$A$4:$C$368,3,0),"")</f>
        <v>43737</v>
      </c>
      <c r="U653" s="21">
        <f t="shared" si="98"/>
        <v>43737</v>
      </c>
      <c r="AD653" s="12"/>
      <c r="AH653" s="15">
        <f t="shared" si="95"/>
        <v>0</v>
      </c>
      <c r="AI653" s="22">
        <f t="shared" si="96"/>
        <v>2000</v>
      </c>
      <c r="AJ653" s="22">
        <f t="shared" si="97"/>
        <v>25000000</v>
      </c>
      <c r="AK653" s="165"/>
    </row>
    <row r="654" spans="1:37" hidden="1" outlineLevel="1">
      <c r="A654" s="165" t="s">
        <v>1802</v>
      </c>
      <c r="B654" s="13">
        <v>43615</v>
      </c>
      <c r="C654" s="13" t="s">
        <v>23</v>
      </c>
      <c r="D654" s="258" t="s">
        <v>1017</v>
      </c>
      <c r="E654" s="13" t="s">
        <v>1018</v>
      </c>
      <c r="F654" s="165" t="str">
        <f t="shared" si="93"/>
        <v>ROBI_22.24_100_NZ2019</v>
      </c>
      <c r="G654" s="13" t="s">
        <v>1850</v>
      </c>
      <c r="I654" s="12" t="s">
        <v>78</v>
      </c>
      <c r="J654" s="31" t="s">
        <v>206</v>
      </c>
      <c r="K654" s="15" t="s">
        <v>1507</v>
      </c>
      <c r="M654" s="33">
        <f t="shared" si="94"/>
        <v>50</v>
      </c>
      <c r="N654" s="15">
        <v>5000</v>
      </c>
      <c r="O654" s="15">
        <v>13000</v>
      </c>
      <c r="P654" s="15">
        <f t="shared" si="92"/>
        <v>65000000</v>
      </c>
      <c r="Q654" s="15" t="str">
        <f t="shared" si="99"/>
        <v/>
      </c>
      <c r="R654" s="18" t="s">
        <v>29</v>
      </c>
      <c r="S654" s="23">
        <v>43709</v>
      </c>
      <c r="T654" s="20">
        <f>IFERROR(VLOOKUP(S654,'Date Converter'!$A$4:$C$368,3,0),"")</f>
        <v>43737</v>
      </c>
      <c r="U654" s="21">
        <f t="shared" si="98"/>
        <v>43737</v>
      </c>
      <c r="AD654" s="12"/>
      <c r="AH654" s="15">
        <f t="shared" si="95"/>
        <v>0</v>
      </c>
      <c r="AI654" s="22">
        <f t="shared" si="96"/>
        <v>5000</v>
      </c>
      <c r="AJ654" s="22">
        <f t="shared" si="97"/>
        <v>65000000</v>
      </c>
      <c r="AK654" s="165"/>
    </row>
    <row r="655" spans="1:37" hidden="1" outlineLevel="1">
      <c r="A655" s="165" t="s">
        <v>1802</v>
      </c>
      <c r="B655" s="13">
        <v>43615</v>
      </c>
      <c r="C655" s="13" t="s">
        <v>23</v>
      </c>
      <c r="D655" s="165" t="s">
        <v>1017</v>
      </c>
      <c r="E655" s="13" t="s">
        <v>1018</v>
      </c>
      <c r="F655" s="165" t="str">
        <f t="shared" si="93"/>
        <v>ROBI_20.22_125_NL2018</v>
      </c>
      <c r="G655" s="13" t="s">
        <v>61</v>
      </c>
      <c r="I655" s="12" t="s">
        <v>74</v>
      </c>
      <c r="J655" s="31" t="s">
        <v>122</v>
      </c>
      <c r="K655" s="15" t="s">
        <v>28</v>
      </c>
      <c r="M655" s="33">
        <f t="shared" si="94"/>
        <v>0</v>
      </c>
      <c r="N655" s="15">
        <f>5000-5000</f>
        <v>0</v>
      </c>
      <c r="O655" s="15">
        <v>10700</v>
      </c>
      <c r="P655" s="15">
        <f t="shared" si="92"/>
        <v>0</v>
      </c>
      <c r="Q655" s="15" t="str">
        <f t="shared" si="99"/>
        <v>Canceled</v>
      </c>
      <c r="R655" s="18" t="s">
        <v>71</v>
      </c>
      <c r="S655" s="23">
        <v>43709</v>
      </c>
      <c r="T655" s="20" t="str">
        <f>IFERROR(VLOOKUP(S655,#REF!,3,0),"")</f>
        <v/>
      </c>
      <c r="U655" s="21" t="str">
        <f t="shared" si="98"/>
        <v/>
      </c>
      <c r="AD655" s="12"/>
      <c r="AH655" s="15">
        <f t="shared" si="95"/>
        <v>0</v>
      </c>
      <c r="AI655" s="22">
        <f t="shared" si="96"/>
        <v>0</v>
      </c>
      <c r="AJ655" s="22">
        <f t="shared" si="97"/>
        <v>0</v>
      </c>
      <c r="AK655" s="165"/>
    </row>
    <row r="656" spans="1:37" hidden="1" outlineLevel="1">
      <c r="A656" s="165" t="s">
        <v>1802</v>
      </c>
      <c r="B656" s="13">
        <v>43615</v>
      </c>
      <c r="C656" s="13" t="s">
        <v>23</v>
      </c>
      <c r="D656" s="258" t="s">
        <v>1017</v>
      </c>
      <c r="E656" s="13" t="s">
        <v>1018</v>
      </c>
      <c r="F656" s="165" t="str">
        <f t="shared" si="93"/>
        <v>CONC_20.22_125_NZ2019</v>
      </c>
      <c r="G656" s="13" t="s">
        <v>1509</v>
      </c>
      <c r="I656" s="12" t="s">
        <v>74</v>
      </c>
      <c r="J656" s="31" t="s">
        <v>122</v>
      </c>
      <c r="K656" s="15" t="s">
        <v>1507</v>
      </c>
      <c r="M656" s="33">
        <f t="shared" si="94"/>
        <v>144</v>
      </c>
      <c r="N656" s="15">
        <f>10000+5000+3000</f>
        <v>18000</v>
      </c>
      <c r="O656" s="15">
        <v>12000</v>
      </c>
      <c r="P656" s="15">
        <f t="shared" si="92"/>
        <v>216000000</v>
      </c>
      <c r="Q656" s="15" t="str">
        <f t="shared" si="99"/>
        <v/>
      </c>
      <c r="R656" s="18" t="s">
        <v>29</v>
      </c>
      <c r="S656" s="23">
        <v>43709</v>
      </c>
      <c r="T656" s="20">
        <f>IFERROR(VLOOKUP(S656,'Date Converter'!$A$4:$C$368,3,0),"")</f>
        <v>43737</v>
      </c>
      <c r="U656" s="21">
        <f t="shared" si="98"/>
        <v>43737</v>
      </c>
      <c r="AD656" s="12"/>
      <c r="AH656" s="15">
        <f t="shared" si="95"/>
        <v>0</v>
      </c>
      <c r="AI656" s="22">
        <f t="shared" si="96"/>
        <v>18000</v>
      </c>
      <c r="AJ656" s="22">
        <f t="shared" si="97"/>
        <v>216000000</v>
      </c>
      <c r="AK656" s="165"/>
    </row>
    <row r="657" spans="1:37" ht="15.75" hidden="1" customHeight="1" outlineLevel="1">
      <c r="A657" t="s">
        <v>1802</v>
      </c>
      <c r="B657" s="13">
        <v>43615</v>
      </c>
      <c r="C657" s="13" t="s">
        <v>23</v>
      </c>
      <c r="D657" t="s">
        <v>1017</v>
      </c>
      <c r="E657" s="13" t="s">
        <v>1018</v>
      </c>
      <c r="F657" t="str">
        <f t="shared" si="93"/>
        <v>CONC_20.22_125_NL2018</v>
      </c>
      <c r="G657" s="13" t="s">
        <v>40</v>
      </c>
      <c r="I657" s="12" t="s">
        <v>74</v>
      </c>
      <c r="J657" s="31" t="s">
        <v>122</v>
      </c>
      <c r="K657" s="15" t="s">
        <v>28</v>
      </c>
      <c r="M657" s="33">
        <f t="shared" si="94"/>
        <v>0</v>
      </c>
      <c r="N657" s="15">
        <f>5000-5000</f>
        <v>0</v>
      </c>
      <c r="O657" s="15">
        <v>10600</v>
      </c>
      <c r="P657" s="15">
        <f t="shared" si="92"/>
        <v>0</v>
      </c>
      <c r="Q657" s="15" t="str">
        <f t="shared" si="99"/>
        <v>Canceled</v>
      </c>
      <c r="R657" s="18" t="s">
        <v>71</v>
      </c>
      <c r="S657" s="23">
        <v>43709</v>
      </c>
      <c r="T657" s="20" t="str">
        <f>IFERROR(VLOOKUP(S657,#REF!,3,0),"")</f>
        <v/>
      </c>
      <c r="U657" s="21" t="str">
        <f t="shared" si="98"/>
        <v/>
      </c>
      <c r="AD657" s="12"/>
      <c r="AH657" s="15">
        <f t="shared" si="95"/>
        <v>0</v>
      </c>
      <c r="AI657" s="22">
        <f t="shared" si="96"/>
        <v>0</v>
      </c>
      <c r="AJ657" s="22">
        <f t="shared" si="97"/>
        <v>0</v>
      </c>
    </row>
    <row r="658" spans="1:37" hidden="1" outlineLevel="1">
      <c r="A658" t="s">
        <v>334</v>
      </c>
      <c r="B658" s="13">
        <v>43507</v>
      </c>
      <c r="C658" s="13" t="s">
        <v>23</v>
      </c>
      <c r="D658" t="s">
        <v>235</v>
      </c>
      <c r="E658" s="165" t="s">
        <v>236</v>
      </c>
      <c r="F658" t="str">
        <f t="shared" si="93"/>
        <v>YELL_16.18_200_NL2018</v>
      </c>
      <c r="G658" s="165" t="s">
        <v>89</v>
      </c>
      <c r="I658" s="12" t="s">
        <v>35</v>
      </c>
      <c r="J658" s="14">
        <v>200</v>
      </c>
      <c r="K658" s="15" t="s">
        <v>28</v>
      </c>
      <c r="M658" s="16">
        <f t="shared" si="94"/>
        <v>75</v>
      </c>
      <c r="N658" s="15">
        <v>15000</v>
      </c>
      <c r="O658" s="15">
        <v>5000</v>
      </c>
      <c r="P658" s="15">
        <f t="shared" si="92"/>
        <v>75000000</v>
      </c>
      <c r="Q658" s="15" t="str">
        <f t="shared" si="99"/>
        <v>Done</v>
      </c>
      <c r="R658" s="18" t="s">
        <v>44</v>
      </c>
      <c r="S658" s="23">
        <v>43480</v>
      </c>
      <c r="T658" s="20">
        <f>IFERROR(VLOOKUP(S658,'Date Converter'!$A$4:$C$368,3,0),"")</f>
        <v>43515</v>
      </c>
      <c r="U658" s="21">
        <f t="shared" si="98"/>
        <v>43515</v>
      </c>
      <c r="V658" s="12" t="s">
        <v>45</v>
      </c>
      <c r="Y658" s="15" t="s">
        <v>59</v>
      </c>
      <c r="Z658" s="206">
        <v>43526</v>
      </c>
      <c r="AA658" s="15">
        <v>5000</v>
      </c>
      <c r="AB658" s="206">
        <v>43537</v>
      </c>
      <c r="AC658" s="15">
        <v>5000</v>
      </c>
      <c r="AD658" s="206">
        <v>43544</v>
      </c>
      <c r="AE658" s="15">
        <v>5000</v>
      </c>
      <c r="AF658" s="244"/>
      <c r="AG658" s="15"/>
      <c r="AH658" s="15">
        <f t="shared" si="95"/>
        <v>15000</v>
      </c>
      <c r="AI658" s="22">
        <f t="shared" si="96"/>
        <v>0</v>
      </c>
      <c r="AJ658" s="22">
        <f t="shared" si="97"/>
        <v>0</v>
      </c>
    </row>
    <row r="659" spans="1:37" hidden="1" outlineLevel="1">
      <c r="A659" t="s">
        <v>334</v>
      </c>
      <c r="B659" s="13">
        <v>43507</v>
      </c>
      <c r="C659" s="13" t="s">
        <v>23</v>
      </c>
      <c r="D659" t="s">
        <v>235</v>
      </c>
      <c r="E659" s="165" t="s">
        <v>236</v>
      </c>
      <c r="F659" t="str">
        <f t="shared" si="93"/>
        <v>YELL_14.16_300_NL2018</v>
      </c>
      <c r="G659" s="165" t="s">
        <v>89</v>
      </c>
      <c r="I659" s="12" t="s">
        <v>47</v>
      </c>
      <c r="J659" s="14">
        <v>300</v>
      </c>
      <c r="K659" s="15" t="s">
        <v>28</v>
      </c>
      <c r="M659" s="16">
        <f t="shared" si="94"/>
        <v>34</v>
      </c>
      <c r="N659" s="15">
        <v>10200</v>
      </c>
      <c r="O659" s="15">
        <v>3800</v>
      </c>
      <c r="P659" s="15">
        <f t="shared" si="92"/>
        <v>38760000</v>
      </c>
      <c r="Q659" s="15" t="str">
        <f t="shared" si="99"/>
        <v>Done</v>
      </c>
      <c r="R659" s="18" t="s">
        <v>44</v>
      </c>
      <c r="S659" s="23">
        <v>43511</v>
      </c>
      <c r="T659" s="20">
        <f>IFERROR(VLOOKUP(S659,'Date Converter'!$A$4:$C$368,3,0),"")</f>
        <v>43544</v>
      </c>
      <c r="U659" s="21">
        <f t="shared" si="98"/>
        <v>43544</v>
      </c>
      <c r="V659" s="12" t="s">
        <v>32</v>
      </c>
      <c r="W659" s="18" t="s">
        <v>33</v>
      </c>
      <c r="X659" s="18">
        <v>43541</v>
      </c>
      <c r="Y659" s="15" t="s">
        <v>59</v>
      </c>
      <c r="Z659" s="206">
        <v>43560</v>
      </c>
      <c r="AA659" s="15">
        <v>10200</v>
      </c>
      <c r="AB659" s="206"/>
      <c r="AC659" s="15"/>
      <c r="AD659" s="206"/>
      <c r="AE659" s="15"/>
      <c r="AF659" s="244"/>
      <c r="AG659" s="15"/>
      <c r="AH659" s="15">
        <f t="shared" si="95"/>
        <v>10200</v>
      </c>
      <c r="AI659" s="22">
        <f t="shared" si="96"/>
        <v>0</v>
      </c>
      <c r="AJ659" s="22">
        <f t="shared" si="97"/>
        <v>0</v>
      </c>
    </row>
    <row r="660" spans="1:37" hidden="1" outlineLevel="1">
      <c r="A660" s="165" t="s">
        <v>334</v>
      </c>
      <c r="B660" s="13">
        <v>43507</v>
      </c>
      <c r="C660" s="13" t="s">
        <v>23</v>
      </c>
      <c r="D660" s="165" t="s">
        <v>235</v>
      </c>
      <c r="E660" s="165" t="s">
        <v>236</v>
      </c>
      <c r="F660" s="165" t="str">
        <f t="shared" si="93"/>
        <v>ROBI_16.18_200_NL2018</v>
      </c>
      <c r="G660" s="165" t="s">
        <v>61</v>
      </c>
      <c r="I660" s="12" t="s">
        <v>35</v>
      </c>
      <c r="J660" s="14">
        <v>200</v>
      </c>
      <c r="K660" s="15" t="s">
        <v>28</v>
      </c>
      <c r="M660" s="16">
        <f t="shared" si="94"/>
        <v>50</v>
      </c>
      <c r="N660" s="15">
        <v>10000</v>
      </c>
      <c r="O660" s="15">
        <v>4800</v>
      </c>
      <c r="P660" s="15">
        <f t="shared" si="92"/>
        <v>48000000</v>
      </c>
      <c r="Q660" s="15" t="str">
        <f t="shared" si="99"/>
        <v>Done</v>
      </c>
      <c r="R660" s="18" t="s">
        <v>44</v>
      </c>
      <c r="S660" s="23">
        <v>43511</v>
      </c>
      <c r="T660" s="20">
        <f>IFERROR(VLOOKUP(S660,'Date Converter'!$A$4:$C$368,3,0),"")</f>
        <v>43544</v>
      </c>
      <c r="U660" s="21">
        <f t="shared" si="98"/>
        <v>43544</v>
      </c>
      <c r="V660" s="12" t="s">
        <v>32</v>
      </c>
      <c r="W660" s="18" t="s">
        <v>48</v>
      </c>
      <c r="X660" s="18">
        <v>43541</v>
      </c>
      <c r="Y660" s="15" t="s">
        <v>59</v>
      </c>
      <c r="Z660" s="206">
        <v>43558</v>
      </c>
      <c r="AA660" s="15">
        <v>5000</v>
      </c>
      <c r="AB660" s="206">
        <v>43581</v>
      </c>
      <c r="AC660" s="15">
        <v>5000</v>
      </c>
      <c r="AD660" s="206"/>
      <c r="AE660" s="15"/>
      <c r="AF660" s="244"/>
      <c r="AG660" s="15"/>
      <c r="AH660" s="15">
        <f t="shared" si="95"/>
        <v>10000</v>
      </c>
      <c r="AI660" s="22">
        <f t="shared" si="96"/>
        <v>0</v>
      </c>
      <c r="AJ660" s="22">
        <f t="shared" si="97"/>
        <v>0</v>
      </c>
      <c r="AK660" s="165"/>
    </row>
    <row r="661" spans="1:37" s="165" customFormat="1" hidden="1" outlineLevel="1">
      <c r="A661" s="165" t="s">
        <v>334</v>
      </c>
      <c r="B661" s="13">
        <v>43507</v>
      </c>
      <c r="C661" s="13" t="s">
        <v>23</v>
      </c>
      <c r="D661" s="165" t="s">
        <v>235</v>
      </c>
      <c r="E661" s="198" t="s">
        <v>236</v>
      </c>
      <c r="F661" s="165" t="str">
        <f t="shared" si="93"/>
        <v>PROF_14.16_300_NL2018</v>
      </c>
      <c r="G661" s="165" t="s">
        <v>56</v>
      </c>
      <c r="H661" s="12"/>
      <c r="I661" s="12" t="s">
        <v>47</v>
      </c>
      <c r="J661" s="14">
        <v>300</v>
      </c>
      <c r="K661" s="15" t="s">
        <v>28</v>
      </c>
      <c r="L661" s="15"/>
      <c r="M661" s="16">
        <f t="shared" si="94"/>
        <v>34</v>
      </c>
      <c r="N661" s="15">
        <v>10200</v>
      </c>
      <c r="O661" s="15">
        <v>5200</v>
      </c>
      <c r="P661" s="15">
        <f t="shared" si="92"/>
        <v>53040000</v>
      </c>
      <c r="Q661" s="15" t="str">
        <f t="shared" si="99"/>
        <v/>
      </c>
      <c r="R661" s="18" t="s">
        <v>31</v>
      </c>
      <c r="S661" s="23">
        <v>43631</v>
      </c>
      <c r="T661" s="20">
        <f>IFERROR(VLOOKUP(S661,'Date Converter'!$A$4:$C$368,3,0),"")</f>
        <v>43663</v>
      </c>
      <c r="U661" s="21">
        <f t="shared" si="98"/>
        <v>43663</v>
      </c>
      <c r="V661" s="20" t="s">
        <v>1416</v>
      </c>
      <c r="W661" s="18"/>
      <c r="X661" s="18"/>
      <c r="Y661" s="15" t="s">
        <v>59</v>
      </c>
      <c r="Z661" s="206"/>
      <c r="AA661" s="15">
        <v>0</v>
      </c>
      <c r="AB661" s="206"/>
      <c r="AC661" s="15"/>
      <c r="AD661" s="206"/>
      <c r="AE661" s="15"/>
      <c r="AF661" s="244"/>
      <c r="AG661" s="15"/>
      <c r="AH661" s="15">
        <f t="shared" si="95"/>
        <v>0</v>
      </c>
      <c r="AI661" s="22">
        <f t="shared" si="96"/>
        <v>10200</v>
      </c>
      <c r="AJ661" s="22">
        <f t="shared" si="97"/>
        <v>53040000</v>
      </c>
    </row>
    <row r="662" spans="1:37" s="165" customFormat="1" ht="15.75" hidden="1" customHeight="1" outlineLevel="1">
      <c r="A662" s="165" t="s">
        <v>334</v>
      </c>
      <c r="B662" s="13">
        <v>43617</v>
      </c>
      <c r="C662" s="13" t="s">
        <v>23</v>
      </c>
      <c r="D662" s="165" t="s">
        <v>235</v>
      </c>
      <c r="E662" s="198" t="s">
        <v>236</v>
      </c>
      <c r="F662" s="165" t="str">
        <f t="shared" si="93"/>
        <v>PROF_14.16_300_NL2018</v>
      </c>
      <c r="G662" s="165" t="s">
        <v>56</v>
      </c>
      <c r="H662" s="12"/>
      <c r="I662" s="12" t="s">
        <v>47</v>
      </c>
      <c r="J662" s="14">
        <v>300</v>
      </c>
      <c r="K662" s="15" t="s">
        <v>28</v>
      </c>
      <c r="L662" s="15"/>
      <c r="M662" s="16">
        <f t="shared" si="94"/>
        <v>34</v>
      </c>
      <c r="N662" s="15">
        <v>10200</v>
      </c>
      <c r="O662" s="15">
        <v>5100</v>
      </c>
      <c r="P662" s="15">
        <f t="shared" si="92"/>
        <v>52020000</v>
      </c>
      <c r="Q662" s="15" t="str">
        <f t="shared" si="99"/>
        <v>Done</v>
      </c>
      <c r="R662" s="18" t="s">
        <v>44</v>
      </c>
      <c r="S662" s="23">
        <v>43590</v>
      </c>
      <c r="T662" s="20">
        <f>IFERROR(VLOOKUP(S662,'Date Converter'!$A$4:$C$368,3,0),"")</f>
        <v>43623</v>
      </c>
      <c r="U662" s="21">
        <f t="shared" si="98"/>
        <v>43623</v>
      </c>
      <c r="V662" s="20"/>
      <c r="W662" s="18"/>
      <c r="X662" s="18"/>
      <c r="Y662" s="15"/>
      <c r="Z662" s="206">
        <v>43630</v>
      </c>
      <c r="AA662" s="15">
        <v>10200</v>
      </c>
      <c r="AB662" s="206"/>
      <c r="AC662" s="15"/>
      <c r="AD662" s="206"/>
      <c r="AE662" s="15"/>
      <c r="AF662" s="244"/>
      <c r="AG662" s="15"/>
      <c r="AH662" s="15">
        <f t="shared" si="95"/>
        <v>10200</v>
      </c>
      <c r="AI662" s="22">
        <f t="shared" si="96"/>
        <v>0</v>
      </c>
      <c r="AJ662" s="22">
        <f t="shared" si="97"/>
        <v>0</v>
      </c>
    </row>
    <row r="663" spans="1:37" s="165" customFormat="1" ht="15.75" hidden="1" customHeight="1" outlineLevel="1">
      <c r="A663" s="165" t="s">
        <v>334</v>
      </c>
      <c r="B663" s="13">
        <v>43507</v>
      </c>
      <c r="C663" s="13" t="s">
        <v>23</v>
      </c>
      <c r="D663" s="165" t="s">
        <v>235</v>
      </c>
      <c r="E663" s="198" t="s">
        <v>236</v>
      </c>
      <c r="F663" s="165" t="str">
        <f t="shared" si="93"/>
        <v>PROF_16.18_200_NL2018</v>
      </c>
      <c r="G663" s="165" t="s">
        <v>56</v>
      </c>
      <c r="H663" s="12"/>
      <c r="I663" s="12" t="s">
        <v>35</v>
      </c>
      <c r="J663" s="14">
        <v>200</v>
      </c>
      <c r="K663" s="15" t="s">
        <v>28</v>
      </c>
      <c r="L663" s="15"/>
      <c r="M663" s="16">
        <f t="shared" si="94"/>
        <v>0</v>
      </c>
      <c r="N663" s="15">
        <f>10000-10000</f>
        <v>0</v>
      </c>
      <c r="O663" s="15">
        <v>6700</v>
      </c>
      <c r="P663" s="15">
        <f t="shared" si="92"/>
        <v>0</v>
      </c>
      <c r="Q663" s="15" t="str">
        <f t="shared" si="99"/>
        <v>Canceled</v>
      </c>
      <c r="R663" s="18" t="s">
        <v>71</v>
      </c>
      <c r="S663" s="23">
        <v>43572</v>
      </c>
      <c r="T663" s="20">
        <f>IFERROR(VLOOKUP(S663,'Date Converter'!$A$4:$C$368,3,0),"")</f>
        <v>43606</v>
      </c>
      <c r="U663" s="21">
        <f t="shared" si="98"/>
        <v>43606</v>
      </c>
      <c r="V663" s="20" t="s">
        <v>1416</v>
      </c>
      <c r="W663" s="18"/>
      <c r="X663" s="18"/>
      <c r="Y663" s="15" t="s">
        <v>59</v>
      </c>
      <c r="Z663" s="206"/>
      <c r="AA663" s="15">
        <v>0</v>
      </c>
      <c r="AB663" s="206"/>
      <c r="AC663" s="15"/>
      <c r="AD663" s="206"/>
      <c r="AE663" s="15"/>
      <c r="AF663" s="244"/>
      <c r="AG663" s="15"/>
      <c r="AH663" s="15">
        <f t="shared" si="95"/>
        <v>0</v>
      </c>
      <c r="AI663" s="22">
        <f t="shared" si="96"/>
        <v>0</v>
      </c>
      <c r="AJ663" s="22">
        <f t="shared" si="97"/>
        <v>0</v>
      </c>
    </row>
    <row r="664" spans="1:37" s="165" customFormat="1" hidden="1" outlineLevel="1">
      <c r="A664" s="165" t="s">
        <v>334</v>
      </c>
      <c r="B664" s="13">
        <v>43507</v>
      </c>
      <c r="C664" s="13" t="s">
        <v>23</v>
      </c>
      <c r="D664" s="165" t="s">
        <v>235</v>
      </c>
      <c r="E664" s="165" t="s">
        <v>236</v>
      </c>
      <c r="F664" s="165" t="str">
        <f t="shared" si="93"/>
        <v>PROF_14.16_300_NL2018</v>
      </c>
      <c r="G664" s="165" t="s">
        <v>56</v>
      </c>
      <c r="H664" s="12"/>
      <c r="I664" s="12" t="s">
        <v>47</v>
      </c>
      <c r="J664" s="14">
        <v>300</v>
      </c>
      <c r="K664" s="15" t="s">
        <v>28</v>
      </c>
      <c r="L664" s="15"/>
      <c r="M664" s="16">
        <f t="shared" si="94"/>
        <v>17</v>
      </c>
      <c r="N664" s="15">
        <v>5100</v>
      </c>
      <c r="O664" s="15">
        <v>4800</v>
      </c>
      <c r="P664" s="15">
        <f t="shared" si="92"/>
        <v>24480000</v>
      </c>
      <c r="Q664" s="15" t="str">
        <f t="shared" si="99"/>
        <v>Done</v>
      </c>
      <c r="R664" s="18" t="s">
        <v>44</v>
      </c>
      <c r="S664" s="23" t="s">
        <v>53</v>
      </c>
      <c r="T664" s="20">
        <f>IFERROR(VLOOKUP(S664,'Date Converter'!$A$4:$C$368,3,0),"")</f>
        <v>43559</v>
      </c>
      <c r="U664" s="21">
        <f t="shared" si="98"/>
        <v>43559</v>
      </c>
      <c r="V664" s="20" t="s">
        <v>54</v>
      </c>
      <c r="W664" s="18" t="s">
        <v>82</v>
      </c>
      <c r="X664" s="18">
        <v>43555</v>
      </c>
      <c r="Y664" s="15" t="s">
        <v>59</v>
      </c>
      <c r="Z664" s="206">
        <v>43574</v>
      </c>
      <c r="AA664" s="15">
        <v>5100</v>
      </c>
      <c r="AB664" s="206"/>
      <c r="AC664" s="15"/>
      <c r="AD664" s="206"/>
      <c r="AE664" s="15"/>
      <c r="AF664" s="244"/>
      <c r="AG664" s="15"/>
      <c r="AH664" s="15">
        <f t="shared" si="95"/>
        <v>5100</v>
      </c>
      <c r="AI664" s="22">
        <f t="shared" si="96"/>
        <v>0</v>
      </c>
      <c r="AJ664" s="22">
        <f t="shared" si="97"/>
        <v>0</v>
      </c>
      <c r="AK664" s="165" t="s">
        <v>237</v>
      </c>
    </row>
    <row r="665" spans="1:37" s="165" customFormat="1" ht="16.5" hidden="1" customHeight="1" outlineLevel="1">
      <c r="A665" s="165" t="s">
        <v>334</v>
      </c>
      <c r="B665" s="13">
        <v>43507</v>
      </c>
      <c r="C665" s="13" t="s">
        <v>23</v>
      </c>
      <c r="D665" s="165" t="s">
        <v>235</v>
      </c>
      <c r="E665" s="165" t="s">
        <v>236</v>
      </c>
      <c r="F665" s="165" t="str">
        <f t="shared" si="93"/>
        <v>PROF_16.18_200_NL2018</v>
      </c>
      <c r="G665" s="165" t="s">
        <v>56</v>
      </c>
      <c r="H665" s="12"/>
      <c r="I665" s="12" t="s">
        <v>35</v>
      </c>
      <c r="J665" s="14">
        <v>200</v>
      </c>
      <c r="K665" s="15" t="s">
        <v>28</v>
      </c>
      <c r="L665" s="15"/>
      <c r="M665" s="16">
        <f t="shared" si="94"/>
        <v>25</v>
      </c>
      <c r="N665" s="15">
        <v>5000</v>
      </c>
      <c r="O665" s="15">
        <v>6700</v>
      </c>
      <c r="P665" s="15">
        <f t="shared" si="92"/>
        <v>33500000</v>
      </c>
      <c r="Q665" s="15" t="str">
        <f t="shared" si="99"/>
        <v>Done</v>
      </c>
      <c r="R665" s="18" t="s">
        <v>44</v>
      </c>
      <c r="S665" s="23" t="s">
        <v>53</v>
      </c>
      <c r="T665" s="20">
        <f>IFERROR(VLOOKUP(S665,'Date Converter'!$A$4:$C$368,3,0),"")</f>
        <v>43559</v>
      </c>
      <c r="U665" s="21">
        <f t="shared" si="98"/>
        <v>43559</v>
      </c>
      <c r="V665" s="20" t="s">
        <v>54</v>
      </c>
      <c r="W665" s="18" t="s">
        <v>55</v>
      </c>
      <c r="X665" s="18">
        <v>43555</v>
      </c>
      <c r="Y665" s="15" t="s">
        <v>59</v>
      </c>
      <c r="Z665" s="206">
        <v>43560</v>
      </c>
      <c r="AA665" s="15">
        <v>5000</v>
      </c>
      <c r="AB665" s="206"/>
      <c r="AC665" s="15"/>
      <c r="AD665" s="206"/>
      <c r="AE665" s="15"/>
      <c r="AF665" s="244"/>
      <c r="AG665" s="15"/>
      <c r="AH665" s="15">
        <f t="shared" si="95"/>
        <v>5000</v>
      </c>
      <c r="AI665" s="22">
        <f t="shared" si="96"/>
        <v>0</v>
      </c>
      <c r="AJ665" s="22">
        <f t="shared" si="97"/>
        <v>0</v>
      </c>
    </row>
    <row r="666" spans="1:37" s="165" customFormat="1" hidden="1" outlineLevel="1">
      <c r="A666" s="165" t="s">
        <v>1351</v>
      </c>
      <c r="B666" s="13">
        <v>43507</v>
      </c>
      <c r="C666" s="13" t="s">
        <v>23</v>
      </c>
      <c r="D666" s="258" t="s">
        <v>235</v>
      </c>
      <c r="E666" s="198" t="s">
        <v>236</v>
      </c>
      <c r="F666" s="165" t="str">
        <f t="shared" si="93"/>
        <v>MANI_22.24_100_NL2018</v>
      </c>
      <c r="G666" s="165" t="s">
        <v>105</v>
      </c>
      <c r="H666" s="12"/>
      <c r="I666" s="12" t="s">
        <v>78</v>
      </c>
      <c r="J666" s="14">
        <v>100</v>
      </c>
      <c r="K666" s="15" t="s">
        <v>28</v>
      </c>
      <c r="L666" s="15"/>
      <c r="M666" s="16">
        <f t="shared" si="94"/>
        <v>100</v>
      </c>
      <c r="N666" s="15">
        <v>10000</v>
      </c>
      <c r="O666" s="15">
        <v>15200</v>
      </c>
      <c r="P666" s="15">
        <f t="shared" si="92"/>
        <v>152000000</v>
      </c>
      <c r="Q666" s="15" t="str">
        <f t="shared" si="99"/>
        <v/>
      </c>
      <c r="R666" s="18" t="s">
        <v>29</v>
      </c>
      <c r="S666" s="190">
        <v>43709</v>
      </c>
      <c r="T666" s="20">
        <f>IFERROR(VLOOKUP(S666,'Date Converter'!$A$4:$C$368,3,0),"")</f>
        <v>43737</v>
      </c>
      <c r="U666" s="21">
        <f t="shared" si="98"/>
        <v>43737</v>
      </c>
      <c r="V666" s="20" t="s">
        <v>51</v>
      </c>
      <c r="W666" s="18"/>
      <c r="X666" s="18"/>
      <c r="Y666" s="15"/>
      <c r="Z666" s="206"/>
      <c r="AA666" s="15">
        <v>0</v>
      </c>
      <c r="AB666" s="206"/>
      <c r="AC666" s="15"/>
      <c r="AD666" s="206"/>
      <c r="AE666" s="15"/>
      <c r="AF666" s="244"/>
      <c r="AG666" s="15"/>
      <c r="AH666" s="15">
        <f t="shared" si="95"/>
        <v>0</v>
      </c>
      <c r="AI666" s="22">
        <f t="shared" si="96"/>
        <v>10000</v>
      </c>
      <c r="AJ666" s="22">
        <f t="shared" si="97"/>
        <v>152000000</v>
      </c>
    </row>
    <row r="667" spans="1:37" s="165" customFormat="1" hidden="1" outlineLevel="1">
      <c r="A667" s="165" t="s">
        <v>334</v>
      </c>
      <c r="B667" s="13">
        <v>43507</v>
      </c>
      <c r="C667" s="13" t="s">
        <v>23</v>
      </c>
      <c r="D667" s="165" t="s">
        <v>235</v>
      </c>
      <c r="E667" s="165" t="s">
        <v>236</v>
      </c>
      <c r="F667" s="183" t="str">
        <f t="shared" si="93"/>
        <v>CONC_16.18_200_NL2018</v>
      </c>
      <c r="G667" s="183" t="s">
        <v>43</v>
      </c>
      <c r="H667" s="184"/>
      <c r="I667" s="184" t="s">
        <v>35</v>
      </c>
      <c r="J667" s="186">
        <v>200</v>
      </c>
      <c r="K667" s="185" t="s">
        <v>28</v>
      </c>
      <c r="L667" s="185"/>
      <c r="M667" s="187">
        <f t="shared" si="94"/>
        <v>10</v>
      </c>
      <c r="N667" s="185">
        <v>2000</v>
      </c>
      <c r="O667" s="15">
        <v>4700</v>
      </c>
      <c r="P667" s="15">
        <f t="shared" si="92"/>
        <v>9400000</v>
      </c>
      <c r="Q667" s="15" t="str">
        <f t="shared" si="99"/>
        <v>Done</v>
      </c>
      <c r="R667" s="18" t="s">
        <v>44</v>
      </c>
      <c r="S667" s="117">
        <v>43539</v>
      </c>
      <c r="T667" s="20">
        <f>IFERROR(VLOOKUP(S667,'Date Converter'!$A$4:$C$368,3,0),"")</f>
        <v>43574</v>
      </c>
      <c r="U667" s="21">
        <f t="shared" si="98"/>
        <v>43574</v>
      </c>
      <c r="V667" s="12" t="s">
        <v>57</v>
      </c>
      <c r="W667" s="18"/>
      <c r="X667" s="18"/>
      <c r="Y667" s="15"/>
      <c r="Z667" s="206">
        <v>43574</v>
      </c>
      <c r="AA667" s="15">
        <v>2000</v>
      </c>
      <c r="AB667" s="206"/>
      <c r="AC667" s="15"/>
      <c r="AD667" s="206"/>
      <c r="AE667" s="15"/>
      <c r="AF667" s="244"/>
      <c r="AG667" s="15"/>
      <c r="AH667" s="15">
        <f t="shared" si="95"/>
        <v>2000</v>
      </c>
      <c r="AI667" s="22">
        <f t="shared" si="96"/>
        <v>0</v>
      </c>
      <c r="AJ667" s="22">
        <f t="shared" si="97"/>
        <v>0</v>
      </c>
    </row>
    <row r="668" spans="1:37" hidden="1" collapsed="1">
      <c r="A668" t="s">
        <v>334</v>
      </c>
      <c r="B668" s="13">
        <v>43507</v>
      </c>
      <c r="C668" s="13" t="s">
        <v>23</v>
      </c>
      <c r="D668" t="s">
        <v>235</v>
      </c>
      <c r="E668" s="165" t="s">
        <v>236</v>
      </c>
      <c r="F668" t="str">
        <f t="shared" si="93"/>
        <v>CONC_16.18_200_NL2018</v>
      </c>
      <c r="G668" s="165" t="s">
        <v>43</v>
      </c>
      <c r="I668" s="12" t="s">
        <v>35</v>
      </c>
      <c r="J668" s="14">
        <v>200</v>
      </c>
      <c r="K668" s="15" t="s">
        <v>28</v>
      </c>
      <c r="M668" s="16">
        <f t="shared" si="94"/>
        <v>40</v>
      </c>
      <c r="N668" s="15">
        <v>8000</v>
      </c>
      <c r="O668" s="15">
        <v>4700</v>
      </c>
      <c r="P668" s="15">
        <f t="shared" si="92"/>
        <v>37600000</v>
      </c>
      <c r="Q668" s="15" t="str">
        <f t="shared" si="99"/>
        <v>Done</v>
      </c>
      <c r="R668" s="18" t="s">
        <v>44</v>
      </c>
      <c r="S668" s="23" t="s">
        <v>53</v>
      </c>
      <c r="T668" s="20">
        <f>IFERROR(VLOOKUP(S668,'Date Converter'!$A$4:$C$368,3,0),"")</f>
        <v>43559</v>
      </c>
      <c r="U668" s="21">
        <f t="shared" si="98"/>
        <v>43559</v>
      </c>
      <c r="V668" s="20" t="s">
        <v>54</v>
      </c>
      <c r="W668" s="18" t="s">
        <v>55</v>
      </c>
      <c r="X668" s="18">
        <v>43555</v>
      </c>
      <c r="Y668" s="15" t="s">
        <v>59</v>
      </c>
      <c r="Z668" s="206">
        <v>43567</v>
      </c>
      <c r="AA668" s="15">
        <v>8000</v>
      </c>
      <c r="AB668" s="206"/>
      <c r="AC668" s="15"/>
      <c r="AD668" s="206"/>
      <c r="AE668" s="15"/>
      <c r="AF668" s="244"/>
      <c r="AG668" s="15"/>
      <c r="AH668" s="15">
        <f t="shared" si="95"/>
        <v>8000</v>
      </c>
      <c r="AI668" s="22">
        <f t="shared" si="96"/>
        <v>0</v>
      </c>
      <c r="AJ668" s="22">
        <f t="shared" si="97"/>
        <v>0</v>
      </c>
      <c r="AK668" s="165"/>
    </row>
    <row r="669" spans="1:37" s="165" customFormat="1" ht="16.5" hidden="1" customHeight="1">
      <c r="A669" s="165" t="s">
        <v>468</v>
      </c>
      <c r="B669" s="13">
        <v>43571</v>
      </c>
      <c r="C669" s="13" t="s">
        <v>23</v>
      </c>
      <c r="D669" s="165" t="s">
        <v>466</v>
      </c>
      <c r="E669" s="13" t="s">
        <v>465</v>
      </c>
      <c r="F669" s="165" t="str">
        <f t="shared" si="93"/>
        <v>YELL_12.14_400_NL2018</v>
      </c>
      <c r="G669" s="13" t="s">
        <v>89</v>
      </c>
      <c r="H669" s="12"/>
      <c r="I669" s="12" t="s">
        <v>113</v>
      </c>
      <c r="J669" s="14">
        <v>400</v>
      </c>
      <c r="K669" s="15" t="s">
        <v>28</v>
      </c>
      <c r="L669" s="15"/>
      <c r="M669" s="16">
        <f t="shared" si="94"/>
        <v>20</v>
      </c>
      <c r="N669" s="15">
        <v>8000</v>
      </c>
      <c r="O669" s="15">
        <v>2700</v>
      </c>
      <c r="P669" s="15">
        <f t="shared" si="92"/>
        <v>21600000</v>
      </c>
      <c r="Q669" s="15" t="str">
        <f t="shared" si="99"/>
        <v>Done</v>
      </c>
      <c r="R669" s="18" t="s">
        <v>44</v>
      </c>
      <c r="S669" s="117">
        <v>43539</v>
      </c>
      <c r="T669" s="20">
        <f>IFERROR(VLOOKUP(S669,'Date Converter'!$A$4:$C$368,3,0),"")</f>
        <v>43574</v>
      </c>
      <c r="U669" s="21">
        <f t="shared" si="98"/>
        <v>43574</v>
      </c>
      <c r="V669" s="12" t="s">
        <v>57</v>
      </c>
      <c r="W669" s="18"/>
      <c r="X669" s="18"/>
      <c r="Y669" s="15"/>
      <c r="Z669" s="206">
        <v>43572</v>
      </c>
      <c r="AA669" s="15">
        <v>8000</v>
      </c>
      <c r="AB669" s="206"/>
      <c r="AC669" s="15"/>
      <c r="AD669" s="206"/>
      <c r="AE669" s="15"/>
      <c r="AF669" s="244"/>
      <c r="AG669" s="15"/>
      <c r="AH669" s="15">
        <f t="shared" si="95"/>
        <v>8000</v>
      </c>
      <c r="AI669" s="22">
        <f t="shared" si="96"/>
        <v>0</v>
      </c>
      <c r="AJ669" s="22">
        <f t="shared" si="97"/>
        <v>0</v>
      </c>
    </row>
    <row r="670" spans="1:37" s="165" customFormat="1" hidden="1">
      <c r="A670" s="165" t="s">
        <v>468</v>
      </c>
      <c r="B670" s="13">
        <v>43584</v>
      </c>
      <c r="C670" s="13" t="s">
        <v>23</v>
      </c>
      <c r="D670" s="165" t="s">
        <v>466</v>
      </c>
      <c r="E670" s="13" t="s">
        <v>465</v>
      </c>
      <c r="F670" s="165" t="str">
        <f t="shared" si="93"/>
        <v>YELL_12.14_400_NL2018</v>
      </c>
      <c r="G670" s="13" t="s">
        <v>89</v>
      </c>
      <c r="H670" s="12"/>
      <c r="I670" s="12" t="s">
        <v>113</v>
      </c>
      <c r="J670" s="14">
        <v>400</v>
      </c>
      <c r="K670" s="15" t="s">
        <v>28</v>
      </c>
      <c r="L670" s="15"/>
      <c r="M670" s="16">
        <f t="shared" si="94"/>
        <v>25</v>
      </c>
      <c r="N670" s="15">
        <v>10000</v>
      </c>
      <c r="O670" s="15">
        <v>2700</v>
      </c>
      <c r="P670" s="15">
        <f t="shared" si="92"/>
        <v>27000000</v>
      </c>
      <c r="Q670" s="15" t="str">
        <f t="shared" si="99"/>
        <v>Done</v>
      </c>
      <c r="R670" s="18" t="s">
        <v>44</v>
      </c>
      <c r="S670" s="190">
        <v>43539</v>
      </c>
      <c r="T670" s="20">
        <f>IFERROR(VLOOKUP(S670,'Date Converter'!$A$4:$C$368,3,0),"")</f>
        <v>43574</v>
      </c>
      <c r="U670" s="21">
        <f t="shared" ref="U670:U700" si="100">+T670</f>
        <v>43574</v>
      </c>
      <c r="V670" s="12" t="s">
        <v>57</v>
      </c>
      <c r="W670" s="18"/>
      <c r="X670" s="18"/>
      <c r="Y670" s="15"/>
      <c r="Z670" s="206">
        <v>43584</v>
      </c>
      <c r="AA670" s="15">
        <v>10000</v>
      </c>
      <c r="AB670" s="206"/>
      <c r="AC670" s="15"/>
      <c r="AD670" s="206"/>
      <c r="AE670" s="15"/>
      <c r="AF670" s="244"/>
      <c r="AG670" s="15"/>
      <c r="AH670" s="15">
        <f t="shared" si="95"/>
        <v>10000</v>
      </c>
      <c r="AI670" s="22">
        <f t="shared" si="96"/>
        <v>0</v>
      </c>
      <c r="AJ670" s="22">
        <f t="shared" si="97"/>
        <v>0</v>
      </c>
    </row>
    <row r="671" spans="1:37" hidden="1">
      <c r="A671" t="s">
        <v>493</v>
      </c>
      <c r="B671" s="119">
        <v>43531</v>
      </c>
      <c r="C671" s="13" t="s">
        <v>23</v>
      </c>
      <c r="D671" t="s">
        <v>466</v>
      </c>
      <c r="E671" s="119" t="s">
        <v>465</v>
      </c>
      <c r="F671" t="str">
        <f t="shared" si="93"/>
        <v>TEBA_14.16_300_NL2018</v>
      </c>
      <c r="G671" s="13" t="s">
        <v>127</v>
      </c>
      <c r="I671" s="12" t="s">
        <v>47</v>
      </c>
      <c r="J671" s="14">
        <v>300</v>
      </c>
      <c r="K671" s="15" t="s">
        <v>28</v>
      </c>
      <c r="M671" s="16">
        <f t="shared" si="94"/>
        <v>53</v>
      </c>
      <c r="N671" s="15">
        <f>15000+900</f>
        <v>15900</v>
      </c>
      <c r="O671" s="15">
        <v>4430</v>
      </c>
      <c r="P671" s="15">
        <f t="shared" si="92"/>
        <v>70437000</v>
      </c>
      <c r="Q671" s="15" t="str">
        <f t="shared" si="99"/>
        <v>Done</v>
      </c>
      <c r="R671" s="18" t="s">
        <v>44</v>
      </c>
      <c r="S671" s="190">
        <v>43590</v>
      </c>
      <c r="T671" s="20">
        <f>IFERROR(VLOOKUP(S671,'Date Converter'!$A$4:$C$368,3,0),"")</f>
        <v>43623</v>
      </c>
      <c r="U671" s="21">
        <f t="shared" si="100"/>
        <v>43623</v>
      </c>
      <c r="V671" s="20" t="s">
        <v>486</v>
      </c>
      <c r="Y671" s="15"/>
      <c r="Z671" s="206">
        <v>43624</v>
      </c>
      <c r="AA671" s="15">
        <v>15000</v>
      </c>
      <c r="AB671" s="206">
        <v>43638</v>
      </c>
      <c r="AC671" s="15">
        <v>900</v>
      </c>
      <c r="AD671" s="206"/>
      <c r="AE671" s="15"/>
      <c r="AF671" s="244"/>
      <c r="AG671" s="15"/>
      <c r="AH671" s="15">
        <f t="shared" si="95"/>
        <v>15900</v>
      </c>
      <c r="AI671" s="22">
        <f t="shared" si="96"/>
        <v>0</v>
      </c>
      <c r="AJ671" s="22">
        <f t="shared" si="97"/>
        <v>0</v>
      </c>
      <c r="AK671" s="165"/>
    </row>
    <row r="672" spans="1:37" hidden="1">
      <c r="A672" t="s">
        <v>493</v>
      </c>
      <c r="B672" s="119">
        <v>43531</v>
      </c>
      <c r="C672" s="13" t="s">
        <v>23</v>
      </c>
      <c r="D672" t="s">
        <v>466</v>
      </c>
      <c r="E672" s="119" t="s">
        <v>465</v>
      </c>
      <c r="F672" s="165" t="str">
        <f t="shared" si="93"/>
        <v>TEBA_14.16_300_NL2018</v>
      </c>
      <c r="G672" s="13" t="s">
        <v>127</v>
      </c>
      <c r="I672" s="12" t="s">
        <v>47</v>
      </c>
      <c r="J672" s="14">
        <v>300</v>
      </c>
      <c r="K672" s="15" t="s">
        <v>28</v>
      </c>
      <c r="M672" s="16">
        <f t="shared" si="94"/>
        <v>67</v>
      </c>
      <c r="N672" s="15">
        <f>10200+9900</f>
        <v>20100</v>
      </c>
      <c r="O672" s="15">
        <v>4400</v>
      </c>
      <c r="P672" s="15">
        <f t="shared" si="92"/>
        <v>88440000</v>
      </c>
      <c r="Q672" s="15" t="str">
        <f t="shared" si="99"/>
        <v>Done</v>
      </c>
      <c r="R672" s="18" t="s">
        <v>44</v>
      </c>
      <c r="S672" s="23">
        <v>43572</v>
      </c>
      <c r="T672" s="20">
        <f>IFERROR(VLOOKUP(S672,'Date Converter'!$A$4:$C$368,3,0),"")</f>
        <v>43606</v>
      </c>
      <c r="U672" s="21">
        <f t="shared" si="100"/>
        <v>43606</v>
      </c>
      <c r="V672" s="20" t="s">
        <v>479</v>
      </c>
      <c r="Y672" s="15"/>
      <c r="Z672" s="206">
        <v>43612</v>
      </c>
      <c r="AA672" s="15">
        <v>20100</v>
      </c>
      <c r="AB672" s="206"/>
      <c r="AC672" s="15"/>
      <c r="AD672" s="206"/>
      <c r="AE672" s="15"/>
      <c r="AF672" s="244"/>
      <c r="AG672" s="15"/>
      <c r="AH672" s="15">
        <f t="shared" si="95"/>
        <v>20100</v>
      </c>
      <c r="AI672" s="22">
        <f t="shared" si="96"/>
        <v>0</v>
      </c>
      <c r="AJ672" s="22">
        <f t="shared" si="97"/>
        <v>0</v>
      </c>
      <c r="AK672" s="165"/>
    </row>
    <row r="673" spans="1:37" hidden="1">
      <c r="A673" t="s">
        <v>468</v>
      </c>
      <c r="B673" s="13">
        <v>43531</v>
      </c>
      <c r="C673" s="13" t="s">
        <v>23</v>
      </c>
      <c r="D673" t="s">
        <v>466</v>
      </c>
      <c r="E673" s="13" t="s">
        <v>465</v>
      </c>
      <c r="F673" t="str">
        <f t="shared" si="93"/>
        <v>TEBA_14.16_300_NL2018</v>
      </c>
      <c r="G673" s="13" t="s">
        <v>127</v>
      </c>
      <c r="I673" s="12" t="s">
        <v>47</v>
      </c>
      <c r="J673" s="14">
        <v>300</v>
      </c>
      <c r="K673" s="15" t="s">
        <v>28</v>
      </c>
      <c r="M673" s="16">
        <f t="shared" si="94"/>
        <v>51</v>
      </c>
      <c r="N673" s="15">
        <v>15300</v>
      </c>
      <c r="O673" s="15">
        <v>4100</v>
      </c>
      <c r="P673" s="15">
        <f t="shared" si="92"/>
        <v>62730000</v>
      </c>
      <c r="Q673" s="15" t="str">
        <f t="shared" si="99"/>
        <v>Done</v>
      </c>
      <c r="R673" s="18" t="s">
        <v>44</v>
      </c>
      <c r="S673" s="117">
        <v>43539</v>
      </c>
      <c r="T673" s="20">
        <f>IFERROR(VLOOKUP(S673,'Date Converter'!$A$4:$C$368,3,0),"")</f>
        <v>43574</v>
      </c>
      <c r="U673" s="21">
        <f t="shared" si="100"/>
        <v>43574</v>
      </c>
      <c r="V673" s="12" t="s">
        <v>57</v>
      </c>
      <c r="W673" s="18" t="s">
        <v>58</v>
      </c>
      <c r="X673" s="18">
        <v>43569</v>
      </c>
      <c r="Y673" s="15" t="s">
        <v>59</v>
      </c>
      <c r="Z673" s="206">
        <v>43572</v>
      </c>
      <c r="AA673" s="15">
        <v>15300</v>
      </c>
      <c r="AB673" s="206"/>
      <c r="AC673" s="15"/>
      <c r="AD673" s="206"/>
      <c r="AE673" s="15"/>
      <c r="AF673" s="244"/>
      <c r="AG673" s="15"/>
      <c r="AH673" s="15">
        <f t="shared" si="95"/>
        <v>15300</v>
      </c>
      <c r="AI673" s="22">
        <f t="shared" si="96"/>
        <v>0</v>
      </c>
      <c r="AJ673" s="22">
        <f t="shared" si="97"/>
        <v>0</v>
      </c>
    </row>
    <row r="674" spans="1:37" s="165" customFormat="1" hidden="1">
      <c r="A674" s="165" t="s">
        <v>468</v>
      </c>
      <c r="B674" s="13">
        <v>43531</v>
      </c>
      <c r="C674" s="13" t="s">
        <v>23</v>
      </c>
      <c r="D674" s="165" t="s">
        <v>466</v>
      </c>
      <c r="E674" s="13" t="s">
        <v>465</v>
      </c>
      <c r="F674" s="165" t="str">
        <f t="shared" si="93"/>
        <v>TEBA_14.16_300_NL2018</v>
      </c>
      <c r="G674" s="13" t="s">
        <v>127</v>
      </c>
      <c r="H674" s="12"/>
      <c r="I674" s="12" t="s">
        <v>47</v>
      </c>
      <c r="J674" s="14">
        <v>300</v>
      </c>
      <c r="K674" s="15" t="s">
        <v>28</v>
      </c>
      <c r="L674" s="15"/>
      <c r="M674" s="16">
        <f t="shared" si="94"/>
        <v>56</v>
      </c>
      <c r="N674" s="15">
        <f>16100+700</f>
        <v>16800</v>
      </c>
      <c r="O674" s="15">
        <v>4100</v>
      </c>
      <c r="P674" s="15">
        <f t="shared" si="92"/>
        <v>68880000</v>
      </c>
      <c r="Q674" s="15" t="str">
        <f t="shared" si="99"/>
        <v>Done</v>
      </c>
      <c r="R674" s="18" t="s">
        <v>44</v>
      </c>
      <c r="S674" s="117" t="s">
        <v>151</v>
      </c>
      <c r="T674" s="20">
        <f>IFERROR(VLOOKUP(S674,'Date Converter'!$A$4:$C$368,3,0),"")</f>
        <v>43558</v>
      </c>
      <c r="U674" s="21">
        <f t="shared" si="100"/>
        <v>43558</v>
      </c>
      <c r="V674" s="20" t="s">
        <v>54</v>
      </c>
      <c r="W674" s="18" t="s">
        <v>82</v>
      </c>
      <c r="X674" s="18">
        <v>43555</v>
      </c>
      <c r="Y674" s="15" t="s">
        <v>59</v>
      </c>
      <c r="Z674" s="206">
        <v>43558</v>
      </c>
      <c r="AA674" s="15">
        <v>16800</v>
      </c>
      <c r="AB674" s="206"/>
      <c r="AC674" s="15"/>
      <c r="AD674" s="206"/>
      <c r="AE674" s="15"/>
      <c r="AF674" s="244"/>
      <c r="AG674" s="15"/>
      <c r="AH674" s="15">
        <f t="shared" si="95"/>
        <v>16800</v>
      </c>
      <c r="AI674" s="22">
        <f t="shared" si="96"/>
        <v>0</v>
      </c>
      <c r="AJ674" s="22">
        <f t="shared" si="97"/>
        <v>0</v>
      </c>
    </row>
    <row r="675" spans="1:37" hidden="1">
      <c r="A675" s="165" t="s">
        <v>2383</v>
      </c>
      <c r="B675" s="13">
        <v>43550</v>
      </c>
      <c r="C675" s="13" t="s">
        <v>23</v>
      </c>
      <c r="D675" s="258" t="s">
        <v>466</v>
      </c>
      <c r="E675" s="119" t="s">
        <v>465</v>
      </c>
      <c r="F675" t="str">
        <f t="shared" si="93"/>
        <v>TARR_20.22_125_NL2018</v>
      </c>
      <c r="G675" s="13" t="s">
        <v>62</v>
      </c>
      <c r="I675" s="12" t="s">
        <v>74</v>
      </c>
      <c r="J675" s="14">
        <v>125</v>
      </c>
      <c r="K675" s="15" t="s">
        <v>28</v>
      </c>
      <c r="L675" s="12" t="s">
        <v>419</v>
      </c>
      <c r="M675" s="16">
        <f t="shared" si="94"/>
        <v>96</v>
      </c>
      <c r="N675" s="15">
        <v>12000</v>
      </c>
      <c r="O675" s="15">
        <v>10800</v>
      </c>
      <c r="P675" s="15">
        <f t="shared" si="92"/>
        <v>129600000</v>
      </c>
      <c r="Q675" s="15" t="str">
        <f t="shared" si="99"/>
        <v/>
      </c>
      <c r="R675" s="18" t="s">
        <v>29</v>
      </c>
      <c r="S675" s="190">
        <v>43709</v>
      </c>
      <c r="T675" s="20">
        <f>IFERROR(VLOOKUP(S675,'Date Converter'!$A$4:$C$368,3,0),"")</f>
        <v>43737</v>
      </c>
      <c r="U675" s="21">
        <f t="shared" si="100"/>
        <v>43737</v>
      </c>
      <c r="V675" s="20" t="s">
        <v>51</v>
      </c>
      <c r="Y675" s="15"/>
      <c r="AA675" s="15">
        <v>0</v>
      </c>
      <c r="AB675" s="206"/>
      <c r="AC675" s="15"/>
      <c r="AD675" s="206"/>
      <c r="AE675" s="15"/>
      <c r="AF675" s="244"/>
      <c r="AG675" s="15"/>
      <c r="AH675" s="15">
        <f t="shared" si="95"/>
        <v>0</v>
      </c>
      <c r="AI675" s="22">
        <f t="shared" si="96"/>
        <v>12000</v>
      </c>
      <c r="AJ675" s="22">
        <f t="shared" si="97"/>
        <v>129600000</v>
      </c>
    </row>
    <row r="676" spans="1:37" hidden="1">
      <c r="A676" s="165" t="s">
        <v>2383</v>
      </c>
      <c r="B676" s="13">
        <v>43550</v>
      </c>
      <c r="C676" s="13" t="s">
        <v>23</v>
      </c>
      <c r="D676" s="258" t="s">
        <v>466</v>
      </c>
      <c r="E676" s="119" t="s">
        <v>465</v>
      </c>
      <c r="F676" t="str">
        <f t="shared" si="93"/>
        <v>ROBI_20.22_125_NL2018</v>
      </c>
      <c r="G676" s="13" t="s">
        <v>61</v>
      </c>
      <c r="I676" s="12" t="s">
        <v>74</v>
      </c>
      <c r="J676" s="14">
        <v>125</v>
      </c>
      <c r="K676" s="15" t="s">
        <v>28</v>
      </c>
      <c r="L676" s="12" t="s">
        <v>136</v>
      </c>
      <c r="M676" s="16">
        <f t="shared" si="94"/>
        <v>96</v>
      </c>
      <c r="N676" s="15">
        <v>12000</v>
      </c>
      <c r="O676" s="15">
        <v>10500</v>
      </c>
      <c r="P676" s="15">
        <f t="shared" si="92"/>
        <v>126000000</v>
      </c>
      <c r="Q676" s="15" t="str">
        <f t="shared" si="99"/>
        <v/>
      </c>
      <c r="R676" s="18" t="s">
        <v>29</v>
      </c>
      <c r="S676" s="190">
        <v>43709</v>
      </c>
      <c r="T676" s="20">
        <f>IFERROR(VLOOKUP(S676,'Date Converter'!$A$4:$C$368,3,0),"")</f>
        <v>43737</v>
      </c>
      <c r="U676" s="21">
        <f t="shared" si="100"/>
        <v>43737</v>
      </c>
      <c r="V676" s="20" t="s">
        <v>51</v>
      </c>
      <c r="Y676" s="15"/>
      <c r="AA676" s="15">
        <v>0</v>
      </c>
      <c r="AB676" s="206"/>
      <c r="AC676" s="15"/>
      <c r="AD676" s="206"/>
      <c r="AE676" s="15"/>
      <c r="AF676" s="244"/>
      <c r="AG676" s="15"/>
      <c r="AH676" s="15">
        <f t="shared" si="95"/>
        <v>0</v>
      </c>
      <c r="AI676" s="22">
        <f t="shared" si="96"/>
        <v>12000</v>
      </c>
      <c r="AJ676" s="22">
        <f t="shared" si="97"/>
        <v>126000000</v>
      </c>
    </row>
    <row r="677" spans="1:37" hidden="1">
      <c r="A677" t="s">
        <v>493</v>
      </c>
      <c r="B677" s="119">
        <v>43531</v>
      </c>
      <c r="C677" s="13" t="s">
        <v>23</v>
      </c>
      <c r="D677" t="s">
        <v>466</v>
      </c>
      <c r="E677" s="119" t="s">
        <v>465</v>
      </c>
      <c r="F677" t="str">
        <f t="shared" si="93"/>
        <v>PAVI_14.16_300_NL2018</v>
      </c>
      <c r="G677" s="13" t="s">
        <v>138</v>
      </c>
      <c r="I677" s="12" t="s">
        <v>47</v>
      </c>
      <c r="J677" s="14">
        <v>300</v>
      </c>
      <c r="K677" s="15" t="s">
        <v>28</v>
      </c>
      <c r="M677" s="16">
        <f t="shared" si="94"/>
        <v>67</v>
      </c>
      <c r="N677" s="15">
        <v>20100</v>
      </c>
      <c r="O677" s="15">
        <v>4430</v>
      </c>
      <c r="P677" s="15">
        <f t="shared" si="92"/>
        <v>89043000</v>
      </c>
      <c r="Q677" s="15" t="str">
        <f t="shared" si="99"/>
        <v>Done</v>
      </c>
      <c r="R677" s="18" t="s">
        <v>44</v>
      </c>
      <c r="S677" s="190">
        <v>43590</v>
      </c>
      <c r="T677" s="20">
        <f>IFERROR(VLOOKUP(S677,'Date Converter'!$A$4:$C$368,3,0),"")</f>
        <v>43623</v>
      </c>
      <c r="U677" s="21">
        <f t="shared" si="100"/>
        <v>43623</v>
      </c>
      <c r="V677" s="20" t="s">
        <v>486</v>
      </c>
      <c r="Y677" s="15"/>
      <c r="Z677" s="206">
        <v>43638</v>
      </c>
      <c r="AA677" s="15">
        <v>20100</v>
      </c>
      <c r="AB677" s="206"/>
      <c r="AC677" s="15"/>
      <c r="AD677" s="206"/>
      <c r="AE677" s="15"/>
      <c r="AF677" s="244"/>
      <c r="AG677" s="15"/>
      <c r="AH677" s="15">
        <f t="shared" si="95"/>
        <v>20100</v>
      </c>
      <c r="AI677" s="22">
        <f t="shared" si="96"/>
        <v>0</v>
      </c>
      <c r="AJ677" s="22">
        <f t="shared" si="97"/>
        <v>0</v>
      </c>
    </row>
    <row r="678" spans="1:37" ht="15.75" hidden="1" customHeight="1">
      <c r="A678" t="s">
        <v>493</v>
      </c>
      <c r="B678" s="119">
        <v>43630</v>
      </c>
      <c r="C678" s="13" t="s">
        <v>23</v>
      </c>
      <c r="D678" t="s">
        <v>466</v>
      </c>
      <c r="E678" s="119" t="s">
        <v>465</v>
      </c>
      <c r="F678" t="str">
        <f t="shared" si="93"/>
        <v>PAVI_12.14_400_NL2018</v>
      </c>
      <c r="G678" s="13" t="s">
        <v>138</v>
      </c>
      <c r="I678" s="24" t="s">
        <v>113</v>
      </c>
      <c r="J678" s="14">
        <v>400</v>
      </c>
      <c r="K678" s="15" t="s">
        <v>28</v>
      </c>
      <c r="M678" s="16">
        <f t="shared" si="94"/>
        <v>50</v>
      </c>
      <c r="N678" s="15">
        <v>20000</v>
      </c>
      <c r="O678" s="15">
        <v>3000</v>
      </c>
      <c r="P678" s="15">
        <f t="shared" ref="P678:P739" si="101">+O678*N678</f>
        <v>60000000</v>
      </c>
      <c r="Q678" s="15" t="str">
        <f t="shared" si="99"/>
        <v/>
      </c>
      <c r="R678" s="18" t="s">
        <v>31</v>
      </c>
      <c r="S678" s="190">
        <v>43631</v>
      </c>
      <c r="T678" s="20">
        <f>IFERROR(VLOOKUP(S678,'Date Converter'!$A$4:$C$368,3,0),"")</f>
        <v>43663</v>
      </c>
      <c r="U678" s="21">
        <f t="shared" ref="U678:U680" si="102">+T678</f>
        <v>43663</v>
      </c>
      <c r="V678" s="20"/>
      <c r="Y678" s="15"/>
      <c r="AA678" s="15"/>
      <c r="AB678" s="206"/>
      <c r="AC678" s="15"/>
      <c r="AD678" s="206"/>
      <c r="AE678" s="15"/>
      <c r="AF678" s="244"/>
      <c r="AG678" s="15"/>
      <c r="AH678" s="15">
        <f t="shared" si="95"/>
        <v>0</v>
      </c>
      <c r="AI678" s="22">
        <f t="shared" si="96"/>
        <v>20000</v>
      </c>
      <c r="AJ678" s="22">
        <f t="shared" si="97"/>
        <v>60000000</v>
      </c>
    </row>
    <row r="679" spans="1:37" s="165" customFormat="1" ht="15.75" hidden="1" customHeight="1">
      <c r="A679" s="165" t="s">
        <v>493</v>
      </c>
      <c r="B679" s="119">
        <v>43641</v>
      </c>
      <c r="C679" s="13" t="s">
        <v>23</v>
      </c>
      <c r="D679" s="165" t="s">
        <v>466</v>
      </c>
      <c r="E679" s="119" t="s">
        <v>465</v>
      </c>
      <c r="F679" s="165" t="str">
        <f t="shared" ref="F679:F680" si="103">SUBSTITUTE(LEFT(G679,4)&amp;"_"&amp;H679&amp;"_"&amp;I679&amp;"_"&amp;J679&amp;"_"&amp;K679,"__","_")</f>
        <v>AMIG_14.16_300_NL2018</v>
      </c>
      <c r="G679" s="13" t="s">
        <v>1422</v>
      </c>
      <c r="H679" s="12"/>
      <c r="I679" s="12" t="s">
        <v>47</v>
      </c>
      <c r="J679" s="14">
        <v>300</v>
      </c>
      <c r="K679" s="15" t="s">
        <v>28</v>
      </c>
      <c r="L679" s="15"/>
      <c r="M679" s="16">
        <f t="shared" si="94"/>
        <v>34</v>
      </c>
      <c r="N679" s="15">
        <v>10200</v>
      </c>
      <c r="O679" s="15">
        <v>4900</v>
      </c>
      <c r="P679" s="15">
        <f t="shared" si="101"/>
        <v>49980000</v>
      </c>
      <c r="Q679" s="15" t="str">
        <f t="shared" si="99"/>
        <v/>
      </c>
      <c r="R679" s="18" t="s">
        <v>29</v>
      </c>
      <c r="S679" s="190">
        <v>43661</v>
      </c>
      <c r="T679" s="20">
        <f>IFERROR(VLOOKUP(S679,'Date Converter'!$A$4:$C$368,3,0),"")</f>
        <v>43692</v>
      </c>
      <c r="U679" s="21">
        <f t="shared" si="102"/>
        <v>43692</v>
      </c>
      <c r="V679" s="20"/>
      <c r="W679" s="18"/>
      <c r="X679" s="18"/>
      <c r="Y679" s="15"/>
      <c r="Z679" s="206"/>
      <c r="AA679" s="15"/>
      <c r="AB679" s="206"/>
      <c r="AC679" s="15"/>
      <c r="AD679" s="206"/>
      <c r="AE679" s="15"/>
      <c r="AF679" s="244"/>
      <c r="AG679" s="15"/>
      <c r="AH679" s="15">
        <f t="shared" ref="AH679:AH680" si="104">+AA679+AC679+AE679+AG679</f>
        <v>0</v>
      </c>
      <c r="AI679" s="22">
        <f t="shared" ref="AI679:AI680" si="105">+N679-AH679</f>
        <v>10200</v>
      </c>
      <c r="AJ679" s="22">
        <f t="shared" ref="AJ679:AJ680" si="106">+AI679*O679</f>
        <v>49980000</v>
      </c>
    </row>
    <row r="680" spans="1:37" s="165" customFormat="1" ht="15.75" hidden="1" customHeight="1">
      <c r="A680" s="165" t="s">
        <v>493</v>
      </c>
      <c r="B680" s="119">
        <v>43641</v>
      </c>
      <c r="C680" s="13" t="s">
        <v>23</v>
      </c>
      <c r="D680" s="165" t="s">
        <v>466</v>
      </c>
      <c r="E680" s="119" t="s">
        <v>465</v>
      </c>
      <c r="F680" s="165" t="str">
        <f t="shared" si="103"/>
        <v>PAVI_14.16_300_NL2018</v>
      </c>
      <c r="G680" s="13" t="s">
        <v>138</v>
      </c>
      <c r="H680" s="12"/>
      <c r="I680" s="12" t="s">
        <v>47</v>
      </c>
      <c r="J680" s="14">
        <v>300</v>
      </c>
      <c r="K680" s="15" t="s">
        <v>28</v>
      </c>
      <c r="L680" s="15"/>
      <c r="M680" s="16">
        <f t="shared" si="94"/>
        <v>34</v>
      </c>
      <c r="N680" s="15">
        <v>10200</v>
      </c>
      <c r="O680" s="15">
        <v>4500</v>
      </c>
      <c r="P680" s="15">
        <f t="shared" si="101"/>
        <v>45900000</v>
      </c>
      <c r="Q680" s="15" t="str">
        <f t="shared" si="99"/>
        <v/>
      </c>
      <c r="R680" s="18" t="s">
        <v>29</v>
      </c>
      <c r="S680" s="190">
        <v>43661</v>
      </c>
      <c r="T680" s="20">
        <f>IFERROR(VLOOKUP(S680,'Date Converter'!$A$4:$C$368,3,0),"")</f>
        <v>43692</v>
      </c>
      <c r="U680" s="21">
        <f t="shared" si="102"/>
        <v>43692</v>
      </c>
      <c r="V680" s="20"/>
      <c r="W680" s="18"/>
      <c r="X680" s="18"/>
      <c r="Y680" s="15"/>
      <c r="Z680" s="206"/>
      <c r="AA680" s="15"/>
      <c r="AB680" s="206"/>
      <c r="AC680" s="15"/>
      <c r="AD680" s="206"/>
      <c r="AE680" s="15"/>
      <c r="AF680" s="244"/>
      <c r="AG680" s="15"/>
      <c r="AH680" s="15">
        <f t="shared" si="104"/>
        <v>0</v>
      </c>
      <c r="AI680" s="22">
        <f t="shared" si="105"/>
        <v>10200</v>
      </c>
      <c r="AJ680" s="22">
        <f t="shared" si="106"/>
        <v>45900000</v>
      </c>
    </row>
    <row r="681" spans="1:37" s="165" customFormat="1" ht="15.75" hidden="1" customHeight="1">
      <c r="A681" s="165" t="s">
        <v>493</v>
      </c>
      <c r="B681" s="119">
        <v>43638</v>
      </c>
      <c r="C681" s="13" t="s">
        <v>23</v>
      </c>
      <c r="D681" s="165" t="s">
        <v>466</v>
      </c>
      <c r="E681" s="119" t="s">
        <v>465</v>
      </c>
      <c r="F681" s="165" t="str">
        <f t="shared" si="93"/>
        <v>PAVI_14.16_300_NL2018</v>
      </c>
      <c r="G681" s="13" t="s">
        <v>138</v>
      </c>
      <c r="H681" s="12"/>
      <c r="I681" s="12" t="s">
        <v>47</v>
      </c>
      <c r="J681" s="14">
        <v>300</v>
      </c>
      <c r="K681" s="15" t="s">
        <v>28</v>
      </c>
      <c r="L681" s="15"/>
      <c r="M681" s="16">
        <f t="shared" si="94"/>
        <v>34</v>
      </c>
      <c r="N681" s="15">
        <v>10200</v>
      </c>
      <c r="O681" s="15">
        <v>4500</v>
      </c>
      <c r="P681" s="15">
        <f t="shared" si="101"/>
        <v>45900000</v>
      </c>
      <c r="Q681" s="15" t="str">
        <f t="shared" si="99"/>
        <v/>
      </c>
      <c r="R681" s="18" t="s">
        <v>29</v>
      </c>
      <c r="S681" s="190">
        <v>43647</v>
      </c>
      <c r="T681" s="20">
        <f>IFERROR(VLOOKUP(S681,'Date Converter'!$A$4:$C$368,3,0),"")</f>
        <v>43678</v>
      </c>
      <c r="U681" s="21">
        <f t="shared" si="100"/>
        <v>43678</v>
      </c>
      <c r="V681" s="20"/>
      <c r="W681" s="18"/>
      <c r="X681" s="18"/>
      <c r="Y681" s="15"/>
      <c r="Z681" s="206"/>
      <c r="AA681" s="15"/>
      <c r="AB681" s="206"/>
      <c r="AC681" s="15"/>
      <c r="AD681" s="206"/>
      <c r="AE681" s="15"/>
      <c r="AF681" s="244"/>
      <c r="AG681" s="15"/>
      <c r="AH681" s="15">
        <f t="shared" si="95"/>
        <v>0</v>
      </c>
      <c r="AI681" s="22">
        <f t="shared" si="96"/>
        <v>10200</v>
      </c>
      <c r="AJ681" s="22">
        <f t="shared" si="97"/>
        <v>45900000</v>
      </c>
    </row>
    <row r="682" spans="1:37" s="183" customFormat="1" hidden="1">
      <c r="A682" s="165" t="s">
        <v>493</v>
      </c>
      <c r="B682" s="119">
        <v>43531</v>
      </c>
      <c r="C682" s="13" t="s">
        <v>23</v>
      </c>
      <c r="D682" s="165" t="s">
        <v>466</v>
      </c>
      <c r="E682" s="119" t="s">
        <v>465</v>
      </c>
      <c r="F682" s="165" t="str">
        <f t="shared" si="93"/>
        <v>PAVI_14.16_300_NL2018</v>
      </c>
      <c r="G682" s="13" t="s">
        <v>138</v>
      </c>
      <c r="H682" s="12"/>
      <c r="I682" s="12" t="s">
        <v>47</v>
      </c>
      <c r="J682" s="14">
        <v>300</v>
      </c>
      <c r="K682" s="15" t="s">
        <v>28</v>
      </c>
      <c r="L682" s="15"/>
      <c r="M682" s="16">
        <f t="shared" si="94"/>
        <v>100</v>
      </c>
      <c r="N682" s="15">
        <v>30000</v>
      </c>
      <c r="O682" s="15">
        <v>4400</v>
      </c>
      <c r="P682" s="15">
        <f t="shared" si="101"/>
        <v>132000000</v>
      </c>
      <c r="Q682" s="15" t="str">
        <f t="shared" si="99"/>
        <v>Done</v>
      </c>
      <c r="R682" s="18" t="s">
        <v>44</v>
      </c>
      <c r="S682" s="23">
        <v>43572</v>
      </c>
      <c r="T682" s="20">
        <f>IFERROR(VLOOKUP(S682,'Date Converter'!$A$4:$C$368,3,0),"")</f>
        <v>43606</v>
      </c>
      <c r="U682" s="21">
        <f t="shared" si="100"/>
        <v>43606</v>
      </c>
      <c r="V682" s="20" t="s">
        <v>479</v>
      </c>
      <c r="W682" s="18"/>
      <c r="X682" s="18"/>
      <c r="Y682" s="15"/>
      <c r="Z682" s="206">
        <v>43612</v>
      </c>
      <c r="AA682" s="15">
        <v>30000</v>
      </c>
      <c r="AB682" s="206"/>
      <c r="AC682" s="15"/>
      <c r="AD682" s="206"/>
      <c r="AE682" s="15"/>
      <c r="AF682" s="244"/>
      <c r="AG682" s="15"/>
      <c r="AH682" s="15">
        <f t="shared" si="95"/>
        <v>30000</v>
      </c>
      <c r="AI682" s="22">
        <f t="shared" si="96"/>
        <v>0</v>
      </c>
      <c r="AJ682" s="22">
        <f t="shared" si="97"/>
        <v>0</v>
      </c>
      <c r="AK682" s="165"/>
    </row>
    <row r="683" spans="1:37" s="183" customFormat="1" hidden="1">
      <c r="A683" s="165" t="s">
        <v>493</v>
      </c>
      <c r="B683" s="119">
        <v>43592</v>
      </c>
      <c r="C683" s="13" t="s">
        <v>23</v>
      </c>
      <c r="D683" s="165" t="s">
        <v>466</v>
      </c>
      <c r="E683" s="119" t="s">
        <v>465</v>
      </c>
      <c r="F683" s="165" t="str">
        <f t="shared" si="93"/>
        <v>PAVI_12.14_400_NL2018</v>
      </c>
      <c r="G683" s="13" t="s">
        <v>138</v>
      </c>
      <c r="H683" s="12"/>
      <c r="I683" s="12" t="s">
        <v>113</v>
      </c>
      <c r="J683" s="14">
        <v>400</v>
      </c>
      <c r="K683" s="15" t="s">
        <v>28</v>
      </c>
      <c r="L683" s="15"/>
      <c r="M683" s="16">
        <f t="shared" si="94"/>
        <v>25</v>
      </c>
      <c r="N683" s="15">
        <v>10000</v>
      </c>
      <c r="O683" s="15">
        <v>2900</v>
      </c>
      <c r="P683" s="15">
        <f t="shared" si="101"/>
        <v>29000000</v>
      </c>
      <c r="Q683" s="15" t="str">
        <f t="shared" si="99"/>
        <v>Done</v>
      </c>
      <c r="R683" s="18" t="s">
        <v>44</v>
      </c>
      <c r="S683" s="23">
        <v>43572</v>
      </c>
      <c r="T683" s="20">
        <f>IFERROR(VLOOKUP(S683,'Date Converter'!$A$4:$C$368,3,0),"")</f>
        <v>43606</v>
      </c>
      <c r="U683" s="21">
        <f t="shared" si="100"/>
        <v>43606</v>
      </c>
      <c r="V683" s="20" t="s">
        <v>479</v>
      </c>
      <c r="W683" s="18"/>
      <c r="X683" s="18"/>
      <c r="Y683" s="15"/>
      <c r="Z683" s="206">
        <v>43612</v>
      </c>
      <c r="AA683" s="15">
        <v>10000</v>
      </c>
      <c r="AB683" s="206"/>
      <c r="AC683" s="15"/>
      <c r="AD683" s="206"/>
      <c r="AE683" s="15"/>
      <c r="AF683" s="244"/>
      <c r="AG683" s="15"/>
      <c r="AH683" s="15">
        <f t="shared" si="95"/>
        <v>10000</v>
      </c>
      <c r="AI683" s="22">
        <f t="shared" si="96"/>
        <v>0</v>
      </c>
      <c r="AJ683" s="22">
        <f t="shared" si="97"/>
        <v>0</v>
      </c>
      <c r="AK683" s="165"/>
    </row>
    <row r="684" spans="1:37" s="183" customFormat="1" hidden="1">
      <c r="A684" s="165" t="s">
        <v>2383</v>
      </c>
      <c r="B684" s="13">
        <v>43550</v>
      </c>
      <c r="C684" s="13" t="s">
        <v>23</v>
      </c>
      <c r="D684" s="258" t="s">
        <v>466</v>
      </c>
      <c r="E684" s="119" t="s">
        <v>465</v>
      </c>
      <c r="F684" s="165" t="str">
        <f t="shared" si="93"/>
        <v>PAVI_14.16_300_NL2018</v>
      </c>
      <c r="G684" s="13" t="s">
        <v>138</v>
      </c>
      <c r="H684" s="12"/>
      <c r="I684" s="12" t="s">
        <v>47</v>
      </c>
      <c r="J684" s="14">
        <v>300</v>
      </c>
      <c r="K684" s="15" t="s">
        <v>28</v>
      </c>
      <c r="L684" s="12"/>
      <c r="M684" s="16">
        <f t="shared" si="94"/>
        <v>50</v>
      </c>
      <c r="N684" s="15">
        <v>15000</v>
      </c>
      <c r="O684" s="15">
        <v>4600</v>
      </c>
      <c r="P684" s="15">
        <f t="shared" si="101"/>
        <v>69000000</v>
      </c>
      <c r="Q684" s="15" t="str">
        <f t="shared" si="99"/>
        <v/>
      </c>
      <c r="R684" s="18" t="s">
        <v>29</v>
      </c>
      <c r="S684" s="190">
        <v>43709</v>
      </c>
      <c r="T684" s="20">
        <f>IFERROR(VLOOKUP(S684,'Date Converter'!$A$4:$C$368,3,0),"")</f>
        <v>43737</v>
      </c>
      <c r="U684" s="21">
        <f t="shared" si="100"/>
        <v>43737</v>
      </c>
      <c r="V684" s="20" t="s">
        <v>51</v>
      </c>
      <c r="W684" s="18"/>
      <c r="X684" s="18"/>
      <c r="Y684" s="15"/>
      <c r="Z684" s="206"/>
      <c r="AA684" s="15">
        <v>0</v>
      </c>
      <c r="AB684" s="206"/>
      <c r="AC684" s="15"/>
      <c r="AD684" s="206"/>
      <c r="AE684" s="15"/>
      <c r="AF684" s="244"/>
      <c r="AG684" s="15"/>
      <c r="AH684" s="15">
        <f t="shared" si="95"/>
        <v>0</v>
      </c>
      <c r="AI684" s="22">
        <f t="shared" si="96"/>
        <v>15000</v>
      </c>
      <c r="AJ684" s="22">
        <f t="shared" si="97"/>
        <v>69000000</v>
      </c>
      <c r="AK684" s="165"/>
    </row>
    <row r="685" spans="1:37" s="183" customFormat="1" hidden="1">
      <c r="A685" s="165" t="s">
        <v>468</v>
      </c>
      <c r="B685" s="13">
        <v>43531</v>
      </c>
      <c r="C685" s="13" t="s">
        <v>23</v>
      </c>
      <c r="D685" s="165" t="s">
        <v>466</v>
      </c>
      <c r="E685" s="13" t="s">
        <v>465</v>
      </c>
      <c r="F685" s="165" t="str">
        <f t="shared" si="93"/>
        <v>PAVI_14.16_300_NL2018</v>
      </c>
      <c r="G685" s="13" t="s">
        <v>138</v>
      </c>
      <c r="H685" s="12"/>
      <c r="I685" s="12" t="s">
        <v>47</v>
      </c>
      <c r="J685" s="14">
        <v>300</v>
      </c>
      <c r="K685" s="15" t="s">
        <v>28</v>
      </c>
      <c r="L685" s="15"/>
      <c r="M685" s="16">
        <f t="shared" si="94"/>
        <v>20</v>
      </c>
      <c r="N685" s="15">
        <v>6000</v>
      </c>
      <c r="O685" s="15">
        <v>4200</v>
      </c>
      <c r="P685" s="15">
        <f t="shared" si="101"/>
        <v>25200000</v>
      </c>
      <c r="Q685" s="15" t="str">
        <f t="shared" si="99"/>
        <v>Done</v>
      </c>
      <c r="R685" s="18" t="s">
        <v>44</v>
      </c>
      <c r="S685" s="117">
        <v>43511</v>
      </c>
      <c r="T685" s="20">
        <f>IFERROR(VLOOKUP(S685,'Date Converter'!$A$4:$C$368,3,0),"")</f>
        <v>43544</v>
      </c>
      <c r="U685" s="21">
        <f t="shared" si="100"/>
        <v>43544</v>
      </c>
      <c r="V685" s="12" t="s">
        <v>32</v>
      </c>
      <c r="W685" s="18" t="s">
        <v>41</v>
      </c>
      <c r="X685" s="18">
        <v>43543</v>
      </c>
      <c r="Y685" s="15" t="s">
        <v>59</v>
      </c>
      <c r="Z685" s="206">
        <v>43543</v>
      </c>
      <c r="AA685" s="15">
        <v>6000</v>
      </c>
      <c r="AB685" s="206"/>
      <c r="AC685" s="15"/>
      <c r="AD685" s="206"/>
      <c r="AE685" s="15"/>
      <c r="AF685" s="244"/>
      <c r="AG685" s="15"/>
      <c r="AH685" s="15">
        <f t="shared" si="95"/>
        <v>6000</v>
      </c>
      <c r="AI685" s="22">
        <f t="shared" si="96"/>
        <v>0</v>
      </c>
      <c r="AJ685" s="22">
        <f t="shared" si="97"/>
        <v>0</v>
      </c>
      <c r="AK685" s="165"/>
    </row>
    <row r="686" spans="1:37" s="183" customFormat="1" hidden="1">
      <c r="A686" s="165" t="s">
        <v>468</v>
      </c>
      <c r="B686" s="13">
        <v>43531</v>
      </c>
      <c r="C686" s="13" t="s">
        <v>23</v>
      </c>
      <c r="D686" s="165" t="s">
        <v>466</v>
      </c>
      <c r="E686" s="13" t="s">
        <v>465</v>
      </c>
      <c r="F686" s="165" t="str">
        <f t="shared" si="93"/>
        <v>PAVI_14.16_300_NL2018</v>
      </c>
      <c r="G686" s="13" t="s">
        <v>138</v>
      </c>
      <c r="H686" s="12"/>
      <c r="I686" s="12" t="s">
        <v>47</v>
      </c>
      <c r="J686" s="14">
        <v>300</v>
      </c>
      <c r="K686" s="15" t="s">
        <v>28</v>
      </c>
      <c r="L686" s="15"/>
      <c r="M686" s="16">
        <f t="shared" si="94"/>
        <v>67</v>
      </c>
      <c r="N686" s="15">
        <v>20100</v>
      </c>
      <c r="O686" s="15">
        <v>4200</v>
      </c>
      <c r="P686" s="15">
        <f t="shared" si="101"/>
        <v>84420000</v>
      </c>
      <c r="Q686" s="15" t="str">
        <f t="shared" si="99"/>
        <v>Done</v>
      </c>
      <c r="R686" s="18" t="s">
        <v>44</v>
      </c>
      <c r="S686" s="117">
        <v>43539</v>
      </c>
      <c r="T686" s="20">
        <f>IFERROR(VLOOKUP(S686,'Date Converter'!$A$4:$C$368,3,0),"")</f>
        <v>43574</v>
      </c>
      <c r="U686" s="21">
        <f t="shared" si="100"/>
        <v>43574</v>
      </c>
      <c r="V686" s="12" t="s">
        <v>57</v>
      </c>
      <c r="W686" s="18" t="s">
        <v>58</v>
      </c>
      <c r="X686" s="18">
        <v>43569</v>
      </c>
      <c r="Y686" s="15" t="s">
        <v>59</v>
      </c>
      <c r="Z686" s="206">
        <v>43572</v>
      </c>
      <c r="AA686" s="15">
        <v>20100</v>
      </c>
      <c r="AB686" s="206"/>
      <c r="AC686" s="15"/>
      <c r="AD686" s="206"/>
      <c r="AE686" s="15"/>
      <c r="AF686" s="244"/>
      <c r="AG686" s="15"/>
      <c r="AH686" s="15">
        <f t="shared" si="95"/>
        <v>20100</v>
      </c>
      <c r="AI686" s="22">
        <f t="shared" si="96"/>
        <v>0</v>
      </c>
      <c r="AJ686" s="22">
        <f t="shared" si="97"/>
        <v>0</v>
      </c>
      <c r="AK686" s="165"/>
    </row>
    <row r="687" spans="1:37" s="183" customFormat="1" hidden="1">
      <c r="A687" s="165" t="s">
        <v>468</v>
      </c>
      <c r="B687" s="13">
        <v>43531</v>
      </c>
      <c r="C687" s="13" t="s">
        <v>23</v>
      </c>
      <c r="D687" s="165" t="s">
        <v>466</v>
      </c>
      <c r="E687" s="13" t="s">
        <v>465</v>
      </c>
      <c r="F687" s="165" t="str">
        <f t="shared" si="93"/>
        <v>PAVI_12.14_400_NL2018</v>
      </c>
      <c r="G687" s="13" t="s">
        <v>138</v>
      </c>
      <c r="H687" s="12"/>
      <c r="I687" s="12" t="s">
        <v>113</v>
      </c>
      <c r="J687" s="14">
        <v>400</v>
      </c>
      <c r="K687" s="15" t="s">
        <v>28</v>
      </c>
      <c r="L687" s="15"/>
      <c r="M687" s="16">
        <f t="shared" si="94"/>
        <v>31</v>
      </c>
      <c r="N687" s="15">
        <v>12400</v>
      </c>
      <c r="O687" s="15">
        <v>2800</v>
      </c>
      <c r="P687" s="15">
        <f t="shared" si="101"/>
        <v>34720000</v>
      </c>
      <c r="Q687" s="15" t="str">
        <f t="shared" si="99"/>
        <v>Done</v>
      </c>
      <c r="R687" s="18" t="s">
        <v>44</v>
      </c>
      <c r="S687" s="117" t="s">
        <v>151</v>
      </c>
      <c r="T687" s="20">
        <f>IFERROR(VLOOKUP(S687,'Date Converter'!$A$4:$C$368,3,0),"")</f>
        <v>43558</v>
      </c>
      <c r="U687" s="21">
        <f t="shared" si="100"/>
        <v>43558</v>
      </c>
      <c r="V687" s="20" t="s">
        <v>54</v>
      </c>
      <c r="W687" s="18" t="s">
        <v>101</v>
      </c>
      <c r="X687" s="18">
        <v>43555</v>
      </c>
      <c r="Y687" s="15" t="s">
        <v>59</v>
      </c>
      <c r="Z687" s="206">
        <v>43558</v>
      </c>
      <c r="AA687" s="15">
        <v>12400</v>
      </c>
      <c r="AB687" s="206"/>
      <c r="AC687" s="15"/>
      <c r="AD687" s="206"/>
      <c r="AE687" s="15"/>
      <c r="AF687" s="244"/>
      <c r="AG687" s="15"/>
      <c r="AH687" s="15">
        <f t="shared" si="95"/>
        <v>12400</v>
      </c>
      <c r="AI687" s="22">
        <f t="shared" si="96"/>
        <v>0</v>
      </c>
      <c r="AJ687" s="22">
        <f t="shared" si="97"/>
        <v>0</v>
      </c>
      <c r="AK687" s="165"/>
    </row>
    <row r="688" spans="1:37" s="183" customFormat="1" hidden="1">
      <c r="A688" s="165" t="s">
        <v>2383</v>
      </c>
      <c r="B688" s="13">
        <v>43550</v>
      </c>
      <c r="C688" s="13" t="s">
        <v>23</v>
      </c>
      <c r="D688" s="258" t="s">
        <v>466</v>
      </c>
      <c r="E688" s="119" t="s">
        <v>465</v>
      </c>
      <c r="F688" s="165" t="str">
        <f t="shared" si="93"/>
        <v>NELL_18.20_150_NL2018</v>
      </c>
      <c r="G688" s="13" t="s">
        <v>131</v>
      </c>
      <c r="H688" s="12"/>
      <c r="I688" s="12" t="s">
        <v>27</v>
      </c>
      <c r="J688" s="14">
        <v>150</v>
      </c>
      <c r="K688" s="15" t="s">
        <v>28</v>
      </c>
      <c r="L688" s="15"/>
      <c r="M688" s="16">
        <f t="shared" si="94"/>
        <v>100</v>
      </c>
      <c r="N688" s="15">
        <v>15000</v>
      </c>
      <c r="O688" s="15">
        <v>7200</v>
      </c>
      <c r="P688" s="15">
        <f t="shared" si="101"/>
        <v>108000000</v>
      </c>
      <c r="Q688" s="15" t="str">
        <f t="shared" si="99"/>
        <v/>
      </c>
      <c r="R688" s="18" t="s">
        <v>29</v>
      </c>
      <c r="S688" s="190">
        <v>43709</v>
      </c>
      <c r="T688" s="20">
        <f>IFERROR(VLOOKUP(S688,'Date Converter'!$A$4:$C$368,3,0),"")</f>
        <v>43737</v>
      </c>
      <c r="U688" s="21">
        <f t="shared" si="100"/>
        <v>43737</v>
      </c>
      <c r="V688" s="20" t="s">
        <v>51</v>
      </c>
      <c r="W688" s="18"/>
      <c r="X688" s="18"/>
      <c r="Y688" s="15"/>
      <c r="Z688" s="206"/>
      <c r="AA688" s="15">
        <v>0</v>
      </c>
      <c r="AB688" s="206"/>
      <c r="AC688" s="15"/>
      <c r="AD688" s="206"/>
      <c r="AE688" s="15"/>
      <c r="AF688" s="244"/>
      <c r="AG688" s="15"/>
      <c r="AH688" s="15">
        <f t="shared" si="95"/>
        <v>0</v>
      </c>
      <c r="AI688" s="22">
        <f t="shared" si="96"/>
        <v>15000</v>
      </c>
      <c r="AJ688" s="22">
        <f t="shared" si="97"/>
        <v>108000000</v>
      </c>
      <c r="AK688" s="165"/>
    </row>
    <row r="689" spans="1:37" s="183" customFormat="1" hidden="1">
      <c r="A689" s="165" t="s">
        <v>493</v>
      </c>
      <c r="B689" s="119">
        <v>43619</v>
      </c>
      <c r="C689" s="13" t="s">
        <v>23</v>
      </c>
      <c r="D689" s="165" t="s">
        <v>466</v>
      </c>
      <c r="E689" s="119" t="s">
        <v>465</v>
      </c>
      <c r="F689" s="165" t="str">
        <f t="shared" si="93"/>
        <v>NASH_14.16_300_NL2018</v>
      </c>
      <c r="G689" s="13" t="s">
        <v>123</v>
      </c>
      <c r="H689" s="12"/>
      <c r="I689" s="12" t="s">
        <v>47</v>
      </c>
      <c r="J689" s="14">
        <v>300</v>
      </c>
      <c r="K689" s="15" t="s">
        <v>28</v>
      </c>
      <c r="L689" s="15"/>
      <c r="M689" s="16">
        <f t="shared" si="94"/>
        <v>7</v>
      </c>
      <c r="N689" s="15">
        <v>2100</v>
      </c>
      <c r="O689" s="15">
        <v>3900</v>
      </c>
      <c r="P689" s="15">
        <f t="shared" si="101"/>
        <v>8190000</v>
      </c>
      <c r="Q689" s="15" t="str">
        <f t="shared" si="99"/>
        <v>Done</v>
      </c>
      <c r="R689" s="18" t="s">
        <v>44</v>
      </c>
      <c r="S689" s="190">
        <v>43572</v>
      </c>
      <c r="T689" s="20">
        <f>IFERROR(VLOOKUP(S689,'Date Converter'!$A$4:$C$368,3,0),"")</f>
        <v>43606</v>
      </c>
      <c r="U689" s="21">
        <f t="shared" si="100"/>
        <v>43606</v>
      </c>
      <c r="V689" s="20"/>
      <c r="W689" s="18"/>
      <c r="X689" s="18"/>
      <c r="Y689" s="15"/>
      <c r="Z689" s="206">
        <v>43621</v>
      </c>
      <c r="AA689" s="15">
        <v>2100</v>
      </c>
      <c r="AB689" s="206"/>
      <c r="AC689" s="15"/>
      <c r="AD689" s="206"/>
      <c r="AE689" s="15"/>
      <c r="AF689" s="244"/>
      <c r="AG689" s="15"/>
      <c r="AH689" s="15">
        <f t="shared" si="95"/>
        <v>2100</v>
      </c>
      <c r="AI689" s="22">
        <f t="shared" si="96"/>
        <v>0</v>
      </c>
      <c r="AJ689" s="22">
        <f t="shared" si="97"/>
        <v>0</v>
      </c>
      <c r="AK689" s="165"/>
    </row>
    <row r="690" spans="1:37" s="183" customFormat="1" hidden="1">
      <c r="A690" s="165" t="s">
        <v>493</v>
      </c>
      <c r="B690" s="119">
        <v>43629</v>
      </c>
      <c r="C690" s="13" t="s">
        <v>23</v>
      </c>
      <c r="D690" s="165" t="s">
        <v>466</v>
      </c>
      <c r="E690" s="119" t="s">
        <v>465</v>
      </c>
      <c r="F690" s="165" t="str">
        <f t="shared" si="93"/>
        <v>NASH_14.16_300_NL2018</v>
      </c>
      <c r="G690" s="13" t="s">
        <v>123</v>
      </c>
      <c r="H690" s="12"/>
      <c r="I690" s="12" t="s">
        <v>47</v>
      </c>
      <c r="J690" s="14">
        <v>300</v>
      </c>
      <c r="K690" s="15" t="s">
        <v>28</v>
      </c>
      <c r="L690" s="15"/>
      <c r="M690" s="16">
        <f t="shared" si="94"/>
        <v>0</v>
      </c>
      <c r="N690" s="15">
        <f>20100-20100</f>
        <v>0</v>
      </c>
      <c r="O690" s="15">
        <v>4100</v>
      </c>
      <c r="P690" s="15">
        <f t="shared" si="101"/>
        <v>0</v>
      </c>
      <c r="Q690" s="15" t="str">
        <f t="shared" si="99"/>
        <v>Canceled</v>
      </c>
      <c r="R690" s="18" t="s">
        <v>71</v>
      </c>
      <c r="S690" s="190">
        <v>43631</v>
      </c>
      <c r="T690" s="20">
        <f>IFERROR(VLOOKUP(S690,'Date Converter'!$A$4:$C$368,3,0),"")</f>
        <v>43663</v>
      </c>
      <c r="U690" s="21">
        <f t="shared" si="100"/>
        <v>43663</v>
      </c>
      <c r="V690" s="20"/>
      <c r="W690" s="18"/>
      <c r="X690" s="18"/>
      <c r="Y690" s="15"/>
      <c r="Z690" s="206"/>
      <c r="AA690" s="15"/>
      <c r="AB690" s="206"/>
      <c r="AC690" s="15"/>
      <c r="AD690" s="206"/>
      <c r="AE690" s="15"/>
      <c r="AF690" s="244"/>
      <c r="AG690" s="15"/>
      <c r="AH690" s="15">
        <f t="shared" si="95"/>
        <v>0</v>
      </c>
      <c r="AI690" s="22">
        <f t="shared" si="96"/>
        <v>0</v>
      </c>
      <c r="AJ690" s="22">
        <f t="shared" si="97"/>
        <v>0</v>
      </c>
      <c r="AK690" s="165"/>
    </row>
    <row r="691" spans="1:37" hidden="1">
      <c r="A691" s="165" t="s">
        <v>2383</v>
      </c>
      <c r="B691" s="13">
        <v>43550</v>
      </c>
      <c r="C691" s="13" t="s">
        <v>23</v>
      </c>
      <c r="D691" s="258" t="s">
        <v>466</v>
      </c>
      <c r="E691" s="119" t="s">
        <v>465</v>
      </c>
      <c r="F691" t="str">
        <f t="shared" si="93"/>
        <v>MANI_20.22_125_NL2018</v>
      </c>
      <c r="G691" s="13" t="s">
        <v>105</v>
      </c>
      <c r="I691" s="12" t="s">
        <v>74</v>
      </c>
      <c r="J691" s="14">
        <v>125</v>
      </c>
      <c r="K691" s="15" t="s">
        <v>28</v>
      </c>
      <c r="L691" s="12" t="s">
        <v>136</v>
      </c>
      <c r="M691" s="16">
        <f t="shared" si="94"/>
        <v>96</v>
      </c>
      <c r="N691" s="15">
        <v>12000</v>
      </c>
      <c r="O691" s="15">
        <v>13500</v>
      </c>
      <c r="P691" s="15">
        <f t="shared" si="101"/>
        <v>162000000</v>
      </c>
      <c r="Q691" s="15" t="str">
        <f t="shared" si="99"/>
        <v/>
      </c>
      <c r="R691" s="18" t="s">
        <v>29</v>
      </c>
      <c r="S691" s="190">
        <v>43709</v>
      </c>
      <c r="T691" s="20">
        <f>IFERROR(VLOOKUP(S691,'Date Converter'!$A$4:$C$368,3,0),"")</f>
        <v>43737</v>
      </c>
      <c r="U691" s="21">
        <f t="shared" si="100"/>
        <v>43737</v>
      </c>
      <c r="V691" s="20" t="s">
        <v>51</v>
      </c>
      <c r="Y691" s="15"/>
      <c r="AA691" s="15">
        <v>0</v>
      </c>
      <c r="AB691" s="206"/>
      <c r="AC691" s="15"/>
      <c r="AD691" s="206"/>
      <c r="AE691" s="15"/>
      <c r="AF691" s="244"/>
      <c r="AG691" s="15"/>
      <c r="AH691" s="15">
        <f t="shared" si="95"/>
        <v>0</v>
      </c>
      <c r="AI691" s="22">
        <f t="shared" si="96"/>
        <v>12000</v>
      </c>
      <c r="AJ691" s="22">
        <f t="shared" si="97"/>
        <v>162000000</v>
      </c>
      <c r="AK691" s="165"/>
    </row>
    <row r="692" spans="1:37" hidden="1">
      <c r="A692" t="s">
        <v>493</v>
      </c>
      <c r="B692" s="119">
        <v>43531</v>
      </c>
      <c r="C692" s="13" t="s">
        <v>23</v>
      </c>
      <c r="D692" t="s">
        <v>466</v>
      </c>
      <c r="E692" s="119" t="s">
        <v>465</v>
      </c>
      <c r="F692" t="str">
        <f t="shared" si="93"/>
        <v>EREM_14.16_300_NL2018</v>
      </c>
      <c r="G692" s="13" t="s">
        <v>469</v>
      </c>
      <c r="I692" s="12" t="s">
        <v>47</v>
      </c>
      <c r="J692" s="14">
        <v>300</v>
      </c>
      <c r="K692" s="15" t="s">
        <v>28</v>
      </c>
      <c r="M692" s="16">
        <f t="shared" si="94"/>
        <v>44</v>
      </c>
      <c r="N692" s="15">
        <f>10200+3000</f>
        <v>13200</v>
      </c>
      <c r="O692" s="15">
        <v>4230</v>
      </c>
      <c r="P692" s="15">
        <f t="shared" si="101"/>
        <v>55836000</v>
      </c>
      <c r="Q692" s="15" t="str">
        <f t="shared" si="99"/>
        <v>Done</v>
      </c>
      <c r="R692" s="18" t="s">
        <v>44</v>
      </c>
      <c r="S692" s="190">
        <v>43590</v>
      </c>
      <c r="T692" s="20">
        <f>IFERROR(VLOOKUP(S692,'Date Converter'!$A$4:$C$368,3,0),"")</f>
        <v>43623</v>
      </c>
      <c r="U692" s="21">
        <f t="shared" si="100"/>
        <v>43623</v>
      </c>
      <c r="V692" s="20" t="s">
        <v>486</v>
      </c>
      <c r="Y692" s="15"/>
      <c r="Z692" s="206">
        <v>43638</v>
      </c>
      <c r="AA692" s="15">
        <v>13200</v>
      </c>
      <c r="AB692" s="206"/>
      <c r="AC692" s="15"/>
      <c r="AD692" s="206"/>
      <c r="AE692" s="15"/>
      <c r="AF692" s="244"/>
      <c r="AG692" s="15"/>
      <c r="AH692" s="15">
        <f t="shared" si="95"/>
        <v>13200</v>
      </c>
      <c r="AI692" s="22">
        <f t="shared" si="96"/>
        <v>0</v>
      </c>
      <c r="AJ692" s="22">
        <f t="shared" si="97"/>
        <v>0</v>
      </c>
      <c r="AK692" s="165"/>
    </row>
    <row r="693" spans="1:37" hidden="1">
      <c r="A693" t="s">
        <v>493</v>
      </c>
      <c r="B693" s="119">
        <v>43613</v>
      </c>
      <c r="C693" s="13" t="s">
        <v>23</v>
      </c>
      <c r="D693" t="s">
        <v>466</v>
      </c>
      <c r="E693" s="119" t="s">
        <v>465</v>
      </c>
      <c r="F693" t="str">
        <f t="shared" si="93"/>
        <v>EREM_14.16_300_NL2018</v>
      </c>
      <c r="G693" s="13" t="s">
        <v>469</v>
      </c>
      <c r="I693" s="12" t="s">
        <v>47</v>
      </c>
      <c r="J693" s="14">
        <v>300</v>
      </c>
      <c r="K693" s="15" t="s">
        <v>28</v>
      </c>
      <c r="M693" s="16">
        <f t="shared" si="94"/>
        <v>0</v>
      </c>
      <c r="N693" s="15">
        <f>17100-17100</f>
        <v>0</v>
      </c>
      <c r="O693" s="15">
        <v>4300</v>
      </c>
      <c r="P693" s="15">
        <f t="shared" si="101"/>
        <v>0</v>
      </c>
      <c r="Q693" s="15" t="str">
        <f t="shared" si="99"/>
        <v>Canceled</v>
      </c>
      <c r="R693" s="18" t="s">
        <v>71</v>
      </c>
      <c r="S693" s="190">
        <v>43603</v>
      </c>
      <c r="T693" s="20">
        <f>IFERROR(VLOOKUP(S693,'Date Converter'!$A$4:$C$368,3,0),"")</f>
        <v>43636</v>
      </c>
      <c r="U693" s="21">
        <f t="shared" si="100"/>
        <v>43636</v>
      </c>
      <c r="V693" s="20"/>
      <c r="Y693" s="15"/>
      <c r="AA693" s="15"/>
      <c r="AB693" s="206"/>
      <c r="AC693" s="15"/>
      <c r="AD693" s="206"/>
      <c r="AE693" s="15"/>
      <c r="AF693" s="244"/>
      <c r="AG693" s="15"/>
      <c r="AH693" s="15">
        <f t="shared" si="95"/>
        <v>0</v>
      </c>
      <c r="AI693" s="22">
        <f t="shared" si="96"/>
        <v>0</v>
      </c>
      <c r="AJ693" s="22">
        <f t="shared" si="97"/>
        <v>0</v>
      </c>
      <c r="AK693" s="165"/>
    </row>
    <row r="694" spans="1:37" hidden="1">
      <c r="A694" t="s">
        <v>493</v>
      </c>
      <c r="B694" s="119">
        <v>43629</v>
      </c>
      <c r="C694" s="13" t="s">
        <v>23</v>
      </c>
      <c r="D694" t="s">
        <v>466</v>
      </c>
      <c r="E694" s="119" t="s">
        <v>465</v>
      </c>
      <c r="F694" t="str">
        <f t="shared" si="93"/>
        <v>EREM_14.16_300_NL2018</v>
      </c>
      <c r="G694" s="13" t="s">
        <v>469</v>
      </c>
      <c r="I694" s="12" t="s">
        <v>47</v>
      </c>
      <c r="J694" s="14">
        <v>300</v>
      </c>
      <c r="K694" s="15" t="s">
        <v>28</v>
      </c>
      <c r="M694" s="16">
        <f t="shared" si="94"/>
        <v>3</v>
      </c>
      <c r="N694" s="15">
        <v>900</v>
      </c>
      <c r="O694" s="15">
        <v>4400</v>
      </c>
      <c r="P694" s="15">
        <f t="shared" si="101"/>
        <v>3960000</v>
      </c>
      <c r="Q694" s="15" t="str">
        <f t="shared" si="99"/>
        <v/>
      </c>
      <c r="R694" s="18" t="s">
        <v>31</v>
      </c>
      <c r="S694" s="190">
        <v>43631</v>
      </c>
      <c r="T694" s="20">
        <f>IFERROR(VLOOKUP(S694,'Date Converter'!$A$4:$C$368,3,0),"")</f>
        <v>43663</v>
      </c>
      <c r="U694" s="21">
        <f t="shared" si="100"/>
        <v>43663</v>
      </c>
      <c r="V694" s="20"/>
      <c r="Y694" s="15"/>
      <c r="AA694" s="15"/>
      <c r="AB694" s="206"/>
      <c r="AC694" s="15"/>
      <c r="AD694" s="206"/>
      <c r="AE694" s="15"/>
      <c r="AF694" s="244"/>
      <c r="AG694" s="15"/>
      <c r="AH694" s="15">
        <f t="shared" si="95"/>
        <v>0</v>
      </c>
      <c r="AI694" s="22">
        <f t="shared" si="96"/>
        <v>900</v>
      </c>
      <c r="AJ694" s="22">
        <f t="shared" si="97"/>
        <v>3960000</v>
      </c>
      <c r="AK694" s="165"/>
    </row>
    <row r="695" spans="1:37" hidden="1">
      <c r="A695" t="s">
        <v>468</v>
      </c>
      <c r="B695" s="13">
        <v>43531</v>
      </c>
      <c r="C695" s="13" t="s">
        <v>23</v>
      </c>
      <c r="D695" t="s">
        <v>466</v>
      </c>
      <c r="E695" s="13" t="s">
        <v>465</v>
      </c>
      <c r="F695" t="str">
        <f t="shared" si="93"/>
        <v>EREM_14.16_300_NL2018</v>
      </c>
      <c r="G695" s="13" t="s">
        <v>469</v>
      </c>
      <c r="I695" s="12" t="s">
        <v>47</v>
      </c>
      <c r="J695" s="14">
        <v>300</v>
      </c>
      <c r="K695" s="15" t="s">
        <v>28</v>
      </c>
      <c r="M695" s="16">
        <f t="shared" si="94"/>
        <v>50</v>
      </c>
      <c r="N695" s="15">
        <v>15000</v>
      </c>
      <c r="O695" s="15">
        <v>4000</v>
      </c>
      <c r="P695" s="15">
        <f t="shared" si="101"/>
        <v>60000000</v>
      </c>
      <c r="Q695" s="15" t="str">
        <f t="shared" si="99"/>
        <v>Done</v>
      </c>
      <c r="R695" s="18" t="s">
        <v>44</v>
      </c>
      <c r="S695" s="117">
        <v>43539</v>
      </c>
      <c r="T695" s="20">
        <f>IFERROR(VLOOKUP(S695,'Date Converter'!$A$4:$C$368,3,0),"")</f>
        <v>43574</v>
      </c>
      <c r="U695" s="21">
        <f t="shared" si="100"/>
        <v>43574</v>
      </c>
      <c r="V695" s="12" t="s">
        <v>57</v>
      </c>
      <c r="W695" s="18" t="s">
        <v>86</v>
      </c>
      <c r="X695" s="18">
        <v>43569</v>
      </c>
      <c r="Y695" s="15" t="s">
        <v>59</v>
      </c>
      <c r="Z695" s="206">
        <v>43572</v>
      </c>
      <c r="AA695" s="15">
        <v>15000</v>
      </c>
      <c r="AB695" s="206"/>
      <c r="AC695" s="15"/>
      <c r="AD695" s="206"/>
      <c r="AE695" s="15"/>
      <c r="AF695" s="244"/>
      <c r="AG695" s="15"/>
      <c r="AH695" s="15">
        <f t="shared" si="95"/>
        <v>15000</v>
      </c>
      <c r="AI695" s="22">
        <f t="shared" si="96"/>
        <v>0</v>
      </c>
      <c r="AJ695" s="22">
        <f t="shared" si="97"/>
        <v>0</v>
      </c>
      <c r="AK695" s="165"/>
    </row>
    <row r="696" spans="1:37" s="165" customFormat="1" hidden="1">
      <c r="A696" s="165" t="s">
        <v>2383</v>
      </c>
      <c r="B696" s="13">
        <v>43571</v>
      </c>
      <c r="C696" s="13" t="s">
        <v>23</v>
      </c>
      <c r="D696" s="258" t="s">
        <v>466</v>
      </c>
      <c r="E696" s="119" t="s">
        <v>465</v>
      </c>
      <c r="F696" s="165" t="str">
        <f t="shared" ref="F696:F758" si="107">SUBSTITUTE(LEFT(G696,4)&amp;"_"&amp;H696&amp;"_"&amp;I696&amp;"_"&amp;J696&amp;"_"&amp;K696,"__","_")</f>
        <v>AMIG_14.16_300_NL2018</v>
      </c>
      <c r="G696" s="13" t="s">
        <v>1422</v>
      </c>
      <c r="H696" s="12"/>
      <c r="I696" s="12" t="s">
        <v>47</v>
      </c>
      <c r="J696" s="14">
        <v>300</v>
      </c>
      <c r="K696" s="15" t="s">
        <v>28</v>
      </c>
      <c r="L696" s="12"/>
      <c r="M696" s="16">
        <f t="shared" ref="M696:M758" si="108">+N696/J696</f>
        <v>49.666666666666664</v>
      </c>
      <c r="N696" s="25">
        <v>14900</v>
      </c>
      <c r="O696" s="15">
        <v>4800</v>
      </c>
      <c r="P696" s="15">
        <f t="shared" si="101"/>
        <v>71520000</v>
      </c>
      <c r="Q696" s="15" t="str">
        <f t="shared" si="99"/>
        <v/>
      </c>
      <c r="R696" s="18" t="s">
        <v>29</v>
      </c>
      <c r="S696" s="190">
        <v>43709</v>
      </c>
      <c r="T696" s="20">
        <f>IFERROR(VLOOKUP(S696,'Date Converter'!$A$4:$C$368,3,0),"")</f>
        <v>43737</v>
      </c>
      <c r="U696" s="21">
        <f t="shared" si="100"/>
        <v>43737</v>
      </c>
      <c r="V696" s="20" t="s">
        <v>51</v>
      </c>
      <c r="W696" s="18"/>
      <c r="X696" s="18"/>
      <c r="Y696" s="15"/>
      <c r="Z696" s="206"/>
      <c r="AA696" s="15"/>
      <c r="AB696" s="206"/>
      <c r="AC696" s="15"/>
      <c r="AD696" s="206"/>
      <c r="AE696" s="15"/>
      <c r="AF696" s="244"/>
      <c r="AG696" s="15"/>
      <c r="AH696" s="15">
        <f t="shared" ref="AH696:AH758" si="109">+AA696+AC696+AE696+AG696</f>
        <v>0</v>
      </c>
      <c r="AI696" s="22">
        <f t="shared" ref="AI696:AI758" si="110">+N696-AH696</f>
        <v>14900</v>
      </c>
      <c r="AJ696" s="22">
        <f t="shared" ref="AJ696:AJ758" si="111">+AI696*O696</f>
        <v>71520000</v>
      </c>
    </row>
    <row r="697" spans="1:37" s="165" customFormat="1" hidden="1">
      <c r="A697" s="165" t="s">
        <v>2383</v>
      </c>
      <c r="B697" s="13">
        <v>43571</v>
      </c>
      <c r="C697" s="13" t="s">
        <v>23</v>
      </c>
      <c r="D697" s="258" t="s">
        <v>466</v>
      </c>
      <c r="E697" s="119" t="s">
        <v>465</v>
      </c>
      <c r="F697" s="165" t="str">
        <f t="shared" si="107"/>
        <v>AMIG_16.18_200_NL2018</v>
      </c>
      <c r="G697" s="13" t="s">
        <v>1422</v>
      </c>
      <c r="H697" s="12"/>
      <c r="I697" s="12" t="s">
        <v>35</v>
      </c>
      <c r="J697" s="14">
        <v>200</v>
      </c>
      <c r="K697" s="15" t="s">
        <v>28</v>
      </c>
      <c r="L697" s="12"/>
      <c r="M697" s="16">
        <f t="shared" si="108"/>
        <v>51</v>
      </c>
      <c r="N697" s="15">
        <v>10200</v>
      </c>
      <c r="O697" s="15">
        <v>6400</v>
      </c>
      <c r="P697" s="15">
        <f t="shared" si="101"/>
        <v>65280000</v>
      </c>
      <c r="Q697" s="15" t="str">
        <f t="shared" si="99"/>
        <v/>
      </c>
      <c r="R697" s="18" t="s">
        <v>29</v>
      </c>
      <c r="S697" s="190">
        <v>43709</v>
      </c>
      <c r="T697" s="20">
        <f>IFERROR(VLOOKUP(S697,'Date Converter'!$A$4:$C$368,3,0),"")</f>
        <v>43737</v>
      </c>
      <c r="U697" s="21">
        <f t="shared" si="100"/>
        <v>43737</v>
      </c>
      <c r="V697" s="20" t="s">
        <v>51</v>
      </c>
      <c r="W697" s="18"/>
      <c r="X697" s="18"/>
      <c r="Y697" s="15"/>
      <c r="Z697" s="206"/>
      <c r="AA697" s="15"/>
      <c r="AB697" s="206"/>
      <c r="AC697" s="15"/>
      <c r="AD697" s="206"/>
      <c r="AE697" s="15"/>
      <c r="AF697" s="244"/>
      <c r="AG697" s="15"/>
      <c r="AH697" s="15">
        <f t="shared" si="109"/>
        <v>0</v>
      </c>
      <c r="AI697" s="22">
        <f t="shared" si="110"/>
        <v>10200</v>
      </c>
      <c r="AJ697" s="22">
        <f t="shared" si="111"/>
        <v>65280000</v>
      </c>
    </row>
    <row r="698" spans="1:37" hidden="1">
      <c r="A698" t="s">
        <v>493</v>
      </c>
      <c r="B698" s="119">
        <v>43595</v>
      </c>
      <c r="C698" s="13" t="s">
        <v>23</v>
      </c>
      <c r="D698" t="s">
        <v>466</v>
      </c>
      <c r="E698" s="119" t="s">
        <v>465</v>
      </c>
      <c r="F698" t="str">
        <f t="shared" si="107"/>
        <v>AMAT_14.16_300_NL2018</v>
      </c>
      <c r="G698" s="13" t="s">
        <v>112</v>
      </c>
      <c r="I698" s="12" t="s">
        <v>47</v>
      </c>
      <c r="J698" s="14">
        <v>300</v>
      </c>
      <c r="K698" s="15" t="s">
        <v>28</v>
      </c>
      <c r="M698" s="16">
        <f t="shared" si="108"/>
        <v>40</v>
      </c>
      <c r="N698" s="15">
        <v>12000</v>
      </c>
      <c r="O698" s="15">
        <v>4430</v>
      </c>
      <c r="P698" s="15">
        <f t="shared" si="101"/>
        <v>53160000</v>
      </c>
      <c r="Q698" s="15" t="str">
        <f t="shared" si="99"/>
        <v>Done</v>
      </c>
      <c r="R698" s="18" t="s">
        <v>44</v>
      </c>
      <c r="S698" s="190">
        <v>43590</v>
      </c>
      <c r="T698" s="20">
        <f>IFERROR(VLOOKUP(S698,'Date Converter'!$A$4:$C$368,3,0),"")</f>
        <v>43623</v>
      </c>
      <c r="U698" s="21">
        <f t="shared" si="100"/>
        <v>43623</v>
      </c>
      <c r="V698" s="20"/>
      <c r="Y698" s="15"/>
      <c r="Z698" s="206">
        <v>43638</v>
      </c>
      <c r="AA698" s="15">
        <v>12000</v>
      </c>
      <c r="AB698" s="206"/>
      <c r="AC698" s="15"/>
      <c r="AD698" s="206"/>
      <c r="AE698" s="15"/>
      <c r="AF698" s="244"/>
      <c r="AG698" s="15"/>
      <c r="AH698" s="15">
        <f t="shared" si="109"/>
        <v>12000</v>
      </c>
      <c r="AI698" s="22">
        <f t="shared" si="110"/>
        <v>0</v>
      </c>
      <c r="AJ698" s="22">
        <f t="shared" si="111"/>
        <v>0</v>
      </c>
      <c r="AK698" s="165"/>
    </row>
    <row r="699" spans="1:37" s="165" customFormat="1" hidden="1">
      <c r="A699" s="165" t="s">
        <v>493</v>
      </c>
      <c r="B699" s="119">
        <v>43619</v>
      </c>
      <c r="C699" s="13" t="s">
        <v>23</v>
      </c>
      <c r="D699" s="165" t="s">
        <v>466</v>
      </c>
      <c r="E699" s="119" t="s">
        <v>465</v>
      </c>
      <c r="F699" s="165" t="str">
        <f t="shared" si="107"/>
        <v>AMAT_14.16_300_NL2018</v>
      </c>
      <c r="G699" s="13" t="s">
        <v>112</v>
      </c>
      <c r="H699" s="12"/>
      <c r="I699" s="12" t="s">
        <v>47</v>
      </c>
      <c r="J699" s="14">
        <v>300</v>
      </c>
      <c r="K699" s="15" t="s">
        <v>28</v>
      </c>
      <c r="L699" s="15"/>
      <c r="M699" s="16">
        <f t="shared" si="108"/>
        <v>16</v>
      </c>
      <c r="N699" s="15">
        <f>5700-900</f>
        <v>4800</v>
      </c>
      <c r="O699" s="15">
        <v>4430</v>
      </c>
      <c r="P699" s="15">
        <f t="shared" si="101"/>
        <v>21264000</v>
      </c>
      <c r="Q699" s="15" t="str">
        <f t="shared" si="99"/>
        <v>Done</v>
      </c>
      <c r="R699" s="18" t="s">
        <v>44</v>
      </c>
      <c r="S699" s="190">
        <v>43590</v>
      </c>
      <c r="T699" s="20">
        <f>IFERROR(VLOOKUP(S699,'Date Converter'!$A$4:$C$368,3,0),"")</f>
        <v>43623</v>
      </c>
      <c r="U699" s="21">
        <f t="shared" si="100"/>
        <v>43623</v>
      </c>
      <c r="V699" s="20"/>
      <c r="W699" s="18"/>
      <c r="X699" s="18"/>
      <c r="Y699" s="15"/>
      <c r="Z699" s="206">
        <v>43638</v>
      </c>
      <c r="AA699" s="15">
        <v>4800</v>
      </c>
      <c r="AB699" s="206"/>
      <c r="AC699" s="15"/>
      <c r="AD699" s="206"/>
      <c r="AE699" s="15"/>
      <c r="AF699" s="244"/>
      <c r="AG699" s="15"/>
      <c r="AH699" s="15">
        <f t="shared" si="109"/>
        <v>4800</v>
      </c>
      <c r="AI699" s="22">
        <f t="shared" si="110"/>
        <v>0</v>
      </c>
      <c r="AJ699" s="22">
        <f t="shared" si="111"/>
        <v>0</v>
      </c>
    </row>
    <row r="700" spans="1:37" hidden="1">
      <c r="A700" t="s">
        <v>493</v>
      </c>
      <c r="B700" s="119">
        <v>43613</v>
      </c>
      <c r="C700" s="13" t="s">
        <v>23</v>
      </c>
      <c r="D700" t="s">
        <v>466</v>
      </c>
      <c r="E700" s="119" t="s">
        <v>465</v>
      </c>
      <c r="F700" t="str">
        <f t="shared" si="107"/>
        <v>AMAT_14.16_300_NL2018</v>
      </c>
      <c r="G700" s="13" t="s">
        <v>112</v>
      </c>
      <c r="I700" s="12" t="s">
        <v>47</v>
      </c>
      <c r="J700" s="14">
        <v>300</v>
      </c>
      <c r="K700" s="15" t="s">
        <v>28</v>
      </c>
      <c r="M700" s="16">
        <f t="shared" si="108"/>
        <v>69</v>
      </c>
      <c r="N700" s="15">
        <v>20700</v>
      </c>
      <c r="O700" s="15">
        <v>4600</v>
      </c>
      <c r="P700" s="15">
        <f t="shared" si="101"/>
        <v>95220000</v>
      </c>
      <c r="Q700" s="15" t="str">
        <f t="shared" si="99"/>
        <v/>
      </c>
      <c r="R700" s="18" t="s">
        <v>31</v>
      </c>
      <c r="S700" s="190">
        <v>43631</v>
      </c>
      <c r="T700" s="20">
        <f>IFERROR(VLOOKUP(S700,'Date Converter'!$A$4:$C$368,3,0),"")</f>
        <v>43663</v>
      </c>
      <c r="U700" s="21">
        <f t="shared" si="100"/>
        <v>43663</v>
      </c>
      <c r="V700" s="20"/>
      <c r="Y700" s="15"/>
      <c r="AA700" s="15"/>
      <c r="AB700" s="206"/>
      <c r="AC700" s="15"/>
      <c r="AD700" s="206"/>
      <c r="AE700" s="15"/>
      <c r="AF700" s="244"/>
      <c r="AG700" s="15"/>
      <c r="AH700" s="15">
        <f t="shared" si="109"/>
        <v>0</v>
      </c>
      <c r="AI700" s="22">
        <f t="shared" si="110"/>
        <v>20700</v>
      </c>
      <c r="AJ700" s="22">
        <f t="shared" si="111"/>
        <v>95220000</v>
      </c>
      <c r="AK700" s="165"/>
    </row>
    <row r="701" spans="1:37" hidden="1">
      <c r="A701" t="s">
        <v>343</v>
      </c>
      <c r="B701" s="13">
        <v>43518</v>
      </c>
      <c r="C701" s="13" t="s">
        <v>23</v>
      </c>
      <c r="D701" t="s">
        <v>265</v>
      </c>
      <c r="E701" s="165" t="s">
        <v>266</v>
      </c>
      <c r="F701" t="str">
        <f t="shared" si="107"/>
        <v>TARR_16.18_200_NL2018</v>
      </c>
      <c r="G701" s="165" t="s">
        <v>62</v>
      </c>
      <c r="I701" s="12" t="s">
        <v>35</v>
      </c>
      <c r="J701" s="14">
        <v>200</v>
      </c>
      <c r="K701" s="15" t="s">
        <v>28</v>
      </c>
      <c r="M701" s="16">
        <f t="shared" si="108"/>
        <v>25</v>
      </c>
      <c r="N701" s="15">
        <v>5000</v>
      </c>
      <c r="O701" s="15">
        <v>5500</v>
      </c>
      <c r="P701" s="15">
        <f t="shared" si="101"/>
        <v>27500000</v>
      </c>
      <c r="Q701" s="15" t="str">
        <f t="shared" si="99"/>
        <v>Done</v>
      </c>
      <c r="R701" s="18" t="s">
        <v>44</v>
      </c>
      <c r="S701" s="23">
        <v>43539</v>
      </c>
      <c r="T701" s="20">
        <f>IFERROR(VLOOKUP(S701,'Date Converter'!$A$4:$C$368,3,0),"")</f>
        <v>43574</v>
      </c>
      <c r="U701" s="21">
        <f t="shared" ref="U701:U732" si="112">+T701</f>
        <v>43574</v>
      </c>
      <c r="V701" s="20" t="s">
        <v>57</v>
      </c>
      <c r="W701" s="18" t="s">
        <v>141</v>
      </c>
      <c r="X701" s="18">
        <v>43569</v>
      </c>
      <c r="Y701" s="15" t="s">
        <v>59</v>
      </c>
      <c r="Z701" s="206">
        <v>43572</v>
      </c>
      <c r="AA701" s="15">
        <v>5000</v>
      </c>
      <c r="AB701" s="206"/>
      <c r="AC701" s="15"/>
      <c r="AD701" s="206"/>
      <c r="AE701" s="15"/>
      <c r="AF701" s="244"/>
      <c r="AG701" s="15"/>
      <c r="AH701" s="15">
        <f t="shared" si="109"/>
        <v>5000</v>
      </c>
      <c r="AI701" s="22">
        <f t="shared" si="110"/>
        <v>0</v>
      </c>
      <c r="AJ701" s="22">
        <f t="shared" si="111"/>
        <v>0</v>
      </c>
      <c r="AK701" s="165"/>
    </row>
    <row r="702" spans="1:37" hidden="1">
      <c r="A702" t="s">
        <v>343</v>
      </c>
      <c r="B702" s="13">
        <v>43518</v>
      </c>
      <c r="C702" s="13" t="s">
        <v>23</v>
      </c>
      <c r="D702" t="s">
        <v>265</v>
      </c>
      <c r="E702" s="165" t="s">
        <v>266</v>
      </c>
      <c r="F702" t="str">
        <f t="shared" si="107"/>
        <v>CONC_16.18_200_NL2018</v>
      </c>
      <c r="G702" s="165" t="s">
        <v>133</v>
      </c>
      <c r="I702" s="12" t="s">
        <v>35</v>
      </c>
      <c r="J702" s="14">
        <v>200</v>
      </c>
      <c r="K702" s="15" t="s">
        <v>28</v>
      </c>
      <c r="M702" s="16">
        <f t="shared" si="108"/>
        <v>25</v>
      </c>
      <c r="N702" s="15">
        <f>10000-5000</f>
        <v>5000</v>
      </c>
      <c r="O702" s="15">
        <v>5000</v>
      </c>
      <c r="P702" s="15">
        <f t="shared" si="101"/>
        <v>25000000</v>
      </c>
      <c r="Q702" s="15" t="str">
        <f t="shared" si="99"/>
        <v>Done</v>
      </c>
      <c r="R702" s="18" t="s">
        <v>44</v>
      </c>
      <c r="S702" s="23">
        <v>43539</v>
      </c>
      <c r="T702" s="20">
        <f>IFERROR(VLOOKUP(S702,'Date Converter'!$A$4:$C$368,3,0),"")</f>
        <v>43574</v>
      </c>
      <c r="U702" s="21">
        <f t="shared" si="112"/>
        <v>43574</v>
      </c>
      <c r="V702" s="20" t="s">
        <v>57</v>
      </c>
      <c r="W702" s="18" t="s">
        <v>108</v>
      </c>
      <c r="X702" s="18">
        <v>43569</v>
      </c>
      <c r="Y702" s="15" t="s">
        <v>59</v>
      </c>
      <c r="Z702" s="206">
        <v>43572</v>
      </c>
      <c r="AA702" s="15">
        <v>5000</v>
      </c>
      <c r="AB702" s="206"/>
      <c r="AC702" s="15"/>
      <c r="AD702" s="206"/>
      <c r="AE702" s="15"/>
      <c r="AF702" s="244"/>
      <c r="AG702" s="15"/>
      <c r="AH702" s="15">
        <f t="shared" si="109"/>
        <v>5000</v>
      </c>
      <c r="AI702" s="22">
        <f t="shared" si="110"/>
        <v>0</v>
      </c>
      <c r="AJ702" s="22">
        <f t="shared" si="111"/>
        <v>0</v>
      </c>
      <c r="AK702" s="165"/>
    </row>
    <row r="703" spans="1:37" hidden="1">
      <c r="A703" t="s">
        <v>1343</v>
      </c>
      <c r="B703" s="13">
        <v>43557</v>
      </c>
      <c r="C703" s="13" t="s">
        <v>23</v>
      </c>
      <c r="D703" t="s">
        <v>1344</v>
      </c>
      <c r="E703" s="119" t="s">
        <v>1345</v>
      </c>
      <c r="F703" t="str">
        <f t="shared" si="107"/>
        <v>YELL_12.14_400_NL2018</v>
      </c>
      <c r="G703" s="13" t="s">
        <v>89</v>
      </c>
      <c r="I703" s="12" t="s">
        <v>113</v>
      </c>
      <c r="J703" s="31" t="s">
        <v>128</v>
      </c>
      <c r="K703" s="15" t="s">
        <v>28</v>
      </c>
      <c r="M703" s="33">
        <f t="shared" si="108"/>
        <v>0</v>
      </c>
      <c r="N703" s="15">
        <f>5200-5200</f>
        <v>0</v>
      </c>
      <c r="O703" s="15">
        <v>2700</v>
      </c>
      <c r="P703" s="15">
        <f t="shared" si="101"/>
        <v>0</v>
      </c>
      <c r="Q703" s="15" t="str">
        <f t="shared" si="99"/>
        <v>Canceled</v>
      </c>
      <c r="R703" s="18" t="s">
        <v>71</v>
      </c>
      <c r="S703" s="23">
        <v>43572</v>
      </c>
      <c r="T703" s="20">
        <f>IFERROR(VLOOKUP(S703,'Date Converter'!$A$4:$C$368,3,0),"")</f>
        <v>43606</v>
      </c>
      <c r="U703" s="21">
        <f t="shared" si="112"/>
        <v>43606</v>
      </c>
      <c r="V703" s="12" t="s">
        <v>479</v>
      </c>
      <c r="AA703" s="15"/>
      <c r="AB703" s="206"/>
      <c r="AD703" s="206"/>
      <c r="AH703" s="15">
        <f t="shared" si="109"/>
        <v>0</v>
      </c>
      <c r="AI703" s="22">
        <f t="shared" si="110"/>
        <v>0</v>
      </c>
      <c r="AJ703" s="22">
        <f t="shared" si="111"/>
        <v>0</v>
      </c>
      <c r="AK703" s="165"/>
    </row>
    <row r="704" spans="1:37" hidden="1">
      <c r="A704" t="s">
        <v>1343</v>
      </c>
      <c r="B704" s="13">
        <v>43557</v>
      </c>
      <c r="C704" s="13" t="s">
        <v>23</v>
      </c>
      <c r="D704" t="s">
        <v>1344</v>
      </c>
      <c r="E704" s="119" t="s">
        <v>1345</v>
      </c>
      <c r="F704" t="str">
        <f t="shared" si="107"/>
        <v>YELL_14.16_300_NL2018</v>
      </c>
      <c r="G704" s="13" t="s">
        <v>89</v>
      </c>
      <c r="I704" s="12" t="s">
        <v>47</v>
      </c>
      <c r="J704" s="31" t="s">
        <v>124</v>
      </c>
      <c r="K704" s="15" t="s">
        <v>28</v>
      </c>
      <c r="M704" s="33">
        <f t="shared" si="108"/>
        <v>0</v>
      </c>
      <c r="N704" s="15">
        <f>10200-10200</f>
        <v>0</v>
      </c>
      <c r="O704" s="15">
        <v>3800</v>
      </c>
      <c r="P704" s="15">
        <f t="shared" si="101"/>
        <v>0</v>
      </c>
      <c r="Q704" s="15" t="str">
        <f t="shared" si="99"/>
        <v>Canceled</v>
      </c>
      <c r="R704" s="18" t="s">
        <v>71</v>
      </c>
      <c r="S704" s="23">
        <v>43572</v>
      </c>
      <c r="T704" s="20">
        <f>IFERROR(VLOOKUP(S704,'Date Converter'!$A$4:$C$368,3,0),"")</f>
        <v>43606</v>
      </c>
      <c r="U704" s="21">
        <f t="shared" si="112"/>
        <v>43606</v>
      </c>
      <c r="V704" s="12" t="s">
        <v>479</v>
      </c>
      <c r="AA704" s="15"/>
      <c r="AB704" s="206"/>
      <c r="AD704" s="206"/>
      <c r="AH704" s="15">
        <f t="shared" si="109"/>
        <v>0</v>
      </c>
      <c r="AI704" s="22">
        <f t="shared" si="110"/>
        <v>0</v>
      </c>
      <c r="AJ704" s="22">
        <f t="shared" si="111"/>
        <v>0</v>
      </c>
    </row>
    <row r="705" spans="1:37" hidden="1">
      <c r="A705" s="165" t="s">
        <v>1343</v>
      </c>
      <c r="B705" s="13">
        <v>43557</v>
      </c>
      <c r="C705" s="13" t="s">
        <v>23</v>
      </c>
      <c r="D705" t="s">
        <v>1344</v>
      </c>
      <c r="E705" s="119" t="s">
        <v>1345</v>
      </c>
      <c r="F705" t="str">
        <f t="shared" si="107"/>
        <v>TARR_14.16_300_NL2018</v>
      </c>
      <c r="G705" s="13" t="s">
        <v>62</v>
      </c>
      <c r="I705" s="12" t="s">
        <v>47</v>
      </c>
      <c r="J705" s="31" t="s">
        <v>124</v>
      </c>
      <c r="K705" s="15" t="s">
        <v>28</v>
      </c>
      <c r="M705" s="33">
        <f t="shared" si="108"/>
        <v>34</v>
      </c>
      <c r="N705" s="15">
        <v>10200</v>
      </c>
      <c r="O705" s="15">
        <v>4600</v>
      </c>
      <c r="P705" s="15">
        <f t="shared" si="101"/>
        <v>46920000</v>
      </c>
      <c r="Q705" s="15" t="str">
        <f t="shared" si="99"/>
        <v>Done</v>
      </c>
      <c r="R705" s="18" t="s">
        <v>44</v>
      </c>
      <c r="S705" s="23">
        <v>43572</v>
      </c>
      <c r="T705" s="20">
        <f>IFERROR(VLOOKUP(S705,'Date Converter'!$A$4:$C$368,3,0),"")</f>
        <v>43606</v>
      </c>
      <c r="U705" s="21">
        <f t="shared" si="112"/>
        <v>43606</v>
      </c>
      <c r="V705" s="12" t="s">
        <v>479</v>
      </c>
      <c r="Z705" s="206">
        <v>43634</v>
      </c>
      <c r="AA705" s="15">
        <v>10200</v>
      </c>
      <c r="AB705" s="206"/>
      <c r="AD705" s="206"/>
      <c r="AH705" s="15">
        <f t="shared" si="109"/>
        <v>10200</v>
      </c>
      <c r="AI705" s="22">
        <f t="shared" si="110"/>
        <v>0</v>
      </c>
      <c r="AJ705" s="22">
        <f t="shared" si="111"/>
        <v>0</v>
      </c>
    </row>
    <row r="706" spans="1:37" s="165" customFormat="1" hidden="1">
      <c r="A706" s="165" t="s">
        <v>1346</v>
      </c>
      <c r="B706" s="13">
        <v>43557</v>
      </c>
      <c r="C706" s="13" t="s">
        <v>23</v>
      </c>
      <c r="D706" s="165" t="s">
        <v>1344</v>
      </c>
      <c r="E706" s="119" t="s">
        <v>1345</v>
      </c>
      <c r="F706" s="165" t="str">
        <f t="shared" si="107"/>
        <v>TARR_20.22_125_NL2018</v>
      </c>
      <c r="G706" s="13" t="s">
        <v>62</v>
      </c>
      <c r="H706" s="12"/>
      <c r="I706" s="12" t="s">
        <v>74</v>
      </c>
      <c r="J706" s="31" t="s">
        <v>122</v>
      </c>
      <c r="K706" s="15" t="s">
        <v>28</v>
      </c>
      <c r="L706" s="15"/>
      <c r="M706" s="33">
        <f t="shared" si="108"/>
        <v>0</v>
      </c>
      <c r="N706" s="15">
        <f>15000-15000</f>
        <v>0</v>
      </c>
      <c r="O706" s="15">
        <v>11000</v>
      </c>
      <c r="P706" s="15">
        <f t="shared" si="101"/>
        <v>0</v>
      </c>
      <c r="Q706" s="15" t="str">
        <f t="shared" si="99"/>
        <v>Canceled</v>
      </c>
      <c r="R706" s="18" t="s">
        <v>71</v>
      </c>
      <c r="S706" s="23">
        <v>43709</v>
      </c>
      <c r="T706" s="20">
        <f>IFERROR(VLOOKUP(S706,'Date Converter'!$A$4:$C$368,3,0),"")</f>
        <v>43737</v>
      </c>
      <c r="U706" s="21">
        <f t="shared" si="112"/>
        <v>43737</v>
      </c>
      <c r="V706" s="218" t="s">
        <v>2012</v>
      </c>
      <c r="W706" s="18"/>
      <c r="X706" s="18"/>
      <c r="Y706" s="12"/>
      <c r="Z706" s="206"/>
      <c r="AA706" s="15"/>
      <c r="AB706" s="206"/>
      <c r="AC706" s="12"/>
      <c r="AD706" s="206"/>
      <c r="AE706" s="12"/>
      <c r="AF706" s="245"/>
      <c r="AG706" s="12"/>
      <c r="AH706" s="15">
        <f t="shared" si="109"/>
        <v>0</v>
      </c>
      <c r="AI706" s="22">
        <f t="shared" si="110"/>
        <v>0</v>
      </c>
      <c r="AJ706" s="22">
        <f t="shared" si="111"/>
        <v>0</v>
      </c>
    </row>
    <row r="707" spans="1:37" s="165" customFormat="1" hidden="1">
      <c r="A707" s="165" t="s">
        <v>1343</v>
      </c>
      <c r="B707" s="13">
        <v>43557</v>
      </c>
      <c r="C707" s="13" t="s">
        <v>23</v>
      </c>
      <c r="D707" s="165" t="s">
        <v>1344</v>
      </c>
      <c r="E707" s="13" t="s">
        <v>1345</v>
      </c>
      <c r="F707" s="165" t="str">
        <f t="shared" si="107"/>
        <v>PARA_14.16_275_NL2018</v>
      </c>
      <c r="G707" s="13" t="s">
        <v>490</v>
      </c>
      <c r="H707" s="12"/>
      <c r="I707" s="12" t="s">
        <v>47</v>
      </c>
      <c r="J707" s="31" t="s">
        <v>1427</v>
      </c>
      <c r="K707" s="15" t="s">
        <v>28</v>
      </c>
      <c r="L707" s="15"/>
      <c r="M707" s="33">
        <f t="shared" si="108"/>
        <v>31</v>
      </c>
      <c r="N707" s="15">
        <v>8525</v>
      </c>
      <c r="O707" s="15">
        <v>4800</v>
      </c>
      <c r="P707" s="15">
        <f t="shared" si="101"/>
        <v>40920000</v>
      </c>
      <c r="Q707" s="15" t="str">
        <f t="shared" ref="Q707:Q770" si="113">IF(AND(N707=0,AI707=0),"Canceled",IF(AND(N707&gt;0,AI707=0),"Done",""))</f>
        <v>Done</v>
      </c>
      <c r="R707" s="18" t="s">
        <v>44</v>
      </c>
      <c r="S707" s="23">
        <v>43539</v>
      </c>
      <c r="T707" s="20">
        <f>IFERROR(VLOOKUP(S707,'Date Converter'!$A$4:$C$368,3,0),"")</f>
        <v>43574</v>
      </c>
      <c r="U707" s="21">
        <f t="shared" si="112"/>
        <v>43574</v>
      </c>
      <c r="V707" s="12" t="s">
        <v>57</v>
      </c>
      <c r="W707" s="18"/>
      <c r="X707" s="18"/>
      <c r="Y707" s="12"/>
      <c r="Z707" s="206">
        <v>43579</v>
      </c>
      <c r="AA707" s="15">
        <v>8525</v>
      </c>
      <c r="AB707" s="206"/>
      <c r="AC707" s="12"/>
      <c r="AD707" s="206"/>
      <c r="AE707" s="12"/>
      <c r="AF707" s="245"/>
      <c r="AG707" s="12"/>
      <c r="AH707" s="15">
        <f t="shared" si="109"/>
        <v>8525</v>
      </c>
      <c r="AI707" s="22">
        <f t="shared" si="110"/>
        <v>0</v>
      </c>
      <c r="AJ707" s="22">
        <f t="shared" si="111"/>
        <v>0</v>
      </c>
    </row>
    <row r="708" spans="1:37" s="165" customFormat="1" hidden="1">
      <c r="A708" s="165" t="s">
        <v>1346</v>
      </c>
      <c r="B708" s="13">
        <v>43557</v>
      </c>
      <c r="C708" s="13" t="s">
        <v>23</v>
      </c>
      <c r="D708" s="165" t="s">
        <v>1344</v>
      </c>
      <c r="E708" s="119" t="s">
        <v>1345</v>
      </c>
      <c r="F708" s="165" t="str">
        <f t="shared" si="107"/>
        <v>MANI_24+_75_NL2018</v>
      </c>
      <c r="G708" s="13" t="s">
        <v>105</v>
      </c>
      <c r="H708" s="12"/>
      <c r="I708" s="12" t="s">
        <v>185</v>
      </c>
      <c r="J708" s="31" t="s">
        <v>392</v>
      </c>
      <c r="K708" s="15" t="s">
        <v>28</v>
      </c>
      <c r="L708" s="15"/>
      <c r="M708" s="33">
        <f t="shared" si="108"/>
        <v>0</v>
      </c>
      <c r="N708" s="15">
        <f>5100-5100</f>
        <v>0</v>
      </c>
      <c r="O708" s="15">
        <v>16000</v>
      </c>
      <c r="P708" s="15">
        <f t="shared" si="101"/>
        <v>0</v>
      </c>
      <c r="Q708" s="15" t="str">
        <f t="shared" si="113"/>
        <v>Canceled</v>
      </c>
      <c r="R708" s="18" t="s">
        <v>71</v>
      </c>
      <c r="S708" s="23">
        <v>43709</v>
      </c>
      <c r="T708" s="20">
        <f>IFERROR(VLOOKUP(S708,'Date Converter'!$A$4:$C$368,3,0),"")</f>
        <v>43737</v>
      </c>
      <c r="U708" s="21">
        <f t="shared" si="112"/>
        <v>43737</v>
      </c>
      <c r="V708" s="218" t="s">
        <v>2012</v>
      </c>
      <c r="W708" s="18"/>
      <c r="X708" s="18"/>
      <c r="Y708" s="12"/>
      <c r="Z708" s="206"/>
      <c r="AA708" s="15"/>
      <c r="AB708" s="206"/>
      <c r="AC708" s="12"/>
      <c r="AD708" s="206"/>
      <c r="AE708" s="12"/>
      <c r="AF708" s="245"/>
      <c r="AG708" s="12"/>
      <c r="AH708" s="15">
        <f t="shared" si="109"/>
        <v>0</v>
      </c>
      <c r="AI708" s="22">
        <f t="shared" si="110"/>
        <v>0</v>
      </c>
      <c r="AJ708" s="22">
        <f t="shared" si="111"/>
        <v>0</v>
      </c>
    </row>
    <row r="709" spans="1:37" s="165" customFormat="1" hidden="1">
      <c r="A709" s="165" t="s">
        <v>1343</v>
      </c>
      <c r="B709" s="13">
        <v>43587</v>
      </c>
      <c r="C709" s="13" t="s">
        <v>23</v>
      </c>
      <c r="D709" s="165" t="s">
        <v>1344</v>
      </c>
      <c r="E709" s="13" t="s">
        <v>1345</v>
      </c>
      <c r="F709" s="165" t="str">
        <f t="shared" si="107"/>
        <v>FELI_15.16_250_NL2018</v>
      </c>
      <c r="G709" s="13" t="s">
        <v>117</v>
      </c>
      <c r="H709" s="12"/>
      <c r="I709" s="12">
        <v>15.16</v>
      </c>
      <c r="J709" s="31" t="s">
        <v>1434</v>
      </c>
      <c r="K709" s="15" t="s">
        <v>28</v>
      </c>
      <c r="L709" s="15"/>
      <c r="M709" s="33">
        <f t="shared" si="108"/>
        <v>2</v>
      </c>
      <c r="N709" s="15">
        <v>500</v>
      </c>
      <c r="O709" s="15">
        <v>5700</v>
      </c>
      <c r="P709" s="15">
        <f t="shared" si="101"/>
        <v>2850000</v>
      </c>
      <c r="Q709" s="15" t="str">
        <f t="shared" si="113"/>
        <v>Done</v>
      </c>
      <c r="R709" s="18" t="s">
        <v>44</v>
      </c>
      <c r="S709" s="23">
        <v>43539</v>
      </c>
      <c r="T709" s="20">
        <f>IFERROR(VLOOKUP(S709,'Date Converter'!$A$4:$C$368,3,0),"")</f>
        <v>43574</v>
      </c>
      <c r="U709" s="21">
        <f t="shared" si="112"/>
        <v>43574</v>
      </c>
      <c r="V709" s="12" t="s">
        <v>57</v>
      </c>
      <c r="W709" s="18"/>
      <c r="X709" s="18"/>
      <c r="Y709" s="12"/>
      <c r="Z709" s="206">
        <v>43588</v>
      </c>
      <c r="AA709" s="15">
        <v>500</v>
      </c>
      <c r="AB709" s="206"/>
      <c r="AC709" s="12"/>
      <c r="AD709" s="206"/>
      <c r="AE709" s="12"/>
      <c r="AF709" s="245"/>
      <c r="AG709" s="12"/>
      <c r="AH709" s="15">
        <f t="shared" si="109"/>
        <v>500</v>
      </c>
      <c r="AI709" s="22">
        <f t="shared" si="110"/>
        <v>0</v>
      </c>
      <c r="AJ709" s="22">
        <f t="shared" si="111"/>
        <v>0</v>
      </c>
    </row>
    <row r="710" spans="1:37" s="165" customFormat="1" hidden="1">
      <c r="A710" s="165" t="s">
        <v>1343</v>
      </c>
      <c r="B710" s="13">
        <v>43557</v>
      </c>
      <c r="C710" s="13" t="s">
        <v>23</v>
      </c>
      <c r="D710" s="165" t="s">
        <v>1344</v>
      </c>
      <c r="E710" s="119" t="s">
        <v>1345</v>
      </c>
      <c r="F710" s="165" t="str">
        <f t="shared" si="107"/>
        <v>DALI_14.16_300_NL2018</v>
      </c>
      <c r="G710" s="13" t="s">
        <v>46</v>
      </c>
      <c r="H710" s="12"/>
      <c r="I710" s="12" t="s">
        <v>47</v>
      </c>
      <c r="J710" s="31" t="s">
        <v>124</v>
      </c>
      <c r="K710" s="15" t="s">
        <v>28</v>
      </c>
      <c r="L710" s="15"/>
      <c r="M710" s="33">
        <f t="shared" si="108"/>
        <v>26</v>
      </c>
      <c r="N710" s="15">
        <v>7800</v>
      </c>
      <c r="O710" s="15">
        <v>5400</v>
      </c>
      <c r="P710" s="15">
        <f t="shared" si="101"/>
        <v>42120000</v>
      </c>
      <c r="Q710" s="15" t="str">
        <f t="shared" si="113"/>
        <v>Done</v>
      </c>
      <c r="R710" s="18" t="s">
        <v>44</v>
      </c>
      <c r="S710" s="23">
        <v>43554</v>
      </c>
      <c r="T710" s="20">
        <f>IFERROR(VLOOKUP(S710,'Date Converter'!$A$4:$C$368,3,0),"")</f>
        <v>43589</v>
      </c>
      <c r="U710" s="21">
        <f t="shared" si="112"/>
        <v>43589</v>
      </c>
      <c r="V710" s="12" t="s">
        <v>36</v>
      </c>
      <c r="W710" s="18"/>
      <c r="X710" s="18"/>
      <c r="Y710" s="12"/>
      <c r="Z710" s="206">
        <v>43607</v>
      </c>
      <c r="AA710" s="15">
        <v>7800</v>
      </c>
      <c r="AB710" s="206"/>
      <c r="AC710" s="12"/>
      <c r="AD710" s="206"/>
      <c r="AE710" s="12"/>
      <c r="AF710" s="245"/>
      <c r="AG710" s="12"/>
      <c r="AH710" s="15">
        <f t="shared" si="109"/>
        <v>7800</v>
      </c>
      <c r="AI710" s="22">
        <f t="shared" si="110"/>
        <v>0</v>
      </c>
      <c r="AJ710" s="22">
        <f t="shared" si="111"/>
        <v>0</v>
      </c>
    </row>
    <row r="711" spans="1:37" s="165" customFormat="1" hidden="1">
      <c r="A711" s="165" t="s">
        <v>340</v>
      </c>
      <c r="B711" s="13">
        <v>43519</v>
      </c>
      <c r="C711" s="13" t="s">
        <v>23</v>
      </c>
      <c r="D711" s="258" t="s">
        <v>254</v>
      </c>
      <c r="E711" s="97" t="s">
        <v>255</v>
      </c>
      <c r="F711" s="165" t="str">
        <f t="shared" si="107"/>
        <v>ROBI_22.24_100_NL2018</v>
      </c>
      <c r="G711" s="165" t="s">
        <v>61</v>
      </c>
      <c r="H711" s="12"/>
      <c r="I711" s="12" t="s">
        <v>78</v>
      </c>
      <c r="J711" s="14">
        <v>100</v>
      </c>
      <c r="K711" s="15" t="s">
        <v>28</v>
      </c>
      <c r="L711" s="15"/>
      <c r="M711" s="16">
        <f t="shared" si="108"/>
        <v>210</v>
      </c>
      <c r="N711" s="15">
        <v>21000</v>
      </c>
      <c r="O711" s="15">
        <v>12500</v>
      </c>
      <c r="P711" s="15">
        <f t="shared" si="101"/>
        <v>262500000</v>
      </c>
      <c r="Q711" s="15" t="str">
        <f t="shared" si="113"/>
        <v/>
      </c>
      <c r="R711" s="18" t="s">
        <v>29</v>
      </c>
      <c r="S711" s="23">
        <v>43709</v>
      </c>
      <c r="T711" s="20">
        <f>IFERROR(VLOOKUP(S711,'Date Converter'!$A$4:$C$368,3,0),"")</f>
        <v>43737</v>
      </c>
      <c r="U711" s="21">
        <f t="shared" si="112"/>
        <v>43737</v>
      </c>
      <c r="V711" s="12" t="s">
        <v>51</v>
      </c>
      <c r="W711" s="18"/>
      <c r="X711" s="18"/>
      <c r="Y711" s="15" t="s">
        <v>59</v>
      </c>
      <c r="Z711" s="206"/>
      <c r="AA711" s="15">
        <v>0</v>
      </c>
      <c r="AB711" s="206"/>
      <c r="AC711" s="15"/>
      <c r="AD711" s="206"/>
      <c r="AE711" s="15"/>
      <c r="AF711" s="244"/>
      <c r="AG711" s="15"/>
      <c r="AH711" s="15">
        <f t="shared" si="109"/>
        <v>0</v>
      </c>
      <c r="AI711" s="22">
        <f t="shared" si="110"/>
        <v>21000</v>
      </c>
      <c r="AJ711" s="22">
        <f t="shared" si="111"/>
        <v>262500000</v>
      </c>
    </row>
    <row r="712" spans="1:37" s="165" customFormat="1" hidden="1">
      <c r="A712" s="165" t="s">
        <v>340</v>
      </c>
      <c r="B712" s="13">
        <v>43519</v>
      </c>
      <c r="C712" s="13" t="s">
        <v>23</v>
      </c>
      <c r="D712" s="258" t="s">
        <v>254</v>
      </c>
      <c r="E712" s="97" t="s">
        <v>255</v>
      </c>
      <c r="F712" s="165" t="str">
        <f t="shared" si="107"/>
        <v>CONC_22.24_100_NL2018</v>
      </c>
      <c r="G712" s="165" t="s">
        <v>133</v>
      </c>
      <c r="H712" s="12"/>
      <c r="I712" s="12" t="s">
        <v>78</v>
      </c>
      <c r="J712" s="14">
        <v>100</v>
      </c>
      <c r="K712" s="15" t="s">
        <v>28</v>
      </c>
      <c r="L712" s="15"/>
      <c r="M712" s="16">
        <f t="shared" si="108"/>
        <v>350</v>
      </c>
      <c r="N712" s="15">
        <v>35000</v>
      </c>
      <c r="O712" s="15">
        <v>12500</v>
      </c>
      <c r="P712" s="15">
        <f t="shared" si="101"/>
        <v>437500000</v>
      </c>
      <c r="Q712" s="15" t="str">
        <f t="shared" si="113"/>
        <v/>
      </c>
      <c r="R712" s="18" t="s">
        <v>29</v>
      </c>
      <c r="S712" s="23">
        <v>43709</v>
      </c>
      <c r="T712" s="20">
        <f>IFERROR(VLOOKUP(S712,'Date Converter'!$A$4:$C$368,3,0),"")</f>
        <v>43737</v>
      </c>
      <c r="U712" s="21">
        <f t="shared" si="112"/>
        <v>43737</v>
      </c>
      <c r="V712" s="12" t="s">
        <v>51</v>
      </c>
      <c r="W712" s="18"/>
      <c r="X712" s="18"/>
      <c r="Y712" s="15" t="s">
        <v>59</v>
      </c>
      <c r="Z712" s="206"/>
      <c r="AA712" s="15"/>
      <c r="AB712" s="206"/>
      <c r="AC712" s="15"/>
      <c r="AD712" s="206"/>
      <c r="AE712" s="15"/>
      <c r="AF712" s="244"/>
      <c r="AG712" s="15"/>
      <c r="AH712" s="15">
        <f t="shared" si="109"/>
        <v>0</v>
      </c>
      <c r="AI712" s="22">
        <f t="shared" si="110"/>
        <v>35000</v>
      </c>
      <c r="AJ712" s="22">
        <f t="shared" si="111"/>
        <v>437500000</v>
      </c>
    </row>
    <row r="713" spans="1:37" hidden="1">
      <c r="A713" s="165" t="s">
        <v>348</v>
      </c>
      <c r="B713" s="13">
        <v>43521</v>
      </c>
      <c r="C713" s="13" t="s">
        <v>23</v>
      </c>
      <c r="D713" s="258" t="s">
        <v>1319</v>
      </c>
      <c r="E713" s="97" t="s">
        <v>280</v>
      </c>
      <c r="F713" s="165" t="str">
        <f t="shared" si="107"/>
        <v>ROBI_22.24_100_NL2018</v>
      </c>
      <c r="G713" s="165" t="s">
        <v>61</v>
      </c>
      <c r="I713" s="12" t="s">
        <v>78</v>
      </c>
      <c r="J713" s="14">
        <v>100</v>
      </c>
      <c r="K713" s="15" t="s">
        <v>28</v>
      </c>
      <c r="M713" s="16">
        <f t="shared" si="108"/>
        <v>120</v>
      </c>
      <c r="N713" s="15">
        <v>12000</v>
      </c>
      <c r="O713" s="15">
        <v>12500</v>
      </c>
      <c r="P713" s="15">
        <f t="shared" si="101"/>
        <v>150000000</v>
      </c>
      <c r="Q713" s="15" t="str">
        <f t="shared" si="113"/>
        <v/>
      </c>
      <c r="R713" s="18" t="s">
        <v>29</v>
      </c>
      <c r="S713" s="23">
        <v>43709</v>
      </c>
      <c r="T713" s="20">
        <f>IFERROR(VLOOKUP(S713,'Date Converter'!$A$4:$C$368,3,0),"")</f>
        <v>43737</v>
      </c>
      <c r="U713" s="21">
        <f t="shared" si="112"/>
        <v>43737</v>
      </c>
      <c r="V713" s="12" t="s">
        <v>51</v>
      </c>
      <c r="Y713" s="15" t="s">
        <v>59</v>
      </c>
      <c r="AA713" s="15">
        <v>0</v>
      </c>
      <c r="AB713" s="206"/>
      <c r="AC713" s="15"/>
      <c r="AD713" s="206"/>
      <c r="AE713" s="15"/>
      <c r="AF713" s="244"/>
      <c r="AG713" s="15"/>
      <c r="AH713" s="15">
        <f t="shared" si="109"/>
        <v>0</v>
      </c>
      <c r="AI713" s="22">
        <f t="shared" si="110"/>
        <v>12000</v>
      </c>
      <c r="AJ713" s="22">
        <f t="shared" si="111"/>
        <v>150000000</v>
      </c>
      <c r="AK713" s="165"/>
    </row>
    <row r="714" spans="1:37" hidden="1">
      <c r="A714" t="s">
        <v>348</v>
      </c>
      <c r="B714" s="13">
        <v>43521</v>
      </c>
      <c r="C714" s="13" t="s">
        <v>23</v>
      </c>
      <c r="D714" s="258" t="s">
        <v>1319</v>
      </c>
      <c r="E714" s="97" t="s">
        <v>280</v>
      </c>
      <c r="F714" t="str">
        <f t="shared" si="107"/>
        <v>MANI_24.26_80_NL2018</v>
      </c>
      <c r="G714" s="165" t="s">
        <v>105</v>
      </c>
      <c r="I714" s="12" t="s">
        <v>220</v>
      </c>
      <c r="J714" s="14">
        <v>80</v>
      </c>
      <c r="K714" s="15" t="s">
        <v>28</v>
      </c>
      <c r="M714" s="16">
        <f t="shared" si="108"/>
        <v>63</v>
      </c>
      <c r="N714" s="15">
        <v>5040</v>
      </c>
      <c r="O714" s="15">
        <v>16000</v>
      </c>
      <c r="P714" s="15">
        <f t="shared" si="101"/>
        <v>80640000</v>
      </c>
      <c r="Q714" s="15" t="str">
        <f t="shared" si="113"/>
        <v/>
      </c>
      <c r="R714" s="18" t="s">
        <v>29</v>
      </c>
      <c r="S714" s="23">
        <v>43709</v>
      </c>
      <c r="T714" s="20">
        <f>IFERROR(VLOOKUP(S714,'Date Converter'!$A$4:$C$368,3,0),"")</f>
        <v>43737</v>
      </c>
      <c r="U714" s="21">
        <f t="shared" si="112"/>
        <v>43737</v>
      </c>
      <c r="V714" s="12" t="s">
        <v>51</v>
      </c>
      <c r="Y714" s="15" t="s">
        <v>59</v>
      </c>
      <c r="AA714" s="15">
        <v>0</v>
      </c>
      <c r="AB714" s="206"/>
      <c r="AC714" s="15"/>
      <c r="AD714" s="206"/>
      <c r="AE714" s="15"/>
      <c r="AF714" s="244"/>
      <c r="AG714" s="15"/>
      <c r="AH714" s="15">
        <f t="shared" si="109"/>
        <v>0</v>
      </c>
      <c r="AI714" s="22">
        <f t="shared" si="110"/>
        <v>5040</v>
      </c>
      <c r="AJ714" s="22">
        <f t="shared" si="111"/>
        <v>80640000</v>
      </c>
    </row>
    <row r="715" spans="1:37" hidden="1">
      <c r="A715" s="165" t="s">
        <v>348</v>
      </c>
      <c r="B715" s="13">
        <v>43521</v>
      </c>
      <c r="C715" s="13" t="s">
        <v>23</v>
      </c>
      <c r="D715" s="258" t="s">
        <v>1319</v>
      </c>
      <c r="E715" s="97" t="s">
        <v>280</v>
      </c>
      <c r="F715" s="165" t="str">
        <f t="shared" si="107"/>
        <v>CONC_22.24_100_NL2018</v>
      </c>
      <c r="G715" s="165" t="s">
        <v>133</v>
      </c>
      <c r="I715" s="12" t="s">
        <v>78</v>
      </c>
      <c r="J715" s="14">
        <v>100</v>
      </c>
      <c r="K715" s="15" t="s">
        <v>28</v>
      </c>
      <c r="M715" s="16">
        <f t="shared" si="108"/>
        <v>150</v>
      </c>
      <c r="N715" s="15">
        <v>15000</v>
      </c>
      <c r="O715" s="15">
        <v>12500</v>
      </c>
      <c r="P715" s="15">
        <f t="shared" si="101"/>
        <v>187500000</v>
      </c>
      <c r="Q715" s="15" t="str">
        <f t="shared" si="113"/>
        <v/>
      </c>
      <c r="R715" s="18" t="s">
        <v>29</v>
      </c>
      <c r="S715" s="23">
        <v>43709</v>
      </c>
      <c r="T715" s="20">
        <f>IFERROR(VLOOKUP(S715,'Date Converter'!$A$4:$C$368,3,0),"")</f>
        <v>43737</v>
      </c>
      <c r="U715" s="21">
        <f t="shared" si="112"/>
        <v>43737</v>
      </c>
      <c r="V715" s="12" t="s">
        <v>51</v>
      </c>
      <c r="Y715" s="15" t="s">
        <v>59</v>
      </c>
      <c r="AA715" s="15">
        <v>0</v>
      </c>
      <c r="AB715" s="206"/>
      <c r="AC715" s="15"/>
      <c r="AD715" s="206"/>
      <c r="AE715" s="15"/>
      <c r="AF715" s="244"/>
      <c r="AG715" s="15"/>
      <c r="AH715" s="15">
        <f t="shared" si="109"/>
        <v>0</v>
      </c>
      <c r="AI715" s="22">
        <f t="shared" si="110"/>
        <v>15000</v>
      </c>
      <c r="AJ715" s="22">
        <f t="shared" si="111"/>
        <v>187500000</v>
      </c>
      <c r="AK715" s="165"/>
    </row>
    <row r="716" spans="1:37" s="165" customFormat="1" hidden="1">
      <c r="A716" s="165" t="s">
        <v>1677</v>
      </c>
      <c r="B716" s="13">
        <v>43573</v>
      </c>
      <c r="C716" s="13" t="s">
        <v>1622</v>
      </c>
      <c r="D716" s="165" t="s">
        <v>1563</v>
      </c>
      <c r="E716" s="13" t="s">
        <v>1564</v>
      </c>
      <c r="F716" s="165" t="str">
        <f t="shared" si="107"/>
        <v>SERA_14.16_300_NL2018</v>
      </c>
      <c r="G716" s="13" t="s">
        <v>227</v>
      </c>
      <c r="H716" s="12"/>
      <c r="I716" s="12" t="s">
        <v>47</v>
      </c>
      <c r="J716" s="31" t="s">
        <v>124</v>
      </c>
      <c r="K716" s="15" t="s">
        <v>28</v>
      </c>
      <c r="L716" s="15"/>
      <c r="M716" s="33">
        <f t="shared" si="108"/>
        <v>8</v>
      </c>
      <c r="N716" s="15">
        <f>2400</f>
        <v>2400</v>
      </c>
      <c r="O716" s="15">
        <v>3600</v>
      </c>
      <c r="P716" s="15">
        <f t="shared" si="101"/>
        <v>8640000</v>
      </c>
      <c r="Q716" s="15" t="str">
        <f t="shared" si="113"/>
        <v>Done</v>
      </c>
      <c r="R716" s="18" t="s">
        <v>44</v>
      </c>
      <c r="S716" s="13">
        <v>43572</v>
      </c>
      <c r="T716" s="20">
        <f>IFERROR(VLOOKUP(S716,'Date Converter'!$A$4:$C$368,3,0),"")</f>
        <v>43606</v>
      </c>
      <c r="U716" s="21">
        <f t="shared" si="112"/>
        <v>43606</v>
      </c>
      <c r="V716" s="12" t="s">
        <v>1416</v>
      </c>
      <c r="W716" s="18"/>
      <c r="X716" s="18"/>
      <c r="Y716" s="18"/>
      <c r="Z716" s="206">
        <v>43573</v>
      </c>
      <c r="AA716" s="15">
        <v>2400</v>
      </c>
      <c r="AB716" s="206"/>
      <c r="AC716" s="12"/>
      <c r="AD716" s="12"/>
      <c r="AE716" s="12"/>
      <c r="AF716" s="245"/>
      <c r="AG716" s="12"/>
      <c r="AH716" s="15">
        <f t="shared" si="109"/>
        <v>2400</v>
      </c>
      <c r="AI716" s="22">
        <f t="shared" si="110"/>
        <v>0</v>
      </c>
      <c r="AJ716" s="22">
        <f t="shared" si="111"/>
        <v>0</v>
      </c>
    </row>
    <row r="717" spans="1:37" s="165" customFormat="1" hidden="1">
      <c r="A717" s="165" t="s">
        <v>1677</v>
      </c>
      <c r="B717" s="13">
        <v>43573</v>
      </c>
      <c r="C717" s="13" t="s">
        <v>1622</v>
      </c>
      <c r="D717" s="165" t="s">
        <v>1563</v>
      </c>
      <c r="E717" s="13" t="s">
        <v>1564</v>
      </c>
      <c r="F717" s="165" t="str">
        <f t="shared" si="107"/>
        <v>SERA_14.16_300_NL2018</v>
      </c>
      <c r="G717" s="13" t="s">
        <v>227</v>
      </c>
      <c r="H717" s="12"/>
      <c r="I717" s="12" t="s">
        <v>47</v>
      </c>
      <c r="J717" s="31" t="s">
        <v>124</v>
      </c>
      <c r="K717" s="15" t="s">
        <v>28</v>
      </c>
      <c r="L717" s="15"/>
      <c r="M717" s="33">
        <f t="shared" si="108"/>
        <v>22</v>
      </c>
      <c r="N717" s="15">
        <f>8700+300-3000+600</f>
        <v>6600</v>
      </c>
      <c r="O717" s="15">
        <v>3600</v>
      </c>
      <c r="P717" s="15">
        <f t="shared" si="101"/>
        <v>23760000</v>
      </c>
      <c r="Q717" s="15" t="str">
        <f t="shared" si="113"/>
        <v>Done</v>
      </c>
      <c r="R717" s="18" t="s">
        <v>44</v>
      </c>
      <c r="S717" s="13">
        <v>43572</v>
      </c>
      <c r="T717" s="20">
        <f>IFERROR(VLOOKUP(S717,'Date Converter'!$A$4:$C$368,3,0),"")</f>
        <v>43606</v>
      </c>
      <c r="U717" s="21">
        <f t="shared" si="112"/>
        <v>43606</v>
      </c>
      <c r="V717" s="12" t="s">
        <v>1416</v>
      </c>
      <c r="W717" s="18"/>
      <c r="X717" s="18"/>
      <c r="Y717" s="18"/>
      <c r="Z717" s="206">
        <v>43605</v>
      </c>
      <c r="AA717" s="15">
        <v>2400</v>
      </c>
      <c r="AB717" s="206">
        <v>43622</v>
      </c>
      <c r="AC717" s="12" t="s">
        <v>1674</v>
      </c>
      <c r="AD717" s="12" t="s">
        <v>2363</v>
      </c>
      <c r="AE717" s="12" t="s">
        <v>2364</v>
      </c>
      <c r="AF717" s="245"/>
      <c r="AG717" s="12"/>
      <c r="AH717" s="15">
        <f t="shared" si="109"/>
        <v>6600</v>
      </c>
      <c r="AI717" s="22">
        <f t="shared" si="110"/>
        <v>0</v>
      </c>
      <c r="AJ717" s="22">
        <f t="shared" si="111"/>
        <v>0</v>
      </c>
    </row>
    <row r="718" spans="1:37" hidden="1">
      <c r="A718" s="165" t="s">
        <v>1677</v>
      </c>
      <c r="B718" s="13">
        <v>43573</v>
      </c>
      <c r="C718" s="13" t="s">
        <v>1622</v>
      </c>
      <c r="D718" s="165" t="s">
        <v>1563</v>
      </c>
      <c r="E718" s="13" t="s">
        <v>1564</v>
      </c>
      <c r="F718" s="165" t="str">
        <f t="shared" si="107"/>
        <v>SERA_14.16_300_NL2018</v>
      </c>
      <c r="G718" s="13" t="s">
        <v>227</v>
      </c>
      <c r="I718" s="12" t="s">
        <v>47</v>
      </c>
      <c r="J718" s="31" t="s">
        <v>124</v>
      </c>
      <c r="K718" s="15" t="s">
        <v>28</v>
      </c>
      <c r="M718" s="33">
        <f t="shared" si="108"/>
        <v>9</v>
      </c>
      <c r="N718" s="15">
        <v>2700</v>
      </c>
      <c r="O718" s="15">
        <v>3600</v>
      </c>
      <c r="P718" s="15">
        <f t="shared" si="101"/>
        <v>9720000</v>
      </c>
      <c r="Q718" s="15" t="str">
        <f t="shared" si="113"/>
        <v>Done</v>
      </c>
      <c r="R718" s="18" t="s">
        <v>44</v>
      </c>
      <c r="S718" s="13">
        <v>43597</v>
      </c>
      <c r="T718" s="20">
        <f>IFERROR(VLOOKUP(S718,'Date Converter'!$A$4:$C$368,3,0),"")</f>
        <v>43630</v>
      </c>
      <c r="U718" s="21">
        <f t="shared" si="112"/>
        <v>43630</v>
      </c>
      <c r="V718" s="12" t="s">
        <v>1870</v>
      </c>
      <c r="Y718" s="18"/>
      <c r="Z718" s="206">
        <v>43636</v>
      </c>
      <c r="AA718" s="15">
        <v>2700</v>
      </c>
      <c r="AB718" s="206"/>
      <c r="AD718" s="12"/>
      <c r="AH718" s="15">
        <f t="shared" si="109"/>
        <v>2700</v>
      </c>
      <c r="AI718" s="22">
        <f t="shared" si="110"/>
        <v>0</v>
      </c>
      <c r="AJ718" s="22">
        <f t="shared" si="111"/>
        <v>0</v>
      </c>
      <c r="AK718" s="165"/>
    </row>
    <row r="719" spans="1:37" hidden="1">
      <c r="A719" t="s">
        <v>1677</v>
      </c>
      <c r="B719" s="13">
        <v>43631</v>
      </c>
      <c r="C719" s="13" t="s">
        <v>1622</v>
      </c>
      <c r="D719" t="s">
        <v>1563</v>
      </c>
      <c r="E719" s="13" t="s">
        <v>1564</v>
      </c>
      <c r="F719" t="str">
        <f t="shared" si="107"/>
        <v>SERA_14.16_300_NL2018</v>
      </c>
      <c r="G719" s="13" t="s">
        <v>227</v>
      </c>
      <c r="I719" s="12" t="s">
        <v>47</v>
      </c>
      <c r="J719" s="31" t="s">
        <v>124</v>
      </c>
      <c r="K719" s="15" t="s">
        <v>28</v>
      </c>
      <c r="M719" s="33">
        <f t="shared" si="108"/>
        <v>17</v>
      </c>
      <c r="N719" s="15">
        <v>5100</v>
      </c>
      <c r="O719" s="15">
        <v>3800</v>
      </c>
      <c r="P719" s="15">
        <f t="shared" si="101"/>
        <v>19380000</v>
      </c>
      <c r="Q719" s="15" t="str">
        <f t="shared" si="113"/>
        <v/>
      </c>
      <c r="R719" s="18" t="s">
        <v>31</v>
      </c>
      <c r="S719" s="13">
        <v>43631</v>
      </c>
      <c r="T719" s="20">
        <f>IFERROR(VLOOKUP(S719,'Date Converter'!$A$4:$C$368,3,0),"")</f>
        <v>43663</v>
      </c>
      <c r="U719" s="21">
        <f t="shared" si="112"/>
        <v>43663</v>
      </c>
      <c r="Y719" s="18"/>
      <c r="AA719" s="15"/>
      <c r="AB719" s="206"/>
      <c r="AD719" s="12"/>
      <c r="AH719" s="15">
        <f t="shared" si="109"/>
        <v>0</v>
      </c>
      <c r="AI719" s="22">
        <f t="shared" si="110"/>
        <v>5100</v>
      </c>
      <c r="AJ719" s="22">
        <f t="shared" si="111"/>
        <v>19380000</v>
      </c>
      <c r="AK719" s="165"/>
    </row>
    <row r="720" spans="1:37" hidden="1">
      <c r="A720" t="s">
        <v>1678</v>
      </c>
      <c r="B720" s="13">
        <v>43573</v>
      </c>
      <c r="C720" s="13" t="s">
        <v>1622</v>
      </c>
      <c r="D720" s="258" t="s">
        <v>1563</v>
      </c>
      <c r="E720" s="13" t="s">
        <v>1564</v>
      </c>
      <c r="F720" t="str">
        <f t="shared" si="107"/>
        <v>ROBI_20.22_125_NZ2019</v>
      </c>
      <c r="G720" s="13" t="s">
        <v>1679</v>
      </c>
      <c r="I720" s="12" t="s">
        <v>74</v>
      </c>
      <c r="J720" s="31" t="s">
        <v>122</v>
      </c>
      <c r="K720" s="15" t="s">
        <v>1507</v>
      </c>
      <c r="M720" s="33">
        <f t="shared" si="108"/>
        <v>24</v>
      </c>
      <c r="N720" s="15">
        <v>3000</v>
      </c>
      <c r="O720" s="15">
        <v>12500</v>
      </c>
      <c r="P720" s="15">
        <f t="shared" si="101"/>
        <v>37500000</v>
      </c>
      <c r="Q720" s="15" t="str">
        <f t="shared" si="113"/>
        <v/>
      </c>
      <c r="R720" s="18" t="s">
        <v>29</v>
      </c>
      <c r="S720" s="23">
        <v>43709</v>
      </c>
      <c r="T720" s="20">
        <f>IFERROR(VLOOKUP(S720,'Date Converter'!$A$4:$C$368,3,0),"")</f>
        <v>43737</v>
      </c>
      <c r="U720" s="21">
        <f t="shared" si="112"/>
        <v>43737</v>
      </c>
      <c r="V720" s="15" t="s">
        <v>51</v>
      </c>
      <c r="Y720" s="18"/>
      <c r="AA720" s="15">
        <v>0</v>
      </c>
      <c r="AB720" s="206"/>
      <c r="AD720" s="12"/>
      <c r="AH720" s="15">
        <f t="shared" si="109"/>
        <v>0</v>
      </c>
      <c r="AI720" s="22">
        <f t="shared" si="110"/>
        <v>3000</v>
      </c>
      <c r="AJ720" s="22">
        <f t="shared" si="111"/>
        <v>37500000</v>
      </c>
      <c r="AK720" s="165"/>
    </row>
    <row r="721" spans="1:37" hidden="1">
      <c r="A721" t="s">
        <v>1677</v>
      </c>
      <c r="B721" s="13">
        <v>43573</v>
      </c>
      <c r="C721" s="13" t="s">
        <v>1622</v>
      </c>
      <c r="D721" t="s">
        <v>1563</v>
      </c>
      <c r="E721" s="13" t="s">
        <v>1564</v>
      </c>
      <c r="F721" t="str">
        <f t="shared" si="107"/>
        <v>ROBI_14.16_300_NL2018</v>
      </c>
      <c r="G721" s="13" t="s">
        <v>61</v>
      </c>
      <c r="I721" s="12" t="s">
        <v>47</v>
      </c>
      <c r="J721" s="31" t="s">
        <v>124</v>
      </c>
      <c r="K721" s="15" t="s">
        <v>28</v>
      </c>
      <c r="M721" s="33">
        <f t="shared" si="108"/>
        <v>17</v>
      </c>
      <c r="N721" s="15">
        <v>5100</v>
      </c>
      <c r="O721" s="15">
        <v>3800</v>
      </c>
      <c r="P721" s="15">
        <f t="shared" si="101"/>
        <v>19380000</v>
      </c>
      <c r="Q721" s="15" t="str">
        <f t="shared" si="113"/>
        <v/>
      </c>
      <c r="R721" s="18" t="s">
        <v>31</v>
      </c>
      <c r="S721" s="13">
        <v>43631</v>
      </c>
      <c r="T721" s="20">
        <f>IFERROR(VLOOKUP(S721,'Date Converter'!$A$4:$C$368,3,0),"")</f>
        <v>43663</v>
      </c>
      <c r="U721" s="21">
        <f t="shared" si="112"/>
        <v>43663</v>
      </c>
      <c r="V721" s="12" t="s">
        <v>1879</v>
      </c>
      <c r="Y721" s="18"/>
      <c r="AA721" s="15"/>
      <c r="AB721" s="206"/>
      <c r="AD721" s="12"/>
      <c r="AH721" s="15">
        <f t="shared" si="109"/>
        <v>0</v>
      </c>
      <c r="AI721" s="22">
        <f t="shared" si="110"/>
        <v>5100</v>
      </c>
      <c r="AJ721" s="22">
        <f t="shared" si="111"/>
        <v>19380000</v>
      </c>
      <c r="AK721" s="165"/>
    </row>
    <row r="722" spans="1:37" hidden="1">
      <c r="A722" s="165" t="s">
        <v>1677</v>
      </c>
      <c r="B722" s="13">
        <v>43631</v>
      </c>
      <c r="C722" s="13" t="s">
        <v>1622</v>
      </c>
      <c r="D722" s="165" t="s">
        <v>1563</v>
      </c>
      <c r="E722" s="13" t="s">
        <v>1564</v>
      </c>
      <c r="F722" s="165" t="str">
        <f t="shared" si="107"/>
        <v>ROBI_16.18_200_NL2018</v>
      </c>
      <c r="G722" s="13" t="s">
        <v>61</v>
      </c>
      <c r="I722" s="12" t="s">
        <v>35</v>
      </c>
      <c r="J722" s="14">
        <v>200</v>
      </c>
      <c r="K722" s="15" t="s">
        <v>28</v>
      </c>
      <c r="M722" s="33">
        <f t="shared" si="108"/>
        <v>20</v>
      </c>
      <c r="N722" s="15">
        <v>4000</v>
      </c>
      <c r="O722" s="15">
        <v>3700</v>
      </c>
      <c r="P722" s="15">
        <f t="shared" si="101"/>
        <v>14800000</v>
      </c>
      <c r="Q722" s="15" t="str">
        <f t="shared" si="113"/>
        <v/>
      </c>
      <c r="R722" s="18" t="s">
        <v>31</v>
      </c>
      <c r="S722" s="13">
        <v>43631</v>
      </c>
      <c r="T722" s="20">
        <f>IFERROR(VLOOKUP(S722,'Date Converter'!$A$4:$C$368,3,0),"")</f>
        <v>43663</v>
      </c>
      <c r="U722" s="21">
        <f t="shared" si="112"/>
        <v>43663</v>
      </c>
      <c r="Y722" s="18"/>
      <c r="AA722" s="15"/>
      <c r="AB722" s="206"/>
      <c r="AD722" s="12"/>
      <c r="AH722" s="15">
        <f t="shared" si="109"/>
        <v>0</v>
      </c>
      <c r="AI722" s="22">
        <f t="shared" si="110"/>
        <v>4000</v>
      </c>
      <c r="AJ722" s="22">
        <f t="shared" si="111"/>
        <v>14800000</v>
      </c>
      <c r="AK722" s="165"/>
    </row>
    <row r="723" spans="1:37" hidden="1">
      <c r="A723" t="s">
        <v>1678</v>
      </c>
      <c r="B723" s="13">
        <v>43573</v>
      </c>
      <c r="C723" s="13" t="s">
        <v>1622</v>
      </c>
      <c r="D723" s="258" t="s">
        <v>1563</v>
      </c>
      <c r="E723" s="13" t="s">
        <v>1564</v>
      </c>
      <c r="F723" t="str">
        <f t="shared" si="107"/>
        <v>ROBI_20.22_125_NL2018</v>
      </c>
      <c r="G723" s="13" t="s">
        <v>61</v>
      </c>
      <c r="I723" s="12" t="s">
        <v>74</v>
      </c>
      <c r="J723" s="31" t="s">
        <v>122</v>
      </c>
      <c r="K723" s="15" t="s">
        <v>28</v>
      </c>
      <c r="M723" s="33">
        <f t="shared" si="108"/>
        <v>56</v>
      </c>
      <c r="N723" s="15">
        <v>7000</v>
      </c>
      <c r="O723" s="15">
        <v>10700</v>
      </c>
      <c r="P723" s="15">
        <f t="shared" si="101"/>
        <v>74900000</v>
      </c>
      <c r="Q723" s="15" t="str">
        <f t="shared" si="113"/>
        <v/>
      </c>
      <c r="R723" s="18" t="s">
        <v>29</v>
      </c>
      <c r="S723" s="23">
        <v>43709</v>
      </c>
      <c r="T723" s="20">
        <f>IFERROR(VLOOKUP(S723,'Date Converter'!$A$4:$C$368,3,0),"")</f>
        <v>43737</v>
      </c>
      <c r="U723" s="21">
        <f t="shared" si="112"/>
        <v>43737</v>
      </c>
      <c r="V723" s="15" t="s">
        <v>51</v>
      </c>
      <c r="Y723" s="18"/>
      <c r="AA723" s="15">
        <v>0</v>
      </c>
      <c r="AB723" s="206"/>
      <c r="AD723" s="12"/>
      <c r="AH723" s="15">
        <f t="shared" si="109"/>
        <v>0</v>
      </c>
      <c r="AI723" s="22">
        <f t="shared" si="110"/>
        <v>7000</v>
      </c>
      <c r="AJ723" s="22">
        <f t="shared" si="111"/>
        <v>74900000</v>
      </c>
      <c r="AK723" s="165"/>
    </row>
    <row r="724" spans="1:37" hidden="1">
      <c r="A724" t="s">
        <v>1677</v>
      </c>
      <c r="B724" s="13">
        <v>43573</v>
      </c>
      <c r="C724" s="13" t="s">
        <v>1622</v>
      </c>
      <c r="D724" t="s">
        <v>1563</v>
      </c>
      <c r="E724" s="13" t="s">
        <v>1564</v>
      </c>
      <c r="F724" t="str">
        <f t="shared" si="107"/>
        <v>MANI_16.18_200_NL2018</v>
      </c>
      <c r="G724" s="13" t="s">
        <v>105</v>
      </c>
      <c r="I724" s="12" t="s">
        <v>35</v>
      </c>
      <c r="J724" s="14">
        <v>200</v>
      </c>
      <c r="K724" s="15" t="s">
        <v>28</v>
      </c>
      <c r="M724" s="33">
        <f t="shared" si="108"/>
        <v>0</v>
      </c>
      <c r="N724" s="15">
        <f>5000-5000</f>
        <v>0</v>
      </c>
      <c r="O724" s="15">
        <v>7000</v>
      </c>
      <c r="P724" s="15">
        <f t="shared" si="101"/>
        <v>0</v>
      </c>
      <c r="Q724" s="15" t="str">
        <f t="shared" si="113"/>
        <v>Canceled</v>
      </c>
      <c r="R724" s="18" t="s">
        <v>71</v>
      </c>
      <c r="S724" s="13">
        <v>43631</v>
      </c>
      <c r="T724" s="20">
        <f>IFERROR(VLOOKUP(S724,'Date Converter'!$A$4:$C$368,3,0),"")</f>
        <v>43663</v>
      </c>
      <c r="U724" s="21">
        <f t="shared" si="112"/>
        <v>43663</v>
      </c>
      <c r="V724" s="12" t="s">
        <v>1879</v>
      </c>
      <c r="Y724" s="18"/>
      <c r="AA724" s="15"/>
      <c r="AB724" s="206"/>
      <c r="AD724" s="12"/>
      <c r="AH724" s="15">
        <f t="shared" si="109"/>
        <v>0</v>
      </c>
      <c r="AI724" s="22">
        <f t="shared" si="110"/>
        <v>0</v>
      </c>
      <c r="AJ724" s="22">
        <f t="shared" si="111"/>
        <v>0</v>
      </c>
      <c r="AK724" s="165"/>
    </row>
    <row r="725" spans="1:37" hidden="1">
      <c r="A725" t="s">
        <v>1677</v>
      </c>
      <c r="B725" s="13">
        <v>43631</v>
      </c>
      <c r="C725" s="13" t="s">
        <v>1622</v>
      </c>
      <c r="D725" t="s">
        <v>1563</v>
      </c>
      <c r="E725" s="13" t="s">
        <v>1564</v>
      </c>
      <c r="F725" t="str">
        <f t="shared" si="107"/>
        <v>MANI_16.18_200_NL2018</v>
      </c>
      <c r="G725" s="13" t="s">
        <v>105</v>
      </c>
      <c r="I725" s="12" t="s">
        <v>35</v>
      </c>
      <c r="J725" s="14">
        <v>200</v>
      </c>
      <c r="K725" s="15" t="s">
        <v>28</v>
      </c>
      <c r="M725" s="33">
        <f t="shared" si="108"/>
        <v>50</v>
      </c>
      <c r="N725" s="15">
        <f>5000+5000</f>
        <v>10000</v>
      </c>
      <c r="O725" s="15">
        <v>7000</v>
      </c>
      <c r="P725" s="15">
        <f t="shared" si="101"/>
        <v>70000000</v>
      </c>
      <c r="Q725" s="15" t="str">
        <f t="shared" si="113"/>
        <v/>
      </c>
      <c r="R725" s="18" t="s">
        <v>63</v>
      </c>
      <c r="S725" s="13">
        <v>43603</v>
      </c>
      <c r="T725" s="20">
        <f>IFERROR(VLOOKUP(S725,'Date Converter'!$A$4:$C$368,3,0),"")</f>
        <v>43636</v>
      </c>
      <c r="U725" s="21">
        <f t="shared" si="112"/>
        <v>43636</v>
      </c>
      <c r="Y725" s="18"/>
      <c r="AA725" s="15"/>
      <c r="AB725" s="206"/>
      <c r="AD725" s="12"/>
      <c r="AH725" s="15">
        <f t="shared" si="109"/>
        <v>0</v>
      </c>
      <c r="AI725" s="22">
        <f t="shared" si="110"/>
        <v>10000</v>
      </c>
      <c r="AJ725" s="22">
        <f t="shared" si="111"/>
        <v>70000000</v>
      </c>
      <c r="AK725" s="165"/>
    </row>
    <row r="726" spans="1:37" s="165" customFormat="1" hidden="1">
      <c r="A726" s="165" t="s">
        <v>1677</v>
      </c>
      <c r="B726" s="13">
        <v>43604</v>
      </c>
      <c r="C726" s="13" t="s">
        <v>1622</v>
      </c>
      <c r="D726" s="165" t="s">
        <v>1563</v>
      </c>
      <c r="E726" s="13" t="s">
        <v>1564</v>
      </c>
      <c r="F726" s="165" t="str">
        <f t="shared" si="107"/>
        <v>DALI_14.16_300_NL2018</v>
      </c>
      <c r="G726" s="13" t="s">
        <v>46</v>
      </c>
      <c r="H726" s="12"/>
      <c r="I726" s="12" t="s">
        <v>47</v>
      </c>
      <c r="J726" s="31" t="s">
        <v>124</v>
      </c>
      <c r="K726" s="15" t="s">
        <v>28</v>
      </c>
      <c r="L726" s="15"/>
      <c r="M726" s="33">
        <f t="shared" si="108"/>
        <v>18</v>
      </c>
      <c r="N726" s="15">
        <v>5400</v>
      </c>
      <c r="O726" s="15">
        <v>5400</v>
      </c>
      <c r="P726" s="15">
        <f t="shared" si="101"/>
        <v>29160000</v>
      </c>
      <c r="Q726" s="15" t="str">
        <f t="shared" si="113"/>
        <v>Done</v>
      </c>
      <c r="R726" s="18" t="s">
        <v>44</v>
      </c>
      <c r="S726" s="13">
        <v>43572</v>
      </c>
      <c r="T726" s="20">
        <f>IFERROR(VLOOKUP(S726,'Date Converter'!$A$4:$C$368,3,0),"")</f>
        <v>43606</v>
      </c>
      <c r="U726" s="21">
        <f t="shared" si="112"/>
        <v>43606</v>
      </c>
      <c r="V726" s="12" t="s">
        <v>1416</v>
      </c>
      <c r="W726" s="18"/>
      <c r="X726" s="18"/>
      <c r="Y726" s="18"/>
      <c r="Z726" s="206">
        <v>43636</v>
      </c>
      <c r="AA726" s="15">
        <v>5400</v>
      </c>
      <c r="AB726" s="206"/>
      <c r="AC726" s="12"/>
      <c r="AD726" s="12"/>
      <c r="AE726" s="12"/>
      <c r="AF726" s="245"/>
      <c r="AG726" s="12"/>
      <c r="AH726" s="15">
        <f t="shared" si="109"/>
        <v>5400</v>
      </c>
      <c r="AI726" s="22">
        <f t="shared" si="110"/>
        <v>0</v>
      </c>
      <c r="AJ726" s="22">
        <f t="shared" si="111"/>
        <v>0</v>
      </c>
    </row>
    <row r="727" spans="1:37" s="165" customFormat="1" hidden="1">
      <c r="A727" s="165" t="s">
        <v>1677</v>
      </c>
      <c r="B727" s="13">
        <v>43573</v>
      </c>
      <c r="C727" s="13" t="s">
        <v>1622</v>
      </c>
      <c r="D727" s="165" t="s">
        <v>1563</v>
      </c>
      <c r="E727" s="13" t="s">
        <v>1564</v>
      </c>
      <c r="F727" s="165" t="str">
        <f t="shared" si="107"/>
        <v>DALI_14.16_300_NL2018</v>
      </c>
      <c r="G727" s="13" t="s">
        <v>46</v>
      </c>
      <c r="H727" s="12"/>
      <c r="I727" s="12" t="s">
        <v>47</v>
      </c>
      <c r="J727" s="31" t="s">
        <v>124</v>
      </c>
      <c r="K727" s="15" t="s">
        <v>28</v>
      </c>
      <c r="L727" s="15"/>
      <c r="M727" s="33">
        <f t="shared" si="108"/>
        <v>17</v>
      </c>
      <c r="N727" s="15">
        <v>5100</v>
      </c>
      <c r="O727" s="15">
        <v>5400</v>
      </c>
      <c r="P727" s="15">
        <f t="shared" si="101"/>
        <v>27540000</v>
      </c>
      <c r="Q727" s="15" t="str">
        <f t="shared" si="113"/>
        <v/>
      </c>
      <c r="R727" s="18" t="s">
        <v>31</v>
      </c>
      <c r="S727" s="13">
        <v>43631</v>
      </c>
      <c r="T727" s="20">
        <f>IFERROR(VLOOKUP(S727,'Date Converter'!$A$4:$C$368,3,0),"")</f>
        <v>43663</v>
      </c>
      <c r="U727" s="21">
        <f t="shared" si="112"/>
        <v>43663</v>
      </c>
      <c r="V727" s="12" t="s">
        <v>1879</v>
      </c>
      <c r="W727" s="18"/>
      <c r="X727" s="18"/>
      <c r="Y727" s="18"/>
      <c r="Z727" s="206"/>
      <c r="AA727" s="15"/>
      <c r="AB727" s="206"/>
      <c r="AC727" s="12"/>
      <c r="AD727" s="12"/>
      <c r="AE727" s="12"/>
      <c r="AF727" s="245"/>
      <c r="AG727" s="12"/>
      <c r="AH727" s="15">
        <f t="shared" si="109"/>
        <v>0</v>
      </c>
      <c r="AI727" s="22">
        <f t="shared" si="110"/>
        <v>5100</v>
      </c>
      <c r="AJ727" s="22">
        <f t="shared" si="111"/>
        <v>27540000</v>
      </c>
    </row>
    <row r="728" spans="1:37" s="165" customFormat="1" hidden="1">
      <c r="A728" s="165" t="s">
        <v>1677</v>
      </c>
      <c r="B728" s="13">
        <v>43631</v>
      </c>
      <c r="C728" s="13" t="s">
        <v>1622</v>
      </c>
      <c r="D728" s="165" t="s">
        <v>1563</v>
      </c>
      <c r="E728" s="13" t="s">
        <v>1564</v>
      </c>
      <c r="F728" s="165" t="str">
        <f t="shared" si="107"/>
        <v>DALI_14.16_300_NL2018</v>
      </c>
      <c r="G728" s="13" t="s">
        <v>46</v>
      </c>
      <c r="H728" s="12"/>
      <c r="I728" s="12" t="s">
        <v>47</v>
      </c>
      <c r="J728" s="31" t="s">
        <v>124</v>
      </c>
      <c r="K728" s="15" t="s">
        <v>28</v>
      </c>
      <c r="L728" s="15"/>
      <c r="M728" s="33">
        <f t="shared" si="108"/>
        <v>17</v>
      </c>
      <c r="N728" s="15">
        <v>5100</v>
      </c>
      <c r="O728" s="15">
        <v>5600</v>
      </c>
      <c r="P728" s="15">
        <f t="shared" si="101"/>
        <v>28560000</v>
      </c>
      <c r="Q728" s="15" t="str">
        <f t="shared" si="113"/>
        <v/>
      </c>
      <c r="R728" s="18" t="s">
        <v>29</v>
      </c>
      <c r="S728" s="13">
        <v>43641</v>
      </c>
      <c r="T728" s="20">
        <f>IFERROR(VLOOKUP(S728,'Date Converter'!$A$4:$C$368,3,0),"")</f>
        <v>43673</v>
      </c>
      <c r="U728" s="21">
        <f t="shared" si="112"/>
        <v>43673</v>
      </c>
      <c r="V728" s="12"/>
      <c r="W728" s="18"/>
      <c r="X728" s="18"/>
      <c r="Y728" s="18"/>
      <c r="Z728" s="206"/>
      <c r="AA728" s="15"/>
      <c r="AB728" s="206"/>
      <c r="AC728" s="12"/>
      <c r="AD728" s="12"/>
      <c r="AE728" s="12"/>
      <c r="AF728" s="245"/>
      <c r="AG728" s="12"/>
      <c r="AH728" s="15">
        <f t="shared" si="109"/>
        <v>0</v>
      </c>
      <c r="AI728" s="22">
        <f t="shared" si="110"/>
        <v>5100</v>
      </c>
      <c r="AJ728" s="22">
        <f t="shared" si="111"/>
        <v>28560000</v>
      </c>
    </row>
    <row r="729" spans="1:37" hidden="1">
      <c r="A729" t="s">
        <v>1678</v>
      </c>
      <c r="B729" s="13">
        <v>43573</v>
      </c>
      <c r="C729" s="13" t="s">
        <v>1622</v>
      </c>
      <c r="D729" s="258" t="s">
        <v>1563</v>
      </c>
      <c r="E729" s="13" t="s">
        <v>1564</v>
      </c>
      <c r="F729" t="str">
        <f t="shared" si="107"/>
        <v>DALI_20.22_125_NL2018</v>
      </c>
      <c r="G729" s="13" t="s">
        <v>46</v>
      </c>
      <c r="I729" s="12" t="s">
        <v>74</v>
      </c>
      <c r="J729" s="31" t="s">
        <v>122</v>
      </c>
      <c r="K729" s="15" t="s">
        <v>28</v>
      </c>
      <c r="M729" s="33">
        <f t="shared" si="108"/>
        <v>40</v>
      </c>
      <c r="N729" s="15">
        <v>5000</v>
      </c>
      <c r="O729" s="15">
        <v>14300</v>
      </c>
      <c r="P729" s="15">
        <f t="shared" si="101"/>
        <v>71500000</v>
      </c>
      <c r="Q729" s="15" t="str">
        <f t="shared" si="113"/>
        <v/>
      </c>
      <c r="R729" s="18" t="s">
        <v>29</v>
      </c>
      <c r="S729" s="23">
        <v>43709</v>
      </c>
      <c r="T729" s="20">
        <f>IFERROR(VLOOKUP(S729,'Date Converter'!$A$4:$C$368,3,0),"")</f>
        <v>43737</v>
      </c>
      <c r="U729" s="21">
        <f t="shared" si="112"/>
        <v>43737</v>
      </c>
      <c r="V729" s="15" t="s">
        <v>51</v>
      </c>
      <c r="Y729" s="18"/>
      <c r="AA729" s="15">
        <v>0</v>
      </c>
      <c r="AB729" s="206"/>
      <c r="AD729" s="12"/>
      <c r="AH729" s="15">
        <f t="shared" si="109"/>
        <v>0</v>
      </c>
      <c r="AI729" s="22">
        <f t="shared" si="110"/>
        <v>5000</v>
      </c>
      <c r="AJ729" s="22">
        <f t="shared" si="111"/>
        <v>71500000</v>
      </c>
      <c r="AK729" s="165"/>
    </row>
    <row r="730" spans="1:37" hidden="1">
      <c r="A730" t="s">
        <v>1678</v>
      </c>
      <c r="B730" s="13">
        <v>43573</v>
      </c>
      <c r="C730" s="13" t="s">
        <v>1622</v>
      </c>
      <c r="D730" t="s">
        <v>1563</v>
      </c>
      <c r="E730" s="13" t="s">
        <v>1564</v>
      </c>
      <c r="F730" t="str">
        <f t="shared" si="107"/>
        <v>CONC_18.20_150_NL2018</v>
      </c>
      <c r="G730" s="13" t="s">
        <v>40</v>
      </c>
      <c r="I730" s="12" t="s">
        <v>27</v>
      </c>
      <c r="J730" s="31" t="s">
        <v>126</v>
      </c>
      <c r="K730" s="15" t="s">
        <v>28</v>
      </c>
      <c r="M730" s="33">
        <f t="shared" si="108"/>
        <v>0</v>
      </c>
      <c r="N730" s="15">
        <f>5000-5000</f>
        <v>0</v>
      </c>
      <c r="O730" s="15">
        <v>8000</v>
      </c>
      <c r="P730" s="15">
        <f t="shared" si="101"/>
        <v>0</v>
      </c>
      <c r="Q730" s="15" t="str">
        <f t="shared" si="113"/>
        <v>Canceled</v>
      </c>
      <c r="R730" s="18" t="s">
        <v>71</v>
      </c>
      <c r="S730" s="23">
        <v>43709</v>
      </c>
      <c r="T730" s="20">
        <f>IFERROR(VLOOKUP(S730,'Date Converter'!$A$4:$C$368,3,0),"")</f>
        <v>43737</v>
      </c>
      <c r="U730" s="21">
        <f t="shared" si="112"/>
        <v>43737</v>
      </c>
      <c r="V730" s="15" t="s">
        <v>51</v>
      </c>
      <c r="Y730" s="18"/>
      <c r="AA730" s="15">
        <v>0</v>
      </c>
      <c r="AB730" s="206"/>
      <c r="AD730" s="12"/>
      <c r="AH730" s="15">
        <f t="shared" si="109"/>
        <v>0</v>
      </c>
      <c r="AI730" s="22">
        <f t="shared" si="110"/>
        <v>0</v>
      </c>
      <c r="AJ730" s="22">
        <f t="shared" si="111"/>
        <v>0</v>
      </c>
      <c r="AK730" s="165"/>
    </row>
    <row r="731" spans="1:37" hidden="1">
      <c r="A731" t="s">
        <v>1678</v>
      </c>
      <c r="B731" s="13">
        <v>43573</v>
      </c>
      <c r="C731" s="13" t="s">
        <v>1622</v>
      </c>
      <c r="D731" s="258" t="s">
        <v>1563</v>
      </c>
      <c r="E731" s="13" t="s">
        <v>1564</v>
      </c>
      <c r="F731" t="str">
        <f t="shared" si="107"/>
        <v>CONC_20.22_125_NL2018</v>
      </c>
      <c r="G731" s="13" t="s">
        <v>40</v>
      </c>
      <c r="I731" s="12" t="s">
        <v>74</v>
      </c>
      <c r="J731" s="31" t="s">
        <v>122</v>
      </c>
      <c r="K731" s="15" t="s">
        <v>28</v>
      </c>
      <c r="M731" s="33">
        <f t="shared" si="108"/>
        <v>104</v>
      </c>
      <c r="N731" s="15">
        <f>8000+5000</f>
        <v>13000</v>
      </c>
      <c r="O731" s="15">
        <v>10600</v>
      </c>
      <c r="P731" s="15">
        <f t="shared" si="101"/>
        <v>137800000</v>
      </c>
      <c r="Q731" s="15" t="str">
        <f t="shared" si="113"/>
        <v/>
      </c>
      <c r="R731" s="18" t="s">
        <v>29</v>
      </c>
      <c r="S731" s="23">
        <v>43709</v>
      </c>
      <c r="T731" s="20">
        <f>IFERROR(VLOOKUP(S731,'Date Converter'!$A$4:$C$368,3,0),"")</f>
        <v>43737</v>
      </c>
      <c r="U731" s="21">
        <f t="shared" si="112"/>
        <v>43737</v>
      </c>
      <c r="V731" s="15" t="s">
        <v>51</v>
      </c>
      <c r="Y731" s="18"/>
      <c r="AA731" s="15">
        <v>0</v>
      </c>
      <c r="AB731" s="206"/>
      <c r="AD731" s="12"/>
      <c r="AH731" s="15">
        <f t="shared" si="109"/>
        <v>0</v>
      </c>
      <c r="AI731" s="22">
        <f t="shared" si="110"/>
        <v>13000</v>
      </c>
      <c r="AJ731" s="22">
        <f t="shared" si="111"/>
        <v>137800000</v>
      </c>
      <c r="AK731" s="165"/>
    </row>
    <row r="732" spans="1:37" hidden="1">
      <c r="A732" t="s">
        <v>1677</v>
      </c>
      <c r="B732" s="13">
        <v>43573</v>
      </c>
      <c r="C732" s="13" t="s">
        <v>1622</v>
      </c>
      <c r="D732" t="s">
        <v>1563</v>
      </c>
      <c r="E732" s="13" t="s">
        <v>1564</v>
      </c>
      <c r="F732" t="str">
        <f t="shared" si="107"/>
        <v>BACA_15.16_300_NL2018</v>
      </c>
      <c r="G732" s="13" t="s">
        <v>67</v>
      </c>
      <c r="I732" s="12" t="s">
        <v>77</v>
      </c>
      <c r="J732" s="31" t="s">
        <v>124</v>
      </c>
      <c r="K732" s="15" t="s">
        <v>28</v>
      </c>
      <c r="M732" s="33">
        <f t="shared" si="108"/>
        <v>34</v>
      </c>
      <c r="N732" s="15">
        <v>10200</v>
      </c>
      <c r="O732" s="15">
        <v>4500</v>
      </c>
      <c r="P732" s="15">
        <f t="shared" si="101"/>
        <v>45900000</v>
      </c>
      <c r="Q732" s="15" t="str">
        <f t="shared" si="113"/>
        <v/>
      </c>
      <c r="R732" s="18" t="s">
        <v>63</v>
      </c>
      <c r="S732" s="13">
        <v>43572</v>
      </c>
      <c r="T732" s="20">
        <f>IFERROR(VLOOKUP(S732,'Date Converter'!$A$4:$C$368,3,0),"")</f>
        <v>43606</v>
      </c>
      <c r="U732" s="21">
        <f t="shared" si="112"/>
        <v>43606</v>
      </c>
      <c r="V732" s="12" t="s">
        <v>1416</v>
      </c>
      <c r="Y732" s="18"/>
      <c r="Z732" s="206">
        <v>43605</v>
      </c>
      <c r="AA732" s="15">
        <v>3900</v>
      </c>
      <c r="AB732" s="206">
        <v>43631</v>
      </c>
      <c r="AC732" s="12" t="s">
        <v>2007</v>
      </c>
      <c r="AD732" s="12"/>
      <c r="AH732" s="15">
        <f t="shared" si="109"/>
        <v>8100</v>
      </c>
      <c r="AI732" s="22">
        <f t="shared" si="110"/>
        <v>2100</v>
      </c>
      <c r="AJ732" s="22">
        <f t="shared" si="111"/>
        <v>9450000</v>
      </c>
      <c r="AK732" s="165"/>
    </row>
    <row r="733" spans="1:37" hidden="1">
      <c r="A733" t="s">
        <v>1677</v>
      </c>
      <c r="B733" s="13">
        <v>43573</v>
      </c>
      <c r="C733" s="13" t="s">
        <v>1622</v>
      </c>
      <c r="D733" t="s">
        <v>1563</v>
      </c>
      <c r="E733" s="13" t="s">
        <v>1564</v>
      </c>
      <c r="F733" t="str">
        <f t="shared" si="107"/>
        <v>BACA_15.16_300_NL2018</v>
      </c>
      <c r="G733" s="13" t="s">
        <v>67</v>
      </c>
      <c r="I733" s="12" t="s">
        <v>77</v>
      </c>
      <c r="J733" s="31" t="s">
        <v>124</v>
      </c>
      <c r="K733" s="15" t="s">
        <v>28</v>
      </c>
      <c r="M733" s="33">
        <f t="shared" si="108"/>
        <v>0</v>
      </c>
      <c r="N733" s="15">
        <f>3000-3000</f>
        <v>0</v>
      </c>
      <c r="O733" s="15">
        <v>4500</v>
      </c>
      <c r="P733" s="15">
        <f t="shared" si="101"/>
        <v>0</v>
      </c>
      <c r="Q733" s="15" t="str">
        <f t="shared" si="113"/>
        <v>Canceled</v>
      </c>
      <c r="R733" s="18" t="s">
        <v>71</v>
      </c>
      <c r="S733" s="13">
        <v>43539</v>
      </c>
      <c r="T733" s="20">
        <f>IFERROR(VLOOKUP(S733,'Date Converter'!$A$4:$C$368,3,0),"")</f>
        <v>43574</v>
      </c>
      <c r="U733" s="21">
        <f t="shared" ref="U733:U763" si="114">+T733</f>
        <v>43574</v>
      </c>
      <c r="V733" s="12" t="s">
        <v>57</v>
      </c>
      <c r="Y733" s="18"/>
      <c r="AA733" s="15">
        <v>0</v>
      </c>
      <c r="AB733" s="206"/>
      <c r="AD733" s="12"/>
      <c r="AH733" s="15">
        <f t="shared" si="109"/>
        <v>0</v>
      </c>
      <c r="AI733" s="22">
        <f t="shared" si="110"/>
        <v>0</v>
      </c>
      <c r="AJ733" s="22">
        <f t="shared" si="111"/>
        <v>0</v>
      </c>
      <c r="AK733" s="165"/>
    </row>
    <row r="734" spans="1:37" hidden="1">
      <c r="A734" t="s">
        <v>1677</v>
      </c>
      <c r="B734" s="13">
        <v>43573</v>
      </c>
      <c r="C734" s="13" t="s">
        <v>1622</v>
      </c>
      <c r="D734" t="s">
        <v>1563</v>
      </c>
      <c r="E734" s="13" t="s">
        <v>1564</v>
      </c>
      <c r="F734" s="165" t="str">
        <f t="shared" si="107"/>
        <v>ALUS_14.16_300_NL2018</v>
      </c>
      <c r="G734" s="13" t="s">
        <v>501</v>
      </c>
      <c r="I734" s="12" t="s">
        <v>47</v>
      </c>
      <c r="J734" s="31" t="s">
        <v>124</v>
      </c>
      <c r="K734" s="15" t="s">
        <v>28</v>
      </c>
      <c r="M734" s="33">
        <f t="shared" si="108"/>
        <v>2</v>
      </c>
      <c r="N734" s="15">
        <v>600</v>
      </c>
      <c r="O734" s="15">
        <v>4000</v>
      </c>
      <c r="P734" s="15">
        <f t="shared" si="101"/>
        <v>2400000</v>
      </c>
      <c r="Q734" s="15" t="str">
        <f t="shared" si="113"/>
        <v>Done</v>
      </c>
      <c r="R734" s="18" t="s">
        <v>44</v>
      </c>
      <c r="S734" s="13"/>
      <c r="T734" s="20" t="str">
        <f>IFERROR(VLOOKUP(S734,'Date Converter'!$A$4:$C$368,3,0),"")</f>
        <v/>
      </c>
      <c r="U734" s="21" t="str">
        <f t="shared" si="114"/>
        <v/>
      </c>
      <c r="Y734" s="18"/>
      <c r="Z734" s="206">
        <v>43573</v>
      </c>
      <c r="AA734" s="15">
        <v>600</v>
      </c>
      <c r="AB734" s="206"/>
      <c r="AD734" s="12"/>
      <c r="AH734" s="15">
        <f t="shared" si="109"/>
        <v>600</v>
      </c>
      <c r="AI734" s="22">
        <f t="shared" si="110"/>
        <v>0</v>
      </c>
      <c r="AJ734" s="22">
        <f t="shared" si="111"/>
        <v>0</v>
      </c>
      <c r="AK734" s="165"/>
    </row>
    <row r="735" spans="1:37" s="165" customFormat="1" hidden="1">
      <c r="A735" s="165" t="s">
        <v>1681</v>
      </c>
      <c r="B735" s="13">
        <v>43631</v>
      </c>
      <c r="C735" s="13" t="s">
        <v>1622</v>
      </c>
      <c r="D735" s="165" t="s">
        <v>1213</v>
      </c>
      <c r="E735" s="165" t="s">
        <v>1214</v>
      </c>
      <c r="F735" s="165" t="str">
        <f t="shared" si="107"/>
        <v>YELL_14.16_300_NL2018</v>
      </c>
      <c r="G735" s="165" t="s">
        <v>89</v>
      </c>
      <c r="H735" s="12"/>
      <c r="I735" s="12" t="s">
        <v>47</v>
      </c>
      <c r="J735" s="14">
        <v>300</v>
      </c>
      <c r="K735" s="15" t="s">
        <v>28</v>
      </c>
      <c r="L735" s="15"/>
      <c r="M735" s="16">
        <f t="shared" si="108"/>
        <v>50</v>
      </c>
      <c r="N735" s="15">
        <f>20100-5100</f>
        <v>15000</v>
      </c>
      <c r="O735" s="15">
        <v>4000</v>
      </c>
      <c r="P735" s="15">
        <f t="shared" si="101"/>
        <v>60000000</v>
      </c>
      <c r="Q735" s="15" t="str">
        <f t="shared" si="113"/>
        <v/>
      </c>
      <c r="R735" s="18" t="s">
        <v>31</v>
      </c>
      <c r="S735" s="117">
        <v>43631</v>
      </c>
      <c r="T735" s="20">
        <f>IFERROR(VLOOKUP(S735,'Date Converter'!$A$4:$C$368,3,0),"")</f>
        <v>43663</v>
      </c>
      <c r="U735" s="21">
        <f t="shared" si="114"/>
        <v>43663</v>
      </c>
      <c r="V735" s="12"/>
      <c r="W735" s="18"/>
      <c r="X735" s="18"/>
      <c r="Y735" s="18"/>
      <c r="Z735" s="210"/>
      <c r="AA735" s="15"/>
      <c r="AB735" s="210"/>
      <c r="AC735" s="15"/>
      <c r="AD735" s="15"/>
      <c r="AE735" s="15"/>
      <c r="AF735" s="244"/>
      <c r="AG735" s="15"/>
      <c r="AH735" s="15">
        <f t="shared" si="109"/>
        <v>0</v>
      </c>
      <c r="AI735" s="22">
        <f t="shared" si="110"/>
        <v>15000</v>
      </c>
      <c r="AJ735" s="22">
        <f t="shared" si="111"/>
        <v>60000000</v>
      </c>
      <c r="AK735" s="13"/>
    </row>
    <row r="736" spans="1:37" s="165" customFormat="1" hidden="1">
      <c r="A736" s="165" t="s">
        <v>1681</v>
      </c>
      <c r="B736" s="13">
        <v>43631</v>
      </c>
      <c r="C736" s="13" t="s">
        <v>1622</v>
      </c>
      <c r="D736" s="165" t="s">
        <v>1213</v>
      </c>
      <c r="E736" s="165" t="s">
        <v>1214</v>
      </c>
      <c r="F736" s="165" t="str">
        <f t="shared" si="107"/>
        <v>YELL_14.16_300_NL2018</v>
      </c>
      <c r="G736" s="165" t="s">
        <v>89</v>
      </c>
      <c r="H736" s="12"/>
      <c r="I736" s="12" t="s">
        <v>47</v>
      </c>
      <c r="J736" s="14">
        <v>300</v>
      </c>
      <c r="K736" s="15" t="s">
        <v>28</v>
      </c>
      <c r="L736" s="15"/>
      <c r="M736" s="16">
        <f t="shared" si="108"/>
        <v>50</v>
      </c>
      <c r="N736" s="15">
        <f>20100-5100</f>
        <v>15000</v>
      </c>
      <c r="O736" s="15">
        <v>4000</v>
      </c>
      <c r="P736" s="15">
        <f t="shared" si="101"/>
        <v>60000000</v>
      </c>
      <c r="Q736" s="15" t="str">
        <f t="shared" si="113"/>
        <v/>
      </c>
      <c r="R736" s="18" t="s">
        <v>29</v>
      </c>
      <c r="S736" s="117">
        <v>43661</v>
      </c>
      <c r="T736" s="20">
        <f>IFERROR(VLOOKUP(S736,'Date Converter'!$A$4:$C$368,3,0),"")</f>
        <v>43692</v>
      </c>
      <c r="U736" s="21">
        <f t="shared" si="114"/>
        <v>43692</v>
      </c>
      <c r="V736" s="12"/>
      <c r="W736" s="18"/>
      <c r="X736" s="18"/>
      <c r="Y736" s="18"/>
      <c r="Z736" s="210"/>
      <c r="AA736" s="15"/>
      <c r="AB736" s="210"/>
      <c r="AC736" s="15"/>
      <c r="AD736" s="15"/>
      <c r="AE736" s="15"/>
      <c r="AF736" s="244"/>
      <c r="AG736" s="15"/>
      <c r="AH736" s="15">
        <f t="shared" si="109"/>
        <v>0</v>
      </c>
      <c r="AI736" s="22">
        <f t="shared" si="110"/>
        <v>15000</v>
      </c>
      <c r="AJ736" s="22">
        <f t="shared" si="111"/>
        <v>60000000</v>
      </c>
      <c r="AK736" s="13"/>
    </row>
    <row r="737" spans="1:37" s="165" customFormat="1" hidden="1">
      <c r="A737" s="165" t="s">
        <v>1681</v>
      </c>
      <c r="B737" s="13">
        <v>43631</v>
      </c>
      <c r="C737" s="13" t="s">
        <v>1622</v>
      </c>
      <c r="D737" s="165" t="s">
        <v>1213</v>
      </c>
      <c r="E737" s="165" t="s">
        <v>1214</v>
      </c>
      <c r="F737" s="165" t="str">
        <f t="shared" si="107"/>
        <v>YELL_14.16_300_NL2018</v>
      </c>
      <c r="G737" s="165" t="s">
        <v>89</v>
      </c>
      <c r="H737" s="12"/>
      <c r="I737" s="12" t="s">
        <v>47</v>
      </c>
      <c r="J737" s="14">
        <v>300</v>
      </c>
      <c r="K737" s="15" t="s">
        <v>28</v>
      </c>
      <c r="L737" s="15"/>
      <c r="M737" s="16">
        <f t="shared" si="108"/>
        <v>50</v>
      </c>
      <c r="N737" s="15">
        <f>20100-5100</f>
        <v>15000</v>
      </c>
      <c r="O737" s="15">
        <v>4100</v>
      </c>
      <c r="P737" s="15">
        <f t="shared" si="101"/>
        <v>61500000</v>
      </c>
      <c r="Q737" s="15" t="str">
        <f t="shared" si="113"/>
        <v/>
      </c>
      <c r="R737" s="18" t="s">
        <v>29</v>
      </c>
      <c r="S737" s="117">
        <v>43692</v>
      </c>
      <c r="T737" s="20">
        <f>IFERROR(VLOOKUP(S737,'Date Converter'!$A$4:$C$368,3,0),"")</f>
        <v>43721</v>
      </c>
      <c r="U737" s="21">
        <f t="shared" si="114"/>
        <v>43721</v>
      </c>
      <c r="V737" s="12"/>
      <c r="W737" s="18"/>
      <c r="X737" s="18"/>
      <c r="Y737" s="18"/>
      <c r="Z737" s="210"/>
      <c r="AA737" s="15"/>
      <c r="AB737" s="210"/>
      <c r="AC737" s="15"/>
      <c r="AD737" s="15"/>
      <c r="AE737" s="15"/>
      <c r="AF737" s="244"/>
      <c r="AG737" s="15"/>
      <c r="AH737" s="15">
        <f t="shared" si="109"/>
        <v>0</v>
      </c>
      <c r="AI737" s="22">
        <f t="shared" si="110"/>
        <v>15000</v>
      </c>
      <c r="AJ737" s="22">
        <f t="shared" si="111"/>
        <v>61500000</v>
      </c>
      <c r="AK737" s="13"/>
    </row>
    <row r="738" spans="1:37" s="165" customFormat="1" hidden="1">
      <c r="A738" s="165" t="s">
        <v>1681</v>
      </c>
      <c r="B738" s="13">
        <v>43554</v>
      </c>
      <c r="C738" s="13" t="s">
        <v>1622</v>
      </c>
      <c r="D738" s="165" t="s">
        <v>1213</v>
      </c>
      <c r="E738" s="165" t="s">
        <v>1214</v>
      </c>
      <c r="F738" s="165" t="str">
        <f t="shared" si="107"/>
        <v>TARR_14.16_300_NL2018</v>
      </c>
      <c r="G738" s="165" t="s">
        <v>62</v>
      </c>
      <c r="H738" s="12"/>
      <c r="I738" s="12" t="s">
        <v>47</v>
      </c>
      <c r="J738" s="14">
        <v>300</v>
      </c>
      <c r="K738" s="15" t="s">
        <v>28</v>
      </c>
      <c r="L738" s="15"/>
      <c r="M738" s="16">
        <f t="shared" si="108"/>
        <v>33</v>
      </c>
      <c r="N738" s="15">
        <v>9900</v>
      </c>
      <c r="O738" s="15">
        <v>4600</v>
      </c>
      <c r="P738" s="15">
        <f t="shared" si="101"/>
        <v>45540000</v>
      </c>
      <c r="Q738" s="15" t="str">
        <f t="shared" si="113"/>
        <v>Done</v>
      </c>
      <c r="R738" s="18" t="s">
        <v>44</v>
      </c>
      <c r="S738" s="117">
        <v>43539</v>
      </c>
      <c r="T738" s="20">
        <f>IFERROR(VLOOKUP(S738,'Date Converter'!$A$4:$C$368,3,0),"")</f>
        <v>43574</v>
      </c>
      <c r="U738" s="21">
        <f t="shared" si="114"/>
        <v>43574</v>
      </c>
      <c r="V738" s="12" t="s">
        <v>57</v>
      </c>
      <c r="W738" s="18"/>
      <c r="X738" s="18"/>
      <c r="Y738" s="18"/>
      <c r="Z738" s="210">
        <v>43602</v>
      </c>
      <c r="AA738" s="15">
        <v>9900</v>
      </c>
      <c r="AB738" s="210"/>
      <c r="AC738" s="15"/>
      <c r="AD738" s="15"/>
      <c r="AE738" s="15"/>
      <c r="AF738" s="244"/>
      <c r="AG738" s="15"/>
      <c r="AH738" s="15">
        <f t="shared" si="109"/>
        <v>9900</v>
      </c>
      <c r="AI738" s="22">
        <f t="shared" si="110"/>
        <v>0</v>
      </c>
      <c r="AJ738" s="22">
        <f t="shared" si="111"/>
        <v>0</v>
      </c>
      <c r="AK738" s="13">
        <v>43835</v>
      </c>
    </row>
    <row r="739" spans="1:37" s="165" customFormat="1" hidden="1">
      <c r="A739" s="165" t="s">
        <v>1680</v>
      </c>
      <c r="B739" s="13">
        <v>43508</v>
      </c>
      <c r="C739" s="13" t="s">
        <v>1622</v>
      </c>
      <c r="D739" s="165" t="s">
        <v>1213</v>
      </c>
      <c r="E739" s="198" t="s">
        <v>1214</v>
      </c>
      <c r="F739" s="165" t="str">
        <f t="shared" si="107"/>
        <v>COMP_16.18_200_NL2018</v>
      </c>
      <c r="G739" s="165" t="s">
        <v>38</v>
      </c>
      <c r="H739" s="12"/>
      <c r="I739" s="12" t="s">
        <v>35</v>
      </c>
      <c r="J739" s="14">
        <v>200</v>
      </c>
      <c r="K739" s="15" t="s">
        <v>28</v>
      </c>
      <c r="L739" s="15"/>
      <c r="M739" s="16">
        <f t="shared" si="108"/>
        <v>100</v>
      </c>
      <c r="N739" s="15">
        <v>20000</v>
      </c>
      <c r="O739" s="15">
        <v>6700</v>
      </c>
      <c r="P739" s="15">
        <f t="shared" si="101"/>
        <v>134000000</v>
      </c>
      <c r="Q739" s="15" t="str">
        <f t="shared" si="113"/>
        <v>Done</v>
      </c>
      <c r="R739" s="18" t="s">
        <v>44</v>
      </c>
      <c r="S739" s="117">
        <v>43511</v>
      </c>
      <c r="T739" s="20">
        <f>IFERROR(VLOOKUP(S739,'Date Converter'!$A$4:$C$368,3,0),"")</f>
        <v>43544</v>
      </c>
      <c r="U739" s="21">
        <f t="shared" si="114"/>
        <v>43544</v>
      </c>
      <c r="V739" s="12" t="s">
        <v>32</v>
      </c>
      <c r="W739" s="18" t="s">
        <v>39</v>
      </c>
      <c r="X739" s="18"/>
      <c r="Y739" s="18"/>
      <c r="Z739" s="210">
        <v>43543</v>
      </c>
      <c r="AA739" s="15">
        <f>5000</f>
        <v>5000</v>
      </c>
      <c r="AB739" s="210">
        <v>43552</v>
      </c>
      <c r="AC739" s="15">
        <f>4000+6000+5000</f>
        <v>15000</v>
      </c>
      <c r="AD739" s="15"/>
      <c r="AE739" s="15"/>
      <c r="AF739" s="244"/>
      <c r="AG739" s="15"/>
      <c r="AH739" s="15">
        <f t="shared" si="109"/>
        <v>20000</v>
      </c>
      <c r="AI739" s="22">
        <f t="shared" si="110"/>
        <v>0</v>
      </c>
      <c r="AJ739" s="22">
        <f t="shared" si="111"/>
        <v>0</v>
      </c>
      <c r="AK739" s="13">
        <v>43835</v>
      </c>
    </row>
    <row r="740" spans="1:37" s="165" customFormat="1" hidden="1">
      <c r="A740" s="165" t="s">
        <v>1494</v>
      </c>
      <c r="B740" s="13">
        <v>43594</v>
      </c>
      <c r="C740" s="13" t="s">
        <v>23</v>
      </c>
      <c r="D740" s="165" t="s">
        <v>1513</v>
      </c>
      <c r="E740" s="119" t="s">
        <v>1504</v>
      </c>
      <c r="F740" s="165" t="str">
        <f t="shared" si="107"/>
        <v>THAL_RL_12.14_400_NL2018</v>
      </c>
      <c r="G740" s="13" t="s">
        <v>1473</v>
      </c>
      <c r="H740" s="12" t="s">
        <v>219</v>
      </c>
      <c r="I740" s="12" t="s">
        <v>113</v>
      </c>
      <c r="J740" s="31" t="s">
        <v>128</v>
      </c>
      <c r="K740" s="15" t="s">
        <v>28</v>
      </c>
      <c r="L740" s="15"/>
      <c r="M740" s="33">
        <f t="shared" si="108"/>
        <v>0</v>
      </c>
      <c r="N740" s="15">
        <f>10000-10000</f>
        <v>0</v>
      </c>
      <c r="O740" s="15">
        <v>8900</v>
      </c>
      <c r="P740" s="15">
        <f t="shared" ref="P740:P789" si="115">+O740*N740</f>
        <v>0</v>
      </c>
      <c r="Q740" s="15" t="str">
        <f t="shared" si="113"/>
        <v>Canceled</v>
      </c>
      <c r="R740" s="18" t="s">
        <v>71</v>
      </c>
      <c r="S740" s="23">
        <v>43794</v>
      </c>
      <c r="T740" s="20">
        <f>IFERROR(VLOOKUP(S740,'Date Converter'!$A$4:$C$368,3,0),"")</f>
        <v>43819</v>
      </c>
      <c r="U740" s="21">
        <f t="shared" si="114"/>
        <v>43819</v>
      </c>
      <c r="V740" s="12"/>
      <c r="W740" s="18"/>
      <c r="X740" s="18"/>
      <c r="Y740" s="12"/>
      <c r="Z740" s="206"/>
      <c r="AA740" s="15"/>
      <c r="AB740" s="206"/>
      <c r="AC740" s="12"/>
      <c r="AD740" s="206"/>
      <c r="AE740" s="12"/>
      <c r="AF740" s="245"/>
      <c r="AG740" s="12"/>
      <c r="AH740" s="15">
        <f t="shared" si="109"/>
        <v>0</v>
      </c>
      <c r="AI740" s="22">
        <f t="shared" si="110"/>
        <v>0</v>
      </c>
      <c r="AJ740" s="22">
        <f t="shared" si="111"/>
        <v>0</v>
      </c>
    </row>
    <row r="741" spans="1:37" s="165" customFormat="1" hidden="1">
      <c r="A741" s="165" t="s">
        <v>1497</v>
      </c>
      <c r="B741" s="13">
        <v>43587</v>
      </c>
      <c r="C741" s="13" t="s">
        <v>23</v>
      </c>
      <c r="D741" s="165" t="s">
        <v>1513</v>
      </c>
      <c r="E741" s="119" t="s">
        <v>1504</v>
      </c>
      <c r="F741" s="165" t="str">
        <f t="shared" si="107"/>
        <v>TATS_RL_14.16_300_NL2018</v>
      </c>
      <c r="G741" s="13" t="s">
        <v>1474</v>
      </c>
      <c r="H741" s="12" t="s">
        <v>219</v>
      </c>
      <c r="I741" s="12" t="s">
        <v>47</v>
      </c>
      <c r="J741" s="31" t="s">
        <v>124</v>
      </c>
      <c r="K741" s="15" t="s">
        <v>28</v>
      </c>
      <c r="L741" s="15"/>
      <c r="M741" s="33">
        <f t="shared" si="108"/>
        <v>0</v>
      </c>
      <c r="N741" s="15">
        <f>2950-2950</f>
        <v>0</v>
      </c>
      <c r="O741" s="15">
        <v>13900</v>
      </c>
      <c r="P741" s="15">
        <f t="shared" si="115"/>
        <v>0</v>
      </c>
      <c r="Q741" s="15" t="str">
        <f t="shared" si="113"/>
        <v>Canceled</v>
      </c>
      <c r="R741" s="18" t="s">
        <v>71</v>
      </c>
      <c r="S741" s="23">
        <v>43709</v>
      </c>
      <c r="T741" s="20">
        <f>IFERROR(VLOOKUP(S741,'Date Converter'!$A$4:$C$368,3,0),"")</f>
        <v>43737</v>
      </c>
      <c r="U741" s="21">
        <f t="shared" si="114"/>
        <v>43737</v>
      </c>
      <c r="V741" s="12" t="s">
        <v>51</v>
      </c>
      <c r="W741" s="18"/>
      <c r="X741" s="18"/>
      <c r="Y741" s="12"/>
      <c r="Z741" s="206"/>
      <c r="AA741" s="15"/>
      <c r="AB741" s="206"/>
      <c r="AC741" s="12"/>
      <c r="AD741" s="206"/>
      <c r="AE741" s="12"/>
      <c r="AF741" s="245"/>
      <c r="AG741" s="12"/>
      <c r="AH741" s="15">
        <f t="shared" si="109"/>
        <v>0</v>
      </c>
      <c r="AI741" s="22">
        <f t="shared" si="110"/>
        <v>0</v>
      </c>
      <c r="AJ741" s="22">
        <f t="shared" si="111"/>
        <v>0</v>
      </c>
    </row>
    <row r="742" spans="1:37" s="165" customFormat="1" hidden="1">
      <c r="A742" s="165" t="s">
        <v>1494</v>
      </c>
      <c r="B742" s="13">
        <v>43587</v>
      </c>
      <c r="C742" s="13" t="s">
        <v>23</v>
      </c>
      <c r="D742" s="165" t="s">
        <v>1513</v>
      </c>
      <c r="E742" s="119" t="s">
        <v>1504</v>
      </c>
      <c r="F742" s="165" t="str">
        <f t="shared" si="107"/>
        <v>ROBI_16.18_200_NL2018</v>
      </c>
      <c r="G742" s="13" t="s">
        <v>61</v>
      </c>
      <c r="H742" s="12"/>
      <c r="I742" s="12" t="s">
        <v>35</v>
      </c>
      <c r="J742" s="31" t="s">
        <v>121</v>
      </c>
      <c r="K742" s="15" t="s">
        <v>28</v>
      </c>
      <c r="L742" s="15"/>
      <c r="M742" s="33">
        <f t="shared" si="108"/>
        <v>70</v>
      </c>
      <c r="N742" s="262">
        <f>7000+7000</f>
        <v>14000</v>
      </c>
      <c r="O742" s="15">
        <v>5500</v>
      </c>
      <c r="P742" s="15">
        <f t="shared" si="115"/>
        <v>77000000</v>
      </c>
      <c r="Q742" s="15" t="str">
        <f t="shared" si="113"/>
        <v/>
      </c>
      <c r="R742" s="18" t="s">
        <v>63</v>
      </c>
      <c r="S742" s="23">
        <v>43603</v>
      </c>
      <c r="T742" s="20">
        <f>IFERROR(VLOOKUP(S742,'Date Converter'!$A$4:$C$368,3,0),"")</f>
        <v>43636</v>
      </c>
      <c r="U742" s="21">
        <f t="shared" si="114"/>
        <v>43636</v>
      </c>
      <c r="V742" s="12" t="s">
        <v>1496</v>
      </c>
      <c r="W742" s="18"/>
      <c r="X742" s="18"/>
      <c r="Y742" s="12"/>
      <c r="Z742" s="206">
        <v>43643</v>
      </c>
      <c r="AA742" s="15">
        <v>8000</v>
      </c>
      <c r="AB742" s="206"/>
      <c r="AC742" s="12"/>
      <c r="AD742" s="206"/>
      <c r="AE742" s="12"/>
      <c r="AF742" s="245"/>
      <c r="AG742" s="12"/>
      <c r="AH742" s="15">
        <f t="shared" si="109"/>
        <v>8000</v>
      </c>
      <c r="AI742" s="22">
        <f t="shared" si="110"/>
        <v>6000</v>
      </c>
      <c r="AJ742" s="22">
        <f t="shared" si="111"/>
        <v>33000000</v>
      </c>
    </row>
    <row r="743" spans="1:37" s="165" customFormat="1" hidden="1">
      <c r="A743" s="165" t="s">
        <v>1494</v>
      </c>
      <c r="B743" s="13">
        <v>43587</v>
      </c>
      <c r="C743" s="13" t="s">
        <v>23</v>
      </c>
      <c r="D743" s="165" t="s">
        <v>1513</v>
      </c>
      <c r="E743" s="119" t="s">
        <v>1504</v>
      </c>
      <c r="F743" s="165" t="str">
        <f t="shared" si="107"/>
        <v>ROBI_16.18_200_NL2018</v>
      </c>
      <c r="G743" s="13" t="s">
        <v>61</v>
      </c>
      <c r="H743" s="12"/>
      <c r="I743" s="12" t="s">
        <v>35</v>
      </c>
      <c r="J743" s="31" t="s">
        <v>121</v>
      </c>
      <c r="K743" s="15" t="s">
        <v>28</v>
      </c>
      <c r="L743" s="15"/>
      <c r="M743" s="33">
        <f t="shared" si="108"/>
        <v>70</v>
      </c>
      <c r="N743" s="15">
        <f>7000+7000</f>
        <v>14000</v>
      </c>
      <c r="O743" s="15">
        <v>5600</v>
      </c>
      <c r="P743" s="15">
        <f t="shared" si="115"/>
        <v>78400000</v>
      </c>
      <c r="Q743" s="15" t="str">
        <f t="shared" si="113"/>
        <v/>
      </c>
      <c r="R743" s="18" t="s">
        <v>31</v>
      </c>
      <c r="S743" s="23">
        <v>43631</v>
      </c>
      <c r="T743" s="20">
        <f>IFERROR(VLOOKUP(S743,'Date Converter'!$A$4:$C$368,3,0),"")</f>
        <v>43663</v>
      </c>
      <c r="U743" s="21">
        <f t="shared" si="114"/>
        <v>43663</v>
      </c>
      <c r="V743" s="12"/>
      <c r="W743" s="18"/>
      <c r="X743" s="18"/>
      <c r="Y743" s="12"/>
      <c r="Z743" s="206"/>
      <c r="AA743" s="15"/>
      <c r="AB743" s="206"/>
      <c r="AC743" s="12"/>
      <c r="AD743" s="206"/>
      <c r="AE743" s="12"/>
      <c r="AF743" s="245"/>
      <c r="AG743" s="12"/>
      <c r="AH743" s="15">
        <f t="shared" si="109"/>
        <v>0</v>
      </c>
      <c r="AI743" s="22">
        <f t="shared" si="110"/>
        <v>14000</v>
      </c>
      <c r="AJ743" s="22">
        <f t="shared" si="111"/>
        <v>78400000</v>
      </c>
    </row>
    <row r="744" spans="1:37" s="165" customFormat="1" hidden="1">
      <c r="A744" s="165" t="s">
        <v>1494</v>
      </c>
      <c r="B744" s="13">
        <v>43587</v>
      </c>
      <c r="C744" s="13" t="s">
        <v>23</v>
      </c>
      <c r="D744" s="165" t="s">
        <v>1513</v>
      </c>
      <c r="E744" s="119" t="s">
        <v>1504</v>
      </c>
      <c r="F744" s="165" t="str">
        <f t="shared" si="107"/>
        <v>ROBI_16.18_200_NL2018</v>
      </c>
      <c r="G744" s="13" t="s">
        <v>61</v>
      </c>
      <c r="H744" s="12"/>
      <c r="I744" s="12" t="s">
        <v>35</v>
      </c>
      <c r="J744" s="31" t="s">
        <v>121</v>
      </c>
      <c r="K744" s="15" t="s">
        <v>28</v>
      </c>
      <c r="L744" s="15"/>
      <c r="M744" s="33">
        <f t="shared" si="108"/>
        <v>35</v>
      </c>
      <c r="N744" s="15">
        <v>7000</v>
      </c>
      <c r="O744" s="15">
        <v>5600</v>
      </c>
      <c r="P744" s="15">
        <f t="shared" si="115"/>
        <v>39200000</v>
      </c>
      <c r="Q744" s="15" t="str">
        <f t="shared" si="113"/>
        <v/>
      </c>
      <c r="R744" s="18" t="s">
        <v>29</v>
      </c>
      <c r="S744" s="23">
        <v>43656</v>
      </c>
      <c r="T744" s="20">
        <f>IFERROR(VLOOKUP(S744,'Date Converter'!$A$4:$C$368,3,0),"")</f>
        <v>43687</v>
      </c>
      <c r="U744" s="21">
        <f t="shared" si="114"/>
        <v>43687</v>
      </c>
      <c r="V744" s="12"/>
      <c r="W744" s="18"/>
      <c r="X744" s="18"/>
      <c r="Y744" s="12"/>
      <c r="Z744" s="206"/>
      <c r="AA744" s="15"/>
      <c r="AB744" s="206"/>
      <c r="AC744" s="12"/>
      <c r="AD744" s="206"/>
      <c r="AE744" s="12"/>
      <c r="AF744" s="245"/>
      <c r="AG744" s="12"/>
      <c r="AH744" s="15">
        <f t="shared" si="109"/>
        <v>0</v>
      </c>
      <c r="AI744" s="22">
        <f t="shared" si="110"/>
        <v>7000</v>
      </c>
      <c r="AJ744" s="22">
        <f t="shared" si="111"/>
        <v>39200000</v>
      </c>
    </row>
    <row r="745" spans="1:37" s="165" customFormat="1" hidden="1">
      <c r="A745" s="165" t="s">
        <v>1494</v>
      </c>
      <c r="B745" s="13">
        <v>43594</v>
      </c>
      <c r="C745" s="13" t="s">
        <v>23</v>
      </c>
      <c r="D745" s="165" t="s">
        <v>1513</v>
      </c>
      <c r="E745" s="119" t="s">
        <v>1504</v>
      </c>
      <c r="F745" s="165" t="str">
        <f t="shared" si="107"/>
        <v>ROBI_16.18_200_NL2018</v>
      </c>
      <c r="G745" s="13" t="s">
        <v>61</v>
      </c>
      <c r="H745" s="12"/>
      <c r="I745" s="12" t="s">
        <v>35</v>
      </c>
      <c r="J745" s="31" t="s">
        <v>121</v>
      </c>
      <c r="K745" s="15" t="s">
        <v>28</v>
      </c>
      <c r="L745" s="15"/>
      <c r="M745" s="33">
        <f t="shared" si="108"/>
        <v>50</v>
      </c>
      <c r="N745" s="15">
        <v>10000</v>
      </c>
      <c r="O745" s="15">
        <v>6000</v>
      </c>
      <c r="P745" s="15">
        <f t="shared" si="115"/>
        <v>60000000</v>
      </c>
      <c r="Q745" s="15" t="str">
        <f t="shared" si="113"/>
        <v/>
      </c>
      <c r="R745" s="18" t="s">
        <v>29</v>
      </c>
      <c r="S745" s="23">
        <v>43794</v>
      </c>
      <c r="T745" s="20">
        <f>IFERROR(VLOOKUP(S745,'Date Converter'!$A$4:$C$368,3,0),"")</f>
        <v>43819</v>
      </c>
      <c r="U745" s="21">
        <f t="shared" si="114"/>
        <v>43819</v>
      </c>
      <c r="V745" s="12"/>
      <c r="W745" s="18"/>
      <c r="X745" s="18"/>
      <c r="Y745" s="12"/>
      <c r="Z745" s="206"/>
      <c r="AA745" s="15"/>
      <c r="AB745" s="206"/>
      <c r="AC745" s="12"/>
      <c r="AD745" s="206"/>
      <c r="AE745" s="12"/>
      <c r="AF745" s="245"/>
      <c r="AG745" s="12"/>
      <c r="AH745" s="15">
        <f t="shared" si="109"/>
        <v>0</v>
      </c>
      <c r="AI745" s="22">
        <f t="shared" si="110"/>
        <v>10000</v>
      </c>
      <c r="AJ745" s="22">
        <f t="shared" si="111"/>
        <v>60000000</v>
      </c>
    </row>
    <row r="746" spans="1:37" s="165" customFormat="1" hidden="1">
      <c r="A746" s="165" t="s">
        <v>1497</v>
      </c>
      <c r="B746" s="13">
        <v>43587</v>
      </c>
      <c r="C746" s="13" t="s">
        <v>23</v>
      </c>
      <c r="D746" s="258" t="s">
        <v>1513</v>
      </c>
      <c r="E746" s="119" t="s">
        <v>1504</v>
      </c>
      <c r="F746" s="165" t="str">
        <f t="shared" si="107"/>
        <v>ROBI_20.22_125_NL2018</v>
      </c>
      <c r="G746" s="13" t="s">
        <v>61</v>
      </c>
      <c r="H746" s="12"/>
      <c r="I746" s="12" t="s">
        <v>74</v>
      </c>
      <c r="J746" s="31" t="s">
        <v>122</v>
      </c>
      <c r="K746" s="15" t="s">
        <v>28</v>
      </c>
      <c r="L746" s="15"/>
      <c r="M746" s="33">
        <f t="shared" si="108"/>
        <v>80</v>
      </c>
      <c r="N746" s="15">
        <v>10000</v>
      </c>
      <c r="O746" s="15">
        <v>10700</v>
      </c>
      <c r="P746" s="15">
        <f t="shared" si="115"/>
        <v>107000000</v>
      </c>
      <c r="Q746" s="15" t="str">
        <f t="shared" si="113"/>
        <v/>
      </c>
      <c r="R746" s="18" t="s">
        <v>29</v>
      </c>
      <c r="S746" s="23">
        <v>43709</v>
      </c>
      <c r="T746" s="20">
        <f>IFERROR(VLOOKUP(S746,'Date Converter'!$A$4:$C$368,3,0),"")</f>
        <v>43737</v>
      </c>
      <c r="U746" s="21">
        <f t="shared" si="114"/>
        <v>43737</v>
      </c>
      <c r="V746" s="12" t="s">
        <v>51</v>
      </c>
      <c r="W746" s="18"/>
      <c r="X746" s="18"/>
      <c r="Y746" s="12"/>
      <c r="Z746" s="206"/>
      <c r="AA746" s="15"/>
      <c r="AB746" s="206"/>
      <c r="AC746" s="12"/>
      <c r="AD746" s="206"/>
      <c r="AE746" s="12"/>
      <c r="AF746" s="245"/>
      <c r="AG746" s="12"/>
      <c r="AH746" s="15">
        <f t="shared" si="109"/>
        <v>0</v>
      </c>
      <c r="AI746" s="22">
        <f t="shared" si="110"/>
        <v>10000</v>
      </c>
      <c r="AJ746" s="22">
        <f t="shared" si="111"/>
        <v>107000000</v>
      </c>
    </row>
    <row r="747" spans="1:37" s="165" customFormat="1" hidden="1">
      <c r="A747" s="165" t="s">
        <v>1497</v>
      </c>
      <c r="B747" s="13">
        <v>43587</v>
      </c>
      <c r="C747" s="13" t="s">
        <v>23</v>
      </c>
      <c r="D747" s="258" t="s">
        <v>1513</v>
      </c>
      <c r="E747" s="119" t="s">
        <v>1504</v>
      </c>
      <c r="F747" s="165" t="str">
        <f t="shared" si="107"/>
        <v>PROF_18.20_150_NL2018</v>
      </c>
      <c r="G747" s="13" t="s">
        <v>56</v>
      </c>
      <c r="H747" s="12"/>
      <c r="I747" s="12" t="s">
        <v>27</v>
      </c>
      <c r="J747" s="31" t="s">
        <v>126</v>
      </c>
      <c r="K747" s="15" t="s">
        <v>28</v>
      </c>
      <c r="L747" s="15"/>
      <c r="M747" s="33">
        <f t="shared" si="108"/>
        <v>34</v>
      </c>
      <c r="N747" s="15">
        <v>5100</v>
      </c>
      <c r="O747" s="15">
        <v>10900</v>
      </c>
      <c r="P747" s="15">
        <f t="shared" si="115"/>
        <v>55590000</v>
      </c>
      <c r="Q747" s="15" t="str">
        <f t="shared" si="113"/>
        <v/>
      </c>
      <c r="R747" s="18" t="s">
        <v>29</v>
      </c>
      <c r="S747" s="23">
        <v>43709</v>
      </c>
      <c r="T747" s="20">
        <f>IFERROR(VLOOKUP(S747,'Date Converter'!$A$4:$C$368,3,0),"")</f>
        <v>43737</v>
      </c>
      <c r="U747" s="21">
        <f t="shared" si="114"/>
        <v>43737</v>
      </c>
      <c r="V747" s="12" t="s">
        <v>51</v>
      </c>
      <c r="W747" s="18"/>
      <c r="X747" s="18"/>
      <c r="Y747" s="12"/>
      <c r="Z747" s="206"/>
      <c r="AA747" s="15"/>
      <c r="AB747" s="206"/>
      <c r="AC747" s="12"/>
      <c r="AD747" s="206"/>
      <c r="AE747" s="12"/>
      <c r="AF747" s="245"/>
      <c r="AG747" s="12"/>
      <c r="AH747" s="15">
        <f t="shared" si="109"/>
        <v>0</v>
      </c>
      <c r="AI747" s="22">
        <f t="shared" si="110"/>
        <v>5100</v>
      </c>
      <c r="AJ747" s="22">
        <f t="shared" si="111"/>
        <v>55590000</v>
      </c>
    </row>
    <row r="748" spans="1:37" hidden="1">
      <c r="A748" t="s">
        <v>1494</v>
      </c>
      <c r="B748" s="13">
        <v>43587</v>
      </c>
      <c r="C748" s="13" t="s">
        <v>23</v>
      </c>
      <c r="D748" t="s">
        <v>1513</v>
      </c>
      <c r="E748" s="119" t="s">
        <v>1504</v>
      </c>
      <c r="F748" t="str">
        <f t="shared" si="107"/>
        <v>NATA_RL_12.14_400_NL2018</v>
      </c>
      <c r="G748" s="13" t="s">
        <v>222</v>
      </c>
      <c r="H748" s="12" t="s">
        <v>219</v>
      </c>
      <c r="I748" s="12">
        <v>12.14</v>
      </c>
      <c r="J748" s="31" t="s">
        <v>128</v>
      </c>
      <c r="K748" s="15" t="s">
        <v>28</v>
      </c>
      <c r="M748" s="33">
        <f t="shared" si="108"/>
        <v>1</v>
      </c>
      <c r="N748" s="15">
        <f>1200+800-2000+400</f>
        <v>400</v>
      </c>
      <c r="O748" s="15">
        <v>8600</v>
      </c>
      <c r="P748" s="15">
        <f t="shared" si="115"/>
        <v>3440000</v>
      </c>
      <c r="Q748" s="15" t="str">
        <f t="shared" si="113"/>
        <v>Done</v>
      </c>
      <c r="R748" s="18" t="s">
        <v>44</v>
      </c>
      <c r="S748" s="23">
        <v>43603</v>
      </c>
      <c r="T748" s="20">
        <f>IFERROR(VLOOKUP(S748,'Date Converter'!$A$4:$C$368,3,0),"")</f>
        <v>43636</v>
      </c>
      <c r="U748" s="21">
        <f t="shared" si="114"/>
        <v>43636</v>
      </c>
      <c r="V748" s="12" t="s">
        <v>1496</v>
      </c>
      <c r="Z748" s="206">
        <v>43643</v>
      </c>
      <c r="AA748" s="15">
        <v>400</v>
      </c>
      <c r="AB748" s="206"/>
      <c r="AD748" s="206"/>
      <c r="AH748" s="15">
        <f t="shared" si="109"/>
        <v>400</v>
      </c>
      <c r="AI748" s="22">
        <f t="shared" si="110"/>
        <v>0</v>
      </c>
      <c r="AJ748" s="22">
        <f t="shared" si="111"/>
        <v>0</v>
      </c>
      <c r="AK748" s="165"/>
    </row>
    <row r="749" spans="1:37" hidden="1">
      <c r="A749" t="s">
        <v>1494</v>
      </c>
      <c r="B749" s="13">
        <v>43587</v>
      </c>
      <c r="C749" s="13" t="s">
        <v>23</v>
      </c>
      <c r="D749" t="s">
        <v>1513</v>
      </c>
      <c r="E749" s="119" t="s">
        <v>1504</v>
      </c>
      <c r="F749" t="str">
        <f t="shared" si="107"/>
        <v>NATA_RL_12.14_400_NL2018</v>
      </c>
      <c r="G749" s="13" t="s">
        <v>222</v>
      </c>
      <c r="H749" s="12" t="s">
        <v>219</v>
      </c>
      <c r="I749" s="12">
        <v>12.14</v>
      </c>
      <c r="J749" s="31" t="s">
        <v>128</v>
      </c>
      <c r="K749" s="15" t="s">
        <v>28</v>
      </c>
      <c r="M749" s="33">
        <f t="shared" si="108"/>
        <v>0</v>
      </c>
      <c r="N749" s="15">
        <f>1200+800-2000</f>
        <v>0</v>
      </c>
      <c r="O749" s="15">
        <v>8700</v>
      </c>
      <c r="P749" s="15">
        <f t="shared" si="115"/>
        <v>0</v>
      </c>
      <c r="Q749" s="15" t="str">
        <f t="shared" si="113"/>
        <v>Canceled</v>
      </c>
      <c r="R749" s="18" t="s">
        <v>71</v>
      </c>
      <c r="S749" s="23">
        <v>43631</v>
      </c>
      <c r="T749" s="20">
        <f>IFERROR(VLOOKUP(S749,'Date Converter'!$A$4:$C$368,3,0),"")</f>
        <v>43663</v>
      </c>
      <c r="U749" s="21">
        <f t="shared" si="114"/>
        <v>43663</v>
      </c>
      <c r="AA749" s="15"/>
      <c r="AB749" s="206"/>
      <c r="AD749" s="206"/>
      <c r="AH749" s="15">
        <f t="shared" si="109"/>
        <v>0</v>
      </c>
      <c r="AI749" s="22">
        <f t="shared" si="110"/>
        <v>0</v>
      </c>
      <c r="AJ749" s="22">
        <f t="shared" si="111"/>
        <v>0</v>
      </c>
      <c r="AK749" s="165"/>
    </row>
    <row r="750" spans="1:37" hidden="1">
      <c r="A750" t="s">
        <v>1494</v>
      </c>
      <c r="B750" s="13">
        <v>43587</v>
      </c>
      <c r="C750" s="13" t="s">
        <v>23</v>
      </c>
      <c r="D750" t="s">
        <v>1513</v>
      </c>
      <c r="E750" s="119" t="s">
        <v>1504</v>
      </c>
      <c r="F750" t="str">
        <f t="shared" si="107"/>
        <v>NATA_RL_12.14_400_NL2018</v>
      </c>
      <c r="G750" s="13" t="s">
        <v>222</v>
      </c>
      <c r="H750" s="12" t="s">
        <v>219</v>
      </c>
      <c r="I750" s="12">
        <v>12.14</v>
      </c>
      <c r="J750" s="31" t="s">
        <v>128</v>
      </c>
      <c r="K750" s="15" t="s">
        <v>28</v>
      </c>
      <c r="M750" s="33">
        <f t="shared" si="108"/>
        <v>0</v>
      </c>
      <c r="N750" s="15">
        <f>1200-1200</f>
        <v>0</v>
      </c>
      <c r="O750" s="15">
        <v>8700</v>
      </c>
      <c r="P750" s="15">
        <f t="shared" si="115"/>
        <v>0</v>
      </c>
      <c r="Q750" s="15" t="str">
        <f t="shared" si="113"/>
        <v>Canceled</v>
      </c>
      <c r="R750" s="18" t="s">
        <v>71</v>
      </c>
      <c r="S750" s="23">
        <v>43656</v>
      </c>
      <c r="T750" s="20">
        <f>IFERROR(VLOOKUP(S750,'Date Converter'!$A$4:$C$368,3,0),"")</f>
        <v>43687</v>
      </c>
      <c r="U750" s="21">
        <f t="shared" si="114"/>
        <v>43687</v>
      </c>
      <c r="AA750" s="15"/>
      <c r="AB750" s="206"/>
      <c r="AD750" s="206"/>
      <c r="AH750" s="15">
        <f t="shared" si="109"/>
        <v>0</v>
      </c>
      <c r="AI750" s="22">
        <f t="shared" si="110"/>
        <v>0</v>
      </c>
      <c r="AJ750" s="22">
        <f t="shared" si="111"/>
        <v>0</v>
      </c>
      <c r="AK750" s="165"/>
    </row>
    <row r="751" spans="1:37" s="165" customFormat="1" hidden="1">
      <c r="A751" s="165" t="s">
        <v>1497</v>
      </c>
      <c r="B751" s="13">
        <v>43587</v>
      </c>
      <c r="C751" s="13" t="s">
        <v>23</v>
      </c>
      <c r="D751" s="165" t="s">
        <v>1513</v>
      </c>
      <c r="E751" s="119" t="s">
        <v>1504</v>
      </c>
      <c r="F751" s="165" t="str">
        <f t="shared" si="107"/>
        <v>NATA_RL_12.14_400_NL2018</v>
      </c>
      <c r="G751" s="13" t="s">
        <v>222</v>
      </c>
      <c r="H751" s="12" t="s">
        <v>219</v>
      </c>
      <c r="I751" s="12" t="s">
        <v>113</v>
      </c>
      <c r="J751" s="31" t="s">
        <v>128</v>
      </c>
      <c r="K751" s="15" t="s">
        <v>28</v>
      </c>
      <c r="L751" s="15"/>
      <c r="M751" s="33">
        <f t="shared" si="108"/>
        <v>0</v>
      </c>
      <c r="N751" s="15">
        <f>10000-10000</f>
        <v>0</v>
      </c>
      <c r="O751" s="15">
        <v>8800</v>
      </c>
      <c r="P751" s="15">
        <f t="shared" si="115"/>
        <v>0</v>
      </c>
      <c r="Q751" s="15" t="str">
        <f t="shared" si="113"/>
        <v>Canceled</v>
      </c>
      <c r="R751" s="18" t="s">
        <v>71</v>
      </c>
      <c r="S751" s="23">
        <v>43709</v>
      </c>
      <c r="T751" s="20">
        <f>IFERROR(VLOOKUP(S751,'Date Converter'!$A$4:$C$368,3,0),"")</f>
        <v>43737</v>
      </c>
      <c r="U751" s="21">
        <f t="shared" si="114"/>
        <v>43737</v>
      </c>
      <c r="V751" s="12" t="s">
        <v>51</v>
      </c>
      <c r="W751" s="18"/>
      <c r="X751" s="18"/>
      <c r="Y751" s="12"/>
      <c r="Z751" s="206"/>
      <c r="AA751" s="15"/>
      <c r="AB751" s="206"/>
      <c r="AC751" s="12"/>
      <c r="AD751" s="206"/>
      <c r="AE751" s="12"/>
      <c r="AF751" s="245"/>
      <c r="AG751" s="12"/>
      <c r="AH751" s="15">
        <f t="shared" si="109"/>
        <v>0</v>
      </c>
      <c r="AI751" s="22">
        <f t="shared" si="110"/>
        <v>0</v>
      </c>
      <c r="AJ751" s="22">
        <f t="shared" si="111"/>
        <v>0</v>
      </c>
    </row>
    <row r="752" spans="1:37" s="165" customFormat="1" hidden="1">
      <c r="A752" s="165" t="s">
        <v>314</v>
      </c>
      <c r="B752" s="13">
        <v>43505</v>
      </c>
      <c r="C752" s="13" t="s">
        <v>23</v>
      </c>
      <c r="D752" s="165" t="s">
        <v>176</v>
      </c>
      <c r="E752" s="165" t="s">
        <v>177</v>
      </c>
      <c r="F752" s="165" t="str">
        <f t="shared" si="107"/>
        <v>YELL_12.14_400_NL2018</v>
      </c>
      <c r="G752" s="165" t="s">
        <v>89</v>
      </c>
      <c r="H752" s="12"/>
      <c r="I752" s="12" t="s">
        <v>113</v>
      </c>
      <c r="J752" s="14">
        <v>400</v>
      </c>
      <c r="K752" s="15" t="s">
        <v>28</v>
      </c>
      <c r="L752" s="15"/>
      <c r="M752" s="16">
        <f t="shared" si="108"/>
        <v>15</v>
      </c>
      <c r="N752" s="15">
        <v>6000</v>
      </c>
      <c r="O752" s="15">
        <v>2600</v>
      </c>
      <c r="P752" s="15">
        <f t="shared" si="115"/>
        <v>15600000</v>
      </c>
      <c r="Q752" s="15" t="str">
        <f t="shared" si="113"/>
        <v>Done</v>
      </c>
      <c r="R752" s="18" t="s">
        <v>44</v>
      </c>
      <c r="S752" s="19">
        <v>43481</v>
      </c>
      <c r="T752" s="20">
        <f>IFERROR(VLOOKUP(S752,'Date Converter'!$A$4:$C$368,3,0),"")</f>
        <v>43516</v>
      </c>
      <c r="U752" s="21">
        <f t="shared" si="114"/>
        <v>43516</v>
      </c>
      <c r="V752" s="12" t="s">
        <v>114</v>
      </c>
      <c r="W752" s="18"/>
      <c r="X752" s="18"/>
      <c r="Y752" s="15" t="s">
        <v>59</v>
      </c>
      <c r="Z752" s="206">
        <v>43516</v>
      </c>
      <c r="AA752" s="15">
        <v>6000</v>
      </c>
      <c r="AB752" s="206"/>
      <c r="AC752" s="15"/>
      <c r="AD752" s="206"/>
      <c r="AE752" s="15"/>
      <c r="AF752" s="244"/>
      <c r="AG752" s="15"/>
      <c r="AH752" s="15">
        <f t="shared" si="109"/>
        <v>6000</v>
      </c>
      <c r="AI752" s="22">
        <f t="shared" si="110"/>
        <v>0</v>
      </c>
      <c r="AJ752" s="22">
        <f t="shared" si="111"/>
        <v>0</v>
      </c>
    </row>
    <row r="753" spans="1:37" s="165" customFormat="1" hidden="1">
      <c r="A753" s="165" t="s">
        <v>314</v>
      </c>
      <c r="B753" s="13">
        <v>43505</v>
      </c>
      <c r="C753" s="13" t="s">
        <v>23</v>
      </c>
      <c r="D753" s="165" t="s">
        <v>176</v>
      </c>
      <c r="E753" s="165" t="s">
        <v>177</v>
      </c>
      <c r="F753" s="165" t="str">
        <f t="shared" si="107"/>
        <v>YELL_12.14_400_NL2018</v>
      </c>
      <c r="G753" s="165" t="s">
        <v>89</v>
      </c>
      <c r="H753" s="12"/>
      <c r="I753" s="12" t="s">
        <v>113</v>
      </c>
      <c r="J753" s="14">
        <v>400</v>
      </c>
      <c r="K753" s="15" t="s">
        <v>28</v>
      </c>
      <c r="L753" s="15"/>
      <c r="M753" s="16">
        <f t="shared" si="108"/>
        <v>15</v>
      </c>
      <c r="N753" s="15">
        <v>6000</v>
      </c>
      <c r="O753" s="15">
        <v>2600</v>
      </c>
      <c r="P753" s="15">
        <f t="shared" si="115"/>
        <v>15600000</v>
      </c>
      <c r="Q753" s="15" t="str">
        <f t="shared" si="113"/>
        <v>Done</v>
      </c>
      <c r="R753" s="18" t="s">
        <v>44</v>
      </c>
      <c r="S753" s="23">
        <v>43493</v>
      </c>
      <c r="T753" s="20">
        <f>IFERROR(VLOOKUP(S753,'Date Converter'!$A$4:$C$368,3,0),"")</f>
        <v>43528</v>
      </c>
      <c r="U753" s="21">
        <f t="shared" si="114"/>
        <v>43528</v>
      </c>
      <c r="V753" s="12" t="s">
        <v>179</v>
      </c>
      <c r="W753" s="18"/>
      <c r="X753" s="18"/>
      <c r="Y753" s="15" t="s">
        <v>59</v>
      </c>
      <c r="Z753" s="206">
        <v>43528</v>
      </c>
      <c r="AA753" s="15">
        <v>6000</v>
      </c>
      <c r="AB753" s="206"/>
      <c r="AC753" s="15"/>
      <c r="AD753" s="206"/>
      <c r="AE753" s="15"/>
      <c r="AF753" s="244"/>
      <c r="AG753" s="15"/>
      <c r="AH753" s="15">
        <f t="shared" si="109"/>
        <v>6000</v>
      </c>
      <c r="AI753" s="22">
        <f t="shared" si="110"/>
        <v>0</v>
      </c>
      <c r="AJ753" s="22">
        <f t="shared" si="111"/>
        <v>0</v>
      </c>
    </row>
    <row r="754" spans="1:37" s="165" customFormat="1" hidden="1">
      <c r="A754" s="165" t="s">
        <v>314</v>
      </c>
      <c r="B754" s="13">
        <v>43505</v>
      </c>
      <c r="C754" s="13" t="s">
        <v>23</v>
      </c>
      <c r="D754" s="165" t="s">
        <v>176</v>
      </c>
      <c r="E754" s="165" t="s">
        <v>177</v>
      </c>
      <c r="F754" s="165" t="str">
        <f t="shared" si="107"/>
        <v>YELL_12.14_400_NL2018</v>
      </c>
      <c r="G754" s="165" t="s">
        <v>89</v>
      </c>
      <c r="H754" s="12"/>
      <c r="I754" s="12" t="s">
        <v>113</v>
      </c>
      <c r="J754" s="14">
        <v>400</v>
      </c>
      <c r="K754" s="15" t="s">
        <v>28</v>
      </c>
      <c r="L754" s="15"/>
      <c r="M754" s="16">
        <f t="shared" si="108"/>
        <v>8</v>
      </c>
      <c r="N754" s="15">
        <v>3200</v>
      </c>
      <c r="O754" s="15">
        <v>2600</v>
      </c>
      <c r="P754" s="15">
        <f t="shared" si="115"/>
        <v>8320000</v>
      </c>
      <c r="Q754" s="15" t="str">
        <f t="shared" si="113"/>
        <v>Done</v>
      </c>
      <c r="R754" s="18" t="s">
        <v>44</v>
      </c>
      <c r="S754" s="23">
        <v>43511</v>
      </c>
      <c r="T754" s="20">
        <f>IFERROR(VLOOKUP(S754,'Date Converter'!$A$4:$C$368,3,0),"")</f>
        <v>43544</v>
      </c>
      <c r="U754" s="21">
        <f t="shared" si="114"/>
        <v>43544</v>
      </c>
      <c r="V754" s="12" t="s">
        <v>393</v>
      </c>
      <c r="W754" s="18" t="s">
        <v>33</v>
      </c>
      <c r="X754" s="18">
        <v>43541</v>
      </c>
      <c r="Y754" s="15"/>
      <c r="Z754" s="206">
        <v>43587</v>
      </c>
      <c r="AA754" s="15">
        <v>3200</v>
      </c>
      <c r="AB754" s="206"/>
      <c r="AC754" s="15"/>
      <c r="AD754" s="206"/>
      <c r="AE754" s="15"/>
      <c r="AF754" s="244"/>
      <c r="AG754" s="15"/>
      <c r="AH754" s="15">
        <f t="shared" si="109"/>
        <v>3200</v>
      </c>
      <c r="AI754" s="22">
        <f t="shared" si="110"/>
        <v>0</v>
      </c>
      <c r="AJ754" s="22">
        <f t="shared" si="111"/>
        <v>0</v>
      </c>
    </row>
    <row r="755" spans="1:37" s="165" customFormat="1" hidden="1">
      <c r="A755" s="165" t="s">
        <v>314</v>
      </c>
      <c r="B755" s="13">
        <v>43505</v>
      </c>
      <c r="C755" s="13" t="s">
        <v>23</v>
      </c>
      <c r="D755" s="165" t="s">
        <v>176</v>
      </c>
      <c r="E755" s="165" t="s">
        <v>177</v>
      </c>
      <c r="F755" s="165" t="str">
        <f t="shared" si="107"/>
        <v>YELL_12.14_400_NL2018</v>
      </c>
      <c r="G755" s="165" t="s">
        <v>89</v>
      </c>
      <c r="H755" s="12"/>
      <c r="I755" s="12" t="s">
        <v>113</v>
      </c>
      <c r="J755" s="14">
        <v>400</v>
      </c>
      <c r="K755" s="15" t="s">
        <v>28</v>
      </c>
      <c r="L755" s="15"/>
      <c r="M755" s="16">
        <f t="shared" si="108"/>
        <v>15</v>
      </c>
      <c r="N755" s="15">
        <f>3200+2800</f>
        <v>6000</v>
      </c>
      <c r="O755" s="15">
        <v>2600</v>
      </c>
      <c r="P755" s="15">
        <f t="shared" si="115"/>
        <v>15600000</v>
      </c>
      <c r="Q755" s="15" t="str">
        <f t="shared" si="113"/>
        <v>Done</v>
      </c>
      <c r="R755" s="18" t="s">
        <v>44</v>
      </c>
      <c r="S755" s="23">
        <v>43524</v>
      </c>
      <c r="T755" s="20">
        <f>IFERROR(VLOOKUP(S755,'Date Converter'!$A$4:$C$368,3,0),"")</f>
        <v>43557</v>
      </c>
      <c r="U755" s="21">
        <f t="shared" si="114"/>
        <v>43557</v>
      </c>
      <c r="V755" s="12" t="s">
        <v>81</v>
      </c>
      <c r="W755" s="18" t="s">
        <v>72</v>
      </c>
      <c r="X755" s="18">
        <v>43555</v>
      </c>
      <c r="Y755" s="15" t="s">
        <v>59</v>
      </c>
      <c r="Z755" s="206">
        <v>43572</v>
      </c>
      <c r="AA755" s="15">
        <v>6000</v>
      </c>
      <c r="AB755" s="206"/>
      <c r="AC755" s="15"/>
      <c r="AD755" s="206"/>
      <c r="AE755" s="15"/>
      <c r="AF755" s="244"/>
      <c r="AG755" s="15"/>
      <c r="AH755" s="15">
        <f t="shared" si="109"/>
        <v>6000</v>
      </c>
      <c r="AI755" s="22">
        <f t="shared" si="110"/>
        <v>0</v>
      </c>
      <c r="AJ755" s="22">
        <f t="shared" si="111"/>
        <v>0</v>
      </c>
      <c r="AK755" s="165" t="s">
        <v>180</v>
      </c>
    </row>
    <row r="756" spans="1:37" hidden="1">
      <c r="A756" t="s">
        <v>314</v>
      </c>
      <c r="B756" s="13">
        <v>43505</v>
      </c>
      <c r="C756" s="13" t="s">
        <v>23</v>
      </c>
      <c r="D756" t="s">
        <v>176</v>
      </c>
      <c r="E756" s="165" t="s">
        <v>177</v>
      </c>
      <c r="F756" t="str">
        <f t="shared" si="107"/>
        <v>YELL_12.14_400_NL2018</v>
      </c>
      <c r="G756" s="165" t="s">
        <v>89</v>
      </c>
      <c r="I756" s="12" t="s">
        <v>113</v>
      </c>
      <c r="J756" s="14">
        <v>400</v>
      </c>
      <c r="K756" s="15" t="s">
        <v>28</v>
      </c>
      <c r="M756" s="16">
        <f t="shared" si="108"/>
        <v>15</v>
      </c>
      <c r="N756" s="15">
        <v>6000</v>
      </c>
      <c r="O756" s="15">
        <v>2600</v>
      </c>
      <c r="P756" s="15">
        <f t="shared" si="115"/>
        <v>15600000</v>
      </c>
      <c r="Q756" s="15" t="str">
        <f t="shared" si="113"/>
        <v>Done</v>
      </c>
      <c r="R756" s="18" t="s">
        <v>44</v>
      </c>
      <c r="S756" s="23">
        <v>43539</v>
      </c>
      <c r="T756" s="20">
        <f>IFERROR(VLOOKUP(S756,'Date Converter'!$A$4:$C$368,3,0),"")</f>
        <v>43574</v>
      </c>
      <c r="U756" s="21">
        <f t="shared" si="114"/>
        <v>43574</v>
      </c>
      <c r="V756" s="12" t="s">
        <v>57</v>
      </c>
      <c r="W756" s="18" t="s">
        <v>143</v>
      </c>
      <c r="X756" s="18">
        <v>43569</v>
      </c>
      <c r="Y756" s="15" t="s">
        <v>59</v>
      </c>
      <c r="Z756" s="206">
        <v>43558</v>
      </c>
      <c r="AA756" s="15">
        <v>6000</v>
      </c>
      <c r="AB756" s="206"/>
      <c r="AC756" s="15"/>
      <c r="AD756" s="206"/>
      <c r="AE756" s="15"/>
      <c r="AF756" s="244"/>
      <c r="AG756" s="15"/>
      <c r="AH756" s="15">
        <f t="shared" si="109"/>
        <v>6000</v>
      </c>
      <c r="AI756" s="22">
        <f t="shared" si="110"/>
        <v>0</v>
      </c>
      <c r="AJ756" s="22">
        <f t="shared" si="111"/>
        <v>0</v>
      </c>
      <c r="AK756" s="165" t="s">
        <v>180</v>
      </c>
    </row>
    <row r="757" spans="1:37" hidden="1">
      <c r="A757" t="s">
        <v>314</v>
      </c>
      <c r="B757" s="13">
        <v>43505</v>
      </c>
      <c r="C757" s="13" t="s">
        <v>23</v>
      </c>
      <c r="D757" t="s">
        <v>176</v>
      </c>
      <c r="E757" s="165" t="s">
        <v>177</v>
      </c>
      <c r="F757" t="str">
        <f t="shared" si="107"/>
        <v>YELL_12.14_400_NL2018</v>
      </c>
      <c r="G757" s="165" t="s">
        <v>89</v>
      </c>
      <c r="I757" s="12" t="s">
        <v>113</v>
      </c>
      <c r="J757" s="14">
        <v>400</v>
      </c>
      <c r="K757" s="15" t="s">
        <v>28</v>
      </c>
      <c r="M757" s="16">
        <f t="shared" si="108"/>
        <v>8</v>
      </c>
      <c r="N757" s="15">
        <v>3200</v>
      </c>
      <c r="O757" s="15">
        <v>2600</v>
      </c>
      <c r="P757" s="15">
        <f t="shared" si="115"/>
        <v>8320000</v>
      </c>
      <c r="Q757" s="15" t="str">
        <f t="shared" si="113"/>
        <v>Done</v>
      </c>
      <c r="R757" s="18" t="s">
        <v>44</v>
      </c>
      <c r="S757" s="23">
        <v>43539</v>
      </c>
      <c r="T757" s="20">
        <f>IFERROR(VLOOKUP(S757,'Date Converter'!$A$4:$C$368,3,0),"")</f>
        <v>43574</v>
      </c>
      <c r="U757" s="21">
        <f t="shared" si="114"/>
        <v>43574</v>
      </c>
      <c r="V757" s="12" t="s">
        <v>57</v>
      </c>
      <c r="W757" s="18" t="s">
        <v>143</v>
      </c>
      <c r="X757" s="18">
        <v>43569</v>
      </c>
      <c r="Y757" s="15" t="s">
        <v>59</v>
      </c>
      <c r="Z757" s="206">
        <v>43544</v>
      </c>
      <c r="AA757" s="15">
        <v>3200</v>
      </c>
      <c r="AB757" s="206"/>
      <c r="AC757" s="15"/>
      <c r="AD757" s="206"/>
      <c r="AE757" s="15"/>
      <c r="AF757" s="244"/>
      <c r="AG757" s="15"/>
      <c r="AH757" s="15">
        <f t="shared" si="109"/>
        <v>3200</v>
      </c>
      <c r="AI757" s="22">
        <f t="shared" si="110"/>
        <v>0</v>
      </c>
      <c r="AJ757" s="22">
        <f t="shared" si="111"/>
        <v>0</v>
      </c>
      <c r="AK757" s="165"/>
    </row>
    <row r="758" spans="1:37" hidden="1">
      <c r="A758" t="s">
        <v>314</v>
      </c>
      <c r="B758" s="13">
        <v>43580</v>
      </c>
      <c r="C758" s="13" t="s">
        <v>23</v>
      </c>
      <c r="D758" t="s">
        <v>176</v>
      </c>
      <c r="E758" s="165" t="s">
        <v>177</v>
      </c>
      <c r="F758" t="str">
        <f t="shared" si="107"/>
        <v>YELL_12.14_400_NL2018</v>
      </c>
      <c r="G758" s="165" t="s">
        <v>89</v>
      </c>
      <c r="I758" s="12" t="s">
        <v>113</v>
      </c>
      <c r="J758" s="14">
        <v>400</v>
      </c>
      <c r="K758" s="15" t="s">
        <v>28</v>
      </c>
      <c r="M758" s="16">
        <f t="shared" si="108"/>
        <v>25</v>
      </c>
      <c r="N758" s="15">
        <f>3200+6000+800</f>
        <v>10000</v>
      </c>
      <c r="O758" s="15">
        <v>2800</v>
      </c>
      <c r="P758" s="15">
        <f t="shared" si="115"/>
        <v>28000000</v>
      </c>
      <c r="Q758" s="15" t="str">
        <f t="shared" si="113"/>
        <v>Done</v>
      </c>
      <c r="R758" s="18" t="s">
        <v>44</v>
      </c>
      <c r="S758" s="23">
        <v>43539</v>
      </c>
      <c r="T758" s="20">
        <f>IFERROR(VLOOKUP(S758,'Date Converter'!$A$4:$C$368,3,0),"")</f>
        <v>43574</v>
      </c>
      <c r="U758" s="21">
        <f t="shared" si="114"/>
        <v>43574</v>
      </c>
      <c r="V758" s="12" t="s">
        <v>57</v>
      </c>
      <c r="Y758" s="15"/>
      <c r="Z758" s="206">
        <v>43587</v>
      </c>
      <c r="AA758" s="15">
        <v>3200</v>
      </c>
      <c r="AB758" s="206">
        <v>43619</v>
      </c>
      <c r="AC758" s="15">
        <v>6800</v>
      </c>
      <c r="AD758" s="206"/>
      <c r="AE758" s="15"/>
      <c r="AF758" s="244"/>
      <c r="AG758" s="15"/>
      <c r="AH758" s="15">
        <f t="shared" si="109"/>
        <v>10000</v>
      </c>
      <c r="AI758" s="22">
        <f t="shared" si="110"/>
        <v>0</v>
      </c>
      <c r="AJ758" s="22">
        <f t="shared" si="111"/>
        <v>0</v>
      </c>
      <c r="AK758" s="165"/>
    </row>
    <row r="759" spans="1:37" s="165" customFormat="1" hidden="1">
      <c r="A759" s="165" t="s">
        <v>314</v>
      </c>
      <c r="B759" s="13">
        <v>43591</v>
      </c>
      <c r="C759" s="13" t="s">
        <v>23</v>
      </c>
      <c r="D759" s="165" t="s">
        <v>176</v>
      </c>
      <c r="E759" s="198" t="s">
        <v>177</v>
      </c>
      <c r="F759" s="165" t="str">
        <f t="shared" ref="F759:F822" si="116">SUBSTITUTE(LEFT(G759,4)&amp;"_"&amp;H759&amp;"_"&amp;I759&amp;"_"&amp;J759&amp;"_"&amp;K759,"__","_")</f>
        <v>YELL_12.14_400_NL2018</v>
      </c>
      <c r="G759" s="165" t="s">
        <v>89</v>
      </c>
      <c r="H759" s="12"/>
      <c r="I759" s="12" t="s">
        <v>113</v>
      </c>
      <c r="J759" s="14">
        <v>400</v>
      </c>
      <c r="K759" s="15" t="s">
        <v>28</v>
      </c>
      <c r="L759" s="15"/>
      <c r="M759" s="16">
        <f t="shared" ref="M759:M822" si="117">+N759/J759</f>
        <v>13</v>
      </c>
      <c r="N759" s="15">
        <v>5200</v>
      </c>
      <c r="O759" s="15">
        <v>2800</v>
      </c>
      <c r="P759" s="15">
        <f t="shared" si="115"/>
        <v>14560000</v>
      </c>
      <c r="Q759" s="15" t="str">
        <f t="shared" si="113"/>
        <v>Done</v>
      </c>
      <c r="R759" s="18" t="s">
        <v>44</v>
      </c>
      <c r="S759" s="23">
        <v>43572</v>
      </c>
      <c r="T759" s="20">
        <f>IFERROR(VLOOKUP(S759,'Date Converter'!$A$4:$C$368,3,0),"")</f>
        <v>43606</v>
      </c>
      <c r="U759" s="21">
        <f t="shared" si="114"/>
        <v>43606</v>
      </c>
      <c r="V759" s="12"/>
      <c r="W759" s="18"/>
      <c r="X759" s="18"/>
      <c r="Y759" s="15"/>
      <c r="Z759" s="206">
        <v>43602</v>
      </c>
      <c r="AA759" s="15">
        <v>5200</v>
      </c>
      <c r="AB759" s="206"/>
      <c r="AC759" s="15"/>
      <c r="AD759" s="206"/>
      <c r="AE759" s="15"/>
      <c r="AF759" s="244"/>
      <c r="AG759" s="15"/>
      <c r="AH759" s="15">
        <f t="shared" ref="AH759:AH822" si="118">+AA759+AC759+AE759+AG759</f>
        <v>5200</v>
      </c>
      <c r="AI759" s="22">
        <f t="shared" ref="AI759:AI822" si="119">+N759-AH759</f>
        <v>0</v>
      </c>
      <c r="AJ759" s="22">
        <f t="shared" ref="AJ759:AJ822" si="120">+AI759*O759</f>
        <v>0</v>
      </c>
    </row>
    <row r="760" spans="1:37" hidden="1">
      <c r="A760" t="s">
        <v>314</v>
      </c>
      <c r="B760" s="13">
        <v>43633</v>
      </c>
      <c r="C760" s="13" t="s">
        <v>23</v>
      </c>
      <c r="D760" t="s">
        <v>176</v>
      </c>
      <c r="E760" s="198" t="s">
        <v>177</v>
      </c>
      <c r="F760" t="str">
        <f t="shared" si="116"/>
        <v>YELL_12.14_400_NL2018</v>
      </c>
      <c r="G760" s="165" t="s">
        <v>89</v>
      </c>
      <c r="I760" s="12" t="s">
        <v>113</v>
      </c>
      <c r="J760" s="14">
        <v>400</v>
      </c>
      <c r="K760" s="15" t="s">
        <v>28</v>
      </c>
      <c r="M760" s="16">
        <f t="shared" si="117"/>
        <v>13</v>
      </c>
      <c r="N760" s="15">
        <v>5200</v>
      </c>
      <c r="O760" s="15">
        <v>2800</v>
      </c>
      <c r="P760" s="15">
        <f t="shared" si="115"/>
        <v>14560000</v>
      </c>
      <c r="Q760" s="15" t="str">
        <f t="shared" si="113"/>
        <v>Done</v>
      </c>
      <c r="R760" s="18" t="s">
        <v>44</v>
      </c>
      <c r="S760" s="23">
        <v>43633</v>
      </c>
      <c r="T760" s="20">
        <f>IFERROR(VLOOKUP(S760,'Date Converter'!$A$4:$C$368,3,0),"")</f>
        <v>43665</v>
      </c>
      <c r="U760" s="21">
        <f t="shared" si="114"/>
        <v>43665</v>
      </c>
      <c r="Y760" s="15"/>
      <c r="Z760" s="206">
        <v>43633</v>
      </c>
      <c r="AA760" s="15">
        <v>5200</v>
      </c>
      <c r="AB760" s="206"/>
      <c r="AC760" s="15"/>
      <c r="AD760" s="206"/>
      <c r="AE760" s="15"/>
      <c r="AF760" s="244"/>
      <c r="AG760" s="15"/>
      <c r="AH760" s="15">
        <f t="shared" si="118"/>
        <v>5200</v>
      </c>
      <c r="AI760" s="22">
        <f t="shared" si="119"/>
        <v>0</v>
      </c>
      <c r="AJ760" s="22">
        <f t="shared" si="120"/>
        <v>0</v>
      </c>
      <c r="AK760" s="165"/>
    </row>
    <row r="761" spans="1:37" hidden="1">
      <c r="A761" t="s">
        <v>314</v>
      </c>
      <c r="B761" s="13">
        <v>43591</v>
      </c>
      <c r="C761" s="13" t="s">
        <v>23</v>
      </c>
      <c r="D761" t="s">
        <v>176</v>
      </c>
      <c r="E761" s="198" t="s">
        <v>177</v>
      </c>
      <c r="F761" s="165" t="str">
        <f t="shared" si="116"/>
        <v>YELL_12.14_400_NL2018</v>
      </c>
      <c r="G761" s="165" t="s">
        <v>89</v>
      </c>
      <c r="I761" s="12" t="s">
        <v>113</v>
      </c>
      <c r="J761" s="14">
        <v>400</v>
      </c>
      <c r="K761" s="15" t="s">
        <v>28</v>
      </c>
      <c r="M761" s="16">
        <f t="shared" si="117"/>
        <v>25</v>
      </c>
      <c r="N761" s="32">
        <f>6000+4000</f>
        <v>10000</v>
      </c>
      <c r="O761" s="15">
        <v>2800</v>
      </c>
      <c r="P761" s="15">
        <f t="shared" si="115"/>
        <v>28000000</v>
      </c>
      <c r="Q761" s="15" t="str">
        <f t="shared" si="113"/>
        <v/>
      </c>
      <c r="R761" s="18" t="s">
        <v>31</v>
      </c>
      <c r="S761" s="23">
        <v>43631</v>
      </c>
      <c r="T761" s="20">
        <f>IFERROR(VLOOKUP(S761,'Date Converter'!$A$4:$C$368,3,0),"")</f>
        <v>43663</v>
      </c>
      <c r="U761" s="21">
        <f t="shared" si="114"/>
        <v>43663</v>
      </c>
      <c r="Y761" s="15"/>
      <c r="AA761" s="15"/>
      <c r="AB761" s="206"/>
      <c r="AC761" s="15"/>
      <c r="AD761" s="206"/>
      <c r="AE761" s="15"/>
      <c r="AF761" s="244"/>
      <c r="AG761" s="15"/>
      <c r="AH761" s="15">
        <f t="shared" si="118"/>
        <v>0</v>
      </c>
      <c r="AI761" s="22">
        <f t="shared" si="119"/>
        <v>10000</v>
      </c>
      <c r="AJ761" s="22">
        <f t="shared" si="120"/>
        <v>28000000</v>
      </c>
      <c r="AK761" s="165"/>
    </row>
    <row r="762" spans="1:37" hidden="1">
      <c r="A762" t="s">
        <v>314</v>
      </c>
      <c r="B762" s="13">
        <v>43634</v>
      </c>
      <c r="C762" s="13" t="s">
        <v>23</v>
      </c>
      <c r="D762" t="s">
        <v>176</v>
      </c>
      <c r="E762" s="198" t="s">
        <v>177</v>
      </c>
      <c r="F762" t="str">
        <f t="shared" si="116"/>
        <v>YELL_14.16_300_NL2018</v>
      </c>
      <c r="G762" s="165" t="s">
        <v>89</v>
      </c>
      <c r="I762" s="12" t="s">
        <v>47</v>
      </c>
      <c r="J762" s="14">
        <v>300</v>
      </c>
      <c r="K762" s="15" t="s">
        <v>28</v>
      </c>
      <c r="M762" s="16">
        <f t="shared" si="117"/>
        <v>27</v>
      </c>
      <c r="N762" s="32">
        <v>8100</v>
      </c>
      <c r="O762" s="15">
        <v>4000</v>
      </c>
      <c r="P762" s="15">
        <f t="shared" si="115"/>
        <v>32400000</v>
      </c>
      <c r="Q762" s="15" t="str">
        <f t="shared" si="113"/>
        <v/>
      </c>
      <c r="R762" s="18" t="s">
        <v>29</v>
      </c>
      <c r="S762" s="23">
        <v>43661</v>
      </c>
      <c r="T762" s="20">
        <f>IFERROR(VLOOKUP(S762,'Date Converter'!$A$4:$C$368,3,0),"")</f>
        <v>43692</v>
      </c>
      <c r="U762" s="21">
        <f t="shared" si="114"/>
        <v>43692</v>
      </c>
      <c r="Y762" s="15"/>
      <c r="AA762" s="15"/>
      <c r="AB762" s="206"/>
      <c r="AC762" s="15"/>
      <c r="AD762" s="206"/>
      <c r="AE762" s="15"/>
      <c r="AF762" s="244"/>
      <c r="AG762" s="15"/>
      <c r="AH762" s="15">
        <f t="shared" si="118"/>
        <v>0</v>
      </c>
      <c r="AI762" s="22">
        <f t="shared" si="119"/>
        <v>8100</v>
      </c>
      <c r="AJ762" s="22">
        <f t="shared" si="120"/>
        <v>32400000</v>
      </c>
      <c r="AK762" s="165"/>
    </row>
    <row r="763" spans="1:37" hidden="1">
      <c r="A763" t="s">
        <v>314</v>
      </c>
      <c r="B763" s="13">
        <v>43634</v>
      </c>
      <c r="C763" s="13" t="s">
        <v>23</v>
      </c>
      <c r="D763" t="s">
        <v>176</v>
      </c>
      <c r="E763" s="198" t="s">
        <v>177</v>
      </c>
      <c r="F763" t="str">
        <f t="shared" si="116"/>
        <v>YELL_14.16_300_NL2018</v>
      </c>
      <c r="G763" s="165" t="s">
        <v>89</v>
      </c>
      <c r="I763" s="12" t="s">
        <v>47</v>
      </c>
      <c r="J763" s="14">
        <v>300</v>
      </c>
      <c r="K763" s="15" t="s">
        <v>28</v>
      </c>
      <c r="M763" s="16">
        <f t="shared" si="117"/>
        <v>24</v>
      </c>
      <c r="N763" s="32">
        <f>6000+1200</f>
        <v>7200</v>
      </c>
      <c r="O763" s="15">
        <v>4100</v>
      </c>
      <c r="P763" s="15">
        <f t="shared" si="115"/>
        <v>29520000</v>
      </c>
      <c r="Q763" s="15" t="str">
        <f t="shared" si="113"/>
        <v/>
      </c>
      <c r="R763" s="18" t="s">
        <v>29</v>
      </c>
      <c r="S763" s="23">
        <v>43678</v>
      </c>
      <c r="T763" s="20">
        <f>IFERROR(VLOOKUP(S763,'Date Converter'!$A$4:$C$368,3,0),"")</f>
        <v>43707</v>
      </c>
      <c r="U763" s="21">
        <f t="shared" si="114"/>
        <v>43707</v>
      </c>
      <c r="Y763" s="15"/>
      <c r="AA763" s="15"/>
      <c r="AB763" s="206"/>
      <c r="AC763" s="15"/>
      <c r="AD763" s="206"/>
      <c r="AE763" s="15"/>
      <c r="AF763" s="244"/>
      <c r="AG763" s="15"/>
      <c r="AH763" s="15">
        <f t="shared" si="118"/>
        <v>0</v>
      </c>
      <c r="AI763" s="22">
        <f t="shared" si="119"/>
        <v>7200</v>
      </c>
      <c r="AJ763" s="22">
        <f t="shared" si="120"/>
        <v>29520000</v>
      </c>
      <c r="AK763" s="165"/>
    </row>
    <row r="764" spans="1:37" s="165" customFormat="1" hidden="1">
      <c r="A764" s="165" t="s">
        <v>314</v>
      </c>
      <c r="B764" s="13">
        <v>43641</v>
      </c>
      <c r="C764" s="13" t="s">
        <v>23</v>
      </c>
      <c r="D764" s="165" t="s">
        <v>176</v>
      </c>
      <c r="E764" s="198" t="s">
        <v>177</v>
      </c>
      <c r="F764" s="165" t="str">
        <f t="shared" si="116"/>
        <v>YELL_14.16_300_NL2018</v>
      </c>
      <c r="G764" s="165" t="s">
        <v>89</v>
      </c>
      <c r="H764" s="12"/>
      <c r="I764" s="12" t="s">
        <v>47</v>
      </c>
      <c r="J764" s="14">
        <v>300</v>
      </c>
      <c r="K764" s="15" t="s">
        <v>28</v>
      </c>
      <c r="L764" s="15"/>
      <c r="M764" s="16">
        <f t="shared" si="117"/>
        <v>30</v>
      </c>
      <c r="N764" s="32">
        <v>9000</v>
      </c>
      <c r="O764" s="15">
        <v>4100</v>
      </c>
      <c r="P764" s="15">
        <f t="shared" si="115"/>
        <v>36900000</v>
      </c>
      <c r="Q764" s="15" t="str">
        <f t="shared" si="113"/>
        <v/>
      </c>
      <c r="R764" s="18" t="s">
        <v>29</v>
      </c>
      <c r="S764" s="23">
        <v>43692</v>
      </c>
      <c r="T764" s="20">
        <f>IFERROR(VLOOKUP(S764,'Date Converter'!$A$4:$C$368,3,0),"")</f>
        <v>43721</v>
      </c>
      <c r="U764" s="21">
        <f t="shared" ref="U764:U789" si="121">+T764</f>
        <v>43721</v>
      </c>
      <c r="V764" s="12"/>
      <c r="W764" s="18"/>
      <c r="X764" s="18"/>
      <c r="Y764" s="15"/>
      <c r="Z764" s="206"/>
      <c r="AA764" s="15"/>
      <c r="AB764" s="206"/>
      <c r="AC764" s="15"/>
      <c r="AD764" s="206"/>
      <c r="AE764" s="15"/>
      <c r="AF764" s="244"/>
      <c r="AG764" s="15"/>
      <c r="AH764" s="15">
        <f t="shared" si="118"/>
        <v>0</v>
      </c>
      <c r="AI764" s="22">
        <f t="shared" si="119"/>
        <v>9000</v>
      </c>
      <c r="AJ764" s="22">
        <f t="shared" si="120"/>
        <v>36900000</v>
      </c>
    </row>
    <row r="765" spans="1:37" s="165" customFormat="1" hidden="1">
      <c r="A765" s="165" t="s">
        <v>314</v>
      </c>
      <c r="B765" s="13">
        <v>43641</v>
      </c>
      <c r="C765" s="266" t="s">
        <v>23</v>
      </c>
      <c r="D765" s="258" t="s">
        <v>176</v>
      </c>
      <c r="E765" s="198" t="s">
        <v>177</v>
      </c>
      <c r="F765" s="165" t="str">
        <f t="shared" si="116"/>
        <v>YELL_14.16_300_NL2018</v>
      </c>
      <c r="G765" s="165" t="s">
        <v>89</v>
      </c>
      <c r="H765" s="12"/>
      <c r="I765" s="12" t="s">
        <v>47</v>
      </c>
      <c r="J765" s="14">
        <v>300</v>
      </c>
      <c r="K765" s="15" t="s">
        <v>28</v>
      </c>
      <c r="L765" s="15"/>
      <c r="M765" s="16">
        <f t="shared" si="117"/>
        <v>30</v>
      </c>
      <c r="N765" s="32">
        <v>9000</v>
      </c>
      <c r="O765" s="15">
        <v>4100</v>
      </c>
      <c r="P765" s="15">
        <f t="shared" si="115"/>
        <v>36900000</v>
      </c>
      <c r="Q765" s="15" t="str">
        <f t="shared" si="113"/>
        <v/>
      </c>
      <c r="R765" s="18" t="s">
        <v>29</v>
      </c>
      <c r="S765" s="117">
        <v>43709</v>
      </c>
      <c r="T765" s="20">
        <f>IFERROR(VLOOKUP(S765,'Date Converter'!$A$4:$C$368,3,0),"")</f>
        <v>43737</v>
      </c>
      <c r="U765" s="21">
        <f t="shared" si="121"/>
        <v>43737</v>
      </c>
      <c r="V765" s="12"/>
      <c r="W765" s="18"/>
      <c r="X765" s="18"/>
      <c r="Y765" s="15"/>
      <c r="Z765" s="206"/>
      <c r="AA765" s="15"/>
      <c r="AB765" s="206"/>
      <c r="AC765" s="15"/>
      <c r="AD765" s="206"/>
      <c r="AE765" s="15"/>
      <c r="AF765" s="244"/>
      <c r="AG765" s="15"/>
      <c r="AH765" s="15">
        <f t="shared" si="118"/>
        <v>0</v>
      </c>
      <c r="AI765" s="22">
        <f t="shared" si="119"/>
        <v>9000</v>
      </c>
      <c r="AJ765" s="22">
        <f t="shared" si="120"/>
        <v>36900000</v>
      </c>
    </row>
    <row r="766" spans="1:37" s="165" customFormat="1" hidden="1">
      <c r="A766" s="165" t="s">
        <v>314</v>
      </c>
      <c r="B766" s="13">
        <v>43641</v>
      </c>
      <c r="C766" s="13" t="s">
        <v>23</v>
      </c>
      <c r="D766" s="165" t="s">
        <v>176</v>
      </c>
      <c r="E766" s="198" t="s">
        <v>177</v>
      </c>
      <c r="F766" s="165" t="str">
        <f t="shared" si="116"/>
        <v>YELL_14.16_300_NL2018</v>
      </c>
      <c r="G766" s="165" t="s">
        <v>89</v>
      </c>
      <c r="H766" s="12"/>
      <c r="I766" s="12" t="s">
        <v>47</v>
      </c>
      <c r="J766" s="14">
        <v>300</v>
      </c>
      <c r="K766" s="15" t="s">
        <v>28</v>
      </c>
      <c r="L766" s="15"/>
      <c r="M766" s="16">
        <f t="shared" si="117"/>
        <v>34</v>
      </c>
      <c r="N766" s="32">
        <v>10200</v>
      </c>
      <c r="O766" s="15">
        <v>4100</v>
      </c>
      <c r="P766" s="15">
        <f t="shared" si="115"/>
        <v>41820000</v>
      </c>
      <c r="Q766" s="15" t="str">
        <f t="shared" si="113"/>
        <v/>
      </c>
      <c r="R766" s="18" t="s">
        <v>29</v>
      </c>
      <c r="S766" s="117">
        <v>43723</v>
      </c>
      <c r="T766" s="20">
        <f>IFERROR(VLOOKUP(S766,'Date Converter'!$A$4:$C$368,3,0),"")</f>
        <v>43751</v>
      </c>
      <c r="U766" s="21">
        <f t="shared" si="121"/>
        <v>43751</v>
      </c>
      <c r="V766" s="12"/>
      <c r="W766" s="18"/>
      <c r="X766" s="18"/>
      <c r="Y766" s="15"/>
      <c r="Z766" s="206"/>
      <c r="AA766" s="15"/>
      <c r="AB766" s="206"/>
      <c r="AC766" s="15"/>
      <c r="AD766" s="206"/>
      <c r="AE766" s="15"/>
      <c r="AF766" s="244"/>
      <c r="AG766" s="15"/>
      <c r="AH766" s="15">
        <f t="shared" si="118"/>
        <v>0</v>
      </c>
      <c r="AI766" s="22">
        <f t="shared" si="119"/>
        <v>10200</v>
      </c>
      <c r="AJ766" s="22">
        <f t="shared" si="120"/>
        <v>41820000</v>
      </c>
    </row>
    <row r="767" spans="1:37" s="165" customFormat="1" hidden="1">
      <c r="A767" s="165" t="s">
        <v>314</v>
      </c>
      <c r="B767" s="13">
        <v>43634</v>
      </c>
      <c r="C767" s="13" t="s">
        <v>23</v>
      </c>
      <c r="D767" s="165" t="s">
        <v>176</v>
      </c>
      <c r="E767" s="198" t="s">
        <v>177</v>
      </c>
      <c r="F767" s="165" t="str">
        <f t="shared" si="116"/>
        <v>YELL_14.16_300_NL2018</v>
      </c>
      <c r="G767" s="165" t="s">
        <v>89</v>
      </c>
      <c r="H767" s="12"/>
      <c r="I767" s="12" t="s">
        <v>47</v>
      </c>
      <c r="J767" s="14">
        <v>300</v>
      </c>
      <c r="K767" s="15" t="s">
        <v>28</v>
      </c>
      <c r="L767" s="15"/>
      <c r="M767" s="16">
        <f t="shared" si="117"/>
        <v>34</v>
      </c>
      <c r="N767" s="32">
        <v>10200</v>
      </c>
      <c r="O767" s="15">
        <v>4000</v>
      </c>
      <c r="P767" s="15">
        <f t="shared" si="115"/>
        <v>40800000</v>
      </c>
      <c r="Q767" s="15" t="str">
        <f t="shared" si="113"/>
        <v/>
      </c>
      <c r="R767" s="18" t="s">
        <v>29</v>
      </c>
      <c r="S767" s="23">
        <v>43647</v>
      </c>
      <c r="T767" s="20">
        <f>IFERROR(VLOOKUP(S767,'Date Converter'!$A$4:$C$368,3,0),"")</f>
        <v>43678</v>
      </c>
      <c r="U767" s="21">
        <f t="shared" si="121"/>
        <v>43678</v>
      </c>
      <c r="V767" s="12"/>
      <c r="W767" s="18"/>
      <c r="X767" s="18"/>
      <c r="Y767" s="15"/>
      <c r="Z767" s="206"/>
      <c r="AA767" s="15"/>
      <c r="AB767" s="206"/>
      <c r="AC767" s="15"/>
      <c r="AD767" s="206"/>
      <c r="AE767" s="15"/>
      <c r="AF767" s="244"/>
      <c r="AG767" s="15"/>
      <c r="AH767" s="15">
        <f t="shared" si="118"/>
        <v>0</v>
      </c>
      <c r="AI767" s="22">
        <f t="shared" si="119"/>
        <v>10200</v>
      </c>
      <c r="AJ767" s="22">
        <f t="shared" si="120"/>
        <v>40800000</v>
      </c>
    </row>
    <row r="768" spans="1:37" s="165" customFormat="1" hidden="1">
      <c r="A768" s="165" t="s">
        <v>314</v>
      </c>
      <c r="B768" s="13">
        <v>43634</v>
      </c>
      <c r="C768" s="13" t="s">
        <v>23</v>
      </c>
      <c r="D768" s="165" t="s">
        <v>176</v>
      </c>
      <c r="E768" s="198" t="s">
        <v>177</v>
      </c>
      <c r="F768" s="165" t="str">
        <f t="shared" si="116"/>
        <v>YELL_12.14_400_NL2018</v>
      </c>
      <c r="G768" s="165" t="s">
        <v>89</v>
      </c>
      <c r="H768" s="12"/>
      <c r="I768" s="12" t="s">
        <v>113</v>
      </c>
      <c r="J768" s="14">
        <v>400</v>
      </c>
      <c r="K768" s="15" t="s">
        <v>28</v>
      </c>
      <c r="L768" s="15"/>
      <c r="M768" s="16">
        <f t="shared" si="117"/>
        <v>6</v>
      </c>
      <c r="N768" s="15">
        <v>2400</v>
      </c>
      <c r="O768" s="15">
        <v>2800</v>
      </c>
      <c r="P768" s="15">
        <f t="shared" si="115"/>
        <v>6720000</v>
      </c>
      <c r="Q768" s="15" t="str">
        <f t="shared" si="113"/>
        <v>Done</v>
      </c>
      <c r="R768" s="18" t="s">
        <v>44</v>
      </c>
      <c r="S768" s="23">
        <v>43634</v>
      </c>
      <c r="T768" s="20">
        <f>IFERROR(VLOOKUP(S768,'Date Converter'!$A$4:$C$368,3,0),"")</f>
        <v>43666</v>
      </c>
      <c r="U768" s="21">
        <f t="shared" si="121"/>
        <v>43666</v>
      </c>
      <c r="V768" s="12"/>
      <c r="W768" s="18"/>
      <c r="X768" s="18"/>
      <c r="Y768" s="15"/>
      <c r="Z768" s="206">
        <v>43634</v>
      </c>
      <c r="AA768" s="15">
        <v>2400</v>
      </c>
      <c r="AB768" s="206"/>
      <c r="AC768" s="15"/>
      <c r="AD768" s="206"/>
      <c r="AE768" s="15"/>
      <c r="AF768" s="244"/>
      <c r="AG768" s="15"/>
      <c r="AH768" s="15">
        <f t="shared" si="118"/>
        <v>2400</v>
      </c>
      <c r="AI768" s="22">
        <f t="shared" si="119"/>
        <v>0</v>
      </c>
      <c r="AJ768" s="22">
        <f t="shared" si="120"/>
        <v>0</v>
      </c>
    </row>
    <row r="769" spans="1:37" s="165" customFormat="1" hidden="1">
      <c r="A769" s="165" t="s">
        <v>314</v>
      </c>
      <c r="B769" s="13">
        <v>43634</v>
      </c>
      <c r="C769" s="13" t="s">
        <v>23</v>
      </c>
      <c r="D769" s="165" t="s">
        <v>176</v>
      </c>
      <c r="E769" s="198" t="s">
        <v>177</v>
      </c>
      <c r="F769" s="165" t="str">
        <f t="shared" si="116"/>
        <v>YELL_14.16_300_NL2018</v>
      </c>
      <c r="G769" s="165" t="s">
        <v>89</v>
      </c>
      <c r="H769" s="12"/>
      <c r="I769" s="12" t="s">
        <v>47</v>
      </c>
      <c r="J769" s="14">
        <v>300</v>
      </c>
      <c r="K769" s="15" t="s">
        <v>28</v>
      </c>
      <c r="L769" s="15"/>
      <c r="M769" s="16">
        <f t="shared" si="117"/>
        <v>8</v>
      </c>
      <c r="N769" s="15">
        <v>2400</v>
      </c>
      <c r="O769" s="15">
        <v>3900</v>
      </c>
      <c r="P769" s="15">
        <f t="shared" si="115"/>
        <v>9360000</v>
      </c>
      <c r="Q769" s="15" t="str">
        <f t="shared" si="113"/>
        <v>Done</v>
      </c>
      <c r="R769" s="18" t="s">
        <v>44</v>
      </c>
      <c r="S769" s="23">
        <v>43634</v>
      </c>
      <c r="T769" s="20">
        <f>IFERROR(VLOOKUP(S769,'Date Converter'!$A$4:$C$368,3,0),"")</f>
        <v>43666</v>
      </c>
      <c r="U769" s="21">
        <f t="shared" si="121"/>
        <v>43666</v>
      </c>
      <c r="V769" s="12"/>
      <c r="W769" s="18"/>
      <c r="X769" s="18"/>
      <c r="Y769" s="15"/>
      <c r="Z769" s="206">
        <v>43634</v>
      </c>
      <c r="AA769" s="15">
        <v>2400</v>
      </c>
      <c r="AB769" s="206"/>
      <c r="AC769" s="15"/>
      <c r="AD769" s="206"/>
      <c r="AE769" s="15"/>
      <c r="AF769" s="244"/>
      <c r="AG769" s="15"/>
      <c r="AH769" s="15">
        <f t="shared" si="118"/>
        <v>2400</v>
      </c>
      <c r="AI769" s="22">
        <f t="shared" si="119"/>
        <v>0</v>
      </c>
      <c r="AJ769" s="22">
        <f t="shared" si="120"/>
        <v>0</v>
      </c>
    </row>
    <row r="770" spans="1:37" hidden="1">
      <c r="A770" s="165" t="s">
        <v>455</v>
      </c>
      <c r="B770" s="13">
        <v>43505</v>
      </c>
      <c r="C770" s="266" t="s">
        <v>23</v>
      </c>
      <c r="D770" s="258" t="s">
        <v>176</v>
      </c>
      <c r="E770" s="198" t="s">
        <v>177</v>
      </c>
      <c r="F770" s="165" t="str">
        <f t="shared" si="116"/>
        <v>ROBI_22.24_100_NL2018</v>
      </c>
      <c r="G770" s="165" t="s">
        <v>61</v>
      </c>
      <c r="I770" s="12" t="s">
        <v>78</v>
      </c>
      <c r="J770" s="14">
        <v>100</v>
      </c>
      <c r="K770" s="15" t="s">
        <v>28</v>
      </c>
      <c r="M770" s="16">
        <f t="shared" si="117"/>
        <v>100</v>
      </c>
      <c r="N770" s="15">
        <v>10000</v>
      </c>
      <c r="O770" s="15">
        <v>12500</v>
      </c>
      <c r="P770" s="15">
        <f t="shared" si="115"/>
        <v>125000000</v>
      </c>
      <c r="Q770" s="15" t="str">
        <f t="shared" si="113"/>
        <v/>
      </c>
      <c r="R770" s="18" t="s">
        <v>29</v>
      </c>
      <c r="S770" s="23">
        <v>43709</v>
      </c>
      <c r="T770" s="20">
        <f>IFERROR(VLOOKUP(S770,'Date Converter'!$A$4:$C$368,3,0),"")</f>
        <v>43737</v>
      </c>
      <c r="U770" s="21">
        <f t="shared" si="121"/>
        <v>43737</v>
      </c>
      <c r="V770" s="15" t="s">
        <v>51</v>
      </c>
      <c r="Y770" s="15" t="s">
        <v>59</v>
      </c>
      <c r="AA770" s="15">
        <v>0</v>
      </c>
      <c r="AB770" s="206"/>
      <c r="AC770" s="15"/>
      <c r="AD770" s="206"/>
      <c r="AE770" s="15"/>
      <c r="AF770" s="244"/>
      <c r="AG770" s="15"/>
      <c r="AH770" s="15">
        <f t="shared" si="118"/>
        <v>0</v>
      </c>
      <c r="AI770" s="22">
        <f t="shared" si="119"/>
        <v>10000</v>
      </c>
      <c r="AJ770" s="22">
        <f t="shared" si="120"/>
        <v>125000000</v>
      </c>
      <c r="AK770" s="165"/>
    </row>
    <row r="771" spans="1:37" hidden="1">
      <c r="A771" t="s">
        <v>314</v>
      </c>
      <c r="B771" s="13">
        <v>43505</v>
      </c>
      <c r="C771" s="13" t="s">
        <v>23</v>
      </c>
      <c r="D771" t="s">
        <v>176</v>
      </c>
      <c r="E771" s="165" t="s">
        <v>177</v>
      </c>
      <c r="F771" t="str">
        <f t="shared" si="116"/>
        <v>ROBI_16.18_200_NL2018</v>
      </c>
      <c r="G771" s="165" t="s">
        <v>61</v>
      </c>
      <c r="I771" s="12" t="s">
        <v>35</v>
      </c>
      <c r="J771" s="14">
        <v>200</v>
      </c>
      <c r="K771" s="15" t="s">
        <v>28</v>
      </c>
      <c r="M771" s="16">
        <f t="shared" si="117"/>
        <v>15</v>
      </c>
      <c r="N771" s="15">
        <v>3000</v>
      </c>
      <c r="O771" s="15">
        <v>5000</v>
      </c>
      <c r="P771" s="15">
        <f t="shared" si="115"/>
        <v>15000000</v>
      </c>
      <c r="Q771" s="15" t="str">
        <f t="shared" ref="Q771:Q834" si="122">IF(AND(N771=0,AI771=0),"Canceled",IF(AND(N771&gt;0,AI771=0),"Done",""))</f>
        <v>Done</v>
      </c>
      <c r="R771" s="18" t="s">
        <v>44</v>
      </c>
      <c r="S771" s="23">
        <v>43511</v>
      </c>
      <c r="T771" s="20">
        <f>IFERROR(VLOOKUP(S771,'Date Converter'!$A$4:$C$368,3,0),"")</f>
        <v>43544</v>
      </c>
      <c r="U771" s="21">
        <f t="shared" si="121"/>
        <v>43544</v>
      </c>
      <c r="V771" s="12" t="s">
        <v>393</v>
      </c>
      <c r="W771" s="18" t="s">
        <v>48</v>
      </c>
      <c r="X771" s="18">
        <v>43541</v>
      </c>
      <c r="Y771" s="15"/>
      <c r="Z771" s="206">
        <v>43551</v>
      </c>
      <c r="AA771" s="15">
        <v>3000</v>
      </c>
      <c r="AB771" s="206"/>
      <c r="AC771" s="15"/>
      <c r="AD771" s="206"/>
      <c r="AE771" s="15"/>
      <c r="AF771" s="244"/>
      <c r="AG771" s="15"/>
      <c r="AH771" s="15">
        <f t="shared" si="118"/>
        <v>3000</v>
      </c>
      <c r="AI771" s="22">
        <f t="shared" si="119"/>
        <v>0</v>
      </c>
      <c r="AJ771" s="22">
        <f t="shared" si="120"/>
        <v>0</v>
      </c>
      <c r="AK771" s="165"/>
    </row>
    <row r="772" spans="1:37" hidden="1">
      <c r="A772" t="s">
        <v>314</v>
      </c>
      <c r="B772" s="13">
        <v>43505</v>
      </c>
      <c r="C772" s="13" t="s">
        <v>23</v>
      </c>
      <c r="D772" t="s">
        <v>176</v>
      </c>
      <c r="E772" s="165" t="s">
        <v>177</v>
      </c>
      <c r="F772" t="str">
        <f t="shared" si="116"/>
        <v>ROBI_16.18_200_NL2018</v>
      </c>
      <c r="G772" s="165" t="s">
        <v>61</v>
      </c>
      <c r="I772" s="12" t="s">
        <v>35</v>
      </c>
      <c r="J772" s="14">
        <v>200</v>
      </c>
      <c r="K772" s="15" t="s">
        <v>28</v>
      </c>
      <c r="M772" s="16">
        <f t="shared" si="117"/>
        <v>15</v>
      </c>
      <c r="N772" s="15">
        <v>3000</v>
      </c>
      <c r="O772" s="15">
        <v>5000</v>
      </c>
      <c r="P772" s="15">
        <f t="shared" si="115"/>
        <v>15000000</v>
      </c>
      <c r="Q772" s="15" t="str">
        <f t="shared" si="122"/>
        <v>Done</v>
      </c>
      <c r="R772" s="18" t="s">
        <v>44</v>
      </c>
      <c r="S772" s="23">
        <v>43524</v>
      </c>
      <c r="T772" s="20">
        <f>IFERROR(VLOOKUP(S772,'Date Converter'!$A$4:$C$368,3,0),"")</f>
        <v>43557</v>
      </c>
      <c r="U772" s="21">
        <f t="shared" si="121"/>
        <v>43557</v>
      </c>
      <c r="V772" s="12" t="s">
        <v>81</v>
      </c>
      <c r="W772" s="18" t="s">
        <v>72</v>
      </c>
      <c r="X772" s="18">
        <v>43555</v>
      </c>
      <c r="Y772" s="15" t="s">
        <v>59</v>
      </c>
      <c r="Z772" s="206">
        <v>43567</v>
      </c>
      <c r="AA772" s="15">
        <v>3000</v>
      </c>
      <c r="AB772" s="206"/>
      <c r="AC772" s="15"/>
      <c r="AD772" s="206"/>
      <c r="AE772" s="15"/>
      <c r="AF772" s="244"/>
      <c r="AG772" s="15"/>
      <c r="AH772" s="15">
        <f t="shared" si="118"/>
        <v>3000</v>
      </c>
      <c r="AI772" s="22">
        <f t="shared" si="119"/>
        <v>0</v>
      </c>
      <c r="AJ772" s="22">
        <f t="shared" si="120"/>
        <v>0</v>
      </c>
      <c r="AK772" s="165"/>
    </row>
    <row r="773" spans="1:37" s="165" customFormat="1" hidden="1">
      <c r="A773" s="165" t="s">
        <v>314</v>
      </c>
      <c r="B773" s="13">
        <v>43505</v>
      </c>
      <c r="C773" s="13" t="s">
        <v>23</v>
      </c>
      <c r="D773" s="165" t="s">
        <v>176</v>
      </c>
      <c r="E773" s="198" t="s">
        <v>177</v>
      </c>
      <c r="F773" s="165" t="str">
        <f t="shared" si="116"/>
        <v>ROBI_16.18_200_NL2018</v>
      </c>
      <c r="G773" s="165" t="s">
        <v>61</v>
      </c>
      <c r="H773" s="12"/>
      <c r="I773" s="12" t="s">
        <v>35</v>
      </c>
      <c r="J773" s="14">
        <v>200</v>
      </c>
      <c r="K773" s="15" t="s">
        <v>28</v>
      </c>
      <c r="L773" s="15"/>
      <c r="M773" s="16">
        <f t="shared" si="117"/>
        <v>15</v>
      </c>
      <c r="N773" s="15">
        <f>6000-3000</f>
        <v>3000</v>
      </c>
      <c r="O773" s="15">
        <v>5000</v>
      </c>
      <c r="P773" s="15">
        <f t="shared" si="115"/>
        <v>15000000</v>
      </c>
      <c r="Q773" s="15" t="str">
        <f t="shared" si="122"/>
        <v>Done</v>
      </c>
      <c r="R773" s="18" t="s">
        <v>44</v>
      </c>
      <c r="S773" s="23">
        <v>43539</v>
      </c>
      <c r="T773" s="20">
        <f>IFERROR(VLOOKUP(S773,'Date Converter'!$A$4:$C$368,3,0),"")</f>
        <v>43574</v>
      </c>
      <c r="U773" s="21">
        <f t="shared" si="121"/>
        <v>43574</v>
      </c>
      <c r="V773" s="12" t="s">
        <v>57</v>
      </c>
      <c r="W773" s="18" t="s">
        <v>141</v>
      </c>
      <c r="X773" s="18">
        <v>43569</v>
      </c>
      <c r="Y773" s="15" t="s">
        <v>59</v>
      </c>
      <c r="Z773" s="206">
        <v>43544</v>
      </c>
      <c r="AA773" s="15">
        <v>3000</v>
      </c>
      <c r="AB773" s="206"/>
      <c r="AC773" s="15"/>
      <c r="AD773" s="206"/>
      <c r="AE773" s="15"/>
      <c r="AF773" s="244"/>
      <c r="AG773" s="15"/>
      <c r="AH773" s="15">
        <f t="shared" si="118"/>
        <v>3000</v>
      </c>
      <c r="AI773" s="22">
        <f t="shared" si="119"/>
        <v>0</v>
      </c>
      <c r="AJ773" s="22">
        <f t="shared" si="120"/>
        <v>0</v>
      </c>
      <c r="AK773" s="165" t="s">
        <v>178</v>
      </c>
    </row>
    <row r="774" spans="1:37" s="165" customFormat="1" hidden="1">
      <c r="A774" s="165" t="s">
        <v>314</v>
      </c>
      <c r="B774" s="13">
        <v>43505</v>
      </c>
      <c r="C774" s="13" t="s">
        <v>23</v>
      </c>
      <c r="D774" s="165" t="s">
        <v>176</v>
      </c>
      <c r="E774" s="198" t="s">
        <v>177</v>
      </c>
      <c r="F774" s="165" t="str">
        <f t="shared" si="116"/>
        <v>ROBI_16.18_200_NL2018</v>
      </c>
      <c r="G774" s="165" t="s">
        <v>61</v>
      </c>
      <c r="H774" s="12"/>
      <c r="I774" s="12" t="s">
        <v>35</v>
      </c>
      <c r="J774" s="14">
        <v>200</v>
      </c>
      <c r="K774" s="15" t="s">
        <v>28</v>
      </c>
      <c r="L774" s="15"/>
      <c r="M774" s="16">
        <f t="shared" si="117"/>
        <v>0</v>
      </c>
      <c r="N774" s="15">
        <f>3000-3000</f>
        <v>0</v>
      </c>
      <c r="O774" s="15">
        <f>5000+170</f>
        <v>5170</v>
      </c>
      <c r="P774" s="15">
        <f t="shared" si="115"/>
        <v>0</v>
      </c>
      <c r="Q774" s="15" t="str">
        <f t="shared" si="122"/>
        <v>Canceled</v>
      </c>
      <c r="R774" s="18" t="s">
        <v>71</v>
      </c>
      <c r="S774" s="23">
        <v>43572</v>
      </c>
      <c r="T774" s="20">
        <f>IFERROR(VLOOKUP(S774,'Date Converter'!$A$4:$C$368,3,0),"")</f>
        <v>43606</v>
      </c>
      <c r="U774" s="21">
        <f t="shared" si="121"/>
        <v>43606</v>
      </c>
      <c r="V774" s="12" t="s">
        <v>36</v>
      </c>
      <c r="W774" s="18"/>
      <c r="X774" s="18"/>
      <c r="Y774" s="15" t="s">
        <v>59</v>
      </c>
      <c r="Z774" s="206"/>
      <c r="AA774" s="15">
        <v>0</v>
      </c>
      <c r="AB774" s="206"/>
      <c r="AC774" s="15"/>
      <c r="AD774" s="206"/>
      <c r="AE774" s="15"/>
      <c r="AF774" s="244"/>
      <c r="AG774" s="15"/>
      <c r="AH774" s="15">
        <f t="shared" si="118"/>
        <v>0</v>
      </c>
      <c r="AI774" s="22">
        <f t="shared" si="119"/>
        <v>0</v>
      </c>
      <c r="AJ774" s="22">
        <f t="shared" si="120"/>
        <v>0</v>
      </c>
    </row>
    <row r="775" spans="1:37" s="165" customFormat="1" hidden="1">
      <c r="A775" s="165" t="s">
        <v>314</v>
      </c>
      <c r="B775" s="13">
        <v>43614</v>
      </c>
      <c r="C775" s="13" t="s">
        <v>23</v>
      </c>
      <c r="D775" s="165" t="s">
        <v>176</v>
      </c>
      <c r="E775" s="198" t="s">
        <v>177</v>
      </c>
      <c r="F775" s="165" t="str">
        <f t="shared" si="116"/>
        <v>ROBI_16.18_200_NL2018</v>
      </c>
      <c r="G775" s="165" t="s">
        <v>61</v>
      </c>
      <c r="H775" s="12"/>
      <c r="I775" s="12" t="s">
        <v>35</v>
      </c>
      <c r="J775" s="14">
        <v>200</v>
      </c>
      <c r="K775" s="15" t="s">
        <v>28</v>
      </c>
      <c r="L775" s="15"/>
      <c r="M775" s="16">
        <f t="shared" si="117"/>
        <v>0</v>
      </c>
      <c r="N775" s="15">
        <f>6000-6000</f>
        <v>0</v>
      </c>
      <c r="O775" s="15">
        <v>5500</v>
      </c>
      <c r="P775" s="15">
        <f t="shared" si="115"/>
        <v>0</v>
      </c>
      <c r="Q775" s="15" t="str">
        <f t="shared" si="122"/>
        <v>Canceled</v>
      </c>
      <c r="R775" s="18" t="s">
        <v>71</v>
      </c>
      <c r="S775" s="23">
        <v>43605</v>
      </c>
      <c r="T775" s="20">
        <f>IFERROR(VLOOKUP(S775,'Date Converter'!$A$4:$C$368,3,0),"")</f>
        <v>43638</v>
      </c>
      <c r="U775" s="21">
        <f t="shared" si="121"/>
        <v>43638</v>
      </c>
      <c r="V775" s="12"/>
      <c r="W775" s="18"/>
      <c r="X775" s="18"/>
      <c r="Y775" s="15"/>
      <c r="Z775" s="206"/>
      <c r="AA775" s="15"/>
      <c r="AB775" s="206"/>
      <c r="AC775" s="15"/>
      <c r="AD775" s="206"/>
      <c r="AE775" s="15"/>
      <c r="AF775" s="244"/>
      <c r="AG775" s="15"/>
      <c r="AH775" s="15">
        <f t="shared" si="118"/>
        <v>0</v>
      </c>
      <c r="AI775" s="22">
        <f t="shared" si="119"/>
        <v>0</v>
      </c>
      <c r="AJ775" s="22">
        <f t="shared" si="120"/>
        <v>0</v>
      </c>
    </row>
    <row r="776" spans="1:37" s="165" customFormat="1" hidden="1">
      <c r="A776" s="165" t="s">
        <v>455</v>
      </c>
      <c r="B776" s="13">
        <v>43505</v>
      </c>
      <c r="C776" s="266" t="s">
        <v>23</v>
      </c>
      <c r="D776" s="258" t="s">
        <v>176</v>
      </c>
      <c r="E776" s="198" t="s">
        <v>177</v>
      </c>
      <c r="F776" s="165" t="str">
        <f t="shared" si="116"/>
        <v>MANI_22.24_100_NL2018</v>
      </c>
      <c r="G776" s="165" t="s">
        <v>105</v>
      </c>
      <c r="H776" s="12"/>
      <c r="I776" s="12" t="s">
        <v>78</v>
      </c>
      <c r="J776" s="14">
        <v>100</v>
      </c>
      <c r="K776" s="15" t="s">
        <v>28</v>
      </c>
      <c r="L776" s="15"/>
      <c r="M776" s="16">
        <f t="shared" si="117"/>
        <v>50</v>
      </c>
      <c r="N776" s="15">
        <v>5000</v>
      </c>
      <c r="O776" s="15">
        <v>15200</v>
      </c>
      <c r="P776" s="15">
        <f t="shared" si="115"/>
        <v>76000000</v>
      </c>
      <c r="Q776" s="15" t="str">
        <f t="shared" si="122"/>
        <v/>
      </c>
      <c r="R776" s="18" t="s">
        <v>29</v>
      </c>
      <c r="S776" s="23">
        <v>43709</v>
      </c>
      <c r="T776" s="20">
        <f>IFERROR(VLOOKUP(S776,'Date Converter'!$A$4:$C$368,3,0),"")</f>
        <v>43737</v>
      </c>
      <c r="U776" s="21">
        <f t="shared" si="121"/>
        <v>43737</v>
      </c>
      <c r="V776" s="15" t="s">
        <v>51</v>
      </c>
      <c r="W776" s="18"/>
      <c r="X776" s="18"/>
      <c r="Y776" s="15" t="s">
        <v>59</v>
      </c>
      <c r="Z776" s="206"/>
      <c r="AA776" s="15">
        <v>0</v>
      </c>
      <c r="AB776" s="206"/>
      <c r="AC776" s="15"/>
      <c r="AD776" s="206"/>
      <c r="AE776" s="15"/>
      <c r="AF776" s="244"/>
      <c r="AG776" s="15"/>
      <c r="AH776" s="15">
        <f t="shared" si="118"/>
        <v>0</v>
      </c>
      <c r="AI776" s="22">
        <f t="shared" si="119"/>
        <v>5000</v>
      </c>
      <c r="AJ776" s="22">
        <f t="shared" si="120"/>
        <v>76000000</v>
      </c>
    </row>
    <row r="777" spans="1:37" s="165" customFormat="1" hidden="1">
      <c r="A777" s="165" t="s">
        <v>314</v>
      </c>
      <c r="B777" s="13">
        <v>43598</v>
      </c>
      <c r="C777" s="13" t="s">
        <v>23</v>
      </c>
      <c r="D777" s="165" t="s">
        <v>176</v>
      </c>
      <c r="E777" s="198" t="s">
        <v>177</v>
      </c>
      <c r="F777" s="165" t="str">
        <f t="shared" si="116"/>
        <v>DALI_14.16_300_NL2018</v>
      </c>
      <c r="G777" s="165" t="s">
        <v>46</v>
      </c>
      <c r="H777" s="12"/>
      <c r="I777" s="12" t="s">
        <v>47</v>
      </c>
      <c r="J777" s="14">
        <v>300</v>
      </c>
      <c r="K777" s="15" t="s">
        <v>28</v>
      </c>
      <c r="L777" s="15"/>
      <c r="M777" s="16">
        <f t="shared" si="117"/>
        <v>10</v>
      </c>
      <c r="N777" s="15">
        <v>3000</v>
      </c>
      <c r="O777" s="15">
        <v>5500</v>
      </c>
      <c r="P777" s="15">
        <f t="shared" si="115"/>
        <v>16500000</v>
      </c>
      <c r="Q777" s="15" t="str">
        <f t="shared" si="122"/>
        <v>Done</v>
      </c>
      <c r="R777" s="18" t="s">
        <v>44</v>
      </c>
      <c r="S777" s="23">
        <v>43572</v>
      </c>
      <c r="T777" s="20">
        <f>IFERROR(VLOOKUP(S777,'Date Converter'!$A$4:$C$368,3,0),"")</f>
        <v>43606</v>
      </c>
      <c r="U777" s="21">
        <f t="shared" si="121"/>
        <v>43606</v>
      </c>
      <c r="V777" s="12"/>
      <c r="W777" s="18"/>
      <c r="X777" s="18"/>
      <c r="Y777" s="15"/>
      <c r="Z777" s="206">
        <v>43602</v>
      </c>
      <c r="AA777" s="15">
        <v>3000</v>
      </c>
      <c r="AB777" s="206"/>
      <c r="AC777" s="15"/>
      <c r="AD777" s="206"/>
      <c r="AE777" s="15"/>
      <c r="AF777" s="244"/>
      <c r="AG777" s="15"/>
      <c r="AH777" s="15">
        <f t="shared" si="118"/>
        <v>3000</v>
      </c>
      <c r="AI777" s="22">
        <f t="shared" si="119"/>
        <v>0</v>
      </c>
      <c r="AJ777" s="22">
        <f t="shared" si="120"/>
        <v>0</v>
      </c>
    </row>
    <row r="778" spans="1:37" s="165" customFormat="1" hidden="1">
      <c r="A778" s="165" t="s">
        <v>455</v>
      </c>
      <c r="B778" s="13">
        <v>43505</v>
      </c>
      <c r="C778" s="266" t="s">
        <v>23</v>
      </c>
      <c r="D778" s="258" t="s">
        <v>176</v>
      </c>
      <c r="E778" s="198" t="s">
        <v>177</v>
      </c>
      <c r="F778" s="165" t="str">
        <f t="shared" si="116"/>
        <v>CONC_18.20_150_NL2018</v>
      </c>
      <c r="G778" s="165" t="s">
        <v>40</v>
      </c>
      <c r="H778" s="12"/>
      <c r="I778" s="12" t="s">
        <v>27</v>
      </c>
      <c r="J778" s="14">
        <v>150</v>
      </c>
      <c r="K778" s="15" t="s">
        <v>28</v>
      </c>
      <c r="L778" s="15"/>
      <c r="M778" s="16">
        <f t="shared" si="117"/>
        <v>34</v>
      </c>
      <c r="N778" s="15">
        <v>5100</v>
      </c>
      <c r="O778" s="15">
        <v>7200</v>
      </c>
      <c r="P778" s="15">
        <f t="shared" si="115"/>
        <v>36720000</v>
      </c>
      <c r="Q778" s="15" t="str">
        <f t="shared" si="122"/>
        <v/>
      </c>
      <c r="R778" s="18" t="s">
        <v>29</v>
      </c>
      <c r="S778" s="23">
        <v>43709</v>
      </c>
      <c r="T778" s="20">
        <f>IFERROR(VLOOKUP(S778,'Date Converter'!$A$4:$C$368,3,0),"")</f>
        <v>43737</v>
      </c>
      <c r="U778" s="21">
        <f t="shared" si="121"/>
        <v>43737</v>
      </c>
      <c r="V778" s="15" t="s">
        <v>51</v>
      </c>
      <c r="W778" s="18"/>
      <c r="X778" s="18"/>
      <c r="Y778" s="15" t="s">
        <v>59</v>
      </c>
      <c r="Z778" s="206"/>
      <c r="AA778" s="15">
        <v>0</v>
      </c>
      <c r="AB778" s="206"/>
      <c r="AC778" s="15"/>
      <c r="AD778" s="206"/>
      <c r="AE778" s="15"/>
      <c r="AF778" s="244"/>
      <c r="AG778" s="15"/>
      <c r="AH778" s="15">
        <f t="shared" si="118"/>
        <v>0</v>
      </c>
      <c r="AI778" s="22">
        <f t="shared" si="119"/>
        <v>5100</v>
      </c>
      <c r="AJ778" s="22">
        <f t="shared" si="120"/>
        <v>36720000</v>
      </c>
    </row>
    <row r="779" spans="1:37" s="165" customFormat="1" hidden="1">
      <c r="A779" s="165" t="s">
        <v>1410</v>
      </c>
      <c r="B779" s="13">
        <v>43630</v>
      </c>
      <c r="C779" s="13" t="s">
        <v>23</v>
      </c>
      <c r="D779" s="165" t="s">
        <v>643</v>
      </c>
      <c r="E779" s="13" t="s">
        <v>1411</v>
      </c>
      <c r="F779" s="165" t="str">
        <f t="shared" si="116"/>
        <v>YELL_DN_16.18_200_NL2018</v>
      </c>
      <c r="G779" s="165" t="s">
        <v>89</v>
      </c>
      <c r="H779" s="12" t="s">
        <v>480</v>
      </c>
      <c r="I779" s="12">
        <v>16.18</v>
      </c>
      <c r="J779" s="31" t="s">
        <v>121</v>
      </c>
      <c r="K779" s="15" t="s">
        <v>28</v>
      </c>
      <c r="L779" s="15"/>
      <c r="M779" s="16">
        <f t="shared" si="117"/>
        <v>20</v>
      </c>
      <c r="N779" s="15">
        <v>4000</v>
      </c>
      <c r="O779" s="15">
        <v>6000</v>
      </c>
      <c r="P779" s="15">
        <f t="shared" si="115"/>
        <v>24000000</v>
      </c>
      <c r="Q779" s="15" t="str">
        <f t="shared" si="122"/>
        <v/>
      </c>
      <c r="R779" s="18" t="s">
        <v>31</v>
      </c>
      <c r="S779" s="23">
        <v>43631</v>
      </c>
      <c r="T779" s="20">
        <f>IFERROR(VLOOKUP(S779,'Date Converter'!$A$4:$C$368,3,0),"")</f>
        <v>43663</v>
      </c>
      <c r="U779" s="21">
        <f t="shared" si="121"/>
        <v>43663</v>
      </c>
      <c r="V779" s="12"/>
      <c r="W779" s="18"/>
      <c r="X779" s="18"/>
      <c r="Y779" s="12"/>
      <c r="Z779" s="206"/>
      <c r="AA779" s="15"/>
      <c r="AB779" s="206"/>
      <c r="AC779" s="12"/>
      <c r="AD779" s="206"/>
      <c r="AE779" s="12"/>
      <c r="AF779" s="245"/>
      <c r="AG779" s="12"/>
      <c r="AH779" s="15">
        <f t="shared" si="118"/>
        <v>0</v>
      </c>
      <c r="AI779" s="22">
        <f t="shared" si="119"/>
        <v>4000</v>
      </c>
      <c r="AJ779" s="22">
        <f t="shared" si="120"/>
        <v>24000000</v>
      </c>
    </row>
    <row r="780" spans="1:37" hidden="1">
      <c r="A780" t="s">
        <v>1410</v>
      </c>
      <c r="B780" s="13">
        <v>43630</v>
      </c>
      <c r="C780" s="13" t="s">
        <v>23</v>
      </c>
      <c r="D780" t="s">
        <v>643</v>
      </c>
      <c r="E780" s="119" t="s">
        <v>1411</v>
      </c>
      <c r="F780" t="str">
        <f t="shared" si="116"/>
        <v>YELL_14.16_300_NL2018</v>
      </c>
      <c r="G780" s="165" t="s">
        <v>89</v>
      </c>
      <c r="I780" s="12" t="s">
        <v>47</v>
      </c>
      <c r="J780" s="31" t="s">
        <v>124</v>
      </c>
      <c r="K780" s="15" t="s">
        <v>28</v>
      </c>
      <c r="M780" s="16">
        <f t="shared" si="117"/>
        <v>67</v>
      </c>
      <c r="N780" s="15">
        <v>20100</v>
      </c>
      <c r="O780" s="15">
        <v>4000</v>
      </c>
      <c r="P780" s="15">
        <f t="shared" si="115"/>
        <v>80400000</v>
      </c>
      <c r="Q780" s="15" t="str">
        <f t="shared" si="122"/>
        <v/>
      </c>
      <c r="R780" s="18" t="s">
        <v>31</v>
      </c>
      <c r="S780" s="23">
        <v>43631</v>
      </c>
      <c r="T780" s="20">
        <f>IFERROR(VLOOKUP(S780,'Date Converter'!$A$4:$C$368,3,0),"")</f>
        <v>43663</v>
      </c>
      <c r="U780" s="21">
        <f t="shared" si="121"/>
        <v>43663</v>
      </c>
      <c r="AA780" s="15"/>
      <c r="AB780" s="206"/>
      <c r="AD780" s="206"/>
      <c r="AH780" s="15">
        <f t="shared" si="118"/>
        <v>0</v>
      </c>
      <c r="AI780" s="22">
        <f t="shared" si="119"/>
        <v>20100</v>
      </c>
      <c r="AJ780" s="22">
        <f t="shared" si="120"/>
        <v>80400000</v>
      </c>
      <c r="AK780" s="165"/>
    </row>
    <row r="781" spans="1:37" hidden="1">
      <c r="A781" t="s">
        <v>1410</v>
      </c>
      <c r="B781" s="13">
        <v>43589</v>
      </c>
      <c r="C781" s="13" t="s">
        <v>23</v>
      </c>
      <c r="D781" t="s">
        <v>643</v>
      </c>
      <c r="E781" s="119" t="s">
        <v>1411</v>
      </c>
      <c r="F781" t="str">
        <f t="shared" si="116"/>
        <v>SERA_16.18_200_NL2018</v>
      </c>
      <c r="G781" s="13" t="s">
        <v>227</v>
      </c>
      <c r="I781" s="12">
        <v>16.18</v>
      </c>
      <c r="J781" s="31" t="s">
        <v>121</v>
      </c>
      <c r="K781" s="15" t="s">
        <v>28</v>
      </c>
      <c r="M781" s="16">
        <f t="shared" si="117"/>
        <v>50</v>
      </c>
      <c r="N781" s="15">
        <v>10000</v>
      </c>
      <c r="O781" s="15">
        <v>5200</v>
      </c>
      <c r="P781" s="15">
        <f t="shared" si="115"/>
        <v>52000000</v>
      </c>
      <c r="Q781" s="15" t="str">
        <f t="shared" si="122"/>
        <v/>
      </c>
      <c r="R781" s="18" t="s">
        <v>31</v>
      </c>
      <c r="S781" s="23">
        <v>43605</v>
      </c>
      <c r="T781" s="20">
        <f>IFERROR(VLOOKUP(S781,'Date Converter'!$A$4:$C$368,3,0),"")</f>
        <v>43638</v>
      </c>
      <c r="U781" s="21">
        <f t="shared" si="121"/>
        <v>43638</v>
      </c>
      <c r="AA781" s="15"/>
      <c r="AB781" s="206"/>
      <c r="AD781" s="206"/>
      <c r="AH781" s="15">
        <f t="shared" si="118"/>
        <v>0</v>
      </c>
      <c r="AI781" s="22">
        <f t="shared" si="119"/>
        <v>10000</v>
      </c>
      <c r="AJ781" s="22">
        <f t="shared" si="120"/>
        <v>52000000</v>
      </c>
      <c r="AK781" s="165"/>
    </row>
    <row r="782" spans="1:37" hidden="1">
      <c r="A782" t="s">
        <v>1410</v>
      </c>
      <c r="B782" s="13">
        <v>43630</v>
      </c>
      <c r="C782" s="13" t="s">
        <v>23</v>
      </c>
      <c r="D782" t="s">
        <v>643</v>
      </c>
      <c r="E782" s="119" t="s">
        <v>1411</v>
      </c>
      <c r="F782" t="str">
        <f t="shared" si="116"/>
        <v>SERA_16.18_200_NL2018</v>
      </c>
      <c r="G782" s="13" t="s">
        <v>227</v>
      </c>
      <c r="I782" s="12">
        <v>16.18</v>
      </c>
      <c r="J782" s="31" t="s">
        <v>121</v>
      </c>
      <c r="K782" s="15" t="s">
        <v>28</v>
      </c>
      <c r="M782" s="16">
        <f t="shared" si="117"/>
        <v>30</v>
      </c>
      <c r="N782" s="15">
        <v>6000</v>
      </c>
      <c r="O782" s="15">
        <v>5300</v>
      </c>
      <c r="P782" s="15">
        <f t="shared" si="115"/>
        <v>31800000</v>
      </c>
      <c r="Q782" s="15" t="str">
        <f t="shared" si="122"/>
        <v/>
      </c>
      <c r="R782" s="18" t="s">
        <v>31</v>
      </c>
      <c r="S782" s="23">
        <v>43631</v>
      </c>
      <c r="T782" s="20">
        <f>IFERROR(VLOOKUP(S782,'Date Converter'!$A$4:$C$368,3,0),"")</f>
        <v>43663</v>
      </c>
      <c r="U782" s="21">
        <f t="shared" si="121"/>
        <v>43663</v>
      </c>
      <c r="AA782" s="15"/>
      <c r="AB782" s="206"/>
      <c r="AD782" s="206"/>
      <c r="AH782" s="15">
        <f t="shared" si="118"/>
        <v>0</v>
      </c>
      <c r="AI782" s="22">
        <f t="shared" si="119"/>
        <v>6000</v>
      </c>
      <c r="AJ782" s="22">
        <f t="shared" si="120"/>
        <v>31800000</v>
      </c>
      <c r="AK782" s="165"/>
    </row>
    <row r="783" spans="1:37" hidden="1">
      <c r="A783" t="s">
        <v>1410</v>
      </c>
      <c r="B783" s="13">
        <v>43567</v>
      </c>
      <c r="C783" s="13" t="s">
        <v>23</v>
      </c>
      <c r="D783" t="s">
        <v>643</v>
      </c>
      <c r="E783" s="13" t="s">
        <v>1411</v>
      </c>
      <c r="F783" t="str">
        <f t="shared" si="116"/>
        <v>MANI_14.16_300_NL2018</v>
      </c>
      <c r="G783" s="13" t="s">
        <v>105</v>
      </c>
      <c r="I783" s="12" t="s">
        <v>47</v>
      </c>
      <c r="J783" s="31" t="s">
        <v>124</v>
      </c>
      <c r="K783" s="15" t="s">
        <v>28</v>
      </c>
      <c r="M783" s="16">
        <f t="shared" si="117"/>
        <v>46</v>
      </c>
      <c r="N783" s="15">
        <v>13800</v>
      </c>
      <c r="O783" s="15">
        <v>3700</v>
      </c>
      <c r="P783" s="15">
        <f t="shared" si="115"/>
        <v>51060000</v>
      </c>
      <c r="Q783" s="15" t="str">
        <f t="shared" si="122"/>
        <v>Done</v>
      </c>
      <c r="R783" s="18" t="s">
        <v>44</v>
      </c>
      <c r="S783" s="23">
        <v>43539</v>
      </c>
      <c r="T783" s="20">
        <f>IFERROR(VLOOKUP(S783,'Date Converter'!$A$4:$C$368,3,0),"")</f>
        <v>43574</v>
      </c>
      <c r="U783" s="21">
        <f t="shared" si="121"/>
        <v>43574</v>
      </c>
      <c r="V783" s="12" t="s">
        <v>57</v>
      </c>
      <c r="Z783" s="206">
        <v>43580</v>
      </c>
      <c r="AA783" s="15">
        <v>13800</v>
      </c>
      <c r="AB783" s="206"/>
      <c r="AD783" s="206"/>
      <c r="AH783" s="15">
        <f t="shared" si="118"/>
        <v>13800</v>
      </c>
      <c r="AI783" s="22">
        <f t="shared" si="119"/>
        <v>0</v>
      </c>
      <c r="AJ783" s="22">
        <f t="shared" si="120"/>
        <v>0</v>
      </c>
      <c r="AK783" s="165"/>
    </row>
    <row r="784" spans="1:37" s="165" customFormat="1" hidden="1">
      <c r="A784" s="165" t="s">
        <v>1410</v>
      </c>
      <c r="B784" s="13">
        <v>43630</v>
      </c>
      <c r="C784" s="13" t="s">
        <v>23</v>
      </c>
      <c r="D784" s="165" t="s">
        <v>643</v>
      </c>
      <c r="E784" s="13" t="s">
        <v>1411</v>
      </c>
      <c r="F784" s="165" t="str">
        <f t="shared" si="116"/>
        <v>INDI_14.16_300_NL2018</v>
      </c>
      <c r="G784" s="13" t="s">
        <v>154</v>
      </c>
      <c r="H784" s="12"/>
      <c r="I784" s="12" t="s">
        <v>47</v>
      </c>
      <c r="J784" s="31" t="s">
        <v>124</v>
      </c>
      <c r="K784" s="15" t="s">
        <v>28</v>
      </c>
      <c r="L784" s="15"/>
      <c r="M784" s="16">
        <f t="shared" si="117"/>
        <v>36</v>
      </c>
      <c r="N784" s="15">
        <v>10800</v>
      </c>
      <c r="O784" s="15">
        <v>5000</v>
      </c>
      <c r="P784" s="15">
        <f t="shared" si="115"/>
        <v>54000000</v>
      </c>
      <c r="Q784" s="15" t="str">
        <f t="shared" si="122"/>
        <v/>
      </c>
      <c r="R784" s="18" t="s">
        <v>31</v>
      </c>
      <c r="S784" s="23">
        <v>43631</v>
      </c>
      <c r="T784" s="20">
        <f>IFERROR(VLOOKUP(S784,'Date Converter'!$A$4:$C$368,3,0),"")</f>
        <v>43663</v>
      </c>
      <c r="U784" s="21">
        <f t="shared" si="121"/>
        <v>43663</v>
      </c>
      <c r="V784" s="12"/>
      <c r="W784" s="18"/>
      <c r="X784" s="18"/>
      <c r="Y784" s="12"/>
      <c r="Z784" s="206"/>
      <c r="AA784" s="15"/>
      <c r="AB784" s="206"/>
      <c r="AC784" s="12"/>
      <c r="AD784" s="206"/>
      <c r="AE784" s="12"/>
      <c r="AF784" s="245"/>
      <c r="AG784" s="12"/>
      <c r="AH784" s="15">
        <f t="shared" si="118"/>
        <v>0</v>
      </c>
      <c r="AI784" s="22">
        <f t="shared" si="119"/>
        <v>10800</v>
      </c>
      <c r="AJ784" s="22">
        <f t="shared" si="120"/>
        <v>54000000</v>
      </c>
    </row>
    <row r="785" spans="1:37" s="165" customFormat="1" hidden="1">
      <c r="A785" s="165" t="s">
        <v>1410</v>
      </c>
      <c r="B785" s="13">
        <v>43567</v>
      </c>
      <c r="C785" s="13" t="s">
        <v>23</v>
      </c>
      <c r="D785" s="165" t="s">
        <v>643</v>
      </c>
      <c r="E785" s="13" t="s">
        <v>1411</v>
      </c>
      <c r="F785" s="165" t="str">
        <f t="shared" si="116"/>
        <v>FELI_16.18_200_NL2018</v>
      </c>
      <c r="G785" s="13" t="s">
        <v>117</v>
      </c>
      <c r="H785" s="12"/>
      <c r="I785" s="12" t="s">
        <v>35</v>
      </c>
      <c r="J785" s="31" t="s">
        <v>121</v>
      </c>
      <c r="K785" s="15" t="s">
        <v>28</v>
      </c>
      <c r="L785" s="15"/>
      <c r="M785" s="16">
        <f t="shared" si="117"/>
        <v>42</v>
      </c>
      <c r="N785" s="15">
        <v>8400</v>
      </c>
      <c r="O785" s="15">
        <v>6400</v>
      </c>
      <c r="P785" s="15">
        <f t="shared" si="115"/>
        <v>53760000</v>
      </c>
      <c r="Q785" s="15" t="str">
        <f t="shared" si="122"/>
        <v>Done</v>
      </c>
      <c r="R785" s="18" t="s">
        <v>44</v>
      </c>
      <c r="S785" s="23">
        <v>43539</v>
      </c>
      <c r="T785" s="20">
        <f>IFERROR(VLOOKUP(S785,'Date Converter'!$A$4:$C$368,3,0),"")</f>
        <v>43574</v>
      </c>
      <c r="U785" s="21">
        <f t="shared" si="121"/>
        <v>43574</v>
      </c>
      <c r="V785" s="12" t="s">
        <v>57</v>
      </c>
      <c r="W785" s="18"/>
      <c r="X785" s="18"/>
      <c r="Y785" s="12"/>
      <c r="Z785" s="206">
        <v>43580</v>
      </c>
      <c r="AA785" s="15">
        <v>8400</v>
      </c>
      <c r="AB785" s="206"/>
      <c r="AC785" s="12"/>
      <c r="AD785" s="206"/>
      <c r="AE785" s="12"/>
      <c r="AF785" s="245"/>
      <c r="AG785" s="12"/>
      <c r="AH785" s="15">
        <f t="shared" si="118"/>
        <v>8400</v>
      </c>
      <c r="AI785" s="22">
        <f t="shared" si="119"/>
        <v>0</v>
      </c>
      <c r="AJ785" s="22">
        <f t="shared" si="120"/>
        <v>0</v>
      </c>
    </row>
    <row r="786" spans="1:37" s="165" customFormat="1" hidden="1">
      <c r="A786" s="165" t="s">
        <v>1410</v>
      </c>
      <c r="B786" s="13">
        <v>43567</v>
      </c>
      <c r="C786" s="13" t="s">
        <v>23</v>
      </c>
      <c r="D786" s="165" t="s">
        <v>643</v>
      </c>
      <c r="E786" s="13" t="s">
        <v>1411</v>
      </c>
      <c r="F786" s="165" t="str">
        <f t="shared" si="116"/>
        <v>ALUS_14.16_300_NL2018</v>
      </c>
      <c r="G786" s="13" t="s">
        <v>501</v>
      </c>
      <c r="H786" s="12"/>
      <c r="I786" s="12" t="s">
        <v>47</v>
      </c>
      <c r="J786" s="31" t="s">
        <v>124</v>
      </c>
      <c r="K786" s="15" t="s">
        <v>28</v>
      </c>
      <c r="L786" s="15"/>
      <c r="M786" s="16">
        <f t="shared" si="117"/>
        <v>23</v>
      </c>
      <c r="N786" s="15">
        <v>6900</v>
      </c>
      <c r="O786" s="15">
        <v>4000</v>
      </c>
      <c r="P786" s="15">
        <f t="shared" si="115"/>
        <v>27600000</v>
      </c>
      <c r="Q786" s="15" t="str">
        <f t="shared" si="122"/>
        <v>Done</v>
      </c>
      <c r="R786" s="18" t="s">
        <v>44</v>
      </c>
      <c r="S786" s="23">
        <v>43524</v>
      </c>
      <c r="T786" s="20">
        <f>IFERROR(VLOOKUP(S786,'Date Converter'!$A$4:$C$368,3,0),"")</f>
        <v>43557</v>
      </c>
      <c r="U786" s="21">
        <f t="shared" si="121"/>
        <v>43557</v>
      </c>
      <c r="V786" s="12" t="s">
        <v>54</v>
      </c>
      <c r="W786" s="18"/>
      <c r="X786" s="18"/>
      <c r="Y786" s="12"/>
      <c r="Z786" s="206">
        <v>43567</v>
      </c>
      <c r="AA786" s="15">
        <v>6900</v>
      </c>
      <c r="AB786" s="206"/>
      <c r="AC786" s="12"/>
      <c r="AD786" s="206"/>
      <c r="AE786" s="12"/>
      <c r="AF786" s="245"/>
      <c r="AG786" s="12"/>
      <c r="AH786" s="15">
        <f t="shared" si="118"/>
        <v>6900</v>
      </c>
      <c r="AI786" s="22">
        <f t="shared" si="119"/>
        <v>0</v>
      </c>
      <c r="AJ786" s="22">
        <f t="shared" si="120"/>
        <v>0</v>
      </c>
    </row>
    <row r="787" spans="1:37" s="165" customFormat="1" hidden="1">
      <c r="A787" s="165" t="s">
        <v>292</v>
      </c>
      <c r="B787" s="13">
        <v>43595</v>
      </c>
      <c r="C787" s="13" t="s">
        <v>23</v>
      </c>
      <c r="D787" s="165" t="s">
        <v>24</v>
      </c>
      <c r="E787" s="198" t="s">
        <v>25</v>
      </c>
      <c r="F787" s="165" t="str">
        <f t="shared" si="116"/>
        <v>ZAMB_16.18_200_NL2018</v>
      </c>
      <c r="G787" s="165" t="s">
        <v>1464</v>
      </c>
      <c r="H787" s="12"/>
      <c r="I787" s="12" t="s">
        <v>35</v>
      </c>
      <c r="J787" s="14">
        <v>200</v>
      </c>
      <c r="K787" s="15" t="s">
        <v>28</v>
      </c>
      <c r="L787" s="15"/>
      <c r="M787" s="16">
        <f t="shared" si="117"/>
        <v>1</v>
      </c>
      <c r="N787" s="196">
        <v>200</v>
      </c>
      <c r="O787" s="15">
        <v>6300</v>
      </c>
      <c r="P787" s="15">
        <f t="shared" si="115"/>
        <v>1260000</v>
      </c>
      <c r="Q787" s="15" t="str">
        <f t="shared" si="122"/>
        <v/>
      </c>
      <c r="R787" s="18" t="s">
        <v>63</v>
      </c>
      <c r="S787" s="23">
        <v>43590</v>
      </c>
      <c r="T787" s="20">
        <f>IFERROR(VLOOKUP(S787,'Date Converter'!$A$4:$C$368,3,0),"")</f>
        <v>43623</v>
      </c>
      <c r="U787" s="21">
        <f t="shared" si="121"/>
        <v>43623</v>
      </c>
      <c r="V787" s="12"/>
      <c r="W787" s="18"/>
      <c r="X787" s="18"/>
      <c r="Y787" s="15"/>
      <c r="Z787" s="206"/>
      <c r="AA787" s="15"/>
      <c r="AB787" s="206"/>
      <c r="AC787" s="15"/>
      <c r="AD787" s="206"/>
      <c r="AE787" s="15"/>
      <c r="AF787" s="244"/>
      <c r="AG787" s="15"/>
      <c r="AH787" s="15">
        <f t="shared" si="118"/>
        <v>0</v>
      </c>
      <c r="AI787" s="22">
        <f t="shared" si="119"/>
        <v>200</v>
      </c>
      <c r="AJ787" s="22">
        <f t="shared" si="120"/>
        <v>1260000</v>
      </c>
    </row>
    <row r="788" spans="1:37" hidden="1">
      <c r="A788" t="s">
        <v>1810</v>
      </c>
      <c r="B788" s="13">
        <v>43616</v>
      </c>
      <c r="C788" s="13" t="s">
        <v>23</v>
      </c>
      <c r="D788" t="s">
        <v>24</v>
      </c>
      <c r="E788" s="198" t="s">
        <v>25</v>
      </c>
      <c r="F788" s="165" t="str">
        <f t="shared" si="116"/>
        <v>ZAMB_16.18_200_NL2018</v>
      </c>
      <c r="G788" s="183" t="s">
        <v>1464</v>
      </c>
      <c r="I788" s="12" t="s">
        <v>35</v>
      </c>
      <c r="J788" s="14">
        <v>200</v>
      </c>
      <c r="K788" s="15" t="s">
        <v>28</v>
      </c>
      <c r="M788" s="16">
        <f t="shared" si="117"/>
        <v>1</v>
      </c>
      <c r="N788" s="196">
        <v>200</v>
      </c>
      <c r="O788" s="15">
        <v>6400</v>
      </c>
      <c r="P788" s="15">
        <f t="shared" si="115"/>
        <v>1280000</v>
      </c>
      <c r="Q788" s="15" t="str">
        <f t="shared" si="122"/>
        <v/>
      </c>
      <c r="R788" s="18" t="s">
        <v>31</v>
      </c>
      <c r="S788" s="23">
        <v>43621</v>
      </c>
      <c r="T788" s="20">
        <f>IFERROR(VLOOKUP(S788,'Date Converter'!$A$4:$C$368,3,0),"")</f>
        <v>43653</v>
      </c>
      <c r="U788" s="21">
        <f t="shared" si="121"/>
        <v>43653</v>
      </c>
      <c r="Y788" s="15"/>
      <c r="AA788" s="15"/>
      <c r="AB788" s="206"/>
      <c r="AC788" s="15"/>
      <c r="AD788" s="206"/>
      <c r="AE788" s="15"/>
      <c r="AF788" s="244"/>
      <c r="AG788" s="15"/>
      <c r="AH788" s="15">
        <f t="shared" si="118"/>
        <v>0</v>
      </c>
      <c r="AI788" s="22">
        <f t="shared" si="119"/>
        <v>200</v>
      </c>
      <c r="AJ788" s="22">
        <f t="shared" si="120"/>
        <v>1280000</v>
      </c>
      <c r="AK788" s="165"/>
    </row>
    <row r="789" spans="1:37" hidden="1">
      <c r="A789" t="s">
        <v>1810</v>
      </c>
      <c r="B789" s="13">
        <v>43616</v>
      </c>
      <c r="C789" s="13" t="s">
        <v>23</v>
      </c>
      <c r="D789" t="s">
        <v>24</v>
      </c>
      <c r="E789" s="198" t="s">
        <v>25</v>
      </c>
      <c r="F789" t="str">
        <f t="shared" si="116"/>
        <v>ZAMB_16.18_200_NL2018</v>
      </c>
      <c r="G789" s="183" t="s">
        <v>1464</v>
      </c>
      <c r="I789" s="12" t="s">
        <v>35</v>
      </c>
      <c r="J789" s="14">
        <v>200</v>
      </c>
      <c r="K789" s="15" t="s">
        <v>28</v>
      </c>
      <c r="M789" s="16">
        <f t="shared" si="117"/>
        <v>1</v>
      </c>
      <c r="N789" s="196">
        <v>200</v>
      </c>
      <c r="O789" s="15">
        <v>6500</v>
      </c>
      <c r="P789" s="15">
        <f t="shared" si="115"/>
        <v>1300000</v>
      </c>
      <c r="Q789" s="15" t="str">
        <f t="shared" si="122"/>
        <v/>
      </c>
      <c r="R789" s="18" t="s">
        <v>29</v>
      </c>
      <c r="S789" s="23">
        <v>43651</v>
      </c>
      <c r="T789" s="20">
        <f>IFERROR(VLOOKUP(S789,'Date Converter'!$A$4:$C$368,3,0),"")</f>
        <v>43682</v>
      </c>
      <c r="U789" s="21">
        <f t="shared" si="121"/>
        <v>43682</v>
      </c>
      <c r="Y789" s="15"/>
      <c r="AA789" s="15"/>
      <c r="AB789" s="206"/>
      <c r="AC789" s="15"/>
      <c r="AD789" s="206"/>
      <c r="AE789" s="15"/>
      <c r="AF789" s="244"/>
      <c r="AG789" s="15"/>
      <c r="AH789" s="15">
        <f t="shared" si="118"/>
        <v>0</v>
      </c>
      <c r="AI789" s="22">
        <f t="shared" si="119"/>
        <v>200</v>
      </c>
      <c r="AJ789" s="22">
        <f t="shared" si="120"/>
        <v>1300000</v>
      </c>
      <c r="AK789" s="165"/>
    </row>
    <row r="790" spans="1:37" s="165" customFormat="1" hidden="1">
      <c r="A790" s="183" t="s">
        <v>1362</v>
      </c>
      <c r="B790" s="188">
        <v>43616</v>
      </c>
      <c r="C790" s="188" t="s">
        <v>23</v>
      </c>
      <c r="D790" s="183" t="s">
        <v>24</v>
      </c>
      <c r="E790" s="201" t="s">
        <v>25</v>
      </c>
      <c r="F790" s="183" t="str">
        <f t="shared" si="116"/>
        <v>ZAMB_16.18_200_NL2018</v>
      </c>
      <c r="G790" s="183" t="s">
        <v>1464</v>
      </c>
      <c r="H790" s="184"/>
      <c r="I790" s="184" t="s">
        <v>35</v>
      </c>
      <c r="J790" s="186">
        <v>200</v>
      </c>
      <c r="K790" s="185" t="s">
        <v>28</v>
      </c>
      <c r="L790" s="185"/>
      <c r="M790" s="187">
        <f t="shared" si="117"/>
        <v>5</v>
      </c>
      <c r="N790" s="196">
        <v>1000</v>
      </c>
      <c r="O790" s="185" t="s">
        <v>1812</v>
      </c>
      <c r="P790" s="185"/>
      <c r="Q790" s="15" t="str">
        <f t="shared" si="122"/>
        <v/>
      </c>
      <c r="R790" s="189" t="s">
        <v>29</v>
      </c>
      <c r="S790" s="199"/>
      <c r="T790" s="20"/>
      <c r="U790" s="21"/>
      <c r="V790" s="20" t="s">
        <v>2359</v>
      </c>
      <c r="W790" s="18"/>
      <c r="X790" s="18"/>
      <c r="Y790" s="15"/>
      <c r="Z790" s="206"/>
      <c r="AA790" s="15"/>
      <c r="AB790" s="206"/>
      <c r="AC790" s="15"/>
      <c r="AD790" s="206"/>
      <c r="AE790" s="15"/>
      <c r="AF790" s="244"/>
      <c r="AG790" s="15"/>
      <c r="AH790" s="15">
        <f t="shared" si="118"/>
        <v>0</v>
      </c>
      <c r="AI790" s="22">
        <f t="shared" si="119"/>
        <v>1000</v>
      </c>
      <c r="AJ790" s="22" t="e">
        <f t="shared" si="120"/>
        <v>#VALUE!</v>
      </c>
    </row>
    <row r="791" spans="1:37" hidden="1">
      <c r="A791" t="s">
        <v>1362</v>
      </c>
      <c r="B791" s="13">
        <v>43563</v>
      </c>
      <c r="C791" s="13" t="s">
        <v>23</v>
      </c>
      <c r="D791" t="s">
        <v>24</v>
      </c>
      <c r="E791" s="198" t="s">
        <v>25</v>
      </c>
      <c r="F791" t="str">
        <f t="shared" si="116"/>
        <v>YELL_14.16_300_NL2018</v>
      </c>
      <c r="G791" s="165" t="s">
        <v>89</v>
      </c>
      <c r="I791" s="12" t="s">
        <v>47</v>
      </c>
      <c r="J791" s="14">
        <v>300</v>
      </c>
      <c r="K791" s="15" t="s">
        <v>28</v>
      </c>
      <c r="M791" s="16">
        <f t="shared" si="117"/>
        <v>7</v>
      </c>
      <c r="N791" s="15">
        <f>600+300+300+300+300+300</f>
        <v>2100</v>
      </c>
      <c r="O791" s="15">
        <v>3800</v>
      </c>
      <c r="P791" s="15">
        <f t="shared" ref="P791:P796" si="123">+O791*N791</f>
        <v>7980000</v>
      </c>
      <c r="Q791" s="15" t="str">
        <f t="shared" si="122"/>
        <v>Done</v>
      </c>
      <c r="R791" s="18" t="s">
        <v>44</v>
      </c>
      <c r="S791" s="23" t="s">
        <v>53</v>
      </c>
      <c r="T791" s="20">
        <f>IFERROR(VLOOKUP(S791,'Date Converter'!$A$4:$C$368,3,0),"")</f>
        <v>43559</v>
      </c>
      <c r="U791" s="21">
        <f t="shared" ref="U791:U796" si="124">+T791</f>
        <v>43559</v>
      </c>
      <c r="V791" s="20" t="s">
        <v>54</v>
      </c>
      <c r="Y791" s="15"/>
      <c r="AA791" s="15">
        <f>300+300+300+300+300+300+300</f>
        <v>2100</v>
      </c>
      <c r="AB791" s="206"/>
      <c r="AC791" s="15"/>
      <c r="AD791" s="206"/>
      <c r="AE791" s="15"/>
      <c r="AF791" s="244"/>
      <c r="AG791" s="15"/>
      <c r="AH791" s="15">
        <f t="shared" si="118"/>
        <v>2100</v>
      </c>
      <c r="AI791" s="22">
        <f t="shared" si="119"/>
        <v>0</v>
      </c>
      <c r="AJ791" s="22">
        <f t="shared" si="120"/>
        <v>0</v>
      </c>
      <c r="AK791" s="165"/>
    </row>
    <row r="792" spans="1:37" s="165" customFormat="1" hidden="1">
      <c r="A792" s="165" t="s">
        <v>1362</v>
      </c>
      <c r="B792" s="13">
        <v>43622</v>
      </c>
      <c r="C792" s="13" t="s">
        <v>23</v>
      </c>
      <c r="D792" s="165" t="s">
        <v>24</v>
      </c>
      <c r="E792" s="198" t="s">
        <v>25</v>
      </c>
      <c r="F792" s="165" t="str">
        <f t="shared" si="116"/>
        <v>YELL_14.16_300_NL2018</v>
      </c>
      <c r="G792" s="165" t="s">
        <v>89</v>
      </c>
      <c r="H792" s="12"/>
      <c r="I792" s="12" t="s">
        <v>47</v>
      </c>
      <c r="J792" s="14">
        <v>300</v>
      </c>
      <c r="K792" s="15" t="s">
        <v>28</v>
      </c>
      <c r="L792" s="15"/>
      <c r="M792" s="16">
        <f t="shared" si="117"/>
        <v>10</v>
      </c>
      <c r="N792" s="15">
        <v>3000</v>
      </c>
      <c r="O792" s="15">
        <v>3900</v>
      </c>
      <c r="P792" s="15">
        <f t="shared" si="123"/>
        <v>11700000</v>
      </c>
      <c r="Q792" s="15" t="str">
        <f t="shared" si="122"/>
        <v/>
      </c>
      <c r="R792" s="18" t="s">
        <v>63</v>
      </c>
      <c r="S792" s="23">
        <v>43590</v>
      </c>
      <c r="T792" s="20">
        <f>IFERROR(VLOOKUP(S792,'Date Converter'!$A$4:$C$368,3,0),"")</f>
        <v>43623</v>
      </c>
      <c r="U792" s="21">
        <f t="shared" si="124"/>
        <v>43623</v>
      </c>
      <c r="V792" s="20"/>
      <c r="W792" s="18"/>
      <c r="X792" s="18"/>
      <c r="Y792" s="15"/>
      <c r="Z792" s="206">
        <v>43622</v>
      </c>
      <c r="AA792" s="15">
        <v>300</v>
      </c>
      <c r="AB792" s="206">
        <v>43631</v>
      </c>
      <c r="AC792" s="15">
        <v>300</v>
      </c>
      <c r="AD792" s="206"/>
      <c r="AE792" s="15"/>
      <c r="AF792" s="244"/>
      <c r="AG792" s="15"/>
      <c r="AH792" s="15">
        <f t="shared" si="118"/>
        <v>600</v>
      </c>
      <c r="AI792" s="22">
        <f t="shared" si="119"/>
        <v>2400</v>
      </c>
      <c r="AJ792" s="22">
        <f t="shared" si="120"/>
        <v>9360000</v>
      </c>
    </row>
    <row r="793" spans="1:37" s="165" customFormat="1" ht="13.5" hidden="1" customHeight="1">
      <c r="A793" s="165" t="s">
        <v>292</v>
      </c>
      <c r="B793" s="13">
        <v>43616</v>
      </c>
      <c r="C793" s="13" t="s">
        <v>23</v>
      </c>
      <c r="D793" s="165" t="s">
        <v>24</v>
      </c>
      <c r="E793" s="198" t="s">
        <v>25</v>
      </c>
      <c r="F793" s="165" t="str">
        <f t="shared" si="116"/>
        <v>THAL_RL_12.14_400_NL2018</v>
      </c>
      <c r="G793" s="165" t="s">
        <v>1473</v>
      </c>
      <c r="H793" s="12" t="s">
        <v>219</v>
      </c>
      <c r="I793" s="12" t="s">
        <v>113</v>
      </c>
      <c r="J793" s="14">
        <v>400</v>
      </c>
      <c r="K793" s="15" t="s">
        <v>28</v>
      </c>
      <c r="L793" s="15"/>
      <c r="M793" s="16">
        <f t="shared" si="117"/>
        <v>1</v>
      </c>
      <c r="N793" s="196">
        <f>800-400</f>
        <v>400</v>
      </c>
      <c r="O793" s="15">
        <v>8600</v>
      </c>
      <c r="P793" s="15">
        <f t="shared" si="123"/>
        <v>3440000</v>
      </c>
      <c r="Q793" s="15" t="str">
        <f t="shared" si="122"/>
        <v/>
      </c>
      <c r="R793" s="18" t="s">
        <v>44</v>
      </c>
      <c r="S793" s="23">
        <v>43511</v>
      </c>
      <c r="T793" s="20">
        <f>IFERROR(VLOOKUP(S793,'Date Converter'!$A$4:$C$368,3,0),"")</f>
        <v>43544</v>
      </c>
      <c r="U793" s="21">
        <f t="shared" si="124"/>
        <v>43544</v>
      </c>
      <c r="V793" s="12"/>
      <c r="W793" s="18"/>
      <c r="X793" s="18"/>
      <c r="Y793" s="15"/>
      <c r="Z793" s="206"/>
      <c r="AA793" s="15"/>
      <c r="AB793" s="206"/>
      <c r="AC793" s="15"/>
      <c r="AD793" s="206"/>
      <c r="AE793" s="15"/>
      <c r="AF793" s="244"/>
      <c r="AG793" s="15"/>
      <c r="AH793" s="15">
        <f t="shared" si="118"/>
        <v>0</v>
      </c>
      <c r="AI793" s="22">
        <f t="shared" si="119"/>
        <v>400</v>
      </c>
      <c r="AJ793" s="22">
        <f t="shared" si="120"/>
        <v>3440000</v>
      </c>
    </row>
    <row r="794" spans="1:37" s="165" customFormat="1" hidden="1">
      <c r="A794" s="165" t="s">
        <v>292</v>
      </c>
      <c r="B794" s="13">
        <v>43578</v>
      </c>
      <c r="C794" s="13" t="s">
        <v>23</v>
      </c>
      <c r="D794" s="165" t="s">
        <v>24</v>
      </c>
      <c r="E794" s="198" t="s">
        <v>25</v>
      </c>
      <c r="F794" s="165" t="str">
        <f t="shared" si="116"/>
        <v>THAL_RL_12.14_400_NL2018</v>
      </c>
      <c r="G794" s="165" t="s">
        <v>1473</v>
      </c>
      <c r="H794" s="12" t="s">
        <v>219</v>
      </c>
      <c r="I794" s="12" t="s">
        <v>113</v>
      </c>
      <c r="J794" s="14">
        <v>400</v>
      </c>
      <c r="K794" s="15" t="s">
        <v>28</v>
      </c>
      <c r="L794" s="15"/>
      <c r="M794" s="16">
        <f t="shared" si="117"/>
        <v>2</v>
      </c>
      <c r="N794" s="196">
        <v>800</v>
      </c>
      <c r="O794" s="15">
        <v>8700</v>
      </c>
      <c r="P794" s="15">
        <f t="shared" si="123"/>
        <v>6960000</v>
      </c>
      <c r="Q794" s="15" t="str">
        <f t="shared" si="122"/>
        <v/>
      </c>
      <c r="R794" s="18" t="s">
        <v>63</v>
      </c>
      <c r="S794" s="23">
        <v>43590</v>
      </c>
      <c r="T794" s="20">
        <f>IFERROR(VLOOKUP(S794,'Date Converter'!$A$4:$C$368,3,0),"")</f>
        <v>43623</v>
      </c>
      <c r="U794" s="21">
        <f t="shared" si="124"/>
        <v>43623</v>
      </c>
      <c r="V794" s="12"/>
      <c r="W794" s="18"/>
      <c r="X794" s="18"/>
      <c r="Y794" s="15"/>
      <c r="Z794" s="206"/>
      <c r="AA794" s="15"/>
      <c r="AB794" s="206"/>
      <c r="AC794" s="15"/>
      <c r="AD794" s="206"/>
      <c r="AE794" s="15"/>
      <c r="AF794" s="244"/>
      <c r="AG794" s="15"/>
      <c r="AH794" s="15">
        <f t="shared" si="118"/>
        <v>0</v>
      </c>
      <c r="AI794" s="22">
        <f t="shared" si="119"/>
        <v>800</v>
      </c>
      <c r="AJ794" s="22">
        <f t="shared" si="120"/>
        <v>6960000</v>
      </c>
    </row>
    <row r="795" spans="1:37" s="165" customFormat="1" hidden="1">
      <c r="A795" s="165" t="s">
        <v>1810</v>
      </c>
      <c r="B795" s="13">
        <v>43616</v>
      </c>
      <c r="C795" s="13" t="s">
        <v>23</v>
      </c>
      <c r="D795" s="165" t="s">
        <v>24</v>
      </c>
      <c r="E795" s="198" t="s">
        <v>25</v>
      </c>
      <c r="F795" s="165" t="str">
        <f t="shared" si="116"/>
        <v>THAL_RL_12.14_400_NL2018</v>
      </c>
      <c r="G795" s="183" t="s">
        <v>1473</v>
      </c>
      <c r="H795" s="184" t="s">
        <v>219</v>
      </c>
      <c r="I795" s="184" t="s">
        <v>113</v>
      </c>
      <c r="J795" s="186">
        <v>400</v>
      </c>
      <c r="K795" s="185" t="s">
        <v>28</v>
      </c>
      <c r="L795" s="185"/>
      <c r="M795" s="187">
        <f t="shared" si="117"/>
        <v>2</v>
      </c>
      <c r="N795" s="196">
        <v>800</v>
      </c>
      <c r="O795" s="15">
        <v>8700</v>
      </c>
      <c r="P795" s="15">
        <f t="shared" si="123"/>
        <v>6960000</v>
      </c>
      <c r="Q795" s="15" t="str">
        <f t="shared" si="122"/>
        <v/>
      </c>
      <c r="R795" s="18" t="s">
        <v>31</v>
      </c>
      <c r="S795" s="23">
        <v>43621</v>
      </c>
      <c r="T795" s="20">
        <f>IFERROR(VLOOKUP(S795,'Date Converter'!$A$4:$C$368,3,0),"")</f>
        <v>43653</v>
      </c>
      <c r="U795" s="21">
        <f t="shared" si="124"/>
        <v>43653</v>
      </c>
      <c r="V795" s="12"/>
      <c r="W795" s="18"/>
      <c r="X795" s="18"/>
      <c r="Y795" s="15"/>
      <c r="Z795" s="206"/>
      <c r="AA795" s="15"/>
      <c r="AB795" s="206"/>
      <c r="AC795" s="15"/>
      <c r="AD795" s="206"/>
      <c r="AE795" s="15"/>
      <c r="AF795" s="244"/>
      <c r="AG795" s="15"/>
      <c r="AH795" s="15">
        <f t="shared" si="118"/>
        <v>0</v>
      </c>
      <c r="AI795" s="22">
        <f t="shared" si="119"/>
        <v>800</v>
      </c>
      <c r="AJ795" s="22">
        <f t="shared" si="120"/>
        <v>6960000</v>
      </c>
    </row>
    <row r="796" spans="1:37" s="165" customFormat="1" hidden="1">
      <c r="A796" s="165" t="s">
        <v>1810</v>
      </c>
      <c r="B796" s="13">
        <v>43616</v>
      </c>
      <c r="C796" s="13" t="s">
        <v>23</v>
      </c>
      <c r="D796" s="165" t="s">
        <v>24</v>
      </c>
      <c r="E796" s="198" t="s">
        <v>25</v>
      </c>
      <c r="F796" s="165" t="str">
        <f t="shared" si="116"/>
        <v>THAL_RL_12.14_400_NL2018</v>
      </c>
      <c r="G796" s="183" t="s">
        <v>1473</v>
      </c>
      <c r="H796" s="184" t="s">
        <v>219</v>
      </c>
      <c r="I796" s="184" t="s">
        <v>113</v>
      </c>
      <c r="J796" s="186">
        <v>400</v>
      </c>
      <c r="K796" s="185" t="s">
        <v>28</v>
      </c>
      <c r="L796" s="185"/>
      <c r="M796" s="187">
        <f t="shared" si="117"/>
        <v>2</v>
      </c>
      <c r="N796" s="196">
        <v>800</v>
      </c>
      <c r="O796" s="15">
        <v>8700</v>
      </c>
      <c r="P796" s="15">
        <f t="shared" si="123"/>
        <v>6960000</v>
      </c>
      <c r="Q796" s="15" t="str">
        <f t="shared" si="122"/>
        <v/>
      </c>
      <c r="R796" s="18" t="s">
        <v>29</v>
      </c>
      <c r="S796" s="23">
        <v>43651</v>
      </c>
      <c r="T796" s="20">
        <f>IFERROR(VLOOKUP(S796,'Date Converter'!$A$4:$C$368,3,0),"")</f>
        <v>43682</v>
      </c>
      <c r="U796" s="21">
        <f t="shared" si="124"/>
        <v>43682</v>
      </c>
      <c r="V796" s="12"/>
      <c r="W796" s="18"/>
      <c r="X796" s="18"/>
      <c r="Y796" s="15"/>
      <c r="Z796" s="206"/>
      <c r="AA796" s="15"/>
      <c r="AB796" s="206"/>
      <c r="AC796" s="15"/>
      <c r="AD796" s="206"/>
      <c r="AE796" s="15"/>
      <c r="AF796" s="244"/>
      <c r="AG796" s="15"/>
      <c r="AH796" s="15">
        <f t="shared" si="118"/>
        <v>0</v>
      </c>
      <c r="AI796" s="22">
        <f t="shared" si="119"/>
        <v>800</v>
      </c>
      <c r="AJ796" s="22">
        <f t="shared" si="120"/>
        <v>6960000</v>
      </c>
    </row>
    <row r="797" spans="1:37" s="165" customFormat="1" hidden="1">
      <c r="A797" s="183" t="s">
        <v>1362</v>
      </c>
      <c r="B797" s="188">
        <v>43616</v>
      </c>
      <c r="C797" s="188" t="s">
        <v>23</v>
      </c>
      <c r="D797" s="183" t="s">
        <v>24</v>
      </c>
      <c r="E797" s="201" t="s">
        <v>25</v>
      </c>
      <c r="F797" s="183" t="str">
        <f t="shared" si="116"/>
        <v>THAL_RL_12.14_400_NL2018</v>
      </c>
      <c r="G797" s="183" t="s">
        <v>1473</v>
      </c>
      <c r="H797" s="184" t="s">
        <v>219</v>
      </c>
      <c r="I797" s="184" t="s">
        <v>113</v>
      </c>
      <c r="J797" s="186">
        <v>400</v>
      </c>
      <c r="K797" s="185" t="s">
        <v>28</v>
      </c>
      <c r="L797" s="185"/>
      <c r="M797" s="187">
        <f t="shared" si="117"/>
        <v>10</v>
      </c>
      <c r="N797" s="196">
        <v>4000</v>
      </c>
      <c r="O797" s="185" t="s">
        <v>1811</v>
      </c>
      <c r="P797" s="185"/>
      <c r="Q797" s="15" t="str">
        <f t="shared" si="122"/>
        <v/>
      </c>
      <c r="R797" s="189" t="s">
        <v>29</v>
      </c>
      <c r="S797" s="199"/>
      <c r="T797" s="20"/>
      <c r="U797" s="21"/>
      <c r="V797" s="20" t="s">
        <v>2359</v>
      </c>
      <c r="W797" s="18"/>
      <c r="X797" s="18"/>
      <c r="Y797" s="15"/>
      <c r="Z797" s="206"/>
      <c r="AA797" s="15"/>
      <c r="AB797" s="206"/>
      <c r="AC797" s="15"/>
      <c r="AD797" s="206"/>
      <c r="AE797" s="15"/>
      <c r="AF797" s="244"/>
      <c r="AG797" s="15"/>
      <c r="AH797" s="15">
        <f t="shared" si="118"/>
        <v>0</v>
      </c>
      <c r="AI797" s="22">
        <f t="shared" si="119"/>
        <v>4000</v>
      </c>
      <c r="AJ797" s="22" t="e">
        <f t="shared" si="120"/>
        <v>#VALUE!</v>
      </c>
    </row>
    <row r="798" spans="1:37" hidden="1">
      <c r="A798" t="s">
        <v>292</v>
      </c>
      <c r="B798" s="13">
        <v>43578</v>
      </c>
      <c r="C798" s="13" t="s">
        <v>23</v>
      </c>
      <c r="D798" t="s">
        <v>24</v>
      </c>
      <c r="E798" s="198" t="s">
        <v>25</v>
      </c>
      <c r="F798" t="str">
        <f t="shared" si="116"/>
        <v>TATS_RL_12.14_350_NL2018</v>
      </c>
      <c r="G798" s="165" t="s">
        <v>1474</v>
      </c>
      <c r="H798" s="12" t="s">
        <v>219</v>
      </c>
      <c r="I798" s="12" t="s">
        <v>113</v>
      </c>
      <c r="J798" s="14">
        <v>350</v>
      </c>
      <c r="K798" s="15" t="s">
        <v>28</v>
      </c>
      <c r="M798" s="16">
        <f t="shared" si="117"/>
        <v>2</v>
      </c>
      <c r="N798" s="196">
        <v>700</v>
      </c>
      <c r="O798" s="15">
        <v>8700</v>
      </c>
      <c r="P798" s="15">
        <f>+O798*N798</f>
        <v>6090000</v>
      </c>
      <c r="Q798" s="15" t="str">
        <f t="shared" si="122"/>
        <v/>
      </c>
      <c r="R798" s="18" t="s">
        <v>63</v>
      </c>
      <c r="S798" s="23">
        <v>43590</v>
      </c>
      <c r="T798" s="20">
        <f>IFERROR(VLOOKUP(S798,'Date Converter'!$A$4:$C$368,3,0),"")</f>
        <v>43623</v>
      </c>
      <c r="U798" s="21">
        <f>+T798</f>
        <v>43623</v>
      </c>
      <c r="Y798" s="15"/>
      <c r="AA798" s="15"/>
      <c r="AB798" s="206"/>
      <c r="AC798" s="15"/>
      <c r="AD798" s="206"/>
      <c r="AE798" s="15"/>
      <c r="AF798" s="244"/>
      <c r="AG798" s="15"/>
      <c r="AH798" s="15">
        <f t="shared" si="118"/>
        <v>0</v>
      </c>
      <c r="AI798" s="22">
        <f t="shared" si="119"/>
        <v>700</v>
      </c>
      <c r="AJ798" s="22">
        <f t="shared" si="120"/>
        <v>6090000</v>
      </c>
      <c r="AK798" s="165"/>
    </row>
    <row r="799" spans="1:37" s="165" customFormat="1" hidden="1">
      <c r="A799" s="165" t="s">
        <v>1810</v>
      </c>
      <c r="B799" s="13">
        <v>43616</v>
      </c>
      <c r="C799" s="13" t="s">
        <v>23</v>
      </c>
      <c r="D799" s="165" t="s">
        <v>24</v>
      </c>
      <c r="E799" s="198" t="s">
        <v>25</v>
      </c>
      <c r="F799" s="165" t="str">
        <f t="shared" si="116"/>
        <v>TATS_RL_12.14_350_NL2018</v>
      </c>
      <c r="G799" s="183" t="s">
        <v>1474</v>
      </c>
      <c r="H799" s="184" t="s">
        <v>219</v>
      </c>
      <c r="I799" s="184" t="s">
        <v>113</v>
      </c>
      <c r="J799" s="14">
        <v>350</v>
      </c>
      <c r="K799" s="185" t="s">
        <v>28</v>
      </c>
      <c r="L799" s="185"/>
      <c r="M799" s="187">
        <f t="shared" si="117"/>
        <v>2</v>
      </c>
      <c r="N799" s="196">
        <v>700</v>
      </c>
      <c r="O799" s="15">
        <v>8700</v>
      </c>
      <c r="P799" s="15">
        <f>+O799*N799</f>
        <v>6090000</v>
      </c>
      <c r="Q799" s="15" t="str">
        <f t="shared" si="122"/>
        <v/>
      </c>
      <c r="R799" s="18" t="s">
        <v>31</v>
      </c>
      <c r="S799" s="23">
        <v>43621</v>
      </c>
      <c r="T799" s="20">
        <f>IFERROR(VLOOKUP(S799,'Date Converter'!$A$4:$C$368,3,0),"")</f>
        <v>43653</v>
      </c>
      <c r="U799" s="21">
        <f>+T799</f>
        <v>43653</v>
      </c>
      <c r="V799" s="12"/>
      <c r="W799" s="18"/>
      <c r="X799" s="18"/>
      <c r="Y799" s="15"/>
      <c r="Z799" s="206"/>
      <c r="AA799" s="15"/>
      <c r="AB799" s="206"/>
      <c r="AC799" s="15"/>
      <c r="AD799" s="206"/>
      <c r="AE799" s="15"/>
      <c r="AF799" s="244"/>
      <c r="AG799" s="15"/>
      <c r="AH799" s="15">
        <f t="shared" si="118"/>
        <v>0</v>
      </c>
      <c r="AI799" s="22">
        <f t="shared" si="119"/>
        <v>700</v>
      </c>
      <c r="AJ799" s="22">
        <f t="shared" si="120"/>
        <v>6090000</v>
      </c>
    </row>
    <row r="800" spans="1:37" hidden="1">
      <c r="A800" t="s">
        <v>1810</v>
      </c>
      <c r="B800" s="13">
        <v>43616</v>
      </c>
      <c r="C800" s="13" t="s">
        <v>23</v>
      </c>
      <c r="D800" t="s">
        <v>24</v>
      </c>
      <c r="E800" s="198" t="s">
        <v>25</v>
      </c>
      <c r="F800" t="str">
        <f t="shared" si="116"/>
        <v>TATS_RL_12.14_350_NL2018</v>
      </c>
      <c r="G800" s="183" t="s">
        <v>1474</v>
      </c>
      <c r="H800" s="184" t="s">
        <v>219</v>
      </c>
      <c r="I800" s="184" t="s">
        <v>113</v>
      </c>
      <c r="J800" s="14">
        <v>350</v>
      </c>
      <c r="K800" s="185" t="s">
        <v>28</v>
      </c>
      <c r="L800" s="185"/>
      <c r="M800" s="187">
        <f t="shared" si="117"/>
        <v>2</v>
      </c>
      <c r="N800" s="196">
        <v>700</v>
      </c>
      <c r="O800" s="15">
        <v>8700</v>
      </c>
      <c r="P800" s="15">
        <f>+O800*N800</f>
        <v>6090000</v>
      </c>
      <c r="Q800" s="15" t="str">
        <f t="shared" si="122"/>
        <v/>
      </c>
      <c r="R800" s="18" t="s">
        <v>29</v>
      </c>
      <c r="S800" s="23">
        <v>43651</v>
      </c>
      <c r="T800" s="20">
        <f>IFERROR(VLOOKUP(S800,'Date Converter'!$A$4:$C$368,3,0),"")</f>
        <v>43682</v>
      </c>
      <c r="U800" s="21">
        <f>+T800</f>
        <v>43682</v>
      </c>
      <c r="Y800" s="15"/>
      <c r="AA800" s="15"/>
      <c r="AB800" s="206"/>
      <c r="AC800" s="15"/>
      <c r="AD800" s="206"/>
      <c r="AE800" s="15"/>
      <c r="AF800" s="244"/>
      <c r="AG800" s="15"/>
      <c r="AH800" s="15">
        <f t="shared" si="118"/>
        <v>0</v>
      </c>
      <c r="AI800" s="22">
        <f t="shared" si="119"/>
        <v>700</v>
      </c>
      <c r="AJ800" s="22">
        <f t="shared" si="120"/>
        <v>6090000</v>
      </c>
      <c r="AK800" s="165"/>
    </row>
    <row r="801" spans="1:37" hidden="1">
      <c r="A801" s="28" t="s">
        <v>1362</v>
      </c>
      <c r="B801" s="26">
        <v>43616</v>
      </c>
      <c r="C801" s="26" t="s">
        <v>23</v>
      </c>
      <c r="D801" s="28" t="s">
        <v>24</v>
      </c>
      <c r="E801" s="202" t="s">
        <v>25</v>
      </c>
      <c r="F801" s="28" t="str">
        <f t="shared" si="116"/>
        <v>TATS_RL_12.14_350_NL2018</v>
      </c>
      <c r="G801" s="28" t="s">
        <v>1474</v>
      </c>
      <c r="H801" s="27" t="s">
        <v>219</v>
      </c>
      <c r="I801" s="27" t="s">
        <v>113</v>
      </c>
      <c r="J801" s="29">
        <v>350</v>
      </c>
      <c r="K801" s="25" t="s">
        <v>28</v>
      </c>
      <c r="L801" s="25"/>
      <c r="M801" s="82">
        <f t="shared" si="117"/>
        <v>0</v>
      </c>
      <c r="N801" s="195">
        <f>3500-3500</f>
        <v>0</v>
      </c>
      <c r="O801" s="25" t="s">
        <v>1811</v>
      </c>
      <c r="P801" s="25"/>
      <c r="Q801" s="15" t="str">
        <f t="shared" si="122"/>
        <v>Canceled</v>
      </c>
      <c r="R801" s="118" t="s">
        <v>71</v>
      </c>
      <c r="S801" s="197"/>
      <c r="V801" s="20"/>
      <c r="Y801" s="15"/>
      <c r="AA801" s="15"/>
      <c r="AB801" s="206"/>
      <c r="AC801" s="15"/>
      <c r="AD801" s="206"/>
      <c r="AE801" s="15"/>
      <c r="AF801" s="244"/>
      <c r="AG801" s="15"/>
      <c r="AH801" s="15">
        <f t="shared" si="118"/>
        <v>0</v>
      </c>
      <c r="AI801" s="22">
        <f t="shared" si="119"/>
        <v>0</v>
      </c>
      <c r="AJ801" s="22" t="e">
        <f t="shared" si="120"/>
        <v>#VALUE!</v>
      </c>
      <c r="AK801" s="165"/>
    </row>
    <row r="802" spans="1:37" hidden="1">
      <c r="A802" t="s">
        <v>292</v>
      </c>
      <c r="B802" s="13">
        <v>43499</v>
      </c>
      <c r="C802" s="13" t="s">
        <v>23</v>
      </c>
      <c r="D802" t="s">
        <v>24</v>
      </c>
      <c r="E802" s="165" t="s">
        <v>25</v>
      </c>
      <c r="F802" t="str">
        <f t="shared" si="116"/>
        <v>TARR_14.16_300_NL2018</v>
      </c>
      <c r="G802" t="s">
        <v>62</v>
      </c>
      <c r="I802" s="12" t="s">
        <v>47</v>
      </c>
      <c r="J802" s="14">
        <v>300</v>
      </c>
      <c r="K802" s="15" t="s">
        <v>28</v>
      </c>
      <c r="M802" s="16">
        <f t="shared" si="117"/>
        <v>0</v>
      </c>
      <c r="N802" s="15">
        <f>3000-3000</f>
        <v>0</v>
      </c>
      <c r="O802" s="15">
        <v>4600</v>
      </c>
      <c r="P802" s="15">
        <f t="shared" ref="P802:P808" si="125">+O802*N802</f>
        <v>0</v>
      </c>
      <c r="Q802" s="15" t="str">
        <f t="shared" si="122"/>
        <v>Canceled</v>
      </c>
      <c r="R802" s="18" t="s">
        <v>71</v>
      </c>
      <c r="S802" s="23">
        <v>43539</v>
      </c>
      <c r="T802" s="20">
        <f>IFERROR(VLOOKUP(S802,'Date Converter'!$A$4:$C$368,3,0),"")</f>
        <v>43574</v>
      </c>
      <c r="U802" s="21">
        <f t="shared" ref="U802:U826" si="126">+T802</f>
        <v>43574</v>
      </c>
      <c r="V802" s="12" t="s">
        <v>57</v>
      </c>
      <c r="Y802" s="15"/>
      <c r="AA802" s="15">
        <v>0</v>
      </c>
      <c r="AB802" s="206"/>
      <c r="AC802" s="15"/>
      <c r="AD802" s="206"/>
      <c r="AE802" s="15"/>
      <c r="AF802" s="244"/>
      <c r="AG802" s="15"/>
      <c r="AH802" s="15">
        <f t="shared" si="118"/>
        <v>0</v>
      </c>
      <c r="AI802" s="22">
        <f t="shared" si="119"/>
        <v>0</v>
      </c>
      <c r="AJ802" s="22">
        <f t="shared" si="120"/>
        <v>0</v>
      </c>
      <c r="AK802" s="165"/>
    </row>
    <row r="803" spans="1:37" hidden="1">
      <c r="A803" t="s">
        <v>292</v>
      </c>
      <c r="B803" s="13">
        <v>43461</v>
      </c>
      <c r="C803" s="13" t="s">
        <v>23</v>
      </c>
      <c r="D803" t="s">
        <v>24</v>
      </c>
      <c r="E803" s="165" t="s">
        <v>25</v>
      </c>
      <c r="F803" t="str">
        <f t="shared" si="116"/>
        <v>TARR_16.18_200_NL2018</v>
      </c>
      <c r="G803" s="165" t="s">
        <v>62</v>
      </c>
      <c r="I803" s="12" t="s">
        <v>35</v>
      </c>
      <c r="J803" s="14">
        <v>200</v>
      </c>
      <c r="K803" s="15" t="s">
        <v>28</v>
      </c>
      <c r="M803" s="16">
        <f t="shared" si="117"/>
        <v>0</v>
      </c>
      <c r="N803" s="17">
        <f>3000-3000</f>
        <v>0</v>
      </c>
      <c r="O803" s="15">
        <v>5500</v>
      </c>
      <c r="P803" s="15">
        <f t="shared" si="125"/>
        <v>0</v>
      </c>
      <c r="Q803" s="15" t="str">
        <f t="shared" si="122"/>
        <v>Canceled</v>
      </c>
      <c r="R803" s="18" t="s">
        <v>71</v>
      </c>
      <c r="S803" s="23">
        <v>43539</v>
      </c>
      <c r="T803" s="20">
        <f>IFERROR(VLOOKUP(S803,'Date Converter'!$A$4:$C$368,3,0),"")</f>
        <v>43574</v>
      </c>
      <c r="U803" s="21">
        <f t="shared" si="126"/>
        <v>43574</v>
      </c>
      <c r="V803" s="12" t="s">
        <v>57</v>
      </c>
      <c r="Y803" s="15"/>
      <c r="AA803" s="15"/>
      <c r="AB803" s="206"/>
      <c r="AC803" s="15"/>
      <c r="AD803" s="206"/>
      <c r="AE803" s="15"/>
      <c r="AF803" s="244"/>
      <c r="AG803" s="15"/>
      <c r="AH803" s="15">
        <f t="shared" si="118"/>
        <v>0</v>
      </c>
      <c r="AI803" s="22">
        <f t="shared" si="119"/>
        <v>0</v>
      </c>
      <c r="AJ803" s="22">
        <f t="shared" si="120"/>
        <v>0</v>
      </c>
      <c r="AK803" s="165"/>
    </row>
    <row r="804" spans="1:37" hidden="1">
      <c r="A804" t="s">
        <v>292</v>
      </c>
      <c r="B804" s="13">
        <v>43461</v>
      </c>
      <c r="C804" s="13" t="s">
        <v>23</v>
      </c>
      <c r="D804" t="s">
        <v>24</v>
      </c>
      <c r="E804" s="165" t="s">
        <v>25</v>
      </c>
      <c r="F804" t="str">
        <f t="shared" si="116"/>
        <v>TARR_16.18_200_NL2018</v>
      </c>
      <c r="G804" s="165" t="s">
        <v>62</v>
      </c>
      <c r="I804" s="12" t="s">
        <v>35</v>
      </c>
      <c r="J804" s="14">
        <v>200</v>
      </c>
      <c r="K804" s="15" t="s">
        <v>28</v>
      </c>
      <c r="M804" s="16">
        <f t="shared" si="117"/>
        <v>0</v>
      </c>
      <c r="N804" s="17">
        <f>80000-10000-70000</f>
        <v>0</v>
      </c>
      <c r="O804" s="15">
        <v>5500</v>
      </c>
      <c r="P804" s="15">
        <f t="shared" si="125"/>
        <v>0</v>
      </c>
      <c r="Q804" s="15" t="str">
        <f t="shared" si="122"/>
        <v>Canceled</v>
      </c>
      <c r="R804" s="18" t="s">
        <v>71</v>
      </c>
      <c r="S804" s="19">
        <v>43580</v>
      </c>
      <c r="T804" s="20">
        <f>IFERROR(VLOOKUP(S804,'Date Converter'!$A$4:$C$368,3,0),"")</f>
        <v>43614</v>
      </c>
      <c r="U804" s="21">
        <f t="shared" si="126"/>
        <v>43614</v>
      </c>
      <c r="V804" s="20" t="s">
        <v>30</v>
      </c>
      <c r="Y804" s="15"/>
      <c r="AA804" s="15">
        <v>0</v>
      </c>
      <c r="AB804" s="206"/>
      <c r="AC804" s="15"/>
      <c r="AD804" s="206"/>
      <c r="AE804" s="15"/>
      <c r="AF804" s="244"/>
      <c r="AG804" s="15"/>
      <c r="AH804" s="15">
        <f t="shared" si="118"/>
        <v>0</v>
      </c>
      <c r="AI804" s="22">
        <f t="shared" si="119"/>
        <v>0</v>
      </c>
      <c r="AJ804" s="22">
        <f t="shared" si="120"/>
        <v>0</v>
      </c>
      <c r="AK804" s="165"/>
    </row>
    <row r="805" spans="1:37" hidden="1">
      <c r="A805" t="s">
        <v>292</v>
      </c>
      <c r="B805" s="13">
        <v>43499</v>
      </c>
      <c r="C805" s="13" t="s">
        <v>23</v>
      </c>
      <c r="D805" t="s">
        <v>24</v>
      </c>
      <c r="E805" s="198" t="s">
        <v>25</v>
      </c>
      <c r="F805" t="str">
        <f t="shared" si="116"/>
        <v>ROBI_18.20_150_NL2018</v>
      </c>
      <c r="G805" s="165" t="s">
        <v>61</v>
      </c>
      <c r="I805" s="12" t="s">
        <v>27</v>
      </c>
      <c r="J805" s="14">
        <v>150</v>
      </c>
      <c r="K805" s="15" t="s">
        <v>28</v>
      </c>
      <c r="M805" s="16">
        <f t="shared" si="117"/>
        <v>54</v>
      </c>
      <c r="N805" s="15">
        <v>8100</v>
      </c>
      <c r="O805" s="15">
        <v>6300</v>
      </c>
      <c r="P805" s="15">
        <f t="shared" si="125"/>
        <v>51030000</v>
      </c>
      <c r="Q805" s="15" t="str">
        <f t="shared" si="122"/>
        <v>Done</v>
      </c>
      <c r="R805" s="18" t="s">
        <v>44</v>
      </c>
      <c r="S805" s="23">
        <v>43539</v>
      </c>
      <c r="T805" s="20">
        <f>IFERROR(VLOOKUP(S805,'Date Converter'!$A$4:$C$368,3,0),"")</f>
        <v>43574</v>
      </c>
      <c r="U805" s="21">
        <f t="shared" si="126"/>
        <v>43574</v>
      </c>
      <c r="V805" s="12" t="s">
        <v>57</v>
      </c>
      <c r="Y805" s="15"/>
      <c r="Z805" s="206">
        <v>43596</v>
      </c>
      <c r="AA805" s="15">
        <v>4050</v>
      </c>
      <c r="AB805" s="206">
        <v>43606</v>
      </c>
      <c r="AC805" s="15">
        <v>4050</v>
      </c>
      <c r="AD805" s="206"/>
      <c r="AE805" s="15"/>
      <c r="AF805" s="244"/>
      <c r="AG805" s="15"/>
      <c r="AH805" s="15">
        <f t="shared" si="118"/>
        <v>8100</v>
      </c>
      <c r="AI805" s="22">
        <f t="shared" si="119"/>
        <v>0</v>
      </c>
      <c r="AJ805" s="22">
        <f t="shared" si="120"/>
        <v>0</v>
      </c>
      <c r="AK805" s="165"/>
    </row>
    <row r="806" spans="1:37" hidden="1">
      <c r="A806" t="s">
        <v>292</v>
      </c>
      <c r="B806" s="13">
        <v>43572</v>
      </c>
      <c r="C806" s="13" t="s">
        <v>23</v>
      </c>
      <c r="D806" t="s">
        <v>24</v>
      </c>
      <c r="E806" s="198" t="s">
        <v>25</v>
      </c>
      <c r="F806" t="str">
        <f t="shared" si="116"/>
        <v>ROBI_18.20_150_NL2018</v>
      </c>
      <c r="G806" s="165" t="s">
        <v>61</v>
      </c>
      <c r="I806" s="12" t="s">
        <v>27</v>
      </c>
      <c r="J806" s="14">
        <v>150</v>
      </c>
      <c r="K806" s="15" t="s">
        <v>28</v>
      </c>
      <c r="M806" s="16">
        <f t="shared" si="117"/>
        <v>67</v>
      </c>
      <c r="N806" s="196">
        <v>10050</v>
      </c>
      <c r="O806" s="15">
        <f>6300+228</f>
        <v>6528</v>
      </c>
      <c r="P806" s="15">
        <f t="shared" si="125"/>
        <v>65606400</v>
      </c>
      <c r="Q806" s="15" t="str">
        <f t="shared" si="122"/>
        <v/>
      </c>
      <c r="R806" s="18" t="s">
        <v>63</v>
      </c>
      <c r="S806" s="23">
        <v>43572</v>
      </c>
      <c r="T806" s="20">
        <f>IFERROR(VLOOKUP(S806,'Date Converter'!$A$4:$C$368,3,0),"")</f>
        <v>43606</v>
      </c>
      <c r="U806" s="21">
        <f t="shared" si="126"/>
        <v>43606</v>
      </c>
      <c r="V806" s="20" t="s">
        <v>479</v>
      </c>
      <c r="Y806" s="15"/>
      <c r="AA806" s="15"/>
      <c r="AB806" s="206"/>
      <c r="AC806" s="15"/>
      <c r="AD806" s="206"/>
      <c r="AE806" s="15"/>
      <c r="AF806" s="244"/>
      <c r="AG806" s="15"/>
      <c r="AH806" s="15">
        <f t="shared" si="118"/>
        <v>0</v>
      </c>
      <c r="AI806" s="22">
        <f t="shared" si="119"/>
        <v>10050</v>
      </c>
      <c r="AJ806" s="22">
        <f t="shared" si="120"/>
        <v>65606400</v>
      </c>
      <c r="AK806" s="165"/>
    </row>
    <row r="807" spans="1:37" s="28" customFormat="1" hidden="1">
      <c r="A807" t="s">
        <v>292</v>
      </c>
      <c r="B807" s="13">
        <v>43578</v>
      </c>
      <c r="C807" s="13" t="s">
        <v>23</v>
      </c>
      <c r="D807" t="s">
        <v>24</v>
      </c>
      <c r="E807" s="198" t="s">
        <v>25</v>
      </c>
      <c r="F807" t="str">
        <f t="shared" si="116"/>
        <v>ROBI_18.20_150_NL2018</v>
      </c>
      <c r="G807" s="165" t="s">
        <v>61</v>
      </c>
      <c r="H807" s="12"/>
      <c r="I807" s="12" t="s">
        <v>27</v>
      </c>
      <c r="J807" s="14">
        <v>150</v>
      </c>
      <c r="K807" s="15" t="s">
        <v>28</v>
      </c>
      <c r="L807" s="15"/>
      <c r="M807" s="16">
        <f t="shared" si="117"/>
        <v>67</v>
      </c>
      <c r="N807" s="196">
        <v>10050</v>
      </c>
      <c r="O807" s="15">
        <f>6300+399</f>
        <v>6699</v>
      </c>
      <c r="P807" s="15">
        <f t="shared" si="125"/>
        <v>67324950</v>
      </c>
      <c r="Q807" s="15" t="str">
        <f t="shared" si="122"/>
        <v/>
      </c>
      <c r="R807" s="18" t="s">
        <v>63</v>
      </c>
      <c r="S807" s="23">
        <v>43590</v>
      </c>
      <c r="T807" s="20">
        <f>IFERROR(VLOOKUP(S807,'Date Converter'!$A$4:$C$368,3,0),"")</f>
        <v>43623</v>
      </c>
      <c r="U807" s="21">
        <f t="shared" si="126"/>
        <v>43623</v>
      </c>
      <c r="V807" s="12" t="s">
        <v>1454</v>
      </c>
      <c r="W807" s="18"/>
      <c r="X807" s="18"/>
      <c r="Y807" s="15"/>
      <c r="Z807" s="206">
        <v>43631</v>
      </c>
      <c r="AA807" s="15">
        <v>8100</v>
      </c>
      <c r="AB807" s="206">
        <v>43633</v>
      </c>
      <c r="AC807" s="15">
        <v>1050</v>
      </c>
      <c r="AD807" s="206"/>
      <c r="AE807" s="15"/>
      <c r="AF807" s="244"/>
      <c r="AG807" s="15"/>
      <c r="AH807" s="15">
        <f t="shared" si="118"/>
        <v>9150</v>
      </c>
      <c r="AI807" s="22">
        <f t="shared" si="119"/>
        <v>900</v>
      </c>
      <c r="AJ807" s="22">
        <f t="shared" si="120"/>
        <v>6029100</v>
      </c>
      <c r="AK807" s="165"/>
    </row>
    <row r="808" spans="1:37" s="28" customFormat="1" hidden="1">
      <c r="A808" t="s">
        <v>292</v>
      </c>
      <c r="B808" s="13">
        <v>43499</v>
      </c>
      <c r="C808" s="13" t="s">
        <v>23</v>
      </c>
      <c r="D808" t="s">
        <v>24</v>
      </c>
      <c r="E808" s="198" t="s">
        <v>25</v>
      </c>
      <c r="F808" s="165" t="str">
        <f t="shared" si="116"/>
        <v>REDD_16.18_200_NL2018</v>
      </c>
      <c r="G808" s="165" t="s">
        <v>60</v>
      </c>
      <c r="H808" s="12"/>
      <c r="I808" s="12" t="s">
        <v>35</v>
      </c>
      <c r="J808" s="14">
        <v>200</v>
      </c>
      <c r="K808" s="15" t="s">
        <v>28</v>
      </c>
      <c r="L808" s="15"/>
      <c r="M808" s="16">
        <f t="shared" si="117"/>
        <v>35</v>
      </c>
      <c r="N808" s="185">
        <v>7000</v>
      </c>
      <c r="O808" s="15">
        <f>6700+171</f>
        <v>6871</v>
      </c>
      <c r="P808" s="15">
        <f t="shared" si="125"/>
        <v>48097000</v>
      </c>
      <c r="Q808" s="15" t="str">
        <f t="shared" si="122"/>
        <v/>
      </c>
      <c r="R808" s="18" t="s">
        <v>63</v>
      </c>
      <c r="S808" s="23">
        <v>43572</v>
      </c>
      <c r="T808" s="20">
        <f>IFERROR(VLOOKUP(S808,'Date Converter'!$A$4:$C$368,3,0),"")</f>
        <v>43606</v>
      </c>
      <c r="U808" s="21">
        <f t="shared" si="126"/>
        <v>43606</v>
      </c>
      <c r="V808" s="12" t="s">
        <v>36</v>
      </c>
      <c r="W808" s="18"/>
      <c r="X808" s="18"/>
      <c r="Y808" s="15"/>
      <c r="Z808" s="206">
        <v>43609</v>
      </c>
      <c r="AA808" s="15">
        <v>5000</v>
      </c>
      <c r="AB808" s="206"/>
      <c r="AC808" s="15"/>
      <c r="AD808" s="206"/>
      <c r="AE808" s="15"/>
      <c r="AF808" s="244"/>
      <c r="AG808" s="15"/>
      <c r="AH808" s="15">
        <f t="shared" si="118"/>
        <v>5000</v>
      </c>
      <c r="AI808" s="22">
        <f t="shared" si="119"/>
        <v>2000</v>
      </c>
      <c r="AJ808" s="22">
        <f t="shared" si="120"/>
        <v>13742000</v>
      </c>
      <c r="AK808" s="165"/>
    </row>
    <row r="809" spans="1:37" s="28" customFormat="1" hidden="1">
      <c r="A809" s="165" t="s">
        <v>1810</v>
      </c>
      <c r="B809" s="13">
        <v>43616</v>
      </c>
      <c r="C809" s="13" t="s">
        <v>23</v>
      </c>
      <c r="D809" s="165" t="s">
        <v>24</v>
      </c>
      <c r="E809" s="198" t="s">
        <v>25</v>
      </c>
      <c r="F809" s="165" t="str">
        <f t="shared" si="116"/>
        <v>REDD_16.18_200_NL2018</v>
      </c>
      <c r="G809" s="165" t="s">
        <v>60</v>
      </c>
      <c r="H809" s="12"/>
      <c r="I809" s="12" t="s">
        <v>35</v>
      </c>
      <c r="J809" s="14">
        <v>200</v>
      </c>
      <c r="K809" s="15" t="s">
        <v>28</v>
      </c>
      <c r="L809" s="15"/>
      <c r="M809" s="16">
        <f t="shared" si="117"/>
        <v>75</v>
      </c>
      <c r="N809" s="196">
        <v>15000</v>
      </c>
      <c r="O809" s="15" t="s">
        <v>1816</v>
      </c>
      <c r="P809" s="15"/>
      <c r="Q809" s="15" t="str">
        <f t="shared" si="122"/>
        <v/>
      </c>
      <c r="R809" s="18" t="s">
        <v>31</v>
      </c>
      <c r="S809" s="23">
        <v>43621</v>
      </c>
      <c r="T809" s="20">
        <f>IFERROR(VLOOKUP(S809,'Date Converter'!$A$4:$C$368,3,0),"")</f>
        <v>43653</v>
      </c>
      <c r="U809" s="21">
        <f t="shared" si="126"/>
        <v>43653</v>
      </c>
      <c r="V809" s="12"/>
      <c r="W809" s="18"/>
      <c r="X809" s="18"/>
      <c r="Y809" s="15"/>
      <c r="Z809" s="206"/>
      <c r="AA809" s="15"/>
      <c r="AB809" s="206"/>
      <c r="AC809" s="15"/>
      <c r="AD809" s="206"/>
      <c r="AE809" s="15"/>
      <c r="AF809" s="244"/>
      <c r="AG809" s="15"/>
      <c r="AH809" s="15">
        <f t="shared" si="118"/>
        <v>0</v>
      </c>
      <c r="AI809" s="22">
        <f t="shared" si="119"/>
        <v>15000</v>
      </c>
      <c r="AJ809" s="22" t="e">
        <f t="shared" si="120"/>
        <v>#VALUE!</v>
      </c>
      <c r="AK809" s="165"/>
    </row>
    <row r="810" spans="1:37" hidden="1">
      <c r="A810" s="28" t="s">
        <v>1362</v>
      </c>
      <c r="B810" s="26">
        <v>43499</v>
      </c>
      <c r="C810" s="26" t="s">
        <v>23</v>
      </c>
      <c r="D810" s="28" t="s">
        <v>24</v>
      </c>
      <c r="E810" s="202" t="s">
        <v>25</v>
      </c>
      <c r="F810" s="28" t="str">
        <f t="shared" si="116"/>
        <v>REDD_16.18_200_NL2018</v>
      </c>
      <c r="G810" s="28" t="s">
        <v>60</v>
      </c>
      <c r="H810" s="27"/>
      <c r="I810" s="27" t="s">
        <v>35</v>
      </c>
      <c r="J810" s="29">
        <v>200</v>
      </c>
      <c r="K810" s="25" t="s">
        <v>28</v>
      </c>
      <c r="L810" s="25"/>
      <c r="M810" s="82">
        <f t="shared" si="117"/>
        <v>65</v>
      </c>
      <c r="N810" s="195">
        <f>45000-7000-15000-10000</f>
        <v>13000</v>
      </c>
      <c r="O810" s="25">
        <v>6700</v>
      </c>
      <c r="P810" s="25">
        <f>+O810*N810</f>
        <v>87100000</v>
      </c>
      <c r="Q810" s="15" t="str">
        <f t="shared" si="122"/>
        <v/>
      </c>
      <c r="R810" s="118" t="s">
        <v>29</v>
      </c>
      <c r="S810" s="197">
        <v>43678</v>
      </c>
      <c r="T810" s="20">
        <f>IFERROR(VLOOKUP(S810,'Date Converter'!$A$4:$C$368,3,0),"")</f>
        <v>43707</v>
      </c>
      <c r="U810" s="21">
        <f t="shared" si="126"/>
        <v>43707</v>
      </c>
      <c r="V810" s="20" t="s">
        <v>30</v>
      </c>
      <c r="Y810" s="15" t="s">
        <v>59</v>
      </c>
      <c r="AA810" s="15">
        <v>0</v>
      </c>
      <c r="AB810" s="206"/>
      <c r="AC810" s="15"/>
      <c r="AD810" s="206"/>
      <c r="AE810" s="15"/>
      <c r="AF810" s="244"/>
      <c r="AG810" s="15"/>
      <c r="AH810" s="15">
        <f t="shared" si="118"/>
        <v>0</v>
      </c>
      <c r="AI810" s="22">
        <f t="shared" si="119"/>
        <v>13000</v>
      </c>
      <c r="AJ810" s="22">
        <f t="shared" si="120"/>
        <v>87100000</v>
      </c>
      <c r="AK810" s="165"/>
    </row>
    <row r="811" spans="1:37" s="28" customFormat="1" hidden="1">
      <c r="A811" t="s">
        <v>1810</v>
      </c>
      <c r="B811" s="13">
        <v>43616</v>
      </c>
      <c r="C811" s="13" t="s">
        <v>23</v>
      </c>
      <c r="D811" t="s">
        <v>24</v>
      </c>
      <c r="E811" s="198" t="s">
        <v>25</v>
      </c>
      <c r="F811" t="str">
        <f t="shared" si="116"/>
        <v>REDD_16.18_200_NL2018</v>
      </c>
      <c r="G811" s="165" t="s">
        <v>60</v>
      </c>
      <c r="H811" s="12"/>
      <c r="I811" s="12" t="s">
        <v>35</v>
      </c>
      <c r="J811" s="14">
        <v>200</v>
      </c>
      <c r="K811" s="15" t="s">
        <v>28</v>
      </c>
      <c r="L811" s="15"/>
      <c r="M811" s="16">
        <f t="shared" si="117"/>
        <v>50</v>
      </c>
      <c r="N811" s="196">
        <v>10000</v>
      </c>
      <c r="O811" s="15" t="s">
        <v>1816</v>
      </c>
      <c r="P811" s="15"/>
      <c r="Q811" s="15" t="str">
        <f t="shared" si="122"/>
        <v/>
      </c>
      <c r="R811" s="18" t="s">
        <v>29</v>
      </c>
      <c r="S811" s="23">
        <v>43651</v>
      </c>
      <c r="T811" s="20">
        <f>IFERROR(VLOOKUP(S811,'Date Converter'!$A$4:$C$368,3,0),"")</f>
        <v>43682</v>
      </c>
      <c r="U811" s="21">
        <f t="shared" si="126"/>
        <v>43682</v>
      </c>
      <c r="V811" s="12"/>
      <c r="W811" s="18"/>
      <c r="X811" s="18"/>
      <c r="Y811" s="15"/>
      <c r="Z811" s="206"/>
      <c r="AA811" s="15"/>
      <c r="AB811" s="206"/>
      <c r="AC811" s="15"/>
      <c r="AD811" s="206"/>
      <c r="AE811" s="15"/>
      <c r="AF811" s="244"/>
      <c r="AG811" s="15"/>
      <c r="AH811" s="15">
        <f t="shared" si="118"/>
        <v>0</v>
      </c>
      <c r="AI811" s="22">
        <f t="shared" si="119"/>
        <v>10000</v>
      </c>
      <c r="AJ811" s="22" t="e">
        <f t="shared" si="120"/>
        <v>#VALUE!</v>
      </c>
      <c r="AK811" s="165"/>
    </row>
    <row r="812" spans="1:37" s="28" customFormat="1" hidden="1">
      <c r="A812" t="s">
        <v>292</v>
      </c>
      <c r="B812" s="13">
        <v>43605</v>
      </c>
      <c r="C812" s="13" t="s">
        <v>23</v>
      </c>
      <c r="D812" t="s">
        <v>24</v>
      </c>
      <c r="E812" s="198" t="s">
        <v>25</v>
      </c>
      <c r="F812" t="str">
        <f t="shared" si="116"/>
        <v>PROF_16.18_200_NL2018</v>
      </c>
      <c r="G812" s="165" t="s">
        <v>56</v>
      </c>
      <c r="H812" s="12"/>
      <c r="I812" s="12" t="s">
        <v>35</v>
      </c>
      <c r="J812" s="14">
        <v>200</v>
      </c>
      <c r="K812" s="15" t="s">
        <v>28</v>
      </c>
      <c r="L812" s="15"/>
      <c r="M812" s="16">
        <f t="shared" si="117"/>
        <v>24</v>
      </c>
      <c r="N812" s="15">
        <f>4000+800</f>
        <v>4800</v>
      </c>
      <c r="O812" s="15">
        <v>6870</v>
      </c>
      <c r="P812" s="15">
        <f t="shared" ref="P812:P817" si="127">+O812*N812</f>
        <v>32976000</v>
      </c>
      <c r="Q812" s="15" t="str">
        <f t="shared" si="122"/>
        <v/>
      </c>
      <c r="R812" s="18" t="s">
        <v>63</v>
      </c>
      <c r="S812" s="23">
        <v>43572</v>
      </c>
      <c r="T812" s="20">
        <f>IFERROR(VLOOKUP(S812,'Date Converter'!$A$4:$C$368,3,0),"")</f>
        <v>43606</v>
      </c>
      <c r="U812" s="21">
        <f t="shared" si="126"/>
        <v>43606</v>
      </c>
      <c r="V812" s="12"/>
      <c r="W812" s="18"/>
      <c r="X812" s="18"/>
      <c r="Y812" s="15"/>
      <c r="Z812" s="206"/>
      <c r="AA812" s="15"/>
      <c r="AB812" s="206"/>
      <c r="AC812" s="15"/>
      <c r="AD812" s="206"/>
      <c r="AE812" s="15"/>
      <c r="AF812" s="244"/>
      <c r="AG812" s="15"/>
      <c r="AH812" s="15">
        <f t="shared" si="118"/>
        <v>0</v>
      </c>
      <c r="AI812" s="22">
        <f t="shared" si="119"/>
        <v>4800</v>
      </c>
      <c r="AJ812" s="22">
        <f t="shared" si="120"/>
        <v>32976000</v>
      </c>
      <c r="AK812" s="165"/>
    </row>
    <row r="813" spans="1:37" s="28" customFormat="1" hidden="1">
      <c r="A813" s="165" t="s">
        <v>292</v>
      </c>
      <c r="B813" s="13">
        <v>43499</v>
      </c>
      <c r="C813" s="13" t="s">
        <v>23</v>
      </c>
      <c r="D813" s="165" t="s">
        <v>24</v>
      </c>
      <c r="E813" s="198" t="s">
        <v>25</v>
      </c>
      <c r="F813" s="165" t="str">
        <f t="shared" si="116"/>
        <v>PROF_16.18_200_NL2018</v>
      </c>
      <c r="G813" s="165" t="s">
        <v>56</v>
      </c>
      <c r="H813" s="12"/>
      <c r="I813" s="12" t="s">
        <v>35</v>
      </c>
      <c r="J813" s="14">
        <v>200</v>
      </c>
      <c r="K813" s="15" t="s">
        <v>28</v>
      </c>
      <c r="L813" s="15"/>
      <c r="M813" s="16">
        <f t="shared" si="117"/>
        <v>122</v>
      </c>
      <c r="N813" s="15">
        <f>15000+10000-600</f>
        <v>24400</v>
      </c>
      <c r="O813" s="15">
        <v>6700</v>
      </c>
      <c r="P813" s="15">
        <f t="shared" si="127"/>
        <v>163480000</v>
      </c>
      <c r="Q813" s="15" t="str">
        <f t="shared" si="122"/>
        <v>Done</v>
      </c>
      <c r="R813" s="18" t="s">
        <v>44</v>
      </c>
      <c r="S813" s="23">
        <v>43539</v>
      </c>
      <c r="T813" s="20">
        <f>IFERROR(VLOOKUP(S813,'Date Converter'!$A$4:$C$368,3,0),"")</f>
        <v>43574</v>
      </c>
      <c r="U813" s="21">
        <f t="shared" si="126"/>
        <v>43574</v>
      </c>
      <c r="V813" s="12" t="s">
        <v>57</v>
      </c>
      <c r="W813" s="18" t="s">
        <v>58</v>
      </c>
      <c r="X813" s="18">
        <v>43569</v>
      </c>
      <c r="Y813" s="15"/>
      <c r="Z813" s="206">
        <v>43588</v>
      </c>
      <c r="AA813" s="15">
        <v>6000</v>
      </c>
      <c r="AB813" s="206">
        <v>43607</v>
      </c>
      <c r="AC813" s="15">
        <v>4000</v>
      </c>
      <c r="AD813" s="206">
        <v>43614</v>
      </c>
      <c r="AE813" s="15">
        <f>10400+4000</f>
        <v>14400</v>
      </c>
      <c r="AF813" s="244"/>
      <c r="AG813" s="15"/>
      <c r="AH813" s="15">
        <f t="shared" si="118"/>
        <v>24400</v>
      </c>
      <c r="AI813" s="22">
        <f t="shared" si="119"/>
        <v>0</v>
      </c>
      <c r="AJ813" s="22">
        <f t="shared" si="120"/>
        <v>0</v>
      </c>
      <c r="AK813" s="165"/>
    </row>
    <row r="814" spans="1:37" s="28" customFormat="1" ht="15.75" hidden="1" customHeight="1">
      <c r="A814" t="s">
        <v>292</v>
      </c>
      <c r="B814" s="13">
        <v>43461</v>
      </c>
      <c r="C814" s="13" t="s">
        <v>23</v>
      </c>
      <c r="D814" t="s">
        <v>24</v>
      </c>
      <c r="E814" s="165" t="s">
        <v>25</v>
      </c>
      <c r="F814" t="str">
        <f t="shared" si="116"/>
        <v>PROF_16.18_200_NL2018</v>
      </c>
      <c r="G814" s="165" t="s">
        <v>56</v>
      </c>
      <c r="H814" s="12"/>
      <c r="I814" s="12" t="s">
        <v>35</v>
      </c>
      <c r="J814" s="14">
        <v>200</v>
      </c>
      <c r="K814" s="15" t="s">
        <v>28</v>
      </c>
      <c r="L814" s="15"/>
      <c r="M814" s="16">
        <f t="shared" si="117"/>
        <v>70</v>
      </c>
      <c r="N814" s="15">
        <v>14000</v>
      </c>
      <c r="O814" s="15">
        <v>6500</v>
      </c>
      <c r="P814" s="15">
        <f t="shared" si="127"/>
        <v>91000000</v>
      </c>
      <c r="Q814" s="15" t="str">
        <f t="shared" si="122"/>
        <v>Done</v>
      </c>
      <c r="R814" s="18" t="s">
        <v>44</v>
      </c>
      <c r="S814" s="23">
        <v>43480</v>
      </c>
      <c r="T814" s="20">
        <f>IFERROR(VLOOKUP(S814,'Date Converter'!$A$4:$C$368,3,0),"")</f>
        <v>43515</v>
      </c>
      <c r="U814" s="21">
        <f t="shared" si="126"/>
        <v>43515</v>
      </c>
      <c r="V814" s="20" t="s">
        <v>45</v>
      </c>
      <c r="W814" s="18"/>
      <c r="X814" s="18"/>
      <c r="Y814" s="15"/>
      <c r="Z814" s="206">
        <v>43515</v>
      </c>
      <c r="AA814" s="15">
        <v>14000</v>
      </c>
      <c r="AB814" s="206"/>
      <c r="AC814" s="15"/>
      <c r="AD814" s="206"/>
      <c r="AE814" s="15"/>
      <c r="AF814" s="244"/>
      <c r="AG814" s="15"/>
      <c r="AH814" s="15">
        <f t="shared" si="118"/>
        <v>14000</v>
      </c>
      <c r="AI814" s="22">
        <f t="shared" si="119"/>
        <v>0</v>
      </c>
      <c r="AJ814" s="22">
        <f t="shared" si="120"/>
        <v>0</v>
      </c>
      <c r="AK814" s="165"/>
    </row>
    <row r="815" spans="1:37" s="28" customFormat="1" hidden="1">
      <c r="A815" t="s">
        <v>292</v>
      </c>
      <c r="B815" s="13">
        <v>43461</v>
      </c>
      <c r="C815" s="13" t="s">
        <v>23</v>
      </c>
      <c r="D815" t="s">
        <v>24</v>
      </c>
      <c r="E815" s="165" t="s">
        <v>25</v>
      </c>
      <c r="F815" t="str">
        <f t="shared" si="116"/>
        <v>PROF_16.18_200_NL2018</v>
      </c>
      <c r="G815" s="165" t="s">
        <v>56</v>
      </c>
      <c r="H815" s="12"/>
      <c r="I815" s="12" t="s">
        <v>35</v>
      </c>
      <c r="J815" s="14">
        <v>200</v>
      </c>
      <c r="K815" s="15" t="s">
        <v>28</v>
      </c>
      <c r="L815" s="15"/>
      <c r="M815" s="16">
        <f t="shared" si="117"/>
        <v>70</v>
      </c>
      <c r="N815" s="15">
        <v>14000</v>
      </c>
      <c r="O815" s="15">
        <v>6500</v>
      </c>
      <c r="P815" s="15">
        <f t="shared" si="127"/>
        <v>91000000</v>
      </c>
      <c r="Q815" s="15" t="str">
        <f t="shared" si="122"/>
        <v>Done</v>
      </c>
      <c r="R815" s="18" t="s">
        <v>44</v>
      </c>
      <c r="S815" s="23">
        <v>43480</v>
      </c>
      <c r="T815" s="20">
        <f>IFERROR(VLOOKUP(S815,'Date Converter'!$A$4:$C$368,3,0),"")</f>
        <v>43515</v>
      </c>
      <c r="U815" s="21">
        <f t="shared" si="126"/>
        <v>43515</v>
      </c>
      <c r="V815" s="20" t="s">
        <v>45</v>
      </c>
      <c r="W815" s="18"/>
      <c r="X815" s="18"/>
      <c r="Y815" s="15"/>
      <c r="Z815" s="206">
        <v>43535</v>
      </c>
      <c r="AA815" s="15">
        <v>14000</v>
      </c>
      <c r="AB815" s="206"/>
      <c r="AC815" s="15"/>
      <c r="AD815" s="206"/>
      <c r="AE815" s="15"/>
      <c r="AF815" s="244"/>
      <c r="AG815" s="15"/>
      <c r="AH815" s="15">
        <f t="shared" si="118"/>
        <v>14000</v>
      </c>
      <c r="AI815" s="22">
        <f t="shared" si="119"/>
        <v>0</v>
      </c>
      <c r="AJ815" s="22">
        <f t="shared" si="120"/>
        <v>0</v>
      </c>
      <c r="AK815" s="165"/>
    </row>
    <row r="816" spans="1:37" hidden="1">
      <c r="A816" t="s">
        <v>292</v>
      </c>
      <c r="B816" s="13">
        <v>43461</v>
      </c>
      <c r="C816" s="13" t="s">
        <v>23</v>
      </c>
      <c r="D816" t="s">
        <v>24</v>
      </c>
      <c r="E816" s="165" t="s">
        <v>25</v>
      </c>
      <c r="F816" t="str">
        <f t="shared" si="116"/>
        <v>PROF_16.18_200_NL2018</v>
      </c>
      <c r="G816" s="165" t="s">
        <v>56</v>
      </c>
      <c r="I816" s="12" t="s">
        <v>35</v>
      </c>
      <c r="J816" s="14">
        <v>200</v>
      </c>
      <c r="K816" s="15" t="s">
        <v>28</v>
      </c>
      <c r="M816" s="16">
        <f t="shared" si="117"/>
        <v>45</v>
      </c>
      <c r="N816" s="15">
        <v>9000</v>
      </c>
      <c r="O816" s="15">
        <v>6700</v>
      </c>
      <c r="P816" s="15">
        <f t="shared" si="127"/>
        <v>60300000</v>
      </c>
      <c r="Q816" s="15" t="str">
        <f t="shared" si="122"/>
        <v>Done</v>
      </c>
      <c r="R816" s="18" t="s">
        <v>44</v>
      </c>
      <c r="S816" s="23">
        <v>43511</v>
      </c>
      <c r="T816" s="20">
        <f>IFERROR(VLOOKUP(S816,'Date Converter'!$A$4:$C$368,3,0),"")</f>
        <v>43544</v>
      </c>
      <c r="U816" s="21">
        <f t="shared" si="126"/>
        <v>43544</v>
      </c>
      <c r="V816" s="20" t="s">
        <v>32</v>
      </c>
      <c r="W816" s="18" t="s">
        <v>33</v>
      </c>
      <c r="X816" s="18">
        <v>43541</v>
      </c>
      <c r="Y816" s="15"/>
      <c r="Z816" s="206">
        <v>43550</v>
      </c>
      <c r="AA816" s="15">
        <v>3000</v>
      </c>
      <c r="AB816" s="206">
        <v>43580</v>
      </c>
      <c r="AC816" s="15">
        <v>6000</v>
      </c>
      <c r="AD816" s="206"/>
      <c r="AE816" s="15"/>
      <c r="AF816" s="244"/>
      <c r="AG816" s="15"/>
      <c r="AH816" s="15">
        <f t="shared" si="118"/>
        <v>9000</v>
      </c>
      <c r="AI816" s="22">
        <f t="shared" si="119"/>
        <v>0</v>
      </c>
      <c r="AJ816" s="22">
        <f t="shared" si="120"/>
        <v>0</v>
      </c>
      <c r="AK816" s="165"/>
    </row>
    <row r="817" spans="1:37" hidden="1">
      <c r="A817" t="s">
        <v>292</v>
      </c>
      <c r="B817" s="13">
        <v>43578</v>
      </c>
      <c r="C817" s="13" t="s">
        <v>23</v>
      </c>
      <c r="D817" t="s">
        <v>24</v>
      </c>
      <c r="E817" s="198" t="s">
        <v>25</v>
      </c>
      <c r="F817" t="str">
        <f t="shared" si="116"/>
        <v>PROF_16.18_200_NL2018</v>
      </c>
      <c r="G817" s="165" t="s">
        <v>56</v>
      </c>
      <c r="I817" s="12" t="s">
        <v>35</v>
      </c>
      <c r="J817" s="14">
        <v>200</v>
      </c>
      <c r="K817" s="15" t="s">
        <v>28</v>
      </c>
      <c r="M817" s="16">
        <f t="shared" si="117"/>
        <v>50</v>
      </c>
      <c r="N817" s="196">
        <f>15000-5000</f>
        <v>10000</v>
      </c>
      <c r="O817" s="15">
        <f>6700+299</f>
        <v>6999</v>
      </c>
      <c r="P817" s="15">
        <f t="shared" si="127"/>
        <v>69990000</v>
      </c>
      <c r="Q817" s="15" t="str">
        <f t="shared" si="122"/>
        <v/>
      </c>
      <c r="R817" s="18" t="s">
        <v>63</v>
      </c>
      <c r="S817" s="23">
        <v>43590</v>
      </c>
      <c r="T817" s="20">
        <f>IFERROR(VLOOKUP(S817,'Date Converter'!$A$4:$C$368,3,0),"")</f>
        <v>43623</v>
      </c>
      <c r="U817" s="21">
        <f t="shared" si="126"/>
        <v>43623</v>
      </c>
      <c r="V817" s="12" t="s">
        <v>1454</v>
      </c>
      <c r="Y817" s="15"/>
      <c r="Z817" s="206">
        <v>43631</v>
      </c>
      <c r="AA817" s="15">
        <v>4800</v>
      </c>
      <c r="AB817" s="206">
        <v>43641</v>
      </c>
      <c r="AC817" s="15">
        <v>5000</v>
      </c>
      <c r="AD817" s="206"/>
      <c r="AE817" s="15"/>
      <c r="AF817" s="244"/>
      <c r="AG817" s="15"/>
      <c r="AH817" s="15">
        <f t="shared" si="118"/>
        <v>9800</v>
      </c>
      <c r="AI817" s="22">
        <f t="shared" si="119"/>
        <v>200</v>
      </c>
      <c r="AJ817" s="22">
        <f t="shared" si="120"/>
        <v>1399800</v>
      </c>
      <c r="AK817" s="165"/>
    </row>
    <row r="818" spans="1:37" hidden="1">
      <c r="A818" t="s">
        <v>1810</v>
      </c>
      <c r="B818" s="13">
        <v>43616</v>
      </c>
      <c r="C818" s="13" t="s">
        <v>23</v>
      </c>
      <c r="D818" t="s">
        <v>24</v>
      </c>
      <c r="E818" s="198" t="s">
        <v>25</v>
      </c>
      <c r="F818" t="str">
        <f t="shared" si="116"/>
        <v>PROF_16.18_200_NL2018</v>
      </c>
      <c r="G818" s="165" t="s">
        <v>56</v>
      </c>
      <c r="I818" s="12" t="s">
        <v>35</v>
      </c>
      <c r="J818" s="14">
        <v>200</v>
      </c>
      <c r="K818" s="15" t="s">
        <v>28</v>
      </c>
      <c r="M818" s="16">
        <f t="shared" si="117"/>
        <v>100</v>
      </c>
      <c r="N818" s="196">
        <v>20000</v>
      </c>
      <c r="O818" s="15" t="s">
        <v>1815</v>
      </c>
      <c r="Q818" s="15" t="str">
        <f t="shared" si="122"/>
        <v/>
      </c>
      <c r="R818" s="18" t="s">
        <v>31</v>
      </c>
      <c r="S818" s="23">
        <v>43621</v>
      </c>
      <c r="T818" s="20">
        <f>IFERROR(VLOOKUP(S818,'Date Converter'!$A$4:$C$368,3,0),"")</f>
        <v>43653</v>
      </c>
      <c r="U818" s="21">
        <f t="shared" si="126"/>
        <v>43653</v>
      </c>
      <c r="Y818" s="15"/>
      <c r="AA818" s="15"/>
      <c r="AB818" s="206"/>
      <c r="AC818" s="15"/>
      <c r="AD818" s="206"/>
      <c r="AE818" s="15"/>
      <c r="AF818" s="244"/>
      <c r="AG818" s="15"/>
      <c r="AH818" s="15">
        <f t="shared" si="118"/>
        <v>0</v>
      </c>
      <c r="AI818" s="22">
        <f t="shared" si="119"/>
        <v>20000</v>
      </c>
      <c r="AJ818" s="22" t="e">
        <f t="shared" si="120"/>
        <v>#VALUE!</v>
      </c>
      <c r="AK818" s="165"/>
    </row>
    <row r="819" spans="1:37" hidden="1">
      <c r="A819" s="28" t="s">
        <v>1362</v>
      </c>
      <c r="B819" s="26">
        <v>43461</v>
      </c>
      <c r="C819" s="26" t="s">
        <v>23</v>
      </c>
      <c r="D819" s="28" t="s">
        <v>24</v>
      </c>
      <c r="E819" s="202" t="s">
        <v>25</v>
      </c>
      <c r="F819" s="28" t="str">
        <f t="shared" si="116"/>
        <v>PROF_16.18_200_NL2018</v>
      </c>
      <c r="G819" s="28" t="s">
        <v>56</v>
      </c>
      <c r="H819" s="27"/>
      <c r="I819" s="27" t="s">
        <v>35</v>
      </c>
      <c r="J819" s="29">
        <v>200</v>
      </c>
      <c r="K819" s="25" t="s">
        <v>28</v>
      </c>
      <c r="L819" s="25"/>
      <c r="M819" s="82">
        <f t="shared" si="117"/>
        <v>204</v>
      </c>
      <c r="N819" s="195">
        <f>105000-40000-15000-10000-10000-4000+11800+43000-20000-20000</f>
        <v>40800</v>
      </c>
      <c r="O819" s="25">
        <v>6500</v>
      </c>
      <c r="P819" s="25">
        <f>+O819*N819</f>
        <v>265200000</v>
      </c>
      <c r="Q819" s="15" t="str">
        <f t="shared" si="122"/>
        <v/>
      </c>
      <c r="R819" s="118" t="s">
        <v>29</v>
      </c>
      <c r="S819" s="197">
        <v>43678</v>
      </c>
      <c r="T819" s="20">
        <f>IFERROR(VLOOKUP(S819,'Date Converter'!$A$4:$C$368,3,0),"")</f>
        <v>43707</v>
      </c>
      <c r="U819" s="21">
        <f t="shared" si="126"/>
        <v>43707</v>
      </c>
      <c r="V819" s="20" t="s">
        <v>30</v>
      </c>
      <c r="Y819" s="15" t="s">
        <v>59</v>
      </c>
      <c r="AA819" s="15">
        <v>0</v>
      </c>
      <c r="AB819" s="206"/>
      <c r="AC819" s="15"/>
      <c r="AD819" s="206"/>
      <c r="AE819" s="15"/>
      <c r="AF819" s="244"/>
      <c r="AG819" s="15"/>
      <c r="AH819" s="15">
        <f t="shared" si="118"/>
        <v>0</v>
      </c>
      <c r="AI819" s="22">
        <f t="shared" si="119"/>
        <v>40800</v>
      </c>
      <c r="AJ819" s="22">
        <f t="shared" si="120"/>
        <v>265200000</v>
      </c>
      <c r="AK819" s="165"/>
    </row>
    <row r="820" spans="1:37" hidden="1">
      <c r="A820" t="s">
        <v>1810</v>
      </c>
      <c r="B820" s="13">
        <v>43616</v>
      </c>
      <c r="C820" s="13" t="s">
        <v>23</v>
      </c>
      <c r="D820" s="165" t="s">
        <v>24</v>
      </c>
      <c r="E820" s="198" t="s">
        <v>25</v>
      </c>
      <c r="F820" t="str">
        <f t="shared" si="116"/>
        <v>PROF_16.18_200_NL2018</v>
      </c>
      <c r="G820" s="165" t="s">
        <v>56</v>
      </c>
      <c r="I820" s="12" t="s">
        <v>35</v>
      </c>
      <c r="J820" s="14">
        <v>200</v>
      </c>
      <c r="K820" s="15" t="s">
        <v>28</v>
      </c>
      <c r="M820" s="16">
        <f t="shared" si="117"/>
        <v>100</v>
      </c>
      <c r="N820" s="196">
        <v>20000</v>
      </c>
      <c r="O820" s="15" t="s">
        <v>1815</v>
      </c>
      <c r="Q820" s="15" t="str">
        <f t="shared" si="122"/>
        <v/>
      </c>
      <c r="R820" s="18" t="s">
        <v>29</v>
      </c>
      <c r="S820" s="23">
        <v>43651</v>
      </c>
      <c r="T820" s="20">
        <f>IFERROR(VLOOKUP(S820,'Date Converter'!$A$4:$C$368,3,0),"")</f>
        <v>43682</v>
      </c>
      <c r="U820" s="21">
        <f t="shared" si="126"/>
        <v>43682</v>
      </c>
      <c r="Y820" s="15"/>
      <c r="AA820" s="15"/>
      <c r="AB820" s="206"/>
      <c r="AC820" s="15"/>
      <c r="AD820" s="206"/>
      <c r="AE820" s="15"/>
      <c r="AF820" s="244"/>
      <c r="AG820" s="15"/>
      <c r="AH820" s="15">
        <f t="shared" si="118"/>
        <v>0</v>
      </c>
      <c r="AI820" s="22">
        <f t="shared" si="119"/>
        <v>20000</v>
      </c>
      <c r="AJ820" s="22" t="e">
        <f t="shared" si="120"/>
        <v>#VALUE!</v>
      </c>
      <c r="AK820" s="165"/>
    </row>
    <row r="821" spans="1:37" hidden="1">
      <c r="A821" t="s">
        <v>293</v>
      </c>
      <c r="B821" s="13">
        <v>43538</v>
      </c>
      <c r="C821" s="266" t="s">
        <v>23</v>
      </c>
      <c r="D821" s="258" t="s">
        <v>24</v>
      </c>
      <c r="E821" s="198" t="s">
        <v>25</v>
      </c>
      <c r="F821" t="str">
        <f t="shared" si="116"/>
        <v>PROF_18.20_150_NL2018</v>
      </c>
      <c r="G821" s="165" t="s">
        <v>56</v>
      </c>
      <c r="I821" s="12" t="s">
        <v>27</v>
      </c>
      <c r="J821" s="14">
        <v>150</v>
      </c>
      <c r="K821" s="15" t="s">
        <v>28</v>
      </c>
      <c r="M821" s="16">
        <f t="shared" si="117"/>
        <v>67</v>
      </c>
      <c r="N821" s="17">
        <v>10050</v>
      </c>
      <c r="O821" s="15">
        <v>10800</v>
      </c>
      <c r="P821" s="15">
        <f t="shared" ref="P821:P826" si="128">+O821*N821</f>
        <v>108540000</v>
      </c>
      <c r="Q821" s="15" t="str">
        <f t="shared" si="122"/>
        <v/>
      </c>
      <c r="R821" s="18" t="s">
        <v>29</v>
      </c>
      <c r="S821" s="23">
        <v>43709</v>
      </c>
      <c r="T821" s="20">
        <f>IFERROR(VLOOKUP(S821,'Date Converter'!$A$4:$C$368,3,0),"")</f>
        <v>43737</v>
      </c>
      <c r="U821" s="21">
        <f t="shared" si="126"/>
        <v>43737</v>
      </c>
      <c r="V821" s="20" t="s">
        <v>42</v>
      </c>
      <c r="Y821" s="15"/>
      <c r="AA821" s="15">
        <v>0</v>
      </c>
      <c r="AB821" s="206"/>
      <c r="AC821" s="15"/>
      <c r="AD821" s="206"/>
      <c r="AE821" s="15"/>
      <c r="AF821" s="244"/>
      <c r="AG821" s="15"/>
      <c r="AH821" s="15">
        <f t="shared" si="118"/>
        <v>0</v>
      </c>
      <c r="AI821" s="22">
        <f t="shared" si="119"/>
        <v>10050</v>
      </c>
      <c r="AJ821" s="22">
        <f t="shared" si="120"/>
        <v>108540000</v>
      </c>
      <c r="AK821" s="165"/>
    </row>
    <row r="822" spans="1:37" hidden="1">
      <c r="A822" t="s">
        <v>292</v>
      </c>
      <c r="B822" s="13">
        <v>43578</v>
      </c>
      <c r="C822" s="13" t="s">
        <v>23</v>
      </c>
      <c r="D822" t="s">
        <v>24</v>
      </c>
      <c r="E822" s="198" t="s">
        <v>25</v>
      </c>
      <c r="F822" t="str">
        <f t="shared" si="116"/>
        <v>PATR_RL_12.14_400_NL2018</v>
      </c>
      <c r="G822" s="165" t="s">
        <v>1472</v>
      </c>
      <c r="H822" s="12" t="s">
        <v>219</v>
      </c>
      <c r="I822" s="12" t="s">
        <v>113</v>
      </c>
      <c r="J822" s="14">
        <v>400</v>
      </c>
      <c r="K822" s="15" t="s">
        <v>28</v>
      </c>
      <c r="M822" s="16">
        <f t="shared" si="117"/>
        <v>1</v>
      </c>
      <c r="N822" s="196">
        <f>800-400</f>
        <v>400</v>
      </c>
      <c r="O822" s="15">
        <v>8600</v>
      </c>
      <c r="P822" s="15">
        <f t="shared" si="128"/>
        <v>3440000</v>
      </c>
      <c r="Q822" s="15" t="str">
        <f t="shared" si="122"/>
        <v/>
      </c>
      <c r="R822" s="18" t="s">
        <v>44</v>
      </c>
      <c r="S822" s="23">
        <v>43572</v>
      </c>
      <c r="T822" s="20">
        <f>IFERROR(VLOOKUP(S822,'Date Converter'!$A$4:$C$368,3,0),"")</f>
        <v>43606</v>
      </c>
      <c r="U822" s="21">
        <f t="shared" si="126"/>
        <v>43606</v>
      </c>
      <c r="Y822" s="15"/>
      <c r="AA822" s="15"/>
      <c r="AB822" s="206"/>
      <c r="AC822" s="15"/>
      <c r="AD822" s="206"/>
      <c r="AE822" s="15"/>
      <c r="AF822" s="244"/>
      <c r="AG822" s="15"/>
      <c r="AH822" s="15">
        <f t="shared" si="118"/>
        <v>0</v>
      </c>
      <c r="AI822" s="22">
        <f t="shared" si="119"/>
        <v>400</v>
      </c>
      <c r="AJ822" s="22">
        <f t="shared" si="120"/>
        <v>3440000</v>
      </c>
      <c r="AK822" s="165"/>
    </row>
    <row r="823" spans="1:37" hidden="1">
      <c r="A823" t="s">
        <v>292</v>
      </c>
      <c r="B823" s="13">
        <v>43578</v>
      </c>
      <c r="C823" s="13" t="s">
        <v>23</v>
      </c>
      <c r="D823" t="s">
        <v>24</v>
      </c>
      <c r="E823" s="198" t="s">
        <v>25</v>
      </c>
      <c r="F823" t="str">
        <f t="shared" ref="F823:F886" si="129">SUBSTITUTE(LEFT(G823,4)&amp;"_"&amp;H823&amp;"_"&amp;I823&amp;"_"&amp;J823&amp;"_"&amp;K823,"__","_")</f>
        <v>NATA_RL_12.14_400_NL2018</v>
      </c>
      <c r="G823" s="165" t="s">
        <v>222</v>
      </c>
      <c r="H823" s="12" t="s">
        <v>219</v>
      </c>
      <c r="I823" s="12" t="s">
        <v>113</v>
      </c>
      <c r="J823" s="14">
        <v>400</v>
      </c>
      <c r="K823" s="15" t="s">
        <v>28</v>
      </c>
      <c r="M823" s="16">
        <f t="shared" ref="M823:M886" si="130">+N823/J823</f>
        <v>0</v>
      </c>
      <c r="N823" s="196">
        <f>800-800</f>
        <v>0</v>
      </c>
      <c r="O823" s="15">
        <v>8600</v>
      </c>
      <c r="P823" s="15">
        <f t="shared" si="128"/>
        <v>0</v>
      </c>
      <c r="Q823" s="15" t="str">
        <f t="shared" si="122"/>
        <v>Canceled</v>
      </c>
      <c r="R823" s="18" t="s">
        <v>71</v>
      </c>
      <c r="S823" s="23">
        <v>43572</v>
      </c>
      <c r="T823" s="20">
        <f>IFERROR(VLOOKUP(S823,'Date Converter'!$A$4:$C$368,3,0),"")</f>
        <v>43606</v>
      </c>
      <c r="U823" s="21">
        <f t="shared" si="126"/>
        <v>43606</v>
      </c>
      <c r="Y823" s="15"/>
      <c r="AA823" s="15"/>
      <c r="AB823" s="206"/>
      <c r="AC823" s="15"/>
      <c r="AD823" s="206"/>
      <c r="AE823" s="15"/>
      <c r="AF823" s="244"/>
      <c r="AG823" s="15"/>
      <c r="AH823" s="15">
        <f t="shared" ref="AH823:AH886" si="131">+AA823+AC823+AE823+AG823</f>
        <v>0</v>
      </c>
      <c r="AI823" s="22">
        <f t="shared" ref="AI823:AI886" si="132">+N823-AH823</f>
        <v>0</v>
      </c>
      <c r="AJ823" s="22">
        <f t="shared" ref="AJ823:AJ886" si="133">+AI823*O823</f>
        <v>0</v>
      </c>
      <c r="AK823" s="165"/>
    </row>
    <row r="824" spans="1:37" hidden="1">
      <c r="A824" t="s">
        <v>292</v>
      </c>
      <c r="B824" s="13">
        <v>43578</v>
      </c>
      <c r="C824" s="13" t="s">
        <v>23</v>
      </c>
      <c r="D824" t="s">
        <v>24</v>
      </c>
      <c r="E824" s="198" t="s">
        <v>25</v>
      </c>
      <c r="F824" t="str">
        <f t="shared" si="129"/>
        <v>NATA_RL_12.14_400_NL2018</v>
      </c>
      <c r="G824" s="165" t="s">
        <v>222</v>
      </c>
      <c r="H824" s="12" t="s">
        <v>219</v>
      </c>
      <c r="I824" s="12" t="s">
        <v>113</v>
      </c>
      <c r="J824" s="14">
        <v>400</v>
      </c>
      <c r="K824" s="15" t="s">
        <v>28</v>
      </c>
      <c r="M824" s="16">
        <f t="shared" si="130"/>
        <v>2</v>
      </c>
      <c r="N824" s="196">
        <v>800</v>
      </c>
      <c r="O824" s="15">
        <v>8700</v>
      </c>
      <c r="P824" s="15">
        <f t="shared" si="128"/>
        <v>6960000</v>
      </c>
      <c r="Q824" s="15" t="str">
        <f t="shared" si="122"/>
        <v/>
      </c>
      <c r="R824" s="18" t="s">
        <v>63</v>
      </c>
      <c r="S824" s="23">
        <v>43590</v>
      </c>
      <c r="T824" s="20">
        <f>IFERROR(VLOOKUP(S824,'Date Converter'!$A$4:$C$368,3,0),"")</f>
        <v>43623</v>
      </c>
      <c r="U824" s="21">
        <f t="shared" si="126"/>
        <v>43623</v>
      </c>
      <c r="Y824" s="15"/>
      <c r="AA824" s="15"/>
      <c r="AB824" s="206"/>
      <c r="AC824" s="15"/>
      <c r="AD824" s="206"/>
      <c r="AE824" s="15"/>
      <c r="AF824" s="244"/>
      <c r="AG824" s="15"/>
      <c r="AH824" s="15">
        <f t="shared" si="131"/>
        <v>0</v>
      </c>
      <c r="AI824" s="22">
        <f t="shared" si="132"/>
        <v>800</v>
      </c>
      <c r="AJ824" s="22">
        <f t="shared" si="133"/>
        <v>6960000</v>
      </c>
      <c r="AK824" s="165"/>
    </row>
    <row r="825" spans="1:37" s="165" customFormat="1" hidden="1">
      <c r="A825" s="165" t="s">
        <v>1810</v>
      </c>
      <c r="B825" s="13">
        <v>43616</v>
      </c>
      <c r="C825" s="13" t="s">
        <v>23</v>
      </c>
      <c r="D825" s="165" t="s">
        <v>24</v>
      </c>
      <c r="E825" s="198" t="s">
        <v>25</v>
      </c>
      <c r="F825" s="165" t="str">
        <f t="shared" si="129"/>
        <v>NATA_RL_12.14_400_NL2018</v>
      </c>
      <c r="G825" s="183" t="s">
        <v>222</v>
      </c>
      <c r="H825" s="184" t="s">
        <v>219</v>
      </c>
      <c r="I825" s="184" t="s">
        <v>113</v>
      </c>
      <c r="J825" s="186">
        <v>400</v>
      </c>
      <c r="K825" s="185" t="s">
        <v>28</v>
      </c>
      <c r="L825" s="185"/>
      <c r="M825" s="187">
        <f t="shared" si="130"/>
        <v>2</v>
      </c>
      <c r="N825" s="196">
        <v>800</v>
      </c>
      <c r="O825" s="15">
        <v>8700</v>
      </c>
      <c r="P825" s="15">
        <f t="shared" si="128"/>
        <v>6960000</v>
      </c>
      <c r="Q825" s="15" t="str">
        <f t="shared" si="122"/>
        <v/>
      </c>
      <c r="R825" s="18" t="s">
        <v>31</v>
      </c>
      <c r="S825" s="23">
        <v>43621</v>
      </c>
      <c r="T825" s="20">
        <f>IFERROR(VLOOKUP(S825,'Date Converter'!$A$4:$C$368,3,0),"")</f>
        <v>43653</v>
      </c>
      <c r="U825" s="21">
        <f t="shared" si="126"/>
        <v>43653</v>
      </c>
      <c r="V825" s="12"/>
      <c r="W825" s="18"/>
      <c r="X825" s="18"/>
      <c r="Y825" s="15"/>
      <c r="Z825" s="206"/>
      <c r="AA825" s="15"/>
      <c r="AB825" s="206"/>
      <c r="AC825" s="15"/>
      <c r="AD825" s="206"/>
      <c r="AE825" s="15"/>
      <c r="AF825" s="244"/>
      <c r="AG825" s="15"/>
      <c r="AH825" s="15">
        <f t="shared" si="131"/>
        <v>0</v>
      </c>
      <c r="AI825" s="22">
        <f t="shared" si="132"/>
        <v>800</v>
      </c>
      <c r="AJ825" s="22">
        <f t="shared" si="133"/>
        <v>6960000</v>
      </c>
    </row>
    <row r="826" spans="1:37" s="165" customFormat="1" hidden="1">
      <c r="A826" s="165" t="s">
        <v>1810</v>
      </c>
      <c r="B826" s="13">
        <v>43616</v>
      </c>
      <c r="C826" s="13" t="s">
        <v>23</v>
      </c>
      <c r="D826" s="165" t="s">
        <v>24</v>
      </c>
      <c r="E826" s="198" t="s">
        <v>25</v>
      </c>
      <c r="F826" s="165" t="str">
        <f t="shared" si="129"/>
        <v>NATA_RL_12.14_400_NL2018</v>
      </c>
      <c r="G826" s="183" t="s">
        <v>222</v>
      </c>
      <c r="H826" s="184" t="s">
        <v>219</v>
      </c>
      <c r="I826" s="184" t="s">
        <v>113</v>
      </c>
      <c r="J826" s="186">
        <v>400</v>
      </c>
      <c r="K826" s="185" t="s">
        <v>28</v>
      </c>
      <c r="L826" s="185"/>
      <c r="M826" s="187">
        <f t="shared" si="130"/>
        <v>2</v>
      </c>
      <c r="N826" s="196">
        <v>800</v>
      </c>
      <c r="O826" s="15">
        <v>8700</v>
      </c>
      <c r="P826" s="15">
        <f t="shared" si="128"/>
        <v>6960000</v>
      </c>
      <c r="Q826" s="15" t="str">
        <f t="shared" si="122"/>
        <v/>
      </c>
      <c r="R826" s="18" t="s">
        <v>29</v>
      </c>
      <c r="S826" s="23">
        <v>43651</v>
      </c>
      <c r="T826" s="20">
        <f>IFERROR(VLOOKUP(S826,'Date Converter'!$A$4:$C$368,3,0),"")</f>
        <v>43682</v>
      </c>
      <c r="U826" s="21">
        <f t="shared" si="126"/>
        <v>43682</v>
      </c>
      <c r="V826" s="12"/>
      <c r="W826" s="18"/>
      <c r="X826" s="18"/>
      <c r="Y826" s="15"/>
      <c r="Z826" s="206"/>
      <c r="AA826" s="15"/>
      <c r="AB826" s="206"/>
      <c r="AC826" s="15"/>
      <c r="AD826" s="206"/>
      <c r="AE826" s="15"/>
      <c r="AF826" s="244"/>
      <c r="AG826" s="15"/>
      <c r="AH826" s="15">
        <f t="shared" si="131"/>
        <v>0</v>
      </c>
      <c r="AI826" s="22">
        <f t="shared" si="132"/>
        <v>800</v>
      </c>
      <c r="AJ826" s="22">
        <f t="shared" si="133"/>
        <v>6960000</v>
      </c>
    </row>
    <row r="827" spans="1:37" hidden="1">
      <c r="A827" s="183" t="s">
        <v>1362</v>
      </c>
      <c r="B827" s="188">
        <v>43616</v>
      </c>
      <c r="C827" s="188" t="s">
        <v>23</v>
      </c>
      <c r="D827" s="183" t="s">
        <v>24</v>
      </c>
      <c r="E827" s="201" t="s">
        <v>25</v>
      </c>
      <c r="F827" s="183" t="str">
        <f t="shared" si="129"/>
        <v>NATA_RL_12.14_400_NL2018</v>
      </c>
      <c r="G827" s="183" t="s">
        <v>222</v>
      </c>
      <c r="H827" s="184" t="s">
        <v>219</v>
      </c>
      <c r="I827" s="184" t="s">
        <v>113</v>
      </c>
      <c r="J827" s="186">
        <v>400</v>
      </c>
      <c r="K827" s="185" t="s">
        <v>28</v>
      </c>
      <c r="L827" s="185"/>
      <c r="M827" s="187">
        <f t="shared" si="130"/>
        <v>10</v>
      </c>
      <c r="N827" s="196">
        <v>4000</v>
      </c>
      <c r="O827" s="185" t="s">
        <v>1811</v>
      </c>
      <c r="P827" s="185"/>
      <c r="Q827" s="15" t="str">
        <f t="shared" si="122"/>
        <v/>
      </c>
      <c r="R827" s="189" t="s">
        <v>29</v>
      </c>
      <c r="S827" s="199"/>
      <c r="V827" s="20" t="s">
        <v>2359</v>
      </c>
      <c r="Y827" s="15"/>
      <c r="AA827" s="15"/>
      <c r="AB827" s="206"/>
      <c r="AC827" s="15"/>
      <c r="AD827" s="206"/>
      <c r="AE827" s="15"/>
      <c r="AF827" s="244"/>
      <c r="AG827" s="15"/>
      <c r="AH827" s="15">
        <f t="shared" si="131"/>
        <v>0</v>
      </c>
      <c r="AI827" s="22">
        <f t="shared" si="132"/>
        <v>4000</v>
      </c>
      <c r="AJ827" s="22" t="e">
        <f t="shared" si="133"/>
        <v>#VALUE!</v>
      </c>
      <c r="AK827" s="165"/>
    </row>
    <row r="828" spans="1:37" s="165" customFormat="1" hidden="1">
      <c r="A828" s="165" t="s">
        <v>292</v>
      </c>
      <c r="B828" s="13">
        <v>43578</v>
      </c>
      <c r="C828" s="13" t="s">
        <v>23</v>
      </c>
      <c r="D828" s="165" t="s">
        <v>24</v>
      </c>
      <c r="E828" s="198" t="s">
        <v>25</v>
      </c>
      <c r="F828" s="165" t="str">
        <f t="shared" si="129"/>
        <v>MONT_16.18_200_NL2018</v>
      </c>
      <c r="G828" s="165" t="s">
        <v>221</v>
      </c>
      <c r="H828" s="12"/>
      <c r="I828" s="12" t="s">
        <v>35</v>
      </c>
      <c r="J828" s="14">
        <v>200</v>
      </c>
      <c r="K828" s="15" t="s">
        <v>28</v>
      </c>
      <c r="L828" s="15"/>
      <c r="M828" s="16">
        <f t="shared" si="130"/>
        <v>9</v>
      </c>
      <c r="N828" s="15">
        <v>1800</v>
      </c>
      <c r="O828" s="15">
        <f>6200+171</f>
        <v>6371</v>
      </c>
      <c r="P828" s="15">
        <f t="shared" ref="P828:P833" si="134">+O828*N828</f>
        <v>11467800</v>
      </c>
      <c r="Q828" s="15" t="str">
        <f t="shared" si="122"/>
        <v/>
      </c>
      <c r="R828" s="18" t="s">
        <v>63</v>
      </c>
      <c r="S828" s="23">
        <v>43590</v>
      </c>
      <c r="T828" s="20">
        <f>IFERROR(VLOOKUP(S828,'Date Converter'!$A$4:$C$368,3,0),"")</f>
        <v>43623</v>
      </c>
      <c r="U828" s="21">
        <f t="shared" ref="U828:U891" si="135">+T828</f>
        <v>43623</v>
      </c>
      <c r="V828" s="12" t="s">
        <v>1454</v>
      </c>
      <c r="W828" s="18" t="s">
        <v>79</v>
      </c>
      <c r="X828" s="18">
        <v>43569</v>
      </c>
      <c r="Y828" s="15"/>
      <c r="Z828" s="206"/>
      <c r="AA828" s="15">
        <v>0</v>
      </c>
      <c r="AB828" s="206"/>
      <c r="AC828" s="15"/>
      <c r="AD828" s="206"/>
      <c r="AE828" s="15"/>
      <c r="AF828" s="244"/>
      <c r="AG828" s="15"/>
      <c r="AH828" s="15">
        <f t="shared" si="131"/>
        <v>0</v>
      </c>
      <c r="AI828" s="22">
        <f t="shared" si="132"/>
        <v>1800</v>
      </c>
      <c r="AJ828" s="22">
        <f t="shared" si="133"/>
        <v>11467800</v>
      </c>
    </row>
    <row r="829" spans="1:37" hidden="1">
      <c r="A829" s="183" t="s">
        <v>1362</v>
      </c>
      <c r="B829" s="188">
        <v>43461</v>
      </c>
      <c r="C829" s="188" t="s">
        <v>23</v>
      </c>
      <c r="D829" s="183" t="s">
        <v>24</v>
      </c>
      <c r="E829" s="201" t="s">
        <v>25</v>
      </c>
      <c r="F829" s="183" t="str">
        <f t="shared" si="129"/>
        <v>MARE_16.18_200_NL2018</v>
      </c>
      <c r="G829" s="183" t="s">
        <v>52</v>
      </c>
      <c r="H829" s="184"/>
      <c r="I829" s="184" t="s">
        <v>35</v>
      </c>
      <c r="J829" s="186">
        <v>200</v>
      </c>
      <c r="K829" s="185" t="s">
        <v>28</v>
      </c>
      <c r="L829" s="185"/>
      <c r="M829" s="187">
        <f t="shared" si="130"/>
        <v>35</v>
      </c>
      <c r="N829" s="196">
        <v>7000</v>
      </c>
      <c r="O829" s="185">
        <f>6000+363</f>
        <v>6363</v>
      </c>
      <c r="P829" s="185">
        <f t="shared" si="134"/>
        <v>44541000</v>
      </c>
      <c r="Q829" s="15" t="str">
        <f t="shared" si="122"/>
        <v/>
      </c>
      <c r="R829" s="189" t="s">
        <v>31</v>
      </c>
      <c r="S829" s="199">
        <v>43631</v>
      </c>
      <c r="T829" s="191">
        <f>IFERROR(VLOOKUP(S829,'Date Converter'!$A$4:$C$368,3,0),"")</f>
        <v>43663</v>
      </c>
      <c r="U829" s="239">
        <f t="shared" si="135"/>
        <v>43663</v>
      </c>
      <c r="V829" s="191" t="s">
        <v>30</v>
      </c>
      <c r="W829" s="189"/>
      <c r="X829" s="189"/>
      <c r="Y829" s="185"/>
      <c r="Z829" s="207"/>
      <c r="AA829" s="185">
        <v>0</v>
      </c>
      <c r="AB829" s="207"/>
      <c r="AC829" s="185"/>
      <c r="AD829" s="207"/>
      <c r="AE829" s="185"/>
      <c r="AF829" s="246"/>
      <c r="AG829" s="185"/>
      <c r="AH829" s="15">
        <f t="shared" si="131"/>
        <v>0</v>
      </c>
      <c r="AI829" s="22">
        <f t="shared" si="132"/>
        <v>7000</v>
      </c>
      <c r="AJ829" s="22">
        <f t="shared" si="133"/>
        <v>44541000</v>
      </c>
      <c r="AK829" s="183"/>
    </row>
    <row r="830" spans="1:37" hidden="1">
      <c r="A830" s="165" t="s">
        <v>292</v>
      </c>
      <c r="B830" s="13">
        <v>43499</v>
      </c>
      <c r="C830" s="13" t="s">
        <v>23</v>
      </c>
      <c r="D830" s="165" t="s">
        <v>24</v>
      </c>
      <c r="E830" s="165" t="s">
        <v>25</v>
      </c>
      <c r="F830" s="165" t="str">
        <f t="shared" si="129"/>
        <v>MARE_16.18_200_NL2018</v>
      </c>
      <c r="G830" s="165" t="s">
        <v>52</v>
      </c>
      <c r="I830" s="12" t="s">
        <v>35</v>
      </c>
      <c r="J830" s="14">
        <v>200</v>
      </c>
      <c r="K830" s="15" t="s">
        <v>28</v>
      </c>
      <c r="M830" s="16">
        <f t="shared" si="130"/>
        <v>15</v>
      </c>
      <c r="N830" s="15">
        <v>3000</v>
      </c>
      <c r="O830" s="15">
        <v>6000</v>
      </c>
      <c r="P830" s="15">
        <f t="shared" si="134"/>
        <v>18000000</v>
      </c>
      <c r="Q830" s="15" t="str">
        <f t="shared" si="122"/>
        <v>Done</v>
      </c>
      <c r="R830" s="18" t="s">
        <v>44</v>
      </c>
      <c r="S830" s="23" t="s">
        <v>53</v>
      </c>
      <c r="T830" s="20">
        <f>IFERROR(VLOOKUP(S830,'Date Converter'!$A$4:$C$368,3,0),"")</f>
        <v>43559</v>
      </c>
      <c r="U830" s="21">
        <f t="shared" si="135"/>
        <v>43559</v>
      </c>
      <c r="V830" s="20" t="s">
        <v>54</v>
      </c>
      <c r="W830" s="18" t="s">
        <v>55</v>
      </c>
      <c r="X830" s="18">
        <v>43555</v>
      </c>
      <c r="Y830" s="15"/>
      <c r="Z830" s="206">
        <v>43563</v>
      </c>
      <c r="AA830" s="15">
        <v>3000</v>
      </c>
      <c r="AB830" s="206"/>
      <c r="AC830" s="15"/>
      <c r="AD830" s="206"/>
      <c r="AE830" s="15"/>
      <c r="AF830" s="244"/>
      <c r="AG830" s="15"/>
      <c r="AH830" s="15">
        <f t="shared" si="131"/>
        <v>3000</v>
      </c>
      <c r="AI830" s="22">
        <f t="shared" si="132"/>
        <v>0</v>
      </c>
      <c r="AJ830" s="22">
        <f t="shared" si="133"/>
        <v>0</v>
      </c>
      <c r="AK830" s="165"/>
    </row>
    <row r="831" spans="1:37" hidden="1">
      <c r="A831" t="s">
        <v>292</v>
      </c>
      <c r="B831" s="13">
        <v>43605</v>
      </c>
      <c r="C831" s="13" t="s">
        <v>23</v>
      </c>
      <c r="D831" t="s">
        <v>24</v>
      </c>
      <c r="E831" s="198" t="s">
        <v>25</v>
      </c>
      <c r="F831" t="str">
        <f t="shared" si="129"/>
        <v>MALD_16.18_200_NL2018</v>
      </c>
      <c r="G831" s="165" t="s">
        <v>478</v>
      </c>
      <c r="I831" s="12" t="s">
        <v>35</v>
      </c>
      <c r="J831" s="14">
        <v>200</v>
      </c>
      <c r="K831" s="15" t="s">
        <v>28</v>
      </c>
      <c r="M831" s="16">
        <f t="shared" si="130"/>
        <v>1</v>
      </c>
      <c r="N831" s="195">
        <v>200</v>
      </c>
      <c r="O831" s="15">
        <v>5300</v>
      </c>
      <c r="P831" s="15">
        <f t="shared" si="134"/>
        <v>1060000</v>
      </c>
      <c r="Q831" s="15" t="str">
        <f t="shared" si="122"/>
        <v>Done</v>
      </c>
      <c r="R831" s="18" t="s">
        <v>44</v>
      </c>
      <c r="S831" s="23">
        <v>43572</v>
      </c>
      <c r="T831" s="20">
        <f>IFERROR(VLOOKUP(S831,'Date Converter'!$A$4:$C$368,3,0),"")</f>
        <v>43606</v>
      </c>
      <c r="U831" s="21">
        <f t="shared" si="135"/>
        <v>43606</v>
      </c>
      <c r="V831" s="20"/>
      <c r="Y831" s="15"/>
      <c r="Z831" s="206">
        <v>43606</v>
      </c>
      <c r="AA831" s="15">
        <v>200</v>
      </c>
      <c r="AB831" s="206"/>
      <c r="AC831" s="15"/>
      <c r="AD831" s="206"/>
      <c r="AE831" s="15"/>
      <c r="AF831" s="244"/>
      <c r="AG831" s="15"/>
      <c r="AH831" s="15">
        <f t="shared" si="131"/>
        <v>200</v>
      </c>
      <c r="AI831" s="22">
        <f t="shared" si="132"/>
        <v>0</v>
      </c>
      <c r="AJ831" s="22">
        <f t="shared" si="133"/>
        <v>0</v>
      </c>
      <c r="AK831" s="165"/>
    </row>
    <row r="832" spans="1:37" s="165" customFormat="1" hidden="1">
      <c r="A832" s="165" t="s">
        <v>292</v>
      </c>
      <c r="B832" s="13">
        <v>43499</v>
      </c>
      <c r="C832" s="13" t="s">
        <v>23</v>
      </c>
      <c r="D832" s="165" t="s">
        <v>24</v>
      </c>
      <c r="E832" s="198" t="s">
        <v>25</v>
      </c>
      <c r="F832" s="165" t="str">
        <f t="shared" si="129"/>
        <v>LAKE_14.16_300_NL2018</v>
      </c>
      <c r="G832" s="165" t="s">
        <v>50</v>
      </c>
      <c r="H832" s="12"/>
      <c r="I832" s="12" t="s">
        <v>47</v>
      </c>
      <c r="J832" s="14">
        <v>300</v>
      </c>
      <c r="K832" s="15" t="s">
        <v>28</v>
      </c>
      <c r="L832" s="15"/>
      <c r="M832" s="16">
        <f t="shared" si="130"/>
        <v>17</v>
      </c>
      <c r="N832" s="185">
        <v>5100</v>
      </c>
      <c r="O832" s="15">
        <f>3800+114</f>
        <v>3914</v>
      </c>
      <c r="P832" s="15">
        <f t="shared" si="134"/>
        <v>19961400</v>
      </c>
      <c r="Q832" s="15" t="str">
        <f t="shared" si="122"/>
        <v>Done</v>
      </c>
      <c r="R832" s="18" t="s">
        <v>44</v>
      </c>
      <c r="S832" s="23">
        <v>43572</v>
      </c>
      <c r="T832" s="20">
        <f>IFERROR(VLOOKUP(S832,'Date Converter'!$A$4:$C$368,3,0),"")</f>
        <v>43606</v>
      </c>
      <c r="U832" s="21">
        <f t="shared" si="135"/>
        <v>43606</v>
      </c>
      <c r="V832" s="12" t="s">
        <v>36</v>
      </c>
      <c r="W832" s="18"/>
      <c r="X832" s="18"/>
      <c r="Y832" s="15"/>
      <c r="Z832" s="206">
        <v>43617</v>
      </c>
      <c r="AA832" s="15">
        <v>1200</v>
      </c>
      <c r="AB832" s="206">
        <v>43622</v>
      </c>
      <c r="AC832" s="15">
        <v>2100</v>
      </c>
      <c r="AD832" s="206">
        <v>43627</v>
      </c>
      <c r="AE832" s="15">
        <v>1800</v>
      </c>
      <c r="AF832" s="244"/>
      <c r="AG832" s="15"/>
      <c r="AH832" s="15">
        <f t="shared" si="131"/>
        <v>5100</v>
      </c>
      <c r="AI832" s="22">
        <f t="shared" si="132"/>
        <v>0</v>
      </c>
      <c r="AJ832" s="22">
        <f t="shared" si="133"/>
        <v>0</v>
      </c>
    </row>
    <row r="833" spans="1:37" s="165" customFormat="1" hidden="1">
      <c r="A833" s="165" t="s">
        <v>292</v>
      </c>
      <c r="B833" s="13">
        <v>43578</v>
      </c>
      <c r="C833" s="13" t="s">
        <v>23</v>
      </c>
      <c r="D833" s="165" t="s">
        <v>24</v>
      </c>
      <c r="E833" s="198" t="s">
        <v>25</v>
      </c>
      <c r="F833" s="165" t="str">
        <f t="shared" si="129"/>
        <v>LAKE_14.16_300_NL2018</v>
      </c>
      <c r="G833" s="165" t="s">
        <v>50</v>
      </c>
      <c r="H833" s="12"/>
      <c r="I833" s="12" t="s">
        <v>47</v>
      </c>
      <c r="J833" s="14">
        <v>300</v>
      </c>
      <c r="K833" s="15" t="s">
        <v>28</v>
      </c>
      <c r="L833" s="15"/>
      <c r="M833" s="16">
        <f t="shared" si="130"/>
        <v>17</v>
      </c>
      <c r="N833" s="196">
        <v>5100</v>
      </c>
      <c r="O833" s="15">
        <f>3800+199</f>
        <v>3999</v>
      </c>
      <c r="P833" s="15">
        <f t="shared" si="134"/>
        <v>20394900</v>
      </c>
      <c r="Q833" s="15" t="str">
        <f t="shared" si="122"/>
        <v/>
      </c>
      <c r="R833" s="18" t="s">
        <v>63</v>
      </c>
      <c r="S833" s="23">
        <v>43597</v>
      </c>
      <c r="T833" s="20">
        <f>IFERROR(VLOOKUP(S833,'Date Converter'!$A$4:$C$368,3,0),"")</f>
        <v>43630</v>
      </c>
      <c r="U833" s="21">
        <f t="shared" si="135"/>
        <v>43630</v>
      </c>
      <c r="V833" s="12" t="s">
        <v>1454</v>
      </c>
      <c r="W833" s="18"/>
      <c r="X833" s="18"/>
      <c r="Y833" s="15"/>
      <c r="Z833" s="206"/>
      <c r="AA833" s="15"/>
      <c r="AB833" s="206"/>
      <c r="AC833" s="15"/>
      <c r="AD833" s="206"/>
      <c r="AE833" s="15"/>
      <c r="AF833" s="244"/>
      <c r="AG833" s="15"/>
      <c r="AH833" s="15">
        <f t="shared" si="131"/>
        <v>0</v>
      </c>
      <c r="AI833" s="22">
        <f t="shared" si="132"/>
        <v>5100</v>
      </c>
      <c r="AJ833" s="22">
        <f t="shared" si="133"/>
        <v>20394900</v>
      </c>
    </row>
    <row r="834" spans="1:37" hidden="1">
      <c r="A834" t="s">
        <v>1810</v>
      </c>
      <c r="B834" s="13">
        <v>43616</v>
      </c>
      <c r="C834" s="13" t="s">
        <v>23</v>
      </c>
      <c r="D834" t="s">
        <v>24</v>
      </c>
      <c r="E834" s="198" t="s">
        <v>25</v>
      </c>
      <c r="F834" t="str">
        <f t="shared" si="129"/>
        <v>LAKE_14.16_300_NL2018</v>
      </c>
      <c r="G834" s="165" t="s">
        <v>50</v>
      </c>
      <c r="I834" s="12" t="s">
        <v>47</v>
      </c>
      <c r="J834" s="14">
        <v>300</v>
      </c>
      <c r="K834" s="15" t="s">
        <v>28</v>
      </c>
      <c r="M834" s="16">
        <f t="shared" si="130"/>
        <v>17</v>
      </c>
      <c r="N834" s="196">
        <v>5100</v>
      </c>
      <c r="O834" s="15" t="s">
        <v>1814</v>
      </c>
      <c r="Q834" s="15" t="str">
        <f t="shared" si="122"/>
        <v/>
      </c>
      <c r="R834" s="18" t="s">
        <v>31</v>
      </c>
      <c r="S834" s="23">
        <v>43621</v>
      </c>
      <c r="T834" s="20">
        <f>IFERROR(VLOOKUP(S834,'Date Converter'!$A$4:$C$368,3,0),"")</f>
        <v>43653</v>
      </c>
      <c r="U834" s="21">
        <f t="shared" si="135"/>
        <v>43653</v>
      </c>
      <c r="Y834" s="15"/>
      <c r="AA834" s="15"/>
      <c r="AB834" s="206"/>
      <c r="AC834" s="15"/>
      <c r="AD834" s="206"/>
      <c r="AE834" s="15"/>
      <c r="AF834" s="244"/>
      <c r="AG834" s="15"/>
      <c r="AH834" s="15">
        <f t="shared" si="131"/>
        <v>0</v>
      </c>
      <c r="AI834" s="22">
        <f t="shared" si="132"/>
        <v>5100</v>
      </c>
      <c r="AJ834" s="22" t="e">
        <f t="shared" si="133"/>
        <v>#VALUE!</v>
      </c>
      <c r="AK834" s="165"/>
    </row>
    <row r="835" spans="1:37" hidden="1">
      <c r="A835" s="28" t="s">
        <v>1362</v>
      </c>
      <c r="B835" s="26">
        <v>43461</v>
      </c>
      <c r="C835" s="26" t="s">
        <v>23</v>
      </c>
      <c r="D835" s="28" t="s">
        <v>24</v>
      </c>
      <c r="E835" s="202" t="s">
        <v>25</v>
      </c>
      <c r="F835" s="28" t="str">
        <f t="shared" si="129"/>
        <v>LAKE_14.16_300_NL2018</v>
      </c>
      <c r="G835" s="28" t="s">
        <v>50</v>
      </c>
      <c r="H835" s="27"/>
      <c r="I835" s="27" t="s">
        <v>47</v>
      </c>
      <c r="J835" s="29">
        <v>300</v>
      </c>
      <c r="K835" s="25" t="s">
        <v>28</v>
      </c>
      <c r="L835" s="25"/>
      <c r="M835" s="82">
        <f t="shared" si="130"/>
        <v>15</v>
      </c>
      <c r="N835" s="195">
        <f>35700-5100-5100-5100-15900</f>
        <v>4500</v>
      </c>
      <c r="O835" s="25">
        <v>3800</v>
      </c>
      <c r="P835" s="25">
        <f>+O835*N835</f>
        <v>17100000</v>
      </c>
      <c r="Q835" s="15" t="str">
        <f t="shared" ref="Q835:Q898" si="136">IF(AND(N835=0,AI835=0),"Canceled",IF(AND(N835&gt;0,AI835=0),"Done",""))</f>
        <v/>
      </c>
      <c r="R835" s="118" t="s">
        <v>29</v>
      </c>
      <c r="S835" s="197">
        <v>43678</v>
      </c>
      <c r="T835" s="20">
        <f>IFERROR(VLOOKUP(S835,'Date Converter'!$A$4:$C$368,3,0),"")</f>
        <v>43707</v>
      </c>
      <c r="U835" s="21">
        <f t="shared" si="135"/>
        <v>43707</v>
      </c>
      <c r="V835" s="20" t="s">
        <v>30</v>
      </c>
      <c r="Y835" s="15"/>
      <c r="AA835" s="15">
        <v>0</v>
      </c>
      <c r="AB835" s="206"/>
      <c r="AC835" s="15"/>
      <c r="AD835" s="206"/>
      <c r="AE835" s="15"/>
      <c r="AF835" s="244"/>
      <c r="AG835" s="15"/>
      <c r="AH835" s="15">
        <f t="shared" si="131"/>
        <v>0</v>
      </c>
      <c r="AI835" s="22">
        <f t="shared" si="132"/>
        <v>4500</v>
      </c>
      <c r="AJ835" s="22">
        <f t="shared" si="133"/>
        <v>17100000</v>
      </c>
      <c r="AK835" s="165"/>
    </row>
    <row r="836" spans="1:37" hidden="1">
      <c r="A836" t="s">
        <v>1810</v>
      </c>
      <c r="B836" s="13">
        <v>43616</v>
      </c>
      <c r="C836" s="13" t="s">
        <v>23</v>
      </c>
      <c r="D836" t="s">
        <v>24</v>
      </c>
      <c r="E836" s="198" t="s">
        <v>25</v>
      </c>
      <c r="F836" t="str">
        <f t="shared" si="129"/>
        <v>LAKE_14.16_300_NL2018</v>
      </c>
      <c r="G836" s="165" t="s">
        <v>50</v>
      </c>
      <c r="I836" s="12" t="s">
        <v>47</v>
      </c>
      <c r="J836" s="14">
        <v>300</v>
      </c>
      <c r="K836" s="15" t="s">
        <v>28</v>
      </c>
      <c r="M836" s="16">
        <f t="shared" si="130"/>
        <v>17</v>
      </c>
      <c r="N836" s="196">
        <v>5100</v>
      </c>
      <c r="O836" s="15" t="s">
        <v>1814</v>
      </c>
      <c r="Q836" s="15" t="str">
        <f t="shared" si="136"/>
        <v/>
      </c>
      <c r="R836" s="18" t="s">
        <v>29</v>
      </c>
      <c r="S836" s="23">
        <v>43651</v>
      </c>
      <c r="T836" s="20">
        <f>IFERROR(VLOOKUP(S836,'Date Converter'!$A$4:$C$368,3,0),"")</f>
        <v>43682</v>
      </c>
      <c r="U836" s="21">
        <f t="shared" si="135"/>
        <v>43682</v>
      </c>
      <c r="Y836" s="15"/>
      <c r="AA836" s="15"/>
      <c r="AB836" s="206"/>
      <c r="AC836" s="15"/>
      <c r="AD836" s="206"/>
      <c r="AE836" s="15"/>
      <c r="AF836" s="244"/>
      <c r="AG836" s="15"/>
      <c r="AH836" s="15">
        <f t="shared" si="131"/>
        <v>0</v>
      </c>
      <c r="AI836" s="22">
        <f t="shared" si="132"/>
        <v>5100</v>
      </c>
      <c r="AJ836" s="22" t="e">
        <f t="shared" si="133"/>
        <v>#VALUE!</v>
      </c>
      <c r="AK836" s="165"/>
    </row>
    <row r="837" spans="1:37" hidden="1">
      <c r="A837" t="s">
        <v>293</v>
      </c>
      <c r="B837" s="13">
        <v>43538</v>
      </c>
      <c r="C837" s="266" t="s">
        <v>23</v>
      </c>
      <c r="D837" s="258" t="s">
        <v>24</v>
      </c>
      <c r="E837" s="198" t="s">
        <v>25</v>
      </c>
      <c r="F837" t="str">
        <f t="shared" si="129"/>
        <v>LAKE_16.18_200_NL2018</v>
      </c>
      <c r="G837" s="165" t="s">
        <v>50</v>
      </c>
      <c r="I837" s="12" t="s">
        <v>35</v>
      </c>
      <c r="J837" s="14">
        <v>200</v>
      </c>
      <c r="K837" s="15" t="s">
        <v>28</v>
      </c>
      <c r="M837" s="16">
        <f t="shared" si="130"/>
        <v>25</v>
      </c>
      <c r="N837" s="17">
        <v>5000</v>
      </c>
      <c r="O837" s="15">
        <v>6100</v>
      </c>
      <c r="P837" s="15">
        <f t="shared" ref="P837:P900" si="137">+O837*N837</f>
        <v>30500000</v>
      </c>
      <c r="Q837" s="15" t="str">
        <f t="shared" si="136"/>
        <v/>
      </c>
      <c r="R837" s="18" t="s">
        <v>29</v>
      </c>
      <c r="S837" s="23">
        <v>43709</v>
      </c>
      <c r="T837" s="20">
        <f>IFERROR(VLOOKUP(S837,'Date Converter'!$A$4:$C$368,3,0),"")</f>
        <v>43737</v>
      </c>
      <c r="U837" s="21">
        <f t="shared" si="135"/>
        <v>43737</v>
      </c>
      <c r="V837" s="20" t="s">
        <v>51</v>
      </c>
      <c r="Y837" s="15"/>
      <c r="AA837" s="15">
        <v>0</v>
      </c>
      <c r="AB837" s="206"/>
      <c r="AC837" s="15"/>
      <c r="AD837" s="206"/>
      <c r="AE837" s="15"/>
      <c r="AF837" s="244"/>
      <c r="AG837" s="15"/>
      <c r="AH837" s="15">
        <f t="shared" si="131"/>
        <v>0</v>
      </c>
      <c r="AI837" s="22">
        <f t="shared" si="132"/>
        <v>5000</v>
      </c>
      <c r="AJ837" s="22">
        <f t="shared" si="133"/>
        <v>30500000</v>
      </c>
      <c r="AK837" s="165"/>
    </row>
    <row r="838" spans="1:37" hidden="1">
      <c r="A838" t="s">
        <v>1810</v>
      </c>
      <c r="B838" s="13">
        <v>43616</v>
      </c>
      <c r="C838" s="13" t="s">
        <v>23</v>
      </c>
      <c r="D838" t="s">
        <v>24</v>
      </c>
      <c r="E838" s="198" t="s">
        <v>25</v>
      </c>
      <c r="F838" t="str">
        <f t="shared" si="129"/>
        <v>DIGA_16.18_200_NL2018</v>
      </c>
      <c r="G838" s="165" t="s">
        <v>1813</v>
      </c>
      <c r="I838" s="12" t="s">
        <v>35</v>
      </c>
      <c r="J838" s="14">
        <v>200</v>
      </c>
      <c r="K838" s="15" t="s">
        <v>28</v>
      </c>
      <c r="M838" s="16">
        <f t="shared" si="130"/>
        <v>0</v>
      </c>
      <c r="N838" s="196">
        <f>200-200</f>
        <v>0</v>
      </c>
      <c r="O838" s="15">
        <v>6700</v>
      </c>
      <c r="P838" s="15">
        <f t="shared" si="137"/>
        <v>0</v>
      </c>
      <c r="Q838" s="15" t="str">
        <f t="shared" si="136"/>
        <v>Canceled</v>
      </c>
      <c r="R838" s="18" t="s">
        <v>71</v>
      </c>
      <c r="S838" s="23">
        <v>43631</v>
      </c>
      <c r="T838" s="20">
        <f>IFERROR(VLOOKUP(S838,'Date Converter'!$A$4:$C$368,3,0),"")</f>
        <v>43663</v>
      </c>
      <c r="U838" s="21">
        <f t="shared" si="135"/>
        <v>43663</v>
      </c>
      <c r="Y838" s="15"/>
      <c r="AA838" s="15"/>
      <c r="AB838" s="206"/>
      <c r="AC838" s="15"/>
      <c r="AD838" s="206"/>
      <c r="AE838" s="15"/>
      <c r="AF838" s="244"/>
      <c r="AG838" s="15"/>
      <c r="AH838" s="15">
        <f t="shared" si="131"/>
        <v>0</v>
      </c>
      <c r="AI838" s="22">
        <f t="shared" si="132"/>
        <v>0</v>
      </c>
      <c r="AJ838" s="22">
        <f t="shared" si="133"/>
        <v>0</v>
      </c>
      <c r="AK838" s="165"/>
    </row>
    <row r="839" spans="1:37" hidden="1">
      <c r="A839" t="s">
        <v>292</v>
      </c>
      <c r="B839" s="13">
        <v>43461</v>
      </c>
      <c r="C839" s="13" t="s">
        <v>23</v>
      </c>
      <c r="D839" t="s">
        <v>24</v>
      </c>
      <c r="E839" s="198" t="s">
        <v>25</v>
      </c>
      <c r="F839" t="str">
        <f t="shared" si="129"/>
        <v>DALI_14.16_300_NL2018</v>
      </c>
      <c r="G839" s="165" t="s">
        <v>46</v>
      </c>
      <c r="I839" s="12" t="s">
        <v>47</v>
      </c>
      <c r="J839" s="14">
        <v>300</v>
      </c>
      <c r="K839" s="15" t="s">
        <v>28</v>
      </c>
      <c r="M839" s="16">
        <f t="shared" si="130"/>
        <v>10</v>
      </c>
      <c r="N839" s="196">
        <v>3000</v>
      </c>
      <c r="O839" s="15">
        <f>5300+114</f>
        <v>5414</v>
      </c>
      <c r="P839" s="15">
        <f t="shared" si="137"/>
        <v>16242000</v>
      </c>
      <c r="Q839" s="15" t="str">
        <f t="shared" si="136"/>
        <v>Done</v>
      </c>
      <c r="R839" s="18" t="s">
        <v>44</v>
      </c>
      <c r="S839" s="23">
        <v>43572</v>
      </c>
      <c r="T839" s="20">
        <f>IFERROR(VLOOKUP(S839,'Date Converter'!$A$4:$C$368,3,0),"")</f>
        <v>43606</v>
      </c>
      <c r="U839" s="21">
        <f t="shared" si="135"/>
        <v>43606</v>
      </c>
      <c r="V839" s="20" t="s">
        <v>36</v>
      </c>
      <c r="Y839" s="15"/>
      <c r="Z839" s="206">
        <v>43617</v>
      </c>
      <c r="AA839" s="15">
        <v>3000</v>
      </c>
      <c r="AB839" s="206"/>
      <c r="AC839" s="15"/>
      <c r="AD839" s="206"/>
      <c r="AE839" s="15"/>
      <c r="AF839" s="244"/>
      <c r="AG839" s="15"/>
      <c r="AH839" s="15">
        <f t="shared" si="131"/>
        <v>3000</v>
      </c>
      <c r="AI839" s="22">
        <f t="shared" si="132"/>
        <v>0</v>
      </c>
      <c r="AJ839" s="22">
        <f t="shared" si="133"/>
        <v>0</v>
      </c>
      <c r="AK839" s="165"/>
    </row>
    <row r="840" spans="1:37" hidden="1">
      <c r="A840" s="165" t="s">
        <v>292</v>
      </c>
      <c r="B840" s="13">
        <v>43538</v>
      </c>
      <c r="C840" s="13" t="s">
        <v>23</v>
      </c>
      <c r="D840" s="165" t="s">
        <v>24</v>
      </c>
      <c r="E840" s="165" t="s">
        <v>25</v>
      </c>
      <c r="F840" s="165" t="str">
        <f t="shared" si="129"/>
        <v>DALI_16.18_200_NL2018</v>
      </c>
      <c r="G840" s="165" t="s">
        <v>46</v>
      </c>
      <c r="I840" s="24" t="s">
        <v>35</v>
      </c>
      <c r="J840" s="14">
        <v>200</v>
      </c>
      <c r="K840" s="15" t="s">
        <v>28</v>
      </c>
      <c r="M840" s="16">
        <f t="shared" si="130"/>
        <v>50</v>
      </c>
      <c r="N840" s="17">
        <v>10000</v>
      </c>
      <c r="O840" s="15">
        <v>6700</v>
      </c>
      <c r="P840" s="15">
        <f t="shared" si="137"/>
        <v>67000000</v>
      </c>
      <c r="Q840" s="15" t="str">
        <f t="shared" si="136"/>
        <v>Done</v>
      </c>
      <c r="R840" s="18" t="s">
        <v>44</v>
      </c>
      <c r="S840" s="23">
        <v>43511</v>
      </c>
      <c r="T840" s="20">
        <f>IFERROR(VLOOKUP(S840,'Date Converter'!$A$4:$C$368,3,0),"")</f>
        <v>43544</v>
      </c>
      <c r="U840" s="21">
        <f t="shared" si="135"/>
        <v>43544</v>
      </c>
      <c r="V840" s="12" t="s">
        <v>32</v>
      </c>
      <c r="W840" s="18" t="s">
        <v>48</v>
      </c>
      <c r="X840" s="18">
        <v>43541</v>
      </c>
      <c r="Y840" s="15"/>
      <c r="Z840" s="206">
        <v>43545</v>
      </c>
      <c r="AA840" s="15">
        <v>4000</v>
      </c>
      <c r="AB840" s="206">
        <v>43577</v>
      </c>
      <c r="AC840" s="15">
        <v>6000</v>
      </c>
      <c r="AD840" s="206"/>
      <c r="AE840" s="15"/>
      <c r="AF840" s="244"/>
      <c r="AG840" s="15"/>
      <c r="AH840" s="15">
        <f t="shared" si="131"/>
        <v>10000</v>
      </c>
      <c r="AI840" s="22">
        <f t="shared" si="132"/>
        <v>0</v>
      </c>
      <c r="AJ840" s="22">
        <f t="shared" si="133"/>
        <v>0</v>
      </c>
      <c r="AK840" s="165"/>
    </row>
    <row r="841" spans="1:37" s="165" customFormat="1" hidden="1">
      <c r="A841" s="165" t="s">
        <v>293</v>
      </c>
      <c r="B841" s="13">
        <v>43538</v>
      </c>
      <c r="C841" s="266" t="s">
        <v>23</v>
      </c>
      <c r="D841" s="258" t="s">
        <v>24</v>
      </c>
      <c r="E841" s="198" t="s">
        <v>25</v>
      </c>
      <c r="F841" s="165" t="str">
        <f t="shared" si="129"/>
        <v>DALI_18.20_150_NL2018</v>
      </c>
      <c r="G841" s="165" t="s">
        <v>46</v>
      </c>
      <c r="H841" s="12"/>
      <c r="I841" s="12" t="s">
        <v>27</v>
      </c>
      <c r="J841" s="14">
        <v>150</v>
      </c>
      <c r="K841" s="15" t="s">
        <v>28</v>
      </c>
      <c r="L841" s="15"/>
      <c r="M841" s="16">
        <f t="shared" si="130"/>
        <v>52</v>
      </c>
      <c r="N841" s="17">
        <f>9900-2100</f>
        <v>7800</v>
      </c>
      <c r="O841" s="15">
        <v>11900</v>
      </c>
      <c r="P841" s="15">
        <f t="shared" si="137"/>
        <v>92820000</v>
      </c>
      <c r="Q841" s="15" t="str">
        <f t="shared" si="136"/>
        <v/>
      </c>
      <c r="R841" s="18" t="s">
        <v>29</v>
      </c>
      <c r="S841" s="23">
        <v>43709</v>
      </c>
      <c r="T841" s="20">
        <f>IFERROR(VLOOKUP(S841,'Date Converter'!$A$4:$C$368,3,0),"")</f>
        <v>43737</v>
      </c>
      <c r="U841" s="21">
        <f t="shared" si="135"/>
        <v>43737</v>
      </c>
      <c r="V841" s="20" t="s">
        <v>49</v>
      </c>
      <c r="W841" s="18"/>
      <c r="X841" s="18"/>
      <c r="Y841" s="15"/>
      <c r="Z841" s="206"/>
      <c r="AA841" s="15">
        <v>0</v>
      </c>
      <c r="AB841" s="206"/>
      <c r="AC841" s="15"/>
      <c r="AD841" s="206"/>
      <c r="AE841" s="15"/>
      <c r="AF841" s="244"/>
      <c r="AG841" s="15"/>
      <c r="AH841" s="15">
        <f t="shared" si="131"/>
        <v>0</v>
      </c>
      <c r="AI841" s="22">
        <f t="shared" si="132"/>
        <v>7800</v>
      </c>
      <c r="AJ841" s="22">
        <f t="shared" si="133"/>
        <v>92820000</v>
      </c>
    </row>
    <row r="842" spans="1:37" hidden="1">
      <c r="A842" s="165" t="s">
        <v>292</v>
      </c>
      <c r="B842" s="13">
        <v>43461</v>
      </c>
      <c r="C842" s="13" t="s">
        <v>23</v>
      </c>
      <c r="D842" s="165" t="s">
        <v>24</v>
      </c>
      <c r="E842" s="198" t="s">
        <v>25</v>
      </c>
      <c r="F842" s="165" t="str">
        <f t="shared" si="129"/>
        <v>CONC_16.18_200_NL2018</v>
      </c>
      <c r="G842" s="165" t="s">
        <v>43</v>
      </c>
      <c r="I842" s="12" t="s">
        <v>35</v>
      </c>
      <c r="J842" s="14">
        <v>200</v>
      </c>
      <c r="K842" s="15" t="s">
        <v>28</v>
      </c>
      <c r="M842" s="16">
        <f t="shared" si="130"/>
        <v>25</v>
      </c>
      <c r="N842" s="196">
        <f>10000-5000</f>
        <v>5000</v>
      </c>
      <c r="O842" s="15">
        <v>6000</v>
      </c>
      <c r="P842" s="15">
        <f t="shared" si="137"/>
        <v>30000000</v>
      </c>
      <c r="Q842" s="15" t="str">
        <f t="shared" si="136"/>
        <v>Done</v>
      </c>
      <c r="R842" s="18" t="s">
        <v>44</v>
      </c>
      <c r="S842" s="23">
        <v>43572</v>
      </c>
      <c r="T842" s="20">
        <f>IFERROR(VLOOKUP(S842,'Date Converter'!$A$4:$C$368,3,0),"")</f>
        <v>43606</v>
      </c>
      <c r="U842" s="21">
        <f t="shared" si="135"/>
        <v>43606</v>
      </c>
      <c r="V842" s="20" t="s">
        <v>479</v>
      </c>
      <c r="Y842" s="15"/>
      <c r="Z842" s="206">
        <v>43619</v>
      </c>
      <c r="AA842" s="15">
        <v>5000</v>
      </c>
      <c r="AB842" s="206"/>
      <c r="AC842" s="15"/>
      <c r="AD842" s="206"/>
      <c r="AE842" s="15"/>
      <c r="AF842" s="244"/>
      <c r="AG842" s="15"/>
      <c r="AH842" s="15">
        <f t="shared" si="131"/>
        <v>5000</v>
      </c>
      <c r="AI842" s="22">
        <f t="shared" si="132"/>
        <v>0</v>
      </c>
      <c r="AJ842" s="22">
        <f t="shared" si="133"/>
        <v>0</v>
      </c>
      <c r="AK842" s="165"/>
    </row>
    <row r="843" spans="1:37" hidden="1">
      <c r="A843" s="165" t="s">
        <v>292</v>
      </c>
      <c r="B843" s="13">
        <v>43461</v>
      </c>
      <c r="C843" s="13" t="s">
        <v>23</v>
      </c>
      <c r="D843" s="165" t="s">
        <v>24</v>
      </c>
      <c r="E843" s="165" t="s">
        <v>25</v>
      </c>
      <c r="F843" s="165" t="str">
        <f t="shared" si="129"/>
        <v>CONC_16.18_200_NL2018</v>
      </c>
      <c r="G843" s="165" t="s">
        <v>43</v>
      </c>
      <c r="I843" s="12" t="s">
        <v>35</v>
      </c>
      <c r="J843" s="14">
        <v>200</v>
      </c>
      <c r="K843" s="15" t="s">
        <v>28</v>
      </c>
      <c r="M843" s="16">
        <f t="shared" si="130"/>
        <v>25</v>
      </c>
      <c r="N843" s="15">
        <v>5000</v>
      </c>
      <c r="O843" s="15">
        <v>4600</v>
      </c>
      <c r="P843" s="15">
        <f t="shared" si="137"/>
        <v>23000000</v>
      </c>
      <c r="Q843" s="15" t="str">
        <f t="shared" si="136"/>
        <v>Done</v>
      </c>
      <c r="R843" s="18" t="s">
        <v>44</v>
      </c>
      <c r="S843" s="23">
        <v>43480</v>
      </c>
      <c r="T843" s="20">
        <f>IFERROR(VLOOKUP(S843,'Date Converter'!$A$4:$C$368,3,0),"")</f>
        <v>43515</v>
      </c>
      <c r="U843" s="21">
        <f t="shared" si="135"/>
        <v>43515</v>
      </c>
      <c r="V843" s="12" t="s">
        <v>45</v>
      </c>
      <c r="Y843" s="15"/>
      <c r="Z843" s="206">
        <v>43528</v>
      </c>
      <c r="AA843" s="15">
        <v>5000</v>
      </c>
      <c r="AB843" s="206"/>
      <c r="AC843" s="15"/>
      <c r="AD843" s="206"/>
      <c r="AE843" s="15"/>
      <c r="AF843" s="244"/>
      <c r="AG843" s="15"/>
      <c r="AH843" s="15">
        <f t="shared" si="131"/>
        <v>5000</v>
      </c>
      <c r="AI843" s="22">
        <f t="shared" si="132"/>
        <v>0</v>
      </c>
      <c r="AJ843" s="22">
        <f t="shared" si="133"/>
        <v>0</v>
      </c>
      <c r="AK843" s="165"/>
    </row>
    <row r="844" spans="1:37" hidden="1">
      <c r="A844" s="165" t="s">
        <v>292</v>
      </c>
      <c r="B844" s="13">
        <v>43461</v>
      </c>
      <c r="C844" s="13" t="s">
        <v>23</v>
      </c>
      <c r="D844" s="165" t="s">
        <v>24</v>
      </c>
      <c r="E844" s="198" t="s">
        <v>25</v>
      </c>
      <c r="F844" s="165" t="str">
        <f t="shared" si="129"/>
        <v>CONC_16.18_200_NL2018</v>
      </c>
      <c r="G844" s="165" t="s">
        <v>43</v>
      </c>
      <c r="I844" s="12" t="s">
        <v>35</v>
      </c>
      <c r="J844" s="14">
        <v>200</v>
      </c>
      <c r="K844" s="15" t="s">
        <v>28</v>
      </c>
      <c r="M844" s="16">
        <f t="shared" si="130"/>
        <v>25</v>
      </c>
      <c r="N844" s="196">
        <v>5000</v>
      </c>
      <c r="O844" s="15">
        <v>6000</v>
      </c>
      <c r="P844" s="15">
        <f t="shared" si="137"/>
        <v>30000000</v>
      </c>
      <c r="Q844" s="15" t="str">
        <f t="shared" si="136"/>
        <v>Done</v>
      </c>
      <c r="R844" s="18" t="s">
        <v>44</v>
      </c>
      <c r="S844" s="23">
        <v>43539</v>
      </c>
      <c r="T844" s="20">
        <f>IFERROR(VLOOKUP(S844,'Date Converter'!$A$4:$C$368,3,0),"")</f>
        <v>43574</v>
      </c>
      <c r="U844" s="21">
        <f t="shared" si="135"/>
        <v>43574</v>
      </c>
      <c r="V844" s="20"/>
      <c r="Y844" s="15"/>
      <c r="Z844" s="206">
        <v>43599</v>
      </c>
      <c r="AA844" s="15">
        <v>5000</v>
      </c>
      <c r="AB844" s="206"/>
      <c r="AC844" s="15"/>
      <c r="AD844" s="206"/>
      <c r="AE844" s="15"/>
      <c r="AF844" s="244"/>
      <c r="AG844" s="15"/>
      <c r="AH844" s="15">
        <f t="shared" si="131"/>
        <v>5000</v>
      </c>
      <c r="AI844" s="22">
        <f t="shared" si="132"/>
        <v>0</v>
      </c>
      <c r="AJ844" s="22">
        <f t="shared" si="133"/>
        <v>0</v>
      </c>
      <c r="AK844" s="165"/>
    </row>
    <row r="845" spans="1:37" hidden="1">
      <c r="A845" s="183" t="s">
        <v>292</v>
      </c>
      <c r="B845" s="188">
        <v>43578</v>
      </c>
      <c r="C845" s="188" t="s">
        <v>23</v>
      </c>
      <c r="D845" s="183" t="s">
        <v>24</v>
      </c>
      <c r="E845" s="201" t="s">
        <v>25</v>
      </c>
      <c r="F845" s="183" t="str">
        <f t="shared" si="129"/>
        <v>CONC_16.18_200_NL2018</v>
      </c>
      <c r="G845" s="183" t="s">
        <v>43</v>
      </c>
      <c r="H845" s="184"/>
      <c r="I845" s="184" t="s">
        <v>35</v>
      </c>
      <c r="J845" s="186">
        <v>200</v>
      </c>
      <c r="K845" s="185" t="s">
        <v>28</v>
      </c>
      <c r="L845" s="185"/>
      <c r="M845" s="187">
        <f t="shared" si="130"/>
        <v>50</v>
      </c>
      <c r="N845" s="196">
        <v>10000</v>
      </c>
      <c r="O845" s="185">
        <v>6584</v>
      </c>
      <c r="P845" s="185">
        <f t="shared" si="137"/>
        <v>65840000</v>
      </c>
      <c r="Q845" s="15" t="str">
        <f t="shared" si="136"/>
        <v/>
      </c>
      <c r="R845" s="189" t="s">
        <v>31</v>
      </c>
      <c r="S845" s="199">
        <v>43621</v>
      </c>
      <c r="T845" s="20">
        <f>IFERROR(VLOOKUP(S845,'Date Converter'!$A$4:$C$368,3,0),"")</f>
        <v>43653</v>
      </c>
      <c r="U845" s="21">
        <f t="shared" si="135"/>
        <v>43653</v>
      </c>
      <c r="V845" s="191" t="s">
        <v>1426</v>
      </c>
      <c r="W845" s="189"/>
      <c r="X845" s="189"/>
      <c r="Y845" s="185"/>
      <c r="AA845" s="185">
        <v>0</v>
      </c>
      <c r="AB845" s="206"/>
      <c r="AC845" s="185"/>
      <c r="AD845" s="206"/>
      <c r="AE845" s="185"/>
      <c r="AF845" s="246"/>
      <c r="AG845" s="185"/>
      <c r="AH845" s="15">
        <f t="shared" si="131"/>
        <v>0</v>
      </c>
      <c r="AI845" s="22">
        <f t="shared" si="132"/>
        <v>10000</v>
      </c>
      <c r="AJ845" s="22">
        <f t="shared" si="133"/>
        <v>65840000</v>
      </c>
      <c r="AK845" s="183"/>
    </row>
    <row r="846" spans="1:37" hidden="1">
      <c r="A846" s="183" t="s">
        <v>292</v>
      </c>
      <c r="B846" s="188">
        <v>43578</v>
      </c>
      <c r="C846" s="188" t="s">
        <v>23</v>
      </c>
      <c r="D846" s="183" t="s">
        <v>24</v>
      </c>
      <c r="E846" s="201" t="s">
        <v>25</v>
      </c>
      <c r="F846" s="183" t="str">
        <f t="shared" si="129"/>
        <v>CONC_16.18_200_NL2018</v>
      </c>
      <c r="G846" s="183" t="s">
        <v>43</v>
      </c>
      <c r="H846" s="184"/>
      <c r="I846" s="184" t="s">
        <v>35</v>
      </c>
      <c r="J846" s="186">
        <v>200</v>
      </c>
      <c r="K846" s="185" t="s">
        <v>28</v>
      </c>
      <c r="L846" s="185"/>
      <c r="M846" s="187">
        <f t="shared" si="130"/>
        <v>50</v>
      </c>
      <c r="N846" s="196">
        <v>10000</v>
      </c>
      <c r="O846" s="185">
        <v>6669</v>
      </c>
      <c r="P846" s="185">
        <f t="shared" si="137"/>
        <v>66690000</v>
      </c>
      <c r="Q846" s="15" t="str">
        <f t="shared" si="136"/>
        <v/>
      </c>
      <c r="R846" s="189" t="s">
        <v>29</v>
      </c>
      <c r="S846" s="199">
        <v>43651</v>
      </c>
      <c r="T846" s="20">
        <f>IFERROR(VLOOKUP(S846,'Date Converter'!$A$4:$C$368,3,0),"")</f>
        <v>43682</v>
      </c>
      <c r="U846" s="21">
        <f t="shared" si="135"/>
        <v>43682</v>
      </c>
      <c r="V846" s="191" t="s">
        <v>1476</v>
      </c>
      <c r="W846" s="189"/>
      <c r="X846" s="189"/>
      <c r="Y846" s="185"/>
      <c r="AA846" s="185">
        <v>0</v>
      </c>
      <c r="AB846" s="206"/>
      <c r="AC846" s="185"/>
      <c r="AD846" s="206"/>
      <c r="AE846" s="185"/>
      <c r="AF846" s="246"/>
      <c r="AG846" s="185"/>
      <c r="AH846" s="15">
        <f t="shared" si="131"/>
        <v>0</v>
      </c>
      <c r="AI846" s="22">
        <f t="shared" si="132"/>
        <v>10000</v>
      </c>
      <c r="AJ846" s="22">
        <f t="shared" si="133"/>
        <v>66690000</v>
      </c>
      <c r="AK846" s="183"/>
    </row>
    <row r="847" spans="1:37" hidden="1">
      <c r="A847" s="183" t="s">
        <v>292</v>
      </c>
      <c r="B847" s="188">
        <v>43578</v>
      </c>
      <c r="C847" s="188" t="s">
        <v>23</v>
      </c>
      <c r="D847" s="183" t="s">
        <v>24</v>
      </c>
      <c r="E847" s="201" t="s">
        <v>25</v>
      </c>
      <c r="F847" s="183" t="str">
        <f t="shared" si="129"/>
        <v>CONC_16.18_200_NL2018</v>
      </c>
      <c r="G847" s="183" t="s">
        <v>43</v>
      </c>
      <c r="H847" s="184"/>
      <c r="I847" s="184" t="s">
        <v>35</v>
      </c>
      <c r="J847" s="186">
        <v>200</v>
      </c>
      <c r="K847" s="185" t="s">
        <v>28</v>
      </c>
      <c r="L847" s="185"/>
      <c r="M847" s="187">
        <f t="shared" si="130"/>
        <v>50</v>
      </c>
      <c r="N847" s="196">
        <v>10000</v>
      </c>
      <c r="O847" s="185">
        <v>6754</v>
      </c>
      <c r="P847" s="185">
        <f t="shared" si="137"/>
        <v>67540000</v>
      </c>
      <c r="Q847" s="15" t="str">
        <f t="shared" si="136"/>
        <v/>
      </c>
      <c r="R847" s="189" t="s">
        <v>29</v>
      </c>
      <c r="S847" s="199">
        <v>43682</v>
      </c>
      <c r="T847" s="20">
        <f>IFERROR(VLOOKUP(S847,'Date Converter'!$A$4:$C$368,3,0),"")</f>
        <v>43711</v>
      </c>
      <c r="U847" s="21">
        <f t="shared" si="135"/>
        <v>43711</v>
      </c>
      <c r="V847" s="191" t="s">
        <v>1477</v>
      </c>
      <c r="W847" s="189"/>
      <c r="X847" s="189"/>
      <c r="Y847" s="185"/>
      <c r="AA847" s="185">
        <v>0</v>
      </c>
      <c r="AB847" s="206"/>
      <c r="AC847" s="185"/>
      <c r="AD847" s="206"/>
      <c r="AE847" s="185"/>
      <c r="AF847" s="246"/>
      <c r="AG847" s="185"/>
      <c r="AH847" s="15">
        <f t="shared" si="131"/>
        <v>0</v>
      </c>
      <c r="AI847" s="22">
        <f t="shared" si="132"/>
        <v>10000</v>
      </c>
      <c r="AJ847" s="22">
        <f t="shared" si="133"/>
        <v>67540000</v>
      </c>
      <c r="AK847" s="183"/>
    </row>
    <row r="848" spans="1:37" hidden="1">
      <c r="A848" s="183" t="s">
        <v>292</v>
      </c>
      <c r="B848" s="188">
        <v>43578</v>
      </c>
      <c r="C848" s="188" t="s">
        <v>23</v>
      </c>
      <c r="D848" s="183" t="s">
        <v>24</v>
      </c>
      <c r="E848" s="201" t="s">
        <v>25</v>
      </c>
      <c r="F848" s="183" t="str">
        <f t="shared" si="129"/>
        <v>CONC_16.18_200_NL2018</v>
      </c>
      <c r="G848" s="183" t="s">
        <v>43</v>
      </c>
      <c r="H848" s="184"/>
      <c r="I848" s="184" t="s">
        <v>35</v>
      </c>
      <c r="J848" s="186">
        <v>200</v>
      </c>
      <c r="K848" s="185" t="s">
        <v>28</v>
      </c>
      <c r="L848" s="185"/>
      <c r="M848" s="187">
        <f t="shared" si="130"/>
        <v>50</v>
      </c>
      <c r="N848" s="196">
        <v>10000</v>
      </c>
      <c r="O848" s="185">
        <v>6839</v>
      </c>
      <c r="P848" s="185">
        <f t="shared" si="137"/>
        <v>68390000</v>
      </c>
      <c r="Q848" s="15" t="str">
        <f t="shared" si="136"/>
        <v/>
      </c>
      <c r="R848" s="189" t="s">
        <v>29</v>
      </c>
      <c r="S848" s="199">
        <v>43713</v>
      </c>
      <c r="T848" s="20">
        <f>IFERROR(VLOOKUP(S848,'Date Converter'!$A$4:$C$368,3,0),"")</f>
        <v>43741</v>
      </c>
      <c r="U848" s="21">
        <f t="shared" si="135"/>
        <v>43741</v>
      </c>
      <c r="V848" s="191" t="s">
        <v>1478</v>
      </c>
      <c r="W848" s="189"/>
      <c r="X848" s="189"/>
      <c r="Y848" s="185"/>
      <c r="AA848" s="185">
        <v>0</v>
      </c>
      <c r="AB848" s="206"/>
      <c r="AC848" s="185"/>
      <c r="AD848" s="206"/>
      <c r="AE848" s="185"/>
      <c r="AF848" s="246"/>
      <c r="AG848" s="185"/>
      <c r="AH848" s="15">
        <f t="shared" si="131"/>
        <v>0</v>
      </c>
      <c r="AI848" s="22">
        <f t="shared" si="132"/>
        <v>10000</v>
      </c>
      <c r="AJ848" s="22">
        <f t="shared" si="133"/>
        <v>68390000</v>
      </c>
      <c r="AK848" s="183"/>
    </row>
    <row r="849" spans="1:37" hidden="1">
      <c r="A849" t="s">
        <v>292</v>
      </c>
      <c r="B849" s="13">
        <v>43461</v>
      </c>
      <c r="C849" s="13" t="s">
        <v>23</v>
      </c>
      <c r="D849" t="s">
        <v>24</v>
      </c>
      <c r="E849" s="165" t="s">
        <v>25</v>
      </c>
      <c r="F849" s="165" t="str">
        <f t="shared" si="129"/>
        <v>CONC_16.18_200_NL2018</v>
      </c>
      <c r="G849" s="165" t="s">
        <v>40</v>
      </c>
      <c r="I849" s="12" t="s">
        <v>35</v>
      </c>
      <c r="J849" s="14">
        <v>200</v>
      </c>
      <c r="K849" s="15" t="s">
        <v>28</v>
      </c>
      <c r="M849" s="16">
        <f t="shared" si="130"/>
        <v>45</v>
      </c>
      <c r="N849" s="15">
        <v>9000</v>
      </c>
      <c r="O849" s="15">
        <v>4600</v>
      </c>
      <c r="P849" s="15">
        <f t="shared" si="137"/>
        <v>41400000</v>
      </c>
      <c r="Q849" s="15" t="str">
        <f t="shared" si="136"/>
        <v>Done</v>
      </c>
      <c r="R849" s="18" t="s">
        <v>44</v>
      </c>
      <c r="S849" s="23">
        <v>43511</v>
      </c>
      <c r="T849" s="20">
        <f>IFERROR(VLOOKUP(S849,'Date Converter'!$A$4:$C$368,3,0),"")</f>
        <v>43544</v>
      </c>
      <c r="U849" s="21">
        <f t="shared" si="135"/>
        <v>43544</v>
      </c>
      <c r="V849" s="20" t="s">
        <v>32</v>
      </c>
      <c r="W849" s="18" t="s">
        <v>41</v>
      </c>
      <c r="X849" s="18">
        <v>43541</v>
      </c>
      <c r="Y849" s="15"/>
      <c r="Z849" s="206">
        <v>43528</v>
      </c>
      <c r="AA849" s="15">
        <v>5000</v>
      </c>
      <c r="AB849" s="206">
        <v>43543</v>
      </c>
      <c r="AC849" s="15">
        <v>4000</v>
      </c>
      <c r="AD849" s="206"/>
      <c r="AE849" s="15"/>
      <c r="AF849" s="244"/>
      <c r="AG849" s="15"/>
      <c r="AH849" s="15">
        <f t="shared" si="131"/>
        <v>9000</v>
      </c>
      <c r="AI849" s="22">
        <f t="shared" si="132"/>
        <v>0</v>
      </c>
      <c r="AJ849" s="22">
        <f t="shared" si="133"/>
        <v>0</v>
      </c>
      <c r="AK849" s="165"/>
    </row>
    <row r="850" spans="1:37" hidden="1">
      <c r="A850" s="165" t="s">
        <v>292</v>
      </c>
      <c r="B850" s="13">
        <v>43499</v>
      </c>
      <c r="C850" s="13" t="s">
        <v>23</v>
      </c>
      <c r="D850" t="s">
        <v>24</v>
      </c>
      <c r="E850" s="165" t="s">
        <v>25</v>
      </c>
      <c r="F850" s="165" t="str">
        <f t="shared" si="129"/>
        <v>CONC_16.18_200_NL2018</v>
      </c>
      <c r="G850" s="165" t="s">
        <v>40</v>
      </c>
      <c r="I850" s="12" t="s">
        <v>35</v>
      </c>
      <c r="J850" s="14">
        <v>200</v>
      </c>
      <c r="K850" s="15" t="s">
        <v>28</v>
      </c>
      <c r="M850" s="16">
        <f t="shared" si="130"/>
        <v>20</v>
      </c>
      <c r="N850" s="15">
        <f>4000-800+1800-1000</f>
        <v>4000</v>
      </c>
      <c r="O850" s="15">
        <v>5000</v>
      </c>
      <c r="P850" s="15">
        <f t="shared" si="137"/>
        <v>20000000</v>
      </c>
      <c r="Q850" s="15" t="str">
        <f t="shared" si="136"/>
        <v>Done</v>
      </c>
      <c r="R850" s="18" t="s">
        <v>44</v>
      </c>
      <c r="S850" s="23">
        <v>43539</v>
      </c>
      <c r="T850" s="20">
        <f>IFERROR(VLOOKUP(S850,'Date Converter'!$A$4:$C$368,3,0),"")</f>
        <v>43574</v>
      </c>
      <c r="U850" s="21">
        <f t="shared" si="135"/>
        <v>43574</v>
      </c>
      <c r="V850" s="12" t="s">
        <v>57</v>
      </c>
      <c r="Y850" s="15"/>
      <c r="Z850" s="206">
        <v>43588</v>
      </c>
      <c r="AA850" s="15">
        <v>4000</v>
      </c>
      <c r="AB850" s="206"/>
      <c r="AC850" s="15"/>
      <c r="AD850" s="206"/>
      <c r="AE850" s="15"/>
      <c r="AF850" s="244"/>
      <c r="AG850" s="15"/>
      <c r="AH850" s="15">
        <f t="shared" si="131"/>
        <v>4000</v>
      </c>
      <c r="AI850" s="22">
        <f t="shared" si="132"/>
        <v>0</v>
      </c>
      <c r="AJ850" s="22">
        <f t="shared" si="133"/>
        <v>0</v>
      </c>
      <c r="AK850" s="165"/>
    </row>
    <row r="851" spans="1:37" s="165" customFormat="1" hidden="1">
      <c r="A851" s="165" t="s">
        <v>292</v>
      </c>
      <c r="B851" s="13">
        <v>43578</v>
      </c>
      <c r="C851" s="13" t="s">
        <v>23</v>
      </c>
      <c r="D851" s="165" t="s">
        <v>24</v>
      </c>
      <c r="E851" s="198" t="s">
        <v>25</v>
      </c>
      <c r="F851" s="165" t="str">
        <f t="shared" si="129"/>
        <v>CONC_16.18_200_NL2018</v>
      </c>
      <c r="G851" s="165" t="s">
        <v>40</v>
      </c>
      <c r="H851" s="12"/>
      <c r="I851" s="12" t="s">
        <v>35</v>
      </c>
      <c r="J851" s="14">
        <v>200</v>
      </c>
      <c r="K851" s="15" t="s">
        <v>28</v>
      </c>
      <c r="L851" s="15"/>
      <c r="M851" s="16">
        <f t="shared" si="130"/>
        <v>50</v>
      </c>
      <c r="N851" s="196">
        <v>10000</v>
      </c>
      <c r="O851" s="15">
        <f>6200+299</f>
        <v>6499</v>
      </c>
      <c r="P851" s="15">
        <f t="shared" si="137"/>
        <v>64990000</v>
      </c>
      <c r="Q851" s="15" t="str">
        <f t="shared" si="136"/>
        <v/>
      </c>
      <c r="R851" s="18" t="s">
        <v>63</v>
      </c>
      <c r="S851" s="23">
        <v>43590</v>
      </c>
      <c r="T851" s="20">
        <f>IFERROR(VLOOKUP(S851,'Date Converter'!$A$4:$C$368,3,0),"")</f>
        <v>43623</v>
      </c>
      <c r="U851" s="21">
        <f t="shared" si="135"/>
        <v>43623</v>
      </c>
      <c r="V851" s="12" t="s">
        <v>1454</v>
      </c>
      <c r="W851" s="18"/>
      <c r="X851" s="18"/>
      <c r="Y851" s="15"/>
      <c r="Z851" s="206">
        <v>43631</v>
      </c>
      <c r="AA851" s="15">
        <v>5000</v>
      </c>
      <c r="AB851" s="206"/>
      <c r="AC851" s="15"/>
      <c r="AD851" s="206"/>
      <c r="AE851" s="15"/>
      <c r="AF851" s="244"/>
      <c r="AG851" s="15"/>
      <c r="AH851" s="15">
        <f t="shared" si="131"/>
        <v>5000</v>
      </c>
      <c r="AI851" s="22">
        <f t="shared" si="132"/>
        <v>5000</v>
      </c>
      <c r="AJ851" s="22">
        <f t="shared" si="133"/>
        <v>32495000</v>
      </c>
    </row>
    <row r="852" spans="1:37" s="183" customFormat="1" hidden="1">
      <c r="A852" s="165" t="s">
        <v>293</v>
      </c>
      <c r="B852" s="13">
        <v>43538</v>
      </c>
      <c r="C852" s="266" t="s">
        <v>23</v>
      </c>
      <c r="D852" s="258" t="s">
        <v>24</v>
      </c>
      <c r="E852" s="198" t="s">
        <v>25</v>
      </c>
      <c r="F852" s="165" t="str">
        <f t="shared" si="129"/>
        <v>CONC_18.20_150_NL2018</v>
      </c>
      <c r="G852" s="165" t="s">
        <v>40</v>
      </c>
      <c r="H852" s="12"/>
      <c r="I852" s="12" t="s">
        <v>27</v>
      </c>
      <c r="J852" s="14">
        <v>150</v>
      </c>
      <c r="K852" s="15" t="s">
        <v>28</v>
      </c>
      <c r="L852" s="15"/>
      <c r="M852" s="16">
        <f t="shared" si="130"/>
        <v>87</v>
      </c>
      <c r="N852" s="17">
        <v>13050</v>
      </c>
      <c r="O852" s="15">
        <v>7500</v>
      </c>
      <c r="P852" s="15">
        <f t="shared" si="137"/>
        <v>97875000</v>
      </c>
      <c r="Q852" s="15" t="str">
        <f t="shared" si="136"/>
        <v/>
      </c>
      <c r="R852" s="18" t="s">
        <v>29</v>
      </c>
      <c r="S852" s="23">
        <v>43709</v>
      </c>
      <c r="T852" s="20">
        <f>IFERROR(VLOOKUP(S852,'Date Converter'!$A$4:$C$368,3,0),"")</f>
        <v>43737</v>
      </c>
      <c r="U852" s="21">
        <f t="shared" si="135"/>
        <v>43737</v>
      </c>
      <c r="V852" s="20" t="s">
        <v>42</v>
      </c>
      <c r="W852" s="18"/>
      <c r="X852" s="18"/>
      <c r="Y852" s="15"/>
      <c r="Z852" s="206"/>
      <c r="AA852" s="15">
        <v>0</v>
      </c>
      <c r="AB852" s="206"/>
      <c r="AC852" s="15"/>
      <c r="AD852" s="206"/>
      <c r="AE852" s="15"/>
      <c r="AF852" s="244"/>
      <c r="AG852" s="15"/>
      <c r="AH852" s="15">
        <f t="shared" si="131"/>
        <v>0</v>
      </c>
      <c r="AI852" s="22">
        <f t="shared" si="132"/>
        <v>13050</v>
      </c>
      <c r="AJ852" s="22">
        <f t="shared" si="133"/>
        <v>97875000</v>
      </c>
      <c r="AK852" s="165"/>
    </row>
    <row r="853" spans="1:37" hidden="1">
      <c r="A853" s="165" t="s">
        <v>292</v>
      </c>
      <c r="B853" s="13">
        <v>43461</v>
      </c>
      <c r="C853" s="13" t="s">
        <v>23</v>
      </c>
      <c r="D853" s="165" t="s">
        <v>24</v>
      </c>
      <c r="E853" s="165" t="s">
        <v>25</v>
      </c>
      <c r="F853" s="165" t="str">
        <f t="shared" si="129"/>
        <v>CONC_16.18_200_NL2018</v>
      </c>
      <c r="G853" s="165" t="s">
        <v>40</v>
      </c>
      <c r="I853" s="12" t="s">
        <v>35</v>
      </c>
      <c r="J853" s="14">
        <v>200</v>
      </c>
      <c r="K853" s="15" t="s">
        <v>28</v>
      </c>
      <c r="M853" s="16">
        <f t="shared" si="130"/>
        <v>25</v>
      </c>
      <c r="N853" s="17">
        <f>4200+800</f>
        <v>5000</v>
      </c>
      <c r="O853" s="15">
        <v>4600</v>
      </c>
      <c r="P853" s="15">
        <f t="shared" si="137"/>
        <v>23000000</v>
      </c>
      <c r="Q853" s="15" t="str">
        <f t="shared" si="136"/>
        <v>Done</v>
      </c>
      <c r="R853" s="18" t="s">
        <v>44</v>
      </c>
      <c r="S853" s="23" t="s">
        <v>53</v>
      </c>
      <c r="T853" s="20">
        <f>IFERROR(VLOOKUP(S853,'Date Converter'!$A$4:$C$368,3,0),"")</f>
        <v>43559</v>
      </c>
      <c r="U853" s="21">
        <f t="shared" si="135"/>
        <v>43559</v>
      </c>
      <c r="V853" s="20" t="s">
        <v>54</v>
      </c>
      <c r="W853" s="18" t="s">
        <v>55</v>
      </c>
      <c r="X853" s="18">
        <v>43555</v>
      </c>
      <c r="Y853" s="15"/>
      <c r="Z853" s="206">
        <v>43570</v>
      </c>
      <c r="AA853" s="15">
        <v>5000</v>
      </c>
      <c r="AB853" s="206"/>
      <c r="AC853" s="15"/>
      <c r="AD853" s="206"/>
      <c r="AE853" s="15"/>
      <c r="AF853" s="244"/>
      <c r="AG853" s="15"/>
      <c r="AH853" s="15">
        <f t="shared" si="131"/>
        <v>5000</v>
      </c>
      <c r="AI853" s="22">
        <f t="shared" si="132"/>
        <v>0</v>
      </c>
      <c r="AJ853" s="22">
        <f t="shared" si="133"/>
        <v>0</v>
      </c>
      <c r="AK853" s="165"/>
    </row>
    <row r="854" spans="1:37" s="165" customFormat="1" hidden="1">
      <c r="A854" s="165" t="s">
        <v>292</v>
      </c>
      <c r="B854" s="13">
        <v>43461</v>
      </c>
      <c r="C854" s="13" t="s">
        <v>23</v>
      </c>
      <c r="D854" s="165" t="s">
        <v>24</v>
      </c>
      <c r="E854" s="165" t="s">
        <v>25</v>
      </c>
      <c r="F854" s="165" t="str">
        <f t="shared" si="129"/>
        <v>COMP_16.18_200_NL2018</v>
      </c>
      <c r="G854" s="165" t="s">
        <v>38</v>
      </c>
      <c r="H854" s="12"/>
      <c r="I854" s="12" t="s">
        <v>35</v>
      </c>
      <c r="J854" s="14">
        <v>200</v>
      </c>
      <c r="K854" s="15" t="s">
        <v>28</v>
      </c>
      <c r="L854" s="15"/>
      <c r="M854" s="16">
        <f t="shared" si="130"/>
        <v>90</v>
      </c>
      <c r="N854" s="15">
        <v>18000</v>
      </c>
      <c r="O854" s="15">
        <v>6700</v>
      </c>
      <c r="P854" s="15">
        <f t="shared" si="137"/>
        <v>120600000</v>
      </c>
      <c r="Q854" s="15" t="str">
        <f t="shared" si="136"/>
        <v>Done</v>
      </c>
      <c r="R854" s="18" t="s">
        <v>44</v>
      </c>
      <c r="S854" s="23">
        <v>43511</v>
      </c>
      <c r="T854" s="20">
        <f>IFERROR(VLOOKUP(S854,'Date Converter'!$A$4:$C$368,3,0),"")</f>
        <v>43544</v>
      </c>
      <c r="U854" s="21">
        <f t="shared" si="135"/>
        <v>43544</v>
      </c>
      <c r="V854" s="20" t="s">
        <v>32</v>
      </c>
      <c r="W854" s="18" t="s">
        <v>39</v>
      </c>
      <c r="X854" s="18">
        <v>43541</v>
      </c>
      <c r="Y854" s="15"/>
      <c r="Z854" s="206">
        <v>43545</v>
      </c>
      <c r="AA854" s="15">
        <v>3000</v>
      </c>
      <c r="AB854" s="206">
        <v>43552</v>
      </c>
      <c r="AC854" s="15">
        <v>3000</v>
      </c>
      <c r="AD854" s="206">
        <v>43563</v>
      </c>
      <c r="AE854" s="15">
        <f>7000+5000</f>
        <v>12000</v>
      </c>
      <c r="AF854" s="244"/>
      <c r="AG854" s="15"/>
      <c r="AH854" s="15">
        <f t="shared" si="131"/>
        <v>18000</v>
      </c>
      <c r="AI854" s="22">
        <f t="shared" si="132"/>
        <v>0</v>
      </c>
      <c r="AJ854" s="22">
        <f t="shared" si="133"/>
        <v>0</v>
      </c>
    </row>
    <row r="855" spans="1:37" hidden="1">
      <c r="A855" s="165" t="s">
        <v>292</v>
      </c>
      <c r="B855" s="13">
        <v>43595</v>
      </c>
      <c r="C855" s="13" t="s">
        <v>23</v>
      </c>
      <c r="D855" s="165" t="s">
        <v>24</v>
      </c>
      <c r="E855" s="198" t="s">
        <v>25</v>
      </c>
      <c r="F855" s="165" t="str">
        <f t="shared" si="129"/>
        <v>COMP_16.18_200_NL2018</v>
      </c>
      <c r="G855" s="165" t="s">
        <v>38</v>
      </c>
      <c r="I855" s="12" t="s">
        <v>35</v>
      </c>
      <c r="J855" s="14">
        <v>200</v>
      </c>
      <c r="K855" s="15" t="s">
        <v>28</v>
      </c>
      <c r="M855" s="16">
        <f t="shared" si="130"/>
        <v>15</v>
      </c>
      <c r="N855" s="196">
        <v>3000</v>
      </c>
      <c r="O855" s="15">
        <v>7100</v>
      </c>
      <c r="P855" s="15">
        <f t="shared" si="137"/>
        <v>21300000</v>
      </c>
      <c r="Q855" s="15" t="str">
        <f t="shared" si="136"/>
        <v/>
      </c>
      <c r="R855" s="18" t="s">
        <v>63</v>
      </c>
      <c r="S855" s="23">
        <v>43590</v>
      </c>
      <c r="T855" s="20">
        <f>IFERROR(VLOOKUP(S855,'Date Converter'!$A$4:$C$368,3,0),"")</f>
        <v>43623</v>
      </c>
      <c r="U855" s="21">
        <f t="shared" si="135"/>
        <v>43623</v>
      </c>
      <c r="Y855" s="15"/>
      <c r="AA855" s="15"/>
      <c r="AB855" s="206"/>
      <c r="AC855" s="15"/>
      <c r="AD855" s="206"/>
      <c r="AE855" s="15"/>
      <c r="AF855" s="244"/>
      <c r="AG855" s="15"/>
      <c r="AH855" s="15">
        <f t="shared" si="131"/>
        <v>0</v>
      </c>
      <c r="AI855" s="22">
        <f t="shared" si="132"/>
        <v>3000</v>
      </c>
      <c r="AJ855" s="22">
        <f t="shared" si="133"/>
        <v>21300000</v>
      </c>
      <c r="AK855" s="165"/>
    </row>
    <row r="856" spans="1:37" hidden="1">
      <c r="A856" t="s">
        <v>292</v>
      </c>
      <c r="B856" s="13">
        <v>43461</v>
      </c>
      <c r="C856" s="13" t="s">
        <v>23</v>
      </c>
      <c r="D856" t="s">
        <v>24</v>
      </c>
      <c r="E856" s="198" t="s">
        <v>25</v>
      </c>
      <c r="F856" s="165" t="str">
        <f t="shared" si="129"/>
        <v>CARB_16.18_200_NL2018</v>
      </c>
      <c r="G856" s="165" t="s">
        <v>34</v>
      </c>
      <c r="I856" s="12" t="s">
        <v>35</v>
      </c>
      <c r="J856" s="14">
        <v>200</v>
      </c>
      <c r="K856" s="15" t="s">
        <v>28</v>
      </c>
      <c r="M856" s="16">
        <f t="shared" si="130"/>
        <v>25</v>
      </c>
      <c r="N856" s="196">
        <v>5000</v>
      </c>
      <c r="O856" s="15">
        <f>6000+171</f>
        <v>6171</v>
      </c>
      <c r="P856" s="15">
        <f t="shared" si="137"/>
        <v>30855000</v>
      </c>
      <c r="Q856" s="15" t="str">
        <f t="shared" si="136"/>
        <v/>
      </c>
      <c r="R856" s="18" t="s">
        <v>63</v>
      </c>
      <c r="S856" s="23">
        <v>43572</v>
      </c>
      <c r="T856" s="20">
        <f>IFERROR(VLOOKUP(S856,'Date Converter'!$A$4:$C$368,3,0),"")</f>
        <v>43606</v>
      </c>
      <c r="U856" s="21">
        <f t="shared" si="135"/>
        <v>43606</v>
      </c>
      <c r="V856" s="20" t="s">
        <v>36</v>
      </c>
      <c r="Y856" s="15"/>
      <c r="Z856" s="206">
        <v>43627</v>
      </c>
      <c r="AA856" s="15">
        <v>3000</v>
      </c>
      <c r="AB856" s="206"/>
      <c r="AC856" s="15"/>
      <c r="AD856" s="206"/>
      <c r="AE856" s="15"/>
      <c r="AF856" s="244"/>
      <c r="AG856" s="15"/>
      <c r="AH856" s="15">
        <f t="shared" si="131"/>
        <v>3000</v>
      </c>
      <c r="AI856" s="22">
        <f t="shared" si="132"/>
        <v>2000</v>
      </c>
      <c r="AJ856" s="22">
        <f t="shared" si="133"/>
        <v>12342000</v>
      </c>
      <c r="AK856" s="165"/>
    </row>
    <row r="857" spans="1:37" hidden="1">
      <c r="A857" s="165" t="s">
        <v>292</v>
      </c>
      <c r="B857" s="13">
        <v>43578</v>
      </c>
      <c r="C857" s="13" t="s">
        <v>23</v>
      </c>
      <c r="D857" s="165" t="s">
        <v>24</v>
      </c>
      <c r="E857" s="198" t="s">
        <v>25</v>
      </c>
      <c r="F857" s="165" t="str">
        <f t="shared" si="129"/>
        <v>CARB_16.18_200_NL2018</v>
      </c>
      <c r="G857" s="165" t="s">
        <v>34</v>
      </c>
      <c r="I857" s="12" t="s">
        <v>35</v>
      </c>
      <c r="J857" s="14">
        <v>200</v>
      </c>
      <c r="K857" s="15" t="s">
        <v>28</v>
      </c>
      <c r="M857" s="16">
        <f t="shared" si="130"/>
        <v>25</v>
      </c>
      <c r="N857" s="196">
        <v>5000</v>
      </c>
      <c r="O857" s="15">
        <f>6000+299</f>
        <v>6299</v>
      </c>
      <c r="P857" s="15">
        <f t="shared" si="137"/>
        <v>31495000</v>
      </c>
      <c r="Q857" s="15" t="str">
        <f t="shared" si="136"/>
        <v/>
      </c>
      <c r="R857" s="18" t="s">
        <v>63</v>
      </c>
      <c r="S857" s="23">
        <v>43590</v>
      </c>
      <c r="T857" s="20">
        <f>IFERROR(VLOOKUP(S857,'Date Converter'!$A$4:$C$368,3,0),"")</f>
        <v>43623</v>
      </c>
      <c r="U857" s="21">
        <f t="shared" si="135"/>
        <v>43623</v>
      </c>
      <c r="V857" s="12" t="s">
        <v>1454</v>
      </c>
      <c r="Y857" s="15"/>
      <c r="AA857" s="15"/>
      <c r="AB857" s="206"/>
      <c r="AC857" s="15"/>
      <c r="AD857" s="206"/>
      <c r="AE857" s="15"/>
      <c r="AF857" s="244"/>
      <c r="AG857" s="15"/>
      <c r="AH857" s="15">
        <f t="shared" si="131"/>
        <v>0</v>
      </c>
      <c r="AI857" s="22">
        <f t="shared" si="132"/>
        <v>5000</v>
      </c>
      <c r="AJ857" s="22">
        <f t="shared" si="133"/>
        <v>31495000</v>
      </c>
      <c r="AK857" s="165"/>
    </row>
    <row r="858" spans="1:37" hidden="1">
      <c r="A858" s="28" t="s">
        <v>1362</v>
      </c>
      <c r="B858" s="26">
        <v>43461</v>
      </c>
      <c r="C858" s="26" t="s">
        <v>23</v>
      </c>
      <c r="D858" s="28" t="s">
        <v>24</v>
      </c>
      <c r="E858" s="202" t="s">
        <v>25</v>
      </c>
      <c r="F858" s="28" t="str">
        <f t="shared" si="129"/>
        <v>CARB_16.18_200_NL2018</v>
      </c>
      <c r="G858" s="28" t="s">
        <v>34</v>
      </c>
      <c r="H858" s="27"/>
      <c r="I858" s="27" t="s">
        <v>35</v>
      </c>
      <c r="J858" s="29">
        <v>200</v>
      </c>
      <c r="K858" s="25" t="s">
        <v>28</v>
      </c>
      <c r="L858" s="25"/>
      <c r="M858" s="82">
        <f t="shared" si="130"/>
        <v>0</v>
      </c>
      <c r="N858" s="195">
        <f>5000-5000</f>
        <v>0</v>
      </c>
      <c r="O858" s="25">
        <v>6000</v>
      </c>
      <c r="P858" s="25">
        <f t="shared" si="137"/>
        <v>0</v>
      </c>
      <c r="Q858" s="15" t="str">
        <f t="shared" si="136"/>
        <v>Canceled</v>
      </c>
      <c r="R858" s="118" t="s">
        <v>71</v>
      </c>
      <c r="S858" s="197">
        <v>43647</v>
      </c>
      <c r="T858" s="20">
        <f>IFERROR(VLOOKUP(S858,'Date Converter'!$A$4:$C$368,3,0),"")</f>
        <v>43678</v>
      </c>
      <c r="U858" s="21">
        <f t="shared" si="135"/>
        <v>43678</v>
      </c>
      <c r="V858" s="20" t="s">
        <v>37</v>
      </c>
      <c r="Y858" s="15"/>
      <c r="AA858" s="15">
        <v>0</v>
      </c>
      <c r="AB858" s="206"/>
      <c r="AC858" s="15"/>
      <c r="AD858" s="206"/>
      <c r="AE858" s="15"/>
      <c r="AF858" s="244"/>
      <c r="AG858" s="15"/>
      <c r="AH858" s="15">
        <f t="shared" si="131"/>
        <v>0</v>
      </c>
      <c r="AI858" s="22">
        <f t="shared" si="132"/>
        <v>0</v>
      </c>
      <c r="AJ858" s="22">
        <f t="shared" si="133"/>
        <v>0</v>
      </c>
      <c r="AK858" s="165"/>
    </row>
    <row r="859" spans="1:37" hidden="1">
      <c r="A859" t="s">
        <v>292</v>
      </c>
      <c r="B859" s="13">
        <v>43461</v>
      </c>
      <c r="C859" s="13" t="s">
        <v>23</v>
      </c>
      <c r="D859" t="s">
        <v>24</v>
      </c>
      <c r="E859" s="165" t="s">
        <v>25</v>
      </c>
      <c r="F859" t="str">
        <f t="shared" si="129"/>
        <v>BORR_18.20_150_NL2018</v>
      </c>
      <c r="G859" s="165" t="s">
        <v>26</v>
      </c>
      <c r="I859" s="12" t="s">
        <v>27</v>
      </c>
      <c r="J859" s="14">
        <v>150</v>
      </c>
      <c r="K859" s="15" t="s">
        <v>28</v>
      </c>
      <c r="M859" s="16">
        <f t="shared" si="130"/>
        <v>20</v>
      </c>
      <c r="N859" s="15">
        <v>3000</v>
      </c>
      <c r="O859" s="15">
        <v>6200</v>
      </c>
      <c r="P859" s="15">
        <f t="shared" si="137"/>
        <v>18600000</v>
      </c>
      <c r="Q859" s="15" t="str">
        <f t="shared" si="136"/>
        <v>Done</v>
      </c>
      <c r="R859" s="18" t="s">
        <v>44</v>
      </c>
      <c r="S859" s="23">
        <v>43511</v>
      </c>
      <c r="T859" s="20">
        <f>IFERROR(VLOOKUP(S859,'Date Converter'!$A$4:$C$368,3,0),"")</f>
        <v>43544</v>
      </c>
      <c r="U859" s="21">
        <f t="shared" si="135"/>
        <v>43544</v>
      </c>
      <c r="V859" s="20" t="s">
        <v>32</v>
      </c>
      <c r="W859" s="18" t="s">
        <v>33</v>
      </c>
      <c r="X859" s="18">
        <v>43541</v>
      </c>
      <c r="Y859" s="15"/>
      <c r="Z859" s="206">
        <v>43552</v>
      </c>
      <c r="AA859" s="15">
        <v>3000</v>
      </c>
      <c r="AB859" s="206"/>
      <c r="AC859" s="15"/>
      <c r="AD859" s="206"/>
      <c r="AE859" s="15"/>
      <c r="AF859" s="244"/>
      <c r="AG859" s="15"/>
      <c r="AH859" s="15">
        <f t="shared" si="131"/>
        <v>3000</v>
      </c>
      <c r="AI859" s="22">
        <f t="shared" si="132"/>
        <v>0</v>
      </c>
      <c r="AJ859" s="22">
        <f t="shared" si="133"/>
        <v>0</v>
      </c>
      <c r="AK859" s="165"/>
    </row>
    <row r="860" spans="1:37" hidden="1">
      <c r="A860" s="165" t="s">
        <v>292</v>
      </c>
      <c r="B860" s="13">
        <v>43578</v>
      </c>
      <c r="C860" s="13" t="s">
        <v>23</v>
      </c>
      <c r="D860" s="165" t="s">
        <v>24</v>
      </c>
      <c r="E860" s="198" t="s">
        <v>25</v>
      </c>
      <c r="F860" s="165" t="str">
        <f t="shared" si="129"/>
        <v>BORR_18.20_150_NL2018</v>
      </c>
      <c r="G860" s="165" t="s">
        <v>26</v>
      </c>
      <c r="I860" s="12" t="s">
        <v>27</v>
      </c>
      <c r="J860" s="14">
        <v>150</v>
      </c>
      <c r="K860" s="15" t="s">
        <v>28</v>
      </c>
      <c r="M860" s="16">
        <f t="shared" si="130"/>
        <v>47</v>
      </c>
      <c r="N860" s="196">
        <v>7050</v>
      </c>
      <c r="O860" s="15">
        <f>6200+228</f>
        <v>6428</v>
      </c>
      <c r="P860" s="15">
        <f t="shared" si="137"/>
        <v>45317400</v>
      </c>
      <c r="Q860" s="15" t="str">
        <f t="shared" si="136"/>
        <v/>
      </c>
      <c r="R860" s="18" t="s">
        <v>63</v>
      </c>
      <c r="S860" s="23">
        <v>43590</v>
      </c>
      <c r="T860" s="20">
        <f>IFERROR(VLOOKUP(S860,'Date Converter'!$A$4:$C$368,3,0),"")</f>
        <v>43623</v>
      </c>
      <c r="U860" s="21">
        <f t="shared" si="135"/>
        <v>43623</v>
      </c>
      <c r="V860" s="12" t="s">
        <v>1454</v>
      </c>
      <c r="Y860" s="15"/>
      <c r="AA860" s="15">
        <v>0</v>
      </c>
      <c r="AB860" s="206"/>
      <c r="AC860" s="15"/>
      <c r="AD860" s="206"/>
      <c r="AE860" s="15"/>
      <c r="AF860" s="244"/>
      <c r="AG860" s="15"/>
      <c r="AH860" s="15">
        <f t="shared" si="131"/>
        <v>0</v>
      </c>
      <c r="AI860" s="22">
        <f t="shared" si="132"/>
        <v>7050</v>
      </c>
      <c r="AJ860" s="22">
        <f t="shared" si="133"/>
        <v>45317400</v>
      </c>
      <c r="AK860" s="165"/>
    </row>
    <row r="861" spans="1:37" hidden="1">
      <c r="A861" t="s">
        <v>1357</v>
      </c>
      <c r="B861" s="13">
        <v>43499</v>
      </c>
      <c r="C861" s="266" t="s">
        <v>23</v>
      </c>
      <c r="D861" s="258" t="s">
        <v>65</v>
      </c>
      <c r="E861" s="198" t="s">
        <v>66</v>
      </c>
      <c r="F861" t="str">
        <f t="shared" si="129"/>
        <v>ROBI_20.22_125_NL2018</v>
      </c>
      <c r="G861" s="165" t="s">
        <v>1461</v>
      </c>
      <c r="I861" s="12" t="s">
        <v>74</v>
      </c>
      <c r="J861" s="14">
        <v>125</v>
      </c>
      <c r="K861" s="15" t="s">
        <v>28</v>
      </c>
      <c r="L861" s="15" t="s">
        <v>424</v>
      </c>
      <c r="M861" s="16">
        <f t="shared" si="130"/>
        <v>80</v>
      </c>
      <c r="N861" s="15">
        <v>10000</v>
      </c>
      <c r="O861" s="15">
        <v>10500</v>
      </c>
      <c r="P861" s="15">
        <f t="shared" si="137"/>
        <v>105000000</v>
      </c>
      <c r="Q861" s="15" t="str">
        <f t="shared" si="136"/>
        <v/>
      </c>
      <c r="R861" s="18" t="s">
        <v>29</v>
      </c>
      <c r="S861" s="23">
        <v>43709</v>
      </c>
      <c r="T861" s="20">
        <f>IFERROR(VLOOKUP(S861,'Date Converter'!$A$4:$C$368,3,0),"")</f>
        <v>43737</v>
      </c>
      <c r="U861" s="21">
        <f t="shared" si="135"/>
        <v>43737</v>
      </c>
      <c r="V861" s="15" t="s">
        <v>51</v>
      </c>
      <c r="Y861" s="15"/>
      <c r="AA861" s="15">
        <v>0</v>
      </c>
      <c r="AB861" s="206"/>
      <c r="AC861" s="15"/>
      <c r="AD861" s="206"/>
      <c r="AE861" s="15"/>
      <c r="AF861" s="244"/>
      <c r="AG861" s="15"/>
      <c r="AH861" s="15">
        <f t="shared" si="131"/>
        <v>0</v>
      </c>
      <c r="AI861" s="22">
        <f t="shared" si="132"/>
        <v>10000</v>
      </c>
      <c r="AJ861" s="22">
        <f t="shared" si="133"/>
        <v>105000000</v>
      </c>
      <c r="AK861" s="165"/>
    </row>
    <row r="862" spans="1:37" hidden="1">
      <c r="A862" s="165" t="s">
        <v>1357</v>
      </c>
      <c r="B862" s="13">
        <v>43499</v>
      </c>
      <c r="C862" s="266" t="s">
        <v>23</v>
      </c>
      <c r="D862" s="258" t="s">
        <v>65</v>
      </c>
      <c r="E862" s="198" t="s">
        <v>66</v>
      </c>
      <c r="F862" s="165" t="str">
        <f t="shared" si="129"/>
        <v>ROBI_18.20_150_NL2018</v>
      </c>
      <c r="G862" s="165" t="s">
        <v>1460</v>
      </c>
      <c r="I862" s="12" t="s">
        <v>27</v>
      </c>
      <c r="J862" s="14">
        <v>150</v>
      </c>
      <c r="K862" s="15" t="s">
        <v>28</v>
      </c>
      <c r="L862" s="15" t="s">
        <v>136</v>
      </c>
      <c r="M862" s="16">
        <f t="shared" si="130"/>
        <v>67</v>
      </c>
      <c r="N862" s="15">
        <v>10050</v>
      </c>
      <c r="O862" s="15">
        <v>7200</v>
      </c>
      <c r="P862" s="15">
        <f t="shared" si="137"/>
        <v>72360000</v>
      </c>
      <c r="Q862" s="15" t="str">
        <f t="shared" si="136"/>
        <v/>
      </c>
      <c r="R862" s="18" t="s">
        <v>29</v>
      </c>
      <c r="S862" s="23">
        <v>43709</v>
      </c>
      <c r="T862" s="20">
        <f>IFERROR(VLOOKUP(S862,'Date Converter'!$A$4:$C$368,3,0),"")</f>
        <v>43737</v>
      </c>
      <c r="U862" s="21">
        <f t="shared" si="135"/>
        <v>43737</v>
      </c>
      <c r="V862" s="15" t="s">
        <v>51</v>
      </c>
      <c r="Y862" s="15"/>
      <c r="AA862" s="15">
        <v>0</v>
      </c>
      <c r="AB862" s="206"/>
      <c r="AC862" s="15"/>
      <c r="AD862" s="206"/>
      <c r="AE862" s="15"/>
      <c r="AF862" s="244"/>
      <c r="AG862" s="15"/>
      <c r="AH862" s="15">
        <f t="shared" si="131"/>
        <v>0</v>
      </c>
      <c r="AI862" s="22">
        <f t="shared" si="132"/>
        <v>10050</v>
      </c>
      <c r="AJ862" s="22">
        <f t="shared" si="133"/>
        <v>72360000</v>
      </c>
      <c r="AK862" s="165"/>
    </row>
    <row r="863" spans="1:37" hidden="1">
      <c r="A863" s="165" t="s">
        <v>294</v>
      </c>
      <c r="B863" s="13">
        <v>43499</v>
      </c>
      <c r="C863" s="13" t="s">
        <v>23</v>
      </c>
      <c r="D863" s="165" t="s">
        <v>65</v>
      </c>
      <c r="E863" s="198" t="s">
        <v>66</v>
      </c>
      <c r="F863" s="165" t="str">
        <f t="shared" si="129"/>
        <v>ROBI_18.20_150_NL2018</v>
      </c>
      <c r="G863" s="165" t="s">
        <v>61</v>
      </c>
      <c r="I863" s="12" t="s">
        <v>27</v>
      </c>
      <c r="J863" s="14">
        <v>150</v>
      </c>
      <c r="K863" s="15" t="s">
        <v>28</v>
      </c>
      <c r="L863" s="15" t="s">
        <v>136</v>
      </c>
      <c r="M863" s="16">
        <f t="shared" si="130"/>
        <v>267</v>
      </c>
      <c r="N863" s="15">
        <v>40050</v>
      </c>
      <c r="O863" s="15">
        <f>6300+228</f>
        <v>6528</v>
      </c>
      <c r="P863" s="15">
        <f t="shared" si="137"/>
        <v>261446400</v>
      </c>
      <c r="Q863" s="15" t="str">
        <f t="shared" si="136"/>
        <v/>
      </c>
      <c r="R863" s="18" t="s">
        <v>63</v>
      </c>
      <c r="S863" s="23">
        <v>43572</v>
      </c>
      <c r="T863" s="20">
        <f>IFERROR(VLOOKUP(S863,'Date Converter'!$A$4:$C$368,3,0),"")</f>
        <v>43606</v>
      </c>
      <c r="U863" s="21">
        <f t="shared" si="135"/>
        <v>43606</v>
      </c>
      <c r="V863" s="12" t="s">
        <v>1416</v>
      </c>
      <c r="Y863" s="15"/>
      <c r="Z863" s="206">
        <v>43638</v>
      </c>
      <c r="AA863" s="15">
        <v>5100</v>
      </c>
      <c r="AB863" s="206"/>
      <c r="AC863" s="15"/>
      <c r="AD863" s="206"/>
      <c r="AE863" s="15"/>
      <c r="AF863" s="244"/>
      <c r="AG863" s="15"/>
      <c r="AH863" s="15">
        <f t="shared" si="131"/>
        <v>5100</v>
      </c>
      <c r="AI863" s="22">
        <f t="shared" si="132"/>
        <v>34950</v>
      </c>
      <c r="AJ863" s="22">
        <f t="shared" si="133"/>
        <v>228153600</v>
      </c>
      <c r="AK863" s="165"/>
    </row>
    <row r="864" spans="1:37" s="165" customFormat="1" hidden="1">
      <c r="A864" s="165" t="s">
        <v>294</v>
      </c>
      <c r="B864" s="13">
        <v>43499</v>
      </c>
      <c r="C864" s="13" t="s">
        <v>23</v>
      </c>
      <c r="D864" s="165" t="s">
        <v>65</v>
      </c>
      <c r="E864" s="198" t="s">
        <v>66</v>
      </c>
      <c r="F864" s="165" t="str">
        <f t="shared" si="129"/>
        <v>ROBI_18.20_150_NL2018</v>
      </c>
      <c r="G864" s="165" t="s">
        <v>61</v>
      </c>
      <c r="H864" s="12"/>
      <c r="I864" s="12" t="s">
        <v>27</v>
      </c>
      <c r="J864" s="14">
        <v>150</v>
      </c>
      <c r="K864" s="15" t="s">
        <v>28</v>
      </c>
      <c r="L864" s="15"/>
      <c r="M864" s="16">
        <f t="shared" si="130"/>
        <v>200</v>
      </c>
      <c r="N864" s="15">
        <v>30000</v>
      </c>
      <c r="O864" s="15">
        <f>6300+655</f>
        <v>6955</v>
      </c>
      <c r="P864" s="15">
        <f t="shared" si="137"/>
        <v>208650000</v>
      </c>
      <c r="Q864" s="15" t="str">
        <f t="shared" si="136"/>
        <v/>
      </c>
      <c r="R864" s="18" t="s">
        <v>29</v>
      </c>
      <c r="S864" s="19">
        <v>43678</v>
      </c>
      <c r="T864" s="20">
        <f>IFERROR(VLOOKUP(S864,'Date Converter'!$A$4:$C$368,3,0),"")</f>
        <v>43707</v>
      </c>
      <c r="U864" s="21">
        <f t="shared" si="135"/>
        <v>43707</v>
      </c>
      <c r="V864" s="20" t="s">
        <v>73</v>
      </c>
      <c r="W864" s="18"/>
      <c r="X864" s="18"/>
      <c r="Y864" s="15"/>
      <c r="Z864" s="206"/>
      <c r="AA864" s="15">
        <v>0</v>
      </c>
      <c r="AB864" s="206"/>
      <c r="AC864" s="15"/>
      <c r="AD864" s="206"/>
      <c r="AE864" s="15"/>
      <c r="AF864" s="244"/>
      <c r="AG864" s="15"/>
      <c r="AH864" s="15">
        <f t="shared" si="131"/>
        <v>0</v>
      </c>
      <c r="AI864" s="22">
        <f t="shared" si="132"/>
        <v>30000</v>
      </c>
      <c r="AJ864" s="22">
        <f t="shared" si="133"/>
        <v>208650000</v>
      </c>
    </row>
    <row r="865" spans="1:38" hidden="1">
      <c r="A865" s="165" t="s">
        <v>294</v>
      </c>
      <c r="B865" s="13">
        <v>43499</v>
      </c>
      <c r="C865" s="13" t="s">
        <v>23</v>
      </c>
      <c r="D865" s="165" t="s">
        <v>65</v>
      </c>
      <c r="E865" s="198" t="s">
        <v>66</v>
      </c>
      <c r="F865" s="165" t="str">
        <f t="shared" si="129"/>
        <v>ROBI_18.20_150_NL2018</v>
      </c>
      <c r="G865" s="165" t="s">
        <v>61</v>
      </c>
      <c r="I865" s="12" t="s">
        <v>27</v>
      </c>
      <c r="J865" s="14">
        <v>150</v>
      </c>
      <c r="K865" s="15" t="s">
        <v>28</v>
      </c>
      <c r="M865" s="16">
        <f t="shared" si="130"/>
        <v>33</v>
      </c>
      <c r="N865" s="15">
        <v>4950</v>
      </c>
      <c r="O865" s="15">
        <v>6300</v>
      </c>
      <c r="P865" s="15">
        <f t="shared" si="137"/>
        <v>31185000</v>
      </c>
      <c r="Q865" s="15" t="str">
        <f t="shared" si="136"/>
        <v>Done</v>
      </c>
      <c r="R865" s="18" t="s">
        <v>44</v>
      </c>
      <c r="S865" s="23" t="s">
        <v>53</v>
      </c>
      <c r="T865" s="20">
        <f>IFERROR(VLOOKUP(S865,'Date Converter'!$A$4:$C$368,3,0),"")</f>
        <v>43559</v>
      </c>
      <c r="U865" s="21">
        <f t="shared" si="135"/>
        <v>43559</v>
      </c>
      <c r="V865" s="20" t="s">
        <v>54</v>
      </c>
      <c r="W865" s="18" t="s">
        <v>72</v>
      </c>
      <c r="X865" s="18">
        <v>43555</v>
      </c>
      <c r="Y865" s="15"/>
      <c r="Z865" s="206">
        <v>43588</v>
      </c>
      <c r="AA865" s="15">
        <v>300</v>
      </c>
      <c r="AB865" s="206">
        <v>43609</v>
      </c>
      <c r="AC865" s="15">
        <v>4650</v>
      </c>
      <c r="AD865" s="206"/>
      <c r="AE865" s="15"/>
      <c r="AF865" s="244"/>
      <c r="AG865" s="15"/>
      <c r="AH865" s="15">
        <f t="shared" si="131"/>
        <v>4950</v>
      </c>
      <c r="AI865" s="22">
        <f t="shared" si="132"/>
        <v>0</v>
      </c>
      <c r="AJ865" s="22">
        <f t="shared" si="133"/>
        <v>0</v>
      </c>
      <c r="AK865" s="165"/>
    </row>
    <row r="866" spans="1:38" hidden="1">
      <c r="A866" s="165" t="s">
        <v>294</v>
      </c>
      <c r="B866" s="13">
        <v>43499</v>
      </c>
      <c r="C866" s="13" t="s">
        <v>23</v>
      </c>
      <c r="D866" s="165" t="s">
        <v>65</v>
      </c>
      <c r="E866" s="165" t="s">
        <v>66</v>
      </c>
      <c r="F866" s="165" t="str">
        <f t="shared" si="129"/>
        <v>PROF_16.18_200_NL2018</v>
      </c>
      <c r="G866" s="165" t="s">
        <v>56</v>
      </c>
      <c r="I866" s="12" t="s">
        <v>35</v>
      </c>
      <c r="J866" s="14">
        <v>200</v>
      </c>
      <c r="K866" s="15" t="s">
        <v>28</v>
      </c>
      <c r="M866" s="16">
        <f t="shared" si="130"/>
        <v>64</v>
      </c>
      <c r="N866" s="15">
        <f>15000-2200</f>
        <v>12800</v>
      </c>
      <c r="O866" s="15">
        <v>6700</v>
      </c>
      <c r="P866" s="15">
        <f t="shared" si="137"/>
        <v>85760000</v>
      </c>
      <c r="Q866" s="15" t="str">
        <f t="shared" si="136"/>
        <v>Done</v>
      </c>
      <c r="R866" s="18" t="s">
        <v>44</v>
      </c>
      <c r="S866" s="23">
        <v>43511</v>
      </c>
      <c r="T866" s="20">
        <f>IFERROR(VLOOKUP(S866,'Date Converter'!$A$4:$C$368,3,0),"")</f>
        <v>43544</v>
      </c>
      <c r="U866" s="21">
        <f t="shared" si="135"/>
        <v>43544</v>
      </c>
      <c r="V866" s="12" t="s">
        <v>32</v>
      </c>
      <c r="W866" s="18" t="s">
        <v>33</v>
      </c>
      <c r="X866" s="18">
        <v>43541</v>
      </c>
      <c r="Y866" s="15"/>
      <c r="Z866" s="206">
        <v>43543</v>
      </c>
      <c r="AA866" s="15">
        <v>7800</v>
      </c>
      <c r="AB866" s="206">
        <v>43564</v>
      </c>
      <c r="AC866" s="15">
        <v>5000</v>
      </c>
      <c r="AD866" s="206"/>
      <c r="AE866" s="15"/>
      <c r="AF866" s="244"/>
      <c r="AG866" s="15"/>
      <c r="AH866" s="15">
        <f t="shared" si="131"/>
        <v>12800</v>
      </c>
      <c r="AI866" s="22">
        <f t="shared" si="132"/>
        <v>0</v>
      </c>
      <c r="AJ866" s="22">
        <f t="shared" si="133"/>
        <v>0</v>
      </c>
      <c r="AK866" s="165"/>
    </row>
    <row r="867" spans="1:38" ht="15.75" hidden="1" customHeight="1">
      <c r="A867" s="165" t="s">
        <v>294</v>
      </c>
      <c r="B867" s="13">
        <v>43499</v>
      </c>
      <c r="C867" s="13" t="s">
        <v>23</v>
      </c>
      <c r="D867" s="165" t="s">
        <v>65</v>
      </c>
      <c r="E867" s="165" t="s">
        <v>66</v>
      </c>
      <c r="F867" s="165" t="str">
        <f t="shared" si="129"/>
        <v>DALI_16.18_200_NL2018</v>
      </c>
      <c r="G867" s="165" t="s">
        <v>46</v>
      </c>
      <c r="I867" s="12" t="s">
        <v>35</v>
      </c>
      <c r="J867" s="14">
        <v>200</v>
      </c>
      <c r="K867" s="15" t="s">
        <v>28</v>
      </c>
      <c r="M867" s="16">
        <f t="shared" si="130"/>
        <v>25</v>
      </c>
      <c r="N867" s="15">
        <v>5000</v>
      </c>
      <c r="O867" s="15">
        <v>6700</v>
      </c>
      <c r="P867" s="15">
        <f t="shared" si="137"/>
        <v>33500000</v>
      </c>
      <c r="Q867" s="15" t="str">
        <f t="shared" si="136"/>
        <v>Done</v>
      </c>
      <c r="R867" s="18" t="s">
        <v>44</v>
      </c>
      <c r="S867" s="23">
        <v>43511</v>
      </c>
      <c r="T867" s="20">
        <f>IFERROR(VLOOKUP(S867,'Date Converter'!$A$4:$C$368,3,0),"")</f>
        <v>43544</v>
      </c>
      <c r="U867" s="21">
        <f t="shared" si="135"/>
        <v>43544</v>
      </c>
      <c r="V867" s="12" t="s">
        <v>32</v>
      </c>
      <c r="W867" s="18" t="s">
        <v>48</v>
      </c>
      <c r="X867" s="18">
        <v>43541</v>
      </c>
      <c r="Y867" s="15" t="s">
        <v>59</v>
      </c>
      <c r="Z867" s="206">
        <v>43543</v>
      </c>
      <c r="AA867" s="15">
        <v>5000</v>
      </c>
      <c r="AB867" s="206"/>
      <c r="AC867" s="15"/>
      <c r="AD867" s="206"/>
      <c r="AE867" s="15"/>
      <c r="AF867" s="244"/>
      <c r="AG867" s="15"/>
      <c r="AH867" s="15">
        <f t="shared" si="131"/>
        <v>5000</v>
      </c>
      <c r="AI867" s="22">
        <f t="shared" si="132"/>
        <v>0</v>
      </c>
      <c r="AJ867" s="22">
        <f t="shared" si="133"/>
        <v>0</v>
      </c>
      <c r="AK867" s="165"/>
    </row>
    <row r="868" spans="1:38" s="183" customFormat="1" hidden="1">
      <c r="A868" s="165" t="s">
        <v>1357</v>
      </c>
      <c r="B868" s="13">
        <v>43499</v>
      </c>
      <c r="C868" s="266" t="s">
        <v>23</v>
      </c>
      <c r="D868" s="258" t="s">
        <v>65</v>
      </c>
      <c r="E868" s="198" t="s">
        <v>66</v>
      </c>
      <c r="F868" s="165" t="str">
        <f t="shared" si="129"/>
        <v>CONC_18.20_150_NL2018</v>
      </c>
      <c r="G868" s="165" t="s">
        <v>1459</v>
      </c>
      <c r="H868" s="12"/>
      <c r="I868" s="12" t="s">
        <v>27</v>
      </c>
      <c r="J868" s="14">
        <v>150</v>
      </c>
      <c r="K868" s="15" t="s">
        <v>28</v>
      </c>
      <c r="L868" s="15" t="s">
        <v>413</v>
      </c>
      <c r="M868" s="16">
        <f t="shared" si="130"/>
        <v>134</v>
      </c>
      <c r="N868" s="15">
        <v>20100</v>
      </c>
      <c r="O868" s="15">
        <v>8000</v>
      </c>
      <c r="P868" s="15">
        <f t="shared" si="137"/>
        <v>160800000</v>
      </c>
      <c r="Q868" s="15" t="str">
        <f t="shared" si="136"/>
        <v/>
      </c>
      <c r="R868" s="18" t="s">
        <v>29</v>
      </c>
      <c r="S868" s="23">
        <v>43709</v>
      </c>
      <c r="T868" s="20">
        <f>IFERROR(VLOOKUP(S868,'Date Converter'!$A$4:$C$368,3,0),"")</f>
        <v>43737</v>
      </c>
      <c r="U868" s="21">
        <f t="shared" si="135"/>
        <v>43737</v>
      </c>
      <c r="V868" s="15" t="s">
        <v>51</v>
      </c>
      <c r="W868" s="18"/>
      <c r="X868" s="18"/>
      <c r="Y868" s="15"/>
      <c r="Z868" s="206"/>
      <c r="AA868" s="15">
        <v>0</v>
      </c>
      <c r="AB868" s="206"/>
      <c r="AC868" s="15"/>
      <c r="AD868" s="206"/>
      <c r="AE868" s="15"/>
      <c r="AF868" s="244"/>
      <c r="AG868" s="15"/>
      <c r="AH868" s="15">
        <f t="shared" si="131"/>
        <v>0</v>
      </c>
      <c r="AI868" s="22">
        <f t="shared" si="132"/>
        <v>20100</v>
      </c>
      <c r="AJ868" s="22">
        <f t="shared" si="133"/>
        <v>160800000</v>
      </c>
      <c r="AK868" s="165"/>
    </row>
    <row r="869" spans="1:38" s="183" customFormat="1" hidden="1">
      <c r="A869" s="165" t="s">
        <v>294</v>
      </c>
      <c r="B869" s="13">
        <v>43470</v>
      </c>
      <c r="C869" s="13" t="s">
        <v>23</v>
      </c>
      <c r="D869" s="165" t="s">
        <v>65</v>
      </c>
      <c r="E869" s="198" t="s">
        <v>66</v>
      </c>
      <c r="F869" s="165" t="str">
        <f t="shared" si="129"/>
        <v>CONC_16.18_200_NL2018</v>
      </c>
      <c r="G869" s="165" t="s">
        <v>43</v>
      </c>
      <c r="H869" s="12"/>
      <c r="I869" s="12" t="s">
        <v>35</v>
      </c>
      <c r="J869" s="14">
        <v>200</v>
      </c>
      <c r="K869" s="15" t="s">
        <v>28</v>
      </c>
      <c r="L869" s="15"/>
      <c r="M869" s="16">
        <f t="shared" si="130"/>
        <v>75</v>
      </c>
      <c r="N869" s="17">
        <f>18400+11600-15000</f>
        <v>15000</v>
      </c>
      <c r="O869" s="15">
        <f>5000</f>
        <v>5000</v>
      </c>
      <c r="P869" s="15">
        <f t="shared" si="137"/>
        <v>75000000</v>
      </c>
      <c r="Q869" s="15" t="str">
        <f t="shared" si="136"/>
        <v/>
      </c>
      <c r="R869" s="18" t="s">
        <v>63</v>
      </c>
      <c r="S869" s="23">
        <v>43539</v>
      </c>
      <c r="T869" s="20">
        <f>IFERROR(VLOOKUP(S869,'Date Converter'!$A$4:$C$368,3,0),"")</f>
        <v>43574</v>
      </c>
      <c r="U869" s="21">
        <f t="shared" si="135"/>
        <v>43574</v>
      </c>
      <c r="V869" s="20" t="s">
        <v>57</v>
      </c>
      <c r="W869" s="18"/>
      <c r="X869" s="18"/>
      <c r="Y869" s="15"/>
      <c r="Z869" s="206">
        <v>43609</v>
      </c>
      <c r="AA869" s="15">
        <v>5000</v>
      </c>
      <c r="AB869" s="206">
        <v>43638</v>
      </c>
      <c r="AC869" s="15">
        <v>3000</v>
      </c>
      <c r="AD869" s="206"/>
      <c r="AE869" s="15"/>
      <c r="AF869" s="244"/>
      <c r="AG869" s="15"/>
      <c r="AH869" s="15">
        <f t="shared" si="131"/>
        <v>8000</v>
      </c>
      <c r="AI869" s="22">
        <f t="shared" si="132"/>
        <v>7000</v>
      </c>
      <c r="AJ869" s="22">
        <f t="shared" si="133"/>
        <v>35000000</v>
      </c>
      <c r="AK869" s="165"/>
    </row>
    <row r="870" spans="1:38" s="183" customFormat="1" hidden="1">
      <c r="A870" s="165" t="s">
        <v>294</v>
      </c>
      <c r="B870" s="13">
        <v>43470</v>
      </c>
      <c r="C870" s="13" t="s">
        <v>23</v>
      </c>
      <c r="D870" s="165" t="s">
        <v>65</v>
      </c>
      <c r="E870" s="165" t="s">
        <v>66</v>
      </c>
      <c r="F870" s="165" t="str">
        <f t="shared" si="129"/>
        <v>CONC_16.18_200_NL2018</v>
      </c>
      <c r="G870" s="165" t="s">
        <v>43</v>
      </c>
      <c r="H870" s="12"/>
      <c r="I870" s="12" t="s">
        <v>35</v>
      </c>
      <c r="J870" s="14">
        <v>200</v>
      </c>
      <c r="K870" s="15" t="s">
        <v>28</v>
      </c>
      <c r="L870" s="15"/>
      <c r="M870" s="16">
        <f t="shared" si="130"/>
        <v>100</v>
      </c>
      <c r="N870" s="15">
        <v>20000</v>
      </c>
      <c r="O870" s="15">
        <v>4600</v>
      </c>
      <c r="P870" s="15">
        <f t="shared" si="137"/>
        <v>92000000</v>
      </c>
      <c r="Q870" s="15" t="str">
        <f t="shared" si="136"/>
        <v>Done</v>
      </c>
      <c r="R870" s="18" t="s">
        <v>44</v>
      </c>
      <c r="S870" s="23">
        <v>43480</v>
      </c>
      <c r="T870" s="20">
        <f>IFERROR(VLOOKUP(S870,'Date Converter'!$A$4:$C$368,3,0),"")</f>
        <v>43515</v>
      </c>
      <c r="U870" s="21">
        <f t="shared" si="135"/>
        <v>43515</v>
      </c>
      <c r="V870" s="12" t="s">
        <v>45</v>
      </c>
      <c r="W870" s="18"/>
      <c r="X870" s="18"/>
      <c r="Y870" s="15" t="s">
        <v>59</v>
      </c>
      <c r="Z870" s="206">
        <v>43521</v>
      </c>
      <c r="AA870" s="15">
        <v>6600</v>
      </c>
      <c r="AB870" s="206">
        <v>43526</v>
      </c>
      <c r="AC870" s="15">
        <v>13400</v>
      </c>
      <c r="AD870" s="206"/>
      <c r="AE870" s="15"/>
      <c r="AF870" s="244"/>
      <c r="AG870" s="15"/>
      <c r="AH870" s="15">
        <f t="shared" si="131"/>
        <v>20000</v>
      </c>
      <c r="AI870" s="22">
        <f t="shared" si="132"/>
        <v>0</v>
      </c>
      <c r="AJ870" s="22">
        <f t="shared" si="133"/>
        <v>0</v>
      </c>
      <c r="AK870" s="165"/>
    </row>
    <row r="871" spans="1:38" s="183" customFormat="1" hidden="1">
      <c r="A871" s="165" t="s">
        <v>294</v>
      </c>
      <c r="B871" s="13">
        <v>43470</v>
      </c>
      <c r="C871" s="13" t="s">
        <v>23</v>
      </c>
      <c r="D871" s="165" t="s">
        <v>65</v>
      </c>
      <c r="E871" s="165" t="s">
        <v>66</v>
      </c>
      <c r="F871" s="165" t="str">
        <f t="shared" si="129"/>
        <v>CONC_16.18_200_NL2018</v>
      </c>
      <c r="G871" s="165" t="s">
        <v>43</v>
      </c>
      <c r="H871" s="12"/>
      <c r="I871" s="12" t="s">
        <v>35</v>
      </c>
      <c r="J871" s="14">
        <v>200</v>
      </c>
      <c r="K871" s="15" t="s">
        <v>28</v>
      </c>
      <c r="L871" s="15"/>
      <c r="M871" s="16">
        <f t="shared" si="130"/>
        <v>50</v>
      </c>
      <c r="N871" s="15">
        <v>10000</v>
      </c>
      <c r="O871" s="15">
        <v>4600</v>
      </c>
      <c r="P871" s="15">
        <f t="shared" si="137"/>
        <v>46000000</v>
      </c>
      <c r="Q871" s="15" t="str">
        <f t="shared" si="136"/>
        <v>Done</v>
      </c>
      <c r="R871" s="18" t="s">
        <v>44</v>
      </c>
      <c r="S871" s="23">
        <v>43488</v>
      </c>
      <c r="T871" s="20">
        <f>IFERROR(VLOOKUP(S871,'Date Converter'!$A$4:$C$368,3,0),"")</f>
        <v>43523</v>
      </c>
      <c r="U871" s="21">
        <f t="shared" si="135"/>
        <v>43523</v>
      </c>
      <c r="V871" s="12" t="s">
        <v>69</v>
      </c>
      <c r="W871" s="18"/>
      <c r="X871" s="18"/>
      <c r="Y871" s="15"/>
      <c r="Z871" s="206">
        <v>43538</v>
      </c>
      <c r="AA871" s="15">
        <v>6800</v>
      </c>
      <c r="AB871" s="206">
        <v>43543</v>
      </c>
      <c r="AC871" s="15">
        <v>3200</v>
      </c>
      <c r="AD871" s="206"/>
      <c r="AE871" s="15"/>
      <c r="AF871" s="244"/>
      <c r="AG871" s="15"/>
      <c r="AH871" s="15">
        <f t="shared" si="131"/>
        <v>10000</v>
      </c>
      <c r="AI871" s="22">
        <f t="shared" si="132"/>
        <v>0</v>
      </c>
      <c r="AJ871" s="22">
        <f t="shared" si="133"/>
        <v>0</v>
      </c>
      <c r="AK871" s="165"/>
    </row>
    <row r="872" spans="1:38" s="165" customFormat="1" hidden="1">
      <c r="A872" s="165" t="s">
        <v>294</v>
      </c>
      <c r="B872" s="13">
        <v>43470</v>
      </c>
      <c r="C872" s="13" t="s">
        <v>23</v>
      </c>
      <c r="D872" s="165" t="s">
        <v>65</v>
      </c>
      <c r="E872" s="165" t="s">
        <v>66</v>
      </c>
      <c r="F872" s="165" t="str">
        <f t="shared" si="129"/>
        <v>CONC_16.18_200_NL2018</v>
      </c>
      <c r="G872" s="165" t="s">
        <v>43</v>
      </c>
      <c r="H872" s="12"/>
      <c r="I872" s="12" t="s">
        <v>35</v>
      </c>
      <c r="J872" s="14">
        <v>200</v>
      </c>
      <c r="K872" s="15" t="s">
        <v>28</v>
      </c>
      <c r="L872" s="15"/>
      <c r="M872" s="16">
        <f t="shared" si="130"/>
        <v>0</v>
      </c>
      <c r="N872" s="17">
        <f>5000-5000</f>
        <v>0</v>
      </c>
      <c r="O872" s="15">
        <v>5000</v>
      </c>
      <c r="P872" s="15">
        <f t="shared" si="137"/>
        <v>0</v>
      </c>
      <c r="Q872" s="15" t="str">
        <f t="shared" si="136"/>
        <v>Canceled</v>
      </c>
      <c r="R872" s="18" t="s">
        <v>71</v>
      </c>
      <c r="S872" s="23">
        <v>43539</v>
      </c>
      <c r="T872" s="20">
        <f>IFERROR(VLOOKUP(S872,'Date Converter'!$A$4:$C$368,3,0),"")</f>
        <v>43574</v>
      </c>
      <c r="U872" s="21">
        <f t="shared" si="135"/>
        <v>43574</v>
      </c>
      <c r="V872" s="20" t="s">
        <v>57</v>
      </c>
      <c r="W872" s="18"/>
      <c r="X872" s="18"/>
      <c r="Y872" s="15"/>
      <c r="Z872" s="206"/>
      <c r="AA872" s="15"/>
      <c r="AB872" s="206"/>
      <c r="AC872" s="15"/>
      <c r="AD872" s="206"/>
      <c r="AE872" s="15"/>
      <c r="AF872" s="244"/>
      <c r="AG872" s="15"/>
      <c r="AH872" s="15">
        <f t="shared" si="131"/>
        <v>0</v>
      </c>
      <c r="AI872" s="22">
        <f t="shared" si="132"/>
        <v>0</v>
      </c>
      <c r="AJ872" s="22">
        <f t="shared" si="133"/>
        <v>0</v>
      </c>
    </row>
    <row r="873" spans="1:38" hidden="1">
      <c r="A873" t="s">
        <v>294</v>
      </c>
      <c r="B873" s="13">
        <v>43470</v>
      </c>
      <c r="C873" s="13" t="s">
        <v>23</v>
      </c>
      <c r="D873" t="s">
        <v>65</v>
      </c>
      <c r="E873" s="165" t="s">
        <v>66</v>
      </c>
      <c r="F873" t="str">
        <f t="shared" si="129"/>
        <v>CONC_16.18_200_NL2018</v>
      </c>
      <c r="G873" s="165" t="s">
        <v>43</v>
      </c>
      <c r="I873" s="12" t="s">
        <v>35</v>
      </c>
      <c r="J873" s="14">
        <v>200</v>
      </c>
      <c r="K873" s="15" t="s">
        <v>28</v>
      </c>
      <c r="M873" s="16">
        <f t="shared" si="130"/>
        <v>0</v>
      </c>
      <c r="N873" s="15">
        <f>37800-37800</f>
        <v>0</v>
      </c>
      <c r="P873" s="15">
        <f t="shared" si="137"/>
        <v>0</v>
      </c>
      <c r="Q873" s="15" t="str">
        <f t="shared" si="136"/>
        <v>Canceled</v>
      </c>
      <c r="R873" s="18" t="s">
        <v>71</v>
      </c>
      <c r="S873" s="194"/>
      <c r="T873" s="20" t="str">
        <f>IFERROR(VLOOKUP(S873,'Date Converter'!$A$4:$C$368,3,0),"")</f>
        <v/>
      </c>
      <c r="U873" s="21" t="str">
        <f t="shared" si="135"/>
        <v/>
      </c>
      <c r="V873" s="20" t="s">
        <v>1454</v>
      </c>
      <c r="Y873" s="15"/>
      <c r="AA873" s="15">
        <v>0</v>
      </c>
      <c r="AB873" s="206"/>
      <c r="AC873" s="15"/>
      <c r="AD873" s="206"/>
      <c r="AE873" s="15"/>
      <c r="AF873" s="244"/>
      <c r="AG873" s="15"/>
      <c r="AH873" s="15">
        <f t="shared" si="131"/>
        <v>0</v>
      </c>
      <c r="AI873" s="22">
        <f t="shared" si="132"/>
        <v>0</v>
      </c>
      <c r="AJ873" s="22">
        <f t="shared" si="133"/>
        <v>0</v>
      </c>
      <c r="AK873" s="165"/>
    </row>
    <row r="874" spans="1:38" hidden="1">
      <c r="A874" t="s">
        <v>294</v>
      </c>
      <c r="B874" s="13">
        <v>43578</v>
      </c>
      <c r="C874" s="13" t="s">
        <v>23</v>
      </c>
      <c r="D874" t="s">
        <v>65</v>
      </c>
      <c r="E874" s="198" t="s">
        <v>66</v>
      </c>
      <c r="F874" t="str">
        <f t="shared" si="129"/>
        <v>CARB_18.20_150_NL2018</v>
      </c>
      <c r="G874" s="165" t="s">
        <v>34</v>
      </c>
      <c r="I874" s="12" t="s">
        <v>27</v>
      </c>
      <c r="J874" s="14">
        <v>150</v>
      </c>
      <c r="K874" s="15" t="s">
        <v>28</v>
      </c>
      <c r="M874" s="16">
        <f t="shared" si="130"/>
        <v>67</v>
      </c>
      <c r="N874" s="17">
        <v>10050</v>
      </c>
      <c r="O874" s="15">
        <v>8300</v>
      </c>
      <c r="P874" s="15">
        <f t="shared" si="137"/>
        <v>83415000</v>
      </c>
      <c r="Q874" s="15" t="str">
        <f t="shared" si="136"/>
        <v/>
      </c>
      <c r="R874" s="18" t="s">
        <v>29</v>
      </c>
      <c r="S874" s="23">
        <v>43678</v>
      </c>
      <c r="T874" s="20">
        <f>IFERROR(VLOOKUP(S874,'Date Converter'!$A$4:$C$368,3,0),"")</f>
        <v>43707</v>
      </c>
      <c r="U874" s="21">
        <f t="shared" si="135"/>
        <v>43707</v>
      </c>
      <c r="V874" s="20"/>
      <c r="Y874" s="15"/>
      <c r="AA874" s="15"/>
      <c r="AB874" s="206"/>
      <c r="AC874" s="15"/>
      <c r="AD874" s="206"/>
      <c r="AE874" s="15"/>
      <c r="AF874" s="244"/>
      <c r="AG874" s="15"/>
      <c r="AH874" s="15">
        <f t="shared" si="131"/>
        <v>0</v>
      </c>
      <c r="AI874" s="22">
        <f t="shared" si="132"/>
        <v>10050</v>
      </c>
      <c r="AJ874" s="22">
        <f t="shared" si="133"/>
        <v>83415000</v>
      </c>
      <c r="AK874" s="165"/>
      <c r="AL874" s="165"/>
    </row>
    <row r="875" spans="1:38" hidden="1">
      <c r="A875" t="s">
        <v>294</v>
      </c>
      <c r="B875" s="13">
        <v>43470</v>
      </c>
      <c r="C875" s="13" t="s">
        <v>23</v>
      </c>
      <c r="D875" t="s">
        <v>65</v>
      </c>
      <c r="E875" s="165" t="s">
        <v>66</v>
      </c>
      <c r="F875" t="str">
        <f t="shared" si="129"/>
        <v>BACA_16.18_200_NL2018</v>
      </c>
      <c r="G875" s="165" t="s">
        <v>67</v>
      </c>
      <c r="I875" s="12" t="s">
        <v>35</v>
      </c>
      <c r="J875" s="14">
        <v>200</v>
      </c>
      <c r="K875" s="15" t="s">
        <v>28</v>
      </c>
      <c r="M875" s="16">
        <f t="shared" si="130"/>
        <v>50</v>
      </c>
      <c r="N875" s="15">
        <v>10000</v>
      </c>
      <c r="O875" s="15">
        <v>6300</v>
      </c>
      <c r="P875" s="15">
        <f t="shared" si="137"/>
        <v>63000000</v>
      </c>
      <c r="Q875" s="15" t="str">
        <f t="shared" si="136"/>
        <v>Done</v>
      </c>
      <c r="R875" s="18" t="s">
        <v>44</v>
      </c>
      <c r="S875" s="23">
        <v>43480</v>
      </c>
      <c r="T875" s="20">
        <f>IFERROR(VLOOKUP(S875,'Date Converter'!$A$4:$C$368,3,0),"")</f>
        <v>43515</v>
      </c>
      <c r="U875" s="21">
        <f t="shared" si="135"/>
        <v>43515</v>
      </c>
      <c r="V875" s="12" t="s">
        <v>45</v>
      </c>
      <c r="Y875" s="15" t="s">
        <v>59</v>
      </c>
      <c r="Z875" s="206">
        <v>43521</v>
      </c>
      <c r="AA875" s="15">
        <v>6000</v>
      </c>
      <c r="AB875" s="206">
        <v>43526</v>
      </c>
      <c r="AC875" s="15">
        <v>4000</v>
      </c>
      <c r="AD875" s="206"/>
      <c r="AE875" s="15"/>
      <c r="AF875" s="244"/>
      <c r="AG875" s="15"/>
      <c r="AH875" s="15">
        <f t="shared" si="131"/>
        <v>10000</v>
      </c>
      <c r="AI875" s="22">
        <f t="shared" si="132"/>
        <v>0</v>
      </c>
      <c r="AJ875" s="22">
        <f t="shared" si="133"/>
        <v>0</v>
      </c>
    </row>
    <row r="876" spans="1:38" hidden="1">
      <c r="A876" t="s">
        <v>1364</v>
      </c>
      <c r="B876" s="13">
        <v>43563</v>
      </c>
      <c r="C876" s="13" t="s">
        <v>23</v>
      </c>
      <c r="D876" t="s">
        <v>1365</v>
      </c>
      <c r="E876" s="13" t="s">
        <v>1366</v>
      </c>
      <c r="F876" s="165" t="str">
        <f t="shared" si="129"/>
        <v>YELL_14.16_300_NL2018</v>
      </c>
      <c r="G876" s="13" t="s">
        <v>89</v>
      </c>
      <c r="I876" s="12" t="s">
        <v>47</v>
      </c>
      <c r="J876" s="31" t="s">
        <v>124</v>
      </c>
      <c r="K876" s="15" t="s">
        <v>28</v>
      </c>
      <c r="M876" s="16">
        <f t="shared" si="130"/>
        <v>1</v>
      </c>
      <c r="N876" s="15">
        <v>300</v>
      </c>
      <c r="O876" s="15">
        <v>4800</v>
      </c>
      <c r="P876" s="15">
        <f t="shared" si="137"/>
        <v>1440000</v>
      </c>
      <c r="Q876" s="15" t="str">
        <f t="shared" si="136"/>
        <v>Done</v>
      </c>
      <c r="R876" s="18" t="s">
        <v>44</v>
      </c>
      <c r="S876" s="23">
        <v>43524</v>
      </c>
      <c r="T876" s="20">
        <f>IFERROR(VLOOKUP(S876,'Date Converter'!$A$4:$C$368,3,0),"")</f>
        <v>43557</v>
      </c>
      <c r="U876" s="21">
        <f t="shared" si="135"/>
        <v>43557</v>
      </c>
      <c r="V876" s="12" t="s">
        <v>54</v>
      </c>
      <c r="Z876" s="206">
        <v>43578</v>
      </c>
      <c r="AA876" s="15">
        <v>300</v>
      </c>
      <c r="AB876" s="206"/>
      <c r="AD876" s="206"/>
      <c r="AH876" s="15">
        <f t="shared" si="131"/>
        <v>300</v>
      </c>
      <c r="AI876" s="22">
        <f t="shared" si="132"/>
        <v>0</v>
      </c>
      <c r="AJ876" s="22">
        <f t="shared" si="133"/>
        <v>0</v>
      </c>
      <c r="AK876" s="165"/>
    </row>
    <row r="877" spans="1:38" s="165" customFormat="1" hidden="1">
      <c r="A877" s="165" t="s">
        <v>1364</v>
      </c>
      <c r="B877" s="13">
        <v>43563</v>
      </c>
      <c r="C877" s="13" t="s">
        <v>23</v>
      </c>
      <c r="D877" s="165" t="s">
        <v>1365</v>
      </c>
      <c r="E877" s="13" t="s">
        <v>1366</v>
      </c>
      <c r="F877" s="165" t="str">
        <f t="shared" si="129"/>
        <v>TARR_14.16_300_NL2018</v>
      </c>
      <c r="G877" s="13" t="s">
        <v>62</v>
      </c>
      <c r="H877" s="12"/>
      <c r="I877" s="12" t="s">
        <v>47</v>
      </c>
      <c r="J877" s="31" t="s">
        <v>124</v>
      </c>
      <c r="K877" s="15" t="s">
        <v>28</v>
      </c>
      <c r="L877" s="15"/>
      <c r="M877" s="16">
        <f t="shared" si="130"/>
        <v>1</v>
      </c>
      <c r="N877" s="15">
        <v>300</v>
      </c>
      <c r="O877" s="15">
        <v>5600</v>
      </c>
      <c r="P877" s="15">
        <f t="shared" si="137"/>
        <v>1680000</v>
      </c>
      <c r="Q877" s="15" t="str">
        <f t="shared" si="136"/>
        <v>Done</v>
      </c>
      <c r="R877" s="18" t="s">
        <v>44</v>
      </c>
      <c r="S877" s="23">
        <v>43524</v>
      </c>
      <c r="T877" s="20">
        <f>IFERROR(VLOOKUP(S877,'Date Converter'!$A$4:$C$368,3,0),"")</f>
        <v>43557</v>
      </c>
      <c r="U877" s="21">
        <f t="shared" si="135"/>
        <v>43557</v>
      </c>
      <c r="V877" s="12" t="s">
        <v>54</v>
      </c>
      <c r="W877" s="18"/>
      <c r="X877" s="18"/>
      <c r="Y877" s="12"/>
      <c r="Z877" s="206">
        <v>43578</v>
      </c>
      <c r="AA877" s="15">
        <v>300</v>
      </c>
      <c r="AB877" s="206"/>
      <c r="AC877" s="12"/>
      <c r="AD877" s="206"/>
      <c r="AE877" s="12"/>
      <c r="AF877" s="245"/>
      <c r="AG877" s="12"/>
      <c r="AH877" s="15">
        <f t="shared" si="131"/>
        <v>300</v>
      </c>
      <c r="AI877" s="22">
        <f t="shared" si="132"/>
        <v>0</v>
      </c>
      <c r="AJ877" s="22">
        <f t="shared" si="133"/>
        <v>0</v>
      </c>
    </row>
    <row r="878" spans="1:38" hidden="1">
      <c r="A878" t="s">
        <v>1364</v>
      </c>
      <c r="B878" s="13">
        <v>43563</v>
      </c>
      <c r="C878" s="13" t="s">
        <v>23</v>
      </c>
      <c r="D878" t="s">
        <v>1365</v>
      </c>
      <c r="E878" s="13" t="s">
        <v>1366</v>
      </c>
      <c r="F878" t="str">
        <f t="shared" si="129"/>
        <v>PROF_14.16_300_NL2018</v>
      </c>
      <c r="G878" s="13" t="s">
        <v>56</v>
      </c>
      <c r="I878" s="12" t="s">
        <v>47</v>
      </c>
      <c r="J878" s="31" t="s">
        <v>124</v>
      </c>
      <c r="K878" s="15" t="s">
        <v>28</v>
      </c>
      <c r="M878" s="16">
        <f t="shared" si="130"/>
        <v>1</v>
      </c>
      <c r="N878" s="15">
        <v>300</v>
      </c>
      <c r="O878" s="15">
        <v>6000</v>
      </c>
      <c r="P878" s="15">
        <f t="shared" si="137"/>
        <v>1800000</v>
      </c>
      <c r="Q878" s="15" t="str">
        <f t="shared" si="136"/>
        <v>Done</v>
      </c>
      <c r="R878" s="18" t="s">
        <v>44</v>
      </c>
      <c r="S878" s="23">
        <v>43539</v>
      </c>
      <c r="T878" s="20">
        <f>IFERROR(VLOOKUP(S878,'Date Converter'!$A$4:$C$368,3,0),"")</f>
        <v>43574</v>
      </c>
      <c r="U878" s="21">
        <f t="shared" si="135"/>
        <v>43574</v>
      </c>
      <c r="V878" s="12" t="s">
        <v>57</v>
      </c>
      <c r="Z878" s="206">
        <v>43578</v>
      </c>
      <c r="AA878" s="15">
        <v>300</v>
      </c>
      <c r="AB878" s="206"/>
      <c r="AD878" s="206"/>
      <c r="AH878" s="15">
        <f t="shared" si="131"/>
        <v>300</v>
      </c>
      <c r="AI878" s="22">
        <f t="shared" si="132"/>
        <v>0</v>
      </c>
      <c r="AJ878" s="22">
        <f t="shared" si="133"/>
        <v>0</v>
      </c>
    </row>
    <row r="879" spans="1:38" s="165" customFormat="1" hidden="1">
      <c r="A879" s="165" t="s">
        <v>1364</v>
      </c>
      <c r="B879" s="13">
        <v>43563</v>
      </c>
      <c r="C879" s="13" t="s">
        <v>23</v>
      </c>
      <c r="D879" s="165" t="s">
        <v>1365</v>
      </c>
      <c r="E879" s="13" t="s">
        <v>1366</v>
      </c>
      <c r="F879" s="165" t="str">
        <f t="shared" si="129"/>
        <v>PARA_14.16_275_NL2018</v>
      </c>
      <c r="G879" s="13" t="s">
        <v>490</v>
      </c>
      <c r="H879" s="12"/>
      <c r="I879" s="12" t="s">
        <v>47</v>
      </c>
      <c r="J879" s="31" t="s">
        <v>1427</v>
      </c>
      <c r="K879" s="15" t="s">
        <v>28</v>
      </c>
      <c r="L879" s="15"/>
      <c r="M879" s="16">
        <f t="shared" si="130"/>
        <v>1</v>
      </c>
      <c r="N879" s="15">
        <v>275</v>
      </c>
      <c r="O879" s="15">
        <v>5600</v>
      </c>
      <c r="P879" s="15">
        <f t="shared" si="137"/>
        <v>1540000</v>
      </c>
      <c r="Q879" s="15" t="str">
        <f t="shared" si="136"/>
        <v>Done</v>
      </c>
      <c r="R879" s="18" t="s">
        <v>44</v>
      </c>
      <c r="S879" s="23">
        <v>43539</v>
      </c>
      <c r="T879" s="20">
        <f>IFERROR(VLOOKUP(S879,'Date Converter'!$A$4:$C$368,3,0),"")</f>
        <v>43574</v>
      </c>
      <c r="U879" s="21">
        <f t="shared" si="135"/>
        <v>43574</v>
      </c>
      <c r="V879" s="12" t="s">
        <v>57</v>
      </c>
      <c r="W879" s="18"/>
      <c r="X879" s="18"/>
      <c r="Y879" s="12"/>
      <c r="Z879" s="206">
        <v>43578</v>
      </c>
      <c r="AA879" s="15">
        <v>275</v>
      </c>
      <c r="AB879" s="206"/>
      <c r="AC879" s="12"/>
      <c r="AD879" s="206"/>
      <c r="AE879" s="12"/>
      <c r="AF879" s="245"/>
      <c r="AG879" s="12"/>
      <c r="AH879" s="15">
        <f t="shared" si="131"/>
        <v>275</v>
      </c>
      <c r="AI879" s="22">
        <f t="shared" si="132"/>
        <v>0</v>
      </c>
      <c r="AJ879" s="22">
        <f t="shared" si="133"/>
        <v>0</v>
      </c>
    </row>
    <row r="880" spans="1:38" s="165" customFormat="1" hidden="1">
      <c r="A880" s="165" t="s">
        <v>1364</v>
      </c>
      <c r="B880" s="13">
        <v>43563</v>
      </c>
      <c r="C880" s="13" t="s">
        <v>23</v>
      </c>
      <c r="D880" s="165" t="s">
        <v>1365</v>
      </c>
      <c r="E880" s="13" t="s">
        <v>1366</v>
      </c>
      <c r="F880" s="165" t="str">
        <f t="shared" si="129"/>
        <v>MANI_16.18_200_NL2018</v>
      </c>
      <c r="G880" s="13" t="s">
        <v>105</v>
      </c>
      <c r="H880" s="12"/>
      <c r="I880" s="12" t="s">
        <v>35</v>
      </c>
      <c r="J880" s="31" t="s">
        <v>121</v>
      </c>
      <c r="K880" s="15" t="s">
        <v>28</v>
      </c>
      <c r="L880" s="15"/>
      <c r="M880" s="16">
        <f t="shared" si="130"/>
        <v>1</v>
      </c>
      <c r="N880" s="15">
        <v>200</v>
      </c>
      <c r="O880" s="15">
        <v>8000</v>
      </c>
      <c r="P880" s="15">
        <f t="shared" si="137"/>
        <v>1600000</v>
      </c>
      <c r="Q880" s="15" t="str">
        <f t="shared" si="136"/>
        <v>Done</v>
      </c>
      <c r="R880" s="18" t="s">
        <v>44</v>
      </c>
      <c r="S880" s="23">
        <v>43539</v>
      </c>
      <c r="T880" s="20">
        <f>IFERROR(VLOOKUP(S880,'Date Converter'!$A$4:$C$368,3,0),"")</f>
        <v>43574</v>
      </c>
      <c r="U880" s="21">
        <f t="shared" si="135"/>
        <v>43574</v>
      </c>
      <c r="V880" s="12" t="s">
        <v>57</v>
      </c>
      <c r="W880" s="18"/>
      <c r="X880" s="18"/>
      <c r="Y880" s="12"/>
      <c r="Z880" s="206">
        <v>43578</v>
      </c>
      <c r="AA880" s="15">
        <v>200</v>
      </c>
      <c r="AB880" s="206"/>
      <c r="AC880" s="12"/>
      <c r="AD880" s="206"/>
      <c r="AE880" s="12"/>
      <c r="AF880" s="245"/>
      <c r="AG880" s="12"/>
      <c r="AH880" s="15">
        <f t="shared" si="131"/>
        <v>200</v>
      </c>
      <c r="AI880" s="22">
        <f t="shared" si="132"/>
        <v>0</v>
      </c>
      <c r="AJ880" s="22">
        <f t="shared" si="133"/>
        <v>0</v>
      </c>
    </row>
    <row r="881" spans="1:37" s="165" customFormat="1" hidden="1">
      <c r="A881" s="165" t="s">
        <v>1364</v>
      </c>
      <c r="B881" s="13">
        <v>43563</v>
      </c>
      <c r="C881" s="13" t="s">
        <v>23</v>
      </c>
      <c r="D881" s="165" t="s">
        <v>1365</v>
      </c>
      <c r="E881" s="13" t="s">
        <v>1366</v>
      </c>
      <c r="F881" s="165" t="str">
        <f t="shared" si="129"/>
        <v>LODI_16.18_200_NL2018</v>
      </c>
      <c r="G881" s="13" t="s">
        <v>1367</v>
      </c>
      <c r="H881" s="12"/>
      <c r="I881" s="12" t="s">
        <v>35</v>
      </c>
      <c r="J881" s="31" t="s">
        <v>121</v>
      </c>
      <c r="K881" s="15" t="s">
        <v>28</v>
      </c>
      <c r="L881" s="15"/>
      <c r="M881" s="16">
        <f t="shared" si="130"/>
        <v>1</v>
      </c>
      <c r="N881" s="15">
        <v>200</v>
      </c>
      <c r="O881" s="15">
        <v>8200</v>
      </c>
      <c r="P881" s="15">
        <f t="shared" si="137"/>
        <v>1640000</v>
      </c>
      <c r="Q881" s="15" t="str">
        <f t="shared" si="136"/>
        <v>Done</v>
      </c>
      <c r="R881" s="18" t="s">
        <v>44</v>
      </c>
      <c r="S881" s="23">
        <v>43539</v>
      </c>
      <c r="T881" s="20">
        <f>IFERROR(VLOOKUP(S881,'Date Converter'!$A$4:$C$368,3,0),"")</f>
        <v>43574</v>
      </c>
      <c r="U881" s="21">
        <f t="shared" si="135"/>
        <v>43574</v>
      </c>
      <c r="V881" s="12" t="s">
        <v>57</v>
      </c>
      <c r="W881" s="18"/>
      <c r="X881" s="18"/>
      <c r="Y881" s="12"/>
      <c r="Z881" s="206">
        <v>43578</v>
      </c>
      <c r="AA881" s="15">
        <v>200</v>
      </c>
      <c r="AB881" s="206"/>
      <c r="AC881" s="12"/>
      <c r="AD881" s="206"/>
      <c r="AE881" s="12"/>
      <c r="AF881" s="245"/>
      <c r="AG881" s="12"/>
      <c r="AH881" s="15">
        <f t="shared" si="131"/>
        <v>200</v>
      </c>
      <c r="AI881" s="22">
        <f t="shared" si="132"/>
        <v>0</v>
      </c>
      <c r="AJ881" s="22">
        <f t="shared" si="133"/>
        <v>0</v>
      </c>
    </row>
    <row r="882" spans="1:37" s="165" customFormat="1" hidden="1">
      <c r="A882" s="165" t="s">
        <v>1364</v>
      </c>
      <c r="B882" s="13">
        <v>43563</v>
      </c>
      <c r="C882" s="13" t="s">
        <v>23</v>
      </c>
      <c r="D882" s="165" t="s">
        <v>1365</v>
      </c>
      <c r="E882" s="13" t="s">
        <v>1366</v>
      </c>
      <c r="F882" s="165" t="str">
        <f t="shared" si="129"/>
        <v>ALUS_14.16_300_NL2018</v>
      </c>
      <c r="G882" s="13" t="s">
        <v>501</v>
      </c>
      <c r="H882" s="12"/>
      <c r="I882" s="12" t="s">
        <v>47</v>
      </c>
      <c r="J882" s="31" t="s">
        <v>124</v>
      </c>
      <c r="K882" s="15" t="s">
        <v>28</v>
      </c>
      <c r="L882" s="15"/>
      <c r="M882" s="16">
        <f t="shared" si="130"/>
        <v>1</v>
      </c>
      <c r="N882" s="15">
        <v>300</v>
      </c>
      <c r="O882" s="15">
        <v>5000</v>
      </c>
      <c r="P882" s="15">
        <f t="shared" si="137"/>
        <v>1500000</v>
      </c>
      <c r="Q882" s="15" t="str">
        <f t="shared" si="136"/>
        <v>Done</v>
      </c>
      <c r="R882" s="18" t="s">
        <v>44</v>
      </c>
      <c r="S882" s="23">
        <v>43524</v>
      </c>
      <c r="T882" s="20">
        <f>IFERROR(VLOOKUP(S882,'Date Converter'!$A$4:$C$368,3,0),"")</f>
        <v>43557</v>
      </c>
      <c r="U882" s="21">
        <f t="shared" si="135"/>
        <v>43557</v>
      </c>
      <c r="V882" s="12" t="s">
        <v>54</v>
      </c>
      <c r="W882" s="18"/>
      <c r="X882" s="18"/>
      <c r="Y882" s="12"/>
      <c r="Z882" s="206">
        <v>43578</v>
      </c>
      <c r="AA882" s="15">
        <v>300</v>
      </c>
      <c r="AB882" s="206"/>
      <c r="AC882" s="12"/>
      <c r="AD882" s="206"/>
      <c r="AE882" s="12"/>
      <c r="AF882" s="245"/>
      <c r="AG882" s="12"/>
      <c r="AH882" s="15">
        <f t="shared" si="131"/>
        <v>300</v>
      </c>
      <c r="AI882" s="22">
        <f t="shared" si="132"/>
        <v>0</v>
      </c>
      <c r="AJ882" s="22">
        <f t="shared" si="133"/>
        <v>0</v>
      </c>
    </row>
    <row r="883" spans="1:37" s="165" customFormat="1" hidden="1">
      <c r="A883" s="165" t="s">
        <v>474</v>
      </c>
      <c r="B883" s="13">
        <v>43550</v>
      </c>
      <c r="C883" s="266" t="s">
        <v>23</v>
      </c>
      <c r="D883" s="258" t="s">
        <v>475</v>
      </c>
      <c r="E883" s="249" t="s">
        <v>476</v>
      </c>
      <c r="F883" s="165" t="str">
        <f t="shared" si="129"/>
        <v>ROBI_22.24_100_NL2018</v>
      </c>
      <c r="G883" s="13" t="s">
        <v>61</v>
      </c>
      <c r="H883" s="12"/>
      <c r="I883" s="12" t="s">
        <v>78</v>
      </c>
      <c r="J883" s="31" t="s">
        <v>206</v>
      </c>
      <c r="K883" s="15" t="s">
        <v>28</v>
      </c>
      <c r="L883" s="15"/>
      <c r="M883" s="16">
        <f t="shared" si="130"/>
        <v>60</v>
      </c>
      <c r="N883" s="15">
        <v>6000</v>
      </c>
      <c r="O883" s="15">
        <v>12500</v>
      </c>
      <c r="P883" s="15">
        <f t="shared" si="137"/>
        <v>75000000</v>
      </c>
      <c r="Q883" s="15" t="str">
        <f t="shared" si="136"/>
        <v/>
      </c>
      <c r="R883" s="18" t="s">
        <v>29</v>
      </c>
      <c r="S883" s="23">
        <v>43709</v>
      </c>
      <c r="T883" s="20">
        <f>IFERROR(VLOOKUP(S883,'Date Converter'!$A$4:$C$368,3,0),"")</f>
        <v>43737</v>
      </c>
      <c r="U883" s="21">
        <f t="shared" si="135"/>
        <v>43737</v>
      </c>
      <c r="V883" s="12" t="s">
        <v>51</v>
      </c>
      <c r="W883" s="18"/>
      <c r="X883" s="18"/>
      <c r="Y883" s="12"/>
      <c r="Z883" s="206"/>
      <c r="AA883" s="15"/>
      <c r="AB883" s="206"/>
      <c r="AC883" s="12"/>
      <c r="AD883" s="206"/>
      <c r="AE883" s="12"/>
      <c r="AF883" s="245"/>
      <c r="AG883" s="12"/>
      <c r="AH883" s="15">
        <f t="shared" si="131"/>
        <v>0</v>
      </c>
      <c r="AI883" s="22">
        <f t="shared" si="132"/>
        <v>6000</v>
      </c>
      <c r="AJ883" s="22">
        <f t="shared" si="133"/>
        <v>75000000</v>
      </c>
    </row>
    <row r="884" spans="1:37" s="165" customFormat="1" hidden="1">
      <c r="A884" s="165" t="s">
        <v>474</v>
      </c>
      <c r="B884" s="13">
        <v>43550</v>
      </c>
      <c r="C884" s="266" t="s">
        <v>23</v>
      </c>
      <c r="D884" s="258" t="s">
        <v>475</v>
      </c>
      <c r="E884" s="249" t="s">
        <v>476</v>
      </c>
      <c r="F884" s="165" t="str">
        <f t="shared" si="129"/>
        <v>CONC_20.22_125_NL2018</v>
      </c>
      <c r="G884" s="13" t="s">
        <v>40</v>
      </c>
      <c r="H884" s="12"/>
      <c r="I884" s="12" t="s">
        <v>74</v>
      </c>
      <c r="J884" s="31" t="s">
        <v>122</v>
      </c>
      <c r="K884" s="15" t="s">
        <v>28</v>
      </c>
      <c r="L884" s="15"/>
      <c r="M884" s="16">
        <f t="shared" si="130"/>
        <v>80</v>
      </c>
      <c r="N884" s="15">
        <v>10000</v>
      </c>
      <c r="O884" s="15">
        <v>10500</v>
      </c>
      <c r="P884" s="15">
        <f t="shared" si="137"/>
        <v>105000000</v>
      </c>
      <c r="Q884" s="15" t="str">
        <f t="shared" si="136"/>
        <v/>
      </c>
      <c r="R884" s="18" t="s">
        <v>29</v>
      </c>
      <c r="S884" s="23">
        <v>43709</v>
      </c>
      <c r="T884" s="20">
        <f>IFERROR(VLOOKUP(S884,'Date Converter'!$A$4:$C$368,3,0),"")</f>
        <v>43737</v>
      </c>
      <c r="U884" s="21">
        <f t="shared" si="135"/>
        <v>43737</v>
      </c>
      <c r="V884" s="12" t="s">
        <v>51</v>
      </c>
      <c r="W884" s="18"/>
      <c r="X884" s="18"/>
      <c r="Y884" s="12"/>
      <c r="Z884" s="206"/>
      <c r="AA884" s="15"/>
      <c r="AB884" s="206"/>
      <c r="AC884" s="12"/>
      <c r="AD884" s="206"/>
      <c r="AE884" s="12"/>
      <c r="AF884" s="245"/>
      <c r="AG884" s="12"/>
      <c r="AH884" s="15">
        <f t="shared" si="131"/>
        <v>0</v>
      </c>
      <c r="AI884" s="22">
        <f t="shared" si="132"/>
        <v>10000</v>
      </c>
      <c r="AJ884" s="22">
        <f t="shared" si="133"/>
        <v>105000000</v>
      </c>
    </row>
    <row r="885" spans="1:37" hidden="1">
      <c r="A885" s="165" t="s">
        <v>1682</v>
      </c>
      <c r="B885" s="13">
        <v>43526</v>
      </c>
      <c r="C885" s="13" t="s">
        <v>1622</v>
      </c>
      <c r="D885" s="165" t="s">
        <v>816</v>
      </c>
      <c r="E885" s="165" t="s">
        <v>817</v>
      </c>
      <c r="F885" s="165" t="str">
        <f t="shared" si="129"/>
        <v>YELL_12.14_400_NL2018</v>
      </c>
      <c r="G885" s="165" t="s">
        <v>89</v>
      </c>
      <c r="I885" s="12" t="s">
        <v>113</v>
      </c>
      <c r="J885" s="14">
        <v>400</v>
      </c>
      <c r="K885" s="15" t="s">
        <v>28</v>
      </c>
      <c r="M885" s="16">
        <f t="shared" si="130"/>
        <v>0</v>
      </c>
      <c r="N885" s="15">
        <f>5200-5200</f>
        <v>0</v>
      </c>
      <c r="O885" s="15">
        <v>2600</v>
      </c>
      <c r="P885" s="15">
        <f t="shared" si="137"/>
        <v>0</v>
      </c>
      <c r="Q885" s="15" t="str">
        <f t="shared" si="136"/>
        <v>Canceled</v>
      </c>
      <c r="R885" s="18" t="s">
        <v>71</v>
      </c>
      <c r="S885" s="117">
        <v>43504</v>
      </c>
      <c r="T885" s="20">
        <f>IFERROR(VLOOKUP(S885,'Date Converter'!$A$4:$C$368,3,0),"")</f>
        <v>43537</v>
      </c>
      <c r="U885" s="21">
        <f t="shared" si="135"/>
        <v>43537</v>
      </c>
      <c r="V885" s="12" t="s">
        <v>1683</v>
      </c>
      <c r="Y885" s="18"/>
      <c r="Z885" s="210"/>
      <c r="AA885" s="15">
        <v>0</v>
      </c>
      <c r="AB885" s="210"/>
      <c r="AC885" s="15"/>
      <c r="AD885" s="15"/>
      <c r="AE885" s="15"/>
      <c r="AF885" s="244"/>
      <c r="AG885" s="15"/>
      <c r="AH885" s="15">
        <f t="shared" si="131"/>
        <v>0</v>
      </c>
      <c r="AI885" s="22">
        <f t="shared" si="132"/>
        <v>0</v>
      </c>
      <c r="AJ885" s="22">
        <f t="shared" si="133"/>
        <v>0</v>
      </c>
      <c r="AK885" s="13">
        <v>44187</v>
      </c>
    </row>
    <row r="886" spans="1:37" ht="14.25" hidden="1" customHeight="1">
      <c r="A886" s="165" t="s">
        <v>1686</v>
      </c>
      <c r="B886" s="13">
        <v>43538</v>
      </c>
      <c r="C886" s="13" t="s">
        <v>1622</v>
      </c>
      <c r="D886" s="165" t="s">
        <v>816</v>
      </c>
      <c r="E886" s="165" t="s">
        <v>817</v>
      </c>
      <c r="F886" s="165" t="str">
        <f t="shared" si="129"/>
        <v>YELL_14.16_300_NL2018</v>
      </c>
      <c r="G886" s="165" t="s">
        <v>89</v>
      </c>
      <c r="I886" s="12" t="s">
        <v>47</v>
      </c>
      <c r="J886" s="14">
        <v>300</v>
      </c>
      <c r="K886" s="15" t="s">
        <v>28</v>
      </c>
      <c r="M886" s="16">
        <f t="shared" si="130"/>
        <v>34</v>
      </c>
      <c r="N886" s="15">
        <v>10200</v>
      </c>
      <c r="O886" s="15">
        <v>3800</v>
      </c>
      <c r="P886" s="15">
        <f t="shared" si="137"/>
        <v>38760000</v>
      </c>
      <c r="Q886" s="15" t="str">
        <f t="shared" si="136"/>
        <v>Done</v>
      </c>
      <c r="R886" s="18" t="s">
        <v>44</v>
      </c>
      <c r="S886" s="117">
        <v>43539</v>
      </c>
      <c r="T886" s="20">
        <f>IFERROR(VLOOKUP(S886,'Date Converter'!$A$4:$C$368,3,0),"")</f>
        <v>43574</v>
      </c>
      <c r="U886" s="21">
        <f t="shared" si="135"/>
        <v>43574</v>
      </c>
      <c r="V886" s="12" t="s">
        <v>57</v>
      </c>
      <c r="W886" s="18" t="s">
        <v>132</v>
      </c>
      <c r="Y886" s="18"/>
      <c r="Z886" s="210">
        <v>43578</v>
      </c>
      <c r="AA886" s="15">
        <v>10200</v>
      </c>
      <c r="AB886" s="210"/>
      <c r="AC886" s="15"/>
      <c r="AD886" s="15"/>
      <c r="AE886" s="15"/>
      <c r="AF886" s="244"/>
      <c r="AG886" s="15"/>
      <c r="AH886" s="15">
        <f t="shared" si="131"/>
        <v>10200</v>
      </c>
      <c r="AI886" s="22">
        <f t="shared" si="132"/>
        <v>0</v>
      </c>
      <c r="AJ886" s="22">
        <f t="shared" si="133"/>
        <v>0</v>
      </c>
      <c r="AK886" s="13"/>
    </row>
    <row r="887" spans="1:37" ht="14.25" hidden="1" customHeight="1">
      <c r="A887" t="s">
        <v>1686</v>
      </c>
      <c r="B887" s="13">
        <v>43538</v>
      </c>
      <c r="C887" s="13" t="s">
        <v>1622</v>
      </c>
      <c r="D887" t="s">
        <v>816</v>
      </c>
      <c r="E887" s="165" t="s">
        <v>817</v>
      </c>
      <c r="F887" t="str">
        <f t="shared" ref="F887:F949" si="138">SUBSTITUTE(LEFT(G887,4)&amp;"_"&amp;H887&amp;"_"&amp;I887&amp;"_"&amp;J887&amp;"_"&amp;K887,"__","_")</f>
        <v>YELL_14.16_300_NL2018</v>
      </c>
      <c r="G887" s="165" t="s">
        <v>89</v>
      </c>
      <c r="I887" s="12" t="s">
        <v>47</v>
      </c>
      <c r="J887" s="14">
        <v>300</v>
      </c>
      <c r="K887" s="15" t="s">
        <v>28</v>
      </c>
      <c r="M887" s="16">
        <f t="shared" ref="M887:M949" si="139">+N887/J887</f>
        <v>32</v>
      </c>
      <c r="N887" s="15">
        <f>7800+1800</f>
        <v>9600</v>
      </c>
      <c r="O887" s="15">
        <v>3800</v>
      </c>
      <c r="P887" s="15">
        <f t="shared" si="137"/>
        <v>36480000</v>
      </c>
      <c r="Q887" s="15" t="str">
        <f t="shared" si="136"/>
        <v>Done</v>
      </c>
      <c r="R887" s="18" t="s">
        <v>44</v>
      </c>
      <c r="S887" s="117">
        <v>43572</v>
      </c>
      <c r="T887" s="20">
        <f>IFERROR(VLOOKUP(S887,'Date Converter'!$A$4:$C$368,3,0),"")</f>
        <v>43606</v>
      </c>
      <c r="U887" s="21">
        <f t="shared" si="135"/>
        <v>43606</v>
      </c>
      <c r="V887" s="12" t="s">
        <v>1416</v>
      </c>
      <c r="Y887" s="18"/>
      <c r="Z887" s="210">
        <v>43609</v>
      </c>
      <c r="AA887" s="15">
        <v>9600</v>
      </c>
      <c r="AB887" s="210"/>
      <c r="AC887" s="15"/>
      <c r="AD887" s="15"/>
      <c r="AE887" s="15"/>
      <c r="AF887" s="244"/>
      <c r="AG887" s="15"/>
      <c r="AH887" s="15">
        <f t="shared" ref="AH887:AH949" si="140">+AA887+AC887+AE887+AG887</f>
        <v>9600</v>
      </c>
      <c r="AI887" s="22">
        <f t="shared" ref="AI887:AI949" si="141">+N887-AH887</f>
        <v>0</v>
      </c>
      <c r="AJ887" s="22">
        <f t="shared" ref="AJ887:AJ949" si="142">+AI887*O887</f>
        <v>0</v>
      </c>
      <c r="AK887" s="13"/>
    </row>
    <row r="888" spans="1:37" s="165" customFormat="1" ht="14.25" hidden="1" customHeight="1">
      <c r="A888" s="165" t="s">
        <v>1687</v>
      </c>
      <c r="B888" s="13">
        <v>43600</v>
      </c>
      <c r="C888" s="13" t="s">
        <v>1622</v>
      </c>
      <c r="D888" s="165" t="s">
        <v>816</v>
      </c>
      <c r="E888" s="165" t="s">
        <v>817</v>
      </c>
      <c r="F888" s="165" t="str">
        <f t="shared" si="138"/>
        <v>YELL_14.16_300_NL2018</v>
      </c>
      <c r="G888" s="165" t="s">
        <v>89</v>
      </c>
      <c r="H888" s="12"/>
      <c r="I888" s="12" t="s">
        <v>47</v>
      </c>
      <c r="J888" s="14">
        <v>300</v>
      </c>
      <c r="K888" s="15" t="s">
        <v>28</v>
      </c>
      <c r="L888" s="15"/>
      <c r="M888" s="16">
        <f t="shared" si="139"/>
        <v>34</v>
      </c>
      <c r="N888" s="15">
        <f>12000+3000-4800</f>
        <v>10200</v>
      </c>
      <c r="O888" s="15">
        <v>3800</v>
      </c>
      <c r="P888" s="15">
        <f t="shared" si="137"/>
        <v>38760000</v>
      </c>
      <c r="Q888" s="15" t="str">
        <f t="shared" si="136"/>
        <v>Done</v>
      </c>
      <c r="R888" s="18" t="s">
        <v>44</v>
      </c>
      <c r="S888" s="117">
        <v>43590</v>
      </c>
      <c r="T888" s="20">
        <f>IFERROR(VLOOKUP(S888,'Date Converter'!$A$4:$C$368,3,0),"")</f>
        <v>43623</v>
      </c>
      <c r="U888" s="21">
        <f t="shared" si="135"/>
        <v>43623</v>
      </c>
      <c r="V888" s="12" t="s">
        <v>1424</v>
      </c>
      <c r="W888" s="18"/>
      <c r="X888" s="18"/>
      <c r="Y888" s="18"/>
      <c r="Z888" s="210">
        <v>43626</v>
      </c>
      <c r="AA888" s="15">
        <v>10200</v>
      </c>
      <c r="AB888" s="210"/>
      <c r="AC888" s="15"/>
      <c r="AD888" s="15"/>
      <c r="AE888" s="15"/>
      <c r="AF888" s="244"/>
      <c r="AG888" s="15"/>
      <c r="AH888" s="15">
        <f t="shared" si="140"/>
        <v>10200</v>
      </c>
      <c r="AI888" s="22">
        <f t="shared" si="141"/>
        <v>0</v>
      </c>
      <c r="AJ888" s="22">
        <f t="shared" si="142"/>
        <v>0</v>
      </c>
      <c r="AK888" s="13"/>
    </row>
    <row r="889" spans="1:37" s="165" customFormat="1" ht="14.25" hidden="1" customHeight="1">
      <c r="A889" s="165" t="s">
        <v>1687</v>
      </c>
      <c r="B889" s="13">
        <v>43614</v>
      </c>
      <c r="C889" s="13" t="s">
        <v>1622</v>
      </c>
      <c r="D889" s="165" t="s">
        <v>816</v>
      </c>
      <c r="E889" s="165" t="s">
        <v>817</v>
      </c>
      <c r="F889" s="165" t="str">
        <f t="shared" si="138"/>
        <v>YELL_14.16_300_NL2018</v>
      </c>
      <c r="G889" s="165" t="s">
        <v>89</v>
      </c>
      <c r="H889" s="12"/>
      <c r="I889" s="12" t="s">
        <v>47</v>
      </c>
      <c r="J889" s="14">
        <v>300</v>
      </c>
      <c r="K889" s="15" t="s">
        <v>28</v>
      </c>
      <c r="L889" s="15"/>
      <c r="M889" s="16">
        <f t="shared" si="139"/>
        <v>10</v>
      </c>
      <c r="N889" s="15">
        <f>6900-3900</f>
        <v>3000</v>
      </c>
      <c r="O889" s="15">
        <v>3900</v>
      </c>
      <c r="P889" s="15">
        <f t="shared" si="137"/>
        <v>11700000</v>
      </c>
      <c r="Q889" s="15" t="str">
        <f t="shared" si="136"/>
        <v>Done</v>
      </c>
      <c r="R889" s="18" t="s">
        <v>44</v>
      </c>
      <c r="S889" s="117">
        <v>43590</v>
      </c>
      <c r="T889" s="20">
        <f>IFERROR(VLOOKUP(S889,'Date Converter'!$A$4:$C$368,3,0),"")</f>
        <v>43623</v>
      </c>
      <c r="U889" s="21">
        <f t="shared" si="135"/>
        <v>43623</v>
      </c>
      <c r="V889" s="12"/>
      <c r="W889" s="18" t="s">
        <v>1853</v>
      </c>
      <c r="X889" s="18"/>
      <c r="Y889" s="18"/>
      <c r="Z889" s="210">
        <v>43640</v>
      </c>
      <c r="AA889" s="15">
        <v>3000</v>
      </c>
      <c r="AB889" s="210"/>
      <c r="AC889" s="15"/>
      <c r="AD889" s="15"/>
      <c r="AE889" s="15"/>
      <c r="AF889" s="244"/>
      <c r="AG889" s="15"/>
      <c r="AH889" s="15">
        <f t="shared" si="140"/>
        <v>3000</v>
      </c>
      <c r="AI889" s="22">
        <f t="shared" si="141"/>
        <v>0</v>
      </c>
      <c r="AJ889" s="22">
        <f t="shared" si="142"/>
        <v>0</v>
      </c>
      <c r="AK889" s="13"/>
    </row>
    <row r="890" spans="1:37" ht="14.25" hidden="1" customHeight="1">
      <c r="A890" t="s">
        <v>1687</v>
      </c>
      <c r="B890" s="13">
        <v>43614</v>
      </c>
      <c r="C890" s="13" t="s">
        <v>1622</v>
      </c>
      <c r="D890" t="s">
        <v>816</v>
      </c>
      <c r="E890" s="165" t="s">
        <v>817</v>
      </c>
      <c r="F890" t="str">
        <f t="shared" si="138"/>
        <v>YELL_14.16_300_NL2018</v>
      </c>
      <c r="G890" s="165" t="s">
        <v>89</v>
      </c>
      <c r="I890" s="12" t="s">
        <v>47</v>
      </c>
      <c r="J890" s="14">
        <v>300</v>
      </c>
      <c r="K890" s="15" t="s">
        <v>28</v>
      </c>
      <c r="M890" s="16">
        <f t="shared" si="139"/>
        <v>24</v>
      </c>
      <c r="N890" s="15">
        <f>3000+3900+300</f>
        <v>7200</v>
      </c>
      <c r="O890" s="15">
        <v>3900</v>
      </c>
      <c r="P890" s="15">
        <f t="shared" si="137"/>
        <v>28080000</v>
      </c>
      <c r="Q890" s="15" t="str">
        <f t="shared" si="136"/>
        <v>Done</v>
      </c>
      <c r="R890" s="18" t="s">
        <v>44</v>
      </c>
      <c r="S890" s="117">
        <v>43603</v>
      </c>
      <c r="T890" s="20">
        <f>IFERROR(VLOOKUP(S890,'Date Converter'!$A$4:$C$368,3,0),"")</f>
        <v>43636</v>
      </c>
      <c r="U890" s="21">
        <f t="shared" si="135"/>
        <v>43636</v>
      </c>
      <c r="W890" s="18" t="s">
        <v>1853</v>
      </c>
      <c r="Y890" s="18"/>
      <c r="Z890" s="210">
        <v>43640</v>
      </c>
      <c r="AA890" s="15">
        <v>7200</v>
      </c>
      <c r="AB890" s="210"/>
      <c r="AC890" s="15"/>
      <c r="AD890" s="15"/>
      <c r="AE890" s="15"/>
      <c r="AF890" s="244"/>
      <c r="AG890" s="15"/>
      <c r="AH890" s="15">
        <f t="shared" si="140"/>
        <v>7200</v>
      </c>
      <c r="AI890" s="22">
        <f t="shared" si="141"/>
        <v>0</v>
      </c>
      <c r="AJ890" s="22">
        <f t="shared" si="142"/>
        <v>0</v>
      </c>
      <c r="AK890" s="13"/>
    </row>
    <row r="891" spans="1:37" hidden="1">
      <c r="A891" t="s">
        <v>1687</v>
      </c>
      <c r="B891" s="13">
        <v>43600</v>
      </c>
      <c r="C891" s="13" t="s">
        <v>1622</v>
      </c>
      <c r="D891" t="s">
        <v>816</v>
      </c>
      <c r="E891" s="165" t="s">
        <v>817</v>
      </c>
      <c r="F891" t="str">
        <f t="shared" si="138"/>
        <v>YELL_14.16_300_NL2018</v>
      </c>
      <c r="G891" s="165" t="s">
        <v>89</v>
      </c>
      <c r="I891" s="12" t="s">
        <v>47</v>
      </c>
      <c r="J891" s="14">
        <v>300</v>
      </c>
      <c r="K891" s="15" t="s">
        <v>28</v>
      </c>
      <c r="M891" s="16">
        <f t="shared" si="139"/>
        <v>34</v>
      </c>
      <c r="N891" s="15">
        <v>10200</v>
      </c>
      <c r="O891" s="15">
        <v>4000</v>
      </c>
      <c r="P891" s="15">
        <f t="shared" si="137"/>
        <v>40800000</v>
      </c>
      <c r="Q891" s="15" t="str">
        <f t="shared" si="136"/>
        <v/>
      </c>
      <c r="R891" s="18" t="s">
        <v>31</v>
      </c>
      <c r="S891" s="117">
        <v>43631</v>
      </c>
      <c r="T891" s="20">
        <f>IFERROR(VLOOKUP(S891,'Date Converter'!$A$4:$C$368,3,0),"")</f>
        <v>43663</v>
      </c>
      <c r="U891" s="21">
        <f t="shared" si="135"/>
        <v>43663</v>
      </c>
      <c r="V891" s="12" t="s">
        <v>1424</v>
      </c>
      <c r="Y891" s="18"/>
      <c r="Z891" s="210"/>
      <c r="AA891" s="15"/>
      <c r="AB891" s="210"/>
      <c r="AC891" s="15"/>
      <c r="AD891" s="15"/>
      <c r="AE891" s="15"/>
      <c r="AF891" s="244"/>
      <c r="AG891" s="15"/>
      <c r="AH891" s="15">
        <f t="shared" si="140"/>
        <v>0</v>
      </c>
      <c r="AI891" s="22">
        <f t="shared" si="141"/>
        <v>10200</v>
      </c>
      <c r="AJ891" s="22">
        <f t="shared" si="142"/>
        <v>40800000</v>
      </c>
      <c r="AK891" s="13"/>
    </row>
    <row r="892" spans="1:37" hidden="1">
      <c r="A892" t="s">
        <v>1687</v>
      </c>
      <c r="B892" s="13">
        <v>43638</v>
      </c>
      <c r="C892" s="13" t="s">
        <v>1622</v>
      </c>
      <c r="D892" t="s">
        <v>816</v>
      </c>
      <c r="E892" s="165" t="s">
        <v>817</v>
      </c>
      <c r="F892" t="str">
        <f t="shared" si="138"/>
        <v>DALI_14.16_300_NL2018</v>
      </c>
      <c r="G892" s="165" t="s">
        <v>46</v>
      </c>
      <c r="I892" s="12" t="s">
        <v>47</v>
      </c>
      <c r="J892" s="14">
        <v>300</v>
      </c>
      <c r="K892" s="15" t="s">
        <v>28</v>
      </c>
      <c r="M892" s="16">
        <f t="shared" si="139"/>
        <v>17</v>
      </c>
      <c r="N892" s="15">
        <v>5100</v>
      </c>
      <c r="O892" s="15">
        <v>5600</v>
      </c>
      <c r="P892" s="15">
        <f t="shared" si="137"/>
        <v>28560000</v>
      </c>
      <c r="Q892" s="15" t="str">
        <f t="shared" si="136"/>
        <v/>
      </c>
      <c r="R892" s="18" t="s">
        <v>29</v>
      </c>
      <c r="S892" s="117">
        <v>43646</v>
      </c>
      <c r="T892" s="20" t="str">
        <f>IFERROR(VLOOKUP(S892,'Date Converter'!$A$4:$C$368,3,0),"")</f>
        <v/>
      </c>
      <c r="U892" s="21" t="str">
        <f t="shared" ref="U892:U954" si="143">+T892</f>
        <v/>
      </c>
      <c r="Y892" s="18"/>
      <c r="Z892" s="210"/>
      <c r="AA892" s="15"/>
      <c r="AB892" s="210"/>
      <c r="AC892" s="15"/>
      <c r="AD892" s="15"/>
      <c r="AE892" s="15"/>
      <c r="AF892" s="244"/>
      <c r="AG892" s="15"/>
      <c r="AH892" s="15">
        <f t="shared" si="140"/>
        <v>0</v>
      </c>
      <c r="AI892" s="22">
        <f t="shared" si="141"/>
        <v>5100</v>
      </c>
      <c r="AJ892" s="22">
        <f t="shared" si="142"/>
        <v>28560000</v>
      </c>
      <c r="AK892" s="13"/>
    </row>
    <row r="893" spans="1:37" s="165" customFormat="1" hidden="1">
      <c r="A893" s="165" t="s">
        <v>1687</v>
      </c>
      <c r="B893" s="13">
        <v>43638</v>
      </c>
      <c r="C893" s="13" t="s">
        <v>1622</v>
      </c>
      <c r="D893" s="165" t="s">
        <v>816</v>
      </c>
      <c r="E893" s="165" t="s">
        <v>817</v>
      </c>
      <c r="F893" s="165" t="str">
        <f t="shared" si="138"/>
        <v>DIGA_16.18_200_NL2018</v>
      </c>
      <c r="G893" s="165" t="s">
        <v>1813</v>
      </c>
      <c r="H893" s="12"/>
      <c r="I893" s="12">
        <v>16.18</v>
      </c>
      <c r="J893" s="31" t="s">
        <v>121</v>
      </c>
      <c r="K893" s="15" t="s">
        <v>28</v>
      </c>
      <c r="L893" s="15"/>
      <c r="M893" s="16">
        <f t="shared" si="139"/>
        <v>25</v>
      </c>
      <c r="N893" s="15">
        <v>5000</v>
      </c>
      <c r="O893" s="15">
        <v>6600</v>
      </c>
      <c r="P893" s="15">
        <f t="shared" si="137"/>
        <v>33000000</v>
      </c>
      <c r="Q893" s="15" t="str">
        <f t="shared" si="136"/>
        <v/>
      </c>
      <c r="R893" s="18" t="s">
        <v>29</v>
      </c>
      <c r="S893" s="117">
        <v>43646</v>
      </c>
      <c r="T893" s="20" t="str">
        <f>IFERROR(VLOOKUP(S893,'Date Converter'!$A$4:$C$368,3,0),"")</f>
        <v/>
      </c>
      <c r="U893" s="21" t="str">
        <f t="shared" si="143"/>
        <v/>
      </c>
      <c r="V893" s="12"/>
      <c r="W893" s="18"/>
      <c r="X893" s="18"/>
      <c r="Y893" s="18"/>
      <c r="Z893" s="210"/>
      <c r="AA893" s="15"/>
      <c r="AB893" s="210"/>
      <c r="AC893" s="15"/>
      <c r="AD893" s="15"/>
      <c r="AE893" s="15"/>
      <c r="AF893" s="244"/>
      <c r="AG893" s="15"/>
      <c r="AH893" s="15">
        <f t="shared" si="140"/>
        <v>0</v>
      </c>
      <c r="AI893" s="22">
        <f t="shared" si="141"/>
        <v>5000</v>
      </c>
      <c r="AJ893" s="22">
        <f t="shared" si="142"/>
        <v>33000000</v>
      </c>
      <c r="AK893" s="13"/>
    </row>
    <row r="894" spans="1:37" s="165" customFormat="1" hidden="1">
      <c r="A894" s="165" t="s">
        <v>1687</v>
      </c>
      <c r="B894" s="13">
        <v>43614</v>
      </c>
      <c r="C894" s="13" t="s">
        <v>1622</v>
      </c>
      <c r="D894" s="165" t="s">
        <v>816</v>
      </c>
      <c r="E894" s="165" t="s">
        <v>817</v>
      </c>
      <c r="F894" s="165" t="str">
        <f t="shared" si="138"/>
        <v>YELL_14.16_300_NL2018</v>
      </c>
      <c r="G894" s="165" t="s">
        <v>89</v>
      </c>
      <c r="H894" s="12"/>
      <c r="I894" s="12" t="s">
        <v>47</v>
      </c>
      <c r="J894" s="14">
        <v>300</v>
      </c>
      <c r="K894" s="15" t="s">
        <v>28</v>
      </c>
      <c r="L894" s="15"/>
      <c r="M894" s="16">
        <f t="shared" si="139"/>
        <v>34</v>
      </c>
      <c r="N894" s="15">
        <v>10200</v>
      </c>
      <c r="O894" s="15">
        <v>4000</v>
      </c>
      <c r="P894" s="15">
        <f t="shared" si="137"/>
        <v>40800000</v>
      </c>
      <c r="Q894" s="15" t="str">
        <f t="shared" si="136"/>
        <v/>
      </c>
      <c r="R894" s="18" t="s">
        <v>29</v>
      </c>
      <c r="S894" s="117">
        <v>43645</v>
      </c>
      <c r="T894" s="20">
        <f>IFERROR(VLOOKUP(S894,'Date Converter'!$A$4:$C$368,3,0),"")</f>
        <v>43677</v>
      </c>
      <c r="U894" s="21">
        <f t="shared" si="143"/>
        <v>43677</v>
      </c>
      <c r="V894" s="12"/>
      <c r="W894" s="18"/>
      <c r="X894" s="18"/>
      <c r="Y894" s="18"/>
      <c r="Z894" s="210"/>
      <c r="AA894" s="15"/>
      <c r="AB894" s="210"/>
      <c r="AC894" s="15"/>
      <c r="AD894" s="15"/>
      <c r="AE894" s="15"/>
      <c r="AF894" s="244"/>
      <c r="AG894" s="15"/>
      <c r="AH894" s="15">
        <f t="shared" si="140"/>
        <v>0</v>
      </c>
      <c r="AI894" s="22">
        <f t="shared" si="141"/>
        <v>10200</v>
      </c>
      <c r="AJ894" s="22">
        <f t="shared" si="142"/>
        <v>40800000</v>
      </c>
      <c r="AK894" s="13"/>
    </row>
    <row r="895" spans="1:37" hidden="1">
      <c r="A895" t="s">
        <v>1687</v>
      </c>
      <c r="B895" s="13">
        <v>43614</v>
      </c>
      <c r="C895" s="13" t="s">
        <v>1622</v>
      </c>
      <c r="D895" t="s">
        <v>816</v>
      </c>
      <c r="E895" s="165" t="s">
        <v>817</v>
      </c>
      <c r="F895" t="str">
        <f t="shared" si="138"/>
        <v>YELL_14.16_300_NL2018</v>
      </c>
      <c r="G895" s="165" t="s">
        <v>89</v>
      </c>
      <c r="I895" s="12" t="s">
        <v>47</v>
      </c>
      <c r="J895" s="14">
        <v>300</v>
      </c>
      <c r="K895" s="15" t="s">
        <v>28</v>
      </c>
      <c r="M895" s="16">
        <f t="shared" si="139"/>
        <v>34</v>
      </c>
      <c r="N895" s="15">
        <v>10200</v>
      </c>
      <c r="O895" s="15">
        <v>4000</v>
      </c>
      <c r="P895" s="15">
        <f t="shared" si="137"/>
        <v>40800000</v>
      </c>
      <c r="Q895" s="15" t="str">
        <f t="shared" si="136"/>
        <v/>
      </c>
      <c r="R895" s="18" t="s">
        <v>29</v>
      </c>
      <c r="S895" s="117">
        <v>43661</v>
      </c>
      <c r="T895" s="20">
        <f>IFERROR(VLOOKUP(S895,'Date Converter'!$A$4:$C$368,3,0),"")</f>
        <v>43692</v>
      </c>
      <c r="U895" s="21">
        <f t="shared" si="143"/>
        <v>43692</v>
      </c>
      <c r="Y895" s="18"/>
      <c r="Z895" s="210"/>
      <c r="AA895" s="15"/>
      <c r="AB895" s="210"/>
      <c r="AC895" s="15"/>
      <c r="AD895" s="15"/>
      <c r="AE895" s="15"/>
      <c r="AF895" s="244"/>
      <c r="AG895" s="15"/>
      <c r="AH895" s="15">
        <f t="shared" si="140"/>
        <v>0</v>
      </c>
      <c r="AI895" s="22">
        <f t="shared" si="141"/>
        <v>10200</v>
      </c>
      <c r="AJ895" s="22">
        <f t="shared" si="142"/>
        <v>40800000</v>
      </c>
      <c r="AK895" s="13"/>
    </row>
    <row r="896" spans="1:37" hidden="1">
      <c r="A896" t="s">
        <v>1686</v>
      </c>
      <c r="B896" s="13">
        <v>43538</v>
      </c>
      <c r="C896" s="13" t="s">
        <v>1622</v>
      </c>
      <c r="D896" t="s">
        <v>816</v>
      </c>
      <c r="E896" s="165" t="s">
        <v>817</v>
      </c>
      <c r="F896" t="str">
        <f t="shared" si="138"/>
        <v>TARR_14.16_300_NL2018</v>
      </c>
      <c r="G896" s="165" t="s">
        <v>62</v>
      </c>
      <c r="I896" s="12" t="s">
        <v>47</v>
      </c>
      <c r="J896" s="14">
        <v>300</v>
      </c>
      <c r="K896" s="15" t="s">
        <v>28</v>
      </c>
      <c r="M896" s="16">
        <f t="shared" si="139"/>
        <v>35</v>
      </c>
      <c r="N896" s="15">
        <v>10500</v>
      </c>
      <c r="O896" s="15">
        <v>4600</v>
      </c>
      <c r="P896" s="15">
        <f t="shared" si="137"/>
        <v>48300000</v>
      </c>
      <c r="Q896" s="15" t="str">
        <f t="shared" si="136"/>
        <v>Done</v>
      </c>
      <c r="R896" s="18" t="s">
        <v>44</v>
      </c>
      <c r="S896" s="117">
        <v>43539</v>
      </c>
      <c r="T896" s="20">
        <f>IFERROR(VLOOKUP(S896,'Date Converter'!$A$4:$C$368,3,0),"")</f>
        <v>43574</v>
      </c>
      <c r="U896" s="21">
        <f t="shared" si="143"/>
        <v>43574</v>
      </c>
      <c r="V896" s="12" t="s">
        <v>57</v>
      </c>
      <c r="W896" s="18" t="s">
        <v>143</v>
      </c>
      <c r="Y896" s="18"/>
      <c r="Z896" s="210">
        <v>43574</v>
      </c>
      <c r="AA896" s="15">
        <v>10500</v>
      </c>
      <c r="AB896" s="210"/>
      <c r="AC896" s="15"/>
      <c r="AD896" s="15"/>
      <c r="AE896" s="15"/>
      <c r="AF896" s="244"/>
      <c r="AG896" s="15"/>
      <c r="AH896" s="15">
        <f t="shared" si="140"/>
        <v>10500</v>
      </c>
      <c r="AI896" s="22">
        <f t="shared" si="141"/>
        <v>0</v>
      </c>
      <c r="AJ896" s="22">
        <f t="shared" si="142"/>
        <v>0</v>
      </c>
      <c r="AK896" s="13">
        <v>43845</v>
      </c>
    </row>
    <row r="897" spans="1:37" hidden="1">
      <c r="A897" s="165" t="s">
        <v>1687</v>
      </c>
      <c r="B897" s="13">
        <v>43614</v>
      </c>
      <c r="C897" s="13" t="s">
        <v>1622</v>
      </c>
      <c r="D897" s="165" t="s">
        <v>816</v>
      </c>
      <c r="E897" s="165" t="s">
        <v>817</v>
      </c>
      <c r="F897" s="165" t="str">
        <f t="shared" si="138"/>
        <v>TARR_14.16_300_NL2018</v>
      </c>
      <c r="G897" s="165" t="s">
        <v>62</v>
      </c>
      <c r="I897" s="12" t="s">
        <v>47</v>
      </c>
      <c r="J897" s="14">
        <v>300</v>
      </c>
      <c r="K897" s="15" t="s">
        <v>28</v>
      </c>
      <c r="M897" s="16">
        <f t="shared" si="139"/>
        <v>50</v>
      </c>
      <c r="N897" s="15">
        <f>10200+4800</f>
        <v>15000</v>
      </c>
      <c r="O897" s="15">
        <v>4800</v>
      </c>
      <c r="P897" s="15">
        <f t="shared" si="137"/>
        <v>72000000</v>
      </c>
      <c r="Q897" s="15" t="str">
        <f t="shared" si="136"/>
        <v>Done</v>
      </c>
      <c r="R897" s="18" t="s">
        <v>44</v>
      </c>
      <c r="S897" s="117">
        <v>43590</v>
      </c>
      <c r="T897" s="20">
        <f>IFERROR(VLOOKUP(S897,'Date Converter'!$A$4:$C$368,3,0),"")</f>
        <v>43623</v>
      </c>
      <c r="U897" s="21">
        <f t="shared" si="143"/>
        <v>43623</v>
      </c>
      <c r="V897" s="12" t="s">
        <v>1424</v>
      </c>
      <c r="Y897" s="18"/>
      <c r="Z897" s="210">
        <v>43626</v>
      </c>
      <c r="AA897" s="15">
        <v>5100</v>
      </c>
      <c r="AB897" s="210">
        <v>43634</v>
      </c>
      <c r="AC897" s="15">
        <v>9900</v>
      </c>
      <c r="AD897" s="15"/>
      <c r="AE897" s="15"/>
      <c r="AF897" s="244"/>
      <c r="AG897" s="15"/>
      <c r="AH897" s="15">
        <f t="shared" si="140"/>
        <v>15000</v>
      </c>
      <c r="AI897" s="22">
        <f t="shared" si="141"/>
        <v>0</v>
      </c>
      <c r="AJ897" s="22">
        <f t="shared" si="142"/>
        <v>0</v>
      </c>
      <c r="AK897" s="13"/>
    </row>
    <row r="898" spans="1:37" hidden="1">
      <c r="A898" s="165" t="s">
        <v>1686</v>
      </c>
      <c r="B898" s="13">
        <v>43538</v>
      </c>
      <c r="C898" s="13" t="s">
        <v>1622</v>
      </c>
      <c r="D898" s="165" t="s">
        <v>816</v>
      </c>
      <c r="E898" s="165" t="s">
        <v>817</v>
      </c>
      <c r="F898" s="165" t="str">
        <f t="shared" si="138"/>
        <v>SERA_14.16_300_NL2018</v>
      </c>
      <c r="G898" s="165" t="s">
        <v>227</v>
      </c>
      <c r="I898" s="12" t="s">
        <v>47</v>
      </c>
      <c r="J898" s="14">
        <v>300</v>
      </c>
      <c r="K898" s="15" t="s">
        <v>28</v>
      </c>
      <c r="M898" s="16">
        <f t="shared" si="139"/>
        <v>17</v>
      </c>
      <c r="N898" s="15">
        <v>5100</v>
      </c>
      <c r="O898" s="15">
        <v>3600</v>
      </c>
      <c r="P898" s="15">
        <f t="shared" si="137"/>
        <v>18360000</v>
      </c>
      <c r="Q898" s="15" t="str">
        <f t="shared" si="136"/>
        <v>Done</v>
      </c>
      <c r="R898" s="18" t="s">
        <v>44</v>
      </c>
      <c r="S898" s="117" t="s">
        <v>151</v>
      </c>
      <c r="T898" s="20">
        <f>IFERROR(VLOOKUP(S898,'Date Converter'!$A$4:$C$368,3,0),"")</f>
        <v>43558</v>
      </c>
      <c r="U898" s="21">
        <f t="shared" si="143"/>
        <v>43558</v>
      </c>
      <c r="V898" s="12" t="s">
        <v>81</v>
      </c>
      <c r="Y898" s="18"/>
      <c r="Z898" s="210">
        <v>43558</v>
      </c>
      <c r="AA898" s="15">
        <v>5100</v>
      </c>
      <c r="AB898" s="210"/>
      <c r="AC898" s="15"/>
      <c r="AD898" s="15"/>
      <c r="AE898" s="15"/>
      <c r="AF898" s="244"/>
      <c r="AG898" s="15"/>
      <c r="AH898" s="15">
        <f t="shared" si="140"/>
        <v>5100</v>
      </c>
      <c r="AI898" s="22">
        <f t="shared" si="141"/>
        <v>0</v>
      </c>
      <c r="AJ898" s="22">
        <f t="shared" si="142"/>
        <v>0</v>
      </c>
      <c r="AK898" s="13">
        <v>43845</v>
      </c>
    </row>
    <row r="899" spans="1:37" s="165" customFormat="1" hidden="1">
      <c r="A899" s="165" t="s">
        <v>1686</v>
      </c>
      <c r="B899" s="13">
        <v>43538</v>
      </c>
      <c r="C899" s="13" t="s">
        <v>1622</v>
      </c>
      <c r="D899" s="165" t="s">
        <v>816</v>
      </c>
      <c r="E899" s="165" t="s">
        <v>817</v>
      </c>
      <c r="F899" s="165" t="str">
        <f t="shared" si="138"/>
        <v>SERA_16.18_200_NL2018</v>
      </c>
      <c r="G899" s="165" t="s">
        <v>227</v>
      </c>
      <c r="H899" s="12"/>
      <c r="I899" s="12" t="s">
        <v>35</v>
      </c>
      <c r="J899" s="14">
        <v>200</v>
      </c>
      <c r="K899" s="15" t="s">
        <v>28</v>
      </c>
      <c r="L899" s="15"/>
      <c r="M899" s="16">
        <f t="shared" si="139"/>
        <v>0</v>
      </c>
      <c r="N899" s="15">
        <f>8000-8000</f>
        <v>0</v>
      </c>
      <c r="O899" s="15">
        <v>5200</v>
      </c>
      <c r="P899" s="15">
        <f t="shared" si="137"/>
        <v>0</v>
      </c>
      <c r="Q899" s="15" t="str">
        <f t="shared" ref="Q899:Q962" si="144">IF(AND(N899=0,AI899=0),"Canceled",IF(AND(N899&gt;0,AI899=0),"Done",""))</f>
        <v>Canceled</v>
      </c>
      <c r="R899" s="18" t="s">
        <v>71</v>
      </c>
      <c r="S899" s="117">
        <v>43584</v>
      </c>
      <c r="T899" s="20">
        <f>IFERROR(VLOOKUP(S899,'Date Converter'!$A$4:$C$368,3,0),"")</f>
        <v>43618</v>
      </c>
      <c r="U899" s="21">
        <f t="shared" si="143"/>
        <v>43618</v>
      </c>
      <c r="V899" s="12" t="s">
        <v>443</v>
      </c>
      <c r="W899" s="18"/>
      <c r="X899" s="18"/>
      <c r="Y899" s="18"/>
      <c r="Z899" s="210"/>
      <c r="AA899" s="15"/>
      <c r="AB899" s="210"/>
      <c r="AC899" s="15"/>
      <c r="AD899" s="15"/>
      <c r="AE899" s="15"/>
      <c r="AF899" s="244"/>
      <c r="AG899" s="15"/>
      <c r="AH899" s="15">
        <f t="shared" si="140"/>
        <v>0</v>
      </c>
      <c r="AI899" s="22">
        <f t="shared" si="141"/>
        <v>0</v>
      </c>
      <c r="AJ899" s="22">
        <f t="shared" si="142"/>
        <v>0</v>
      </c>
      <c r="AK899" s="13"/>
    </row>
    <row r="900" spans="1:37" hidden="1">
      <c r="A900" t="s">
        <v>1682</v>
      </c>
      <c r="B900" s="13">
        <v>43526</v>
      </c>
      <c r="C900" s="13" t="s">
        <v>1622</v>
      </c>
      <c r="D900" t="s">
        <v>816</v>
      </c>
      <c r="E900" s="165" t="s">
        <v>817</v>
      </c>
      <c r="F900" t="str">
        <f t="shared" si="138"/>
        <v>ROBI_18.20_150_NL2018</v>
      </c>
      <c r="G900" t="s">
        <v>61</v>
      </c>
      <c r="I900" s="12" t="s">
        <v>27</v>
      </c>
      <c r="J900" s="14">
        <v>150</v>
      </c>
      <c r="K900" s="15" t="s">
        <v>28</v>
      </c>
      <c r="M900" s="16">
        <f t="shared" si="139"/>
        <v>67</v>
      </c>
      <c r="N900" s="15">
        <v>10050</v>
      </c>
      <c r="O900" s="15">
        <v>6300</v>
      </c>
      <c r="P900" s="15">
        <f t="shared" si="137"/>
        <v>63315000</v>
      </c>
      <c r="Q900" s="15" t="str">
        <f t="shared" si="144"/>
        <v>Done</v>
      </c>
      <c r="R900" s="18" t="s">
        <v>44</v>
      </c>
      <c r="S900" s="117">
        <v>43521</v>
      </c>
      <c r="T900" s="20">
        <f>IFERROR(VLOOKUP(S900,'Date Converter'!$A$4:$C$368,3,0),"")</f>
        <v>43554</v>
      </c>
      <c r="U900" s="21">
        <f t="shared" si="143"/>
        <v>43554</v>
      </c>
      <c r="V900" s="12" t="s">
        <v>1685</v>
      </c>
      <c r="W900" s="18" t="s">
        <v>41</v>
      </c>
      <c r="Y900" s="18"/>
      <c r="Z900" s="210">
        <v>43554</v>
      </c>
      <c r="AA900" s="15">
        <v>10050</v>
      </c>
      <c r="AB900" s="210"/>
      <c r="AC900" s="15"/>
      <c r="AD900" s="15"/>
      <c r="AE900" s="15"/>
      <c r="AF900" s="244"/>
      <c r="AG900" s="15"/>
      <c r="AH900" s="15">
        <f t="shared" si="140"/>
        <v>10050</v>
      </c>
      <c r="AI900" s="22">
        <f t="shared" si="141"/>
        <v>0</v>
      </c>
      <c r="AJ900" s="22">
        <f t="shared" si="142"/>
        <v>0</v>
      </c>
      <c r="AK900" s="13">
        <v>44187</v>
      </c>
    </row>
    <row r="901" spans="1:37" hidden="1">
      <c r="A901" t="s">
        <v>1686</v>
      </c>
      <c r="B901" s="13">
        <v>43538</v>
      </c>
      <c r="C901" s="13" t="s">
        <v>1622</v>
      </c>
      <c r="D901" t="s">
        <v>816</v>
      </c>
      <c r="E901" s="165" t="s">
        <v>817</v>
      </c>
      <c r="F901" t="str">
        <f t="shared" si="138"/>
        <v>ROBI_16.18_200_NL2018</v>
      </c>
      <c r="G901" t="s">
        <v>61</v>
      </c>
      <c r="I901" s="12" t="s">
        <v>35</v>
      </c>
      <c r="J901" s="14">
        <v>200</v>
      </c>
      <c r="K901" s="15" t="s">
        <v>28</v>
      </c>
      <c r="M901" s="16">
        <f t="shared" si="139"/>
        <v>30</v>
      </c>
      <c r="N901" s="15">
        <f>5000+1000</f>
        <v>6000</v>
      </c>
      <c r="O901" s="15">
        <v>5000</v>
      </c>
      <c r="P901" s="15">
        <f t="shared" ref="P901:P963" si="145">+O901*N901</f>
        <v>30000000</v>
      </c>
      <c r="Q901" s="15" t="str">
        <f t="shared" si="144"/>
        <v>Done</v>
      </c>
      <c r="R901" s="18" t="s">
        <v>44</v>
      </c>
      <c r="S901" s="117" t="s">
        <v>151</v>
      </c>
      <c r="T901" s="20">
        <f>IFERROR(VLOOKUP(S901,'Date Converter'!$A$4:$C$368,3,0),"")</f>
        <v>43558</v>
      </c>
      <c r="U901" s="21">
        <f t="shared" si="143"/>
        <v>43558</v>
      </c>
      <c r="V901" s="12" t="s">
        <v>81</v>
      </c>
      <c r="Y901" s="18"/>
      <c r="Z901" s="210">
        <v>43558</v>
      </c>
      <c r="AA901" s="15">
        <v>6000</v>
      </c>
      <c r="AB901" s="210"/>
      <c r="AC901" s="15"/>
      <c r="AD901" s="15"/>
      <c r="AE901" s="15"/>
      <c r="AF901" s="244"/>
      <c r="AG901" s="15"/>
      <c r="AH901" s="15">
        <f t="shared" si="140"/>
        <v>6000</v>
      </c>
      <c r="AI901" s="22">
        <f t="shared" si="141"/>
        <v>0</v>
      </c>
      <c r="AJ901" s="22">
        <f t="shared" si="142"/>
        <v>0</v>
      </c>
      <c r="AK901" s="13">
        <v>43845</v>
      </c>
    </row>
    <row r="902" spans="1:37" hidden="1">
      <c r="A902" t="s">
        <v>1686</v>
      </c>
      <c r="B902" s="13">
        <v>43538</v>
      </c>
      <c r="C902" s="13" t="s">
        <v>1622</v>
      </c>
      <c r="D902" t="s">
        <v>816</v>
      </c>
      <c r="E902" s="165" t="s">
        <v>817</v>
      </c>
      <c r="F902" t="str">
        <f t="shared" si="138"/>
        <v>ROBI_18.20_150_NL2018</v>
      </c>
      <c r="G902" s="165" t="s">
        <v>61</v>
      </c>
      <c r="I902" s="12" t="s">
        <v>27</v>
      </c>
      <c r="J902" s="14">
        <v>150</v>
      </c>
      <c r="K902" s="15" t="s">
        <v>28</v>
      </c>
      <c r="M902" s="16">
        <f t="shared" si="139"/>
        <v>67</v>
      </c>
      <c r="N902" s="15">
        <v>10050</v>
      </c>
      <c r="O902" s="15">
        <v>6498</v>
      </c>
      <c r="P902" s="15">
        <f t="shared" si="145"/>
        <v>65304900</v>
      </c>
      <c r="Q902" s="15" t="str">
        <f t="shared" si="144"/>
        <v>Done</v>
      </c>
      <c r="R902" s="18" t="s">
        <v>44</v>
      </c>
      <c r="S902" s="117">
        <v>43572</v>
      </c>
      <c r="T902" s="20">
        <f>IFERROR(VLOOKUP(S902,'Date Converter'!$A$4:$C$368,3,0),"")</f>
        <v>43606</v>
      </c>
      <c r="U902" s="21">
        <f t="shared" si="143"/>
        <v>43606</v>
      </c>
      <c r="V902" s="12" t="s">
        <v>36</v>
      </c>
      <c r="Y902" s="18"/>
      <c r="Z902" s="210">
        <v>43609</v>
      </c>
      <c r="AA902" s="15">
        <v>10050</v>
      </c>
      <c r="AB902" s="210"/>
      <c r="AC902" s="15"/>
      <c r="AD902" s="15"/>
      <c r="AE902" s="15"/>
      <c r="AF902" s="244"/>
      <c r="AG902" s="15"/>
      <c r="AH902" s="15">
        <f t="shared" si="140"/>
        <v>10050</v>
      </c>
      <c r="AI902" s="22">
        <f t="shared" si="141"/>
        <v>0</v>
      </c>
      <c r="AJ902" s="22">
        <f t="shared" si="142"/>
        <v>0</v>
      </c>
      <c r="AK902" s="13">
        <v>43845</v>
      </c>
    </row>
    <row r="903" spans="1:37" hidden="1">
      <c r="A903" t="s">
        <v>1688</v>
      </c>
      <c r="B903" s="13">
        <v>43558</v>
      </c>
      <c r="C903" s="13" t="s">
        <v>1622</v>
      </c>
      <c r="D903" s="258" t="s">
        <v>816</v>
      </c>
      <c r="E903" s="165" t="s">
        <v>817</v>
      </c>
      <c r="F903" s="165" t="str">
        <f t="shared" si="138"/>
        <v>ROBI_20.22_125_NL2018</v>
      </c>
      <c r="G903" s="165" t="s">
        <v>61</v>
      </c>
      <c r="I903" s="12" t="s">
        <v>74</v>
      </c>
      <c r="J903" s="14">
        <v>125</v>
      </c>
      <c r="K903" s="15" t="s">
        <v>28</v>
      </c>
      <c r="M903" s="16">
        <f t="shared" si="139"/>
        <v>80</v>
      </c>
      <c r="N903" s="15">
        <v>10000</v>
      </c>
      <c r="O903" s="15">
        <v>10500</v>
      </c>
      <c r="P903" s="15">
        <f t="shared" si="145"/>
        <v>105000000</v>
      </c>
      <c r="Q903" s="15" t="str">
        <f t="shared" si="144"/>
        <v/>
      </c>
      <c r="R903" s="18" t="s">
        <v>29</v>
      </c>
      <c r="S903" s="117">
        <v>43709</v>
      </c>
      <c r="T903" s="20">
        <f>IFERROR(VLOOKUP(S903,'Date Converter'!$A$4:$C$368,3,0),"")</f>
        <v>43737</v>
      </c>
      <c r="U903" s="21">
        <f t="shared" si="143"/>
        <v>43737</v>
      </c>
      <c r="V903" s="12" t="s">
        <v>51</v>
      </c>
      <c r="Y903" s="18"/>
      <c r="Z903" s="210"/>
      <c r="AA903" s="15">
        <v>0</v>
      </c>
      <c r="AB903" s="210"/>
      <c r="AC903" s="15"/>
      <c r="AD903" s="15"/>
      <c r="AE903" s="15"/>
      <c r="AF903" s="244"/>
      <c r="AG903" s="15"/>
      <c r="AH903" s="15">
        <f t="shared" si="140"/>
        <v>0</v>
      </c>
      <c r="AI903" s="22">
        <f t="shared" si="141"/>
        <v>10000</v>
      </c>
      <c r="AJ903" s="22">
        <f t="shared" si="142"/>
        <v>105000000</v>
      </c>
      <c r="AK903" s="13">
        <v>43845</v>
      </c>
    </row>
    <row r="904" spans="1:37" hidden="1">
      <c r="A904" s="165" t="s">
        <v>1686</v>
      </c>
      <c r="B904" s="13">
        <v>43538</v>
      </c>
      <c r="C904" s="13" t="s">
        <v>1622</v>
      </c>
      <c r="D904" s="165" t="s">
        <v>816</v>
      </c>
      <c r="E904" s="165" t="s">
        <v>817</v>
      </c>
      <c r="F904" s="165" t="str">
        <f t="shared" si="138"/>
        <v>MALD_16.18_200_NL2018</v>
      </c>
      <c r="G904" s="165" t="s">
        <v>478</v>
      </c>
      <c r="I904" s="12" t="s">
        <v>35</v>
      </c>
      <c r="J904" s="14">
        <v>200</v>
      </c>
      <c r="K904" s="15" t="s">
        <v>28</v>
      </c>
      <c r="M904" s="16">
        <f t="shared" si="139"/>
        <v>10</v>
      </c>
      <c r="N904" s="25">
        <f>3000-1000</f>
        <v>2000</v>
      </c>
      <c r="O904" s="15">
        <v>5300</v>
      </c>
      <c r="P904" s="15">
        <f t="shared" si="145"/>
        <v>10600000</v>
      </c>
      <c r="Q904" s="15" t="str">
        <f t="shared" si="144"/>
        <v>Done</v>
      </c>
      <c r="R904" s="18" t="s">
        <v>44</v>
      </c>
      <c r="S904" s="117">
        <v>43572</v>
      </c>
      <c r="T904" s="20">
        <f>IFERROR(VLOOKUP(S904,'Date Converter'!$A$4:$C$368,3,0),"")</f>
        <v>43606</v>
      </c>
      <c r="U904" s="21">
        <f t="shared" si="143"/>
        <v>43606</v>
      </c>
      <c r="V904" s="12" t="s">
        <v>1416</v>
      </c>
      <c r="Y904" s="18"/>
      <c r="Z904" s="210">
        <v>43609</v>
      </c>
      <c r="AA904" s="15">
        <v>2000</v>
      </c>
      <c r="AB904" s="210"/>
      <c r="AC904" s="15"/>
      <c r="AD904" s="15"/>
      <c r="AE904" s="15"/>
      <c r="AF904" s="244"/>
      <c r="AG904" s="15"/>
      <c r="AH904" s="15">
        <f t="shared" si="140"/>
        <v>2000</v>
      </c>
      <c r="AI904" s="22">
        <f t="shared" si="141"/>
        <v>0</v>
      </c>
      <c r="AJ904" s="22">
        <f t="shared" si="142"/>
        <v>0</v>
      </c>
      <c r="AK904" s="13"/>
    </row>
    <row r="905" spans="1:37" hidden="1">
      <c r="A905" s="165" t="s">
        <v>1687</v>
      </c>
      <c r="B905" s="13">
        <v>43600</v>
      </c>
      <c r="C905" s="13" t="s">
        <v>1622</v>
      </c>
      <c r="D905" s="165" t="s">
        <v>816</v>
      </c>
      <c r="E905" s="165" t="s">
        <v>817</v>
      </c>
      <c r="F905" s="165" t="str">
        <f t="shared" si="138"/>
        <v>INDI_14.16_300_NL2018</v>
      </c>
      <c r="G905" s="165" t="s">
        <v>154</v>
      </c>
      <c r="I905" s="12" t="s">
        <v>47</v>
      </c>
      <c r="J905" s="14">
        <v>300</v>
      </c>
      <c r="K905" s="15" t="s">
        <v>28</v>
      </c>
      <c r="M905" s="16">
        <f t="shared" si="139"/>
        <v>0</v>
      </c>
      <c r="N905" s="15">
        <f>10200-10200</f>
        <v>0</v>
      </c>
      <c r="O905" s="15">
        <v>4900</v>
      </c>
      <c r="P905" s="15">
        <f t="shared" si="145"/>
        <v>0</v>
      </c>
      <c r="Q905" s="15" t="str">
        <f t="shared" si="144"/>
        <v>Canceled</v>
      </c>
      <c r="R905" s="18" t="s">
        <v>71</v>
      </c>
      <c r="S905" s="117">
        <v>43631</v>
      </c>
      <c r="T905" s="20">
        <f>IFERROR(VLOOKUP(S905,'Date Converter'!$A$4:$C$368,3,0),"")</f>
        <v>43663</v>
      </c>
      <c r="U905" s="21">
        <f t="shared" si="143"/>
        <v>43663</v>
      </c>
      <c r="V905" s="12" t="s">
        <v>1424</v>
      </c>
      <c r="Y905" s="18"/>
      <c r="Z905" s="210"/>
      <c r="AA905" s="15"/>
      <c r="AB905" s="210"/>
      <c r="AC905" s="15"/>
      <c r="AD905" s="15"/>
      <c r="AE905" s="15"/>
      <c r="AF905" s="244"/>
      <c r="AG905" s="15"/>
      <c r="AH905" s="15">
        <f t="shared" si="140"/>
        <v>0</v>
      </c>
      <c r="AI905" s="22">
        <f t="shared" si="141"/>
        <v>0</v>
      </c>
      <c r="AJ905" s="22">
        <f t="shared" si="142"/>
        <v>0</v>
      </c>
      <c r="AK905" s="13"/>
    </row>
    <row r="906" spans="1:37" hidden="1">
      <c r="A906" s="165" t="s">
        <v>1687</v>
      </c>
      <c r="B906" s="13">
        <v>43609</v>
      </c>
      <c r="C906" s="13" t="s">
        <v>1622</v>
      </c>
      <c r="D906" s="165" t="s">
        <v>816</v>
      </c>
      <c r="E906" s="165" t="s">
        <v>817</v>
      </c>
      <c r="F906" s="165" t="str">
        <f t="shared" si="138"/>
        <v>DALI_14.16_300_NL2018</v>
      </c>
      <c r="G906" s="165" t="s">
        <v>46</v>
      </c>
      <c r="I906" s="12" t="s">
        <v>47</v>
      </c>
      <c r="J906" s="14">
        <v>300</v>
      </c>
      <c r="K906" s="15" t="s">
        <v>28</v>
      </c>
      <c r="M906" s="16">
        <f t="shared" si="139"/>
        <v>0</v>
      </c>
      <c r="N906" s="15">
        <f>10200-10200</f>
        <v>0</v>
      </c>
      <c r="O906" s="15">
        <v>5500</v>
      </c>
      <c r="P906" s="15">
        <f t="shared" si="145"/>
        <v>0</v>
      </c>
      <c r="Q906" s="15" t="str">
        <f t="shared" si="144"/>
        <v>Canceled</v>
      </c>
      <c r="R906" s="18" t="s">
        <v>71</v>
      </c>
      <c r="S906" s="117">
        <v>43590</v>
      </c>
      <c r="T906" s="20">
        <f>IFERROR(VLOOKUP(S906,'Date Converter'!$A$4:$C$368,3,0),"")</f>
        <v>43623</v>
      </c>
      <c r="U906" s="21">
        <f t="shared" si="143"/>
        <v>43623</v>
      </c>
      <c r="W906" s="18" t="s">
        <v>1853</v>
      </c>
      <c r="Y906" s="18"/>
      <c r="Z906" s="210"/>
      <c r="AA906" s="15"/>
      <c r="AB906" s="210"/>
      <c r="AC906" s="15"/>
      <c r="AD906" s="15"/>
      <c r="AE906" s="15"/>
      <c r="AF906" s="244"/>
      <c r="AG906" s="15"/>
      <c r="AH906" s="15">
        <f t="shared" si="140"/>
        <v>0</v>
      </c>
      <c r="AI906" s="22">
        <f t="shared" si="141"/>
        <v>0</v>
      </c>
      <c r="AJ906" s="22">
        <f t="shared" si="142"/>
        <v>0</v>
      </c>
      <c r="AK906" s="13"/>
    </row>
    <row r="907" spans="1:37" hidden="1">
      <c r="A907" s="165" t="s">
        <v>1682</v>
      </c>
      <c r="B907" s="13">
        <v>43526</v>
      </c>
      <c r="C907" s="13" t="s">
        <v>1622</v>
      </c>
      <c r="D907" s="165" t="s">
        <v>816</v>
      </c>
      <c r="E907" s="165" t="s">
        <v>817</v>
      </c>
      <c r="F907" s="165" t="str">
        <f t="shared" si="138"/>
        <v>CONC_14.16_250_NL2018</v>
      </c>
      <c r="G907" s="165" t="s">
        <v>40</v>
      </c>
      <c r="I907" s="12" t="s">
        <v>47</v>
      </c>
      <c r="J907" s="14">
        <v>250</v>
      </c>
      <c r="K907" s="15" t="s">
        <v>28</v>
      </c>
      <c r="M907" s="16">
        <f t="shared" si="139"/>
        <v>20</v>
      </c>
      <c r="N907" s="15">
        <v>5000</v>
      </c>
      <c r="O907" s="15">
        <v>3700</v>
      </c>
      <c r="P907" s="15">
        <f t="shared" si="145"/>
        <v>18500000</v>
      </c>
      <c r="Q907" s="15" t="str">
        <f t="shared" si="144"/>
        <v>Done</v>
      </c>
      <c r="R907" s="18" t="s">
        <v>44</v>
      </c>
      <c r="S907" s="117">
        <v>43504</v>
      </c>
      <c r="T907" s="20">
        <f>IFERROR(VLOOKUP(S907,'Date Converter'!$A$4:$C$368,3,0),"")</f>
        <v>43537</v>
      </c>
      <c r="U907" s="21">
        <f t="shared" si="143"/>
        <v>43537</v>
      </c>
      <c r="V907" s="12" t="s">
        <v>1684</v>
      </c>
      <c r="Y907" s="18"/>
      <c r="Z907" s="210">
        <v>43538</v>
      </c>
      <c r="AA907" s="15">
        <v>5000</v>
      </c>
      <c r="AB907" s="210"/>
      <c r="AC907" s="15"/>
      <c r="AD907" s="15"/>
      <c r="AE907" s="15"/>
      <c r="AF907" s="244"/>
      <c r="AG907" s="15"/>
      <c r="AH907" s="15">
        <f t="shared" si="140"/>
        <v>5000</v>
      </c>
      <c r="AI907" s="22">
        <f t="shared" si="141"/>
        <v>0</v>
      </c>
      <c r="AJ907" s="22">
        <f t="shared" si="142"/>
        <v>0</v>
      </c>
      <c r="AK907" s="13">
        <v>44187</v>
      </c>
    </row>
    <row r="908" spans="1:37" hidden="1">
      <c r="A908" s="165" t="s">
        <v>1682</v>
      </c>
      <c r="B908" s="13">
        <v>43526</v>
      </c>
      <c r="C908" s="13" t="s">
        <v>1622</v>
      </c>
      <c r="D908" s="165" t="s">
        <v>816</v>
      </c>
      <c r="E908" s="165" t="s">
        <v>817</v>
      </c>
      <c r="F908" s="165" t="str">
        <f t="shared" si="138"/>
        <v>CONC_16.18_200_NL2018</v>
      </c>
      <c r="G908" s="165" t="s">
        <v>40</v>
      </c>
      <c r="I908" s="12" t="s">
        <v>35</v>
      </c>
      <c r="J908" s="14">
        <v>200</v>
      </c>
      <c r="K908" s="15" t="s">
        <v>28</v>
      </c>
      <c r="M908" s="16">
        <f t="shared" si="139"/>
        <v>40</v>
      </c>
      <c r="N908" s="15">
        <v>8000</v>
      </c>
      <c r="O908" s="15">
        <v>4700</v>
      </c>
      <c r="P908" s="15">
        <f t="shared" si="145"/>
        <v>37600000</v>
      </c>
      <c r="Q908" s="15" t="str">
        <f t="shared" si="144"/>
        <v>Done</v>
      </c>
      <c r="R908" s="18" t="s">
        <v>44</v>
      </c>
      <c r="S908" s="117">
        <v>43521</v>
      </c>
      <c r="T908" s="20">
        <f>IFERROR(VLOOKUP(S908,'Date Converter'!$A$4:$C$368,3,0),"")</f>
        <v>43554</v>
      </c>
      <c r="U908" s="21">
        <f t="shared" si="143"/>
        <v>43554</v>
      </c>
      <c r="V908" s="12" t="s">
        <v>1685</v>
      </c>
      <c r="W908" s="18" t="s">
        <v>41</v>
      </c>
      <c r="Y908" s="18"/>
      <c r="Z908" s="210">
        <v>43549</v>
      </c>
      <c r="AA908" s="15">
        <v>8000</v>
      </c>
      <c r="AB908" s="210"/>
      <c r="AC908" s="15"/>
      <c r="AD908" s="15"/>
      <c r="AE908" s="15"/>
      <c r="AF908" s="244"/>
      <c r="AG908" s="15"/>
      <c r="AH908" s="15">
        <f t="shared" si="140"/>
        <v>8000</v>
      </c>
      <c r="AI908" s="22">
        <f t="shared" si="141"/>
        <v>0</v>
      </c>
      <c r="AJ908" s="22">
        <f t="shared" si="142"/>
        <v>0</v>
      </c>
      <c r="AK908" s="13">
        <v>43845</v>
      </c>
    </row>
    <row r="909" spans="1:37" hidden="1">
      <c r="A909" s="165" t="s">
        <v>1688</v>
      </c>
      <c r="B909" s="13">
        <v>43558</v>
      </c>
      <c r="C909" s="13" t="s">
        <v>1622</v>
      </c>
      <c r="D909" s="258" t="s">
        <v>816</v>
      </c>
      <c r="E909" s="165" t="s">
        <v>817</v>
      </c>
      <c r="F909" s="165" t="str">
        <f t="shared" si="138"/>
        <v>CONC_20.22_125_NL2018</v>
      </c>
      <c r="G909" s="165" t="s">
        <v>40</v>
      </c>
      <c r="I909" s="12" t="s">
        <v>74</v>
      </c>
      <c r="J909" s="14">
        <v>125</v>
      </c>
      <c r="K909" s="15" t="s">
        <v>28</v>
      </c>
      <c r="M909" s="16">
        <f t="shared" si="139"/>
        <v>80</v>
      </c>
      <c r="N909" s="15">
        <v>10000</v>
      </c>
      <c r="O909" s="15">
        <v>10500</v>
      </c>
      <c r="P909" s="15">
        <f t="shared" si="145"/>
        <v>105000000</v>
      </c>
      <c r="Q909" s="15" t="str">
        <f t="shared" si="144"/>
        <v/>
      </c>
      <c r="R909" s="18" t="s">
        <v>29</v>
      </c>
      <c r="S909" s="117">
        <v>43709</v>
      </c>
      <c r="T909" s="20">
        <f>IFERROR(VLOOKUP(S909,'Date Converter'!$A$4:$C$368,3,0),"")</f>
        <v>43737</v>
      </c>
      <c r="U909" s="21">
        <f t="shared" si="143"/>
        <v>43737</v>
      </c>
      <c r="V909" s="12" t="s">
        <v>51</v>
      </c>
      <c r="Y909" s="18"/>
      <c r="Z909" s="210"/>
      <c r="AA909" s="15">
        <v>0</v>
      </c>
      <c r="AB909" s="210"/>
      <c r="AC909" s="15"/>
      <c r="AD909" s="15"/>
      <c r="AE909" s="15"/>
      <c r="AF909" s="244"/>
      <c r="AG909" s="15"/>
      <c r="AH909" s="15">
        <f t="shared" si="140"/>
        <v>0</v>
      </c>
      <c r="AI909" s="22">
        <f t="shared" si="141"/>
        <v>10000</v>
      </c>
      <c r="AJ909" s="22">
        <f t="shared" si="142"/>
        <v>105000000</v>
      </c>
      <c r="AK909" s="13">
        <v>43845</v>
      </c>
    </row>
    <row r="910" spans="1:37" s="165" customFormat="1" hidden="1">
      <c r="A910" s="165" t="s">
        <v>1682</v>
      </c>
      <c r="B910" s="13">
        <v>43526</v>
      </c>
      <c r="C910" s="13" t="s">
        <v>1622</v>
      </c>
      <c r="D910" s="165" t="s">
        <v>816</v>
      </c>
      <c r="E910" s="165" t="s">
        <v>817</v>
      </c>
      <c r="F910" s="165" t="str">
        <f t="shared" si="138"/>
        <v>BACA_15.16_300_NL2018</v>
      </c>
      <c r="G910" s="165" t="s">
        <v>67</v>
      </c>
      <c r="H910" s="12"/>
      <c r="I910" s="12" t="s">
        <v>77</v>
      </c>
      <c r="J910" s="14">
        <v>300</v>
      </c>
      <c r="K910" s="15" t="s">
        <v>28</v>
      </c>
      <c r="L910" s="15"/>
      <c r="M910" s="16">
        <f t="shared" si="139"/>
        <v>17</v>
      </c>
      <c r="N910" s="15">
        <v>5100</v>
      </c>
      <c r="O910" s="15">
        <v>4370</v>
      </c>
      <c r="P910" s="15">
        <f t="shared" si="145"/>
        <v>22287000</v>
      </c>
      <c r="Q910" s="15" t="str">
        <f t="shared" si="144"/>
        <v>Done</v>
      </c>
      <c r="R910" s="18" t="s">
        <v>44</v>
      </c>
      <c r="S910" s="117">
        <v>43504</v>
      </c>
      <c r="T910" s="20">
        <f>IFERROR(VLOOKUP(S910,'Date Converter'!$A$4:$C$368,3,0),"")</f>
        <v>43537</v>
      </c>
      <c r="U910" s="21">
        <f t="shared" si="143"/>
        <v>43537</v>
      </c>
      <c r="V910" s="12" t="s">
        <v>1684</v>
      </c>
      <c r="W910" s="18"/>
      <c r="X910" s="18"/>
      <c r="Y910" s="18"/>
      <c r="Z910" s="210">
        <v>43538</v>
      </c>
      <c r="AA910" s="15">
        <v>5100</v>
      </c>
      <c r="AB910" s="210"/>
      <c r="AC910" s="15"/>
      <c r="AD910" s="15"/>
      <c r="AE910" s="15"/>
      <c r="AF910" s="244"/>
      <c r="AG910" s="15"/>
      <c r="AH910" s="15">
        <f t="shared" si="140"/>
        <v>5100</v>
      </c>
      <c r="AI910" s="22">
        <f t="shared" si="141"/>
        <v>0</v>
      </c>
      <c r="AJ910" s="22">
        <f t="shared" si="142"/>
        <v>0</v>
      </c>
      <c r="AK910" s="13">
        <v>44187</v>
      </c>
    </row>
    <row r="911" spans="1:37" hidden="1">
      <c r="A911" s="165" t="s">
        <v>1682</v>
      </c>
      <c r="B911" s="13">
        <v>43526</v>
      </c>
      <c r="C911" s="13" t="s">
        <v>1622</v>
      </c>
      <c r="D911" s="165" t="s">
        <v>816</v>
      </c>
      <c r="E911" s="165" t="s">
        <v>817</v>
      </c>
      <c r="F911" s="165" t="str">
        <f t="shared" si="138"/>
        <v>BACA_16.18_200_NL2018</v>
      </c>
      <c r="G911" s="165" t="s">
        <v>67</v>
      </c>
      <c r="I911" s="12" t="s">
        <v>35</v>
      </c>
      <c r="J911" s="14">
        <v>200</v>
      </c>
      <c r="K911" s="15" t="s">
        <v>28</v>
      </c>
      <c r="M911" s="16">
        <f t="shared" si="139"/>
        <v>25</v>
      </c>
      <c r="N911" s="15">
        <v>5000</v>
      </c>
      <c r="O911" s="15">
        <v>6300</v>
      </c>
      <c r="P911" s="15">
        <f t="shared" si="145"/>
        <v>31500000</v>
      </c>
      <c r="Q911" s="15" t="str">
        <f t="shared" si="144"/>
        <v>Done</v>
      </c>
      <c r="R911" s="18" t="s">
        <v>44</v>
      </c>
      <c r="S911" s="117">
        <v>43504</v>
      </c>
      <c r="T911" s="20">
        <f>IFERROR(VLOOKUP(S911,'Date Converter'!$A$4:$C$368,3,0),"")</f>
        <v>43537</v>
      </c>
      <c r="U911" s="21">
        <f t="shared" si="143"/>
        <v>43537</v>
      </c>
      <c r="V911" s="12" t="s">
        <v>1684</v>
      </c>
      <c r="Y911" s="18"/>
      <c r="Z911" s="210">
        <v>43538</v>
      </c>
      <c r="AA911" s="15">
        <v>5000</v>
      </c>
      <c r="AB911" s="210"/>
      <c r="AC911" s="15"/>
      <c r="AD911" s="15"/>
      <c r="AE911" s="15"/>
      <c r="AF911" s="244"/>
      <c r="AG911" s="15"/>
      <c r="AH911" s="15">
        <f t="shared" si="140"/>
        <v>5000</v>
      </c>
      <c r="AI911" s="22">
        <f t="shared" si="141"/>
        <v>0</v>
      </c>
      <c r="AJ911" s="22">
        <f t="shared" si="142"/>
        <v>0</v>
      </c>
      <c r="AK911" s="13">
        <v>44187</v>
      </c>
    </row>
    <row r="912" spans="1:37" hidden="1">
      <c r="A912" s="165" t="s">
        <v>1686</v>
      </c>
      <c r="B912" s="13">
        <v>43538</v>
      </c>
      <c r="C912" s="13" t="s">
        <v>1622</v>
      </c>
      <c r="D912" s="165" t="s">
        <v>816</v>
      </c>
      <c r="E912" s="165" t="s">
        <v>817</v>
      </c>
      <c r="F912" s="165" t="str">
        <f t="shared" si="138"/>
        <v>BACA_15.16_300_NL2018</v>
      </c>
      <c r="G912" s="165" t="s">
        <v>67</v>
      </c>
      <c r="I912" s="12" t="s">
        <v>77</v>
      </c>
      <c r="J912" s="14">
        <v>300</v>
      </c>
      <c r="K912" s="15" t="s">
        <v>28</v>
      </c>
      <c r="M912" s="16">
        <f t="shared" si="139"/>
        <v>0</v>
      </c>
      <c r="N912" s="15">
        <f>3000-3000</f>
        <v>0</v>
      </c>
      <c r="O912" s="15">
        <v>4500</v>
      </c>
      <c r="P912" s="15">
        <f t="shared" si="145"/>
        <v>0</v>
      </c>
      <c r="Q912" s="15" t="str">
        <f t="shared" si="144"/>
        <v>Canceled</v>
      </c>
      <c r="R912" s="18" t="s">
        <v>71</v>
      </c>
      <c r="S912" s="117">
        <v>43539</v>
      </c>
      <c r="T912" s="20">
        <f>IFERROR(VLOOKUP(S912,'Date Converter'!$A$4:$C$368,3,0),"")</f>
        <v>43574</v>
      </c>
      <c r="U912" s="21">
        <f t="shared" si="143"/>
        <v>43574</v>
      </c>
      <c r="V912" s="12" t="s">
        <v>57</v>
      </c>
      <c r="Y912" s="18"/>
      <c r="Z912" s="210"/>
      <c r="AA912" s="15"/>
      <c r="AB912" s="210"/>
      <c r="AC912" s="15"/>
      <c r="AD912" s="15"/>
      <c r="AE912" s="15"/>
      <c r="AF912" s="244"/>
      <c r="AG912" s="15"/>
      <c r="AH912" s="15">
        <f t="shared" si="140"/>
        <v>0</v>
      </c>
      <c r="AI912" s="22">
        <f t="shared" si="141"/>
        <v>0</v>
      </c>
      <c r="AJ912" s="22">
        <f t="shared" si="142"/>
        <v>0</v>
      </c>
      <c r="AK912" s="13"/>
    </row>
    <row r="913" spans="1:37" s="165" customFormat="1" hidden="1">
      <c r="A913" s="165" t="s">
        <v>450</v>
      </c>
      <c r="B913" s="13">
        <v>43522</v>
      </c>
      <c r="C913" s="266" t="s">
        <v>23</v>
      </c>
      <c r="D913" s="258" t="s">
        <v>129</v>
      </c>
      <c r="E913" s="198" t="s">
        <v>130</v>
      </c>
      <c r="F913" s="165" t="str">
        <f t="shared" si="138"/>
        <v>YELL_18.20_150_NL2018</v>
      </c>
      <c r="G913" s="165" t="s">
        <v>89</v>
      </c>
      <c r="H913" s="12"/>
      <c r="I913" s="12" t="s">
        <v>27</v>
      </c>
      <c r="J913" s="14">
        <v>150</v>
      </c>
      <c r="K913" s="15" t="s">
        <v>28</v>
      </c>
      <c r="L913" s="15"/>
      <c r="M913" s="16">
        <f t="shared" si="139"/>
        <v>20</v>
      </c>
      <c r="N913" s="15">
        <v>3000</v>
      </c>
      <c r="O913" s="15">
        <v>8400</v>
      </c>
      <c r="P913" s="15">
        <f t="shared" si="145"/>
        <v>25200000</v>
      </c>
      <c r="Q913" s="15" t="str">
        <f t="shared" si="144"/>
        <v/>
      </c>
      <c r="R913" s="18" t="s">
        <v>29</v>
      </c>
      <c r="S913" s="23">
        <v>43709</v>
      </c>
      <c r="T913" s="20">
        <f>IFERROR(VLOOKUP(S913,'Date Converter'!$A$4:$C$368,3,0),"")</f>
        <v>43737</v>
      </c>
      <c r="U913" s="21">
        <f t="shared" si="143"/>
        <v>43737</v>
      </c>
      <c r="V913" s="12" t="s">
        <v>51</v>
      </c>
      <c r="W913" s="18"/>
      <c r="X913" s="18"/>
      <c r="Y913" s="15"/>
      <c r="Z913" s="206"/>
      <c r="AA913" s="15">
        <v>0</v>
      </c>
      <c r="AB913" s="206"/>
      <c r="AC913" s="15"/>
      <c r="AD913" s="206"/>
      <c r="AE913" s="15"/>
      <c r="AF913" s="244"/>
      <c r="AG913" s="15"/>
      <c r="AH913" s="15">
        <f t="shared" si="140"/>
        <v>0</v>
      </c>
      <c r="AI913" s="22">
        <f t="shared" si="141"/>
        <v>3000</v>
      </c>
      <c r="AJ913" s="22">
        <f t="shared" si="142"/>
        <v>25200000</v>
      </c>
    </row>
    <row r="914" spans="1:37" s="165" customFormat="1" hidden="1">
      <c r="A914" s="165" t="s">
        <v>303</v>
      </c>
      <c r="B914" s="13">
        <v>43522</v>
      </c>
      <c r="C914" s="13" t="s">
        <v>23</v>
      </c>
      <c r="D914" s="165" t="s">
        <v>129</v>
      </c>
      <c r="E914" s="165" t="s">
        <v>130</v>
      </c>
      <c r="F914" s="165" t="str">
        <f t="shared" si="138"/>
        <v>YELL_12.14_400_NL2018</v>
      </c>
      <c r="G914" s="165" t="s">
        <v>89</v>
      </c>
      <c r="H914" s="12"/>
      <c r="I914" s="12" t="s">
        <v>113</v>
      </c>
      <c r="J914" s="14">
        <v>400</v>
      </c>
      <c r="K914" s="15" t="s">
        <v>28</v>
      </c>
      <c r="L914" s="15"/>
      <c r="M914" s="16">
        <f t="shared" si="139"/>
        <v>13</v>
      </c>
      <c r="N914" s="15">
        <v>5200</v>
      </c>
      <c r="O914" s="15">
        <v>2600</v>
      </c>
      <c r="P914" s="15">
        <f t="shared" si="145"/>
        <v>13520000</v>
      </c>
      <c r="Q914" s="15" t="str">
        <f t="shared" si="144"/>
        <v>Done</v>
      </c>
      <c r="R914" s="18" t="s">
        <v>44</v>
      </c>
      <c r="S914" s="23">
        <v>43539</v>
      </c>
      <c r="T914" s="20">
        <f>IFERROR(VLOOKUP(S914,'Date Converter'!$A$4:$C$368,3,0),"")</f>
        <v>43574</v>
      </c>
      <c r="U914" s="21">
        <f t="shared" si="143"/>
        <v>43574</v>
      </c>
      <c r="V914" s="12" t="s">
        <v>57</v>
      </c>
      <c r="W914" s="18" t="s">
        <v>143</v>
      </c>
      <c r="X914" s="18">
        <v>43569</v>
      </c>
      <c r="Y914" s="15"/>
      <c r="Z914" s="206">
        <v>43572</v>
      </c>
      <c r="AA914" s="15">
        <v>5200</v>
      </c>
      <c r="AB914" s="206"/>
      <c r="AC914" s="15"/>
      <c r="AD914" s="206"/>
      <c r="AE914" s="15"/>
      <c r="AF914" s="244"/>
      <c r="AG914" s="15"/>
      <c r="AH914" s="15">
        <f t="shared" si="140"/>
        <v>5200</v>
      </c>
      <c r="AI914" s="22">
        <f t="shared" si="141"/>
        <v>0</v>
      </c>
      <c r="AJ914" s="22">
        <f t="shared" si="142"/>
        <v>0</v>
      </c>
    </row>
    <row r="915" spans="1:37" s="165" customFormat="1" hidden="1">
      <c r="A915" s="165" t="s">
        <v>303</v>
      </c>
      <c r="B915" s="13">
        <v>43522</v>
      </c>
      <c r="C915" s="13" t="s">
        <v>23</v>
      </c>
      <c r="D915" s="165" t="s">
        <v>129</v>
      </c>
      <c r="E915" s="165" t="s">
        <v>130</v>
      </c>
      <c r="F915" s="165" t="str">
        <f t="shared" si="138"/>
        <v>YELL_14.16_300_NL2018</v>
      </c>
      <c r="G915" s="165" t="s">
        <v>89</v>
      </c>
      <c r="H915" s="12"/>
      <c r="I915" s="12" t="s">
        <v>47</v>
      </c>
      <c r="J915" s="14">
        <v>300</v>
      </c>
      <c r="K915" s="15" t="s">
        <v>28</v>
      </c>
      <c r="L915" s="15"/>
      <c r="M915" s="16">
        <f t="shared" si="139"/>
        <v>17</v>
      </c>
      <c r="N915" s="15">
        <v>5100</v>
      </c>
      <c r="O915" s="15">
        <v>3800</v>
      </c>
      <c r="P915" s="15">
        <f t="shared" si="145"/>
        <v>19380000</v>
      </c>
      <c r="Q915" s="15" t="str">
        <f t="shared" si="144"/>
        <v>Done</v>
      </c>
      <c r="R915" s="18" t="s">
        <v>44</v>
      </c>
      <c r="S915" s="23">
        <v>43539</v>
      </c>
      <c r="T915" s="20">
        <f>IFERROR(VLOOKUP(S915,'Date Converter'!$A$4:$C$368,3,0),"")</f>
        <v>43574</v>
      </c>
      <c r="U915" s="21">
        <f t="shared" si="143"/>
        <v>43574</v>
      </c>
      <c r="V915" s="12" t="s">
        <v>57</v>
      </c>
      <c r="W915" s="18" t="s">
        <v>79</v>
      </c>
      <c r="X915" s="18">
        <v>43569</v>
      </c>
      <c r="Y915" s="15"/>
      <c r="Z915" s="206">
        <v>43578</v>
      </c>
      <c r="AA915" s="15">
        <v>5100</v>
      </c>
      <c r="AB915" s="206"/>
      <c r="AC915" s="15"/>
      <c r="AD915" s="206"/>
      <c r="AE915" s="15"/>
      <c r="AF915" s="244"/>
      <c r="AG915" s="15"/>
      <c r="AH915" s="15">
        <f t="shared" si="140"/>
        <v>5100</v>
      </c>
      <c r="AI915" s="22">
        <f t="shared" si="141"/>
        <v>0</v>
      </c>
      <c r="AJ915" s="22">
        <f t="shared" si="142"/>
        <v>0</v>
      </c>
    </row>
    <row r="916" spans="1:37" s="165" customFormat="1" hidden="1">
      <c r="A916" s="165" t="s">
        <v>303</v>
      </c>
      <c r="B916" s="13">
        <v>43633</v>
      </c>
      <c r="C916" s="13" t="s">
        <v>23</v>
      </c>
      <c r="D916" s="165" t="s">
        <v>129</v>
      </c>
      <c r="E916" s="165" t="s">
        <v>130</v>
      </c>
      <c r="F916" s="165" t="str">
        <f t="shared" si="138"/>
        <v>YELL_12.14_400_NL2018</v>
      </c>
      <c r="G916" s="165" t="s">
        <v>89</v>
      </c>
      <c r="H916" s="12"/>
      <c r="I916" s="12" t="s">
        <v>113</v>
      </c>
      <c r="J916" s="14">
        <v>400</v>
      </c>
      <c r="K916" s="15" t="s">
        <v>28</v>
      </c>
      <c r="L916" s="15"/>
      <c r="M916" s="16">
        <f t="shared" si="139"/>
        <v>10</v>
      </c>
      <c r="N916" s="15">
        <v>4000</v>
      </c>
      <c r="O916" s="15">
        <v>2900</v>
      </c>
      <c r="P916" s="15">
        <f t="shared" si="145"/>
        <v>11600000</v>
      </c>
      <c r="Q916" s="15" t="str">
        <f t="shared" si="144"/>
        <v/>
      </c>
      <c r="R916" s="18" t="s">
        <v>31</v>
      </c>
      <c r="S916" s="23">
        <v>43631</v>
      </c>
      <c r="T916" s="20">
        <f>IFERROR(VLOOKUP(S916,'Date Converter'!$A$4:$C$368,3,0),"")</f>
        <v>43663</v>
      </c>
      <c r="U916" s="21">
        <f t="shared" si="143"/>
        <v>43663</v>
      </c>
      <c r="V916" s="20"/>
      <c r="W916" s="18"/>
      <c r="X916" s="18"/>
      <c r="Y916" s="15"/>
      <c r="Z916" s="206"/>
      <c r="AA916" s="15"/>
      <c r="AB916" s="206"/>
      <c r="AC916" s="15"/>
      <c r="AD916" s="206"/>
      <c r="AE916" s="15"/>
      <c r="AF916" s="244"/>
      <c r="AG916" s="15"/>
      <c r="AH916" s="15">
        <f t="shared" si="140"/>
        <v>0</v>
      </c>
      <c r="AI916" s="22">
        <f t="shared" si="141"/>
        <v>4000</v>
      </c>
      <c r="AJ916" s="22">
        <f t="shared" si="142"/>
        <v>11600000</v>
      </c>
    </row>
    <row r="917" spans="1:37" hidden="1">
      <c r="A917" s="165" t="s">
        <v>303</v>
      </c>
      <c r="B917" s="13">
        <v>43522</v>
      </c>
      <c r="C917" s="13" t="s">
        <v>23</v>
      </c>
      <c r="D917" s="165" t="s">
        <v>129</v>
      </c>
      <c r="E917" s="165" t="s">
        <v>130</v>
      </c>
      <c r="F917" s="165" t="str">
        <f t="shared" si="138"/>
        <v>TEBA_12.14_400_NL2018</v>
      </c>
      <c r="G917" s="165" t="s">
        <v>127</v>
      </c>
      <c r="I917" s="12" t="s">
        <v>113</v>
      </c>
      <c r="J917" s="14">
        <v>400</v>
      </c>
      <c r="K917" s="15" t="s">
        <v>28</v>
      </c>
      <c r="M917" s="16">
        <f t="shared" si="139"/>
        <v>8</v>
      </c>
      <c r="N917" s="15">
        <v>3200</v>
      </c>
      <c r="O917" s="15">
        <v>2800</v>
      </c>
      <c r="P917" s="15">
        <f t="shared" si="145"/>
        <v>8960000</v>
      </c>
      <c r="Q917" s="15" t="str">
        <f t="shared" si="144"/>
        <v>Done</v>
      </c>
      <c r="R917" s="18" t="s">
        <v>44</v>
      </c>
      <c r="S917" s="23" t="s">
        <v>53</v>
      </c>
      <c r="T917" s="20">
        <f>IFERROR(VLOOKUP(S917,'Date Converter'!$A$4:$C$368,3,0),"")</f>
        <v>43559</v>
      </c>
      <c r="U917" s="21">
        <f t="shared" si="143"/>
        <v>43559</v>
      </c>
      <c r="V917" s="20" t="s">
        <v>54</v>
      </c>
      <c r="W917" s="18" t="s">
        <v>82</v>
      </c>
      <c r="X917" s="18">
        <v>43555</v>
      </c>
      <c r="Y917" s="15"/>
      <c r="Z917" s="206">
        <v>43558</v>
      </c>
      <c r="AA917" s="15">
        <v>3200</v>
      </c>
      <c r="AB917" s="206"/>
      <c r="AC917" s="15"/>
      <c r="AD917" s="206"/>
      <c r="AE917" s="15"/>
      <c r="AF917" s="244"/>
      <c r="AG917" s="15"/>
      <c r="AH917" s="15">
        <f t="shared" si="140"/>
        <v>3200</v>
      </c>
      <c r="AI917" s="22">
        <f t="shared" si="141"/>
        <v>0</v>
      </c>
      <c r="AJ917" s="22">
        <f t="shared" si="142"/>
        <v>0</v>
      </c>
      <c r="AK917" s="165"/>
    </row>
    <row r="918" spans="1:37" s="165" customFormat="1" hidden="1">
      <c r="A918" s="165" t="s">
        <v>450</v>
      </c>
      <c r="B918" s="13">
        <v>43522</v>
      </c>
      <c r="C918" s="266" t="s">
        <v>23</v>
      </c>
      <c r="D918" s="258" t="s">
        <v>129</v>
      </c>
      <c r="E918" s="198" t="s">
        <v>130</v>
      </c>
      <c r="F918" s="165" t="str">
        <f t="shared" si="138"/>
        <v>TARR_20.22_125_NL2018</v>
      </c>
      <c r="G918" s="165" t="s">
        <v>62</v>
      </c>
      <c r="H918" s="12"/>
      <c r="I918" s="12" t="s">
        <v>74</v>
      </c>
      <c r="J918" s="14">
        <v>125</v>
      </c>
      <c r="K918" s="15" t="s">
        <v>28</v>
      </c>
      <c r="L918" s="15" t="s">
        <v>68</v>
      </c>
      <c r="M918" s="16">
        <f t="shared" si="139"/>
        <v>80</v>
      </c>
      <c r="N918" s="15">
        <v>10000</v>
      </c>
      <c r="O918" s="15">
        <v>10000</v>
      </c>
      <c r="P918" s="15">
        <f t="shared" si="145"/>
        <v>100000000</v>
      </c>
      <c r="Q918" s="15" t="str">
        <f t="shared" si="144"/>
        <v/>
      </c>
      <c r="R918" s="18" t="s">
        <v>29</v>
      </c>
      <c r="S918" s="23">
        <v>43709</v>
      </c>
      <c r="T918" s="20">
        <f>IFERROR(VLOOKUP(S918,'Date Converter'!$A$4:$C$368,3,0),"")</f>
        <v>43737</v>
      </c>
      <c r="U918" s="21">
        <f t="shared" si="143"/>
        <v>43737</v>
      </c>
      <c r="V918" s="12" t="s">
        <v>142</v>
      </c>
      <c r="W918" s="18"/>
      <c r="X918" s="18"/>
      <c r="Y918" s="15"/>
      <c r="Z918" s="206"/>
      <c r="AA918" s="15">
        <v>0</v>
      </c>
      <c r="AB918" s="206"/>
      <c r="AC918" s="15"/>
      <c r="AD918" s="206"/>
      <c r="AE918" s="15"/>
      <c r="AF918" s="244"/>
      <c r="AG918" s="15"/>
      <c r="AH918" s="15">
        <f t="shared" si="140"/>
        <v>0</v>
      </c>
      <c r="AI918" s="22">
        <f t="shared" si="141"/>
        <v>10000</v>
      </c>
      <c r="AJ918" s="22">
        <f t="shared" si="142"/>
        <v>100000000</v>
      </c>
    </row>
    <row r="919" spans="1:37" s="165" customFormat="1" hidden="1">
      <c r="A919" s="165" t="s">
        <v>303</v>
      </c>
      <c r="B919" s="13">
        <v>43522</v>
      </c>
      <c r="C919" s="13" t="s">
        <v>23</v>
      </c>
      <c r="D919" s="165" t="s">
        <v>129</v>
      </c>
      <c r="E919" s="165" t="s">
        <v>130</v>
      </c>
      <c r="F919" s="165" t="str">
        <f t="shared" si="138"/>
        <v>TARR_16.18_200_NL2018</v>
      </c>
      <c r="G919" s="165" t="s">
        <v>62</v>
      </c>
      <c r="H919" s="12"/>
      <c r="I919" s="12" t="s">
        <v>35</v>
      </c>
      <c r="J919" s="14">
        <v>200</v>
      </c>
      <c r="K919" s="15" t="s">
        <v>28</v>
      </c>
      <c r="L919" s="15"/>
      <c r="M919" s="16">
        <f t="shared" si="139"/>
        <v>15</v>
      </c>
      <c r="N919" s="15">
        <v>3000</v>
      </c>
      <c r="O919" s="15">
        <v>5500</v>
      </c>
      <c r="P919" s="15">
        <f t="shared" si="145"/>
        <v>16500000</v>
      </c>
      <c r="Q919" s="15" t="str">
        <f t="shared" si="144"/>
        <v>Done</v>
      </c>
      <c r="R919" s="18" t="s">
        <v>44</v>
      </c>
      <c r="S919" s="23">
        <v>43539</v>
      </c>
      <c r="T919" s="20">
        <f>IFERROR(VLOOKUP(S919,'Date Converter'!$A$4:$C$368,3,0),"")</f>
        <v>43574</v>
      </c>
      <c r="U919" s="21">
        <f t="shared" si="143"/>
        <v>43574</v>
      </c>
      <c r="V919" s="12" t="s">
        <v>57</v>
      </c>
      <c r="W919" s="18" t="s">
        <v>141</v>
      </c>
      <c r="X919" s="18">
        <v>43569</v>
      </c>
      <c r="Y919" s="15"/>
      <c r="Z919" s="206">
        <v>43572</v>
      </c>
      <c r="AA919" s="15">
        <v>3000</v>
      </c>
      <c r="AB919" s="206"/>
      <c r="AC919" s="15"/>
      <c r="AD919" s="206"/>
      <c r="AE919" s="15"/>
      <c r="AF919" s="244"/>
      <c r="AG919" s="15"/>
      <c r="AH919" s="15">
        <f t="shared" si="140"/>
        <v>3000</v>
      </c>
      <c r="AI919" s="22">
        <f t="shared" si="141"/>
        <v>0</v>
      </c>
      <c r="AJ919" s="22">
        <f t="shared" si="142"/>
        <v>0</v>
      </c>
    </row>
    <row r="920" spans="1:37" s="165" customFormat="1" hidden="1">
      <c r="A920" s="165" t="s">
        <v>303</v>
      </c>
      <c r="B920" s="13">
        <v>43633</v>
      </c>
      <c r="C920" s="13" t="s">
        <v>23</v>
      </c>
      <c r="D920" s="165" t="s">
        <v>129</v>
      </c>
      <c r="E920" s="165" t="s">
        <v>130</v>
      </c>
      <c r="F920" s="165" t="str">
        <f t="shared" si="138"/>
        <v>TARR_14.16_300_NL2018</v>
      </c>
      <c r="G920" s="165" t="s">
        <v>62</v>
      </c>
      <c r="H920" s="12"/>
      <c r="I920" s="12" t="s">
        <v>47</v>
      </c>
      <c r="J920" s="14">
        <v>300</v>
      </c>
      <c r="K920" s="15" t="s">
        <v>28</v>
      </c>
      <c r="L920" s="15"/>
      <c r="M920" s="16">
        <f t="shared" si="139"/>
        <v>15</v>
      </c>
      <c r="N920" s="15">
        <v>4500</v>
      </c>
      <c r="O920" s="15">
        <v>5000</v>
      </c>
      <c r="P920" s="15">
        <f t="shared" si="145"/>
        <v>22500000</v>
      </c>
      <c r="Q920" s="15" t="str">
        <f t="shared" si="144"/>
        <v/>
      </c>
      <c r="R920" s="18" t="s">
        <v>31</v>
      </c>
      <c r="S920" s="23">
        <v>43631</v>
      </c>
      <c r="T920" s="20">
        <f>IFERROR(VLOOKUP(S920,'Date Converter'!$A$4:$C$368,3,0),"")</f>
        <v>43663</v>
      </c>
      <c r="U920" s="21">
        <f t="shared" si="143"/>
        <v>43663</v>
      </c>
      <c r="V920" s="20"/>
      <c r="W920" s="18"/>
      <c r="X920" s="18"/>
      <c r="Y920" s="15"/>
      <c r="Z920" s="206"/>
      <c r="AA920" s="15"/>
      <c r="AB920" s="206"/>
      <c r="AC920" s="15"/>
      <c r="AD920" s="206"/>
      <c r="AE920" s="15"/>
      <c r="AF920" s="244"/>
      <c r="AG920" s="15"/>
      <c r="AH920" s="15">
        <f t="shared" si="140"/>
        <v>0</v>
      </c>
      <c r="AI920" s="22">
        <f t="shared" si="141"/>
        <v>4500</v>
      </c>
      <c r="AJ920" s="22">
        <f t="shared" si="142"/>
        <v>22500000</v>
      </c>
    </row>
    <row r="921" spans="1:37" hidden="1">
      <c r="A921" t="s">
        <v>450</v>
      </c>
      <c r="B921" s="13">
        <v>43522</v>
      </c>
      <c r="C921" s="266" t="s">
        <v>23</v>
      </c>
      <c r="D921" s="258" t="s">
        <v>129</v>
      </c>
      <c r="E921" s="198" t="s">
        <v>130</v>
      </c>
      <c r="F921" s="165" t="str">
        <f t="shared" si="138"/>
        <v>PROF_20.22_125_NL2018</v>
      </c>
      <c r="G921" s="165" t="s">
        <v>56</v>
      </c>
      <c r="I921" s="12" t="s">
        <v>74</v>
      </c>
      <c r="J921" s="14">
        <v>125</v>
      </c>
      <c r="K921" s="15" t="s">
        <v>28</v>
      </c>
      <c r="L921" s="15" t="s">
        <v>139</v>
      </c>
      <c r="M921" s="16">
        <f t="shared" si="139"/>
        <v>80</v>
      </c>
      <c r="N921" s="15">
        <v>10000</v>
      </c>
      <c r="O921" s="15">
        <v>13000</v>
      </c>
      <c r="P921" s="15">
        <f t="shared" si="145"/>
        <v>130000000</v>
      </c>
      <c r="Q921" s="15" t="str">
        <f t="shared" si="144"/>
        <v/>
      </c>
      <c r="R921" s="18" t="s">
        <v>29</v>
      </c>
      <c r="S921" s="23">
        <v>43709</v>
      </c>
      <c r="T921" s="20">
        <f>IFERROR(VLOOKUP(S921,'Date Converter'!$A$4:$C$368,3,0),"")</f>
        <v>43737</v>
      </c>
      <c r="U921" s="21">
        <f t="shared" si="143"/>
        <v>43737</v>
      </c>
      <c r="V921" s="12" t="s">
        <v>140</v>
      </c>
      <c r="Y921" s="15"/>
      <c r="AA921" s="15">
        <v>0</v>
      </c>
      <c r="AB921" s="206"/>
      <c r="AC921" s="15"/>
      <c r="AD921" s="206"/>
      <c r="AE921" s="15"/>
      <c r="AF921" s="244"/>
      <c r="AG921" s="15"/>
      <c r="AH921" s="15">
        <f t="shared" si="140"/>
        <v>0</v>
      </c>
      <c r="AI921" s="22">
        <f t="shared" si="141"/>
        <v>10000</v>
      </c>
      <c r="AJ921" s="22">
        <f t="shared" si="142"/>
        <v>130000000</v>
      </c>
      <c r="AK921" s="165"/>
    </row>
    <row r="922" spans="1:37" hidden="1">
      <c r="A922" t="s">
        <v>1419</v>
      </c>
      <c r="B922" s="13">
        <v>43568</v>
      </c>
      <c r="C922" s="13" t="s">
        <v>23</v>
      </c>
      <c r="D922" t="s">
        <v>129</v>
      </c>
      <c r="E922" s="198" t="s">
        <v>130</v>
      </c>
      <c r="F922" s="165" t="str">
        <f t="shared" si="138"/>
        <v>PROF_14.16_300_NL2018</v>
      </c>
      <c r="G922" s="165" t="s">
        <v>56</v>
      </c>
      <c r="I922" s="12" t="s">
        <v>47</v>
      </c>
      <c r="J922" s="14">
        <v>300</v>
      </c>
      <c r="K922" s="15" t="s">
        <v>28</v>
      </c>
      <c r="M922" s="16">
        <f t="shared" si="139"/>
        <v>10</v>
      </c>
      <c r="N922" s="15">
        <v>3000</v>
      </c>
      <c r="O922" s="15">
        <v>5000</v>
      </c>
      <c r="P922" s="15">
        <f t="shared" si="145"/>
        <v>15000000</v>
      </c>
      <c r="Q922" s="15" t="str">
        <f t="shared" si="144"/>
        <v>Done</v>
      </c>
      <c r="R922" s="18" t="s">
        <v>44</v>
      </c>
      <c r="S922" s="23">
        <v>43572</v>
      </c>
      <c r="T922" s="20">
        <f>IFERROR(VLOOKUP(S922,'Date Converter'!$A$4:$C$368,3,0),"")</f>
        <v>43606</v>
      </c>
      <c r="U922" s="21">
        <f t="shared" si="143"/>
        <v>43606</v>
      </c>
      <c r="V922" s="12" t="s">
        <v>1416</v>
      </c>
      <c r="Y922" s="15"/>
      <c r="Z922" s="206">
        <v>43605</v>
      </c>
      <c r="AA922" s="15">
        <v>3000</v>
      </c>
      <c r="AB922" s="206"/>
      <c r="AC922" s="15"/>
      <c r="AD922" s="206"/>
      <c r="AE922" s="15"/>
      <c r="AF922" s="244"/>
      <c r="AG922" s="15"/>
      <c r="AH922" s="15">
        <f t="shared" si="140"/>
        <v>3000</v>
      </c>
      <c r="AI922" s="22">
        <f t="shared" si="141"/>
        <v>0</v>
      </c>
      <c r="AJ922" s="22">
        <f t="shared" si="142"/>
        <v>0</v>
      </c>
      <c r="AK922" s="165"/>
    </row>
    <row r="923" spans="1:37" s="165" customFormat="1" hidden="1">
      <c r="A923" s="165" t="s">
        <v>303</v>
      </c>
      <c r="B923" s="13">
        <v>43522</v>
      </c>
      <c r="C923" s="13" t="s">
        <v>23</v>
      </c>
      <c r="D923" s="165" t="s">
        <v>129</v>
      </c>
      <c r="E923" s="165" t="s">
        <v>130</v>
      </c>
      <c r="F923" s="165" t="str">
        <f t="shared" si="138"/>
        <v>PROF_14.16_300_NL2018</v>
      </c>
      <c r="G923" s="165" t="s">
        <v>56</v>
      </c>
      <c r="H923" s="12"/>
      <c r="I923" s="12" t="s">
        <v>47</v>
      </c>
      <c r="J923" s="14">
        <v>300</v>
      </c>
      <c r="K923" s="15" t="s">
        <v>28</v>
      </c>
      <c r="L923" s="15"/>
      <c r="M923" s="16">
        <f t="shared" si="139"/>
        <v>10</v>
      </c>
      <c r="N923" s="15">
        <v>3000</v>
      </c>
      <c r="O923" s="15">
        <v>5200</v>
      </c>
      <c r="P923" s="15">
        <f t="shared" si="145"/>
        <v>15600000</v>
      </c>
      <c r="Q923" s="15" t="str">
        <f t="shared" si="144"/>
        <v>Done</v>
      </c>
      <c r="R923" s="18" t="s">
        <v>44</v>
      </c>
      <c r="S923" s="23">
        <v>43511</v>
      </c>
      <c r="T923" s="20">
        <f>IFERROR(VLOOKUP(S923,'Date Converter'!$A$4:$C$368,3,0),"")</f>
        <v>43544</v>
      </c>
      <c r="U923" s="21">
        <f t="shared" si="143"/>
        <v>43544</v>
      </c>
      <c r="V923" s="12" t="s">
        <v>32</v>
      </c>
      <c r="W923" s="18" t="s">
        <v>33</v>
      </c>
      <c r="X923" s="18">
        <v>43541</v>
      </c>
      <c r="Y923" s="15"/>
      <c r="Z923" s="206">
        <v>43543</v>
      </c>
      <c r="AA923" s="15">
        <v>3000</v>
      </c>
      <c r="AB923" s="206"/>
      <c r="AC923" s="15"/>
      <c r="AD923" s="206"/>
      <c r="AE923" s="15"/>
      <c r="AF923" s="244"/>
      <c r="AG923" s="15"/>
      <c r="AH923" s="15">
        <f t="shared" si="140"/>
        <v>3000</v>
      </c>
      <c r="AI923" s="22">
        <f t="shared" si="141"/>
        <v>0</v>
      </c>
      <c r="AJ923" s="22">
        <f t="shared" si="142"/>
        <v>0</v>
      </c>
    </row>
    <row r="924" spans="1:37" hidden="1">
      <c r="A924" t="s">
        <v>303</v>
      </c>
      <c r="B924" s="13">
        <v>43522</v>
      </c>
      <c r="C924" s="13" t="s">
        <v>23</v>
      </c>
      <c r="D924" t="s">
        <v>129</v>
      </c>
      <c r="E924" s="165" t="s">
        <v>130</v>
      </c>
      <c r="F924" t="str">
        <f t="shared" si="138"/>
        <v>PROF_16.18_200_NL2018</v>
      </c>
      <c r="G924" s="165" t="s">
        <v>56</v>
      </c>
      <c r="I924" s="12" t="s">
        <v>35</v>
      </c>
      <c r="J924" s="14">
        <v>200</v>
      </c>
      <c r="K924" s="15" t="s">
        <v>28</v>
      </c>
      <c r="M924" s="16">
        <f t="shared" si="139"/>
        <v>15</v>
      </c>
      <c r="N924" s="15">
        <v>3000</v>
      </c>
      <c r="O924" s="15">
        <v>6700</v>
      </c>
      <c r="P924" s="15">
        <f t="shared" si="145"/>
        <v>20100000</v>
      </c>
      <c r="Q924" s="15" t="str">
        <f t="shared" si="144"/>
        <v>Done</v>
      </c>
      <c r="R924" s="18" t="s">
        <v>44</v>
      </c>
      <c r="S924" s="23">
        <v>43539</v>
      </c>
      <c r="T924" s="20">
        <f>IFERROR(VLOOKUP(S924,'Date Converter'!$A$4:$C$368,3,0),"")</f>
        <v>43574</v>
      </c>
      <c r="U924" s="21">
        <f t="shared" si="143"/>
        <v>43574</v>
      </c>
      <c r="V924" s="12" t="s">
        <v>57</v>
      </c>
      <c r="W924" s="18" t="s">
        <v>58</v>
      </c>
      <c r="X924" s="18">
        <v>43569</v>
      </c>
      <c r="Y924" s="15"/>
      <c r="Z924" s="206">
        <v>43572</v>
      </c>
      <c r="AA924" s="15">
        <v>3000</v>
      </c>
      <c r="AB924" s="206"/>
      <c r="AC924" s="15"/>
      <c r="AD924" s="206"/>
      <c r="AE924" s="15"/>
      <c r="AF924" s="244"/>
      <c r="AG924" s="15"/>
      <c r="AH924" s="15">
        <f t="shared" si="140"/>
        <v>3000</v>
      </c>
      <c r="AI924" s="22">
        <f t="shared" si="141"/>
        <v>0</v>
      </c>
      <c r="AJ924" s="22">
        <f t="shared" si="142"/>
        <v>0</v>
      </c>
      <c r="AK924" s="165"/>
    </row>
    <row r="925" spans="1:37" hidden="1">
      <c r="A925" t="s">
        <v>303</v>
      </c>
      <c r="B925" s="13">
        <v>43633</v>
      </c>
      <c r="C925" s="13" t="s">
        <v>23</v>
      </c>
      <c r="D925" t="s">
        <v>129</v>
      </c>
      <c r="E925" s="165" t="s">
        <v>130</v>
      </c>
      <c r="F925" t="str">
        <f t="shared" si="138"/>
        <v>PROF_16.18_200_NL2018</v>
      </c>
      <c r="G925" s="165" t="s">
        <v>56</v>
      </c>
      <c r="I925" s="12" t="s">
        <v>35</v>
      </c>
      <c r="J925" s="14">
        <v>200</v>
      </c>
      <c r="K925" s="15" t="s">
        <v>28</v>
      </c>
      <c r="M925" s="16">
        <f t="shared" si="139"/>
        <v>15</v>
      </c>
      <c r="N925" s="15">
        <v>3000</v>
      </c>
      <c r="O925" s="15">
        <v>7700</v>
      </c>
      <c r="P925" s="15">
        <f t="shared" si="145"/>
        <v>23100000</v>
      </c>
      <c r="Q925" s="15" t="str">
        <f t="shared" si="144"/>
        <v/>
      </c>
      <c r="R925" s="18" t="s">
        <v>63</v>
      </c>
      <c r="S925" s="23">
        <v>43609</v>
      </c>
      <c r="T925" s="20">
        <f>IFERROR(VLOOKUP(S925,'Date Converter'!$A$4:$C$368,3,0),"")</f>
        <v>43642</v>
      </c>
      <c r="U925" s="21">
        <f t="shared" si="143"/>
        <v>43642</v>
      </c>
      <c r="V925" s="20"/>
      <c r="Y925" s="15"/>
      <c r="AA925" s="15"/>
      <c r="AB925" s="206"/>
      <c r="AC925" s="15"/>
      <c r="AD925" s="206"/>
      <c r="AE925" s="15"/>
      <c r="AF925" s="244"/>
      <c r="AG925" s="15"/>
      <c r="AH925" s="15">
        <f t="shared" si="140"/>
        <v>0</v>
      </c>
      <c r="AI925" s="22">
        <f t="shared" si="141"/>
        <v>3000</v>
      </c>
      <c r="AJ925" s="22">
        <f t="shared" si="142"/>
        <v>23100000</v>
      </c>
      <c r="AK925" s="165"/>
    </row>
    <row r="926" spans="1:37" hidden="1">
      <c r="A926" t="s">
        <v>450</v>
      </c>
      <c r="B926" s="13">
        <v>43522</v>
      </c>
      <c r="C926" s="266" t="s">
        <v>23</v>
      </c>
      <c r="D926" s="258" t="s">
        <v>129</v>
      </c>
      <c r="E926" s="198" t="s">
        <v>130</v>
      </c>
      <c r="F926" t="str">
        <f t="shared" si="138"/>
        <v>PAVI_16.18_200_NL2018</v>
      </c>
      <c r="G926" s="165" t="s">
        <v>138</v>
      </c>
      <c r="I926" s="12" t="s">
        <v>35</v>
      </c>
      <c r="J926" s="14">
        <v>200</v>
      </c>
      <c r="K926" s="15" t="s">
        <v>28</v>
      </c>
      <c r="M926" s="16">
        <f t="shared" si="139"/>
        <v>15</v>
      </c>
      <c r="N926" s="15">
        <v>3000</v>
      </c>
      <c r="O926" s="15">
        <v>6100</v>
      </c>
      <c r="P926" s="15">
        <f t="shared" si="145"/>
        <v>18300000</v>
      </c>
      <c r="Q926" s="15" t="str">
        <f t="shared" si="144"/>
        <v/>
      </c>
      <c r="R926" s="18" t="s">
        <v>29</v>
      </c>
      <c r="S926" s="23">
        <v>43709</v>
      </c>
      <c r="T926" s="20">
        <f>IFERROR(VLOOKUP(S926,'Date Converter'!$A$4:$C$368,3,0),"")</f>
        <v>43737</v>
      </c>
      <c r="U926" s="21">
        <f t="shared" si="143"/>
        <v>43737</v>
      </c>
      <c r="V926" s="12" t="s">
        <v>51</v>
      </c>
      <c r="Y926" s="15"/>
      <c r="AA926" s="15">
        <v>0</v>
      </c>
      <c r="AB926" s="206"/>
      <c r="AC926" s="15"/>
      <c r="AD926" s="206"/>
      <c r="AE926" s="15"/>
      <c r="AF926" s="244"/>
      <c r="AG926" s="15"/>
      <c r="AH926" s="15">
        <f t="shared" si="140"/>
        <v>0</v>
      </c>
      <c r="AI926" s="22">
        <f t="shared" si="141"/>
        <v>3000</v>
      </c>
      <c r="AJ926" s="22">
        <f t="shared" si="142"/>
        <v>18300000</v>
      </c>
      <c r="AK926" s="165"/>
    </row>
    <row r="927" spans="1:37" s="165" customFormat="1" hidden="1">
      <c r="A927" s="165" t="s">
        <v>303</v>
      </c>
      <c r="B927" s="13">
        <v>43522</v>
      </c>
      <c r="C927" s="13" t="s">
        <v>23</v>
      </c>
      <c r="D927" s="165" t="s">
        <v>129</v>
      </c>
      <c r="E927" s="165" t="s">
        <v>130</v>
      </c>
      <c r="F927" s="165" t="str">
        <f t="shared" si="138"/>
        <v>PAVI_14.16_300_NL2018</v>
      </c>
      <c r="G927" s="165" t="s">
        <v>138</v>
      </c>
      <c r="H927" s="12"/>
      <c r="I927" s="12" t="s">
        <v>47</v>
      </c>
      <c r="J927" s="14">
        <v>300</v>
      </c>
      <c r="K927" s="15" t="s">
        <v>28</v>
      </c>
      <c r="L927" s="15"/>
      <c r="M927" s="16">
        <f t="shared" si="139"/>
        <v>10</v>
      </c>
      <c r="N927" s="15">
        <v>3000</v>
      </c>
      <c r="O927" s="15">
        <v>4200</v>
      </c>
      <c r="P927" s="15">
        <f t="shared" si="145"/>
        <v>12600000</v>
      </c>
      <c r="Q927" s="15" t="str">
        <f t="shared" si="144"/>
        <v>Done</v>
      </c>
      <c r="R927" s="18" t="s">
        <v>44</v>
      </c>
      <c r="S927" s="23">
        <v>43511</v>
      </c>
      <c r="T927" s="20">
        <f>IFERROR(VLOOKUP(S927,'Date Converter'!$A$4:$C$368,3,0),"")</f>
        <v>43544</v>
      </c>
      <c r="U927" s="21">
        <f t="shared" si="143"/>
        <v>43544</v>
      </c>
      <c r="V927" s="12" t="s">
        <v>32</v>
      </c>
      <c r="W927" s="18" t="s">
        <v>41</v>
      </c>
      <c r="X927" s="18">
        <v>43541</v>
      </c>
      <c r="Y927" s="15"/>
      <c r="Z927" s="206">
        <v>43543</v>
      </c>
      <c r="AA927" s="15">
        <v>3000</v>
      </c>
      <c r="AB927" s="206"/>
      <c r="AC927" s="15"/>
      <c r="AD927" s="206"/>
      <c r="AE927" s="15"/>
      <c r="AF927" s="244"/>
      <c r="AG927" s="15"/>
      <c r="AH927" s="15">
        <f t="shared" si="140"/>
        <v>3000</v>
      </c>
      <c r="AI927" s="22">
        <f t="shared" si="141"/>
        <v>0</v>
      </c>
      <c r="AJ927" s="22">
        <f t="shared" si="142"/>
        <v>0</v>
      </c>
    </row>
    <row r="928" spans="1:37" s="165" customFormat="1" hidden="1">
      <c r="A928" s="165" t="s">
        <v>303</v>
      </c>
      <c r="B928" s="13">
        <v>43522</v>
      </c>
      <c r="C928" s="13" t="s">
        <v>23</v>
      </c>
      <c r="D928" s="165" t="s">
        <v>129</v>
      </c>
      <c r="E928" s="165" t="s">
        <v>130</v>
      </c>
      <c r="F928" s="165" t="str">
        <f t="shared" si="138"/>
        <v>PAVI_12.14_400_NL2018</v>
      </c>
      <c r="G928" s="165" t="s">
        <v>138</v>
      </c>
      <c r="H928" s="12"/>
      <c r="I928" s="12" t="s">
        <v>113</v>
      </c>
      <c r="J928" s="14">
        <v>400</v>
      </c>
      <c r="K928" s="15" t="s">
        <v>28</v>
      </c>
      <c r="L928" s="15"/>
      <c r="M928" s="16">
        <f t="shared" si="139"/>
        <v>25</v>
      </c>
      <c r="N928" s="15">
        <v>10000</v>
      </c>
      <c r="O928" s="15">
        <v>2800</v>
      </c>
      <c r="P928" s="15">
        <f t="shared" si="145"/>
        <v>28000000</v>
      </c>
      <c r="Q928" s="15" t="str">
        <f t="shared" si="144"/>
        <v>Done</v>
      </c>
      <c r="R928" s="18" t="s">
        <v>44</v>
      </c>
      <c r="S928" s="23" t="s">
        <v>53</v>
      </c>
      <c r="T928" s="20">
        <f>IFERROR(VLOOKUP(S928,'Date Converter'!$A$4:$C$368,3,0),"")</f>
        <v>43559</v>
      </c>
      <c r="U928" s="21">
        <f t="shared" si="143"/>
        <v>43559</v>
      </c>
      <c r="V928" s="20" t="s">
        <v>54</v>
      </c>
      <c r="W928" s="18" t="s">
        <v>101</v>
      </c>
      <c r="X928" s="18">
        <v>43555</v>
      </c>
      <c r="Y928" s="15"/>
      <c r="Z928" s="206">
        <v>43558</v>
      </c>
      <c r="AA928" s="15">
        <v>10000</v>
      </c>
      <c r="AB928" s="206"/>
      <c r="AC928" s="15"/>
      <c r="AD928" s="206"/>
      <c r="AE928" s="15"/>
      <c r="AF928" s="244"/>
      <c r="AG928" s="15"/>
      <c r="AH928" s="15">
        <f t="shared" si="140"/>
        <v>10000</v>
      </c>
      <c r="AI928" s="22">
        <f t="shared" si="141"/>
        <v>0</v>
      </c>
      <c r="AJ928" s="22">
        <f t="shared" si="142"/>
        <v>0</v>
      </c>
    </row>
    <row r="929" spans="1:37" hidden="1">
      <c r="A929" t="s">
        <v>303</v>
      </c>
      <c r="B929" s="13">
        <v>43633</v>
      </c>
      <c r="C929" s="13" t="s">
        <v>23</v>
      </c>
      <c r="D929" t="s">
        <v>129</v>
      </c>
      <c r="E929" s="165" t="s">
        <v>130</v>
      </c>
      <c r="F929" s="165" t="str">
        <f t="shared" si="138"/>
        <v>PAVI_12.14_400_NL2018</v>
      </c>
      <c r="G929" s="165" t="s">
        <v>138</v>
      </c>
      <c r="I929" s="12" t="s">
        <v>113</v>
      </c>
      <c r="J929" s="14">
        <v>400</v>
      </c>
      <c r="K929" s="15" t="s">
        <v>28</v>
      </c>
      <c r="M929" s="16">
        <f t="shared" si="139"/>
        <v>12</v>
      </c>
      <c r="N929" s="15">
        <v>4800</v>
      </c>
      <c r="O929" s="15">
        <v>3000</v>
      </c>
      <c r="P929" s="15">
        <f t="shared" si="145"/>
        <v>14400000</v>
      </c>
      <c r="Q929" s="15" t="str">
        <f t="shared" si="144"/>
        <v/>
      </c>
      <c r="R929" s="18" t="s">
        <v>31</v>
      </c>
      <c r="S929" s="23">
        <v>43631</v>
      </c>
      <c r="T929" s="20">
        <f>IFERROR(VLOOKUP(S929,'Date Converter'!$A$4:$C$368,3,0),"")</f>
        <v>43663</v>
      </c>
      <c r="U929" s="21">
        <f t="shared" si="143"/>
        <v>43663</v>
      </c>
      <c r="V929" s="20"/>
      <c r="Y929" s="15"/>
      <c r="AA929" s="15"/>
      <c r="AB929" s="206"/>
      <c r="AC929" s="15"/>
      <c r="AD929" s="206"/>
      <c r="AE929" s="15"/>
      <c r="AF929" s="244"/>
      <c r="AG929" s="15"/>
      <c r="AH929" s="15">
        <f t="shared" si="140"/>
        <v>0</v>
      </c>
      <c r="AI929" s="22">
        <f t="shared" si="141"/>
        <v>4800</v>
      </c>
      <c r="AJ929" s="22">
        <f t="shared" si="142"/>
        <v>14400000</v>
      </c>
      <c r="AK929" s="165"/>
    </row>
    <row r="930" spans="1:37" hidden="1">
      <c r="A930" t="s">
        <v>450</v>
      </c>
      <c r="B930" s="13">
        <v>43522</v>
      </c>
      <c r="C930" s="266" t="s">
        <v>23</v>
      </c>
      <c r="D930" s="258" t="s">
        <v>129</v>
      </c>
      <c r="E930" s="198" t="s">
        <v>130</v>
      </c>
      <c r="F930" s="165" t="str">
        <f t="shared" si="138"/>
        <v>NELL_18.20_150_NL2018</v>
      </c>
      <c r="G930" t="s">
        <v>131</v>
      </c>
      <c r="I930" s="12" t="s">
        <v>27</v>
      </c>
      <c r="J930" s="14">
        <v>150</v>
      </c>
      <c r="K930" s="15" t="s">
        <v>28</v>
      </c>
      <c r="L930" s="15" t="s">
        <v>136</v>
      </c>
      <c r="M930" s="16">
        <f t="shared" si="139"/>
        <v>34</v>
      </c>
      <c r="N930" s="15">
        <v>5100</v>
      </c>
      <c r="O930" s="15">
        <v>7200</v>
      </c>
      <c r="P930" s="15">
        <f t="shared" si="145"/>
        <v>36720000</v>
      </c>
      <c r="Q930" s="15" t="str">
        <f t="shared" si="144"/>
        <v/>
      </c>
      <c r="R930" s="18" t="s">
        <v>29</v>
      </c>
      <c r="S930" s="23">
        <v>43709</v>
      </c>
      <c r="T930" s="20">
        <f>IFERROR(VLOOKUP(S930,'Date Converter'!$A$4:$C$368,3,0),"")</f>
        <v>43737</v>
      </c>
      <c r="U930" s="21">
        <f t="shared" si="143"/>
        <v>43737</v>
      </c>
      <c r="V930" s="12" t="s">
        <v>137</v>
      </c>
      <c r="Y930" s="15"/>
      <c r="AA930" s="15">
        <v>0</v>
      </c>
      <c r="AB930" s="206"/>
      <c r="AC930" s="15"/>
      <c r="AD930" s="206"/>
      <c r="AE930" s="15"/>
      <c r="AF930" s="244"/>
      <c r="AG930" s="15"/>
      <c r="AH930" s="15">
        <f t="shared" si="140"/>
        <v>0</v>
      </c>
      <c r="AI930" s="22">
        <f t="shared" si="141"/>
        <v>5100</v>
      </c>
      <c r="AJ930" s="22">
        <f t="shared" si="142"/>
        <v>36720000</v>
      </c>
      <c r="AK930" s="165"/>
    </row>
    <row r="931" spans="1:37" hidden="1">
      <c r="A931" s="165" t="s">
        <v>303</v>
      </c>
      <c r="B931" s="13">
        <v>43522</v>
      </c>
      <c r="C931" s="13" t="s">
        <v>23</v>
      </c>
      <c r="D931" s="165" t="s">
        <v>129</v>
      </c>
      <c r="E931" s="165" t="s">
        <v>130</v>
      </c>
      <c r="F931" s="165" t="str">
        <f t="shared" si="138"/>
        <v>NELL_12.14_400_NL2018</v>
      </c>
      <c r="G931" s="165" t="s">
        <v>131</v>
      </c>
      <c r="I931" s="12" t="s">
        <v>113</v>
      </c>
      <c r="J931" s="14">
        <v>400</v>
      </c>
      <c r="K931" s="15" t="s">
        <v>28</v>
      </c>
      <c r="M931" s="16">
        <f t="shared" si="139"/>
        <v>18</v>
      </c>
      <c r="N931" s="15">
        <v>7200</v>
      </c>
      <c r="O931" s="15">
        <v>3000</v>
      </c>
      <c r="P931" s="15">
        <f t="shared" si="145"/>
        <v>21600000</v>
      </c>
      <c r="Q931" s="15" t="str">
        <f t="shared" si="144"/>
        <v>Done</v>
      </c>
      <c r="R931" s="18" t="s">
        <v>44</v>
      </c>
      <c r="S931" s="23">
        <v>43539</v>
      </c>
      <c r="T931" s="20">
        <f>IFERROR(VLOOKUP(S931,'Date Converter'!$A$4:$C$368,3,0),"")</f>
        <v>43574</v>
      </c>
      <c r="U931" s="21">
        <f t="shared" si="143"/>
        <v>43574</v>
      </c>
      <c r="V931" s="12" t="s">
        <v>57</v>
      </c>
      <c r="W931" s="18" t="s">
        <v>132</v>
      </c>
      <c r="X931" s="18">
        <v>43569</v>
      </c>
      <c r="Y931" s="15"/>
      <c r="Z931" s="206">
        <v>43578</v>
      </c>
      <c r="AA931" s="15">
        <v>7200</v>
      </c>
      <c r="AB931" s="206"/>
      <c r="AC931" s="15"/>
      <c r="AD931" s="206"/>
      <c r="AE931" s="15"/>
      <c r="AF931" s="244"/>
      <c r="AG931" s="15"/>
      <c r="AH931" s="15">
        <f t="shared" si="140"/>
        <v>7200</v>
      </c>
      <c r="AI931" s="22">
        <f t="shared" si="141"/>
        <v>0</v>
      </c>
      <c r="AJ931" s="22">
        <f t="shared" si="142"/>
        <v>0</v>
      </c>
      <c r="AK931" s="165"/>
    </row>
    <row r="932" spans="1:37" s="165" customFormat="1" hidden="1">
      <c r="A932" s="165" t="s">
        <v>1419</v>
      </c>
      <c r="B932" s="13">
        <v>43568</v>
      </c>
      <c r="C932" s="13" t="s">
        <v>23</v>
      </c>
      <c r="D932" s="165" t="s">
        <v>129</v>
      </c>
      <c r="E932" s="198" t="s">
        <v>130</v>
      </c>
      <c r="F932" s="165" t="str">
        <f t="shared" si="138"/>
        <v>NASH_14.16_300_NL2018</v>
      </c>
      <c r="G932" s="165" t="s">
        <v>123</v>
      </c>
      <c r="H932" s="12"/>
      <c r="I932" s="12" t="s">
        <v>47</v>
      </c>
      <c r="J932" s="14">
        <v>300</v>
      </c>
      <c r="K932" s="15" t="s">
        <v>28</v>
      </c>
      <c r="L932" s="15"/>
      <c r="M932" s="16">
        <f t="shared" si="139"/>
        <v>10</v>
      </c>
      <c r="N932" s="15">
        <v>3000</v>
      </c>
      <c r="O932" s="15">
        <v>3900</v>
      </c>
      <c r="P932" s="15">
        <f t="shared" si="145"/>
        <v>11700000</v>
      </c>
      <c r="Q932" s="15" t="str">
        <f t="shared" si="144"/>
        <v>Done</v>
      </c>
      <c r="R932" s="18" t="s">
        <v>44</v>
      </c>
      <c r="S932" s="23">
        <v>43572</v>
      </c>
      <c r="T932" s="20">
        <f>IFERROR(VLOOKUP(S932,'Date Converter'!$A$4:$C$368,3,0),"")</f>
        <v>43606</v>
      </c>
      <c r="U932" s="21">
        <f t="shared" si="143"/>
        <v>43606</v>
      </c>
      <c r="V932" s="12" t="s">
        <v>1416</v>
      </c>
      <c r="W932" s="18"/>
      <c r="X932" s="18"/>
      <c r="Y932" s="15"/>
      <c r="Z932" s="206">
        <v>43605</v>
      </c>
      <c r="AA932" s="15">
        <v>3000</v>
      </c>
      <c r="AB932" s="206"/>
      <c r="AC932" s="15"/>
      <c r="AD932" s="206"/>
      <c r="AE932" s="15"/>
      <c r="AF932" s="244"/>
      <c r="AG932" s="15"/>
      <c r="AH932" s="15">
        <f t="shared" si="140"/>
        <v>3000</v>
      </c>
      <c r="AI932" s="22">
        <f t="shared" si="141"/>
        <v>0</v>
      </c>
      <c r="AJ932" s="22">
        <f t="shared" si="142"/>
        <v>0</v>
      </c>
    </row>
    <row r="933" spans="1:37" hidden="1">
      <c r="A933" s="165" t="s">
        <v>450</v>
      </c>
      <c r="B933" s="13">
        <v>43522</v>
      </c>
      <c r="C933" s="266" t="s">
        <v>23</v>
      </c>
      <c r="D933" s="258" t="s">
        <v>129</v>
      </c>
      <c r="E933" s="198" t="s">
        <v>130</v>
      </c>
      <c r="F933" s="165" t="str">
        <f t="shared" si="138"/>
        <v>MANI_18.20_150_NL2018</v>
      </c>
      <c r="G933" s="165" t="s">
        <v>105</v>
      </c>
      <c r="I933" s="12" t="s">
        <v>27</v>
      </c>
      <c r="J933" s="14">
        <v>150</v>
      </c>
      <c r="K933" s="15" t="s">
        <v>28</v>
      </c>
      <c r="L933" s="15" t="s">
        <v>135</v>
      </c>
      <c r="M933" s="16">
        <f t="shared" si="139"/>
        <v>34</v>
      </c>
      <c r="N933" s="15">
        <v>5100</v>
      </c>
      <c r="O933" s="15">
        <v>10700</v>
      </c>
      <c r="P933" s="15">
        <f t="shared" si="145"/>
        <v>54570000</v>
      </c>
      <c r="Q933" s="15" t="str">
        <f t="shared" si="144"/>
        <v/>
      </c>
      <c r="R933" s="18" t="s">
        <v>29</v>
      </c>
      <c r="S933" s="23">
        <v>43709</v>
      </c>
      <c r="T933" s="20">
        <f>IFERROR(VLOOKUP(S933,'Date Converter'!$A$4:$C$368,3,0),"")</f>
        <v>43737</v>
      </c>
      <c r="U933" s="21">
        <f t="shared" si="143"/>
        <v>43737</v>
      </c>
      <c r="V933" s="12" t="s">
        <v>51</v>
      </c>
      <c r="Y933" s="15"/>
      <c r="AA933" s="15">
        <v>0</v>
      </c>
      <c r="AB933" s="206"/>
      <c r="AC933" s="15"/>
      <c r="AD933" s="206"/>
      <c r="AE933" s="15"/>
      <c r="AF933" s="244"/>
      <c r="AG933" s="15"/>
      <c r="AH933" s="15">
        <f t="shared" si="140"/>
        <v>0</v>
      </c>
      <c r="AI933" s="22">
        <f t="shared" si="141"/>
        <v>5100</v>
      </c>
      <c r="AJ933" s="22">
        <f t="shared" si="142"/>
        <v>54570000</v>
      </c>
      <c r="AK933" s="165"/>
    </row>
    <row r="934" spans="1:37" hidden="1">
      <c r="A934" s="165" t="s">
        <v>450</v>
      </c>
      <c r="B934" s="13">
        <v>43522</v>
      </c>
      <c r="C934" s="266" t="s">
        <v>23</v>
      </c>
      <c r="D934" s="258" t="s">
        <v>129</v>
      </c>
      <c r="E934" s="198" t="s">
        <v>130</v>
      </c>
      <c r="F934" s="165" t="str">
        <f t="shared" si="138"/>
        <v>MANI_20.22_125_NL2018</v>
      </c>
      <c r="G934" s="165" t="s">
        <v>105</v>
      </c>
      <c r="I934" s="12" t="s">
        <v>74</v>
      </c>
      <c r="J934" s="14">
        <v>125</v>
      </c>
      <c r="K934" s="15" t="s">
        <v>28</v>
      </c>
      <c r="L934" s="15" t="s">
        <v>136</v>
      </c>
      <c r="M934" s="16">
        <f t="shared" si="139"/>
        <v>80</v>
      </c>
      <c r="N934" s="15">
        <v>10000</v>
      </c>
      <c r="O934" s="15">
        <v>13500</v>
      </c>
      <c r="P934" s="15">
        <f t="shared" si="145"/>
        <v>135000000</v>
      </c>
      <c r="Q934" s="15" t="str">
        <f t="shared" si="144"/>
        <v/>
      </c>
      <c r="R934" s="18" t="s">
        <v>29</v>
      </c>
      <c r="S934" s="23">
        <v>43709</v>
      </c>
      <c r="T934" s="20">
        <f>IFERROR(VLOOKUP(S934,'Date Converter'!$A$4:$C$368,3,0),"")</f>
        <v>43737</v>
      </c>
      <c r="U934" s="21">
        <f t="shared" si="143"/>
        <v>43737</v>
      </c>
      <c r="V934" s="12" t="s">
        <v>137</v>
      </c>
      <c r="Y934" s="15"/>
      <c r="AA934" s="15">
        <v>0</v>
      </c>
      <c r="AB934" s="206"/>
      <c r="AC934" s="15"/>
      <c r="AD934" s="206"/>
      <c r="AE934" s="15"/>
      <c r="AF934" s="244"/>
      <c r="AG934" s="15"/>
      <c r="AH934" s="15">
        <f t="shared" si="140"/>
        <v>0</v>
      </c>
      <c r="AI934" s="22">
        <f t="shared" si="141"/>
        <v>10000</v>
      </c>
      <c r="AJ934" s="22">
        <f t="shared" si="142"/>
        <v>135000000</v>
      </c>
      <c r="AK934" s="165"/>
    </row>
    <row r="935" spans="1:37" s="165" customFormat="1" hidden="1">
      <c r="A935" s="165" t="s">
        <v>303</v>
      </c>
      <c r="B935" s="13">
        <v>43522</v>
      </c>
      <c r="C935" s="13" t="s">
        <v>23</v>
      </c>
      <c r="D935" s="165" t="s">
        <v>129</v>
      </c>
      <c r="E935" s="165" t="s">
        <v>130</v>
      </c>
      <c r="F935" s="165" t="str">
        <f t="shared" si="138"/>
        <v>HYDE_14.16_300_NL2018</v>
      </c>
      <c r="G935" s="165" t="s">
        <v>134</v>
      </c>
      <c r="H935" s="12"/>
      <c r="I935" s="12" t="s">
        <v>47</v>
      </c>
      <c r="J935" s="14">
        <v>300</v>
      </c>
      <c r="K935" s="15" t="s">
        <v>28</v>
      </c>
      <c r="L935" s="15"/>
      <c r="M935" s="16">
        <f t="shared" si="139"/>
        <v>7</v>
      </c>
      <c r="N935" s="15">
        <v>2100</v>
      </c>
      <c r="O935" s="15">
        <v>4000</v>
      </c>
      <c r="P935" s="15">
        <f t="shared" si="145"/>
        <v>8400000</v>
      </c>
      <c r="Q935" s="15" t="str">
        <f t="shared" si="144"/>
        <v>Done</v>
      </c>
      <c r="R935" s="18" t="s">
        <v>44</v>
      </c>
      <c r="S935" s="23">
        <v>43511</v>
      </c>
      <c r="T935" s="20">
        <f>IFERROR(VLOOKUP(S935,'Date Converter'!$A$4:$C$368,3,0),"")</f>
        <v>43544</v>
      </c>
      <c r="U935" s="21">
        <f t="shared" si="143"/>
        <v>43544</v>
      </c>
      <c r="V935" s="12" t="s">
        <v>32</v>
      </c>
      <c r="W935" s="18" t="s">
        <v>41</v>
      </c>
      <c r="X935" s="18">
        <v>43541</v>
      </c>
      <c r="Y935" s="15"/>
      <c r="Z935" s="206">
        <v>43543</v>
      </c>
      <c r="AA935" s="15">
        <v>2100</v>
      </c>
      <c r="AB935" s="206"/>
      <c r="AC935" s="15"/>
      <c r="AD935" s="206"/>
      <c r="AE935" s="15"/>
      <c r="AF935" s="244"/>
      <c r="AG935" s="15"/>
      <c r="AH935" s="15">
        <f t="shared" si="140"/>
        <v>2100</v>
      </c>
      <c r="AI935" s="22">
        <f t="shared" si="141"/>
        <v>0</v>
      </c>
      <c r="AJ935" s="22">
        <f t="shared" si="142"/>
        <v>0</v>
      </c>
    </row>
    <row r="936" spans="1:37" s="165" customFormat="1" hidden="1">
      <c r="A936" s="165" t="s">
        <v>303</v>
      </c>
      <c r="B936" s="13">
        <v>43620</v>
      </c>
      <c r="C936" s="13" t="s">
        <v>23</v>
      </c>
      <c r="D936" s="165" t="s">
        <v>129</v>
      </c>
      <c r="E936" s="165" t="s">
        <v>130</v>
      </c>
      <c r="F936" s="165" t="str">
        <f t="shared" si="138"/>
        <v>FERR_13.14_400_NL2018</v>
      </c>
      <c r="G936" s="165" t="s">
        <v>1466</v>
      </c>
      <c r="H936" s="12"/>
      <c r="I936" s="12" t="s">
        <v>1467</v>
      </c>
      <c r="J936" s="14">
        <v>400</v>
      </c>
      <c r="K936" s="15" t="s">
        <v>28</v>
      </c>
      <c r="L936" s="15"/>
      <c r="M936" s="16">
        <f t="shared" si="139"/>
        <v>5</v>
      </c>
      <c r="N936" s="15">
        <v>2000</v>
      </c>
      <c r="O936" s="15">
        <v>4500</v>
      </c>
      <c r="P936" s="15">
        <f t="shared" si="145"/>
        <v>9000000</v>
      </c>
      <c r="Q936" s="15" t="str">
        <f t="shared" si="144"/>
        <v>Done</v>
      </c>
      <c r="R936" s="18" t="s">
        <v>44</v>
      </c>
      <c r="S936" s="23">
        <v>43590</v>
      </c>
      <c r="T936" s="20">
        <f>IFERROR(VLOOKUP(S936,'Date Converter'!$A$4:$C$368,3,0),"")</f>
        <v>43623</v>
      </c>
      <c r="U936" s="21">
        <f t="shared" si="143"/>
        <v>43623</v>
      </c>
      <c r="V936" s="20"/>
      <c r="W936" s="18"/>
      <c r="X936" s="18"/>
      <c r="Y936" s="15"/>
      <c r="Z936" s="206">
        <v>43633</v>
      </c>
      <c r="AA936" s="15">
        <v>2000</v>
      </c>
      <c r="AB936" s="206"/>
      <c r="AC936" s="15"/>
      <c r="AD936" s="206"/>
      <c r="AE936" s="15"/>
      <c r="AF936" s="244"/>
      <c r="AG936" s="15"/>
      <c r="AH936" s="15">
        <f t="shared" si="140"/>
        <v>2000</v>
      </c>
      <c r="AI936" s="22">
        <f t="shared" si="141"/>
        <v>0</v>
      </c>
      <c r="AJ936" s="22">
        <f t="shared" si="142"/>
        <v>0</v>
      </c>
    </row>
    <row r="937" spans="1:37" s="165" customFormat="1" hidden="1">
      <c r="A937" s="165" t="s">
        <v>1419</v>
      </c>
      <c r="B937" s="13">
        <v>43568</v>
      </c>
      <c r="C937" s="13" t="s">
        <v>23</v>
      </c>
      <c r="D937" s="165" t="s">
        <v>129</v>
      </c>
      <c r="E937" s="198" t="s">
        <v>130</v>
      </c>
      <c r="F937" s="165" t="str">
        <f t="shared" si="138"/>
        <v>DALI_14.16_300_NL2018</v>
      </c>
      <c r="G937" s="165" t="s">
        <v>46</v>
      </c>
      <c r="H937" s="12"/>
      <c r="I937" s="12" t="s">
        <v>47</v>
      </c>
      <c r="J937" s="14">
        <v>300</v>
      </c>
      <c r="K937" s="15" t="s">
        <v>28</v>
      </c>
      <c r="L937" s="15"/>
      <c r="M937" s="16">
        <f t="shared" si="139"/>
        <v>7</v>
      </c>
      <c r="N937" s="15">
        <v>2100</v>
      </c>
      <c r="O937" s="15">
        <v>5500</v>
      </c>
      <c r="P937" s="15">
        <f t="shared" si="145"/>
        <v>11550000</v>
      </c>
      <c r="Q937" s="15" t="str">
        <f t="shared" si="144"/>
        <v>Done</v>
      </c>
      <c r="R937" s="18" t="s">
        <v>44</v>
      </c>
      <c r="S937" s="23">
        <v>43572</v>
      </c>
      <c r="T937" s="20">
        <f>IFERROR(VLOOKUP(S937,'Date Converter'!$A$4:$C$368,3,0),"")</f>
        <v>43606</v>
      </c>
      <c r="U937" s="21">
        <f t="shared" si="143"/>
        <v>43606</v>
      </c>
      <c r="V937" s="12" t="s">
        <v>1416</v>
      </c>
      <c r="W937" s="18"/>
      <c r="X937" s="18"/>
      <c r="Y937" s="15"/>
      <c r="Z937" s="206">
        <v>43605</v>
      </c>
      <c r="AA937" s="15">
        <v>2100</v>
      </c>
      <c r="AB937" s="206"/>
      <c r="AC937" s="15"/>
      <c r="AD937" s="206"/>
      <c r="AE937" s="15"/>
      <c r="AF937" s="244"/>
      <c r="AG937" s="15"/>
      <c r="AH937" s="15">
        <f t="shared" si="140"/>
        <v>2100</v>
      </c>
      <c r="AI937" s="22">
        <f t="shared" si="141"/>
        <v>0</v>
      </c>
      <c r="AJ937" s="22">
        <f t="shared" si="142"/>
        <v>0</v>
      </c>
    </row>
    <row r="938" spans="1:37" hidden="1">
      <c r="A938" s="165" t="s">
        <v>450</v>
      </c>
      <c r="B938" s="13">
        <v>43522</v>
      </c>
      <c r="C938" s="266" t="s">
        <v>23</v>
      </c>
      <c r="D938" s="258" t="s">
        <v>129</v>
      </c>
      <c r="E938" s="198" t="s">
        <v>130</v>
      </c>
      <c r="F938" s="165" t="str">
        <f t="shared" si="138"/>
        <v>CONC_20.22_125_NL2018</v>
      </c>
      <c r="G938" s="165" t="s">
        <v>133</v>
      </c>
      <c r="I938" s="12" t="s">
        <v>74</v>
      </c>
      <c r="J938" s="14">
        <v>125</v>
      </c>
      <c r="K938" s="15" t="s">
        <v>28</v>
      </c>
      <c r="M938" s="16">
        <f t="shared" si="139"/>
        <v>24</v>
      </c>
      <c r="N938" s="15">
        <v>3000</v>
      </c>
      <c r="O938" s="15">
        <v>10500</v>
      </c>
      <c r="P938" s="15">
        <f t="shared" si="145"/>
        <v>31500000</v>
      </c>
      <c r="Q938" s="15" t="str">
        <f t="shared" si="144"/>
        <v/>
      </c>
      <c r="R938" s="18" t="s">
        <v>29</v>
      </c>
      <c r="S938" s="23">
        <v>43709</v>
      </c>
      <c r="T938" s="20">
        <f>IFERROR(VLOOKUP(S938,'Date Converter'!$A$4:$C$368,3,0),"")</f>
        <v>43737</v>
      </c>
      <c r="U938" s="21">
        <f t="shared" si="143"/>
        <v>43737</v>
      </c>
      <c r="V938" s="12" t="s">
        <v>51</v>
      </c>
      <c r="Y938" s="15"/>
      <c r="AA938" s="15">
        <v>0</v>
      </c>
      <c r="AB938" s="206"/>
      <c r="AC938" s="15"/>
      <c r="AD938" s="206"/>
      <c r="AE938" s="15"/>
      <c r="AF938" s="244"/>
      <c r="AG938" s="15"/>
      <c r="AH938" s="15">
        <f t="shared" si="140"/>
        <v>0</v>
      </c>
      <c r="AI938" s="22">
        <f t="shared" si="141"/>
        <v>3000</v>
      </c>
      <c r="AJ938" s="22">
        <f t="shared" si="142"/>
        <v>31500000</v>
      </c>
      <c r="AK938" s="165"/>
    </row>
    <row r="939" spans="1:37" hidden="1">
      <c r="A939" t="s">
        <v>303</v>
      </c>
      <c r="B939" s="13">
        <v>43522</v>
      </c>
      <c r="C939" s="13" t="s">
        <v>23</v>
      </c>
      <c r="D939" t="s">
        <v>129</v>
      </c>
      <c r="E939" s="165" t="s">
        <v>130</v>
      </c>
      <c r="F939" s="165" t="str">
        <f t="shared" si="138"/>
        <v>CONC_16.18_200_NL2018</v>
      </c>
      <c r="G939" s="165" t="s">
        <v>40</v>
      </c>
      <c r="I939" s="12" t="s">
        <v>35</v>
      </c>
      <c r="J939" s="14">
        <v>200</v>
      </c>
      <c r="K939" s="15" t="s">
        <v>28</v>
      </c>
      <c r="M939" s="16">
        <f t="shared" si="139"/>
        <v>15</v>
      </c>
      <c r="N939" s="15">
        <v>3000</v>
      </c>
      <c r="O939" s="15">
        <v>5000</v>
      </c>
      <c r="P939" s="15">
        <f t="shared" si="145"/>
        <v>15000000</v>
      </c>
      <c r="Q939" s="15" t="str">
        <f t="shared" si="144"/>
        <v>Done</v>
      </c>
      <c r="R939" s="18" t="s">
        <v>44</v>
      </c>
      <c r="S939" s="23">
        <v>43539</v>
      </c>
      <c r="T939" s="20">
        <f>IFERROR(VLOOKUP(S939,'Date Converter'!$A$4:$C$368,3,0),"")</f>
        <v>43574</v>
      </c>
      <c r="U939" s="21">
        <f t="shared" si="143"/>
        <v>43574</v>
      </c>
      <c r="V939" s="12" t="s">
        <v>57</v>
      </c>
      <c r="W939" s="18" t="s">
        <v>108</v>
      </c>
      <c r="X939" s="18">
        <v>43569</v>
      </c>
      <c r="Y939" s="15"/>
      <c r="Z939" s="206">
        <v>43572</v>
      </c>
      <c r="AA939" s="15">
        <v>3000</v>
      </c>
      <c r="AB939" s="206"/>
      <c r="AC939" s="15"/>
      <c r="AD939" s="206"/>
      <c r="AE939" s="15"/>
      <c r="AF939" s="244"/>
      <c r="AG939" s="15"/>
      <c r="AH939" s="15">
        <f t="shared" si="140"/>
        <v>3000</v>
      </c>
      <c r="AI939" s="22">
        <f t="shared" si="141"/>
        <v>0</v>
      </c>
      <c r="AJ939" s="22">
        <f t="shared" si="142"/>
        <v>0</v>
      </c>
      <c r="AK939" s="165"/>
    </row>
    <row r="940" spans="1:37" hidden="1">
      <c r="A940" t="s">
        <v>304</v>
      </c>
      <c r="B940" s="13">
        <v>43507</v>
      </c>
      <c r="C940" s="13" t="s">
        <v>23</v>
      </c>
      <c r="D940" t="s">
        <v>144</v>
      </c>
      <c r="E940" s="198" t="s">
        <v>145</v>
      </c>
      <c r="F940" s="165" t="str">
        <f t="shared" si="138"/>
        <v>YELL_14.16_300_NL2018</v>
      </c>
      <c r="G940" s="165" t="s">
        <v>89</v>
      </c>
      <c r="I940" s="12" t="s">
        <v>47</v>
      </c>
      <c r="J940" s="14">
        <v>300</v>
      </c>
      <c r="K940" s="15" t="s">
        <v>28</v>
      </c>
      <c r="M940" s="16">
        <f t="shared" si="139"/>
        <v>67</v>
      </c>
      <c r="N940" s="15">
        <v>20100</v>
      </c>
      <c r="O940" s="15">
        <f>3800+114</f>
        <v>3914</v>
      </c>
      <c r="P940" s="15">
        <f t="shared" si="145"/>
        <v>78671400</v>
      </c>
      <c r="Q940" s="15" t="str">
        <f t="shared" si="144"/>
        <v>Done</v>
      </c>
      <c r="R940" s="18" t="s">
        <v>44</v>
      </c>
      <c r="S940" s="23">
        <v>43572</v>
      </c>
      <c r="T940" s="20">
        <f>IFERROR(VLOOKUP(S940,'Date Converter'!$A$4:$C$368,3,0),"")</f>
        <v>43606</v>
      </c>
      <c r="U940" s="21">
        <f t="shared" si="143"/>
        <v>43606</v>
      </c>
      <c r="V940" s="12" t="s">
        <v>36</v>
      </c>
      <c r="Y940" s="15"/>
      <c r="AA940" s="15">
        <v>20100</v>
      </c>
      <c r="AB940" s="206"/>
      <c r="AC940" s="15"/>
      <c r="AD940" s="206"/>
      <c r="AE940" s="15"/>
      <c r="AF940" s="244"/>
      <c r="AG940" s="15"/>
      <c r="AH940" s="15">
        <f t="shared" si="140"/>
        <v>20100</v>
      </c>
      <c r="AI940" s="22">
        <f t="shared" si="141"/>
        <v>0</v>
      </c>
      <c r="AJ940" s="22">
        <f t="shared" si="142"/>
        <v>0</v>
      </c>
      <c r="AK940" s="165"/>
    </row>
    <row r="941" spans="1:37" s="165" customFormat="1" hidden="1">
      <c r="A941" s="165" t="s">
        <v>304</v>
      </c>
      <c r="B941" s="13">
        <v>43507</v>
      </c>
      <c r="C941" s="13" t="s">
        <v>23</v>
      </c>
      <c r="D941" s="165" t="s">
        <v>144</v>
      </c>
      <c r="E941" s="165" t="s">
        <v>145</v>
      </c>
      <c r="F941" s="165" t="str">
        <f t="shared" si="138"/>
        <v>YELL_16.18_200_NL2018</v>
      </c>
      <c r="G941" s="165" t="s">
        <v>89</v>
      </c>
      <c r="H941" s="12"/>
      <c r="I941" s="12" t="s">
        <v>35</v>
      </c>
      <c r="J941" s="14">
        <v>200</v>
      </c>
      <c r="K941" s="15" t="s">
        <v>28</v>
      </c>
      <c r="L941" s="15"/>
      <c r="M941" s="16">
        <f t="shared" si="139"/>
        <v>150</v>
      </c>
      <c r="N941" s="15">
        <v>30000</v>
      </c>
      <c r="O941" s="15">
        <v>5000</v>
      </c>
      <c r="P941" s="15">
        <f t="shared" si="145"/>
        <v>150000000</v>
      </c>
      <c r="Q941" s="15" t="str">
        <f t="shared" si="144"/>
        <v>Done</v>
      </c>
      <c r="R941" s="18" t="s">
        <v>44</v>
      </c>
      <c r="S941" s="23">
        <v>43480</v>
      </c>
      <c r="T941" s="20">
        <f>IFERROR(VLOOKUP(S941,'Date Converter'!$A$4:$C$368,3,0),"")</f>
        <v>43515</v>
      </c>
      <c r="U941" s="21">
        <f t="shared" si="143"/>
        <v>43515</v>
      </c>
      <c r="V941" s="12" t="s">
        <v>45</v>
      </c>
      <c r="W941" s="18"/>
      <c r="X941" s="18"/>
      <c r="Y941" s="15" t="s">
        <v>59</v>
      </c>
      <c r="Z941" s="206">
        <v>43516</v>
      </c>
      <c r="AA941" s="15">
        <v>30000</v>
      </c>
      <c r="AB941" s="206"/>
      <c r="AC941" s="15"/>
      <c r="AD941" s="206"/>
      <c r="AE941" s="15"/>
      <c r="AF941" s="244"/>
      <c r="AG941" s="15"/>
      <c r="AH941" s="15">
        <f t="shared" si="140"/>
        <v>30000</v>
      </c>
      <c r="AI941" s="22">
        <f t="shared" si="141"/>
        <v>0</v>
      </c>
      <c r="AJ941" s="22">
        <f t="shared" si="142"/>
        <v>0</v>
      </c>
    </row>
    <row r="942" spans="1:37" s="165" customFormat="1" hidden="1">
      <c r="A942" s="183" t="s">
        <v>304</v>
      </c>
      <c r="B942" s="188">
        <v>43637</v>
      </c>
      <c r="C942" s="188" t="s">
        <v>23</v>
      </c>
      <c r="D942" s="183" t="s">
        <v>144</v>
      </c>
      <c r="E942" s="201" t="s">
        <v>145</v>
      </c>
      <c r="F942" s="183" t="str">
        <f t="shared" si="138"/>
        <v>YELL_16.18_200_NL2018</v>
      </c>
      <c r="G942" s="165" t="s">
        <v>89</v>
      </c>
      <c r="H942" s="184"/>
      <c r="I942" s="12" t="s">
        <v>35</v>
      </c>
      <c r="J942" s="14">
        <v>200</v>
      </c>
      <c r="K942" s="15" t="s">
        <v>28</v>
      </c>
      <c r="L942" s="185"/>
      <c r="M942" s="187">
        <f t="shared" si="139"/>
        <v>50</v>
      </c>
      <c r="N942" s="185">
        <v>10000</v>
      </c>
      <c r="O942" s="185">
        <v>5300</v>
      </c>
      <c r="P942" s="185">
        <f t="shared" si="145"/>
        <v>53000000</v>
      </c>
      <c r="Q942" s="15" t="str">
        <f t="shared" si="144"/>
        <v>Done</v>
      </c>
      <c r="R942" s="189" t="s">
        <v>44</v>
      </c>
      <c r="S942" s="190">
        <v>43609</v>
      </c>
      <c r="T942" s="20">
        <f>IFERROR(VLOOKUP(S942,'Date Converter'!$A$4:$C$368,3,0),"")</f>
        <v>43642</v>
      </c>
      <c r="U942" s="21">
        <f t="shared" si="143"/>
        <v>43642</v>
      </c>
      <c r="V942" s="184"/>
      <c r="W942" s="189"/>
      <c r="X942" s="189"/>
      <c r="Y942" s="185"/>
      <c r="Z942" s="206">
        <v>43643</v>
      </c>
      <c r="AA942" s="185">
        <v>10000</v>
      </c>
      <c r="AB942" s="206"/>
      <c r="AC942" s="185"/>
      <c r="AD942" s="206"/>
      <c r="AE942" s="185"/>
      <c r="AF942" s="246"/>
      <c r="AG942" s="185"/>
      <c r="AH942" s="15">
        <f t="shared" si="140"/>
        <v>10000</v>
      </c>
      <c r="AI942" s="22">
        <f t="shared" si="141"/>
        <v>0</v>
      </c>
      <c r="AJ942" s="22">
        <f t="shared" si="142"/>
        <v>0</v>
      </c>
      <c r="AK942" s="183"/>
    </row>
    <row r="943" spans="1:37" hidden="1">
      <c r="A943" s="183" t="s">
        <v>304</v>
      </c>
      <c r="B943" s="188">
        <v>43620</v>
      </c>
      <c r="C943" s="188" t="s">
        <v>23</v>
      </c>
      <c r="D943" s="183" t="s">
        <v>144</v>
      </c>
      <c r="E943" s="201" t="s">
        <v>145</v>
      </c>
      <c r="F943" s="183" t="str">
        <f t="shared" si="138"/>
        <v>YELL_14.16_300_NL2018</v>
      </c>
      <c r="G943" s="183" t="s">
        <v>89</v>
      </c>
      <c r="H943" s="184"/>
      <c r="I943" s="184">
        <v>14.16</v>
      </c>
      <c r="J943" s="186">
        <v>300</v>
      </c>
      <c r="K943" s="185" t="s">
        <v>28</v>
      </c>
      <c r="L943" s="185"/>
      <c r="M943" s="187">
        <f t="shared" si="139"/>
        <v>34</v>
      </c>
      <c r="N943" s="185">
        <v>10200</v>
      </c>
      <c r="O943" s="185">
        <v>3900</v>
      </c>
      <c r="P943" s="185">
        <f t="shared" si="145"/>
        <v>39780000</v>
      </c>
      <c r="Q943" s="15" t="str">
        <f t="shared" si="144"/>
        <v>Done</v>
      </c>
      <c r="R943" s="18" t="s">
        <v>44</v>
      </c>
      <c r="S943" s="190">
        <v>43590</v>
      </c>
      <c r="T943" s="20">
        <f>IFERROR(VLOOKUP(S943,'Date Converter'!$A$4:$C$368,3,0),"")</f>
        <v>43623</v>
      </c>
      <c r="U943" s="21">
        <f t="shared" si="143"/>
        <v>43623</v>
      </c>
      <c r="V943" s="184"/>
      <c r="W943" s="189"/>
      <c r="X943" s="189"/>
      <c r="Y943" s="185"/>
      <c r="Z943" s="206">
        <v>43624</v>
      </c>
      <c r="AA943" s="185">
        <v>10200</v>
      </c>
      <c r="AB943" s="206"/>
      <c r="AC943" s="185"/>
      <c r="AD943" s="206"/>
      <c r="AE943" s="185"/>
      <c r="AF943" s="246"/>
      <c r="AG943" s="185"/>
      <c r="AH943" s="15">
        <f t="shared" si="140"/>
        <v>10200</v>
      </c>
      <c r="AI943" s="22">
        <f t="shared" si="141"/>
        <v>0</v>
      </c>
      <c r="AJ943" s="22">
        <f t="shared" si="142"/>
        <v>0</v>
      </c>
      <c r="AK943" s="183"/>
    </row>
    <row r="944" spans="1:37" hidden="1">
      <c r="A944" s="183" t="s">
        <v>304</v>
      </c>
      <c r="B944" s="188">
        <v>43577</v>
      </c>
      <c r="C944" s="188" t="s">
        <v>23</v>
      </c>
      <c r="D944" s="183" t="s">
        <v>144</v>
      </c>
      <c r="E944" s="201" t="s">
        <v>145</v>
      </c>
      <c r="F944" s="183" t="str">
        <f t="shared" si="138"/>
        <v>ROBI_18.20_150_NZ2019</v>
      </c>
      <c r="G944" s="183" t="s">
        <v>1581</v>
      </c>
      <c r="H944" s="184"/>
      <c r="I944" s="184" t="s">
        <v>27</v>
      </c>
      <c r="J944" s="186">
        <v>150</v>
      </c>
      <c r="K944" s="185" t="s">
        <v>1507</v>
      </c>
      <c r="L944" s="185"/>
      <c r="M944" s="187">
        <f t="shared" si="139"/>
        <v>134</v>
      </c>
      <c r="N944" s="185">
        <v>20100</v>
      </c>
      <c r="O944" s="185">
        <v>9500</v>
      </c>
      <c r="P944" s="185">
        <f t="shared" si="145"/>
        <v>190950000</v>
      </c>
      <c r="Q944" s="15" t="str">
        <f t="shared" si="144"/>
        <v/>
      </c>
      <c r="R944" s="189" t="s">
        <v>29</v>
      </c>
      <c r="S944" s="190">
        <v>43678</v>
      </c>
      <c r="T944" s="20">
        <f>IFERROR(VLOOKUP(S944,'Date Converter'!$A$4:$C$368,3,0),"")</f>
        <v>43707</v>
      </c>
      <c r="U944" s="21">
        <f t="shared" si="143"/>
        <v>43707</v>
      </c>
      <c r="V944" s="184" t="s">
        <v>1470</v>
      </c>
      <c r="W944" s="189"/>
      <c r="X944" s="189"/>
      <c r="Y944" s="185"/>
      <c r="AA944" s="185"/>
      <c r="AB944" s="206"/>
      <c r="AC944" s="185"/>
      <c r="AD944" s="206"/>
      <c r="AE944" s="185"/>
      <c r="AF944" s="246"/>
      <c r="AG944" s="185"/>
      <c r="AH944" s="15">
        <f t="shared" si="140"/>
        <v>0</v>
      </c>
      <c r="AI944" s="22">
        <f t="shared" si="141"/>
        <v>20100</v>
      </c>
      <c r="AJ944" s="22">
        <f t="shared" si="142"/>
        <v>190950000</v>
      </c>
      <c r="AK944" s="183"/>
    </row>
    <row r="945" spans="1:37" s="165" customFormat="1" hidden="1">
      <c r="A945" s="165" t="s">
        <v>304</v>
      </c>
      <c r="B945" s="13">
        <v>43507</v>
      </c>
      <c r="C945" s="13" t="s">
        <v>23</v>
      </c>
      <c r="D945" s="165" t="s">
        <v>144</v>
      </c>
      <c r="E945" s="198" t="s">
        <v>145</v>
      </c>
      <c r="F945" s="165" t="str">
        <f t="shared" si="138"/>
        <v>ROBI_18.20_150_NL2018</v>
      </c>
      <c r="G945" s="165" t="s">
        <v>61</v>
      </c>
      <c r="H945" s="12"/>
      <c r="I945" s="12" t="s">
        <v>27</v>
      </c>
      <c r="J945" s="14">
        <v>150</v>
      </c>
      <c r="K945" s="15" t="s">
        <v>28</v>
      </c>
      <c r="L945" s="15"/>
      <c r="M945" s="16">
        <f t="shared" si="139"/>
        <v>133</v>
      </c>
      <c r="N945" s="15">
        <f>30000-10050</f>
        <v>19950</v>
      </c>
      <c r="O945" s="15">
        <f>6300+228</f>
        <v>6528</v>
      </c>
      <c r="P945" s="15">
        <f t="shared" si="145"/>
        <v>130233600</v>
      </c>
      <c r="Q945" s="15" t="str">
        <f t="shared" si="144"/>
        <v>Done</v>
      </c>
      <c r="R945" s="18" t="s">
        <v>44</v>
      </c>
      <c r="S945" s="23">
        <v>43572</v>
      </c>
      <c r="T945" s="20">
        <f>IFERROR(VLOOKUP(S945,'Date Converter'!$A$4:$C$368,3,0),"")</f>
        <v>43606</v>
      </c>
      <c r="U945" s="21">
        <f t="shared" si="143"/>
        <v>43606</v>
      </c>
      <c r="V945" s="12" t="s">
        <v>36</v>
      </c>
      <c r="W945" s="18"/>
      <c r="X945" s="18"/>
      <c r="Y945" s="15"/>
      <c r="Z945" s="206"/>
      <c r="AA945" s="15">
        <v>19950</v>
      </c>
      <c r="AB945" s="206"/>
      <c r="AC945" s="15"/>
      <c r="AD945" s="206"/>
      <c r="AE945" s="15"/>
      <c r="AF945" s="244"/>
      <c r="AG945" s="15"/>
      <c r="AH945" s="15">
        <f t="shared" si="140"/>
        <v>19950</v>
      </c>
      <c r="AI945" s="22">
        <f t="shared" si="141"/>
        <v>0</v>
      </c>
      <c r="AJ945" s="22">
        <f t="shared" si="142"/>
        <v>0</v>
      </c>
    </row>
    <row r="946" spans="1:37" s="165" customFormat="1" hidden="1">
      <c r="A946" s="165" t="s">
        <v>304</v>
      </c>
      <c r="B946" s="13">
        <v>43598</v>
      </c>
      <c r="C946" s="13" t="s">
        <v>23</v>
      </c>
      <c r="D946" s="165" t="s">
        <v>144</v>
      </c>
      <c r="E946" s="198" t="s">
        <v>145</v>
      </c>
      <c r="F946" s="165" t="str">
        <f t="shared" si="138"/>
        <v>ROBI_18.20_150_NL2018</v>
      </c>
      <c r="G946" s="165" t="s">
        <v>61</v>
      </c>
      <c r="H946" s="12"/>
      <c r="I946" s="12" t="s">
        <v>27</v>
      </c>
      <c r="J946" s="14">
        <v>150</v>
      </c>
      <c r="K946" s="15" t="s">
        <v>28</v>
      </c>
      <c r="L946" s="15"/>
      <c r="M946" s="16">
        <f t="shared" si="139"/>
        <v>66</v>
      </c>
      <c r="N946" s="15">
        <v>9900</v>
      </c>
      <c r="O946" s="15">
        <v>7900</v>
      </c>
      <c r="P946" s="15">
        <f t="shared" si="145"/>
        <v>78210000</v>
      </c>
      <c r="Q946" s="15" t="str">
        <f t="shared" si="144"/>
        <v>Done</v>
      </c>
      <c r="R946" s="18" t="s">
        <v>44</v>
      </c>
      <c r="S946" s="23">
        <v>43572</v>
      </c>
      <c r="T946" s="20">
        <f>IFERROR(VLOOKUP(S946,'Date Converter'!$A$4:$C$368,3,0),"")</f>
        <v>43606</v>
      </c>
      <c r="U946" s="21">
        <f t="shared" si="143"/>
        <v>43606</v>
      </c>
      <c r="V946" s="12" t="s">
        <v>36</v>
      </c>
      <c r="W946" s="18"/>
      <c r="X946" s="18"/>
      <c r="Y946" s="15"/>
      <c r="Z946" s="206"/>
      <c r="AA946" s="15">
        <v>9900</v>
      </c>
      <c r="AB946" s="206"/>
      <c r="AC946" s="15"/>
      <c r="AD946" s="206"/>
      <c r="AE946" s="15"/>
      <c r="AF946" s="244"/>
      <c r="AG946" s="15"/>
      <c r="AH946" s="15">
        <f t="shared" si="140"/>
        <v>9900</v>
      </c>
      <c r="AI946" s="22">
        <f t="shared" si="141"/>
        <v>0</v>
      </c>
      <c r="AJ946" s="22">
        <f t="shared" si="142"/>
        <v>0</v>
      </c>
    </row>
    <row r="947" spans="1:37" s="165" customFormat="1" hidden="1">
      <c r="A947" s="165" t="s">
        <v>304</v>
      </c>
      <c r="B947" s="188">
        <v>43507</v>
      </c>
      <c r="C947" s="188" t="s">
        <v>23</v>
      </c>
      <c r="D947" s="183" t="s">
        <v>144</v>
      </c>
      <c r="E947" s="201" t="s">
        <v>145</v>
      </c>
      <c r="F947" s="183" t="str">
        <f t="shared" si="138"/>
        <v>ROBI_18.20_150_NL2018</v>
      </c>
      <c r="G947" s="183" t="s">
        <v>61</v>
      </c>
      <c r="H947" s="184"/>
      <c r="I947" s="184" t="s">
        <v>27</v>
      </c>
      <c r="J947" s="186">
        <v>150</v>
      </c>
      <c r="K947" s="185" t="s">
        <v>28</v>
      </c>
      <c r="L947" s="185"/>
      <c r="M947" s="187">
        <f t="shared" si="139"/>
        <v>134</v>
      </c>
      <c r="N947" s="185">
        <v>20100</v>
      </c>
      <c r="O947" s="185">
        <v>8000</v>
      </c>
      <c r="P947" s="185">
        <f t="shared" si="145"/>
        <v>160800000</v>
      </c>
      <c r="Q947" s="15" t="str">
        <f t="shared" si="144"/>
        <v>Done</v>
      </c>
      <c r="R947" s="189" t="s">
        <v>44</v>
      </c>
      <c r="S947" s="190">
        <v>43603</v>
      </c>
      <c r="T947" s="20">
        <f>IFERROR(VLOOKUP(S947,'Date Converter'!$A$4:$C$368,3,0),"")</f>
        <v>43636</v>
      </c>
      <c r="U947" s="21">
        <f t="shared" si="143"/>
        <v>43636</v>
      </c>
      <c r="V947" s="184" t="s">
        <v>1506</v>
      </c>
      <c r="W947" s="189"/>
      <c r="X947" s="189"/>
      <c r="Y947" s="185"/>
      <c r="Z947" s="206">
        <v>43638</v>
      </c>
      <c r="AA947" s="185">
        <v>20100</v>
      </c>
      <c r="AB947" s="206"/>
      <c r="AC947" s="185"/>
      <c r="AD947" s="206"/>
      <c r="AE947" s="185"/>
      <c r="AF947" s="246"/>
      <c r="AG947" s="185"/>
      <c r="AH947" s="15">
        <f t="shared" si="140"/>
        <v>20100</v>
      </c>
      <c r="AI947" s="22">
        <f t="shared" si="141"/>
        <v>0</v>
      </c>
      <c r="AJ947" s="22">
        <f t="shared" si="142"/>
        <v>0</v>
      </c>
      <c r="AK947" s="183"/>
    </row>
    <row r="948" spans="1:37" s="165" customFormat="1" hidden="1">
      <c r="A948" s="165" t="s">
        <v>304</v>
      </c>
      <c r="B948" s="13">
        <v>43507</v>
      </c>
      <c r="C948" s="13" t="s">
        <v>23</v>
      </c>
      <c r="D948" s="165" t="s">
        <v>144</v>
      </c>
      <c r="E948" s="165" t="s">
        <v>145</v>
      </c>
      <c r="F948" s="165" t="str">
        <f t="shared" si="138"/>
        <v>ROBI_18.20_150_NL2018</v>
      </c>
      <c r="G948" s="165" t="s">
        <v>61</v>
      </c>
      <c r="H948" s="12"/>
      <c r="I948" s="12" t="s">
        <v>27</v>
      </c>
      <c r="J948" s="14">
        <v>150</v>
      </c>
      <c r="K948" s="15" t="s">
        <v>28</v>
      </c>
      <c r="L948" s="15"/>
      <c r="M948" s="16">
        <f t="shared" si="139"/>
        <v>67</v>
      </c>
      <c r="N948" s="15">
        <v>10050</v>
      </c>
      <c r="O948" s="15">
        <v>6528</v>
      </c>
      <c r="P948" s="15">
        <f t="shared" si="145"/>
        <v>65606400</v>
      </c>
      <c r="Q948" s="15" t="str">
        <f t="shared" si="144"/>
        <v>Done</v>
      </c>
      <c r="R948" s="18" t="s">
        <v>44</v>
      </c>
      <c r="S948" s="23">
        <v>43572</v>
      </c>
      <c r="T948" s="20">
        <f>IFERROR(VLOOKUP(S948,'Date Converter'!$A$4:$C$368,3,0),"")</f>
        <v>43606</v>
      </c>
      <c r="U948" s="21">
        <f t="shared" si="143"/>
        <v>43606</v>
      </c>
      <c r="V948" s="12" t="s">
        <v>36</v>
      </c>
      <c r="W948" s="18"/>
      <c r="X948" s="18"/>
      <c r="Y948" s="15"/>
      <c r="Z948" s="206">
        <v>43591</v>
      </c>
      <c r="AA948" s="15">
        <v>10050</v>
      </c>
      <c r="AB948" s="206"/>
      <c r="AC948" s="15"/>
      <c r="AD948" s="206"/>
      <c r="AE948" s="15"/>
      <c r="AF948" s="244"/>
      <c r="AG948" s="15"/>
      <c r="AH948" s="15">
        <f t="shared" si="140"/>
        <v>10050</v>
      </c>
      <c r="AI948" s="22">
        <f t="shared" si="141"/>
        <v>0</v>
      </c>
      <c r="AJ948" s="22">
        <f t="shared" si="142"/>
        <v>0</v>
      </c>
    </row>
    <row r="949" spans="1:37" s="165" customFormat="1" hidden="1">
      <c r="A949" s="165" t="s">
        <v>304</v>
      </c>
      <c r="B949" s="13">
        <v>43614</v>
      </c>
      <c r="C949" s="13" t="s">
        <v>23</v>
      </c>
      <c r="D949" s="165" t="s">
        <v>144</v>
      </c>
      <c r="E949" s="165" t="s">
        <v>145</v>
      </c>
      <c r="F949" s="165" t="str">
        <f t="shared" si="138"/>
        <v>ROBI_18.20_150_NL2018</v>
      </c>
      <c r="G949" s="165" t="s">
        <v>61</v>
      </c>
      <c r="H949" s="12"/>
      <c r="I949" s="12" t="s">
        <v>27</v>
      </c>
      <c r="J949" s="14">
        <v>150</v>
      </c>
      <c r="K949" s="15" t="s">
        <v>28</v>
      </c>
      <c r="L949" s="15"/>
      <c r="M949" s="16">
        <f t="shared" si="139"/>
        <v>0</v>
      </c>
      <c r="N949" s="15">
        <f>9900-9900</f>
        <v>0</v>
      </c>
      <c r="O949" s="15">
        <v>7900</v>
      </c>
      <c r="P949" s="15">
        <f t="shared" si="145"/>
        <v>0</v>
      </c>
      <c r="Q949" s="15" t="str">
        <f t="shared" si="144"/>
        <v>Canceled</v>
      </c>
      <c r="R949" s="18" t="s">
        <v>71</v>
      </c>
      <c r="S949" s="23">
        <v>43572</v>
      </c>
      <c r="T949" s="20">
        <f>IFERROR(VLOOKUP(S949,'Date Converter'!$A$4:$C$368,3,0),"")</f>
        <v>43606</v>
      </c>
      <c r="U949" s="21">
        <f t="shared" si="143"/>
        <v>43606</v>
      </c>
      <c r="V949" s="12" t="s">
        <v>36</v>
      </c>
      <c r="W949" s="18"/>
      <c r="X949" s="18"/>
      <c r="Y949" s="15"/>
      <c r="Z949" s="206"/>
      <c r="AA949" s="15"/>
      <c r="AB949" s="206"/>
      <c r="AC949" s="15"/>
      <c r="AD949" s="206"/>
      <c r="AE949" s="15"/>
      <c r="AF949" s="244"/>
      <c r="AG949" s="15"/>
      <c r="AH949" s="15">
        <f t="shared" si="140"/>
        <v>0</v>
      </c>
      <c r="AI949" s="22">
        <f t="shared" si="141"/>
        <v>0</v>
      </c>
      <c r="AJ949" s="22">
        <f t="shared" si="142"/>
        <v>0</v>
      </c>
    </row>
    <row r="950" spans="1:37" hidden="1">
      <c r="A950" s="183" t="s">
        <v>1468</v>
      </c>
      <c r="B950" s="188">
        <v>43577</v>
      </c>
      <c r="C950" s="188" t="s">
        <v>23</v>
      </c>
      <c r="D950" s="258" t="s">
        <v>144</v>
      </c>
      <c r="E950" s="201" t="s">
        <v>145</v>
      </c>
      <c r="F950" s="183" t="str">
        <f t="shared" ref="F950:F1013" si="146">SUBSTITUTE(LEFT(G950,4)&amp;"_"&amp;H950&amp;"_"&amp;I950&amp;"_"&amp;J950&amp;"_"&amp;K950,"__","_")</f>
        <v>ROBI_20.22_125_NL2018</v>
      </c>
      <c r="G950" s="183" t="s">
        <v>61</v>
      </c>
      <c r="H950" s="184"/>
      <c r="I950" s="184" t="s">
        <v>74</v>
      </c>
      <c r="J950" s="186">
        <v>125</v>
      </c>
      <c r="K950" s="185" t="s">
        <v>28</v>
      </c>
      <c r="L950" s="185"/>
      <c r="M950" s="187">
        <f t="shared" ref="M950:M1013" si="147">+N950/J950</f>
        <v>240</v>
      </c>
      <c r="N950" s="185">
        <v>30000</v>
      </c>
      <c r="O950" s="185">
        <v>10700</v>
      </c>
      <c r="P950" s="185">
        <f t="shared" si="145"/>
        <v>321000000</v>
      </c>
      <c r="Q950" s="15" t="str">
        <f t="shared" si="144"/>
        <v/>
      </c>
      <c r="R950" s="189" t="s">
        <v>29</v>
      </c>
      <c r="S950" s="190">
        <v>43709</v>
      </c>
      <c r="T950" s="20">
        <f>IFERROR(VLOOKUP(S950,'Date Converter'!$A$4:$C$368,3,0),"")</f>
        <v>43737</v>
      </c>
      <c r="U950" s="21">
        <f t="shared" si="143"/>
        <v>43737</v>
      </c>
      <c r="V950" s="184" t="s">
        <v>51</v>
      </c>
      <c r="W950" s="189"/>
      <c r="X950" s="189"/>
      <c r="Y950" s="185"/>
      <c r="AA950" s="185"/>
      <c r="AB950" s="206"/>
      <c r="AC950" s="185"/>
      <c r="AD950" s="206"/>
      <c r="AE950" s="185"/>
      <c r="AF950" s="246"/>
      <c r="AG950" s="185"/>
      <c r="AH950" s="15">
        <f t="shared" ref="AH950:AH1013" si="148">+AA950+AC950+AE950+AG950</f>
        <v>0</v>
      </c>
      <c r="AI950" s="22">
        <f t="shared" ref="AI950:AI1013" si="149">+N950-AH950</f>
        <v>30000</v>
      </c>
      <c r="AJ950" s="22">
        <f t="shared" ref="AJ950:AJ1013" si="150">+AI950*O950</f>
        <v>321000000</v>
      </c>
      <c r="AK950" s="183"/>
    </row>
    <row r="951" spans="1:37" hidden="1">
      <c r="A951" s="165" t="s">
        <v>304</v>
      </c>
      <c r="B951" s="13">
        <v>43507</v>
      </c>
      <c r="C951" s="13" t="s">
        <v>23</v>
      </c>
      <c r="D951" s="165" t="s">
        <v>144</v>
      </c>
      <c r="E951" s="165" t="s">
        <v>145</v>
      </c>
      <c r="F951" s="165" t="str">
        <f t="shared" si="146"/>
        <v>MANI_PR_20.22_125_NL2018</v>
      </c>
      <c r="G951" s="165" t="s">
        <v>463</v>
      </c>
      <c r="H951" s="12" t="s">
        <v>106</v>
      </c>
      <c r="I951" s="12" t="s">
        <v>74</v>
      </c>
      <c r="J951" s="14">
        <v>125</v>
      </c>
      <c r="K951" s="15" t="s">
        <v>28</v>
      </c>
      <c r="M951" s="16">
        <f t="shared" si="147"/>
        <v>153</v>
      </c>
      <c r="N951" s="15">
        <v>19125</v>
      </c>
      <c r="O951" s="15">
        <v>8700</v>
      </c>
      <c r="P951" s="15">
        <f t="shared" si="145"/>
        <v>166387500</v>
      </c>
      <c r="Q951" s="15" t="str">
        <f t="shared" si="144"/>
        <v>Done</v>
      </c>
      <c r="R951" s="18" t="s">
        <v>44</v>
      </c>
      <c r="S951" s="23">
        <v>43524</v>
      </c>
      <c r="T951" s="20">
        <f>IFERROR(VLOOKUP(S951,'Date Converter'!$A$4:$C$368,3,0),"")</f>
        <v>43557</v>
      </c>
      <c r="U951" s="21">
        <f t="shared" si="143"/>
        <v>43557</v>
      </c>
      <c r="V951" s="12" t="s">
        <v>81</v>
      </c>
      <c r="W951" s="18" t="s">
        <v>107</v>
      </c>
      <c r="X951" s="18">
        <v>43555</v>
      </c>
      <c r="Y951" s="15" t="s">
        <v>59</v>
      </c>
      <c r="Z951" s="206">
        <v>43557</v>
      </c>
      <c r="AA951" s="15">
        <v>19125</v>
      </c>
      <c r="AB951" s="206"/>
      <c r="AC951" s="15"/>
      <c r="AD951" s="206"/>
      <c r="AE951" s="15"/>
      <c r="AF951" s="244"/>
      <c r="AG951" s="15"/>
      <c r="AH951" s="15">
        <f t="shared" si="148"/>
        <v>19125</v>
      </c>
      <c r="AI951" s="22">
        <f t="shared" si="149"/>
        <v>0</v>
      </c>
      <c r="AJ951" s="22">
        <f t="shared" si="150"/>
        <v>0</v>
      </c>
      <c r="AK951" s="165"/>
    </row>
    <row r="952" spans="1:37" hidden="1">
      <c r="A952" s="183" t="s">
        <v>1468</v>
      </c>
      <c r="B952" s="188">
        <v>43577</v>
      </c>
      <c r="C952" s="188" t="s">
        <v>23</v>
      </c>
      <c r="D952" s="258" t="s">
        <v>144</v>
      </c>
      <c r="E952" s="201" t="s">
        <v>145</v>
      </c>
      <c r="F952" s="183" t="str">
        <f t="shared" si="146"/>
        <v>CONC_18.20_150_NL2018</v>
      </c>
      <c r="G952" s="183" t="s">
        <v>40</v>
      </c>
      <c r="H952" s="184"/>
      <c r="I952" s="184" t="s">
        <v>27</v>
      </c>
      <c r="J952" s="186">
        <v>150</v>
      </c>
      <c r="K952" s="185" t="s">
        <v>28</v>
      </c>
      <c r="L952" s="185"/>
      <c r="M952" s="187">
        <f t="shared" si="147"/>
        <v>67</v>
      </c>
      <c r="N952" s="185">
        <v>10050</v>
      </c>
      <c r="O952" s="185">
        <v>8000</v>
      </c>
      <c r="P952" s="185">
        <f t="shared" si="145"/>
        <v>80400000</v>
      </c>
      <c r="Q952" s="15" t="str">
        <f t="shared" si="144"/>
        <v/>
      </c>
      <c r="R952" s="189" t="s">
        <v>29</v>
      </c>
      <c r="S952" s="190">
        <v>43709</v>
      </c>
      <c r="T952" s="20">
        <f>IFERROR(VLOOKUP(S952,'Date Converter'!$A$4:$C$368,3,0),"")</f>
        <v>43737</v>
      </c>
      <c r="U952" s="21">
        <f t="shared" si="143"/>
        <v>43737</v>
      </c>
      <c r="V952" s="184" t="s">
        <v>51</v>
      </c>
      <c r="W952" s="189"/>
      <c r="X952" s="189"/>
      <c r="Y952" s="185"/>
      <c r="AA952" s="185"/>
      <c r="AB952" s="206"/>
      <c r="AC952" s="185"/>
      <c r="AD952" s="206"/>
      <c r="AE952" s="185"/>
      <c r="AF952" s="246"/>
      <c r="AG952" s="185"/>
      <c r="AH952" s="15">
        <f t="shared" si="148"/>
        <v>0</v>
      </c>
      <c r="AI952" s="22">
        <f t="shared" si="149"/>
        <v>10050</v>
      </c>
      <c r="AJ952" s="22">
        <f t="shared" si="150"/>
        <v>80400000</v>
      </c>
      <c r="AK952" s="183"/>
    </row>
    <row r="953" spans="1:37" hidden="1">
      <c r="A953" s="165" t="s">
        <v>1887</v>
      </c>
      <c r="B953" s="13">
        <v>43630</v>
      </c>
      <c r="C953" s="13" t="s">
        <v>1622</v>
      </c>
      <c r="D953" s="258" t="s">
        <v>788</v>
      </c>
      <c r="E953" s="13" t="s">
        <v>789</v>
      </c>
      <c r="F953" s="165" t="str">
        <f t="shared" si="146"/>
        <v>TRES_16.18_200_NL2018</v>
      </c>
      <c r="G953" s="13" t="s">
        <v>1615</v>
      </c>
      <c r="I953" s="12" t="s">
        <v>35</v>
      </c>
      <c r="J953" s="31" t="s">
        <v>121</v>
      </c>
      <c r="K953" s="15" t="s">
        <v>28</v>
      </c>
      <c r="M953" s="16">
        <f t="shared" si="147"/>
        <v>10</v>
      </c>
      <c r="N953" s="15">
        <v>2000</v>
      </c>
      <c r="O953" s="15">
        <v>7000</v>
      </c>
      <c r="P953" s="15">
        <f t="shared" si="145"/>
        <v>14000000</v>
      </c>
      <c r="Q953" s="15" t="str">
        <f t="shared" si="144"/>
        <v/>
      </c>
      <c r="R953" s="18" t="s">
        <v>29</v>
      </c>
      <c r="S953" s="23">
        <v>43709</v>
      </c>
      <c r="T953" s="20">
        <f>IFERROR(VLOOKUP(S953,'Date Converter'!$A$4:$C$368,3,0),"")</f>
        <v>43737</v>
      </c>
      <c r="U953" s="21">
        <f t="shared" si="143"/>
        <v>43737</v>
      </c>
      <c r="V953" s="20"/>
      <c r="AA953" s="15"/>
      <c r="AB953" s="206"/>
      <c r="AD953" s="206"/>
      <c r="AH953" s="15">
        <f t="shared" si="148"/>
        <v>0</v>
      </c>
      <c r="AI953" s="22">
        <f t="shared" si="149"/>
        <v>2000</v>
      </c>
      <c r="AJ953" s="22">
        <f t="shared" si="150"/>
        <v>14000000</v>
      </c>
      <c r="AK953" s="165"/>
    </row>
    <row r="954" spans="1:37" hidden="1">
      <c r="A954" s="165" t="s">
        <v>1887</v>
      </c>
      <c r="B954" s="13">
        <v>43630</v>
      </c>
      <c r="C954" s="13" t="s">
        <v>1622</v>
      </c>
      <c r="D954" s="258" t="s">
        <v>788</v>
      </c>
      <c r="E954" s="13" t="s">
        <v>789</v>
      </c>
      <c r="F954" s="165" t="str">
        <f t="shared" si="146"/>
        <v>ROBI_20.22_125_NZ2019</v>
      </c>
      <c r="G954" s="13" t="s">
        <v>1581</v>
      </c>
      <c r="I954" s="24" t="s">
        <v>74</v>
      </c>
      <c r="J954" s="31" t="s">
        <v>122</v>
      </c>
      <c r="K954" s="15" t="s">
        <v>1507</v>
      </c>
      <c r="M954" s="16">
        <f t="shared" si="147"/>
        <v>48</v>
      </c>
      <c r="N954" s="15">
        <v>6000</v>
      </c>
      <c r="O954" s="15">
        <v>12500</v>
      </c>
      <c r="P954" s="15">
        <f t="shared" si="145"/>
        <v>75000000</v>
      </c>
      <c r="Q954" s="15" t="str">
        <f t="shared" si="144"/>
        <v/>
      </c>
      <c r="R954" s="18" t="s">
        <v>29</v>
      </c>
      <c r="S954" s="23">
        <v>43709</v>
      </c>
      <c r="T954" s="20">
        <f>IFERROR(VLOOKUP(S954,'Date Converter'!$A$4:$C$368,3,0),"")</f>
        <v>43737</v>
      </c>
      <c r="U954" s="21">
        <f t="shared" si="143"/>
        <v>43737</v>
      </c>
      <c r="V954" s="20"/>
      <c r="AA954" s="15"/>
      <c r="AB954" s="206"/>
      <c r="AD954" s="206"/>
      <c r="AH954" s="15">
        <f t="shared" si="148"/>
        <v>0</v>
      </c>
      <c r="AI954" s="22">
        <f t="shared" si="149"/>
        <v>6000</v>
      </c>
      <c r="AJ954" s="22">
        <f t="shared" si="150"/>
        <v>75000000</v>
      </c>
    </row>
    <row r="955" spans="1:37" hidden="1">
      <c r="A955" s="165" t="s">
        <v>1887</v>
      </c>
      <c r="B955" s="13">
        <v>43630</v>
      </c>
      <c r="C955" s="13" t="s">
        <v>1622</v>
      </c>
      <c r="D955" s="258" t="s">
        <v>788</v>
      </c>
      <c r="E955" s="13" t="s">
        <v>789</v>
      </c>
      <c r="F955" s="165" t="str">
        <f t="shared" si="146"/>
        <v>CONC_20.22_125_NZ2019</v>
      </c>
      <c r="G955" s="13" t="s">
        <v>1509</v>
      </c>
      <c r="I955" s="24" t="s">
        <v>74</v>
      </c>
      <c r="J955" s="31" t="s">
        <v>122</v>
      </c>
      <c r="K955" s="15" t="s">
        <v>1507</v>
      </c>
      <c r="M955" s="16">
        <f t="shared" si="147"/>
        <v>88</v>
      </c>
      <c r="N955" s="15">
        <v>11000</v>
      </c>
      <c r="O955" s="15">
        <v>12000</v>
      </c>
      <c r="P955" s="15">
        <f t="shared" si="145"/>
        <v>132000000</v>
      </c>
      <c r="Q955" s="15" t="str">
        <f t="shared" si="144"/>
        <v/>
      </c>
      <c r="R955" s="18" t="s">
        <v>29</v>
      </c>
      <c r="S955" s="23">
        <v>43709</v>
      </c>
      <c r="T955" s="20">
        <f>IFERROR(VLOOKUP(S955,'Date Converter'!$A$4:$C$368,3,0),"")</f>
        <v>43737</v>
      </c>
      <c r="U955" s="21">
        <f t="shared" ref="U955:U1018" si="151">+T955</f>
        <v>43737</v>
      </c>
      <c r="V955" s="20"/>
      <c r="AA955" s="15"/>
      <c r="AB955" s="206"/>
      <c r="AD955" s="206"/>
      <c r="AH955" s="15">
        <f t="shared" si="148"/>
        <v>0</v>
      </c>
      <c r="AI955" s="22">
        <f t="shared" si="149"/>
        <v>11000</v>
      </c>
      <c r="AJ955" s="22">
        <f t="shared" si="150"/>
        <v>132000000</v>
      </c>
    </row>
    <row r="956" spans="1:37" hidden="1">
      <c r="A956" s="165" t="s">
        <v>1360</v>
      </c>
      <c r="B956" s="13">
        <v>43621</v>
      </c>
      <c r="C956" s="13" t="s">
        <v>23</v>
      </c>
      <c r="D956" s="165" t="s">
        <v>157</v>
      </c>
      <c r="E956" s="198" t="s">
        <v>158</v>
      </c>
      <c r="F956" s="165" t="str">
        <f t="shared" si="146"/>
        <v>YELL_DN_16.18_200_NL2018</v>
      </c>
      <c r="G956" s="165" t="s">
        <v>89</v>
      </c>
      <c r="H956" s="12" t="s">
        <v>480</v>
      </c>
      <c r="I956" s="12" t="s">
        <v>35</v>
      </c>
      <c r="J956" s="14">
        <v>200</v>
      </c>
      <c r="K956" s="15" t="s">
        <v>28</v>
      </c>
      <c r="M956" s="16">
        <f t="shared" si="147"/>
        <v>1</v>
      </c>
      <c r="N956" s="15">
        <v>200</v>
      </c>
      <c r="O956" s="15">
        <v>6000</v>
      </c>
      <c r="P956" s="15">
        <f t="shared" si="145"/>
        <v>1200000</v>
      </c>
      <c r="Q956" s="15" t="str">
        <f t="shared" si="144"/>
        <v>Done</v>
      </c>
      <c r="R956" s="18" t="s">
        <v>44</v>
      </c>
      <c r="S956" s="23">
        <v>43572</v>
      </c>
      <c r="T956" s="20">
        <f>IFERROR(VLOOKUP(S956,'Date Converter'!$A$4:$C$368,3,0),"")</f>
        <v>43606</v>
      </c>
      <c r="U956" s="21">
        <f t="shared" si="151"/>
        <v>43606</v>
      </c>
      <c r="V956" s="20"/>
      <c r="Y956" s="15"/>
      <c r="Z956" s="206">
        <v>43621</v>
      </c>
      <c r="AA956" s="15">
        <v>200</v>
      </c>
      <c r="AB956" s="206"/>
      <c r="AC956" s="15"/>
      <c r="AD956" s="206"/>
      <c r="AE956" s="15"/>
      <c r="AF956" s="244"/>
      <c r="AG956" s="15"/>
      <c r="AH956" s="15">
        <f t="shared" si="148"/>
        <v>200</v>
      </c>
      <c r="AI956" s="22">
        <f t="shared" si="149"/>
        <v>0</v>
      </c>
      <c r="AJ956" s="22">
        <f t="shared" si="150"/>
        <v>0</v>
      </c>
      <c r="AK956" s="165"/>
    </row>
    <row r="957" spans="1:37" s="165" customFormat="1" hidden="1">
      <c r="A957" s="165" t="s">
        <v>1360</v>
      </c>
      <c r="B957" s="13">
        <v>43523</v>
      </c>
      <c r="C957" s="13" t="s">
        <v>23</v>
      </c>
      <c r="D957" s="165" t="s">
        <v>157</v>
      </c>
      <c r="E957" s="198" t="s">
        <v>158</v>
      </c>
      <c r="F957" s="165" t="str">
        <f t="shared" si="146"/>
        <v>TARR_14.16_300_NL2018</v>
      </c>
      <c r="G957" s="165" t="s">
        <v>62</v>
      </c>
      <c r="H957" s="12"/>
      <c r="I957" s="12" t="s">
        <v>47</v>
      </c>
      <c r="J957" s="14">
        <v>300</v>
      </c>
      <c r="K957" s="15" t="s">
        <v>28</v>
      </c>
      <c r="L957" s="15"/>
      <c r="M957" s="16">
        <f t="shared" si="147"/>
        <v>20</v>
      </c>
      <c r="N957" s="15">
        <v>6000</v>
      </c>
      <c r="O957" s="15">
        <v>4900</v>
      </c>
      <c r="P957" s="15">
        <f t="shared" si="145"/>
        <v>29400000</v>
      </c>
      <c r="Q957" s="15" t="str">
        <f t="shared" si="144"/>
        <v/>
      </c>
      <c r="R957" s="18" t="s">
        <v>63</v>
      </c>
      <c r="S957" s="23">
        <v>43603</v>
      </c>
      <c r="T957" s="20">
        <f>IFERROR(VLOOKUP(S957,'Date Converter'!$A$4:$C$368,3,0),"")</f>
        <v>43636</v>
      </c>
      <c r="U957" s="21">
        <f t="shared" si="151"/>
        <v>43636</v>
      </c>
      <c r="V957" s="20"/>
      <c r="W957" s="18"/>
      <c r="X957" s="18"/>
      <c r="Y957" s="15"/>
      <c r="Z957" s="206"/>
      <c r="AA957" s="15"/>
      <c r="AB957" s="206"/>
      <c r="AC957" s="15"/>
      <c r="AD957" s="206"/>
      <c r="AE957" s="15"/>
      <c r="AF957" s="244"/>
      <c r="AG957" s="15"/>
      <c r="AH957" s="15">
        <f t="shared" si="148"/>
        <v>0</v>
      </c>
      <c r="AI957" s="22">
        <f t="shared" si="149"/>
        <v>6000</v>
      </c>
      <c r="AJ957" s="22">
        <f t="shared" si="150"/>
        <v>29400000</v>
      </c>
    </row>
    <row r="958" spans="1:37" s="165" customFormat="1" hidden="1">
      <c r="A958" s="165" t="s">
        <v>1360</v>
      </c>
      <c r="B958" s="13">
        <v>43523</v>
      </c>
      <c r="C958" s="13" t="s">
        <v>23</v>
      </c>
      <c r="D958" s="165" t="s">
        <v>157</v>
      </c>
      <c r="E958" s="198" t="s">
        <v>158</v>
      </c>
      <c r="F958" s="165" t="str">
        <f t="shared" si="146"/>
        <v>SERA_16.18_200_NL2018</v>
      </c>
      <c r="G958" s="165" t="s">
        <v>227</v>
      </c>
      <c r="H958" s="12"/>
      <c r="I958" s="12" t="s">
        <v>35</v>
      </c>
      <c r="J958" s="14">
        <v>200</v>
      </c>
      <c r="K958" s="15" t="s">
        <v>28</v>
      </c>
      <c r="L958" s="15"/>
      <c r="M958" s="16">
        <f t="shared" si="147"/>
        <v>50</v>
      </c>
      <c r="N958" s="15">
        <v>10000</v>
      </c>
      <c r="O958" s="15">
        <v>5270</v>
      </c>
      <c r="P958" s="15">
        <f t="shared" si="145"/>
        <v>52700000</v>
      </c>
      <c r="Q958" s="15" t="str">
        <f t="shared" si="144"/>
        <v>Done</v>
      </c>
      <c r="R958" s="18" t="s">
        <v>44</v>
      </c>
      <c r="S958" s="23">
        <v>43572</v>
      </c>
      <c r="T958" s="20">
        <f>IFERROR(VLOOKUP(S958,'Date Converter'!$A$4:$C$368,3,0),"")</f>
        <v>43606</v>
      </c>
      <c r="U958" s="21">
        <f t="shared" si="151"/>
        <v>43606</v>
      </c>
      <c r="V958" s="20" t="s">
        <v>479</v>
      </c>
      <c r="W958" s="18"/>
      <c r="X958" s="18"/>
      <c r="Y958" s="15"/>
      <c r="Z958" s="206">
        <v>43607</v>
      </c>
      <c r="AA958" s="15">
        <v>8000</v>
      </c>
      <c r="AB958" s="206">
        <v>43636</v>
      </c>
      <c r="AC958" s="15">
        <v>2000</v>
      </c>
      <c r="AD958" s="206"/>
      <c r="AE958" s="15"/>
      <c r="AF958" s="244"/>
      <c r="AG958" s="15"/>
      <c r="AH958" s="15">
        <f t="shared" si="148"/>
        <v>10000</v>
      </c>
      <c r="AI958" s="22">
        <f t="shared" si="149"/>
        <v>0</v>
      </c>
      <c r="AJ958" s="22">
        <f t="shared" si="150"/>
        <v>0</v>
      </c>
    </row>
    <row r="959" spans="1:37" s="165" customFormat="1" hidden="1">
      <c r="A959" s="165" t="s">
        <v>1361</v>
      </c>
      <c r="B959" s="13">
        <v>43564</v>
      </c>
      <c r="C959" s="13" t="s">
        <v>23</v>
      </c>
      <c r="D959" s="258" t="s">
        <v>157</v>
      </c>
      <c r="E959" s="97" t="s">
        <v>158</v>
      </c>
      <c r="F959" s="165" t="str">
        <f t="shared" si="146"/>
        <v>PROF_20.22_125_CL2019</v>
      </c>
      <c r="G959" s="165" t="s">
        <v>1382</v>
      </c>
      <c r="H959" s="12"/>
      <c r="I959" s="12" t="s">
        <v>74</v>
      </c>
      <c r="J959" s="14">
        <v>125</v>
      </c>
      <c r="K959" s="15" t="s">
        <v>1423</v>
      </c>
      <c r="L959" s="15"/>
      <c r="M959" s="16">
        <f t="shared" si="147"/>
        <v>80</v>
      </c>
      <c r="N959" s="15">
        <f>5000+5000</f>
        <v>10000</v>
      </c>
      <c r="O959" s="15">
        <v>13500</v>
      </c>
      <c r="P959" s="15">
        <f t="shared" si="145"/>
        <v>135000000</v>
      </c>
      <c r="Q959" s="15" t="str">
        <f t="shared" si="144"/>
        <v/>
      </c>
      <c r="R959" s="18" t="s">
        <v>29</v>
      </c>
      <c r="S959" s="23">
        <v>43709</v>
      </c>
      <c r="T959" s="20">
        <f>IFERROR(VLOOKUP(S959,'Date Converter'!$A$4:$C$368,3,0),"")</f>
        <v>43737</v>
      </c>
      <c r="U959" s="21">
        <f t="shared" si="151"/>
        <v>43737</v>
      </c>
      <c r="V959" s="20" t="s">
        <v>51</v>
      </c>
      <c r="W959" s="18"/>
      <c r="X959" s="18"/>
      <c r="Y959" s="15"/>
      <c r="Z959" s="206"/>
      <c r="AA959" s="15"/>
      <c r="AB959" s="206"/>
      <c r="AC959" s="15"/>
      <c r="AD959" s="206"/>
      <c r="AE959" s="15"/>
      <c r="AF959" s="244"/>
      <c r="AG959" s="15"/>
      <c r="AH959" s="15">
        <f t="shared" si="148"/>
        <v>0</v>
      </c>
      <c r="AI959" s="22">
        <f t="shared" si="149"/>
        <v>10000</v>
      </c>
      <c r="AJ959" s="22">
        <f t="shared" si="150"/>
        <v>135000000</v>
      </c>
    </row>
    <row r="960" spans="1:37" hidden="1">
      <c r="A960" t="s">
        <v>1360</v>
      </c>
      <c r="B960" s="13">
        <v>43630</v>
      </c>
      <c r="C960" s="13" t="s">
        <v>23</v>
      </c>
      <c r="D960" t="s">
        <v>157</v>
      </c>
      <c r="E960" s="198" t="s">
        <v>158</v>
      </c>
      <c r="F960" s="165" t="str">
        <f t="shared" si="146"/>
        <v>PAVI_12.14_400_NL2018</v>
      </c>
      <c r="G960" s="165" t="s">
        <v>138</v>
      </c>
      <c r="I960" s="24" t="s">
        <v>113</v>
      </c>
      <c r="J960" s="14">
        <v>400</v>
      </c>
      <c r="K960" s="15" t="s">
        <v>28</v>
      </c>
      <c r="M960" s="16">
        <f t="shared" si="147"/>
        <v>15</v>
      </c>
      <c r="N960" s="15">
        <v>6000</v>
      </c>
      <c r="O960" s="15">
        <v>3000</v>
      </c>
      <c r="P960" s="15">
        <f t="shared" si="145"/>
        <v>18000000</v>
      </c>
      <c r="Q960" s="15" t="str">
        <f t="shared" si="144"/>
        <v/>
      </c>
      <c r="R960" s="18" t="s">
        <v>29</v>
      </c>
      <c r="S960" s="23">
        <v>43661</v>
      </c>
      <c r="T960" s="20">
        <f>IFERROR(VLOOKUP(S960,'Date Converter'!$A$4:$C$368,3,0),"")</f>
        <v>43692</v>
      </c>
      <c r="U960" s="21">
        <f t="shared" si="151"/>
        <v>43692</v>
      </c>
      <c r="V960" s="20"/>
      <c r="Y960" s="15"/>
      <c r="AA960" s="15"/>
      <c r="AB960" s="206"/>
      <c r="AC960" s="15"/>
      <c r="AD960" s="206"/>
      <c r="AE960" s="15"/>
      <c r="AF960" s="244"/>
      <c r="AG960" s="15"/>
      <c r="AH960" s="15">
        <f t="shared" si="148"/>
        <v>0</v>
      </c>
      <c r="AI960" s="22">
        <f t="shared" si="149"/>
        <v>6000</v>
      </c>
      <c r="AJ960" s="22">
        <f t="shared" si="150"/>
        <v>18000000</v>
      </c>
    </row>
    <row r="961" spans="1:37" hidden="1">
      <c r="A961" s="165" t="s">
        <v>1361</v>
      </c>
      <c r="B961" s="13">
        <v>43564</v>
      </c>
      <c r="C961" s="13" t="s">
        <v>23</v>
      </c>
      <c r="D961" s="258" t="s">
        <v>157</v>
      </c>
      <c r="E961" s="97" t="s">
        <v>158</v>
      </c>
      <c r="F961" s="165" t="str">
        <f t="shared" si="146"/>
        <v>MANI_24+_75_NL2018</v>
      </c>
      <c r="G961" s="165" t="s">
        <v>105</v>
      </c>
      <c r="I961" s="12" t="s">
        <v>185</v>
      </c>
      <c r="J961" s="14">
        <v>75</v>
      </c>
      <c r="K961" s="15" t="s">
        <v>28</v>
      </c>
      <c r="L961" s="15" t="s">
        <v>136</v>
      </c>
      <c r="M961" s="16">
        <f t="shared" si="147"/>
        <v>160</v>
      </c>
      <c r="N961" s="15">
        <v>12000</v>
      </c>
      <c r="O961" s="15">
        <v>16000</v>
      </c>
      <c r="P961" s="15">
        <f t="shared" si="145"/>
        <v>192000000</v>
      </c>
      <c r="Q961" s="15" t="str">
        <f t="shared" si="144"/>
        <v/>
      </c>
      <c r="R961" s="18" t="s">
        <v>29</v>
      </c>
      <c r="S961" s="23">
        <v>43709</v>
      </c>
      <c r="T961" s="20">
        <f>IFERROR(VLOOKUP(S961,'Date Converter'!$A$4:$C$368,3,0),"")</f>
        <v>43737</v>
      </c>
      <c r="U961" s="21">
        <f t="shared" si="151"/>
        <v>43737</v>
      </c>
      <c r="V961" s="20" t="s">
        <v>51</v>
      </c>
      <c r="Y961" s="15"/>
      <c r="AA961" s="15"/>
      <c r="AB961" s="206"/>
      <c r="AC961" s="15"/>
      <c r="AD961" s="206"/>
      <c r="AE961" s="15"/>
      <c r="AF961" s="244"/>
      <c r="AG961" s="15"/>
      <c r="AH961" s="15">
        <f t="shared" si="148"/>
        <v>0</v>
      </c>
      <c r="AI961" s="22">
        <f t="shared" si="149"/>
        <v>12000</v>
      </c>
      <c r="AJ961" s="22">
        <f t="shared" si="150"/>
        <v>192000000</v>
      </c>
      <c r="AK961" s="165"/>
    </row>
    <row r="962" spans="1:37" hidden="1">
      <c r="A962" s="165" t="s">
        <v>1361</v>
      </c>
      <c r="B962" s="13">
        <v>43564</v>
      </c>
      <c r="C962" s="13" t="s">
        <v>23</v>
      </c>
      <c r="D962" s="258" t="s">
        <v>157</v>
      </c>
      <c r="E962" s="97" t="s">
        <v>158</v>
      </c>
      <c r="F962" s="165" t="str">
        <f t="shared" si="146"/>
        <v>MANI_24+_75_NL2018</v>
      </c>
      <c r="G962" s="165" t="s">
        <v>105</v>
      </c>
      <c r="I962" s="12" t="s">
        <v>185</v>
      </c>
      <c r="J962" s="14">
        <v>75</v>
      </c>
      <c r="K962" s="15" t="s">
        <v>28</v>
      </c>
      <c r="L962" s="15" t="s">
        <v>136</v>
      </c>
      <c r="M962" s="16">
        <f t="shared" si="147"/>
        <v>100</v>
      </c>
      <c r="N962" s="15">
        <v>7500</v>
      </c>
      <c r="O962" s="15">
        <v>16200</v>
      </c>
      <c r="P962" s="15">
        <f t="shared" si="145"/>
        <v>121500000</v>
      </c>
      <c r="Q962" s="15" t="str">
        <f t="shared" si="144"/>
        <v/>
      </c>
      <c r="R962" s="18" t="s">
        <v>29</v>
      </c>
      <c r="S962" s="23">
        <v>43709</v>
      </c>
      <c r="T962" s="20">
        <f>IFERROR(VLOOKUP(S962,'Date Converter'!$A$4:$C$368,3,0),"")</f>
        <v>43737</v>
      </c>
      <c r="U962" s="21">
        <f t="shared" si="151"/>
        <v>43737</v>
      </c>
      <c r="V962" s="20" t="s">
        <v>51</v>
      </c>
      <c r="Y962" s="15"/>
      <c r="AA962" s="15"/>
      <c r="AB962" s="206"/>
      <c r="AC962" s="15"/>
      <c r="AD962" s="206"/>
      <c r="AE962" s="15"/>
      <c r="AF962" s="244"/>
      <c r="AG962" s="15"/>
      <c r="AH962" s="15">
        <f t="shared" si="148"/>
        <v>0</v>
      </c>
      <c r="AI962" s="22">
        <f t="shared" si="149"/>
        <v>7500</v>
      </c>
      <c r="AJ962" s="22">
        <f t="shared" si="150"/>
        <v>121500000</v>
      </c>
      <c r="AK962" s="165"/>
    </row>
    <row r="963" spans="1:37" hidden="1">
      <c r="A963" t="s">
        <v>1361</v>
      </c>
      <c r="B963" s="13">
        <v>43564</v>
      </c>
      <c r="C963" s="13" t="s">
        <v>23</v>
      </c>
      <c r="D963" t="s">
        <v>157</v>
      </c>
      <c r="E963" s="165" t="s">
        <v>158</v>
      </c>
      <c r="F963" t="str">
        <f t="shared" si="146"/>
        <v>MANI_22.24_100_NL2018</v>
      </c>
      <c r="G963" t="s">
        <v>105</v>
      </c>
      <c r="I963" s="12" t="s">
        <v>78</v>
      </c>
      <c r="J963" s="14">
        <v>100</v>
      </c>
      <c r="K963" s="15" t="s">
        <v>28</v>
      </c>
      <c r="M963" s="16">
        <f t="shared" si="147"/>
        <v>0</v>
      </c>
      <c r="N963" s="15">
        <f>7500-7500</f>
        <v>0</v>
      </c>
      <c r="O963" s="15">
        <v>15400</v>
      </c>
      <c r="P963" s="15">
        <f t="shared" si="145"/>
        <v>0</v>
      </c>
      <c r="Q963" s="15" t="str">
        <f t="shared" ref="Q963:Q1026" si="152">IF(AND(N963=0,AI963=0),"Canceled",IF(AND(N963&gt;0,AI963=0),"Done",""))</f>
        <v>Canceled</v>
      </c>
      <c r="R963" s="18" t="s">
        <v>71</v>
      </c>
      <c r="S963" s="23">
        <v>43709</v>
      </c>
      <c r="T963" s="20">
        <f>IFERROR(VLOOKUP(S963,'Date Converter'!$A$4:$C$368,3,0),"")</f>
        <v>43737</v>
      </c>
      <c r="U963" s="21">
        <f t="shared" si="151"/>
        <v>43737</v>
      </c>
      <c r="V963" s="20" t="s">
        <v>51</v>
      </c>
      <c r="Y963" s="15"/>
      <c r="AA963" s="15"/>
      <c r="AB963" s="206"/>
      <c r="AC963" s="15"/>
      <c r="AD963" s="206"/>
      <c r="AE963" s="15"/>
      <c r="AF963" s="244"/>
      <c r="AG963" s="15"/>
      <c r="AH963" s="15">
        <f t="shared" si="148"/>
        <v>0</v>
      </c>
      <c r="AI963" s="22">
        <f t="shared" si="149"/>
        <v>0</v>
      </c>
      <c r="AJ963" s="22">
        <f t="shared" si="150"/>
        <v>0</v>
      </c>
    </row>
    <row r="964" spans="1:37" hidden="1">
      <c r="A964" t="s">
        <v>1360</v>
      </c>
      <c r="B964" s="13">
        <v>43598</v>
      </c>
      <c r="C964" s="13" t="s">
        <v>23</v>
      </c>
      <c r="D964" t="s">
        <v>157</v>
      </c>
      <c r="E964" s="198" t="s">
        <v>158</v>
      </c>
      <c r="F964" t="str">
        <f t="shared" si="146"/>
        <v>MALD_16.18_200_NL2018</v>
      </c>
      <c r="G964" t="s">
        <v>478</v>
      </c>
      <c r="I964" s="12" t="s">
        <v>35</v>
      </c>
      <c r="J964" s="14">
        <v>200</v>
      </c>
      <c r="K964" s="15" t="s">
        <v>28</v>
      </c>
      <c r="M964" s="16">
        <f t="shared" si="147"/>
        <v>10</v>
      </c>
      <c r="N964" s="25">
        <v>2000</v>
      </c>
      <c r="O964" s="15">
        <v>5400</v>
      </c>
      <c r="P964" s="15">
        <f t="shared" ref="P964:P1027" si="153">+O964*N964</f>
        <v>10800000</v>
      </c>
      <c r="Q964" s="15" t="str">
        <f t="shared" si="152"/>
        <v>Done</v>
      </c>
      <c r="R964" s="18" t="s">
        <v>44</v>
      </c>
      <c r="S964" s="23">
        <v>43572</v>
      </c>
      <c r="T964" s="20">
        <f>IFERROR(VLOOKUP(S964,'Date Converter'!$A$4:$C$368,3,0),"")</f>
        <v>43606</v>
      </c>
      <c r="U964" s="21">
        <f t="shared" si="151"/>
        <v>43606</v>
      </c>
      <c r="V964" s="20"/>
      <c r="Y964" s="15"/>
      <c r="Z964" s="206">
        <v>43636</v>
      </c>
      <c r="AA964" s="15">
        <v>2000</v>
      </c>
      <c r="AB964" s="206"/>
      <c r="AC964" s="15"/>
      <c r="AD964" s="206"/>
      <c r="AE964" s="15"/>
      <c r="AF964" s="244"/>
      <c r="AG964" s="15"/>
      <c r="AH964" s="15">
        <f t="shared" si="148"/>
        <v>2000</v>
      </c>
      <c r="AI964" s="22">
        <f t="shared" si="149"/>
        <v>0</v>
      </c>
      <c r="AJ964" s="22">
        <f t="shared" si="150"/>
        <v>0</v>
      </c>
    </row>
    <row r="965" spans="1:37" s="165" customFormat="1" hidden="1">
      <c r="A965" s="165" t="s">
        <v>1360</v>
      </c>
      <c r="B965" s="13">
        <v>43630</v>
      </c>
      <c r="C965" s="13" t="s">
        <v>23</v>
      </c>
      <c r="D965" s="165" t="s">
        <v>157</v>
      </c>
      <c r="E965" s="198" t="s">
        <v>158</v>
      </c>
      <c r="F965" s="165" t="str">
        <f t="shared" si="146"/>
        <v>MALD_14.16_300_NL2018</v>
      </c>
      <c r="G965" s="165" t="s">
        <v>478</v>
      </c>
      <c r="H965" s="12"/>
      <c r="I965" s="24" t="s">
        <v>47</v>
      </c>
      <c r="J965" s="14">
        <v>300</v>
      </c>
      <c r="K965" s="15" t="s">
        <v>28</v>
      </c>
      <c r="L965" s="15"/>
      <c r="M965" s="16">
        <f t="shared" si="147"/>
        <v>20</v>
      </c>
      <c r="N965" s="15">
        <v>6000</v>
      </c>
      <c r="O965" s="15">
        <v>4600</v>
      </c>
      <c r="P965" s="15">
        <f t="shared" si="153"/>
        <v>27600000</v>
      </c>
      <c r="Q965" s="15" t="str">
        <f t="shared" si="152"/>
        <v/>
      </c>
      <c r="R965" s="18" t="s">
        <v>29</v>
      </c>
      <c r="S965" s="23">
        <v>43692</v>
      </c>
      <c r="T965" s="20">
        <f>IFERROR(VLOOKUP(S965,'Date Converter'!$A$4:$C$368,3,0),"")</f>
        <v>43721</v>
      </c>
      <c r="U965" s="21">
        <f t="shared" si="151"/>
        <v>43721</v>
      </c>
      <c r="V965" s="20"/>
      <c r="W965" s="18"/>
      <c r="X965" s="18"/>
      <c r="Y965" s="15"/>
      <c r="Z965" s="206"/>
      <c r="AA965" s="256"/>
      <c r="AB965" s="206"/>
      <c r="AC965" s="15"/>
      <c r="AD965" s="206"/>
      <c r="AE965" s="15"/>
      <c r="AF965" s="244"/>
      <c r="AG965" s="15"/>
      <c r="AH965" s="15">
        <f t="shared" si="148"/>
        <v>0</v>
      </c>
      <c r="AI965" s="22">
        <f t="shared" si="149"/>
        <v>6000</v>
      </c>
      <c r="AJ965" s="22">
        <f t="shared" si="150"/>
        <v>27600000</v>
      </c>
    </row>
    <row r="966" spans="1:37" hidden="1">
      <c r="A966" t="s">
        <v>1360</v>
      </c>
      <c r="B966" s="13">
        <v>43598</v>
      </c>
      <c r="C966" s="13" t="s">
        <v>23</v>
      </c>
      <c r="D966" t="s">
        <v>157</v>
      </c>
      <c r="E966" s="198" t="s">
        <v>158</v>
      </c>
      <c r="F966" t="str">
        <f t="shared" si="146"/>
        <v>LARG_16.18_200_NL2018</v>
      </c>
      <c r="G966" t="s">
        <v>70</v>
      </c>
      <c r="I966" s="12" t="s">
        <v>35</v>
      </c>
      <c r="J966" s="14">
        <v>200</v>
      </c>
      <c r="K966" s="15" t="s">
        <v>28</v>
      </c>
      <c r="M966" s="16">
        <f t="shared" si="147"/>
        <v>30</v>
      </c>
      <c r="N966" s="15">
        <v>6000</v>
      </c>
      <c r="O966" s="15">
        <v>5800</v>
      </c>
      <c r="P966" s="15">
        <f t="shared" si="153"/>
        <v>34800000</v>
      </c>
      <c r="Q966" s="15" t="str">
        <f t="shared" si="152"/>
        <v>Done</v>
      </c>
      <c r="R966" s="18" t="s">
        <v>44</v>
      </c>
      <c r="S966" s="23">
        <v>43590</v>
      </c>
      <c r="T966" s="20">
        <f>IFERROR(VLOOKUP(S966,'Date Converter'!$A$4:$C$368,3,0),"")</f>
        <v>43623</v>
      </c>
      <c r="U966" s="21">
        <f t="shared" si="151"/>
        <v>43623</v>
      </c>
      <c r="V966" s="20"/>
      <c r="Y966" s="15"/>
      <c r="Z966" s="206">
        <v>43636</v>
      </c>
      <c r="AA966" s="15">
        <v>6000</v>
      </c>
      <c r="AB966" s="206"/>
      <c r="AC966" s="15"/>
      <c r="AD966" s="206"/>
      <c r="AE966" s="15"/>
      <c r="AF966" s="244"/>
      <c r="AG966" s="15"/>
      <c r="AH966" s="15">
        <f t="shared" si="148"/>
        <v>6000</v>
      </c>
      <c r="AI966" s="22">
        <f t="shared" si="149"/>
        <v>0</v>
      </c>
      <c r="AJ966" s="22">
        <f t="shared" si="150"/>
        <v>0</v>
      </c>
    </row>
    <row r="967" spans="1:37" s="165" customFormat="1" hidden="1">
      <c r="A967" s="165" t="s">
        <v>1360</v>
      </c>
      <c r="B967" s="13">
        <v>43630</v>
      </c>
      <c r="C967" s="13" t="s">
        <v>23</v>
      </c>
      <c r="D967" s="165" t="s">
        <v>157</v>
      </c>
      <c r="E967" s="198" t="s">
        <v>158</v>
      </c>
      <c r="F967" s="165" t="str">
        <f t="shared" si="146"/>
        <v>FELI_16.18_200_NL2018</v>
      </c>
      <c r="G967" s="165" t="s">
        <v>117</v>
      </c>
      <c r="H967" s="12"/>
      <c r="I967" s="24" t="s">
        <v>35</v>
      </c>
      <c r="J967" s="14">
        <v>200</v>
      </c>
      <c r="K967" s="15" t="s">
        <v>28</v>
      </c>
      <c r="L967" s="15"/>
      <c r="M967" s="16">
        <f t="shared" si="147"/>
        <v>25</v>
      </c>
      <c r="N967" s="15">
        <v>5000</v>
      </c>
      <c r="O967" s="15">
        <v>6800</v>
      </c>
      <c r="P967" s="15">
        <f t="shared" si="153"/>
        <v>34000000</v>
      </c>
      <c r="Q967" s="15" t="str">
        <f t="shared" si="152"/>
        <v/>
      </c>
      <c r="R967" s="18" t="s">
        <v>29</v>
      </c>
      <c r="S967" s="23">
        <v>43692</v>
      </c>
      <c r="T967" s="20">
        <f>IFERROR(VLOOKUP(S967,'Date Converter'!$A$4:$C$368,3,0),"")</f>
        <v>43721</v>
      </c>
      <c r="U967" s="21">
        <f t="shared" si="151"/>
        <v>43721</v>
      </c>
      <c r="V967" s="20"/>
      <c r="W967" s="18"/>
      <c r="X967" s="18"/>
      <c r="Y967" s="15"/>
      <c r="Z967" s="206"/>
      <c r="AA967" s="15"/>
      <c r="AB967" s="206"/>
      <c r="AC967" s="15"/>
      <c r="AD967" s="206"/>
      <c r="AE967" s="15"/>
      <c r="AF967" s="244"/>
      <c r="AG967" s="15"/>
      <c r="AH967" s="15">
        <f t="shared" si="148"/>
        <v>0</v>
      </c>
      <c r="AI967" s="22">
        <f t="shared" si="149"/>
        <v>5000</v>
      </c>
      <c r="AJ967" s="22">
        <f t="shared" si="150"/>
        <v>34000000</v>
      </c>
    </row>
    <row r="968" spans="1:37" hidden="1">
      <c r="A968" s="165" t="s">
        <v>1360</v>
      </c>
      <c r="B968" s="13">
        <v>43523</v>
      </c>
      <c r="C968" s="13" t="s">
        <v>23</v>
      </c>
      <c r="D968" s="165" t="s">
        <v>157</v>
      </c>
      <c r="E968" s="198" t="s">
        <v>158</v>
      </c>
      <c r="F968" s="165" t="str">
        <f t="shared" si="146"/>
        <v>DALI_14.16_300_NL2018</v>
      </c>
      <c r="G968" s="165" t="s">
        <v>46</v>
      </c>
      <c r="I968" s="12" t="s">
        <v>47</v>
      </c>
      <c r="J968" s="14">
        <v>300</v>
      </c>
      <c r="K968" s="15" t="s">
        <v>28</v>
      </c>
      <c r="M968" s="16">
        <f t="shared" si="147"/>
        <v>34</v>
      </c>
      <c r="N968" s="15">
        <v>10200</v>
      </c>
      <c r="O968" s="15">
        <v>5400</v>
      </c>
      <c r="P968" s="15">
        <f t="shared" si="153"/>
        <v>55080000</v>
      </c>
      <c r="Q968" s="15" t="str">
        <f t="shared" si="152"/>
        <v>Done</v>
      </c>
      <c r="R968" s="18" t="s">
        <v>44</v>
      </c>
      <c r="S968" s="23">
        <v>43572</v>
      </c>
      <c r="T968" s="20">
        <f>IFERROR(VLOOKUP(S968,'Date Converter'!$A$4:$C$368,3,0),"")</f>
        <v>43606</v>
      </c>
      <c r="U968" s="21">
        <f t="shared" si="151"/>
        <v>43606</v>
      </c>
      <c r="V968" s="20" t="s">
        <v>479</v>
      </c>
      <c r="Y968" s="15"/>
      <c r="Z968" s="206">
        <v>43609</v>
      </c>
      <c r="AA968" s="15">
        <v>10200</v>
      </c>
      <c r="AB968" s="206"/>
      <c r="AC968" s="15"/>
      <c r="AD968" s="206"/>
      <c r="AE968" s="15"/>
      <c r="AF968" s="244"/>
      <c r="AG968" s="15"/>
      <c r="AH968" s="15">
        <f t="shared" si="148"/>
        <v>10200</v>
      </c>
      <c r="AI968" s="22">
        <f t="shared" si="149"/>
        <v>0</v>
      </c>
      <c r="AJ968" s="22">
        <f t="shared" si="150"/>
        <v>0</v>
      </c>
    </row>
    <row r="969" spans="1:37" hidden="1">
      <c r="A969" s="165" t="s">
        <v>308</v>
      </c>
      <c r="B969" s="13">
        <v>43523</v>
      </c>
      <c r="C969" s="13" t="s">
        <v>23</v>
      </c>
      <c r="D969" s="165" t="s">
        <v>157</v>
      </c>
      <c r="E969" s="165" t="s">
        <v>158</v>
      </c>
      <c r="F969" s="165" t="str">
        <f t="shared" si="146"/>
        <v>BACA_16.18_200_NL2018</v>
      </c>
      <c r="G969" s="165" t="s">
        <v>67</v>
      </c>
      <c r="I969" s="12" t="s">
        <v>35</v>
      </c>
      <c r="J969" s="14">
        <v>200</v>
      </c>
      <c r="K969" s="15" t="s">
        <v>28</v>
      </c>
      <c r="M969" s="16">
        <f t="shared" si="147"/>
        <v>25</v>
      </c>
      <c r="N969" s="15">
        <v>5000</v>
      </c>
      <c r="O969" s="15">
        <v>6300</v>
      </c>
      <c r="P969" s="15">
        <f t="shared" si="153"/>
        <v>31500000</v>
      </c>
      <c r="Q969" s="15" t="str">
        <f t="shared" si="152"/>
        <v>Done</v>
      </c>
      <c r="R969" s="18" t="s">
        <v>44</v>
      </c>
      <c r="S969" s="23" t="s">
        <v>53</v>
      </c>
      <c r="T969" s="20">
        <f>IFERROR(VLOOKUP(S969,'Date Converter'!$A$4:$C$368,3,0),"")</f>
        <v>43559</v>
      </c>
      <c r="U969" s="21">
        <f t="shared" si="151"/>
        <v>43559</v>
      </c>
      <c r="V969" s="20" t="s">
        <v>54</v>
      </c>
      <c r="W969" s="18" t="s">
        <v>101</v>
      </c>
      <c r="X969" s="18">
        <v>43555</v>
      </c>
      <c r="Y969" s="15" t="s">
        <v>59</v>
      </c>
      <c r="Z969" s="206">
        <v>43558</v>
      </c>
      <c r="AA969" s="15">
        <v>5000</v>
      </c>
      <c r="AB969" s="206"/>
      <c r="AC969" s="15"/>
      <c r="AD969" s="206"/>
      <c r="AE969" s="15"/>
      <c r="AF969" s="244"/>
      <c r="AG969" s="15"/>
      <c r="AH969" s="15">
        <f t="shared" si="148"/>
        <v>5000</v>
      </c>
      <c r="AI969" s="22">
        <f t="shared" si="149"/>
        <v>0</v>
      </c>
      <c r="AJ969" s="22">
        <f t="shared" si="150"/>
        <v>0</v>
      </c>
    </row>
    <row r="970" spans="1:37" hidden="1">
      <c r="A970" s="165" t="s">
        <v>308</v>
      </c>
      <c r="B970" s="13">
        <v>43523</v>
      </c>
      <c r="C970" s="13" t="s">
        <v>23</v>
      </c>
      <c r="D970" s="165" t="s">
        <v>157</v>
      </c>
      <c r="E970" s="165" t="s">
        <v>158</v>
      </c>
      <c r="F970" s="165" t="str">
        <f t="shared" si="146"/>
        <v>BACA_15.16_300_NL2018</v>
      </c>
      <c r="G970" s="165" t="s">
        <v>67</v>
      </c>
      <c r="I970" s="12" t="s">
        <v>77</v>
      </c>
      <c r="J970" s="14">
        <v>300</v>
      </c>
      <c r="K970" s="15" t="s">
        <v>28</v>
      </c>
      <c r="M970" s="16">
        <f t="shared" si="147"/>
        <v>5</v>
      </c>
      <c r="N970" s="15">
        <v>1500</v>
      </c>
      <c r="O970" s="15">
        <v>4400</v>
      </c>
      <c r="P970" s="15">
        <f t="shared" si="153"/>
        <v>6600000</v>
      </c>
      <c r="Q970" s="15" t="str">
        <f t="shared" si="152"/>
        <v>Done</v>
      </c>
      <c r="R970" s="18" t="s">
        <v>44</v>
      </c>
      <c r="S970" s="23" t="s">
        <v>53</v>
      </c>
      <c r="T970" s="20">
        <f>IFERROR(VLOOKUP(S970,'Date Converter'!$A$4:$C$368,3,0),"")</f>
        <v>43559</v>
      </c>
      <c r="U970" s="21">
        <f t="shared" si="151"/>
        <v>43559</v>
      </c>
      <c r="V970" s="20" t="s">
        <v>54</v>
      </c>
      <c r="Y970" s="15"/>
      <c r="Z970" s="206">
        <v>43558</v>
      </c>
      <c r="AA970" s="15">
        <v>1500</v>
      </c>
      <c r="AB970" s="206"/>
      <c r="AC970" s="15"/>
      <c r="AD970" s="206"/>
      <c r="AE970" s="15"/>
      <c r="AF970" s="244"/>
      <c r="AG970" s="15"/>
      <c r="AH970" s="15">
        <f t="shared" si="148"/>
        <v>1500</v>
      </c>
      <c r="AI970" s="22">
        <f t="shared" si="149"/>
        <v>0</v>
      </c>
      <c r="AJ970" s="22">
        <f t="shared" si="150"/>
        <v>0</v>
      </c>
    </row>
    <row r="971" spans="1:37" hidden="1">
      <c r="A971" t="s">
        <v>1360</v>
      </c>
      <c r="B971" s="13">
        <v>43630</v>
      </c>
      <c r="C971" s="13" t="s">
        <v>23</v>
      </c>
      <c r="D971" t="s">
        <v>157</v>
      </c>
      <c r="E971" s="198" t="s">
        <v>158</v>
      </c>
      <c r="F971" t="str">
        <f t="shared" si="146"/>
        <v>AMIG_14.16_300_NL2018</v>
      </c>
      <c r="G971" s="165" t="s">
        <v>1422</v>
      </c>
      <c r="I971" s="24" t="s">
        <v>47</v>
      </c>
      <c r="J971" s="14">
        <v>300</v>
      </c>
      <c r="K971" s="15" t="s">
        <v>28</v>
      </c>
      <c r="M971" s="16">
        <f t="shared" si="147"/>
        <v>17</v>
      </c>
      <c r="N971" s="15">
        <v>5100</v>
      </c>
      <c r="O971" s="15">
        <v>4900</v>
      </c>
      <c r="P971" s="15">
        <f t="shared" si="153"/>
        <v>24990000</v>
      </c>
      <c r="Q971" s="15" t="str">
        <f t="shared" si="152"/>
        <v/>
      </c>
      <c r="R971" s="18" t="s">
        <v>29</v>
      </c>
      <c r="S971" s="23">
        <v>43661</v>
      </c>
      <c r="T971" s="20">
        <f>IFERROR(VLOOKUP(S971,'Date Converter'!$A$4:$C$368,3,0),"")</f>
        <v>43692</v>
      </c>
      <c r="U971" s="21">
        <f t="shared" si="151"/>
        <v>43692</v>
      </c>
      <c r="V971" s="20"/>
      <c r="Y971" s="15"/>
      <c r="AA971" s="15"/>
      <c r="AB971" s="206"/>
      <c r="AC971" s="15"/>
      <c r="AD971" s="206"/>
      <c r="AE971" s="15"/>
      <c r="AF971" s="244"/>
      <c r="AG971" s="15"/>
      <c r="AH971" s="15">
        <f t="shared" si="148"/>
        <v>0</v>
      </c>
      <c r="AI971" s="22">
        <f t="shared" si="149"/>
        <v>5100</v>
      </c>
      <c r="AJ971" s="22">
        <f t="shared" si="150"/>
        <v>24990000</v>
      </c>
    </row>
    <row r="972" spans="1:37" s="165" customFormat="1" hidden="1">
      <c r="A972" s="165" t="s">
        <v>320</v>
      </c>
      <c r="B972" s="13">
        <v>43509</v>
      </c>
      <c r="C972" s="13" t="s">
        <v>23</v>
      </c>
      <c r="D972" s="165" t="s">
        <v>187</v>
      </c>
      <c r="E972" s="165" t="s">
        <v>188</v>
      </c>
      <c r="F972" s="165" t="str">
        <f t="shared" si="146"/>
        <v>YELL_14.16_300_NL2018</v>
      </c>
      <c r="G972" s="165" t="s">
        <v>89</v>
      </c>
      <c r="H972" s="12"/>
      <c r="I972" s="12" t="s">
        <v>47</v>
      </c>
      <c r="J972" s="14">
        <v>300</v>
      </c>
      <c r="K972" s="15" t="s">
        <v>28</v>
      </c>
      <c r="L972" s="15"/>
      <c r="M972" s="16">
        <f t="shared" si="147"/>
        <v>65</v>
      </c>
      <c r="N972" s="32">
        <v>19500</v>
      </c>
      <c r="O972" s="15">
        <v>3800</v>
      </c>
      <c r="P972" s="15">
        <f t="shared" si="153"/>
        <v>74100000</v>
      </c>
      <c r="Q972" s="15" t="str">
        <f t="shared" si="152"/>
        <v>Done</v>
      </c>
      <c r="R972" s="18" t="s">
        <v>44</v>
      </c>
      <c r="S972" s="23">
        <v>43511</v>
      </c>
      <c r="T972" s="20">
        <f>IFERROR(VLOOKUP(S972,'Date Converter'!$A$4:$C$368,3,0),"")</f>
        <v>43544</v>
      </c>
      <c r="U972" s="21">
        <f t="shared" si="151"/>
        <v>43544</v>
      </c>
      <c r="V972" s="12" t="s">
        <v>32</v>
      </c>
      <c r="W972" s="18" t="s">
        <v>33</v>
      </c>
      <c r="X972" s="18">
        <v>43541</v>
      </c>
      <c r="Y972" s="15"/>
      <c r="Z972" s="206">
        <v>43547</v>
      </c>
      <c r="AA972" s="15">
        <v>10200</v>
      </c>
      <c r="AB972" s="206">
        <v>43573</v>
      </c>
      <c r="AC972" s="15">
        <v>9300</v>
      </c>
      <c r="AD972" s="206"/>
      <c r="AE972" s="15"/>
      <c r="AF972" s="244"/>
      <c r="AG972" s="15"/>
      <c r="AH972" s="15">
        <f t="shared" si="148"/>
        <v>19500</v>
      </c>
      <c r="AI972" s="22">
        <f t="shared" si="149"/>
        <v>0</v>
      </c>
      <c r="AJ972" s="22">
        <f t="shared" si="150"/>
        <v>0</v>
      </c>
      <c r="AK972" s="165" t="s">
        <v>191</v>
      </c>
    </row>
    <row r="973" spans="1:37" s="165" customFormat="1" hidden="1">
      <c r="A973" s="165" t="s">
        <v>320</v>
      </c>
      <c r="B973" s="13">
        <v>43509</v>
      </c>
      <c r="C973" s="13" t="s">
        <v>23</v>
      </c>
      <c r="D973" s="165" t="s">
        <v>187</v>
      </c>
      <c r="E973" s="165" t="s">
        <v>188</v>
      </c>
      <c r="F973" s="165" t="str">
        <f t="shared" si="146"/>
        <v>YELL_14.16_300_NL2018</v>
      </c>
      <c r="G973" s="165" t="s">
        <v>89</v>
      </c>
      <c r="H973" s="12"/>
      <c r="I973" s="12" t="s">
        <v>47</v>
      </c>
      <c r="J973" s="14">
        <v>300</v>
      </c>
      <c r="K973" s="15" t="s">
        <v>28</v>
      </c>
      <c r="L973" s="15"/>
      <c r="M973" s="16">
        <f t="shared" si="147"/>
        <v>0</v>
      </c>
      <c r="N973" s="32">
        <f>15000-15000</f>
        <v>0</v>
      </c>
      <c r="O973" s="15">
        <v>3800</v>
      </c>
      <c r="P973" s="15">
        <f t="shared" si="153"/>
        <v>0</v>
      </c>
      <c r="Q973" s="15" t="str">
        <f t="shared" si="152"/>
        <v>Canceled</v>
      </c>
      <c r="R973" s="18" t="s">
        <v>71</v>
      </c>
      <c r="S973" s="23">
        <v>43539</v>
      </c>
      <c r="T973" s="20">
        <f>IFERROR(VLOOKUP(S973,'Date Converter'!$A$4:$C$368,3,0),"")</f>
        <v>43574</v>
      </c>
      <c r="U973" s="21">
        <f t="shared" si="151"/>
        <v>43574</v>
      </c>
      <c r="V973" s="12" t="s">
        <v>57</v>
      </c>
      <c r="W973" s="18" t="s">
        <v>79</v>
      </c>
      <c r="X973" s="18">
        <v>43569</v>
      </c>
      <c r="Y973" s="15"/>
      <c r="Z973" s="206"/>
      <c r="AA973" s="15">
        <v>0</v>
      </c>
      <c r="AB973" s="206"/>
      <c r="AC973" s="15"/>
      <c r="AD973" s="206"/>
      <c r="AE973" s="15"/>
      <c r="AF973" s="244"/>
      <c r="AG973" s="15"/>
      <c r="AH973" s="15">
        <f t="shared" si="148"/>
        <v>0</v>
      </c>
      <c r="AI973" s="22">
        <f t="shared" si="149"/>
        <v>0</v>
      </c>
      <c r="AJ973" s="22">
        <f t="shared" si="150"/>
        <v>0</v>
      </c>
      <c r="AK973" s="165" t="s">
        <v>191</v>
      </c>
    </row>
    <row r="974" spans="1:37" s="165" customFormat="1" hidden="1">
      <c r="A974" s="183" t="s">
        <v>458</v>
      </c>
      <c r="B974" s="188">
        <v>43509</v>
      </c>
      <c r="C974" s="266" t="s">
        <v>23</v>
      </c>
      <c r="D974" s="258" t="s">
        <v>187</v>
      </c>
      <c r="E974" s="201" t="s">
        <v>188</v>
      </c>
      <c r="F974" s="183" t="str">
        <f t="shared" si="146"/>
        <v>TARR_18.20_150_CL2019</v>
      </c>
      <c r="G974" s="183" t="s">
        <v>1582</v>
      </c>
      <c r="H974" s="184"/>
      <c r="I974" s="184" t="s">
        <v>27</v>
      </c>
      <c r="J974" s="186">
        <v>150</v>
      </c>
      <c r="K974" s="185" t="s">
        <v>1423</v>
      </c>
      <c r="L974" s="185"/>
      <c r="M974" s="187">
        <f t="shared" si="147"/>
        <v>100</v>
      </c>
      <c r="N974" s="185">
        <v>15000</v>
      </c>
      <c r="O974" s="185">
        <v>11000</v>
      </c>
      <c r="P974" s="185">
        <f t="shared" si="153"/>
        <v>165000000</v>
      </c>
      <c r="Q974" s="15" t="str">
        <f t="shared" si="152"/>
        <v/>
      </c>
      <c r="R974" s="189" t="s">
        <v>29</v>
      </c>
      <c r="S974" s="190">
        <v>43709</v>
      </c>
      <c r="T974" s="20">
        <f>IFERROR(VLOOKUP(S974,'Date Converter'!$A$4:$C$368,3,0),"")</f>
        <v>43737</v>
      </c>
      <c r="U974" s="21">
        <f t="shared" si="151"/>
        <v>43737</v>
      </c>
      <c r="V974" s="185" t="s">
        <v>51</v>
      </c>
      <c r="W974" s="189"/>
      <c r="X974" s="189"/>
      <c r="Y974" s="185"/>
      <c r="Z974" s="206"/>
      <c r="AA974" s="185">
        <v>0</v>
      </c>
      <c r="AB974" s="206"/>
      <c r="AC974" s="185"/>
      <c r="AD974" s="206"/>
      <c r="AE974" s="185"/>
      <c r="AF974" s="246"/>
      <c r="AG974" s="185"/>
      <c r="AH974" s="15">
        <f t="shared" si="148"/>
        <v>0</v>
      </c>
      <c r="AI974" s="22">
        <f t="shared" si="149"/>
        <v>15000</v>
      </c>
      <c r="AJ974" s="22">
        <f t="shared" si="150"/>
        <v>165000000</v>
      </c>
      <c r="AK974" s="183"/>
    </row>
    <row r="975" spans="1:37" s="165" customFormat="1" hidden="1">
      <c r="A975" s="165" t="s">
        <v>320</v>
      </c>
      <c r="B975" s="13">
        <v>43509</v>
      </c>
      <c r="C975" s="13" t="s">
        <v>23</v>
      </c>
      <c r="D975" s="165" t="s">
        <v>187</v>
      </c>
      <c r="E975" s="165" t="s">
        <v>188</v>
      </c>
      <c r="F975" s="165" t="str">
        <f t="shared" si="146"/>
        <v>TARR_14.16_300_NL2018</v>
      </c>
      <c r="G975" s="165" t="s">
        <v>62</v>
      </c>
      <c r="H975" s="12"/>
      <c r="I975" s="12" t="s">
        <v>47</v>
      </c>
      <c r="J975" s="14">
        <v>300</v>
      </c>
      <c r="K975" s="15" t="s">
        <v>28</v>
      </c>
      <c r="L975" s="15"/>
      <c r="M975" s="16">
        <f t="shared" si="147"/>
        <v>33</v>
      </c>
      <c r="N975" s="32">
        <v>9900</v>
      </c>
      <c r="O975" s="15">
        <v>4600</v>
      </c>
      <c r="P975" s="15">
        <f t="shared" si="153"/>
        <v>45540000</v>
      </c>
      <c r="Q975" s="15" t="str">
        <f t="shared" si="152"/>
        <v>Done</v>
      </c>
      <c r="R975" s="18" t="s">
        <v>44</v>
      </c>
      <c r="S975" s="23">
        <v>43511</v>
      </c>
      <c r="T975" s="20">
        <f>IFERROR(VLOOKUP(S975,'Date Converter'!$A$4:$C$368,3,0),"")</f>
        <v>43544</v>
      </c>
      <c r="U975" s="21">
        <f t="shared" si="151"/>
        <v>43544</v>
      </c>
      <c r="V975" s="12" t="s">
        <v>32</v>
      </c>
      <c r="W975" s="18" t="s">
        <v>41</v>
      </c>
      <c r="X975" s="18">
        <v>43541</v>
      </c>
      <c r="Y975" s="15"/>
      <c r="Z975" s="206">
        <v>43548</v>
      </c>
      <c r="AA975" s="15">
        <v>9900</v>
      </c>
      <c r="AB975" s="206"/>
      <c r="AC975" s="15"/>
      <c r="AD975" s="206"/>
      <c r="AE975" s="15"/>
      <c r="AF975" s="244"/>
      <c r="AG975" s="15"/>
      <c r="AH975" s="15">
        <f t="shared" si="148"/>
        <v>9900</v>
      </c>
      <c r="AI975" s="22">
        <f t="shared" si="149"/>
        <v>0</v>
      </c>
      <c r="AJ975" s="22">
        <f t="shared" si="150"/>
        <v>0</v>
      </c>
    </row>
    <row r="976" spans="1:37" hidden="1">
      <c r="A976" t="s">
        <v>320</v>
      </c>
      <c r="B976" s="13">
        <v>43509</v>
      </c>
      <c r="C976" s="13" t="s">
        <v>23</v>
      </c>
      <c r="D976" t="s">
        <v>187</v>
      </c>
      <c r="E976" s="165" t="s">
        <v>188</v>
      </c>
      <c r="F976" s="165" t="str">
        <f t="shared" si="146"/>
        <v>TARR_16.18_200_NL2018</v>
      </c>
      <c r="G976" s="165" t="s">
        <v>62</v>
      </c>
      <c r="I976" s="12" t="s">
        <v>35</v>
      </c>
      <c r="J976" s="14">
        <v>200</v>
      </c>
      <c r="K976" s="15" t="s">
        <v>28</v>
      </c>
      <c r="M976" s="16">
        <f t="shared" si="147"/>
        <v>50</v>
      </c>
      <c r="N976" s="32">
        <v>10000</v>
      </c>
      <c r="O976" s="15">
        <v>5500</v>
      </c>
      <c r="P976" s="15">
        <f t="shared" si="153"/>
        <v>55000000</v>
      </c>
      <c r="Q976" s="15" t="str">
        <f t="shared" si="152"/>
        <v>Done</v>
      </c>
      <c r="R976" s="18" t="s">
        <v>44</v>
      </c>
      <c r="S976" s="23">
        <v>43511</v>
      </c>
      <c r="T976" s="20">
        <f>IFERROR(VLOOKUP(S976,'Date Converter'!$A$4:$C$368,3,0),"")</f>
        <v>43544</v>
      </c>
      <c r="U976" s="21">
        <f t="shared" si="151"/>
        <v>43544</v>
      </c>
      <c r="V976" s="12" t="s">
        <v>32</v>
      </c>
      <c r="W976" s="18" t="s">
        <v>33</v>
      </c>
      <c r="X976" s="18">
        <v>43541</v>
      </c>
      <c r="Y976" s="15"/>
      <c r="Z976" s="206">
        <v>43548</v>
      </c>
      <c r="AA976" s="15">
        <v>10000</v>
      </c>
      <c r="AB976" s="206"/>
      <c r="AC976" s="15"/>
      <c r="AD976" s="206"/>
      <c r="AE976" s="15"/>
      <c r="AF976" s="244"/>
      <c r="AG976" s="15"/>
      <c r="AH976" s="15">
        <f t="shared" si="148"/>
        <v>10000</v>
      </c>
      <c r="AI976" s="22">
        <f t="shared" si="149"/>
        <v>0</v>
      </c>
      <c r="AJ976" s="22">
        <f t="shared" si="150"/>
        <v>0</v>
      </c>
    </row>
    <row r="977" spans="1:37" hidden="1">
      <c r="A977" t="s">
        <v>320</v>
      </c>
      <c r="B977" s="13">
        <v>43592</v>
      </c>
      <c r="C977" s="13" t="s">
        <v>23</v>
      </c>
      <c r="D977" t="s">
        <v>187</v>
      </c>
      <c r="E977" s="198" t="s">
        <v>188</v>
      </c>
      <c r="F977" s="165" t="str">
        <f t="shared" si="146"/>
        <v>TARR_14.16_300_NL2018</v>
      </c>
      <c r="G977" s="165" t="s">
        <v>62</v>
      </c>
      <c r="I977" s="12" t="s">
        <v>47</v>
      </c>
      <c r="J977" s="14">
        <v>300</v>
      </c>
      <c r="K977" s="15" t="s">
        <v>28</v>
      </c>
      <c r="M977" s="16">
        <f t="shared" si="147"/>
        <v>0</v>
      </c>
      <c r="N977" s="32">
        <f>19800-19800</f>
        <v>0</v>
      </c>
      <c r="O977" s="15">
        <v>4900</v>
      </c>
      <c r="P977" s="15">
        <f t="shared" si="153"/>
        <v>0</v>
      </c>
      <c r="Q977" s="15" t="str">
        <f t="shared" si="152"/>
        <v>Canceled</v>
      </c>
      <c r="R977" s="18" t="s">
        <v>71</v>
      </c>
      <c r="S977" s="23">
        <v>43584</v>
      </c>
      <c r="T977" s="20">
        <f>IFERROR(VLOOKUP(S977,'Date Converter'!$A$4:$C$368,3,0),"")</f>
        <v>43618</v>
      </c>
      <c r="U977" s="21">
        <f t="shared" si="151"/>
        <v>43618</v>
      </c>
      <c r="V977" s="20"/>
      <c r="Y977" s="15"/>
      <c r="AA977" s="15"/>
      <c r="AB977" s="206"/>
      <c r="AC977" s="15"/>
      <c r="AD977" s="206"/>
      <c r="AE977" s="15"/>
      <c r="AF977" s="244"/>
      <c r="AG977" s="15"/>
      <c r="AH977" s="15">
        <f t="shared" si="148"/>
        <v>0</v>
      </c>
      <c r="AI977" s="22">
        <f t="shared" si="149"/>
        <v>0</v>
      </c>
      <c r="AJ977" s="22">
        <f t="shared" si="150"/>
        <v>0</v>
      </c>
    </row>
    <row r="978" spans="1:37" hidden="1">
      <c r="A978" t="s">
        <v>320</v>
      </c>
      <c r="B978" s="13">
        <v>43509</v>
      </c>
      <c r="C978" s="13" t="s">
        <v>23</v>
      </c>
      <c r="D978" t="s">
        <v>187</v>
      </c>
      <c r="E978" s="198" t="s">
        <v>188</v>
      </c>
      <c r="F978" s="165" t="str">
        <f t="shared" si="146"/>
        <v>TARR_16.18_200_NL2018</v>
      </c>
      <c r="G978" s="165" t="s">
        <v>62</v>
      </c>
      <c r="I978" s="12" t="s">
        <v>35</v>
      </c>
      <c r="J978" s="14">
        <v>200</v>
      </c>
      <c r="K978" s="15" t="s">
        <v>28</v>
      </c>
      <c r="M978" s="16">
        <f t="shared" si="147"/>
        <v>0</v>
      </c>
      <c r="N978" s="32">
        <f>10000-10000</f>
        <v>0</v>
      </c>
      <c r="O978" s="15">
        <v>5500</v>
      </c>
      <c r="P978" s="15">
        <f t="shared" si="153"/>
        <v>0</v>
      </c>
      <c r="Q978" s="15" t="str">
        <f t="shared" si="152"/>
        <v>Canceled</v>
      </c>
      <c r="R978" s="18" t="s">
        <v>71</v>
      </c>
      <c r="S978" s="19"/>
      <c r="T978" s="20" t="str">
        <f>IFERROR(VLOOKUP(S978,'Date Converter'!$A$4:$C$368,3,0),"")</f>
        <v/>
      </c>
      <c r="U978" s="21" t="str">
        <f t="shared" si="151"/>
        <v/>
      </c>
      <c r="V978" s="20"/>
      <c r="Y978" s="15"/>
      <c r="AA978" s="15">
        <v>0</v>
      </c>
      <c r="AB978" s="206"/>
      <c r="AC978" s="15"/>
      <c r="AD978" s="206"/>
      <c r="AE978" s="15"/>
      <c r="AF978" s="244"/>
      <c r="AG978" s="15"/>
      <c r="AH978" s="15">
        <f t="shared" si="148"/>
        <v>0</v>
      </c>
      <c r="AI978" s="22">
        <f t="shared" si="149"/>
        <v>0</v>
      </c>
      <c r="AJ978" s="22">
        <f t="shared" si="150"/>
        <v>0</v>
      </c>
      <c r="AK978" s="165"/>
    </row>
    <row r="979" spans="1:37" hidden="1">
      <c r="A979" t="s">
        <v>320</v>
      </c>
      <c r="B979" s="13">
        <v>43610</v>
      </c>
      <c r="C979" s="13" t="s">
        <v>23</v>
      </c>
      <c r="D979" t="s">
        <v>187</v>
      </c>
      <c r="E979" s="198" t="s">
        <v>188</v>
      </c>
      <c r="F979" s="165" t="str">
        <f t="shared" si="146"/>
        <v>SERA_14.16_300_NL2018</v>
      </c>
      <c r="G979" s="165" t="s">
        <v>227</v>
      </c>
      <c r="I979" s="12" t="s">
        <v>47</v>
      </c>
      <c r="J979" s="14">
        <v>300</v>
      </c>
      <c r="K979" s="15" t="s">
        <v>28</v>
      </c>
      <c r="M979" s="16">
        <f t="shared" si="147"/>
        <v>29</v>
      </c>
      <c r="N979" s="17">
        <v>8700</v>
      </c>
      <c r="O979" s="15">
        <v>3600</v>
      </c>
      <c r="P979" s="15">
        <f t="shared" si="153"/>
        <v>31320000</v>
      </c>
      <c r="Q979" s="15" t="str">
        <f t="shared" si="152"/>
        <v>Done</v>
      </c>
      <c r="R979" s="18" t="s">
        <v>44</v>
      </c>
      <c r="S979" s="23">
        <v>43572</v>
      </c>
      <c r="T979" s="20">
        <f>IFERROR(VLOOKUP(S979,'Date Converter'!$A$4:$C$368,3,0),"")</f>
        <v>43606</v>
      </c>
      <c r="U979" s="21">
        <f t="shared" si="151"/>
        <v>43606</v>
      </c>
      <c r="V979" s="20"/>
      <c r="Y979" s="15"/>
      <c r="Z979" s="206">
        <v>43627</v>
      </c>
      <c r="AA979" s="15">
        <v>8700</v>
      </c>
      <c r="AB979" s="206"/>
      <c r="AC979" s="15"/>
      <c r="AD979" s="206"/>
      <c r="AE979" s="15"/>
      <c r="AF979" s="244"/>
      <c r="AG979" s="15"/>
      <c r="AH979" s="15">
        <f t="shared" si="148"/>
        <v>8700</v>
      </c>
      <c r="AI979" s="22">
        <f t="shared" si="149"/>
        <v>0</v>
      </c>
      <c r="AJ979" s="22">
        <f t="shared" si="150"/>
        <v>0</v>
      </c>
      <c r="AK979" s="165"/>
    </row>
    <row r="980" spans="1:37" hidden="1">
      <c r="A980" t="s">
        <v>320</v>
      </c>
      <c r="B980" s="13">
        <v>43617</v>
      </c>
      <c r="C980" s="13" t="s">
        <v>23</v>
      </c>
      <c r="D980" t="s">
        <v>187</v>
      </c>
      <c r="E980" s="198" t="s">
        <v>188</v>
      </c>
      <c r="F980" s="165" t="str">
        <f t="shared" si="146"/>
        <v>SERA_14.16_300_NL2018</v>
      </c>
      <c r="G980" s="165" t="s">
        <v>227</v>
      </c>
      <c r="I980" s="12" t="s">
        <v>47</v>
      </c>
      <c r="J980" s="14">
        <v>300</v>
      </c>
      <c r="K980" s="15" t="s">
        <v>28</v>
      </c>
      <c r="M980" s="16">
        <f t="shared" si="147"/>
        <v>27</v>
      </c>
      <c r="N980" s="17">
        <f>8100</f>
        <v>8100</v>
      </c>
      <c r="O980" s="185">
        <v>3700</v>
      </c>
      <c r="P980" s="15">
        <f t="shared" si="153"/>
        <v>29970000</v>
      </c>
      <c r="Q980" s="15" t="str">
        <f t="shared" si="152"/>
        <v/>
      </c>
      <c r="R980" s="18" t="s">
        <v>63</v>
      </c>
      <c r="S980" s="23">
        <v>43597</v>
      </c>
      <c r="T980" s="20">
        <f>IFERROR(VLOOKUP(S980,'Date Converter'!$A$4:$C$368,3,0),"")</f>
        <v>43630</v>
      </c>
      <c r="U980" s="21">
        <f t="shared" si="151"/>
        <v>43630</v>
      </c>
      <c r="V980" s="20" t="s">
        <v>1869</v>
      </c>
      <c r="Y980" s="15"/>
      <c r="Z980" s="206">
        <v>43627</v>
      </c>
      <c r="AA980" s="15">
        <v>3000</v>
      </c>
      <c r="AB980" s="206">
        <v>43640</v>
      </c>
      <c r="AC980" s="15">
        <v>3900</v>
      </c>
      <c r="AD980" s="206"/>
      <c r="AE980" s="15"/>
      <c r="AF980" s="244"/>
      <c r="AG980" s="15"/>
      <c r="AH980" s="15">
        <f t="shared" si="148"/>
        <v>6900</v>
      </c>
      <c r="AI980" s="22">
        <f t="shared" si="149"/>
        <v>1200</v>
      </c>
      <c r="AJ980" s="22">
        <f t="shared" si="150"/>
        <v>4440000</v>
      </c>
    </row>
    <row r="981" spans="1:37" s="165" customFormat="1" hidden="1">
      <c r="A981" s="165" t="s">
        <v>320</v>
      </c>
      <c r="B981" s="13">
        <v>43593</v>
      </c>
      <c r="C981" s="13" t="s">
        <v>23</v>
      </c>
      <c r="D981" s="165" t="s">
        <v>187</v>
      </c>
      <c r="E981" s="198" t="s">
        <v>188</v>
      </c>
      <c r="F981" s="165" t="str">
        <f t="shared" si="146"/>
        <v>SERA_16.18_200_NL2018</v>
      </c>
      <c r="G981" s="165" t="s">
        <v>227</v>
      </c>
      <c r="H981" s="12"/>
      <c r="I981" s="12" t="s">
        <v>35</v>
      </c>
      <c r="J981" s="14">
        <v>200</v>
      </c>
      <c r="K981" s="15" t="s">
        <v>28</v>
      </c>
      <c r="L981" s="15"/>
      <c r="M981" s="16">
        <f t="shared" si="147"/>
        <v>55</v>
      </c>
      <c r="N981" s="32">
        <v>11000</v>
      </c>
      <c r="O981" s="185">
        <v>5200</v>
      </c>
      <c r="P981" s="15">
        <f t="shared" si="153"/>
        <v>57200000</v>
      </c>
      <c r="Q981" s="15" t="str">
        <f t="shared" si="152"/>
        <v>Done</v>
      </c>
      <c r="R981" s="18" t="s">
        <v>44</v>
      </c>
      <c r="S981" s="23">
        <v>43584</v>
      </c>
      <c r="T981" s="20">
        <f>IFERROR(VLOOKUP(S981,'Date Converter'!$A$4:$C$368,3,0),"")</f>
        <v>43618</v>
      </c>
      <c r="U981" s="21">
        <f t="shared" si="151"/>
        <v>43618</v>
      </c>
      <c r="V981" s="20"/>
      <c r="W981" s="18"/>
      <c r="X981" s="18"/>
      <c r="Y981" s="15"/>
      <c r="Z981" s="206">
        <v>43640</v>
      </c>
      <c r="AA981" s="15">
        <v>11000</v>
      </c>
      <c r="AB981" s="206"/>
      <c r="AC981" s="15"/>
      <c r="AD981" s="206"/>
      <c r="AE981" s="15"/>
      <c r="AF981" s="244"/>
      <c r="AG981" s="15"/>
      <c r="AH981" s="15">
        <f t="shared" si="148"/>
        <v>11000</v>
      </c>
      <c r="AI981" s="22">
        <f t="shared" si="149"/>
        <v>0</v>
      </c>
      <c r="AJ981" s="22">
        <f t="shared" si="150"/>
        <v>0</v>
      </c>
    </row>
    <row r="982" spans="1:37" hidden="1">
      <c r="A982" t="s">
        <v>320</v>
      </c>
      <c r="B982" s="13">
        <v>43600</v>
      </c>
      <c r="C982" s="13" t="s">
        <v>23</v>
      </c>
      <c r="D982" t="s">
        <v>187</v>
      </c>
      <c r="E982" s="198" t="s">
        <v>188</v>
      </c>
      <c r="F982" s="165" t="str">
        <f t="shared" si="146"/>
        <v>SERA_14.16_300_NL2018</v>
      </c>
      <c r="G982" s="165" t="s">
        <v>227</v>
      </c>
      <c r="I982" s="12" t="s">
        <v>47</v>
      </c>
      <c r="J982" s="14">
        <v>300</v>
      </c>
      <c r="K982" s="15" t="s">
        <v>28</v>
      </c>
      <c r="M982" s="16">
        <f t="shared" si="147"/>
        <v>34</v>
      </c>
      <c r="N982" s="32">
        <v>10200</v>
      </c>
      <c r="O982" s="15">
        <v>3700</v>
      </c>
      <c r="P982" s="15">
        <f t="shared" si="153"/>
        <v>37740000</v>
      </c>
      <c r="Q982" s="15" t="str">
        <f t="shared" si="152"/>
        <v/>
      </c>
      <c r="R982" s="18" t="s">
        <v>31</v>
      </c>
      <c r="S982" s="23">
        <v>43631</v>
      </c>
      <c r="T982" s="20">
        <f>IFERROR(VLOOKUP(S982,'Date Converter'!$A$4:$C$368,3,0),"")</f>
        <v>43663</v>
      </c>
      <c r="U982" s="21">
        <f t="shared" si="151"/>
        <v>43663</v>
      </c>
      <c r="V982" s="20"/>
      <c r="Y982" s="15"/>
      <c r="AA982" s="15"/>
      <c r="AB982" s="206"/>
      <c r="AC982" s="15"/>
      <c r="AD982" s="206"/>
      <c r="AE982" s="15"/>
      <c r="AF982" s="244"/>
      <c r="AG982" s="15"/>
      <c r="AH982" s="15">
        <f t="shared" si="148"/>
        <v>0</v>
      </c>
      <c r="AI982" s="22">
        <f t="shared" si="149"/>
        <v>10200</v>
      </c>
      <c r="AJ982" s="22">
        <f t="shared" si="150"/>
        <v>37740000</v>
      </c>
      <c r="AK982" s="165"/>
    </row>
    <row r="983" spans="1:37" hidden="1">
      <c r="A983" s="165" t="s">
        <v>320</v>
      </c>
      <c r="B983" s="13">
        <v>43614</v>
      </c>
      <c r="C983" s="13" t="s">
        <v>23</v>
      </c>
      <c r="D983" s="165" t="s">
        <v>187</v>
      </c>
      <c r="E983" s="198" t="s">
        <v>188</v>
      </c>
      <c r="F983" s="165" t="str">
        <f t="shared" si="146"/>
        <v>SERA_14.16_300_NL2018</v>
      </c>
      <c r="G983" s="165" t="s">
        <v>227</v>
      </c>
      <c r="I983" s="12" t="s">
        <v>47</v>
      </c>
      <c r="J983" s="14">
        <v>300</v>
      </c>
      <c r="K983" s="15" t="s">
        <v>28</v>
      </c>
      <c r="M983" s="16">
        <f t="shared" si="147"/>
        <v>32</v>
      </c>
      <c r="N983" s="32">
        <f>60000-10200-40200</f>
        <v>9600</v>
      </c>
      <c r="O983" s="15">
        <v>3700</v>
      </c>
      <c r="P983" s="15">
        <f t="shared" si="153"/>
        <v>35520000</v>
      </c>
      <c r="Q983" s="15" t="str">
        <f t="shared" si="152"/>
        <v/>
      </c>
      <c r="R983" s="18" t="s">
        <v>29</v>
      </c>
      <c r="S983" s="23">
        <v>43641</v>
      </c>
      <c r="T983" s="20">
        <f>IFERROR(VLOOKUP(S983,'Date Converter'!$A$4:$C$368,3,0),"")</f>
        <v>43673</v>
      </c>
      <c r="U983" s="21">
        <f t="shared" si="151"/>
        <v>43673</v>
      </c>
      <c r="V983" s="20"/>
      <c r="Y983" s="15"/>
      <c r="AA983" s="15"/>
      <c r="AB983" s="206"/>
      <c r="AC983" s="15"/>
      <c r="AD983" s="206"/>
      <c r="AE983" s="15"/>
      <c r="AF983" s="244"/>
      <c r="AG983" s="15"/>
      <c r="AH983" s="15">
        <f t="shared" si="148"/>
        <v>0</v>
      </c>
      <c r="AI983" s="22">
        <f t="shared" si="149"/>
        <v>9600</v>
      </c>
      <c r="AJ983" s="22">
        <f t="shared" si="150"/>
        <v>35520000</v>
      </c>
      <c r="AK983" s="165"/>
    </row>
    <row r="984" spans="1:37" hidden="1">
      <c r="A984" t="s">
        <v>320</v>
      </c>
      <c r="B984" s="13">
        <v>43592</v>
      </c>
      <c r="C984" s="13" t="s">
        <v>23</v>
      </c>
      <c r="D984" t="s">
        <v>187</v>
      </c>
      <c r="E984" s="198" t="s">
        <v>188</v>
      </c>
      <c r="F984" s="165" t="str">
        <f t="shared" si="146"/>
        <v>SERA_16.18_200_NL2018</v>
      </c>
      <c r="G984" s="165" t="s">
        <v>227</v>
      </c>
      <c r="I984" s="12" t="s">
        <v>35</v>
      </c>
      <c r="J984" s="14">
        <v>200</v>
      </c>
      <c r="K984" s="15" t="s">
        <v>28</v>
      </c>
      <c r="M984" s="16">
        <f t="shared" si="147"/>
        <v>0</v>
      </c>
      <c r="N984" s="32">
        <f>10000-10000</f>
        <v>0</v>
      </c>
      <c r="O984" s="15">
        <v>5200</v>
      </c>
      <c r="P984" s="15">
        <f t="shared" si="153"/>
        <v>0</v>
      </c>
      <c r="Q984" s="15" t="str">
        <f t="shared" si="152"/>
        <v>Canceled</v>
      </c>
      <c r="R984" s="18" t="s">
        <v>71</v>
      </c>
      <c r="T984" s="20" t="str">
        <f>IFERROR(VLOOKUP(S984,'Date Converter'!$A$4:$C$368,3,0),"")</f>
        <v/>
      </c>
      <c r="U984" s="21" t="str">
        <f t="shared" si="151"/>
        <v/>
      </c>
      <c r="V984" s="20"/>
      <c r="Y984" s="15"/>
      <c r="AA984" s="15"/>
      <c r="AB984" s="206"/>
      <c r="AC984" s="15"/>
      <c r="AD984" s="206"/>
      <c r="AE984" s="15"/>
      <c r="AF984" s="244"/>
      <c r="AG984" s="15"/>
      <c r="AH984" s="15">
        <f t="shared" si="148"/>
        <v>0</v>
      </c>
      <c r="AI984" s="22">
        <f t="shared" si="149"/>
        <v>0</v>
      </c>
      <c r="AJ984" s="22">
        <f t="shared" si="150"/>
        <v>0</v>
      </c>
      <c r="AK984" s="165"/>
    </row>
    <row r="985" spans="1:37" hidden="1">
      <c r="A985" t="s">
        <v>320</v>
      </c>
      <c r="B985" s="13">
        <v>43509</v>
      </c>
      <c r="C985" s="13" t="s">
        <v>23</v>
      </c>
      <c r="D985" t="s">
        <v>187</v>
      </c>
      <c r="E985" s="198" t="s">
        <v>188</v>
      </c>
      <c r="F985" s="165" t="str">
        <f t="shared" si="146"/>
        <v>ROBI_16.18_200_NL2018</v>
      </c>
      <c r="G985" s="165" t="s">
        <v>61</v>
      </c>
      <c r="I985" s="12" t="s">
        <v>35</v>
      </c>
      <c r="J985" s="14">
        <v>200</v>
      </c>
      <c r="K985" s="15" t="s">
        <v>28</v>
      </c>
      <c r="M985" s="16">
        <f t="shared" si="147"/>
        <v>50</v>
      </c>
      <c r="N985" s="17">
        <v>10000</v>
      </c>
      <c r="O985" s="15">
        <v>5400</v>
      </c>
      <c r="P985" s="15">
        <f t="shared" si="153"/>
        <v>54000000</v>
      </c>
      <c r="Q985" s="15" t="str">
        <f t="shared" si="152"/>
        <v>Done</v>
      </c>
      <c r="R985" s="18" t="s">
        <v>44</v>
      </c>
      <c r="S985" s="23">
        <v>43539</v>
      </c>
      <c r="T985" s="20">
        <f>IFERROR(VLOOKUP(S985,'Date Converter'!$A$4:$C$368,3,0),"")</f>
        <v>43574</v>
      </c>
      <c r="U985" s="21">
        <f t="shared" si="151"/>
        <v>43574</v>
      </c>
      <c r="V985" s="12" t="s">
        <v>57</v>
      </c>
      <c r="W985" s="18" t="s">
        <v>141</v>
      </c>
      <c r="X985" s="18">
        <v>43569</v>
      </c>
      <c r="Y985" s="15"/>
      <c r="Z985" s="206">
        <v>43605</v>
      </c>
      <c r="AA985" s="15">
        <v>1000</v>
      </c>
      <c r="AB985" s="206">
        <v>43621</v>
      </c>
      <c r="AC985" s="15">
        <v>9000</v>
      </c>
      <c r="AD985" s="206"/>
      <c r="AE985" s="15"/>
      <c r="AF985" s="244"/>
      <c r="AG985" s="15"/>
      <c r="AH985" s="15">
        <f t="shared" si="148"/>
        <v>10000</v>
      </c>
      <c r="AI985" s="22">
        <f t="shared" si="149"/>
        <v>0</v>
      </c>
      <c r="AJ985" s="22">
        <f t="shared" si="150"/>
        <v>0</v>
      </c>
      <c r="AK985" s="165" t="s">
        <v>190</v>
      </c>
    </row>
    <row r="986" spans="1:37" s="165" customFormat="1" hidden="1">
      <c r="A986" s="165" t="s">
        <v>320</v>
      </c>
      <c r="B986" s="13">
        <v>43592</v>
      </c>
      <c r="C986" s="13" t="s">
        <v>23</v>
      </c>
      <c r="D986" s="165" t="s">
        <v>187</v>
      </c>
      <c r="E986" s="198" t="s">
        <v>188</v>
      </c>
      <c r="F986" s="165" t="str">
        <f t="shared" si="146"/>
        <v>ROBI_16.18_200_NL2018</v>
      </c>
      <c r="G986" s="165" t="s">
        <v>61</v>
      </c>
      <c r="H986" s="12"/>
      <c r="I986" s="12" t="s">
        <v>35</v>
      </c>
      <c r="J986" s="14">
        <v>200</v>
      </c>
      <c r="K986" s="15" t="s">
        <v>28</v>
      </c>
      <c r="L986" s="15"/>
      <c r="M986" s="16">
        <f t="shared" si="147"/>
        <v>141</v>
      </c>
      <c r="N986" s="32">
        <f>20000+8200</f>
        <v>28200</v>
      </c>
      <c r="O986" s="15">
        <v>5400</v>
      </c>
      <c r="P986" s="15">
        <f t="shared" si="153"/>
        <v>152280000</v>
      </c>
      <c r="Q986" s="15" t="str">
        <f t="shared" si="152"/>
        <v>Done</v>
      </c>
      <c r="R986" s="18" t="s">
        <v>44</v>
      </c>
      <c r="S986" s="23">
        <v>43572</v>
      </c>
      <c r="T986" s="20">
        <f>IFERROR(VLOOKUP(S986,'Date Converter'!$A$4:$C$368,3,0),"")</f>
        <v>43606</v>
      </c>
      <c r="U986" s="21">
        <f t="shared" si="151"/>
        <v>43606</v>
      </c>
      <c r="V986" s="20"/>
      <c r="W986" s="18"/>
      <c r="X986" s="18"/>
      <c r="Y986" s="15"/>
      <c r="Z986" s="206">
        <v>43603</v>
      </c>
      <c r="AA986" s="15">
        <v>20000</v>
      </c>
      <c r="AB986" s="206">
        <v>43621</v>
      </c>
      <c r="AC986" s="15">
        <v>8200</v>
      </c>
      <c r="AD986" s="206"/>
      <c r="AE986" s="15"/>
      <c r="AF986" s="244"/>
      <c r="AG986" s="15"/>
      <c r="AH986" s="15">
        <f t="shared" si="148"/>
        <v>28200</v>
      </c>
      <c r="AI986" s="22">
        <f t="shared" si="149"/>
        <v>0</v>
      </c>
      <c r="AJ986" s="22">
        <f t="shared" si="150"/>
        <v>0</v>
      </c>
    </row>
    <row r="987" spans="1:37" s="165" customFormat="1" hidden="1">
      <c r="A987" s="165" t="s">
        <v>320</v>
      </c>
      <c r="B987" s="13">
        <v>43592</v>
      </c>
      <c r="C987" s="13" t="s">
        <v>23</v>
      </c>
      <c r="D987" s="165" t="s">
        <v>187</v>
      </c>
      <c r="E987" s="198" t="s">
        <v>188</v>
      </c>
      <c r="F987" s="165" t="str">
        <f t="shared" si="146"/>
        <v>ROBI_16.18_200_NL2018</v>
      </c>
      <c r="G987" s="165" t="s">
        <v>61</v>
      </c>
      <c r="H987" s="12"/>
      <c r="I987" s="12" t="s">
        <v>35</v>
      </c>
      <c r="J987" s="14">
        <v>200</v>
      </c>
      <c r="K987" s="15" t="s">
        <v>28</v>
      </c>
      <c r="L987" s="15"/>
      <c r="M987" s="16">
        <f t="shared" si="147"/>
        <v>0</v>
      </c>
      <c r="N987" s="32">
        <f>10600-200-10400</f>
        <v>0</v>
      </c>
      <c r="O987" s="15">
        <v>5500</v>
      </c>
      <c r="P987" s="15">
        <f t="shared" si="153"/>
        <v>0</v>
      </c>
      <c r="Q987" s="15" t="str">
        <f t="shared" si="152"/>
        <v>Canceled</v>
      </c>
      <c r="R987" s="18" t="s">
        <v>71</v>
      </c>
      <c r="S987" s="23">
        <v>43584</v>
      </c>
      <c r="T987" s="20">
        <f>IFERROR(VLOOKUP(S987,'Date Converter'!$A$4:$C$368,3,0),"")</f>
        <v>43618</v>
      </c>
      <c r="U987" s="21">
        <f t="shared" si="151"/>
        <v>43618</v>
      </c>
      <c r="V987" s="20"/>
      <c r="W987" s="18"/>
      <c r="X987" s="18"/>
      <c r="Y987" s="15"/>
      <c r="Z987" s="206"/>
      <c r="AA987" s="15"/>
      <c r="AB987" s="206"/>
      <c r="AC987" s="15"/>
      <c r="AD987" s="206"/>
      <c r="AE987" s="15"/>
      <c r="AF987" s="244"/>
      <c r="AG987" s="15"/>
      <c r="AH987" s="15">
        <f t="shared" si="148"/>
        <v>0</v>
      </c>
      <c r="AI987" s="22">
        <f t="shared" si="149"/>
        <v>0</v>
      </c>
      <c r="AJ987" s="22">
        <f t="shared" si="150"/>
        <v>0</v>
      </c>
    </row>
    <row r="988" spans="1:37" s="165" customFormat="1" hidden="1">
      <c r="A988" s="165" t="s">
        <v>320</v>
      </c>
      <c r="B988" s="13">
        <v>43509</v>
      </c>
      <c r="C988" s="13" t="s">
        <v>23</v>
      </c>
      <c r="D988" s="165" t="s">
        <v>187</v>
      </c>
      <c r="E988" s="165" t="s">
        <v>188</v>
      </c>
      <c r="F988" s="165" t="str">
        <f t="shared" si="146"/>
        <v>ROBI_16.18_200_NL2018</v>
      </c>
      <c r="G988" s="165" t="s">
        <v>61</v>
      </c>
      <c r="H988" s="12"/>
      <c r="I988" s="12" t="s">
        <v>35</v>
      </c>
      <c r="J988" s="14">
        <v>200</v>
      </c>
      <c r="K988" s="15" t="s">
        <v>28</v>
      </c>
      <c r="L988" s="15"/>
      <c r="M988" s="16">
        <f t="shared" si="147"/>
        <v>35</v>
      </c>
      <c r="N988" s="32">
        <v>7000</v>
      </c>
      <c r="O988" s="15">
        <v>4800</v>
      </c>
      <c r="P988" s="15">
        <f t="shared" si="153"/>
        <v>33600000</v>
      </c>
      <c r="Q988" s="15" t="str">
        <f t="shared" si="152"/>
        <v>Done</v>
      </c>
      <c r="R988" s="18" t="s">
        <v>44</v>
      </c>
      <c r="S988" s="23">
        <v>43511</v>
      </c>
      <c r="T988" s="20">
        <f>IFERROR(VLOOKUP(S988,'Date Converter'!$A$4:$C$368,3,0),"")</f>
        <v>43544</v>
      </c>
      <c r="U988" s="21">
        <f t="shared" si="151"/>
        <v>43544</v>
      </c>
      <c r="V988" s="12" t="s">
        <v>32</v>
      </c>
      <c r="W988" s="18" t="s">
        <v>48</v>
      </c>
      <c r="X988" s="18">
        <v>43541</v>
      </c>
      <c r="Y988" s="15"/>
      <c r="Z988" s="206">
        <v>43547</v>
      </c>
      <c r="AA988" s="15">
        <v>7000</v>
      </c>
      <c r="AB988" s="206"/>
      <c r="AC988" s="15"/>
      <c r="AD988" s="206"/>
      <c r="AE988" s="15"/>
      <c r="AF988" s="244"/>
      <c r="AG988" s="15"/>
      <c r="AH988" s="15">
        <f t="shared" si="148"/>
        <v>7000</v>
      </c>
      <c r="AI988" s="22">
        <f t="shared" si="149"/>
        <v>0</v>
      </c>
      <c r="AJ988" s="22">
        <f t="shared" si="150"/>
        <v>0</v>
      </c>
    </row>
    <row r="989" spans="1:37" hidden="1">
      <c r="A989" t="s">
        <v>320</v>
      </c>
      <c r="B989" s="13">
        <v>43593</v>
      </c>
      <c r="C989" s="13" t="s">
        <v>23</v>
      </c>
      <c r="D989" t="s">
        <v>187</v>
      </c>
      <c r="E989" s="198" t="s">
        <v>188</v>
      </c>
      <c r="F989" s="165" t="str">
        <f t="shared" si="146"/>
        <v>ROBI_16.18_200_NL2018</v>
      </c>
      <c r="G989" s="165" t="s">
        <v>61</v>
      </c>
      <c r="I989" s="12" t="s">
        <v>35</v>
      </c>
      <c r="J989" s="14">
        <v>200</v>
      </c>
      <c r="K989" s="15" t="s">
        <v>28</v>
      </c>
      <c r="M989" s="16">
        <f t="shared" si="147"/>
        <v>128</v>
      </c>
      <c r="N989" s="263">
        <f>15000+600+10000</f>
        <v>25600</v>
      </c>
      <c r="O989" s="15">
        <v>5500</v>
      </c>
      <c r="P989" s="15">
        <f t="shared" si="153"/>
        <v>140800000</v>
      </c>
      <c r="Q989" s="15" t="str">
        <f t="shared" si="152"/>
        <v/>
      </c>
      <c r="R989" s="18" t="s">
        <v>63</v>
      </c>
      <c r="S989" s="23">
        <v>43603</v>
      </c>
      <c r="T989" s="20">
        <f>IFERROR(VLOOKUP(S989,'Date Converter'!$A$4:$C$368,3,0),"")</f>
        <v>43636</v>
      </c>
      <c r="U989" s="21">
        <f t="shared" si="151"/>
        <v>43636</v>
      </c>
      <c r="V989" s="20"/>
      <c r="Y989" s="15"/>
      <c r="AA989" s="15"/>
      <c r="AB989" s="206"/>
      <c r="AC989" s="15"/>
      <c r="AD989" s="206"/>
      <c r="AE989" s="15"/>
      <c r="AF989" s="244"/>
      <c r="AG989" s="15"/>
      <c r="AH989" s="15">
        <f t="shared" si="148"/>
        <v>0</v>
      </c>
      <c r="AI989" s="22">
        <f t="shared" si="149"/>
        <v>25600</v>
      </c>
      <c r="AJ989" s="22">
        <f t="shared" si="150"/>
        <v>140800000</v>
      </c>
      <c r="AK989" s="165"/>
    </row>
    <row r="990" spans="1:37" s="165" customFormat="1" hidden="1">
      <c r="A990" s="165" t="s">
        <v>320</v>
      </c>
      <c r="B990" s="13">
        <v>43640</v>
      </c>
      <c r="C990" s="13" t="s">
        <v>23</v>
      </c>
      <c r="D990" s="165" t="s">
        <v>187</v>
      </c>
      <c r="E990" s="198" t="s">
        <v>188</v>
      </c>
      <c r="F990" s="165" t="str">
        <f t="shared" si="146"/>
        <v>YELL_16.18_200_NL2018</v>
      </c>
      <c r="G990" s="165" t="s">
        <v>89</v>
      </c>
      <c r="H990" s="12"/>
      <c r="I990" s="12" t="s">
        <v>35</v>
      </c>
      <c r="J990" s="14">
        <v>200</v>
      </c>
      <c r="K990" s="15" t="s">
        <v>28</v>
      </c>
      <c r="L990" s="15"/>
      <c r="M990" s="16">
        <f t="shared" si="147"/>
        <v>25</v>
      </c>
      <c r="N990" s="255">
        <v>5000</v>
      </c>
      <c r="O990" s="15">
        <v>5200</v>
      </c>
      <c r="P990" s="15">
        <f t="shared" si="153"/>
        <v>26000000</v>
      </c>
      <c r="Q990" s="15" t="str">
        <f t="shared" si="152"/>
        <v/>
      </c>
      <c r="R990" s="18" t="s">
        <v>63</v>
      </c>
      <c r="S990" s="23">
        <v>43609</v>
      </c>
      <c r="T990" s="20">
        <f>IFERROR(VLOOKUP(S990,'Date Converter'!$A$4:$C$368,3,0),"")</f>
        <v>43642</v>
      </c>
      <c r="U990" s="21">
        <f t="shared" si="151"/>
        <v>43642</v>
      </c>
      <c r="V990" s="20" t="s">
        <v>1888</v>
      </c>
      <c r="W990" s="18"/>
      <c r="X990" s="18"/>
      <c r="Y990" s="15"/>
      <c r="Z990" s="206"/>
      <c r="AA990" s="15"/>
      <c r="AB990" s="206"/>
      <c r="AC990" s="15"/>
      <c r="AD990" s="206"/>
      <c r="AE990" s="15"/>
      <c r="AF990" s="244"/>
      <c r="AG990" s="15"/>
      <c r="AH990" s="15">
        <f t="shared" si="148"/>
        <v>0</v>
      </c>
      <c r="AI990" s="22">
        <f t="shared" si="149"/>
        <v>5000</v>
      </c>
      <c r="AJ990" s="22">
        <f t="shared" si="150"/>
        <v>26000000</v>
      </c>
    </row>
    <row r="991" spans="1:37" hidden="1">
      <c r="A991" t="s">
        <v>320</v>
      </c>
      <c r="B991" s="13">
        <v>43630</v>
      </c>
      <c r="C991" s="13" t="s">
        <v>23</v>
      </c>
      <c r="D991" t="s">
        <v>187</v>
      </c>
      <c r="E991" s="198" t="s">
        <v>188</v>
      </c>
      <c r="F991" t="str">
        <f t="shared" si="146"/>
        <v>ROBI_16.18_200_NL2018</v>
      </c>
      <c r="G991" s="165" t="s">
        <v>61</v>
      </c>
      <c r="I991" s="12" t="s">
        <v>35</v>
      </c>
      <c r="J991" s="14">
        <v>200</v>
      </c>
      <c r="K991" s="15" t="s">
        <v>28</v>
      </c>
      <c r="M991" s="16">
        <f t="shared" si="147"/>
        <v>50</v>
      </c>
      <c r="N991" s="32">
        <v>10000</v>
      </c>
      <c r="O991" s="15">
        <v>5600</v>
      </c>
      <c r="P991" s="15">
        <f t="shared" si="153"/>
        <v>56000000</v>
      </c>
      <c r="Q991" s="15" t="str">
        <f t="shared" si="152"/>
        <v/>
      </c>
      <c r="R991" s="18" t="s">
        <v>31</v>
      </c>
      <c r="S991" s="23">
        <v>43631</v>
      </c>
      <c r="T991" s="20">
        <f>IFERROR(VLOOKUP(S991,'Date Converter'!$A$4:$C$368,3,0),"")</f>
        <v>43663</v>
      </c>
      <c r="U991" s="21">
        <f t="shared" si="151"/>
        <v>43663</v>
      </c>
      <c r="V991" s="20"/>
      <c r="Y991" s="15"/>
      <c r="AA991" s="15"/>
      <c r="AB991" s="206"/>
      <c r="AC991" s="15"/>
      <c r="AD991" s="206"/>
      <c r="AE991" s="15"/>
      <c r="AF991" s="244"/>
      <c r="AG991" s="15"/>
      <c r="AH991" s="15">
        <f t="shared" si="148"/>
        <v>0</v>
      </c>
      <c r="AI991" s="22">
        <f t="shared" si="149"/>
        <v>10000</v>
      </c>
      <c r="AJ991" s="22">
        <f t="shared" si="150"/>
        <v>56000000</v>
      </c>
      <c r="AK991" s="165"/>
    </row>
    <row r="992" spans="1:37" hidden="1">
      <c r="A992" s="183" t="s">
        <v>458</v>
      </c>
      <c r="B992" s="188">
        <v>43509</v>
      </c>
      <c r="C992" s="266" t="s">
        <v>23</v>
      </c>
      <c r="D992" s="258" t="s">
        <v>187</v>
      </c>
      <c r="E992" s="201" t="s">
        <v>188</v>
      </c>
      <c r="F992" s="183" t="str">
        <f t="shared" si="146"/>
        <v>ROBI_22.24_100_NL2018</v>
      </c>
      <c r="G992" s="183" t="s">
        <v>61</v>
      </c>
      <c r="H992" s="184"/>
      <c r="I992" s="184" t="s">
        <v>78</v>
      </c>
      <c r="J992" s="186">
        <v>100</v>
      </c>
      <c r="K992" s="185" t="s">
        <v>28</v>
      </c>
      <c r="L992" s="185"/>
      <c r="M992" s="187">
        <f t="shared" si="147"/>
        <v>100</v>
      </c>
      <c r="N992" s="185">
        <v>10000</v>
      </c>
      <c r="O992" s="185">
        <v>12500</v>
      </c>
      <c r="P992" s="185">
        <f t="shared" si="153"/>
        <v>125000000</v>
      </c>
      <c r="Q992" s="15" t="str">
        <f t="shared" si="152"/>
        <v/>
      </c>
      <c r="R992" s="189" t="s">
        <v>29</v>
      </c>
      <c r="S992" s="190">
        <v>43709</v>
      </c>
      <c r="T992" s="20">
        <f>IFERROR(VLOOKUP(S992,'Date Converter'!$A$4:$C$368,3,0),"")</f>
        <v>43737</v>
      </c>
      <c r="U992" s="21">
        <f t="shared" si="151"/>
        <v>43737</v>
      </c>
      <c r="V992" s="185" t="s">
        <v>51</v>
      </c>
      <c r="W992" s="189"/>
      <c r="X992" s="189"/>
      <c r="Y992" s="185"/>
      <c r="AA992" s="185">
        <v>0</v>
      </c>
      <c r="AB992" s="206"/>
      <c r="AC992" s="185"/>
      <c r="AD992" s="206"/>
      <c r="AE992" s="185"/>
      <c r="AF992" s="246"/>
      <c r="AG992" s="185"/>
      <c r="AH992" s="15">
        <f t="shared" si="148"/>
        <v>0</v>
      </c>
      <c r="AI992" s="22">
        <f t="shared" si="149"/>
        <v>10000</v>
      </c>
      <c r="AJ992" s="22">
        <f t="shared" si="150"/>
        <v>125000000</v>
      </c>
      <c r="AK992" s="183"/>
    </row>
    <row r="993" spans="1:37" hidden="1">
      <c r="A993" t="s">
        <v>320</v>
      </c>
      <c r="B993" s="13">
        <v>43629</v>
      </c>
      <c r="C993" s="13" t="s">
        <v>23</v>
      </c>
      <c r="D993" t="s">
        <v>187</v>
      </c>
      <c r="E993" s="198" t="s">
        <v>188</v>
      </c>
      <c r="F993" s="165" t="str">
        <f t="shared" si="146"/>
        <v>ROBI_16.18_200_NL2018</v>
      </c>
      <c r="G993" s="165" t="s">
        <v>61</v>
      </c>
      <c r="I993" s="12" t="s">
        <v>35</v>
      </c>
      <c r="J993" s="14">
        <v>200</v>
      </c>
      <c r="K993" s="15" t="s">
        <v>28</v>
      </c>
      <c r="M993" s="16">
        <f t="shared" si="147"/>
        <v>49</v>
      </c>
      <c r="N993" s="32">
        <f>10000-200</f>
        <v>9800</v>
      </c>
      <c r="O993" s="15">
        <v>5500</v>
      </c>
      <c r="P993" s="15">
        <f t="shared" si="153"/>
        <v>53900000</v>
      </c>
      <c r="Q993" s="15" t="str">
        <f t="shared" si="152"/>
        <v>Done</v>
      </c>
      <c r="R993" s="18" t="s">
        <v>44</v>
      </c>
      <c r="S993" s="19">
        <v>43615</v>
      </c>
      <c r="T993" s="20">
        <f>IFERROR(VLOOKUP(S993,'Date Converter'!$A$4:$C$368,3,0),"")</f>
        <v>43648</v>
      </c>
      <c r="U993" s="21">
        <f t="shared" si="151"/>
        <v>43648</v>
      </c>
      <c r="V993" s="20"/>
      <c r="Y993" s="15"/>
      <c r="Z993" s="206">
        <v>43633</v>
      </c>
      <c r="AA993" s="15">
        <v>9800</v>
      </c>
      <c r="AB993" s="206"/>
      <c r="AC993" s="15"/>
      <c r="AD993" s="206"/>
      <c r="AE993" s="15"/>
      <c r="AF993" s="244"/>
      <c r="AG993" s="15"/>
      <c r="AH993" s="15">
        <f t="shared" si="148"/>
        <v>9800</v>
      </c>
      <c r="AI993" s="22">
        <f t="shared" si="149"/>
        <v>0</v>
      </c>
      <c r="AJ993" s="22">
        <f t="shared" si="150"/>
        <v>0</v>
      </c>
      <c r="AK993" s="165"/>
    </row>
    <row r="994" spans="1:37" hidden="1">
      <c r="A994" s="165" t="s">
        <v>320</v>
      </c>
      <c r="B994" s="13">
        <v>43600</v>
      </c>
      <c r="C994" s="13" t="s">
        <v>23</v>
      </c>
      <c r="D994" s="165" t="s">
        <v>187</v>
      </c>
      <c r="E994" s="198" t="s">
        <v>188</v>
      </c>
      <c r="F994" s="165" t="str">
        <f t="shared" si="146"/>
        <v>PROF_14.16_275_NL2018</v>
      </c>
      <c r="G994" s="165" t="s">
        <v>56</v>
      </c>
      <c r="I994" s="12" t="s">
        <v>47</v>
      </c>
      <c r="J994" s="14">
        <v>275</v>
      </c>
      <c r="K994" s="15" t="s">
        <v>28</v>
      </c>
      <c r="M994" s="16">
        <f t="shared" si="147"/>
        <v>19</v>
      </c>
      <c r="N994" s="32">
        <f>4950+550-275</f>
        <v>5225</v>
      </c>
      <c r="O994" s="25">
        <v>5000</v>
      </c>
      <c r="P994" s="15">
        <f t="shared" si="153"/>
        <v>26125000</v>
      </c>
      <c r="Q994" s="15" t="str">
        <f t="shared" si="152"/>
        <v>Done</v>
      </c>
      <c r="R994" s="18" t="s">
        <v>44</v>
      </c>
      <c r="S994" s="23">
        <v>43572</v>
      </c>
      <c r="T994" s="20">
        <f>IFERROR(VLOOKUP(S994,'Date Converter'!$A$4:$C$368,3,0),"")</f>
        <v>43606</v>
      </c>
      <c r="U994" s="21">
        <f t="shared" si="151"/>
        <v>43606</v>
      </c>
      <c r="V994" s="20"/>
      <c r="Y994" s="15"/>
      <c r="Z994" s="206">
        <v>43627</v>
      </c>
      <c r="AA994" s="32">
        <v>2475</v>
      </c>
      <c r="AB994" s="206">
        <v>43628</v>
      </c>
      <c r="AC994" s="32">
        <v>550</v>
      </c>
      <c r="AD994" s="206">
        <v>43629</v>
      </c>
      <c r="AE994" s="32">
        <v>275</v>
      </c>
      <c r="AF994" s="244">
        <v>43640</v>
      </c>
      <c r="AG994" s="15">
        <v>1925</v>
      </c>
      <c r="AH994" s="15">
        <f t="shared" si="148"/>
        <v>5225</v>
      </c>
      <c r="AI994" s="22">
        <f t="shared" si="149"/>
        <v>0</v>
      </c>
      <c r="AJ994" s="22">
        <f t="shared" si="150"/>
        <v>0</v>
      </c>
      <c r="AK994" s="165"/>
    </row>
    <row r="995" spans="1:37" s="165" customFormat="1" hidden="1">
      <c r="A995" s="165" t="s">
        <v>320</v>
      </c>
      <c r="B995" s="13">
        <v>43509</v>
      </c>
      <c r="C995" s="13" t="s">
        <v>23</v>
      </c>
      <c r="D995" s="165" t="s">
        <v>187</v>
      </c>
      <c r="E995" s="165" t="s">
        <v>188</v>
      </c>
      <c r="F995" s="165" t="str">
        <f t="shared" si="146"/>
        <v>PROF_16.18_200_NL2018</v>
      </c>
      <c r="G995" s="165" t="s">
        <v>56</v>
      </c>
      <c r="H995" s="12"/>
      <c r="I995" s="12" t="s">
        <v>35</v>
      </c>
      <c r="J995" s="14">
        <v>200</v>
      </c>
      <c r="K995" s="15" t="s">
        <v>28</v>
      </c>
      <c r="L995" s="15"/>
      <c r="M995" s="16">
        <f t="shared" si="147"/>
        <v>56</v>
      </c>
      <c r="N995" s="17">
        <v>11200</v>
      </c>
      <c r="O995" s="15">
        <v>6700</v>
      </c>
      <c r="P995" s="15">
        <f t="shared" si="153"/>
        <v>75040000</v>
      </c>
      <c r="Q995" s="15" t="str">
        <f t="shared" si="152"/>
        <v>Done</v>
      </c>
      <c r="R995" s="18" t="s">
        <v>44</v>
      </c>
      <c r="S995" s="23">
        <v>43511</v>
      </c>
      <c r="T995" s="20">
        <f>IFERROR(VLOOKUP(S995,'Date Converter'!$A$4:$C$368,3,0),"")</f>
        <v>43544</v>
      </c>
      <c r="U995" s="21">
        <f t="shared" si="151"/>
        <v>43544</v>
      </c>
      <c r="V995" s="12" t="s">
        <v>32</v>
      </c>
      <c r="W995" s="18" t="s">
        <v>33</v>
      </c>
      <c r="X995" s="18">
        <v>43541</v>
      </c>
      <c r="Y995" s="15"/>
      <c r="Z995" s="206">
        <v>43547</v>
      </c>
      <c r="AA995" s="15">
        <v>11200</v>
      </c>
      <c r="AB995" s="206"/>
      <c r="AC995" s="15"/>
      <c r="AD995" s="206"/>
      <c r="AE995" s="15"/>
      <c r="AF995" s="244"/>
      <c r="AG995" s="15"/>
      <c r="AH995" s="15">
        <f t="shared" si="148"/>
        <v>11200</v>
      </c>
      <c r="AI995" s="22">
        <f t="shared" si="149"/>
        <v>0</v>
      </c>
      <c r="AJ995" s="22">
        <f t="shared" si="150"/>
        <v>0</v>
      </c>
    </row>
    <row r="996" spans="1:37" s="165" customFormat="1" hidden="1">
      <c r="A996" s="165" t="s">
        <v>320</v>
      </c>
      <c r="B996" s="13">
        <v>43634</v>
      </c>
      <c r="C996" s="13" t="s">
        <v>23</v>
      </c>
      <c r="D996" s="165" t="s">
        <v>187</v>
      </c>
      <c r="E996" s="198" t="s">
        <v>188</v>
      </c>
      <c r="F996" s="165" t="str">
        <f t="shared" si="146"/>
        <v>PROF_16.18_200_NL2018</v>
      </c>
      <c r="G996" s="165" t="s">
        <v>56</v>
      </c>
      <c r="H996" s="12"/>
      <c r="I996" s="12" t="s">
        <v>35</v>
      </c>
      <c r="J996" s="14">
        <v>200</v>
      </c>
      <c r="K996" s="15" t="s">
        <v>28</v>
      </c>
      <c r="L996" s="15"/>
      <c r="M996" s="16">
        <f t="shared" si="147"/>
        <v>45</v>
      </c>
      <c r="N996" s="32">
        <f>20000-11000</f>
        <v>9000</v>
      </c>
      <c r="O996" s="15">
        <v>7700</v>
      </c>
      <c r="P996" s="15">
        <f t="shared" si="153"/>
        <v>69300000</v>
      </c>
      <c r="Q996" s="15" t="str">
        <f t="shared" si="152"/>
        <v/>
      </c>
      <c r="R996" s="18" t="s">
        <v>63</v>
      </c>
      <c r="S996" s="23">
        <v>43609</v>
      </c>
      <c r="T996" s="20">
        <f>IFERROR(VLOOKUP(S996,'Date Converter'!$A$4:$C$368,3,0),"")</f>
        <v>43642</v>
      </c>
      <c r="U996" s="21">
        <f t="shared" si="151"/>
        <v>43642</v>
      </c>
      <c r="V996" s="20" t="s">
        <v>1888</v>
      </c>
      <c r="W996" s="18"/>
      <c r="X996" s="18"/>
      <c r="Y996" s="15"/>
      <c r="Z996" s="206"/>
      <c r="AA996" s="15"/>
      <c r="AB996" s="206"/>
      <c r="AC996" s="15"/>
      <c r="AD996" s="206"/>
      <c r="AE996" s="15"/>
      <c r="AF996" s="244"/>
      <c r="AG996" s="15"/>
      <c r="AH996" s="15">
        <f t="shared" si="148"/>
        <v>0</v>
      </c>
      <c r="AI996" s="22">
        <f t="shared" si="149"/>
        <v>9000</v>
      </c>
      <c r="AJ996" s="22">
        <f t="shared" si="150"/>
        <v>69300000</v>
      </c>
    </row>
    <row r="997" spans="1:37" s="165" customFormat="1" hidden="1">
      <c r="A997" s="165" t="s">
        <v>320</v>
      </c>
      <c r="B997" s="13">
        <v>43640</v>
      </c>
      <c r="C997" s="13" t="s">
        <v>23</v>
      </c>
      <c r="D997" s="165" t="s">
        <v>187</v>
      </c>
      <c r="E997" s="198" t="s">
        <v>188</v>
      </c>
      <c r="F997" s="165" t="str">
        <f t="shared" si="146"/>
        <v>ROBI_18.20_150_NL2018</v>
      </c>
      <c r="G997" s="165" t="s">
        <v>61</v>
      </c>
      <c r="H997" s="12"/>
      <c r="I997" s="184" t="s">
        <v>27</v>
      </c>
      <c r="J997" s="186">
        <v>150</v>
      </c>
      <c r="K997" s="185" t="s">
        <v>28</v>
      </c>
      <c r="L997" s="15"/>
      <c r="M997" s="16">
        <f t="shared" si="147"/>
        <v>80</v>
      </c>
      <c r="N997" s="32">
        <f>10950+1050</f>
        <v>12000</v>
      </c>
      <c r="O997" s="15">
        <v>7500</v>
      </c>
      <c r="P997" s="15">
        <f t="shared" si="153"/>
        <v>90000000</v>
      </c>
      <c r="Q997" s="15" t="str">
        <f t="shared" si="152"/>
        <v/>
      </c>
      <c r="R997" s="18" t="s">
        <v>31</v>
      </c>
      <c r="S997" s="23">
        <v>43615</v>
      </c>
      <c r="T997" s="20">
        <f>IFERROR(VLOOKUP(S997,'Date Converter'!$A$4:$C$368,3,0),"")</f>
        <v>43648</v>
      </c>
      <c r="U997" s="21">
        <f t="shared" si="151"/>
        <v>43648</v>
      </c>
      <c r="V997" s="20" t="s">
        <v>1888</v>
      </c>
      <c r="W997" s="18"/>
      <c r="X997" s="18"/>
      <c r="Y997" s="15"/>
      <c r="Z997" s="206"/>
      <c r="AA997" s="15"/>
      <c r="AB997" s="206"/>
      <c r="AC997" s="15"/>
      <c r="AD997" s="206"/>
      <c r="AE997" s="15"/>
      <c r="AF997" s="244"/>
      <c r="AG997" s="15"/>
      <c r="AH997" s="15">
        <f t="shared" si="148"/>
        <v>0</v>
      </c>
      <c r="AI997" s="22">
        <f t="shared" si="149"/>
        <v>12000</v>
      </c>
      <c r="AJ997" s="22">
        <f t="shared" si="150"/>
        <v>90000000</v>
      </c>
    </row>
    <row r="998" spans="1:37" s="165" customFormat="1" hidden="1">
      <c r="A998" s="165" t="s">
        <v>320</v>
      </c>
      <c r="B998" s="13">
        <v>43629</v>
      </c>
      <c r="C998" s="13" t="s">
        <v>23</v>
      </c>
      <c r="D998" s="165" t="s">
        <v>187</v>
      </c>
      <c r="E998" s="198" t="s">
        <v>188</v>
      </c>
      <c r="F998" s="165" t="str">
        <f t="shared" si="146"/>
        <v>PARA_14.16_275_NL2018</v>
      </c>
      <c r="G998" s="165" t="s">
        <v>490</v>
      </c>
      <c r="H998" s="12"/>
      <c r="I998" s="12" t="s">
        <v>47</v>
      </c>
      <c r="J998" s="14">
        <v>275</v>
      </c>
      <c r="K998" s="15" t="s">
        <v>28</v>
      </c>
      <c r="L998" s="15"/>
      <c r="M998" s="16">
        <f t="shared" si="147"/>
        <v>30</v>
      </c>
      <c r="N998" s="32">
        <v>8250</v>
      </c>
      <c r="O998" s="15">
        <v>4700</v>
      </c>
      <c r="P998" s="15">
        <f t="shared" si="153"/>
        <v>38775000</v>
      </c>
      <c r="Q998" s="15" t="str">
        <f t="shared" si="152"/>
        <v/>
      </c>
      <c r="R998" s="18" t="s">
        <v>63</v>
      </c>
      <c r="S998" s="19">
        <v>43615</v>
      </c>
      <c r="T998" s="20">
        <f>IFERROR(VLOOKUP(S998,'Date Converter'!$A$4:$C$368,3,0),"")</f>
        <v>43648</v>
      </c>
      <c r="U998" s="21">
        <f t="shared" si="151"/>
        <v>43648</v>
      </c>
      <c r="V998" s="20"/>
      <c r="W998" s="18"/>
      <c r="X998" s="18"/>
      <c r="Y998" s="15"/>
      <c r="Z998" s="206"/>
      <c r="AA998" s="15"/>
      <c r="AB998" s="206"/>
      <c r="AC998" s="15"/>
      <c r="AD998" s="206"/>
      <c r="AE998" s="15"/>
      <c r="AF998" s="244"/>
      <c r="AG998" s="15"/>
      <c r="AH998" s="15">
        <f t="shared" si="148"/>
        <v>0</v>
      </c>
      <c r="AI998" s="22">
        <f t="shared" si="149"/>
        <v>8250</v>
      </c>
      <c r="AJ998" s="22">
        <f t="shared" si="150"/>
        <v>38775000</v>
      </c>
    </row>
    <row r="999" spans="1:37" s="165" customFormat="1" ht="14.25" hidden="1" customHeight="1">
      <c r="A999" s="165" t="s">
        <v>320</v>
      </c>
      <c r="B999" s="13">
        <v>43629</v>
      </c>
      <c r="C999" s="13" t="s">
        <v>23</v>
      </c>
      <c r="D999" s="165" t="s">
        <v>187</v>
      </c>
      <c r="E999" s="198" t="s">
        <v>188</v>
      </c>
      <c r="F999" s="165" t="str">
        <f t="shared" si="146"/>
        <v>PARA_16.18_175_NL2018</v>
      </c>
      <c r="G999" s="165" t="s">
        <v>490</v>
      </c>
      <c r="H999" s="12"/>
      <c r="I999" s="12" t="s">
        <v>35</v>
      </c>
      <c r="J999" s="14">
        <v>175</v>
      </c>
      <c r="K999" s="15" t="s">
        <v>28</v>
      </c>
      <c r="L999" s="15"/>
      <c r="M999" s="16">
        <f t="shared" si="147"/>
        <v>5</v>
      </c>
      <c r="N999" s="32">
        <f>1225-350</f>
        <v>875</v>
      </c>
      <c r="O999" s="15">
        <v>6200</v>
      </c>
      <c r="P999" s="15">
        <f t="shared" si="153"/>
        <v>5425000</v>
      </c>
      <c r="Q999" s="15" t="str">
        <f t="shared" si="152"/>
        <v/>
      </c>
      <c r="R999" s="18" t="s">
        <v>63</v>
      </c>
      <c r="S999" s="19">
        <v>43615</v>
      </c>
      <c r="T999" s="20">
        <f>IFERROR(VLOOKUP(S999,'Date Converter'!$A$4:$C$368,3,0),"")</f>
        <v>43648</v>
      </c>
      <c r="U999" s="21">
        <f t="shared" si="151"/>
        <v>43648</v>
      </c>
      <c r="V999" s="20"/>
      <c r="W999" s="18"/>
      <c r="X999" s="18"/>
      <c r="Y999" s="15"/>
      <c r="Z999" s="206"/>
      <c r="AA999" s="15"/>
      <c r="AB999" s="206"/>
      <c r="AC999" s="15"/>
      <c r="AD999" s="206"/>
      <c r="AE999" s="15"/>
      <c r="AF999" s="244"/>
      <c r="AG999" s="15"/>
      <c r="AH999" s="15">
        <f t="shared" si="148"/>
        <v>0</v>
      </c>
      <c r="AI999" s="22">
        <f t="shared" si="149"/>
        <v>875</v>
      </c>
      <c r="AJ999" s="22">
        <f t="shared" si="150"/>
        <v>5425000</v>
      </c>
    </row>
    <row r="1000" spans="1:37" s="165" customFormat="1" hidden="1">
      <c r="A1000" s="165" t="s">
        <v>320</v>
      </c>
      <c r="B1000" s="13">
        <v>43629</v>
      </c>
      <c r="C1000" s="13" t="s">
        <v>23</v>
      </c>
      <c r="D1000" s="165" t="s">
        <v>187</v>
      </c>
      <c r="E1000" s="198" t="s">
        <v>188</v>
      </c>
      <c r="F1000" s="165" t="str">
        <f t="shared" si="146"/>
        <v>MANI_16.18_200_NL2018</v>
      </c>
      <c r="G1000" s="165" t="s">
        <v>105</v>
      </c>
      <c r="H1000" s="12"/>
      <c r="I1000" s="12" t="s">
        <v>35</v>
      </c>
      <c r="J1000" s="14">
        <v>200</v>
      </c>
      <c r="K1000" s="15" t="s">
        <v>28</v>
      </c>
      <c r="L1000" s="15"/>
      <c r="M1000" s="16">
        <f t="shared" si="147"/>
        <v>0</v>
      </c>
      <c r="N1000" s="32">
        <f>10000+5000-5000-10000</f>
        <v>0</v>
      </c>
      <c r="O1000" s="15">
        <v>7000</v>
      </c>
      <c r="P1000" s="15">
        <f t="shared" si="153"/>
        <v>0</v>
      </c>
      <c r="Q1000" s="15" t="str">
        <f t="shared" si="152"/>
        <v>Canceled</v>
      </c>
      <c r="R1000" s="18" t="s">
        <v>71</v>
      </c>
      <c r="S1000" s="19">
        <v>43603</v>
      </c>
      <c r="T1000" s="20">
        <f>IFERROR(VLOOKUP(S1000,'Date Converter'!$A$4:$C$368,3,0),"")</f>
        <v>43636</v>
      </c>
      <c r="U1000" s="21">
        <f t="shared" si="151"/>
        <v>43636</v>
      </c>
      <c r="V1000" s="20"/>
      <c r="W1000" s="18"/>
      <c r="X1000" s="18"/>
      <c r="Y1000" s="15"/>
      <c r="Z1000" s="206"/>
      <c r="AA1000" s="15"/>
      <c r="AB1000" s="206"/>
      <c r="AC1000" s="15"/>
      <c r="AD1000" s="206"/>
      <c r="AE1000" s="15"/>
      <c r="AF1000" s="244"/>
      <c r="AG1000" s="15"/>
      <c r="AH1000" s="15">
        <f t="shared" si="148"/>
        <v>0</v>
      </c>
      <c r="AI1000" s="22">
        <f t="shared" si="149"/>
        <v>0</v>
      </c>
      <c r="AJ1000" s="22">
        <f t="shared" si="150"/>
        <v>0</v>
      </c>
    </row>
    <row r="1001" spans="1:37" s="165" customFormat="1" hidden="1">
      <c r="A1001" s="165" t="s">
        <v>320</v>
      </c>
      <c r="B1001" s="13">
        <v>43630</v>
      </c>
      <c r="C1001" s="13" t="s">
        <v>23</v>
      </c>
      <c r="D1001" s="165" t="s">
        <v>187</v>
      </c>
      <c r="E1001" s="198" t="s">
        <v>188</v>
      </c>
      <c r="F1001" s="165" t="str">
        <f t="shared" si="146"/>
        <v>MALD_14.16_300_NL2018</v>
      </c>
      <c r="G1001" s="165" t="s">
        <v>478</v>
      </c>
      <c r="H1001" s="12"/>
      <c r="I1001" s="12" t="s">
        <v>47</v>
      </c>
      <c r="J1001" s="14">
        <v>300</v>
      </c>
      <c r="K1001" s="15" t="s">
        <v>28</v>
      </c>
      <c r="L1001" s="15"/>
      <c r="M1001" s="16">
        <f t="shared" si="147"/>
        <v>32</v>
      </c>
      <c r="N1001" s="32">
        <v>9600</v>
      </c>
      <c r="O1001" s="15">
        <v>4500</v>
      </c>
      <c r="P1001" s="15">
        <f t="shared" si="153"/>
        <v>43200000</v>
      </c>
      <c r="Q1001" s="15" t="str">
        <f t="shared" si="152"/>
        <v/>
      </c>
      <c r="R1001" s="18" t="s">
        <v>31</v>
      </c>
      <c r="S1001" s="23">
        <v>43631</v>
      </c>
      <c r="T1001" s="20">
        <f>IFERROR(VLOOKUP(S1001,'Date Converter'!$A$4:$C$368,3,0),"")</f>
        <v>43663</v>
      </c>
      <c r="U1001" s="21">
        <f t="shared" si="151"/>
        <v>43663</v>
      </c>
      <c r="V1001" s="20"/>
      <c r="W1001" s="18"/>
      <c r="X1001" s="18"/>
      <c r="Y1001" s="15"/>
      <c r="Z1001" s="206"/>
      <c r="AA1001" s="256"/>
      <c r="AB1001" s="206"/>
      <c r="AC1001" s="15"/>
      <c r="AD1001" s="206"/>
      <c r="AE1001" s="15"/>
      <c r="AF1001" s="244"/>
      <c r="AG1001" s="15"/>
      <c r="AH1001" s="15">
        <f t="shared" si="148"/>
        <v>0</v>
      </c>
      <c r="AI1001" s="22">
        <f t="shared" si="149"/>
        <v>9600</v>
      </c>
      <c r="AJ1001" s="22">
        <f t="shared" si="150"/>
        <v>43200000</v>
      </c>
    </row>
    <row r="1002" spans="1:37" s="165" customFormat="1" hidden="1">
      <c r="A1002" s="165" t="s">
        <v>320</v>
      </c>
      <c r="B1002" s="13">
        <v>43592</v>
      </c>
      <c r="C1002" s="13" t="s">
        <v>23</v>
      </c>
      <c r="D1002" s="165" t="s">
        <v>187</v>
      </c>
      <c r="E1002" s="198" t="s">
        <v>188</v>
      </c>
      <c r="F1002" s="165" t="str">
        <f t="shared" si="146"/>
        <v>MALD_16.18_200_NL2018</v>
      </c>
      <c r="G1002" s="165" t="s">
        <v>478</v>
      </c>
      <c r="H1002" s="12"/>
      <c r="I1002" s="12" t="s">
        <v>35</v>
      </c>
      <c r="J1002" s="14">
        <v>200</v>
      </c>
      <c r="K1002" s="15" t="s">
        <v>28</v>
      </c>
      <c r="L1002" s="15"/>
      <c r="M1002" s="16">
        <f t="shared" si="147"/>
        <v>55</v>
      </c>
      <c r="N1002" s="257">
        <f>10000+1000</f>
        <v>11000</v>
      </c>
      <c r="O1002" s="15">
        <v>5300</v>
      </c>
      <c r="P1002" s="15">
        <f t="shared" si="153"/>
        <v>58300000</v>
      </c>
      <c r="Q1002" s="15" t="str">
        <f t="shared" si="152"/>
        <v>Done</v>
      </c>
      <c r="R1002" s="18" t="s">
        <v>44</v>
      </c>
      <c r="S1002" s="23">
        <v>43572</v>
      </c>
      <c r="T1002" s="20">
        <f>IFERROR(VLOOKUP(S1002,'Date Converter'!$A$4:$C$368,3,0),"")</f>
        <v>43606</v>
      </c>
      <c r="U1002" s="21">
        <f t="shared" si="151"/>
        <v>43606</v>
      </c>
      <c r="V1002" s="20"/>
      <c r="W1002" s="18"/>
      <c r="X1002" s="18"/>
      <c r="Y1002" s="15"/>
      <c r="Z1002" s="206">
        <v>43603</v>
      </c>
      <c r="AA1002" s="15">
        <v>11000</v>
      </c>
      <c r="AB1002" s="206"/>
      <c r="AC1002" s="15"/>
      <c r="AD1002" s="206"/>
      <c r="AE1002" s="15"/>
      <c r="AF1002" s="244"/>
      <c r="AG1002" s="15"/>
      <c r="AH1002" s="15">
        <f t="shared" si="148"/>
        <v>11000</v>
      </c>
      <c r="AI1002" s="22">
        <f t="shared" si="149"/>
        <v>0</v>
      </c>
      <c r="AJ1002" s="22">
        <f t="shared" si="150"/>
        <v>0</v>
      </c>
    </row>
    <row r="1003" spans="1:37" s="165" customFormat="1" hidden="1">
      <c r="A1003" s="165" t="s">
        <v>320</v>
      </c>
      <c r="B1003" s="13">
        <v>43604</v>
      </c>
      <c r="C1003" s="13" t="s">
        <v>23</v>
      </c>
      <c r="D1003" s="165" t="s">
        <v>187</v>
      </c>
      <c r="E1003" s="198" t="s">
        <v>188</v>
      </c>
      <c r="F1003" s="165" t="str">
        <f t="shared" si="146"/>
        <v>LARG_16.18_200_NL2018</v>
      </c>
      <c r="G1003" s="165" t="s">
        <v>70</v>
      </c>
      <c r="H1003" s="12"/>
      <c r="I1003" s="12" t="s">
        <v>35</v>
      </c>
      <c r="J1003" s="14">
        <v>200</v>
      </c>
      <c r="K1003" s="15" t="s">
        <v>28</v>
      </c>
      <c r="L1003" s="15"/>
      <c r="M1003" s="16">
        <f t="shared" si="147"/>
        <v>10</v>
      </c>
      <c r="N1003" s="32">
        <v>2000</v>
      </c>
      <c r="O1003" s="15">
        <v>5600</v>
      </c>
      <c r="P1003" s="15">
        <f t="shared" si="153"/>
        <v>11200000</v>
      </c>
      <c r="Q1003" s="15" t="str">
        <f t="shared" si="152"/>
        <v>Done</v>
      </c>
      <c r="R1003" s="18" t="s">
        <v>44</v>
      </c>
      <c r="S1003" s="23">
        <v>43572</v>
      </c>
      <c r="T1003" s="20">
        <f>IFERROR(VLOOKUP(S1003,'Date Converter'!$A$4:$C$368,3,0),"")</f>
        <v>43606</v>
      </c>
      <c r="U1003" s="21">
        <f t="shared" si="151"/>
        <v>43606</v>
      </c>
      <c r="V1003" s="20"/>
      <c r="W1003" s="18"/>
      <c r="X1003" s="18"/>
      <c r="Y1003" s="15"/>
      <c r="Z1003" s="206">
        <v>43603</v>
      </c>
      <c r="AA1003" s="15">
        <v>2000</v>
      </c>
      <c r="AB1003" s="206"/>
      <c r="AC1003" s="15"/>
      <c r="AD1003" s="206"/>
      <c r="AE1003" s="15"/>
      <c r="AF1003" s="244"/>
      <c r="AG1003" s="15"/>
      <c r="AH1003" s="15">
        <f t="shared" si="148"/>
        <v>2000</v>
      </c>
      <c r="AI1003" s="22">
        <f t="shared" si="149"/>
        <v>0</v>
      </c>
      <c r="AJ1003" s="22">
        <f t="shared" si="150"/>
        <v>0</v>
      </c>
    </row>
    <row r="1004" spans="1:37" s="165" customFormat="1" hidden="1">
      <c r="A1004" s="165" t="s">
        <v>320</v>
      </c>
      <c r="B1004" s="13">
        <v>43509</v>
      </c>
      <c r="C1004" s="13" t="s">
        <v>23</v>
      </c>
      <c r="D1004" s="165" t="s">
        <v>187</v>
      </c>
      <c r="E1004" s="198" t="s">
        <v>188</v>
      </c>
      <c r="F1004" s="165" t="str">
        <f t="shared" si="146"/>
        <v>LARG_16.18_200_NL2018</v>
      </c>
      <c r="G1004" s="165" t="s">
        <v>70</v>
      </c>
      <c r="H1004" s="12"/>
      <c r="I1004" s="12" t="s">
        <v>35</v>
      </c>
      <c r="J1004" s="14">
        <v>200</v>
      </c>
      <c r="K1004" s="15" t="s">
        <v>28</v>
      </c>
      <c r="L1004" s="15"/>
      <c r="M1004" s="16">
        <f t="shared" si="147"/>
        <v>0</v>
      </c>
      <c r="N1004" s="32">
        <f>10000-10000</f>
        <v>0</v>
      </c>
      <c r="O1004" s="15">
        <v>5500</v>
      </c>
      <c r="P1004" s="15">
        <f t="shared" si="153"/>
        <v>0</v>
      </c>
      <c r="Q1004" s="15" t="str">
        <f t="shared" si="152"/>
        <v>Canceled</v>
      </c>
      <c r="R1004" s="18" t="s">
        <v>71</v>
      </c>
      <c r="S1004" s="19"/>
      <c r="T1004" s="20" t="str">
        <f>IFERROR(VLOOKUP(S1004,'Date Converter'!$A$4:$C$368,3,0),"")</f>
        <v/>
      </c>
      <c r="U1004" s="21" t="str">
        <f t="shared" si="151"/>
        <v/>
      </c>
      <c r="V1004" s="20" t="s">
        <v>2358</v>
      </c>
      <c r="W1004" s="18"/>
      <c r="X1004" s="18"/>
      <c r="Y1004" s="15"/>
      <c r="Z1004" s="206"/>
      <c r="AA1004" s="15">
        <v>0</v>
      </c>
      <c r="AB1004" s="206"/>
      <c r="AC1004" s="15"/>
      <c r="AD1004" s="206"/>
      <c r="AE1004" s="15"/>
      <c r="AF1004" s="244"/>
      <c r="AG1004" s="15"/>
      <c r="AH1004" s="15">
        <f t="shared" si="148"/>
        <v>0</v>
      </c>
      <c r="AI1004" s="22">
        <f t="shared" si="149"/>
        <v>0</v>
      </c>
      <c r="AJ1004" s="22">
        <f t="shared" si="150"/>
        <v>0</v>
      </c>
    </row>
    <row r="1005" spans="1:37" s="165" customFormat="1" hidden="1">
      <c r="A1005" s="165" t="s">
        <v>320</v>
      </c>
      <c r="B1005" s="13">
        <v>43587</v>
      </c>
      <c r="C1005" s="13" t="s">
        <v>23</v>
      </c>
      <c r="D1005" s="165" t="s">
        <v>187</v>
      </c>
      <c r="E1005" s="198" t="s">
        <v>188</v>
      </c>
      <c r="F1005" s="165" t="str">
        <f t="shared" si="146"/>
        <v>DALI_14.16_300_NL2018</v>
      </c>
      <c r="G1005" s="165" t="s">
        <v>46</v>
      </c>
      <c r="H1005" s="12"/>
      <c r="I1005" s="12" t="s">
        <v>47</v>
      </c>
      <c r="J1005" s="14">
        <v>300</v>
      </c>
      <c r="K1005" s="15" t="s">
        <v>28</v>
      </c>
      <c r="L1005" s="15"/>
      <c r="M1005" s="16">
        <f t="shared" si="147"/>
        <v>28</v>
      </c>
      <c r="N1005" s="17">
        <f>4800+3600</f>
        <v>8400</v>
      </c>
      <c r="O1005" s="15">
        <v>5400</v>
      </c>
      <c r="P1005" s="15">
        <f t="shared" si="153"/>
        <v>45360000</v>
      </c>
      <c r="Q1005" s="15" t="str">
        <f t="shared" si="152"/>
        <v>Done</v>
      </c>
      <c r="R1005" s="18" t="s">
        <v>44</v>
      </c>
      <c r="S1005" s="23">
        <v>43554</v>
      </c>
      <c r="T1005" s="20">
        <f>IFERROR(VLOOKUP(S1005,'Date Converter'!$A$4:$C$368,3,0),"")</f>
        <v>43589</v>
      </c>
      <c r="U1005" s="21">
        <f t="shared" si="151"/>
        <v>43589</v>
      </c>
      <c r="V1005" s="20"/>
      <c r="W1005" s="18"/>
      <c r="X1005" s="18"/>
      <c r="Y1005" s="15"/>
      <c r="Z1005" s="206">
        <v>43603</v>
      </c>
      <c r="AA1005" s="15">
        <v>3000</v>
      </c>
      <c r="AB1005" s="206">
        <v>43621</v>
      </c>
      <c r="AC1005" s="15">
        <v>5400</v>
      </c>
      <c r="AD1005" s="206"/>
      <c r="AE1005" s="15"/>
      <c r="AF1005" s="244"/>
      <c r="AG1005" s="15"/>
      <c r="AH1005" s="15">
        <f t="shared" si="148"/>
        <v>8400</v>
      </c>
      <c r="AI1005" s="22">
        <f t="shared" si="149"/>
        <v>0</v>
      </c>
      <c r="AJ1005" s="22">
        <f t="shared" si="150"/>
        <v>0</v>
      </c>
    </row>
    <row r="1006" spans="1:37" s="165" customFormat="1" hidden="1">
      <c r="A1006" s="165" t="s">
        <v>320</v>
      </c>
      <c r="B1006" s="13">
        <v>43619</v>
      </c>
      <c r="C1006" s="13" t="s">
        <v>23</v>
      </c>
      <c r="D1006" s="165" t="s">
        <v>187</v>
      </c>
      <c r="E1006" s="198" t="s">
        <v>188</v>
      </c>
      <c r="F1006" s="165" t="str">
        <f t="shared" si="146"/>
        <v>DALI_14.16_300_NL2018</v>
      </c>
      <c r="G1006" s="165" t="s">
        <v>46</v>
      </c>
      <c r="H1006" s="12"/>
      <c r="I1006" s="12" t="s">
        <v>47</v>
      </c>
      <c r="J1006" s="14">
        <v>300</v>
      </c>
      <c r="K1006" s="15" t="s">
        <v>28</v>
      </c>
      <c r="L1006" s="15"/>
      <c r="M1006" s="16">
        <f t="shared" si="147"/>
        <v>21</v>
      </c>
      <c r="N1006" s="17">
        <f>5100+1200</f>
        <v>6300</v>
      </c>
      <c r="O1006" s="15">
        <v>5400</v>
      </c>
      <c r="P1006" s="15">
        <f t="shared" si="153"/>
        <v>34020000</v>
      </c>
      <c r="Q1006" s="15" t="str">
        <f t="shared" si="152"/>
        <v>Done</v>
      </c>
      <c r="R1006" s="18" t="s">
        <v>44</v>
      </c>
      <c r="S1006" s="23">
        <v>43572</v>
      </c>
      <c r="T1006" s="20">
        <f>IFERROR(VLOOKUP(S1006,'Date Converter'!$A$4:$C$368,3,0),"")</f>
        <v>43606</v>
      </c>
      <c r="U1006" s="21">
        <f t="shared" si="151"/>
        <v>43606</v>
      </c>
      <c r="V1006" s="20"/>
      <c r="W1006" s="18"/>
      <c r="X1006" s="18"/>
      <c r="Y1006" s="15"/>
      <c r="Z1006" s="206">
        <v>43621</v>
      </c>
      <c r="AA1006" s="15">
        <v>5100</v>
      </c>
      <c r="AB1006" s="206">
        <v>43624</v>
      </c>
      <c r="AC1006" s="15">
        <v>1200</v>
      </c>
      <c r="AD1006" s="206"/>
      <c r="AE1006" s="15"/>
      <c r="AF1006" s="244"/>
      <c r="AG1006" s="15"/>
      <c r="AH1006" s="15">
        <f t="shared" si="148"/>
        <v>6300</v>
      </c>
      <c r="AI1006" s="22">
        <f t="shared" si="149"/>
        <v>0</v>
      </c>
      <c r="AJ1006" s="22">
        <f t="shared" si="150"/>
        <v>0</v>
      </c>
    </row>
    <row r="1007" spans="1:37" s="165" customFormat="1" hidden="1">
      <c r="A1007" s="165" t="s">
        <v>320</v>
      </c>
      <c r="B1007" s="13">
        <v>43509</v>
      </c>
      <c r="C1007" s="13" t="s">
        <v>23</v>
      </c>
      <c r="D1007" s="165" t="s">
        <v>187</v>
      </c>
      <c r="E1007" s="165" t="s">
        <v>188</v>
      </c>
      <c r="F1007" s="165" t="str">
        <f t="shared" si="146"/>
        <v>DALI_14.16_300_NL2018</v>
      </c>
      <c r="G1007" s="165" t="s">
        <v>46</v>
      </c>
      <c r="H1007" s="12"/>
      <c r="I1007" s="12" t="s">
        <v>47</v>
      </c>
      <c r="J1007" s="14">
        <v>300</v>
      </c>
      <c r="K1007" s="15" t="s">
        <v>28</v>
      </c>
      <c r="L1007" s="15"/>
      <c r="M1007" s="16">
        <f t="shared" si="147"/>
        <v>101.66666666666667</v>
      </c>
      <c r="N1007" s="32">
        <f>32700-2100-100</f>
        <v>30500</v>
      </c>
      <c r="O1007" s="15">
        <v>5500</v>
      </c>
      <c r="P1007" s="15">
        <f t="shared" si="153"/>
        <v>167750000</v>
      </c>
      <c r="Q1007" s="15" t="str">
        <f t="shared" si="152"/>
        <v>Done</v>
      </c>
      <c r="R1007" s="18" t="s">
        <v>44</v>
      </c>
      <c r="S1007" s="23">
        <v>43511</v>
      </c>
      <c r="T1007" s="20">
        <f>IFERROR(VLOOKUP(S1007,'Date Converter'!$A$4:$C$368,3,0),"")</f>
        <v>43544</v>
      </c>
      <c r="U1007" s="21">
        <f t="shared" si="151"/>
        <v>43544</v>
      </c>
      <c r="V1007" s="12" t="s">
        <v>32</v>
      </c>
      <c r="W1007" s="18" t="s">
        <v>48</v>
      </c>
      <c r="X1007" s="18">
        <v>43541</v>
      </c>
      <c r="Y1007" s="15"/>
      <c r="Z1007" s="206">
        <v>43547</v>
      </c>
      <c r="AA1007" s="15">
        <v>12000</v>
      </c>
      <c r="AB1007" s="206">
        <v>43560</v>
      </c>
      <c r="AC1007" s="15">
        <v>8100</v>
      </c>
      <c r="AD1007" s="206">
        <v>43573</v>
      </c>
      <c r="AE1007" s="15">
        <v>10400</v>
      </c>
      <c r="AF1007" s="244"/>
      <c r="AG1007" s="15"/>
      <c r="AH1007" s="15">
        <f t="shared" si="148"/>
        <v>30500</v>
      </c>
      <c r="AI1007" s="22">
        <f t="shared" si="149"/>
        <v>0</v>
      </c>
      <c r="AJ1007" s="22">
        <f t="shared" si="150"/>
        <v>0</v>
      </c>
    </row>
    <row r="1008" spans="1:37" s="165" customFormat="1" hidden="1">
      <c r="A1008" s="165" t="s">
        <v>320</v>
      </c>
      <c r="B1008" s="13">
        <v>43509</v>
      </c>
      <c r="C1008" s="13" t="s">
        <v>23</v>
      </c>
      <c r="D1008" s="165" t="s">
        <v>187</v>
      </c>
      <c r="E1008" s="165" t="s">
        <v>188</v>
      </c>
      <c r="F1008" s="165" t="str">
        <f t="shared" si="146"/>
        <v>DALI_16.18_200_NL2018</v>
      </c>
      <c r="G1008" s="165" t="s">
        <v>46</v>
      </c>
      <c r="H1008" s="12"/>
      <c r="I1008" s="12" t="s">
        <v>35</v>
      </c>
      <c r="J1008" s="14">
        <v>200</v>
      </c>
      <c r="K1008" s="15" t="s">
        <v>28</v>
      </c>
      <c r="L1008" s="15"/>
      <c r="M1008" s="16">
        <f t="shared" si="147"/>
        <v>25</v>
      </c>
      <c r="N1008" s="32">
        <v>5000</v>
      </c>
      <c r="O1008" s="15">
        <v>6700</v>
      </c>
      <c r="P1008" s="15">
        <f t="shared" si="153"/>
        <v>33500000</v>
      </c>
      <c r="Q1008" s="15" t="str">
        <f t="shared" si="152"/>
        <v>Done</v>
      </c>
      <c r="R1008" s="18" t="s">
        <v>44</v>
      </c>
      <c r="S1008" s="23">
        <v>43511</v>
      </c>
      <c r="T1008" s="20">
        <f>IFERROR(VLOOKUP(S1008,'Date Converter'!$A$4:$C$368,3,0),"")</f>
        <v>43544</v>
      </c>
      <c r="U1008" s="21">
        <f t="shared" si="151"/>
        <v>43544</v>
      </c>
      <c r="V1008" s="12" t="s">
        <v>32</v>
      </c>
      <c r="W1008" s="18" t="s">
        <v>48</v>
      </c>
      <c r="X1008" s="18">
        <v>43541</v>
      </c>
      <c r="Y1008" s="15"/>
      <c r="Z1008" s="206">
        <v>43560</v>
      </c>
      <c r="AA1008" s="15">
        <v>5000</v>
      </c>
      <c r="AB1008" s="206"/>
      <c r="AC1008" s="15"/>
      <c r="AD1008" s="206"/>
      <c r="AE1008" s="15"/>
      <c r="AF1008" s="244"/>
      <c r="AG1008" s="15"/>
      <c r="AH1008" s="15">
        <f t="shared" si="148"/>
        <v>5000</v>
      </c>
      <c r="AI1008" s="22">
        <f t="shared" si="149"/>
        <v>0</v>
      </c>
      <c r="AJ1008" s="22">
        <f t="shared" si="150"/>
        <v>0</v>
      </c>
    </row>
    <row r="1009" spans="1:37" s="165" customFormat="1" hidden="1">
      <c r="A1009" s="165" t="s">
        <v>320</v>
      </c>
      <c r="B1009" s="13">
        <v>43509</v>
      </c>
      <c r="C1009" s="13" t="s">
        <v>23</v>
      </c>
      <c r="D1009" s="165" t="s">
        <v>187</v>
      </c>
      <c r="E1009" s="165" t="s">
        <v>188</v>
      </c>
      <c r="F1009" s="165" t="str">
        <f t="shared" si="146"/>
        <v>DALI_14.16_300_NL2018</v>
      </c>
      <c r="G1009" s="165" t="s">
        <v>46</v>
      </c>
      <c r="H1009" s="12"/>
      <c r="I1009" s="12" t="s">
        <v>47</v>
      </c>
      <c r="J1009" s="14">
        <v>300</v>
      </c>
      <c r="K1009" s="15" t="s">
        <v>28</v>
      </c>
      <c r="L1009" s="15"/>
      <c r="M1009" s="16">
        <f t="shared" si="147"/>
        <v>36</v>
      </c>
      <c r="N1009" s="32">
        <v>10800</v>
      </c>
      <c r="O1009" s="15">
        <v>5400</v>
      </c>
      <c r="P1009" s="15">
        <f t="shared" si="153"/>
        <v>58320000</v>
      </c>
      <c r="Q1009" s="15" t="str">
        <f t="shared" si="152"/>
        <v>Done</v>
      </c>
      <c r="R1009" s="18" t="s">
        <v>44</v>
      </c>
      <c r="S1009" s="23">
        <v>43539</v>
      </c>
      <c r="T1009" s="20">
        <f>IFERROR(VLOOKUP(S1009,'Date Converter'!$A$4:$C$368,3,0),"")</f>
        <v>43574</v>
      </c>
      <c r="U1009" s="21">
        <f t="shared" si="151"/>
        <v>43574</v>
      </c>
      <c r="V1009" s="12" t="s">
        <v>57</v>
      </c>
      <c r="W1009" s="18"/>
      <c r="X1009" s="18"/>
      <c r="Y1009" s="15"/>
      <c r="Z1009" s="206">
        <v>43591</v>
      </c>
      <c r="AA1009" s="15">
        <v>10800</v>
      </c>
      <c r="AB1009" s="206"/>
      <c r="AC1009" s="15"/>
      <c r="AD1009" s="206"/>
      <c r="AE1009" s="15"/>
      <c r="AF1009" s="244"/>
      <c r="AG1009" s="15"/>
      <c r="AH1009" s="15">
        <f t="shared" si="148"/>
        <v>10800</v>
      </c>
      <c r="AI1009" s="22">
        <f t="shared" si="149"/>
        <v>0</v>
      </c>
      <c r="AJ1009" s="22">
        <f t="shared" si="150"/>
        <v>0</v>
      </c>
    </row>
    <row r="1010" spans="1:37" hidden="1">
      <c r="A1010" s="165" t="s">
        <v>320</v>
      </c>
      <c r="B1010" s="13">
        <v>43630</v>
      </c>
      <c r="C1010" s="13" t="s">
        <v>23</v>
      </c>
      <c r="D1010" s="165" t="s">
        <v>187</v>
      </c>
      <c r="E1010" s="198" t="s">
        <v>188</v>
      </c>
      <c r="F1010" s="165" t="str">
        <f t="shared" si="146"/>
        <v>DALI_14.16_300_NL2018</v>
      </c>
      <c r="G1010" s="165" t="s">
        <v>46</v>
      </c>
      <c r="I1010" s="12" t="s">
        <v>47</v>
      </c>
      <c r="J1010" s="14">
        <v>300</v>
      </c>
      <c r="K1010" s="15" t="s">
        <v>28</v>
      </c>
      <c r="M1010" s="16">
        <f t="shared" si="147"/>
        <v>32</v>
      </c>
      <c r="N1010" s="32">
        <f>13800-4200</f>
        <v>9600</v>
      </c>
      <c r="O1010" s="15">
        <v>5600</v>
      </c>
      <c r="P1010" s="15">
        <f t="shared" si="153"/>
        <v>53760000</v>
      </c>
      <c r="Q1010" s="15" t="str">
        <f t="shared" si="152"/>
        <v/>
      </c>
      <c r="R1010" s="18" t="s">
        <v>31</v>
      </c>
      <c r="S1010" s="23">
        <v>43631</v>
      </c>
      <c r="T1010" s="20">
        <f>IFERROR(VLOOKUP(S1010,'Date Converter'!$A$4:$C$368,3,0),"")</f>
        <v>43663</v>
      </c>
      <c r="U1010" s="21">
        <f t="shared" si="151"/>
        <v>43663</v>
      </c>
      <c r="V1010" s="20"/>
      <c r="Y1010" s="15"/>
      <c r="AA1010" s="15"/>
      <c r="AB1010" s="206"/>
      <c r="AC1010" s="15"/>
      <c r="AD1010" s="206"/>
      <c r="AE1010" s="15"/>
      <c r="AF1010" s="244"/>
      <c r="AG1010" s="15"/>
      <c r="AH1010" s="15">
        <f t="shared" si="148"/>
        <v>0</v>
      </c>
      <c r="AI1010" s="22">
        <f t="shared" si="149"/>
        <v>9600</v>
      </c>
      <c r="AJ1010" s="22">
        <f t="shared" si="150"/>
        <v>53760000</v>
      </c>
      <c r="AK1010" s="165"/>
    </row>
    <row r="1011" spans="1:37" hidden="1">
      <c r="A1011" s="165" t="s">
        <v>320</v>
      </c>
      <c r="B1011" s="13">
        <v>43629</v>
      </c>
      <c r="C1011" s="13" t="s">
        <v>23</v>
      </c>
      <c r="D1011" s="165" t="s">
        <v>187</v>
      </c>
      <c r="E1011" s="198" t="s">
        <v>188</v>
      </c>
      <c r="F1011" s="165" t="str">
        <f t="shared" si="146"/>
        <v>DALI_14.16_300_NL2018</v>
      </c>
      <c r="G1011" s="165" t="s">
        <v>46</v>
      </c>
      <c r="I1011" s="12" t="s">
        <v>47</v>
      </c>
      <c r="J1011" s="14">
        <v>300</v>
      </c>
      <c r="K1011" s="15" t="s">
        <v>28</v>
      </c>
      <c r="M1011" s="16">
        <f t="shared" si="147"/>
        <v>50</v>
      </c>
      <c r="N1011" s="32">
        <v>15000</v>
      </c>
      <c r="O1011" s="15">
        <v>5500</v>
      </c>
      <c r="P1011" s="15">
        <f t="shared" si="153"/>
        <v>82500000</v>
      </c>
      <c r="Q1011" s="15" t="str">
        <f t="shared" si="152"/>
        <v>Done</v>
      </c>
      <c r="R1011" s="18" t="s">
        <v>44</v>
      </c>
      <c r="S1011" s="23">
        <v>43615</v>
      </c>
      <c r="T1011" s="20">
        <f>IFERROR(VLOOKUP(S1011,'Date Converter'!$A$4:$C$368,3,0),"")</f>
        <v>43648</v>
      </c>
      <c r="U1011" s="21">
        <f t="shared" si="151"/>
        <v>43648</v>
      </c>
      <c r="V1011" s="20"/>
      <c r="Y1011" s="15"/>
      <c r="Z1011" s="206">
        <v>43572</v>
      </c>
      <c r="AA1011" s="15">
        <v>15000</v>
      </c>
      <c r="AB1011" s="206"/>
      <c r="AC1011" s="15"/>
      <c r="AD1011" s="206"/>
      <c r="AE1011" s="15"/>
      <c r="AF1011" s="244"/>
      <c r="AG1011" s="15"/>
      <c r="AH1011" s="15">
        <f t="shared" si="148"/>
        <v>15000</v>
      </c>
      <c r="AI1011" s="22">
        <f t="shared" si="149"/>
        <v>0</v>
      </c>
      <c r="AJ1011" s="22">
        <f t="shared" si="150"/>
        <v>0</v>
      </c>
    </row>
    <row r="1012" spans="1:37" hidden="1">
      <c r="A1012" s="165" t="s">
        <v>320</v>
      </c>
      <c r="B1012" s="13">
        <v>43592</v>
      </c>
      <c r="C1012" s="13" t="s">
        <v>23</v>
      </c>
      <c r="D1012" s="165" t="s">
        <v>187</v>
      </c>
      <c r="E1012" s="198" t="s">
        <v>188</v>
      </c>
      <c r="F1012" s="165" t="str">
        <f t="shared" si="146"/>
        <v>DALI_14.16_300_NL2018</v>
      </c>
      <c r="G1012" s="165" t="s">
        <v>46</v>
      </c>
      <c r="I1012" s="12" t="s">
        <v>47</v>
      </c>
      <c r="J1012" s="14">
        <v>300</v>
      </c>
      <c r="K1012" s="15" t="s">
        <v>28</v>
      </c>
      <c r="M1012" s="16">
        <f t="shared" si="147"/>
        <v>34</v>
      </c>
      <c r="N1012" s="32">
        <v>10200</v>
      </c>
      <c r="O1012" s="15">
        <v>5400</v>
      </c>
      <c r="P1012" s="15">
        <f t="shared" si="153"/>
        <v>55080000</v>
      </c>
      <c r="Q1012" s="15" t="str">
        <f t="shared" si="152"/>
        <v>Done</v>
      </c>
      <c r="R1012" s="18" t="s">
        <v>44</v>
      </c>
      <c r="S1012" s="23">
        <v>43572</v>
      </c>
      <c r="T1012" s="20">
        <f>IFERROR(VLOOKUP(S1012,'Date Converter'!$A$4:$C$368,3,0),"")</f>
        <v>43606</v>
      </c>
      <c r="U1012" s="21">
        <f t="shared" si="151"/>
        <v>43606</v>
      </c>
      <c r="V1012" s="20"/>
      <c r="Y1012" s="15"/>
      <c r="Z1012" s="206">
        <v>43603</v>
      </c>
      <c r="AA1012" s="15">
        <v>10200</v>
      </c>
      <c r="AB1012" s="206"/>
      <c r="AC1012" s="15"/>
      <c r="AD1012" s="206"/>
      <c r="AE1012" s="15"/>
      <c r="AF1012" s="244"/>
      <c r="AG1012" s="15"/>
      <c r="AH1012" s="15">
        <f t="shared" si="148"/>
        <v>10200</v>
      </c>
      <c r="AI1012" s="22">
        <f t="shared" si="149"/>
        <v>0</v>
      </c>
      <c r="AJ1012" s="22">
        <f t="shared" si="150"/>
        <v>0</v>
      </c>
      <c r="AK1012" s="165"/>
    </row>
    <row r="1013" spans="1:37" hidden="1">
      <c r="A1013" s="183" t="s">
        <v>458</v>
      </c>
      <c r="B1013" s="188">
        <v>43509</v>
      </c>
      <c r="C1013" s="266" t="s">
        <v>23</v>
      </c>
      <c r="D1013" s="258" t="s">
        <v>187</v>
      </c>
      <c r="E1013" s="201" t="s">
        <v>188</v>
      </c>
      <c r="F1013" s="183" t="str">
        <f t="shared" si="146"/>
        <v>DALI_20.22_125_NL2018</v>
      </c>
      <c r="G1013" s="183" t="s">
        <v>46</v>
      </c>
      <c r="H1013" s="184"/>
      <c r="I1013" s="184" t="s">
        <v>74</v>
      </c>
      <c r="J1013" s="186">
        <v>125</v>
      </c>
      <c r="K1013" s="185" t="s">
        <v>28</v>
      </c>
      <c r="L1013" s="185"/>
      <c r="M1013" s="187">
        <f t="shared" si="147"/>
        <v>120</v>
      </c>
      <c r="N1013" s="185">
        <f>30000-15000</f>
        <v>15000</v>
      </c>
      <c r="O1013" s="185">
        <v>14200</v>
      </c>
      <c r="P1013" s="185">
        <f t="shared" si="153"/>
        <v>213000000</v>
      </c>
      <c r="Q1013" s="15" t="str">
        <f t="shared" si="152"/>
        <v/>
      </c>
      <c r="R1013" s="189" t="s">
        <v>29</v>
      </c>
      <c r="S1013" s="190">
        <v>43709</v>
      </c>
      <c r="T1013" s="20">
        <f>IFERROR(VLOOKUP(S1013,'Date Converter'!$A$4:$C$368,3,0),"")</f>
        <v>43737</v>
      </c>
      <c r="U1013" s="21">
        <f t="shared" si="151"/>
        <v>43737</v>
      </c>
      <c r="V1013" s="185" t="s">
        <v>51</v>
      </c>
      <c r="W1013" s="189"/>
      <c r="X1013" s="189"/>
      <c r="Y1013" s="185"/>
      <c r="AA1013" s="185">
        <v>0</v>
      </c>
      <c r="AB1013" s="206"/>
      <c r="AC1013" s="185"/>
      <c r="AD1013" s="206"/>
      <c r="AE1013" s="185"/>
      <c r="AF1013" s="246"/>
      <c r="AG1013" s="185"/>
      <c r="AH1013" s="15">
        <f t="shared" si="148"/>
        <v>0</v>
      </c>
      <c r="AI1013" s="22">
        <f t="shared" si="149"/>
        <v>15000</v>
      </c>
      <c r="AJ1013" s="22">
        <f t="shared" si="150"/>
        <v>213000000</v>
      </c>
      <c r="AK1013" s="183"/>
    </row>
    <row r="1014" spans="1:37" hidden="1">
      <c r="A1014" s="165" t="s">
        <v>320</v>
      </c>
      <c r="B1014" s="13">
        <v>43629</v>
      </c>
      <c r="C1014" s="13" t="s">
        <v>23</v>
      </c>
      <c r="D1014" s="165" t="s">
        <v>187</v>
      </c>
      <c r="E1014" s="198" t="s">
        <v>188</v>
      </c>
      <c r="F1014" s="165" t="str">
        <f t="shared" ref="F1014:F1077" si="154">SUBSTITUTE(LEFT(G1014,4)&amp;"_"&amp;H1014&amp;"_"&amp;I1014&amp;"_"&amp;J1014&amp;"_"&amp;K1014,"__","_")</f>
        <v>DALI_14.16_300_NL2018</v>
      </c>
      <c r="G1014" s="165" t="s">
        <v>46</v>
      </c>
      <c r="I1014" s="12" t="s">
        <v>47</v>
      </c>
      <c r="J1014" s="14">
        <v>300</v>
      </c>
      <c r="K1014" s="15" t="s">
        <v>28</v>
      </c>
      <c r="M1014" s="16">
        <f t="shared" ref="M1014:M1077" si="155">+N1014/J1014</f>
        <v>34</v>
      </c>
      <c r="N1014" s="32">
        <v>10200</v>
      </c>
      <c r="O1014" s="15">
        <v>5500</v>
      </c>
      <c r="P1014" s="15">
        <f t="shared" si="153"/>
        <v>56100000</v>
      </c>
      <c r="Q1014" s="15" t="str">
        <f t="shared" si="152"/>
        <v/>
      </c>
      <c r="R1014" s="18" t="s">
        <v>63</v>
      </c>
      <c r="S1014" s="19">
        <v>43615</v>
      </c>
      <c r="T1014" s="20">
        <f>IFERROR(VLOOKUP(S1014,'Date Converter'!$A$4:$C$368,3,0),"")</f>
        <v>43648</v>
      </c>
      <c r="U1014" s="21">
        <f t="shared" si="151"/>
        <v>43648</v>
      </c>
      <c r="V1014" s="20"/>
      <c r="Y1014" s="15"/>
      <c r="AA1014" s="15"/>
      <c r="AB1014" s="206"/>
      <c r="AC1014" s="15"/>
      <c r="AD1014" s="206"/>
      <c r="AE1014" s="15"/>
      <c r="AF1014" s="244"/>
      <c r="AG1014" s="15"/>
      <c r="AH1014" s="15">
        <f t="shared" ref="AH1014:AH1077" si="156">+AA1014+AC1014+AE1014+AG1014</f>
        <v>0</v>
      </c>
      <c r="AI1014" s="22">
        <f t="shared" ref="AI1014:AI1077" si="157">+N1014-AH1014</f>
        <v>10200</v>
      </c>
      <c r="AJ1014" s="22">
        <f t="shared" ref="AJ1014:AJ1077" si="158">+AI1014*O1014</f>
        <v>56100000</v>
      </c>
      <c r="AK1014" s="165"/>
    </row>
    <row r="1015" spans="1:37" hidden="1">
      <c r="A1015" s="165" t="s">
        <v>320</v>
      </c>
      <c r="B1015" s="13">
        <v>43509</v>
      </c>
      <c r="C1015" s="13" t="s">
        <v>23</v>
      </c>
      <c r="D1015" s="165" t="s">
        <v>187</v>
      </c>
      <c r="E1015" s="165" t="s">
        <v>188</v>
      </c>
      <c r="F1015" s="165" t="str">
        <f t="shared" si="154"/>
        <v>CONC_16.18_200_NL2018</v>
      </c>
      <c r="G1015" s="165" t="s">
        <v>40</v>
      </c>
      <c r="I1015" s="12" t="s">
        <v>35</v>
      </c>
      <c r="J1015" s="14">
        <v>200</v>
      </c>
      <c r="K1015" s="15" t="s">
        <v>28</v>
      </c>
      <c r="M1015" s="16">
        <f t="shared" si="155"/>
        <v>50</v>
      </c>
      <c r="N1015" s="17">
        <v>10000</v>
      </c>
      <c r="O1015" s="15">
        <v>5000</v>
      </c>
      <c r="P1015" s="15">
        <f t="shared" si="153"/>
        <v>50000000</v>
      </c>
      <c r="Q1015" s="15" t="str">
        <f t="shared" si="152"/>
        <v>Done</v>
      </c>
      <c r="R1015" s="18" t="s">
        <v>44</v>
      </c>
      <c r="S1015" s="23">
        <v>43539</v>
      </c>
      <c r="T1015" s="20">
        <f>IFERROR(VLOOKUP(S1015,'Date Converter'!$A$4:$C$368,3,0),"")</f>
        <v>43574</v>
      </c>
      <c r="U1015" s="21">
        <f t="shared" si="151"/>
        <v>43574</v>
      </c>
      <c r="V1015" s="12" t="s">
        <v>57</v>
      </c>
      <c r="W1015" s="18" t="s">
        <v>86</v>
      </c>
      <c r="X1015" s="18">
        <v>43569</v>
      </c>
      <c r="Y1015" s="15"/>
      <c r="Z1015" s="206">
        <v>43588</v>
      </c>
      <c r="AA1015" s="15">
        <v>10000</v>
      </c>
      <c r="AB1015" s="206"/>
      <c r="AC1015" s="15"/>
      <c r="AD1015" s="206"/>
      <c r="AE1015" s="15"/>
      <c r="AF1015" s="244"/>
      <c r="AG1015" s="15"/>
      <c r="AH1015" s="15">
        <f t="shared" si="156"/>
        <v>10000</v>
      </c>
      <c r="AI1015" s="22">
        <f t="shared" si="157"/>
        <v>0</v>
      </c>
      <c r="AJ1015" s="22">
        <f t="shared" si="158"/>
        <v>0</v>
      </c>
      <c r="AK1015" s="165"/>
    </row>
    <row r="1016" spans="1:37" hidden="1">
      <c r="A1016" s="183" t="s">
        <v>458</v>
      </c>
      <c r="B1016" s="188">
        <v>43509</v>
      </c>
      <c r="C1016" s="266" t="s">
        <v>23</v>
      </c>
      <c r="D1016" s="258" t="s">
        <v>187</v>
      </c>
      <c r="E1016" s="201" t="s">
        <v>188</v>
      </c>
      <c r="F1016" s="183" t="str">
        <f t="shared" si="154"/>
        <v>CONC_18.20_150_NL2018</v>
      </c>
      <c r="G1016" s="183" t="s">
        <v>40</v>
      </c>
      <c r="H1016" s="184"/>
      <c r="I1016" s="184" t="s">
        <v>27</v>
      </c>
      <c r="J1016" s="186">
        <v>150</v>
      </c>
      <c r="K1016" s="185" t="s">
        <v>28</v>
      </c>
      <c r="L1016" s="185"/>
      <c r="M1016" s="187">
        <f t="shared" si="155"/>
        <v>267</v>
      </c>
      <c r="N1016" s="185">
        <v>40050</v>
      </c>
      <c r="O1016" s="185">
        <v>7200</v>
      </c>
      <c r="P1016" s="185">
        <f t="shared" si="153"/>
        <v>288360000</v>
      </c>
      <c r="Q1016" s="15" t="str">
        <f t="shared" si="152"/>
        <v/>
      </c>
      <c r="R1016" s="189" t="s">
        <v>29</v>
      </c>
      <c r="S1016" s="190">
        <v>43709</v>
      </c>
      <c r="T1016" s="20">
        <f>IFERROR(VLOOKUP(S1016,'Date Converter'!$A$4:$C$368,3,0),"")</f>
        <v>43737</v>
      </c>
      <c r="U1016" s="21">
        <f t="shared" si="151"/>
        <v>43737</v>
      </c>
      <c r="V1016" s="185" t="s">
        <v>51</v>
      </c>
      <c r="W1016" s="189"/>
      <c r="X1016" s="189"/>
      <c r="Y1016" s="185"/>
      <c r="AA1016" s="185">
        <v>0</v>
      </c>
      <c r="AB1016" s="206"/>
      <c r="AC1016" s="185"/>
      <c r="AD1016" s="206"/>
      <c r="AE1016" s="185"/>
      <c r="AF1016" s="246"/>
      <c r="AG1016" s="185"/>
      <c r="AH1016" s="15">
        <f t="shared" si="156"/>
        <v>0</v>
      </c>
      <c r="AI1016" s="22">
        <f t="shared" si="157"/>
        <v>40050</v>
      </c>
      <c r="AJ1016" s="22">
        <f t="shared" si="158"/>
        <v>288360000</v>
      </c>
      <c r="AK1016" s="183"/>
    </row>
    <row r="1017" spans="1:37" hidden="1">
      <c r="A1017" s="183" t="s">
        <v>458</v>
      </c>
      <c r="B1017" s="188">
        <v>43509</v>
      </c>
      <c r="C1017" s="266" t="s">
        <v>23</v>
      </c>
      <c r="D1017" s="258" t="s">
        <v>187</v>
      </c>
      <c r="E1017" s="201" t="s">
        <v>188</v>
      </c>
      <c r="F1017" s="183" t="str">
        <f t="shared" si="154"/>
        <v>CONC_20.22_125_NL2018</v>
      </c>
      <c r="G1017" s="183" t="s">
        <v>40</v>
      </c>
      <c r="H1017" s="184"/>
      <c r="I1017" s="184" t="s">
        <v>74</v>
      </c>
      <c r="J1017" s="186">
        <v>125</v>
      </c>
      <c r="K1017" s="185" t="s">
        <v>28</v>
      </c>
      <c r="L1017" s="185"/>
      <c r="M1017" s="187">
        <f t="shared" si="155"/>
        <v>200</v>
      </c>
      <c r="N1017" s="185">
        <v>25000</v>
      </c>
      <c r="O1017" s="185">
        <v>10600</v>
      </c>
      <c r="P1017" s="185">
        <f t="shared" si="153"/>
        <v>265000000</v>
      </c>
      <c r="Q1017" s="15" t="str">
        <f t="shared" si="152"/>
        <v/>
      </c>
      <c r="R1017" s="189" t="s">
        <v>29</v>
      </c>
      <c r="S1017" s="190">
        <v>43709</v>
      </c>
      <c r="T1017" s="20">
        <f>IFERROR(VLOOKUP(S1017,'Date Converter'!$A$4:$C$368,3,0),"")</f>
        <v>43737</v>
      </c>
      <c r="U1017" s="21">
        <f t="shared" si="151"/>
        <v>43737</v>
      </c>
      <c r="V1017" s="185" t="s">
        <v>51</v>
      </c>
      <c r="W1017" s="189"/>
      <c r="X1017" s="189"/>
      <c r="Y1017" s="185"/>
      <c r="AA1017" s="185"/>
      <c r="AB1017" s="206"/>
      <c r="AC1017" s="185"/>
      <c r="AD1017" s="206"/>
      <c r="AE1017" s="185"/>
      <c r="AF1017" s="246"/>
      <c r="AG1017" s="185"/>
      <c r="AH1017" s="15">
        <f t="shared" si="156"/>
        <v>0</v>
      </c>
      <c r="AI1017" s="22">
        <f t="shared" si="157"/>
        <v>25000</v>
      </c>
      <c r="AJ1017" s="22">
        <f t="shared" si="158"/>
        <v>265000000</v>
      </c>
      <c r="AK1017" s="183"/>
    </row>
    <row r="1018" spans="1:37" hidden="1">
      <c r="A1018" s="183" t="s">
        <v>458</v>
      </c>
      <c r="B1018" s="188">
        <v>43509</v>
      </c>
      <c r="C1018" s="266" t="s">
        <v>23</v>
      </c>
      <c r="D1018" s="258" t="s">
        <v>187</v>
      </c>
      <c r="E1018" s="201" t="s">
        <v>188</v>
      </c>
      <c r="F1018" s="183" t="str">
        <f t="shared" si="154"/>
        <v>CONC_22.24_100_NL2018</v>
      </c>
      <c r="G1018" s="183" t="s">
        <v>40</v>
      </c>
      <c r="H1018" s="184"/>
      <c r="I1018" s="184" t="s">
        <v>78</v>
      </c>
      <c r="J1018" s="186">
        <v>100</v>
      </c>
      <c r="K1018" s="185" t="s">
        <v>28</v>
      </c>
      <c r="L1018" s="185"/>
      <c r="M1018" s="187">
        <f t="shared" si="155"/>
        <v>100</v>
      </c>
      <c r="N1018" s="185">
        <v>10000</v>
      </c>
      <c r="O1018" s="185">
        <v>12500</v>
      </c>
      <c r="P1018" s="185">
        <f t="shared" si="153"/>
        <v>125000000</v>
      </c>
      <c r="Q1018" s="15" t="str">
        <f t="shared" si="152"/>
        <v/>
      </c>
      <c r="R1018" s="189" t="s">
        <v>29</v>
      </c>
      <c r="S1018" s="190">
        <v>43709</v>
      </c>
      <c r="T1018" s="20">
        <f>IFERROR(VLOOKUP(S1018,'Date Converter'!$A$4:$C$368,3,0),"")</f>
        <v>43737</v>
      </c>
      <c r="U1018" s="21">
        <f t="shared" si="151"/>
        <v>43737</v>
      </c>
      <c r="V1018" s="185" t="s">
        <v>51</v>
      </c>
      <c r="W1018" s="189"/>
      <c r="X1018" s="189"/>
      <c r="Y1018" s="185"/>
      <c r="AA1018" s="185">
        <v>0</v>
      </c>
      <c r="AB1018" s="206"/>
      <c r="AC1018" s="185"/>
      <c r="AD1018" s="206"/>
      <c r="AE1018" s="185"/>
      <c r="AF1018" s="246"/>
      <c r="AG1018" s="185"/>
      <c r="AH1018" s="15">
        <f t="shared" si="156"/>
        <v>0</v>
      </c>
      <c r="AI1018" s="22">
        <f t="shared" si="157"/>
        <v>10000</v>
      </c>
      <c r="AJ1018" s="22">
        <f t="shared" si="158"/>
        <v>125000000</v>
      </c>
      <c r="AK1018" s="183"/>
    </row>
    <row r="1019" spans="1:37" hidden="1">
      <c r="A1019" s="183" t="s">
        <v>458</v>
      </c>
      <c r="B1019" s="188">
        <v>43509</v>
      </c>
      <c r="C1019" s="266" t="s">
        <v>23</v>
      </c>
      <c r="D1019" s="258" t="s">
        <v>187</v>
      </c>
      <c r="E1019" s="201" t="s">
        <v>188</v>
      </c>
      <c r="F1019" s="183" t="str">
        <f t="shared" si="154"/>
        <v>BACA_20.22_125_CL2019</v>
      </c>
      <c r="G1019" s="183" t="s">
        <v>1583</v>
      </c>
      <c r="H1019" s="184"/>
      <c r="I1019" s="184" t="s">
        <v>74</v>
      </c>
      <c r="J1019" s="186">
        <v>125</v>
      </c>
      <c r="K1019" s="185" t="s">
        <v>1423</v>
      </c>
      <c r="L1019" s="185"/>
      <c r="M1019" s="187">
        <f t="shared" si="155"/>
        <v>80</v>
      </c>
      <c r="N1019" s="185">
        <v>10000</v>
      </c>
      <c r="O1019" s="185">
        <v>13000</v>
      </c>
      <c r="P1019" s="185">
        <f t="shared" si="153"/>
        <v>130000000</v>
      </c>
      <c r="Q1019" s="15" t="str">
        <f t="shared" si="152"/>
        <v/>
      </c>
      <c r="R1019" s="189" t="s">
        <v>29</v>
      </c>
      <c r="S1019" s="190">
        <v>43709</v>
      </c>
      <c r="T1019" s="20">
        <f>IFERROR(VLOOKUP(S1019,'Date Converter'!$A$4:$C$368,3,0),"")</f>
        <v>43737</v>
      </c>
      <c r="U1019" s="21">
        <f t="shared" ref="U1019:U1082" si="159">+T1019</f>
        <v>43737</v>
      </c>
      <c r="V1019" s="185" t="s">
        <v>51</v>
      </c>
      <c r="W1019" s="189"/>
      <c r="X1019" s="189"/>
      <c r="Y1019" s="185"/>
      <c r="AA1019" s="185">
        <v>0</v>
      </c>
      <c r="AB1019" s="206"/>
      <c r="AC1019" s="185"/>
      <c r="AD1019" s="206"/>
      <c r="AE1019" s="185"/>
      <c r="AF1019" s="246"/>
      <c r="AG1019" s="185"/>
      <c r="AH1019" s="15">
        <f t="shared" si="156"/>
        <v>0</v>
      </c>
      <c r="AI1019" s="22">
        <f t="shared" si="157"/>
        <v>10000</v>
      </c>
      <c r="AJ1019" s="22">
        <f t="shared" si="158"/>
        <v>130000000</v>
      </c>
      <c r="AK1019" s="183"/>
    </row>
    <row r="1020" spans="1:37" hidden="1">
      <c r="A1020" s="165" t="s">
        <v>320</v>
      </c>
      <c r="B1020" s="13">
        <v>43509</v>
      </c>
      <c r="C1020" s="13" t="s">
        <v>23</v>
      </c>
      <c r="D1020" t="s">
        <v>187</v>
      </c>
      <c r="E1020" s="165" t="s">
        <v>188</v>
      </c>
      <c r="F1020" s="165" t="str">
        <f t="shared" si="154"/>
        <v>AMAR_16.18_200_NL2018</v>
      </c>
      <c r="G1020" s="165" t="s">
        <v>189</v>
      </c>
      <c r="I1020" s="12" t="s">
        <v>35</v>
      </c>
      <c r="J1020" s="14">
        <v>200</v>
      </c>
      <c r="K1020" s="15" t="s">
        <v>28</v>
      </c>
      <c r="M1020" s="16">
        <f t="shared" si="155"/>
        <v>180</v>
      </c>
      <c r="N1020" s="32">
        <v>36000</v>
      </c>
      <c r="O1020" s="15">
        <v>5000</v>
      </c>
      <c r="P1020" s="15">
        <f t="shared" si="153"/>
        <v>180000000</v>
      </c>
      <c r="Q1020" s="15" t="str">
        <f t="shared" si="152"/>
        <v>Done</v>
      </c>
      <c r="R1020" s="18" t="s">
        <v>44</v>
      </c>
      <c r="S1020" s="23" t="s">
        <v>53</v>
      </c>
      <c r="T1020" s="20">
        <f>IFERROR(VLOOKUP(S1020,'Date Converter'!$A$4:$C$368,3,0),"")</f>
        <v>43559</v>
      </c>
      <c r="U1020" s="21">
        <f t="shared" si="159"/>
        <v>43559</v>
      </c>
      <c r="V1020" s="20" t="s">
        <v>54</v>
      </c>
      <c r="W1020" s="18" t="s">
        <v>101</v>
      </c>
      <c r="X1020" s="18">
        <v>43555</v>
      </c>
      <c r="Y1020" s="15"/>
      <c r="Z1020" s="206">
        <v>43560</v>
      </c>
      <c r="AA1020" s="15">
        <v>13000</v>
      </c>
      <c r="AB1020" s="206">
        <v>43573</v>
      </c>
      <c r="AC1020" s="15">
        <v>8000</v>
      </c>
      <c r="AD1020" s="206">
        <v>43591</v>
      </c>
      <c r="AE1020" s="15">
        <v>15000</v>
      </c>
      <c r="AF1020" s="244"/>
      <c r="AG1020" s="15"/>
      <c r="AH1020" s="15">
        <f t="shared" si="156"/>
        <v>36000</v>
      </c>
      <c r="AI1020" s="22">
        <f t="shared" si="157"/>
        <v>0</v>
      </c>
      <c r="AJ1020" s="22">
        <f t="shared" si="158"/>
        <v>0</v>
      </c>
    </row>
    <row r="1021" spans="1:37" s="165" customFormat="1" hidden="1">
      <c r="A1021" s="165" t="s">
        <v>322</v>
      </c>
      <c r="B1021" s="13">
        <v>43521</v>
      </c>
      <c r="C1021" s="13" t="s">
        <v>23</v>
      </c>
      <c r="D1021" s="165" t="s">
        <v>196</v>
      </c>
      <c r="E1021" s="165" t="s">
        <v>197</v>
      </c>
      <c r="F1021" s="165" t="str">
        <f t="shared" si="154"/>
        <v>YELL_12.14_400_NL2018</v>
      </c>
      <c r="G1021" s="165" t="s">
        <v>89</v>
      </c>
      <c r="H1021" s="12"/>
      <c r="I1021" s="12" t="s">
        <v>113</v>
      </c>
      <c r="J1021" s="14">
        <v>400</v>
      </c>
      <c r="K1021" s="15" t="s">
        <v>28</v>
      </c>
      <c r="L1021" s="15"/>
      <c r="M1021" s="16">
        <f t="shared" si="155"/>
        <v>0</v>
      </c>
      <c r="N1021" s="15">
        <f>6000-6000</f>
        <v>0</v>
      </c>
      <c r="O1021" s="15">
        <v>2600</v>
      </c>
      <c r="P1021" s="15">
        <f t="shared" si="153"/>
        <v>0</v>
      </c>
      <c r="Q1021" s="15" t="str">
        <f t="shared" si="152"/>
        <v>Canceled</v>
      </c>
      <c r="R1021" s="18" t="s">
        <v>71</v>
      </c>
      <c r="S1021" s="19" t="s">
        <v>151</v>
      </c>
      <c r="T1021" s="20">
        <f>IFERROR(VLOOKUP(S1021,'Date Converter'!$A$4:$C$368,3,0),"")</f>
        <v>43558</v>
      </c>
      <c r="U1021" s="21">
        <f t="shared" si="159"/>
        <v>43558</v>
      </c>
      <c r="V1021" s="12" t="s">
        <v>199</v>
      </c>
      <c r="W1021" s="18" t="s">
        <v>72</v>
      </c>
      <c r="X1021" s="18">
        <v>43555</v>
      </c>
      <c r="Y1021" s="15"/>
      <c r="Z1021" s="206"/>
      <c r="AA1021" s="15">
        <v>0</v>
      </c>
      <c r="AB1021" s="206"/>
      <c r="AC1021" s="15"/>
      <c r="AD1021" s="206"/>
      <c r="AE1021" s="15"/>
      <c r="AF1021" s="244"/>
      <c r="AG1021" s="15"/>
      <c r="AH1021" s="15">
        <f t="shared" si="156"/>
        <v>0</v>
      </c>
      <c r="AI1021" s="22">
        <f t="shared" si="157"/>
        <v>0</v>
      </c>
      <c r="AJ1021" s="22">
        <f t="shared" si="158"/>
        <v>0</v>
      </c>
    </row>
    <row r="1022" spans="1:37" s="165" customFormat="1" hidden="1">
      <c r="A1022" s="165" t="s">
        <v>322</v>
      </c>
      <c r="B1022" s="13">
        <v>43521</v>
      </c>
      <c r="C1022" s="13" t="s">
        <v>23</v>
      </c>
      <c r="D1022" s="165" t="s">
        <v>196</v>
      </c>
      <c r="E1022" s="165" t="s">
        <v>197</v>
      </c>
      <c r="F1022" s="165" t="str">
        <f t="shared" si="154"/>
        <v>YELL_12.14_400_NL2018</v>
      </c>
      <c r="G1022" s="165" t="s">
        <v>89</v>
      </c>
      <c r="H1022" s="12"/>
      <c r="I1022" s="12" t="s">
        <v>113</v>
      </c>
      <c r="J1022" s="14">
        <v>400</v>
      </c>
      <c r="K1022" s="15" t="s">
        <v>28</v>
      </c>
      <c r="L1022" s="15"/>
      <c r="M1022" s="16">
        <f t="shared" si="155"/>
        <v>0</v>
      </c>
      <c r="N1022" s="15">
        <f>4000-4000</f>
        <v>0</v>
      </c>
      <c r="O1022" s="15">
        <v>2600</v>
      </c>
      <c r="P1022" s="15">
        <f t="shared" si="153"/>
        <v>0</v>
      </c>
      <c r="Q1022" s="15" t="str">
        <f t="shared" si="152"/>
        <v>Canceled</v>
      </c>
      <c r="R1022" s="18" t="s">
        <v>71</v>
      </c>
      <c r="S1022" s="19" t="s">
        <v>151</v>
      </c>
      <c r="T1022" s="20">
        <f>IFERROR(VLOOKUP(S1022,'Date Converter'!$A$4:$C$368,3,0),"")</f>
        <v>43558</v>
      </c>
      <c r="U1022" s="21">
        <f t="shared" si="159"/>
        <v>43558</v>
      </c>
      <c r="V1022" s="12" t="s">
        <v>199</v>
      </c>
      <c r="W1022" s="18" t="s">
        <v>72</v>
      </c>
      <c r="X1022" s="18">
        <v>43555</v>
      </c>
      <c r="Y1022" s="15"/>
      <c r="Z1022" s="206"/>
      <c r="AA1022" s="15">
        <v>0</v>
      </c>
      <c r="AB1022" s="206"/>
      <c r="AC1022" s="15"/>
      <c r="AD1022" s="206"/>
      <c r="AE1022" s="15"/>
      <c r="AF1022" s="244"/>
      <c r="AG1022" s="15"/>
      <c r="AH1022" s="15">
        <f t="shared" si="156"/>
        <v>0</v>
      </c>
      <c r="AI1022" s="22">
        <f t="shared" si="157"/>
        <v>0</v>
      </c>
      <c r="AJ1022" s="22">
        <f t="shared" si="158"/>
        <v>0</v>
      </c>
    </row>
    <row r="1023" spans="1:37" s="165" customFormat="1" hidden="1">
      <c r="A1023" s="165" t="s">
        <v>322</v>
      </c>
      <c r="B1023" s="13">
        <v>43521</v>
      </c>
      <c r="C1023" s="13" t="s">
        <v>23</v>
      </c>
      <c r="D1023" s="165" t="s">
        <v>196</v>
      </c>
      <c r="E1023" s="165" t="s">
        <v>197</v>
      </c>
      <c r="F1023" s="165" t="str">
        <f t="shared" si="154"/>
        <v>YELL_12.14_400_NL2018</v>
      </c>
      <c r="G1023" s="165" t="s">
        <v>89</v>
      </c>
      <c r="H1023" s="12"/>
      <c r="I1023" s="12" t="s">
        <v>113</v>
      </c>
      <c r="J1023" s="14">
        <v>400</v>
      </c>
      <c r="K1023" s="15" t="s">
        <v>28</v>
      </c>
      <c r="L1023" s="15"/>
      <c r="M1023" s="16">
        <f t="shared" si="155"/>
        <v>0</v>
      </c>
      <c r="N1023" s="15">
        <f>5200-5200</f>
        <v>0</v>
      </c>
      <c r="O1023" s="15">
        <v>2600</v>
      </c>
      <c r="P1023" s="15">
        <f t="shared" si="153"/>
        <v>0</v>
      </c>
      <c r="Q1023" s="15" t="str">
        <f t="shared" si="152"/>
        <v>Canceled</v>
      </c>
      <c r="R1023" s="18" t="s">
        <v>71</v>
      </c>
      <c r="S1023" s="19">
        <v>43539</v>
      </c>
      <c r="T1023" s="20">
        <f>IFERROR(VLOOKUP(S1023,'Date Converter'!$A$4:$C$368,3,0),"")</f>
        <v>43574</v>
      </c>
      <c r="U1023" s="21">
        <f t="shared" si="159"/>
        <v>43574</v>
      </c>
      <c r="V1023" s="12" t="s">
        <v>199</v>
      </c>
      <c r="W1023" s="18" t="s">
        <v>141</v>
      </c>
      <c r="X1023" s="18">
        <v>43569</v>
      </c>
      <c r="Y1023" s="15"/>
      <c r="Z1023" s="206"/>
      <c r="AA1023" s="15">
        <v>0</v>
      </c>
      <c r="AB1023" s="206"/>
      <c r="AC1023" s="15"/>
      <c r="AD1023" s="206"/>
      <c r="AE1023" s="15"/>
      <c r="AF1023" s="244"/>
      <c r="AG1023" s="15"/>
      <c r="AH1023" s="15">
        <f t="shared" si="156"/>
        <v>0</v>
      </c>
      <c r="AI1023" s="22">
        <f t="shared" si="157"/>
        <v>0</v>
      </c>
      <c r="AJ1023" s="22">
        <f t="shared" si="158"/>
        <v>0</v>
      </c>
    </row>
    <row r="1024" spans="1:37" s="165" customFormat="1" hidden="1">
      <c r="A1024" s="165" t="s">
        <v>322</v>
      </c>
      <c r="B1024" s="13">
        <v>43521</v>
      </c>
      <c r="C1024" s="13" t="s">
        <v>23</v>
      </c>
      <c r="D1024" s="165" t="s">
        <v>196</v>
      </c>
      <c r="E1024" s="165" t="s">
        <v>197</v>
      </c>
      <c r="F1024" s="165" t="str">
        <f t="shared" si="154"/>
        <v>BACA_15.16_250_NL2018</v>
      </c>
      <c r="G1024" s="165" t="s">
        <v>67</v>
      </c>
      <c r="H1024" s="12"/>
      <c r="I1024" s="24" t="s">
        <v>77</v>
      </c>
      <c r="J1024" s="14">
        <v>250</v>
      </c>
      <c r="K1024" s="15" t="s">
        <v>28</v>
      </c>
      <c r="L1024" s="15"/>
      <c r="M1024" s="16">
        <f t="shared" si="155"/>
        <v>0</v>
      </c>
      <c r="N1024" s="15">
        <f>5000-1500-3500</f>
        <v>0</v>
      </c>
      <c r="O1024" s="15">
        <v>4730</v>
      </c>
      <c r="P1024" s="15">
        <f t="shared" si="153"/>
        <v>0</v>
      </c>
      <c r="Q1024" s="15" t="str">
        <f t="shared" si="152"/>
        <v>Canceled</v>
      </c>
      <c r="R1024" s="18" t="s">
        <v>71</v>
      </c>
      <c r="S1024" s="19">
        <v>43539</v>
      </c>
      <c r="T1024" s="20">
        <f>IFERROR(VLOOKUP(S1024,'Date Converter'!$A$4:$C$368,3,0),"")</f>
        <v>43574</v>
      </c>
      <c r="U1024" s="21">
        <f t="shared" si="159"/>
        <v>43574</v>
      </c>
      <c r="V1024" s="12"/>
      <c r="W1024" s="18" t="s">
        <v>108</v>
      </c>
      <c r="X1024" s="18">
        <v>43569</v>
      </c>
      <c r="Y1024" s="15"/>
      <c r="Z1024" s="206"/>
      <c r="AA1024" s="15">
        <v>0</v>
      </c>
      <c r="AB1024" s="206"/>
      <c r="AC1024" s="15"/>
      <c r="AD1024" s="206"/>
      <c r="AE1024" s="15"/>
      <c r="AF1024" s="244"/>
      <c r="AG1024" s="15"/>
      <c r="AH1024" s="15">
        <f t="shared" si="156"/>
        <v>0</v>
      </c>
      <c r="AI1024" s="22">
        <f t="shared" si="157"/>
        <v>0</v>
      </c>
      <c r="AJ1024" s="22">
        <f t="shared" si="158"/>
        <v>0</v>
      </c>
      <c r="AK1024" s="165" t="s">
        <v>198</v>
      </c>
    </row>
    <row r="1025" spans="1:37" s="165" customFormat="1" hidden="1">
      <c r="A1025" s="165" t="s">
        <v>1689</v>
      </c>
      <c r="B1025" s="13">
        <v>43505</v>
      </c>
      <c r="C1025" s="13" t="s">
        <v>1622</v>
      </c>
      <c r="D1025" s="165" t="s">
        <v>1008</v>
      </c>
      <c r="E1025" s="165" t="s">
        <v>1009</v>
      </c>
      <c r="F1025" s="165" t="str">
        <f t="shared" si="154"/>
        <v>YELL_12.14_400_NL2018</v>
      </c>
      <c r="G1025" s="165" t="s">
        <v>89</v>
      </c>
      <c r="H1025" s="12"/>
      <c r="I1025" s="12" t="s">
        <v>113</v>
      </c>
      <c r="J1025" s="14">
        <v>400</v>
      </c>
      <c r="K1025" s="15" t="s">
        <v>28</v>
      </c>
      <c r="L1025" s="15"/>
      <c r="M1025" s="16">
        <f t="shared" si="155"/>
        <v>13</v>
      </c>
      <c r="N1025" s="15">
        <v>5200</v>
      </c>
      <c r="O1025" s="15">
        <v>2600</v>
      </c>
      <c r="P1025" s="15">
        <f t="shared" si="153"/>
        <v>13520000</v>
      </c>
      <c r="Q1025" s="15" t="str">
        <f t="shared" si="152"/>
        <v>Done</v>
      </c>
      <c r="R1025" s="18" t="s">
        <v>44</v>
      </c>
      <c r="S1025" s="23">
        <v>43480</v>
      </c>
      <c r="T1025" s="20">
        <f>IFERROR(VLOOKUP(S1025,'Date Converter'!$A$4:$C$368,3,0),"")</f>
        <v>43515</v>
      </c>
      <c r="U1025" s="21">
        <f t="shared" si="159"/>
        <v>43515</v>
      </c>
      <c r="V1025" s="220" t="s">
        <v>45</v>
      </c>
      <c r="W1025" s="18"/>
      <c r="X1025" s="18"/>
      <c r="Y1025" s="18"/>
      <c r="Z1025" s="210">
        <v>43516</v>
      </c>
      <c r="AA1025" s="15">
        <v>5200</v>
      </c>
      <c r="AB1025" s="210"/>
      <c r="AC1025" s="15"/>
      <c r="AD1025" s="15"/>
      <c r="AE1025" s="15"/>
      <c r="AF1025" s="244"/>
      <c r="AG1025" s="15"/>
      <c r="AH1025" s="15">
        <f t="shared" si="156"/>
        <v>5200</v>
      </c>
      <c r="AI1025" s="22">
        <f t="shared" si="157"/>
        <v>0</v>
      </c>
      <c r="AJ1025" s="22">
        <f t="shared" si="158"/>
        <v>0</v>
      </c>
      <c r="AK1025" s="13"/>
    </row>
    <row r="1026" spans="1:37" hidden="1">
      <c r="A1026" s="165" t="s">
        <v>1689</v>
      </c>
      <c r="B1026" s="13">
        <v>43505</v>
      </c>
      <c r="C1026" s="13" t="s">
        <v>1622</v>
      </c>
      <c r="D1026" s="165" t="s">
        <v>1008</v>
      </c>
      <c r="E1026" s="165" t="s">
        <v>1009</v>
      </c>
      <c r="F1026" s="165" t="str">
        <f t="shared" si="154"/>
        <v>YELL_12.14_400_NL2018</v>
      </c>
      <c r="G1026" s="165" t="s">
        <v>89</v>
      </c>
      <c r="I1026" s="12" t="s">
        <v>113</v>
      </c>
      <c r="J1026" s="14">
        <v>400</v>
      </c>
      <c r="K1026" s="15" t="s">
        <v>28</v>
      </c>
      <c r="M1026" s="16">
        <f t="shared" si="155"/>
        <v>25</v>
      </c>
      <c r="N1026" s="15">
        <v>10000</v>
      </c>
      <c r="O1026" s="15">
        <v>2600</v>
      </c>
      <c r="P1026" s="15">
        <f t="shared" si="153"/>
        <v>26000000</v>
      </c>
      <c r="Q1026" s="15" t="str">
        <f t="shared" si="152"/>
        <v>Done</v>
      </c>
      <c r="R1026" s="18" t="s">
        <v>44</v>
      </c>
      <c r="S1026" s="23">
        <v>43511</v>
      </c>
      <c r="T1026" s="20">
        <f>IFERROR(VLOOKUP(S1026,'Date Converter'!$A$4:$C$368,3,0),"")</f>
        <v>43544</v>
      </c>
      <c r="U1026" s="21">
        <f t="shared" si="159"/>
        <v>43544</v>
      </c>
      <c r="V1026" s="220" t="s">
        <v>32</v>
      </c>
      <c r="W1026" s="18" t="s">
        <v>33</v>
      </c>
      <c r="Y1026" s="18"/>
      <c r="Z1026" s="210">
        <v>43543</v>
      </c>
      <c r="AA1026" s="15">
        <v>10000</v>
      </c>
      <c r="AB1026" s="210"/>
      <c r="AC1026" s="15"/>
      <c r="AD1026" s="15"/>
      <c r="AE1026" s="15"/>
      <c r="AF1026" s="244"/>
      <c r="AG1026" s="15"/>
      <c r="AH1026" s="15">
        <f t="shared" si="156"/>
        <v>10000</v>
      </c>
      <c r="AI1026" s="22">
        <f t="shared" si="157"/>
        <v>0</v>
      </c>
      <c r="AJ1026" s="22">
        <f t="shared" si="158"/>
        <v>0</v>
      </c>
      <c r="AK1026" s="13"/>
    </row>
    <row r="1027" spans="1:37" hidden="1">
      <c r="A1027" s="165" t="s">
        <v>1689</v>
      </c>
      <c r="B1027" s="13">
        <v>43505</v>
      </c>
      <c r="C1027" s="13" t="s">
        <v>1622</v>
      </c>
      <c r="D1027" s="165" t="s">
        <v>1008</v>
      </c>
      <c r="E1027" s="165" t="s">
        <v>1009</v>
      </c>
      <c r="F1027" s="165" t="str">
        <f t="shared" si="154"/>
        <v>YELL_14.16_300_NL2018</v>
      </c>
      <c r="G1027" s="165" t="s">
        <v>89</v>
      </c>
      <c r="I1027" s="12" t="s">
        <v>47</v>
      </c>
      <c r="J1027" s="14">
        <v>300</v>
      </c>
      <c r="K1027" s="15" t="s">
        <v>28</v>
      </c>
      <c r="M1027" s="16">
        <f t="shared" si="155"/>
        <v>34</v>
      </c>
      <c r="N1027" s="15">
        <v>10200</v>
      </c>
      <c r="O1027" s="15">
        <v>3800</v>
      </c>
      <c r="P1027" s="15">
        <f t="shared" si="153"/>
        <v>38760000</v>
      </c>
      <c r="Q1027" s="15" t="str">
        <f t="shared" ref="Q1027:Q1090" si="160">IF(AND(N1027=0,AI1027=0),"Canceled",IF(AND(N1027&gt;0,AI1027=0),"Done",""))</f>
        <v>Done</v>
      </c>
      <c r="R1027" s="18" t="s">
        <v>44</v>
      </c>
      <c r="S1027" s="23" t="s">
        <v>53</v>
      </c>
      <c r="T1027" s="20">
        <f>IFERROR(VLOOKUP(S1027,'Date Converter'!$A$4:$C$368,3,0),"")</f>
        <v>43559</v>
      </c>
      <c r="U1027" s="21">
        <f t="shared" si="159"/>
        <v>43559</v>
      </c>
      <c r="V1027" s="20" t="s">
        <v>54</v>
      </c>
      <c r="W1027" s="18" t="s">
        <v>101</v>
      </c>
      <c r="Y1027" s="18"/>
      <c r="Z1027" s="210">
        <v>43558</v>
      </c>
      <c r="AA1027" s="15">
        <v>10200</v>
      </c>
      <c r="AB1027" s="210"/>
      <c r="AC1027" s="15"/>
      <c r="AD1027" s="15"/>
      <c r="AE1027" s="15"/>
      <c r="AF1027" s="244"/>
      <c r="AG1027" s="15"/>
      <c r="AH1027" s="15">
        <f t="shared" si="156"/>
        <v>10200</v>
      </c>
      <c r="AI1027" s="22">
        <f t="shared" si="157"/>
        <v>0</v>
      </c>
      <c r="AJ1027" s="22">
        <f t="shared" si="158"/>
        <v>0</v>
      </c>
      <c r="AK1027" s="13">
        <v>43865</v>
      </c>
    </row>
    <row r="1028" spans="1:37" hidden="1">
      <c r="A1028" s="165" t="s">
        <v>1689</v>
      </c>
      <c r="B1028" s="13">
        <v>43505</v>
      </c>
      <c r="C1028" s="13" t="s">
        <v>1622</v>
      </c>
      <c r="D1028" s="165" t="s">
        <v>1008</v>
      </c>
      <c r="E1028" s="198" t="s">
        <v>1009</v>
      </c>
      <c r="F1028" s="165" t="str">
        <f t="shared" si="154"/>
        <v>YELL_12.14_400_NL2018</v>
      </c>
      <c r="G1028" s="165" t="s">
        <v>89</v>
      </c>
      <c r="I1028" s="12" t="s">
        <v>113</v>
      </c>
      <c r="J1028" s="14">
        <v>400</v>
      </c>
      <c r="K1028" s="15" t="s">
        <v>28</v>
      </c>
      <c r="M1028" s="16">
        <f t="shared" si="155"/>
        <v>0</v>
      </c>
      <c r="N1028" s="15">
        <f>5200-5200</f>
        <v>0</v>
      </c>
      <c r="O1028" s="15">
        <v>2700</v>
      </c>
      <c r="P1028" s="15">
        <f t="shared" ref="P1028:P1091" si="161">+O1028*N1028</f>
        <v>0</v>
      </c>
      <c r="Q1028" s="15" t="str">
        <f t="shared" si="160"/>
        <v>Canceled</v>
      </c>
      <c r="R1028" s="18" t="s">
        <v>71</v>
      </c>
      <c r="S1028" s="23">
        <v>43570</v>
      </c>
      <c r="T1028" s="20">
        <f>IFERROR(VLOOKUP(S1028,'Date Converter'!$A$4:$C$368,3,0),"")</f>
        <v>43604</v>
      </c>
      <c r="U1028" s="21">
        <f t="shared" si="159"/>
        <v>43604</v>
      </c>
      <c r="V1028" s="20" t="s">
        <v>87</v>
      </c>
      <c r="Y1028" s="18"/>
      <c r="Z1028" s="210"/>
      <c r="AA1028" s="15">
        <v>0</v>
      </c>
      <c r="AB1028" s="210"/>
      <c r="AC1028" s="15"/>
      <c r="AD1028" s="15"/>
      <c r="AE1028" s="15"/>
      <c r="AF1028" s="244"/>
      <c r="AG1028" s="15"/>
      <c r="AH1028" s="15">
        <f t="shared" si="156"/>
        <v>0</v>
      </c>
      <c r="AI1028" s="22">
        <f t="shared" si="157"/>
        <v>0</v>
      </c>
      <c r="AJ1028" s="22">
        <f t="shared" si="158"/>
        <v>0</v>
      </c>
      <c r="AK1028" s="13"/>
    </row>
    <row r="1029" spans="1:37" hidden="1">
      <c r="A1029" t="s">
        <v>1689</v>
      </c>
      <c r="B1029" s="13">
        <v>43505</v>
      </c>
      <c r="C1029" s="13" t="s">
        <v>1622</v>
      </c>
      <c r="D1029" t="s">
        <v>1008</v>
      </c>
      <c r="E1029" s="198" t="s">
        <v>1009</v>
      </c>
      <c r="F1029" s="165" t="str">
        <f t="shared" si="154"/>
        <v>YELL_14.16_300_NL2018</v>
      </c>
      <c r="G1029" s="165" t="s">
        <v>89</v>
      </c>
      <c r="I1029" s="12" t="s">
        <v>47</v>
      </c>
      <c r="J1029" s="14">
        <v>300</v>
      </c>
      <c r="K1029" s="15" t="s">
        <v>28</v>
      </c>
      <c r="M1029" s="16">
        <f t="shared" si="155"/>
        <v>34</v>
      </c>
      <c r="N1029" s="15">
        <f>5100+5100</f>
        <v>10200</v>
      </c>
      <c r="O1029" s="15">
        <v>3800</v>
      </c>
      <c r="P1029" s="15">
        <f t="shared" si="161"/>
        <v>38760000</v>
      </c>
      <c r="Q1029" s="15" t="str">
        <f t="shared" si="160"/>
        <v>Done</v>
      </c>
      <c r="R1029" s="18" t="s">
        <v>44</v>
      </c>
      <c r="S1029" s="23">
        <v>43570</v>
      </c>
      <c r="T1029" s="20">
        <f>IFERROR(VLOOKUP(S1029,'Date Converter'!$A$4:$C$368,3,0),"")</f>
        <v>43604</v>
      </c>
      <c r="U1029" s="21">
        <f t="shared" si="159"/>
        <v>43604</v>
      </c>
      <c r="V1029" s="20" t="s">
        <v>87</v>
      </c>
      <c r="Y1029" s="18"/>
      <c r="Z1029" s="210">
        <v>43605</v>
      </c>
      <c r="AA1029" s="15">
        <v>10200</v>
      </c>
      <c r="AB1029" s="210"/>
      <c r="AC1029" s="15"/>
      <c r="AD1029" s="15"/>
      <c r="AE1029" s="15"/>
      <c r="AF1029" s="244"/>
      <c r="AG1029" s="15"/>
      <c r="AH1029" s="15">
        <f t="shared" si="156"/>
        <v>10200</v>
      </c>
      <c r="AI1029" s="22">
        <f t="shared" si="157"/>
        <v>0</v>
      </c>
      <c r="AJ1029" s="22">
        <f t="shared" si="158"/>
        <v>0</v>
      </c>
      <c r="AK1029" s="13"/>
    </row>
    <row r="1030" spans="1:37" hidden="1">
      <c r="A1030" s="165" t="s">
        <v>1689</v>
      </c>
      <c r="B1030" s="13">
        <v>43505</v>
      </c>
      <c r="C1030" s="13" t="s">
        <v>1622</v>
      </c>
      <c r="D1030" s="165" t="s">
        <v>1008</v>
      </c>
      <c r="E1030" s="198" t="s">
        <v>1009</v>
      </c>
      <c r="F1030" s="165" t="str">
        <f t="shared" si="154"/>
        <v>YELL_12.14_400_NL2018</v>
      </c>
      <c r="G1030" s="165" t="s">
        <v>89</v>
      </c>
      <c r="I1030" s="12" t="s">
        <v>113</v>
      </c>
      <c r="J1030" s="14">
        <v>400</v>
      </c>
      <c r="K1030" s="15" t="s">
        <v>28</v>
      </c>
      <c r="M1030" s="16">
        <f t="shared" si="155"/>
        <v>13</v>
      </c>
      <c r="N1030" s="15">
        <v>5200</v>
      </c>
      <c r="O1030" s="15">
        <v>2640</v>
      </c>
      <c r="P1030" s="15">
        <f t="shared" si="161"/>
        <v>13728000</v>
      </c>
      <c r="Q1030" s="15" t="str">
        <f t="shared" si="160"/>
        <v>Done</v>
      </c>
      <c r="R1030" s="18" t="s">
        <v>44</v>
      </c>
      <c r="S1030" s="219">
        <v>43539</v>
      </c>
      <c r="T1030" s="20">
        <f>IFERROR(VLOOKUP(S1030,'Date Converter'!$A$4:$C$368,3,0),"")</f>
        <v>43574</v>
      </c>
      <c r="U1030" s="21">
        <f t="shared" si="159"/>
        <v>43574</v>
      </c>
      <c r="V1030" s="12" t="s">
        <v>57</v>
      </c>
      <c r="W1030" s="18" t="s">
        <v>143</v>
      </c>
      <c r="Y1030" s="18"/>
      <c r="Z1030" s="210">
        <v>43587</v>
      </c>
      <c r="AA1030" s="15">
        <v>5200</v>
      </c>
      <c r="AB1030" s="210"/>
      <c r="AC1030" s="15"/>
      <c r="AD1030" s="15"/>
      <c r="AE1030" s="15"/>
      <c r="AF1030" s="244"/>
      <c r="AG1030" s="15"/>
      <c r="AH1030" s="15">
        <f t="shared" si="156"/>
        <v>5200</v>
      </c>
      <c r="AI1030" s="22">
        <f t="shared" si="157"/>
        <v>0</v>
      </c>
      <c r="AJ1030" s="22">
        <f t="shared" si="158"/>
        <v>0</v>
      </c>
      <c r="AK1030" s="13">
        <v>43864</v>
      </c>
    </row>
    <row r="1031" spans="1:37" hidden="1">
      <c r="A1031" s="165" t="s">
        <v>1689</v>
      </c>
      <c r="B1031" s="13">
        <v>43505</v>
      </c>
      <c r="C1031" s="13" t="s">
        <v>1622</v>
      </c>
      <c r="D1031" s="165" t="s">
        <v>1008</v>
      </c>
      <c r="E1031" s="198" t="s">
        <v>1009</v>
      </c>
      <c r="F1031" s="165" t="str">
        <f t="shared" si="154"/>
        <v>YELL_14.16_300_NL2018</v>
      </c>
      <c r="G1031" s="165" t="s">
        <v>89</v>
      </c>
      <c r="I1031" s="12" t="s">
        <v>47</v>
      </c>
      <c r="J1031" s="14">
        <v>300</v>
      </c>
      <c r="K1031" s="15" t="s">
        <v>28</v>
      </c>
      <c r="M1031" s="16">
        <f t="shared" si="155"/>
        <v>17</v>
      </c>
      <c r="N1031" s="15">
        <v>5100</v>
      </c>
      <c r="O1031" s="15">
        <v>3800</v>
      </c>
      <c r="P1031" s="15">
        <f t="shared" si="161"/>
        <v>19380000</v>
      </c>
      <c r="Q1031" s="15" t="str">
        <f t="shared" si="160"/>
        <v>Done</v>
      </c>
      <c r="R1031" s="18" t="s">
        <v>44</v>
      </c>
      <c r="S1031" s="219">
        <v>43539</v>
      </c>
      <c r="T1031" s="20">
        <f>IFERROR(VLOOKUP(S1031,'Date Converter'!$A$4:$C$368,3,0),"")</f>
        <v>43574</v>
      </c>
      <c r="U1031" s="21">
        <f t="shared" si="159"/>
        <v>43574</v>
      </c>
      <c r="V1031" s="12" t="s">
        <v>57</v>
      </c>
      <c r="W1031" s="18" t="s">
        <v>143</v>
      </c>
      <c r="Y1031" s="18"/>
      <c r="Z1031" s="210">
        <v>43587</v>
      </c>
      <c r="AA1031" s="15">
        <v>5100</v>
      </c>
      <c r="AB1031" s="210"/>
      <c r="AC1031" s="15"/>
      <c r="AD1031" s="15"/>
      <c r="AE1031" s="15"/>
      <c r="AF1031" s="244"/>
      <c r="AG1031" s="15"/>
      <c r="AH1031" s="15">
        <f t="shared" si="156"/>
        <v>5100</v>
      </c>
      <c r="AI1031" s="22">
        <f t="shared" si="157"/>
        <v>0</v>
      </c>
      <c r="AJ1031" s="22">
        <f t="shared" si="158"/>
        <v>0</v>
      </c>
      <c r="AK1031" s="13">
        <v>43864</v>
      </c>
    </row>
    <row r="1032" spans="1:37" hidden="1">
      <c r="A1032" s="165" t="s">
        <v>1689</v>
      </c>
      <c r="B1032" s="13">
        <v>43620</v>
      </c>
      <c r="C1032" s="13" t="s">
        <v>1622</v>
      </c>
      <c r="D1032" s="165" t="s">
        <v>1008</v>
      </c>
      <c r="E1032" s="198" t="s">
        <v>1009</v>
      </c>
      <c r="F1032" s="165" t="str">
        <f t="shared" si="154"/>
        <v>YELL_14.16_300_NL2018</v>
      </c>
      <c r="G1032" s="165" t="s">
        <v>89</v>
      </c>
      <c r="I1032" s="12" t="s">
        <v>47</v>
      </c>
      <c r="J1032" s="14">
        <v>300</v>
      </c>
      <c r="K1032" s="15" t="s">
        <v>28</v>
      </c>
      <c r="M1032" s="16">
        <f t="shared" si="155"/>
        <v>22</v>
      </c>
      <c r="N1032" s="15">
        <v>6600</v>
      </c>
      <c r="O1032" s="15">
        <v>3900</v>
      </c>
      <c r="P1032" s="15">
        <f t="shared" si="161"/>
        <v>25740000</v>
      </c>
      <c r="Q1032" s="15" t="str">
        <f t="shared" si="160"/>
        <v>Done</v>
      </c>
      <c r="R1032" s="18" t="s">
        <v>44</v>
      </c>
      <c r="S1032" s="23">
        <v>43572</v>
      </c>
      <c r="T1032" s="20">
        <f>IFERROR(VLOOKUP(S1032,'Date Converter'!$A$4:$C$368,3,0),"")</f>
        <v>43606</v>
      </c>
      <c r="U1032" s="21">
        <f t="shared" si="159"/>
        <v>43606</v>
      </c>
      <c r="V1032" s="20"/>
      <c r="Y1032" s="18"/>
      <c r="Z1032" s="210">
        <v>43638</v>
      </c>
      <c r="AA1032" s="15">
        <v>6600</v>
      </c>
      <c r="AB1032" s="210"/>
      <c r="AC1032" s="15"/>
      <c r="AD1032" s="15"/>
      <c r="AE1032" s="15"/>
      <c r="AF1032" s="244"/>
      <c r="AG1032" s="15"/>
      <c r="AH1032" s="15">
        <f t="shared" si="156"/>
        <v>6600</v>
      </c>
      <c r="AI1032" s="22">
        <f t="shared" si="157"/>
        <v>0</v>
      </c>
      <c r="AJ1032" s="22">
        <f t="shared" si="158"/>
        <v>0</v>
      </c>
      <c r="AK1032" s="13"/>
    </row>
    <row r="1033" spans="1:37" hidden="1">
      <c r="A1033" s="165" t="s">
        <v>1689</v>
      </c>
      <c r="B1033" s="13">
        <v>43620</v>
      </c>
      <c r="C1033" s="13" t="s">
        <v>1622</v>
      </c>
      <c r="D1033" s="165" t="s">
        <v>1008</v>
      </c>
      <c r="E1033" s="198" t="s">
        <v>1009</v>
      </c>
      <c r="F1033" s="165" t="str">
        <f t="shared" si="154"/>
        <v>YELL_14.16_300_NL2018</v>
      </c>
      <c r="G1033" s="165" t="s">
        <v>89</v>
      </c>
      <c r="I1033" s="12" t="s">
        <v>47</v>
      </c>
      <c r="J1033" s="14">
        <v>300</v>
      </c>
      <c r="K1033" s="15" t="s">
        <v>28</v>
      </c>
      <c r="M1033" s="16">
        <f t="shared" si="155"/>
        <v>12</v>
      </c>
      <c r="N1033" s="15">
        <v>3600</v>
      </c>
      <c r="O1033" s="15">
        <v>3900</v>
      </c>
      <c r="P1033" s="15">
        <f t="shared" si="161"/>
        <v>14040000</v>
      </c>
      <c r="Q1033" s="15" t="str">
        <f t="shared" si="160"/>
        <v>Done</v>
      </c>
      <c r="R1033" s="18" t="s">
        <v>44</v>
      </c>
      <c r="S1033" s="23">
        <v>43584</v>
      </c>
      <c r="T1033" s="20">
        <f>IFERROR(VLOOKUP(S1033,'Date Converter'!$A$4:$C$368,3,0),"")</f>
        <v>43618</v>
      </c>
      <c r="U1033" s="21">
        <f t="shared" si="159"/>
        <v>43618</v>
      </c>
      <c r="V1033" s="20"/>
      <c r="Y1033" s="18"/>
      <c r="Z1033" s="210">
        <v>43638</v>
      </c>
      <c r="AA1033" s="15">
        <v>3600</v>
      </c>
      <c r="AB1033" s="210"/>
      <c r="AC1033" s="15"/>
      <c r="AD1033" s="15"/>
      <c r="AE1033" s="15"/>
      <c r="AF1033" s="244"/>
      <c r="AG1033" s="15"/>
      <c r="AH1033" s="15">
        <f t="shared" si="156"/>
        <v>3600</v>
      </c>
      <c r="AI1033" s="22">
        <f t="shared" si="157"/>
        <v>0</v>
      </c>
      <c r="AJ1033" s="22">
        <f t="shared" si="158"/>
        <v>0</v>
      </c>
      <c r="AK1033" s="13"/>
    </row>
    <row r="1034" spans="1:37" hidden="1">
      <c r="A1034" s="165" t="s">
        <v>1689</v>
      </c>
      <c r="B1034" s="13">
        <v>43630</v>
      </c>
      <c r="C1034" s="13" t="s">
        <v>1622</v>
      </c>
      <c r="D1034" s="165" t="s">
        <v>1008</v>
      </c>
      <c r="E1034" s="198" t="s">
        <v>1009</v>
      </c>
      <c r="F1034" s="165" t="str">
        <f t="shared" si="154"/>
        <v>YELL_12.14_400_NL2018</v>
      </c>
      <c r="G1034" s="165" t="s">
        <v>89</v>
      </c>
      <c r="I1034" s="12" t="s">
        <v>113</v>
      </c>
      <c r="J1034" s="14">
        <v>400</v>
      </c>
      <c r="K1034" s="15" t="s">
        <v>28</v>
      </c>
      <c r="M1034" s="16">
        <f t="shared" si="155"/>
        <v>50</v>
      </c>
      <c r="N1034" s="15">
        <v>20000</v>
      </c>
      <c r="O1034" s="15">
        <v>2900</v>
      </c>
      <c r="P1034" s="15">
        <f t="shared" si="161"/>
        <v>58000000</v>
      </c>
      <c r="Q1034" s="15" t="str">
        <f t="shared" si="160"/>
        <v/>
      </c>
      <c r="R1034" s="221" t="s">
        <v>31</v>
      </c>
      <c r="S1034" s="23">
        <v>43631</v>
      </c>
      <c r="T1034" s="20">
        <f>IFERROR(VLOOKUP(S1034,'Date Converter'!$A$4:$C$368,3,0),"")</f>
        <v>43663</v>
      </c>
      <c r="U1034" s="21">
        <f t="shared" si="159"/>
        <v>43663</v>
      </c>
      <c r="V1034" s="20"/>
      <c r="Y1034" s="18"/>
      <c r="Z1034" s="210"/>
      <c r="AA1034" s="15"/>
      <c r="AB1034" s="210"/>
      <c r="AC1034" s="15"/>
      <c r="AD1034" s="15"/>
      <c r="AE1034" s="15"/>
      <c r="AF1034" s="244"/>
      <c r="AG1034" s="15"/>
      <c r="AH1034" s="15">
        <f t="shared" si="156"/>
        <v>0</v>
      </c>
      <c r="AI1034" s="22">
        <f t="shared" si="157"/>
        <v>20000</v>
      </c>
      <c r="AJ1034" s="22">
        <f t="shared" si="158"/>
        <v>58000000</v>
      </c>
      <c r="AK1034" s="13"/>
    </row>
    <row r="1035" spans="1:37" hidden="1">
      <c r="A1035" s="165" t="s">
        <v>1694</v>
      </c>
      <c r="B1035" s="13">
        <v>43505</v>
      </c>
      <c r="C1035" s="267" t="s">
        <v>1622</v>
      </c>
      <c r="D1035" s="258" t="s">
        <v>1008</v>
      </c>
      <c r="E1035" s="198" t="s">
        <v>1009</v>
      </c>
      <c r="F1035" s="165" t="str">
        <f t="shared" si="154"/>
        <v>YELL_16.18_200_NL2018</v>
      </c>
      <c r="G1035" s="165" t="s">
        <v>89</v>
      </c>
      <c r="I1035" s="12" t="s">
        <v>35</v>
      </c>
      <c r="J1035" s="14">
        <v>200</v>
      </c>
      <c r="K1035" s="15" t="s">
        <v>28</v>
      </c>
      <c r="M1035" s="16">
        <f t="shared" si="155"/>
        <v>50</v>
      </c>
      <c r="N1035" s="15">
        <v>10000</v>
      </c>
      <c r="O1035" s="15">
        <v>6000</v>
      </c>
      <c r="P1035" s="15">
        <f t="shared" si="161"/>
        <v>60000000</v>
      </c>
      <c r="Q1035" s="15" t="str">
        <f t="shared" si="160"/>
        <v/>
      </c>
      <c r="R1035" s="18" t="s">
        <v>29</v>
      </c>
      <c r="S1035" s="23">
        <v>43709</v>
      </c>
      <c r="T1035" s="20">
        <f>IFERROR(VLOOKUP(S1035,'Date Converter'!$A$4:$C$368,3,0),"")</f>
        <v>43737</v>
      </c>
      <c r="U1035" s="21">
        <f t="shared" si="159"/>
        <v>43737</v>
      </c>
      <c r="V1035" s="15" t="s">
        <v>51</v>
      </c>
      <c r="Y1035" s="18"/>
      <c r="Z1035" s="210"/>
      <c r="AA1035" s="15">
        <v>0</v>
      </c>
      <c r="AB1035" s="210"/>
      <c r="AC1035" s="15"/>
      <c r="AD1035" s="15"/>
      <c r="AE1035" s="15"/>
      <c r="AF1035" s="244"/>
      <c r="AG1035" s="15"/>
      <c r="AH1035" s="15">
        <f t="shared" si="156"/>
        <v>0</v>
      </c>
      <c r="AI1035" s="22">
        <f t="shared" si="157"/>
        <v>10000</v>
      </c>
      <c r="AJ1035" s="22">
        <f t="shared" si="158"/>
        <v>60000000</v>
      </c>
      <c r="AK1035" s="13">
        <v>43870</v>
      </c>
    </row>
    <row r="1036" spans="1:37" hidden="1">
      <c r="A1036" s="165" t="s">
        <v>1689</v>
      </c>
      <c r="B1036" s="13">
        <v>43505</v>
      </c>
      <c r="C1036" s="13" t="s">
        <v>1622</v>
      </c>
      <c r="D1036" s="165" t="s">
        <v>1008</v>
      </c>
      <c r="E1036" s="198" t="s">
        <v>1009</v>
      </c>
      <c r="F1036" s="165" t="str">
        <f t="shared" si="154"/>
        <v>YELL_14.16_300_NL2018</v>
      </c>
      <c r="G1036" s="165" t="s">
        <v>89</v>
      </c>
      <c r="I1036" s="12" t="s">
        <v>47</v>
      </c>
      <c r="J1036" s="14">
        <v>300</v>
      </c>
      <c r="K1036" s="15" t="s">
        <v>28</v>
      </c>
      <c r="M1036" s="16">
        <f t="shared" si="155"/>
        <v>267</v>
      </c>
      <c r="N1036" s="15">
        <f>100200-20100</f>
        <v>80100</v>
      </c>
      <c r="O1036" s="15">
        <v>3800</v>
      </c>
      <c r="P1036" s="15">
        <f t="shared" si="161"/>
        <v>304380000</v>
      </c>
      <c r="Q1036" s="15" t="str">
        <f t="shared" si="160"/>
        <v/>
      </c>
      <c r="R1036" s="18" t="s">
        <v>29</v>
      </c>
      <c r="T1036" s="20" t="str">
        <f>IFERROR(VLOOKUP(S1036,'Date Converter'!$A$4:$C$368,3,0),"")</f>
        <v/>
      </c>
      <c r="U1036" s="21" t="str">
        <f t="shared" si="159"/>
        <v/>
      </c>
      <c r="V1036" s="20"/>
      <c r="Y1036" s="18"/>
      <c r="Z1036" s="210"/>
      <c r="AA1036" s="15">
        <v>0</v>
      </c>
      <c r="AB1036" s="210"/>
      <c r="AC1036" s="15"/>
      <c r="AD1036" s="15"/>
      <c r="AE1036" s="15"/>
      <c r="AF1036" s="244"/>
      <c r="AG1036" s="15"/>
      <c r="AH1036" s="15">
        <f t="shared" si="156"/>
        <v>0</v>
      </c>
      <c r="AI1036" s="22">
        <f t="shared" si="157"/>
        <v>80100</v>
      </c>
      <c r="AJ1036" s="22">
        <f t="shared" si="158"/>
        <v>304380000</v>
      </c>
      <c r="AK1036" s="13"/>
    </row>
    <row r="1037" spans="1:37" hidden="1">
      <c r="A1037" s="165" t="s">
        <v>1689</v>
      </c>
      <c r="B1037" s="13">
        <v>43505</v>
      </c>
      <c r="C1037" s="13" t="s">
        <v>1622</v>
      </c>
      <c r="D1037" s="165" t="s">
        <v>1008</v>
      </c>
      <c r="E1037" s="198" t="s">
        <v>1009</v>
      </c>
      <c r="F1037" s="165" t="str">
        <f t="shared" si="154"/>
        <v>TARR_14.16_300_NL2018</v>
      </c>
      <c r="G1037" s="165" t="s">
        <v>1690</v>
      </c>
      <c r="I1037" s="12" t="s">
        <v>47</v>
      </c>
      <c r="J1037" s="14">
        <v>300</v>
      </c>
      <c r="K1037" s="15" t="s">
        <v>28</v>
      </c>
      <c r="L1037" s="15" t="s">
        <v>419</v>
      </c>
      <c r="M1037" s="16">
        <f t="shared" si="155"/>
        <v>34</v>
      </c>
      <c r="N1037" s="15">
        <v>10200</v>
      </c>
      <c r="O1037" s="25">
        <v>4600</v>
      </c>
      <c r="P1037" s="15">
        <f t="shared" si="161"/>
        <v>46920000</v>
      </c>
      <c r="Q1037" s="15" t="str">
        <f t="shared" si="160"/>
        <v>Done</v>
      </c>
      <c r="R1037" s="18" t="s">
        <v>44</v>
      </c>
      <c r="S1037" s="23">
        <v>43570</v>
      </c>
      <c r="T1037" s="20">
        <f>IFERROR(VLOOKUP(S1037,'Date Converter'!$A$4:$C$368,3,0),"")</f>
        <v>43604</v>
      </c>
      <c r="U1037" s="21">
        <f t="shared" si="159"/>
        <v>43604</v>
      </c>
      <c r="V1037" s="20" t="s">
        <v>87</v>
      </c>
      <c r="Y1037" s="18"/>
      <c r="Z1037" s="210">
        <v>43605</v>
      </c>
      <c r="AA1037" s="15">
        <v>10200</v>
      </c>
      <c r="AB1037" s="210"/>
      <c r="AC1037" s="15"/>
      <c r="AD1037" s="15"/>
      <c r="AE1037" s="15"/>
      <c r="AF1037" s="244"/>
      <c r="AG1037" s="15"/>
      <c r="AH1037" s="15">
        <f t="shared" si="156"/>
        <v>10200</v>
      </c>
      <c r="AI1037" s="22">
        <f t="shared" si="157"/>
        <v>0</v>
      </c>
      <c r="AJ1037" s="22">
        <f t="shared" si="158"/>
        <v>0</v>
      </c>
      <c r="AK1037" s="13"/>
    </row>
    <row r="1038" spans="1:37" hidden="1">
      <c r="A1038" s="165" t="s">
        <v>1689</v>
      </c>
      <c r="B1038" s="13">
        <v>43505</v>
      </c>
      <c r="C1038" s="13" t="s">
        <v>1622</v>
      </c>
      <c r="D1038" s="165" t="s">
        <v>1008</v>
      </c>
      <c r="E1038" s="198" t="s">
        <v>1009</v>
      </c>
      <c r="F1038" s="165" t="str">
        <f t="shared" si="154"/>
        <v>TARR_14.16_300_NL2018</v>
      </c>
      <c r="G1038" s="165" t="s">
        <v>1690</v>
      </c>
      <c r="I1038" s="12" t="s">
        <v>47</v>
      </c>
      <c r="J1038" s="14">
        <v>300</v>
      </c>
      <c r="K1038" s="15" t="s">
        <v>28</v>
      </c>
      <c r="L1038" s="15" t="s">
        <v>419</v>
      </c>
      <c r="M1038" s="16">
        <f t="shared" si="155"/>
        <v>34</v>
      </c>
      <c r="N1038" s="15">
        <v>10200</v>
      </c>
      <c r="O1038" s="15">
        <v>4600</v>
      </c>
      <c r="P1038" s="15">
        <f t="shared" si="161"/>
        <v>46920000</v>
      </c>
      <c r="Q1038" s="15" t="str">
        <f t="shared" si="160"/>
        <v/>
      </c>
      <c r="R1038" s="221" t="s">
        <v>31</v>
      </c>
      <c r="S1038" s="23">
        <v>43631</v>
      </c>
      <c r="T1038" s="20">
        <f>IFERROR(VLOOKUP(S1038,'Date Converter'!$A$4:$C$368,3,0),"")</f>
        <v>43663</v>
      </c>
      <c r="U1038" s="21">
        <f t="shared" si="159"/>
        <v>43663</v>
      </c>
      <c r="V1038" s="20"/>
      <c r="Y1038" s="18"/>
      <c r="Z1038" s="210"/>
      <c r="AA1038" s="15"/>
      <c r="AB1038" s="210"/>
      <c r="AC1038" s="15"/>
      <c r="AD1038" s="15"/>
      <c r="AE1038" s="15"/>
      <c r="AF1038" s="244"/>
      <c r="AG1038" s="15"/>
      <c r="AH1038" s="15">
        <f t="shared" si="156"/>
        <v>0</v>
      </c>
      <c r="AI1038" s="22">
        <f t="shared" si="157"/>
        <v>10200</v>
      </c>
      <c r="AJ1038" s="22">
        <f t="shared" si="158"/>
        <v>46920000</v>
      </c>
      <c r="AK1038" s="13"/>
    </row>
    <row r="1039" spans="1:37" hidden="1">
      <c r="A1039" s="165" t="s">
        <v>1689</v>
      </c>
      <c r="B1039" s="13">
        <v>43505</v>
      </c>
      <c r="C1039" s="13" t="s">
        <v>1622</v>
      </c>
      <c r="D1039" s="165" t="s">
        <v>1008</v>
      </c>
      <c r="E1039" s="198" t="s">
        <v>1009</v>
      </c>
      <c r="F1039" s="165" t="str">
        <f t="shared" si="154"/>
        <v>TARR_14.16_300_NL2018</v>
      </c>
      <c r="G1039" s="165" t="s">
        <v>1690</v>
      </c>
      <c r="I1039" s="12" t="s">
        <v>47</v>
      </c>
      <c r="J1039" s="14">
        <v>300</v>
      </c>
      <c r="K1039" s="15" t="s">
        <v>28</v>
      </c>
      <c r="L1039" s="15" t="s">
        <v>419</v>
      </c>
      <c r="M1039" s="16">
        <f t="shared" si="155"/>
        <v>100</v>
      </c>
      <c r="N1039" s="15">
        <v>30000</v>
      </c>
      <c r="O1039" s="15">
        <v>4600</v>
      </c>
      <c r="P1039" s="15">
        <f t="shared" si="161"/>
        <v>138000000</v>
      </c>
      <c r="Q1039" s="15" t="str">
        <f t="shared" si="160"/>
        <v/>
      </c>
      <c r="R1039" s="221" t="s">
        <v>29</v>
      </c>
      <c r="T1039" s="20" t="str">
        <f>IFERROR(VLOOKUP(S1039,'Date Converter'!$A$4:$C$368,3,0),"")</f>
        <v/>
      </c>
      <c r="U1039" s="21" t="str">
        <f t="shared" si="159"/>
        <v/>
      </c>
      <c r="V1039" s="20"/>
      <c r="Y1039" s="18"/>
      <c r="Z1039" s="210"/>
      <c r="AA1039" s="15"/>
      <c r="AB1039" s="210"/>
      <c r="AC1039" s="15"/>
      <c r="AD1039" s="15"/>
      <c r="AE1039" s="15"/>
      <c r="AF1039" s="244"/>
      <c r="AG1039" s="15"/>
      <c r="AH1039" s="15">
        <f t="shared" si="156"/>
        <v>0</v>
      </c>
      <c r="AI1039" s="22">
        <f t="shared" si="157"/>
        <v>30000</v>
      </c>
      <c r="AJ1039" s="22">
        <f t="shared" si="158"/>
        <v>138000000</v>
      </c>
      <c r="AK1039" s="13"/>
    </row>
    <row r="1040" spans="1:37" hidden="1">
      <c r="A1040" s="165" t="s">
        <v>1689</v>
      </c>
      <c r="B1040" s="13">
        <v>43505</v>
      </c>
      <c r="C1040" s="13" t="s">
        <v>1622</v>
      </c>
      <c r="D1040" s="165" t="s">
        <v>1008</v>
      </c>
      <c r="E1040" s="198" t="s">
        <v>1009</v>
      </c>
      <c r="F1040" s="165" t="str">
        <f t="shared" si="154"/>
        <v>TARR_14.16_300_NL2018</v>
      </c>
      <c r="G1040" s="165" t="s">
        <v>1796</v>
      </c>
      <c r="I1040" s="12" t="s">
        <v>47</v>
      </c>
      <c r="J1040" s="14">
        <v>300</v>
      </c>
      <c r="K1040" s="15" t="s">
        <v>28</v>
      </c>
      <c r="L1040" s="15" t="s">
        <v>424</v>
      </c>
      <c r="M1040" s="16">
        <f t="shared" si="155"/>
        <v>34</v>
      </c>
      <c r="N1040" s="15">
        <v>10200</v>
      </c>
      <c r="O1040" s="15">
        <v>4700</v>
      </c>
      <c r="P1040" s="15">
        <f t="shared" si="161"/>
        <v>47940000</v>
      </c>
      <c r="Q1040" s="15" t="str">
        <f t="shared" si="160"/>
        <v>Done</v>
      </c>
      <c r="R1040" s="18" t="s">
        <v>44</v>
      </c>
      <c r="S1040" s="23">
        <v>43584</v>
      </c>
      <c r="T1040" s="20">
        <f>IFERROR(VLOOKUP(S1040,'Date Converter'!$A$4:$C$368,3,0),"")</f>
        <v>43618</v>
      </c>
      <c r="U1040" s="21">
        <f t="shared" si="159"/>
        <v>43618</v>
      </c>
      <c r="V1040" s="20" t="s">
        <v>443</v>
      </c>
      <c r="Y1040" s="18"/>
      <c r="Z1040" s="210">
        <v>43638</v>
      </c>
      <c r="AA1040" s="15">
        <v>10200</v>
      </c>
      <c r="AB1040" s="210"/>
      <c r="AC1040" s="15"/>
      <c r="AD1040" s="15"/>
      <c r="AE1040" s="15"/>
      <c r="AF1040" s="244"/>
      <c r="AG1040" s="15"/>
      <c r="AH1040" s="15">
        <f t="shared" si="156"/>
        <v>10200</v>
      </c>
      <c r="AI1040" s="22">
        <f t="shared" si="157"/>
        <v>0</v>
      </c>
      <c r="AJ1040" s="22">
        <f t="shared" si="158"/>
        <v>0</v>
      </c>
      <c r="AK1040" s="13"/>
    </row>
    <row r="1041" spans="1:37" s="165" customFormat="1" hidden="1">
      <c r="A1041" s="165" t="s">
        <v>1689</v>
      </c>
      <c r="B1041" s="13">
        <v>43505</v>
      </c>
      <c r="C1041" s="13" t="s">
        <v>1622</v>
      </c>
      <c r="D1041" s="165" t="s">
        <v>1008</v>
      </c>
      <c r="E1041" s="165" t="s">
        <v>1009</v>
      </c>
      <c r="F1041" s="165" t="str">
        <f t="shared" si="154"/>
        <v>TARR_14.16_300_NL2018</v>
      </c>
      <c r="G1041" s="165" t="s">
        <v>62</v>
      </c>
      <c r="H1041" s="12"/>
      <c r="I1041" s="12" t="s">
        <v>47</v>
      </c>
      <c r="J1041" s="14">
        <v>300</v>
      </c>
      <c r="K1041" s="15" t="s">
        <v>28</v>
      </c>
      <c r="L1041" s="15"/>
      <c r="M1041" s="16">
        <f t="shared" si="155"/>
        <v>17</v>
      </c>
      <c r="N1041" s="15">
        <v>5100</v>
      </c>
      <c r="O1041" s="15">
        <v>4500</v>
      </c>
      <c r="P1041" s="15">
        <f t="shared" si="161"/>
        <v>22950000</v>
      </c>
      <c r="Q1041" s="15" t="str">
        <f t="shared" si="160"/>
        <v>Done</v>
      </c>
      <c r="R1041" s="18" t="s">
        <v>44</v>
      </c>
      <c r="S1041" s="23">
        <v>43511</v>
      </c>
      <c r="T1041" s="20">
        <f>IFERROR(VLOOKUP(S1041,'Date Converter'!$A$4:$C$368,3,0),"")</f>
        <v>43544</v>
      </c>
      <c r="U1041" s="21">
        <f t="shared" si="159"/>
        <v>43544</v>
      </c>
      <c r="V1041" s="220" t="s">
        <v>32</v>
      </c>
      <c r="W1041" s="18" t="s">
        <v>41</v>
      </c>
      <c r="X1041" s="18"/>
      <c r="Y1041" s="18"/>
      <c r="Z1041" s="210">
        <v>43543</v>
      </c>
      <c r="AA1041" s="15">
        <v>5100</v>
      </c>
      <c r="AB1041" s="210"/>
      <c r="AC1041" s="15"/>
      <c r="AD1041" s="15"/>
      <c r="AE1041" s="15"/>
      <c r="AF1041" s="244"/>
      <c r="AG1041" s="15"/>
      <c r="AH1041" s="15">
        <f t="shared" si="156"/>
        <v>5100</v>
      </c>
      <c r="AI1041" s="22">
        <f t="shared" si="157"/>
        <v>0</v>
      </c>
      <c r="AJ1041" s="22">
        <f t="shared" si="158"/>
        <v>0</v>
      </c>
      <c r="AK1041" s="13">
        <v>43864</v>
      </c>
    </row>
    <row r="1042" spans="1:37" s="165" customFormat="1" hidden="1">
      <c r="A1042" s="165" t="s">
        <v>1689</v>
      </c>
      <c r="B1042" s="13">
        <v>43505</v>
      </c>
      <c r="C1042" s="13" t="s">
        <v>1622</v>
      </c>
      <c r="D1042" s="165" t="s">
        <v>1008</v>
      </c>
      <c r="E1042" s="165" t="s">
        <v>1009</v>
      </c>
      <c r="F1042" s="165" t="str">
        <f t="shared" si="154"/>
        <v>TARR_16.18_200_NL2018</v>
      </c>
      <c r="G1042" s="165" t="s">
        <v>62</v>
      </c>
      <c r="H1042" s="12"/>
      <c r="I1042" s="12" t="s">
        <v>35</v>
      </c>
      <c r="J1042" s="14">
        <v>200</v>
      </c>
      <c r="K1042" s="15" t="s">
        <v>28</v>
      </c>
      <c r="L1042" s="15"/>
      <c r="M1042" s="16">
        <f t="shared" si="155"/>
        <v>50</v>
      </c>
      <c r="N1042" s="15">
        <v>10000</v>
      </c>
      <c r="O1042" s="15">
        <v>5500</v>
      </c>
      <c r="P1042" s="15">
        <f t="shared" si="161"/>
        <v>55000000</v>
      </c>
      <c r="Q1042" s="15" t="str">
        <f t="shared" si="160"/>
        <v>Done</v>
      </c>
      <c r="R1042" s="18" t="s">
        <v>44</v>
      </c>
      <c r="S1042" s="23">
        <v>43511</v>
      </c>
      <c r="T1042" s="20">
        <f>IFERROR(VLOOKUP(S1042,'Date Converter'!$A$4:$C$368,3,0),"")</f>
        <v>43544</v>
      </c>
      <c r="U1042" s="21">
        <f t="shared" si="159"/>
        <v>43544</v>
      </c>
      <c r="V1042" s="12" t="s">
        <v>32</v>
      </c>
      <c r="W1042" s="18" t="s">
        <v>33</v>
      </c>
      <c r="X1042" s="18"/>
      <c r="Y1042" s="18"/>
      <c r="Z1042" s="210">
        <v>43543</v>
      </c>
      <c r="AA1042" s="15">
        <v>10000</v>
      </c>
      <c r="AB1042" s="210"/>
      <c r="AC1042" s="15"/>
      <c r="AD1042" s="15"/>
      <c r="AE1042" s="15"/>
      <c r="AF1042" s="244"/>
      <c r="AG1042" s="15"/>
      <c r="AH1042" s="15">
        <f t="shared" si="156"/>
        <v>10000</v>
      </c>
      <c r="AI1042" s="22">
        <f t="shared" si="157"/>
        <v>0</v>
      </c>
      <c r="AJ1042" s="22">
        <f t="shared" si="158"/>
        <v>0</v>
      </c>
      <c r="AK1042" s="13">
        <v>43864</v>
      </c>
    </row>
    <row r="1043" spans="1:37" hidden="1">
      <c r="A1043" s="165" t="s">
        <v>1689</v>
      </c>
      <c r="B1043" s="13">
        <v>43505</v>
      </c>
      <c r="C1043" s="13" t="s">
        <v>1622</v>
      </c>
      <c r="D1043" s="165" t="s">
        <v>1008</v>
      </c>
      <c r="E1043" s="165" t="s">
        <v>1009</v>
      </c>
      <c r="F1043" s="165" t="str">
        <f t="shared" si="154"/>
        <v>TARR_16.18_200_NL2018</v>
      </c>
      <c r="G1043" s="165" t="s">
        <v>62</v>
      </c>
      <c r="I1043" s="12" t="s">
        <v>35</v>
      </c>
      <c r="J1043" s="14">
        <v>200</v>
      </c>
      <c r="K1043" s="15" t="s">
        <v>28</v>
      </c>
      <c r="M1043" s="16">
        <f t="shared" si="155"/>
        <v>50</v>
      </c>
      <c r="N1043" s="15">
        <v>10000</v>
      </c>
      <c r="O1043" s="15">
        <v>5500</v>
      </c>
      <c r="P1043" s="15">
        <f t="shared" si="161"/>
        <v>55000000</v>
      </c>
      <c r="Q1043" s="15" t="str">
        <f t="shared" si="160"/>
        <v>Done</v>
      </c>
      <c r="R1043" s="18" t="s">
        <v>44</v>
      </c>
      <c r="S1043" s="23" t="s">
        <v>53</v>
      </c>
      <c r="T1043" s="20">
        <f>IFERROR(VLOOKUP(S1043,'Date Converter'!$A$4:$C$368,3,0),"")</f>
        <v>43559</v>
      </c>
      <c r="U1043" s="21">
        <f t="shared" si="159"/>
        <v>43559</v>
      </c>
      <c r="V1043" s="20" t="s">
        <v>54</v>
      </c>
      <c r="W1043" s="18" t="s">
        <v>101</v>
      </c>
      <c r="Y1043" s="18"/>
      <c r="Z1043" s="210">
        <v>43557</v>
      </c>
      <c r="AA1043" s="15">
        <v>10000</v>
      </c>
      <c r="AB1043" s="210"/>
      <c r="AC1043" s="15"/>
      <c r="AD1043" s="15"/>
      <c r="AE1043" s="15"/>
      <c r="AF1043" s="244"/>
      <c r="AG1043" s="15"/>
      <c r="AH1043" s="15">
        <f t="shared" si="156"/>
        <v>10000</v>
      </c>
      <c r="AI1043" s="22">
        <f t="shared" si="157"/>
        <v>0</v>
      </c>
      <c r="AJ1043" s="22">
        <f t="shared" si="158"/>
        <v>0</v>
      </c>
      <c r="AK1043" s="13">
        <v>43864</v>
      </c>
    </row>
    <row r="1044" spans="1:37" hidden="1">
      <c r="A1044" s="165" t="s">
        <v>1689</v>
      </c>
      <c r="B1044" s="13">
        <v>43505</v>
      </c>
      <c r="C1044" s="13" t="s">
        <v>1622</v>
      </c>
      <c r="D1044" s="165" t="s">
        <v>1008</v>
      </c>
      <c r="E1044" s="165" t="s">
        <v>1009</v>
      </c>
      <c r="F1044" s="165" t="str">
        <f t="shared" si="154"/>
        <v>TARR_14.16_300_NL2018</v>
      </c>
      <c r="G1044" s="165" t="s">
        <v>62</v>
      </c>
      <c r="I1044" s="12" t="s">
        <v>47</v>
      </c>
      <c r="J1044" s="14">
        <v>300</v>
      </c>
      <c r="K1044" s="15" t="s">
        <v>28</v>
      </c>
      <c r="M1044" s="16">
        <f t="shared" si="155"/>
        <v>18</v>
      </c>
      <c r="N1044" s="15">
        <v>5400</v>
      </c>
      <c r="O1044" s="15">
        <v>4600</v>
      </c>
      <c r="P1044" s="15">
        <f t="shared" si="161"/>
        <v>24840000</v>
      </c>
      <c r="Q1044" s="15" t="str">
        <f t="shared" si="160"/>
        <v>Done</v>
      </c>
      <c r="R1044" s="18" t="s">
        <v>44</v>
      </c>
      <c r="S1044" s="23" t="s">
        <v>53</v>
      </c>
      <c r="T1044" s="20">
        <f>IFERROR(VLOOKUP(S1044,'Date Converter'!$A$4:$C$368,3,0),"")</f>
        <v>43559</v>
      </c>
      <c r="U1044" s="21">
        <f t="shared" si="159"/>
        <v>43559</v>
      </c>
      <c r="V1044" s="20" t="s">
        <v>54</v>
      </c>
      <c r="W1044" s="18" t="s">
        <v>101</v>
      </c>
      <c r="Y1044" s="18"/>
      <c r="Z1044" s="210">
        <v>43557</v>
      </c>
      <c r="AA1044" s="15">
        <v>5400</v>
      </c>
      <c r="AB1044" s="210"/>
      <c r="AC1044" s="15"/>
      <c r="AD1044" s="15"/>
      <c r="AE1044" s="15"/>
      <c r="AF1044" s="244"/>
      <c r="AG1044" s="15"/>
      <c r="AH1044" s="15">
        <f t="shared" si="156"/>
        <v>5400</v>
      </c>
      <c r="AI1044" s="22">
        <f t="shared" si="157"/>
        <v>0</v>
      </c>
      <c r="AJ1044" s="22">
        <f t="shared" si="158"/>
        <v>0</v>
      </c>
      <c r="AK1044" s="13">
        <v>43864</v>
      </c>
    </row>
    <row r="1045" spans="1:37" hidden="1">
      <c r="A1045" s="165" t="s">
        <v>1689</v>
      </c>
      <c r="B1045" s="13">
        <v>43505</v>
      </c>
      <c r="C1045" s="13" t="s">
        <v>1622</v>
      </c>
      <c r="D1045" s="165" t="s">
        <v>1008</v>
      </c>
      <c r="E1045" s="165" t="s">
        <v>1009</v>
      </c>
      <c r="F1045" s="165" t="str">
        <f t="shared" si="154"/>
        <v>TARR_14.16_300_NL2018</v>
      </c>
      <c r="G1045" s="165" t="s">
        <v>62</v>
      </c>
      <c r="I1045" s="12" t="s">
        <v>47</v>
      </c>
      <c r="J1045" s="14">
        <v>300</v>
      </c>
      <c r="K1045" s="15" t="s">
        <v>28</v>
      </c>
      <c r="M1045" s="16">
        <f t="shared" si="155"/>
        <v>20</v>
      </c>
      <c r="N1045" s="15">
        <v>6000</v>
      </c>
      <c r="O1045" s="15">
        <v>4600</v>
      </c>
      <c r="P1045" s="15">
        <f t="shared" si="161"/>
        <v>27600000</v>
      </c>
      <c r="Q1045" s="15" t="str">
        <f t="shared" si="160"/>
        <v>Done</v>
      </c>
      <c r="R1045" s="18" t="s">
        <v>44</v>
      </c>
      <c r="S1045" s="219">
        <v>43539</v>
      </c>
      <c r="T1045" s="20">
        <f>IFERROR(VLOOKUP(S1045,'Date Converter'!$A$4:$C$368,3,0),"")</f>
        <v>43574</v>
      </c>
      <c r="U1045" s="21">
        <f t="shared" si="159"/>
        <v>43574</v>
      </c>
      <c r="V1045" s="12" t="s">
        <v>57</v>
      </c>
      <c r="W1045" s="18" t="s">
        <v>58</v>
      </c>
      <c r="Y1045" s="18"/>
      <c r="Z1045" s="210">
        <v>43579</v>
      </c>
      <c r="AA1045" s="15">
        <v>6000</v>
      </c>
      <c r="AB1045" s="210"/>
      <c r="AC1045" s="15"/>
      <c r="AD1045" s="15"/>
      <c r="AE1045" s="15"/>
      <c r="AF1045" s="244"/>
      <c r="AG1045" s="15"/>
      <c r="AH1045" s="15">
        <f t="shared" si="156"/>
        <v>6000</v>
      </c>
      <c r="AI1045" s="22">
        <f t="shared" si="157"/>
        <v>0</v>
      </c>
      <c r="AJ1045" s="22">
        <f t="shared" si="158"/>
        <v>0</v>
      </c>
      <c r="AK1045" s="13">
        <v>43864</v>
      </c>
    </row>
    <row r="1046" spans="1:37" hidden="1">
      <c r="A1046" t="s">
        <v>1694</v>
      </c>
      <c r="B1046" s="13">
        <v>43505</v>
      </c>
      <c r="C1046" s="267" t="s">
        <v>1622</v>
      </c>
      <c r="D1046" s="258" t="s">
        <v>1008</v>
      </c>
      <c r="E1046" s="198" t="s">
        <v>1009</v>
      </c>
      <c r="F1046" s="165" t="str">
        <f t="shared" si="154"/>
        <v>TARR_20.22_125_NL2018</v>
      </c>
      <c r="G1046" s="165" t="s">
        <v>62</v>
      </c>
      <c r="I1046" s="12" t="s">
        <v>74</v>
      </c>
      <c r="J1046" s="14">
        <v>125</v>
      </c>
      <c r="K1046" s="15" t="s">
        <v>28</v>
      </c>
      <c r="M1046" s="16">
        <f t="shared" si="155"/>
        <v>80</v>
      </c>
      <c r="N1046" s="15">
        <v>10000</v>
      </c>
      <c r="O1046" s="15">
        <v>10100</v>
      </c>
      <c r="P1046" s="15">
        <f t="shared" si="161"/>
        <v>101000000</v>
      </c>
      <c r="Q1046" s="15" t="str">
        <f t="shared" si="160"/>
        <v/>
      </c>
      <c r="R1046" s="18" t="s">
        <v>29</v>
      </c>
      <c r="S1046" s="23">
        <v>43709</v>
      </c>
      <c r="T1046" s="20">
        <f>IFERROR(VLOOKUP(S1046,'Date Converter'!$A$4:$C$368,3,0),"")</f>
        <v>43737</v>
      </c>
      <c r="U1046" s="21">
        <f t="shared" si="159"/>
        <v>43737</v>
      </c>
      <c r="V1046" s="15" t="s">
        <v>51</v>
      </c>
      <c r="Y1046" s="18"/>
      <c r="Z1046" s="210"/>
      <c r="AA1046" s="15">
        <v>0</v>
      </c>
      <c r="AB1046" s="210"/>
      <c r="AC1046" s="15"/>
      <c r="AD1046" s="15"/>
      <c r="AE1046" s="15"/>
      <c r="AF1046" s="244"/>
      <c r="AG1046" s="15"/>
      <c r="AH1046" s="15">
        <f t="shared" si="156"/>
        <v>0</v>
      </c>
      <c r="AI1046" s="22">
        <f t="shared" si="157"/>
        <v>10000</v>
      </c>
      <c r="AJ1046" s="22">
        <f t="shared" si="158"/>
        <v>101000000</v>
      </c>
      <c r="AK1046" s="13">
        <v>43870</v>
      </c>
    </row>
    <row r="1047" spans="1:37" hidden="1">
      <c r="A1047" s="165" t="s">
        <v>1694</v>
      </c>
      <c r="B1047" s="13">
        <v>43505</v>
      </c>
      <c r="C1047" s="267" t="s">
        <v>1622</v>
      </c>
      <c r="D1047" s="258" t="s">
        <v>1008</v>
      </c>
      <c r="E1047" s="198" t="s">
        <v>1009</v>
      </c>
      <c r="F1047" s="165" t="str">
        <f t="shared" si="154"/>
        <v>TARR_18.20_150_NL2018</v>
      </c>
      <c r="G1047" s="165" t="s">
        <v>62</v>
      </c>
      <c r="I1047" s="12" t="s">
        <v>27</v>
      </c>
      <c r="J1047" s="14">
        <v>150</v>
      </c>
      <c r="K1047" s="15" t="s">
        <v>28</v>
      </c>
      <c r="M1047" s="16">
        <f t="shared" si="155"/>
        <v>67</v>
      </c>
      <c r="N1047" s="15">
        <v>10050</v>
      </c>
      <c r="O1047" s="15">
        <v>9100</v>
      </c>
      <c r="P1047" s="15">
        <f t="shared" si="161"/>
        <v>91455000</v>
      </c>
      <c r="Q1047" s="15" t="str">
        <f t="shared" si="160"/>
        <v/>
      </c>
      <c r="R1047" s="18" t="s">
        <v>29</v>
      </c>
      <c r="S1047" s="23">
        <v>43709</v>
      </c>
      <c r="T1047" s="20">
        <f>IFERROR(VLOOKUP(S1047,'Date Converter'!$A$4:$C$368,3,0),"")</f>
        <v>43737</v>
      </c>
      <c r="U1047" s="21">
        <f t="shared" si="159"/>
        <v>43737</v>
      </c>
      <c r="V1047" s="15" t="s">
        <v>51</v>
      </c>
      <c r="Y1047" s="18"/>
      <c r="Z1047" s="210"/>
      <c r="AA1047" s="15">
        <v>0</v>
      </c>
      <c r="AB1047" s="210"/>
      <c r="AC1047" s="15"/>
      <c r="AD1047" s="15"/>
      <c r="AE1047" s="15"/>
      <c r="AF1047" s="244"/>
      <c r="AG1047" s="15"/>
      <c r="AH1047" s="15">
        <f t="shared" si="156"/>
        <v>0</v>
      </c>
      <c r="AI1047" s="22">
        <f t="shared" si="157"/>
        <v>10050</v>
      </c>
      <c r="AJ1047" s="22">
        <f t="shared" si="158"/>
        <v>91455000</v>
      </c>
      <c r="AK1047" s="13">
        <v>43870</v>
      </c>
    </row>
    <row r="1048" spans="1:37" hidden="1">
      <c r="A1048" s="165" t="s">
        <v>1689</v>
      </c>
      <c r="B1048" s="13">
        <v>43505</v>
      </c>
      <c r="C1048" s="13" t="s">
        <v>1622</v>
      </c>
      <c r="D1048" s="165" t="s">
        <v>1008</v>
      </c>
      <c r="E1048" s="165" t="s">
        <v>1009</v>
      </c>
      <c r="F1048" s="165" t="str">
        <f t="shared" si="154"/>
        <v>ROBI_18.20_150_NL2018</v>
      </c>
      <c r="G1048" s="165" t="s">
        <v>61</v>
      </c>
      <c r="I1048" s="12" t="s">
        <v>27</v>
      </c>
      <c r="J1048" s="14">
        <v>150</v>
      </c>
      <c r="K1048" s="15" t="s">
        <v>28</v>
      </c>
      <c r="M1048" s="16">
        <f t="shared" si="155"/>
        <v>67</v>
      </c>
      <c r="N1048" s="15">
        <v>10050</v>
      </c>
      <c r="O1048" s="15">
        <v>6300</v>
      </c>
      <c r="P1048" s="15">
        <f t="shared" si="161"/>
        <v>63315000</v>
      </c>
      <c r="Q1048" s="15" t="str">
        <f t="shared" si="160"/>
        <v>Done</v>
      </c>
      <c r="R1048" s="18" t="s">
        <v>44</v>
      </c>
      <c r="S1048" s="23">
        <v>43511</v>
      </c>
      <c r="T1048" s="20">
        <f>IFERROR(VLOOKUP(S1048,'Date Converter'!$A$4:$C$368,3,0),"")</f>
        <v>43544</v>
      </c>
      <c r="U1048" s="21">
        <f t="shared" si="159"/>
        <v>43544</v>
      </c>
      <c r="V1048" s="12" t="s">
        <v>32</v>
      </c>
      <c r="W1048" s="18" t="s">
        <v>48</v>
      </c>
      <c r="Y1048" s="18"/>
      <c r="Z1048" s="210">
        <v>43543</v>
      </c>
      <c r="AA1048" s="15">
        <v>10050</v>
      </c>
      <c r="AB1048" s="210"/>
      <c r="AC1048" s="15"/>
      <c r="AD1048" s="15"/>
      <c r="AE1048" s="15"/>
      <c r="AF1048" s="244"/>
      <c r="AG1048" s="15"/>
      <c r="AH1048" s="15">
        <f t="shared" si="156"/>
        <v>10050</v>
      </c>
      <c r="AI1048" s="22">
        <f t="shared" si="157"/>
        <v>0</v>
      </c>
      <c r="AJ1048" s="22">
        <f t="shared" si="158"/>
        <v>0</v>
      </c>
      <c r="AK1048" s="13">
        <v>43864</v>
      </c>
    </row>
    <row r="1049" spans="1:37" hidden="1">
      <c r="A1049" t="s">
        <v>1689</v>
      </c>
      <c r="B1049" s="13">
        <v>43505</v>
      </c>
      <c r="C1049" s="13" t="s">
        <v>1622</v>
      </c>
      <c r="D1049" t="s">
        <v>1008</v>
      </c>
      <c r="E1049" s="165" t="s">
        <v>1009</v>
      </c>
      <c r="F1049" s="165" t="str">
        <f t="shared" si="154"/>
        <v>ROBI_18.20_150_NL2018</v>
      </c>
      <c r="G1049" s="165" t="s">
        <v>61</v>
      </c>
      <c r="I1049" s="12" t="s">
        <v>27</v>
      </c>
      <c r="J1049" s="14">
        <v>150</v>
      </c>
      <c r="K1049" s="15" t="s">
        <v>28</v>
      </c>
      <c r="M1049" s="16">
        <f t="shared" si="155"/>
        <v>67</v>
      </c>
      <c r="N1049" s="15">
        <v>10050</v>
      </c>
      <c r="O1049" s="15">
        <v>6300</v>
      </c>
      <c r="P1049" s="15">
        <f t="shared" si="161"/>
        <v>63315000</v>
      </c>
      <c r="Q1049" s="15" t="str">
        <f t="shared" si="160"/>
        <v>Done</v>
      </c>
      <c r="R1049" s="18" t="s">
        <v>44</v>
      </c>
      <c r="S1049" s="23" t="s">
        <v>53</v>
      </c>
      <c r="T1049" s="20">
        <f>IFERROR(VLOOKUP(S1049,'Date Converter'!$A$4:$C$368,3,0),"")</f>
        <v>43559</v>
      </c>
      <c r="U1049" s="21">
        <f t="shared" si="159"/>
        <v>43559</v>
      </c>
      <c r="V1049" s="20" t="s">
        <v>54</v>
      </c>
      <c r="W1049" s="18" t="s">
        <v>72</v>
      </c>
      <c r="Y1049" s="18"/>
      <c r="Z1049" s="210">
        <v>43557</v>
      </c>
      <c r="AA1049" s="15">
        <v>10050</v>
      </c>
      <c r="AB1049" s="210"/>
      <c r="AC1049" s="15"/>
      <c r="AD1049" s="15"/>
      <c r="AE1049" s="15"/>
      <c r="AF1049" s="244"/>
      <c r="AG1049" s="15"/>
      <c r="AH1049" s="15">
        <f t="shared" si="156"/>
        <v>10050</v>
      </c>
      <c r="AI1049" s="22">
        <f t="shared" si="157"/>
        <v>0</v>
      </c>
      <c r="AJ1049" s="22">
        <f t="shared" si="158"/>
        <v>0</v>
      </c>
      <c r="AK1049" s="13">
        <v>43865</v>
      </c>
    </row>
    <row r="1050" spans="1:37" hidden="1">
      <c r="A1050" s="165" t="s">
        <v>1689</v>
      </c>
      <c r="B1050" s="13">
        <v>43505</v>
      </c>
      <c r="C1050" s="13" t="s">
        <v>1622</v>
      </c>
      <c r="D1050" s="165" t="s">
        <v>1008</v>
      </c>
      <c r="E1050" s="198" t="s">
        <v>1009</v>
      </c>
      <c r="F1050" s="165" t="str">
        <f t="shared" si="154"/>
        <v>ROBI_18.20_150_NL2018</v>
      </c>
      <c r="G1050" s="165" t="s">
        <v>61</v>
      </c>
      <c r="I1050" s="12" t="s">
        <v>27</v>
      </c>
      <c r="J1050" s="14">
        <v>150</v>
      </c>
      <c r="K1050" s="15" t="s">
        <v>28</v>
      </c>
      <c r="M1050" s="16">
        <f t="shared" si="155"/>
        <v>67</v>
      </c>
      <c r="N1050" s="15">
        <v>10050</v>
      </c>
      <c r="O1050" s="15">
        <f>6300+198</f>
        <v>6498</v>
      </c>
      <c r="P1050" s="15">
        <f t="shared" si="161"/>
        <v>65304900</v>
      </c>
      <c r="Q1050" s="15" t="str">
        <f t="shared" si="160"/>
        <v>Done</v>
      </c>
      <c r="R1050" s="18" t="s">
        <v>44</v>
      </c>
      <c r="S1050" s="23">
        <v>43570</v>
      </c>
      <c r="T1050" s="20">
        <f>IFERROR(VLOOKUP(S1050,'Date Converter'!$A$4:$C$368,3,0),"")</f>
        <v>43604</v>
      </c>
      <c r="U1050" s="21">
        <f t="shared" si="159"/>
        <v>43604</v>
      </c>
      <c r="V1050" s="20" t="s">
        <v>87</v>
      </c>
      <c r="Y1050" s="18"/>
      <c r="Z1050" s="210">
        <v>43605</v>
      </c>
      <c r="AA1050" s="15">
        <v>10050</v>
      </c>
      <c r="AB1050" s="210"/>
      <c r="AC1050" s="15"/>
      <c r="AD1050" s="15"/>
      <c r="AE1050" s="15"/>
      <c r="AF1050" s="244"/>
      <c r="AG1050" s="15"/>
      <c r="AH1050" s="15">
        <f t="shared" si="156"/>
        <v>10050</v>
      </c>
      <c r="AI1050" s="22">
        <f t="shared" si="157"/>
        <v>0</v>
      </c>
      <c r="AJ1050" s="22">
        <f t="shared" si="158"/>
        <v>0</v>
      </c>
      <c r="AK1050" s="13">
        <v>43870</v>
      </c>
    </row>
    <row r="1051" spans="1:37" s="165" customFormat="1" hidden="1">
      <c r="A1051" s="165" t="s">
        <v>1689</v>
      </c>
      <c r="B1051" s="13">
        <v>43505</v>
      </c>
      <c r="C1051" s="13" t="s">
        <v>1622</v>
      </c>
      <c r="D1051" s="165" t="s">
        <v>1008</v>
      </c>
      <c r="E1051" s="198" t="s">
        <v>1009</v>
      </c>
      <c r="F1051" s="165" t="str">
        <f t="shared" si="154"/>
        <v>ROBI_18.20_150_NL2018</v>
      </c>
      <c r="G1051" s="165" t="s">
        <v>61</v>
      </c>
      <c r="H1051" s="12"/>
      <c r="I1051" s="12" t="s">
        <v>27</v>
      </c>
      <c r="J1051" s="14">
        <v>150</v>
      </c>
      <c r="K1051" s="15" t="s">
        <v>28</v>
      </c>
      <c r="L1051" s="15"/>
      <c r="M1051" s="16">
        <f t="shared" si="155"/>
        <v>0</v>
      </c>
      <c r="N1051" s="15">
        <f>10050-10050</f>
        <v>0</v>
      </c>
      <c r="O1051" s="15">
        <v>6618</v>
      </c>
      <c r="P1051" s="15">
        <f t="shared" si="161"/>
        <v>0</v>
      </c>
      <c r="Q1051" s="15" t="str">
        <f t="shared" si="160"/>
        <v>Canceled</v>
      </c>
      <c r="R1051" s="221" t="s">
        <v>71</v>
      </c>
      <c r="S1051" s="23">
        <v>43587</v>
      </c>
      <c r="T1051" s="20">
        <f>IFERROR(VLOOKUP(S1051,'Date Converter'!$A$4:$C$368,3,0),"")</f>
        <v>43620</v>
      </c>
      <c r="U1051" s="21">
        <f t="shared" si="159"/>
        <v>43620</v>
      </c>
      <c r="V1051" s="20" t="s">
        <v>1632</v>
      </c>
      <c r="W1051" s="18"/>
      <c r="X1051" s="18"/>
      <c r="Y1051" s="18"/>
      <c r="Z1051" s="210"/>
      <c r="AA1051" s="15">
        <v>0</v>
      </c>
      <c r="AB1051" s="210"/>
      <c r="AC1051" s="15"/>
      <c r="AD1051" s="15"/>
      <c r="AE1051" s="15"/>
      <c r="AF1051" s="244"/>
      <c r="AG1051" s="15"/>
      <c r="AH1051" s="15">
        <f t="shared" si="156"/>
        <v>0</v>
      </c>
      <c r="AI1051" s="22">
        <f t="shared" si="157"/>
        <v>0</v>
      </c>
      <c r="AJ1051" s="22">
        <f t="shared" si="158"/>
        <v>0</v>
      </c>
      <c r="AK1051" s="13">
        <v>43870</v>
      </c>
    </row>
    <row r="1052" spans="1:37" s="165" customFormat="1" hidden="1">
      <c r="A1052" s="165" t="s">
        <v>1689</v>
      </c>
      <c r="B1052" s="13">
        <v>43505</v>
      </c>
      <c r="C1052" s="13" t="s">
        <v>1622</v>
      </c>
      <c r="D1052" s="165" t="s">
        <v>1008</v>
      </c>
      <c r="E1052" s="198" t="s">
        <v>1009</v>
      </c>
      <c r="F1052" s="165" t="str">
        <f t="shared" si="154"/>
        <v>ROBI_18.20_150_NL2018</v>
      </c>
      <c r="G1052" s="165" t="s">
        <v>61</v>
      </c>
      <c r="H1052" s="12"/>
      <c r="I1052" s="12" t="s">
        <v>27</v>
      </c>
      <c r="J1052" s="14">
        <v>150</v>
      </c>
      <c r="K1052" s="15" t="s">
        <v>28</v>
      </c>
      <c r="L1052" s="15"/>
      <c r="M1052" s="16">
        <f t="shared" si="155"/>
        <v>67</v>
      </c>
      <c r="N1052" s="15">
        <v>10050</v>
      </c>
      <c r="O1052" s="15">
        <v>6738</v>
      </c>
      <c r="P1052" s="15">
        <f t="shared" si="161"/>
        <v>67716900</v>
      </c>
      <c r="Q1052" s="15" t="str">
        <f t="shared" si="160"/>
        <v/>
      </c>
      <c r="R1052" s="221" t="s">
        <v>31</v>
      </c>
      <c r="S1052" s="23">
        <v>43631</v>
      </c>
      <c r="T1052" s="20">
        <f>IFERROR(VLOOKUP(S1052,'Date Converter'!$A$4:$C$368,3,0),"")</f>
        <v>43663</v>
      </c>
      <c r="U1052" s="21">
        <f t="shared" si="159"/>
        <v>43663</v>
      </c>
      <c r="V1052" s="20" t="s">
        <v>1692</v>
      </c>
      <c r="W1052" s="18"/>
      <c r="X1052" s="18"/>
      <c r="Y1052" s="18"/>
      <c r="Z1052" s="210"/>
      <c r="AA1052" s="15">
        <v>0</v>
      </c>
      <c r="AB1052" s="210"/>
      <c r="AC1052" s="15"/>
      <c r="AD1052" s="15"/>
      <c r="AE1052" s="15"/>
      <c r="AF1052" s="244"/>
      <c r="AG1052" s="15"/>
      <c r="AH1052" s="15">
        <f t="shared" si="156"/>
        <v>0</v>
      </c>
      <c r="AI1052" s="22">
        <f t="shared" si="157"/>
        <v>10050</v>
      </c>
      <c r="AJ1052" s="22">
        <f t="shared" si="158"/>
        <v>67716900</v>
      </c>
      <c r="AK1052" s="13">
        <v>43870</v>
      </c>
    </row>
    <row r="1053" spans="1:37" s="165" customFormat="1" hidden="1">
      <c r="A1053" s="165" t="s">
        <v>1689</v>
      </c>
      <c r="B1053" s="13">
        <v>43505</v>
      </c>
      <c r="C1053" s="13" t="s">
        <v>1622</v>
      </c>
      <c r="D1053" s="165" t="s">
        <v>1008</v>
      </c>
      <c r="E1053" s="198" t="s">
        <v>1009</v>
      </c>
      <c r="F1053" s="165" t="str">
        <f t="shared" si="154"/>
        <v>ROBI_18.20_150_NL2018</v>
      </c>
      <c r="G1053" s="165" t="s">
        <v>61</v>
      </c>
      <c r="H1053" s="12"/>
      <c r="I1053" s="12" t="s">
        <v>27</v>
      </c>
      <c r="J1053" s="14">
        <v>150</v>
      </c>
      <c r="K1053" s="15" t="s">
        <v>28</v>
      </c>
      <c r="L1053" s="15"/>
      <c r="M1053" s="16">
        <f t="shared" si="155"/>
        <v>134</v>
      </c>
      <c r="N1053" s="15">
        <f>10050+10050</f>
        <v>20100</v>
      </c>
      <c r="O1053" s="15">
        <v>6858</v>
      </c>
      <c r="P1053" s="15">
        <f t="shared" si="161"/>
        <v>137845800</v>
      </c>
      <c r="Q1053" s="15" t="str">
        <f t="shared" si="160"/>
        <v/>
      </c>
      <c r="R1053" s="221" t="s">
        <v>29</v>
      </c>
      <c r="S1053" s="23">
        <v>43648</v>
      </c>
      <c r="T1053" s="20">
        <f>IFERROR(VLOOKUP(S1053,'Date Converter'!$A$4:$C$368,3,0),"")</f>
        <v>43679</v>
      </c>
      <c r="U1053" s="21">
        <f t="shared" si="159"/>
        <v>43679</v>
      </c>
      <c r="V1053" s="20" t="s">
        <v>1693</v>
      </c>
      <c r="W1053" s="18"/>
      <c r="X1053" s="18"/>
      <c r="Y1053" s="18"/>
      <c r="Z1053" s="210"/>
      <c r="AA1053" s="15">
        <v>0</v>
      </c>
      <c r="AB1053" s="210"/>
      <c r="AC1053" s="15"/>
      <c r="AD1053" s="15"/>
      <c r="AE1053" s="15"/>
      <c r="AF1053" s="244"/>
      <c r="AG1053" s="15"/>
      <c r="AH1053" s="15">
        <f t="shared" si="156"/>
        <v>0</v>
      </c>
      <c r="AI1053" s="22">
        <f t="shared" si="157"/>
        <v>20100</v>
      </c>
      <c r="AJ1053" s="22">
        <f t="shared" si="158"/>
        <v>137845800</v>
      </c>
      <c r="AK1053" s="13">
        <v>43870</v>
      </c>
    </row>
    <row r="1054" spans="1:37" s="165" customFormat="1" hidden="1">
      <c r="A1054" s="165" t="s">
        <v>1694</v>
      </c>
      <c r="B1054" s="13">
        <v>43505</v>
      </c>
      <c r="C1054" s="267" t="s">
        <v>1622</v>
      </c>
      <c r="D1054" s="258" t="s">
        <v>1008</v>
      </c>
      <c r="E1054" s="198" t="s">
        <v>1009</v>
      </c>
      <c r="F1054" s="165" t="str">
        <f t="shared" si="154"/>
        <v>ROBI_18.20_150_NL2018</v>
      </c>
      <c r="G1054" s="165" t="s">
        <v>61</v>
      </c>
      <c r="H1054" s="12"/>
      <c r="I1054" s="12" t="s">
        <v>27</v>
      </c>
      <c r="J1054" s="14">
        <v>150</v>
      </c>
      <c r="K1054" s="15" t="s">
        <v>28</v>
      </c>
      <c r="L1054" s="15"/>
      <c r="M1054" s="16">
        <f t="shared" si="155"/>
        <v>34</v>
      </c>
      <c r="N1054" s="15">
        <v>5100</v>
      </c>
      <c r="O1054" s="15">
        <v>7200</v>
      </c>
      <c r="P1054" s="15">
        <f t="shared" si="161"/>
        <v>36720000</v>
      </c>
      <c r="Q1054" s="15" t="str">
        <f t="shared" si="160"/>
        <v/>
      </c>
      <c r="R1054" s="18" t="s">
        <v>29</v>
      </c>
      <c r="S1054" s="23">
        <v>43709</v>
      </c>
      <c r="T1054" s="20">
        <f>IFERROR(VLOOKUP(S1054,'Date Converter'!$A$4:$C$368,3,0),"")</f>
        <v>43737</v>
      </c>
      <c r="U1054" s="21">
        <f t="shared" si="159"/>
        <v>43737</v>
      </c>
      <c r="V1054" s="15" t="s">
        <v>51</v>
      </c>
      <c r="W1054" s="18"/>
      <c r="X1054" s="18"/>
      <c r="Y1054" s="18"/>
      <c r="Z1054" s="210"/>
      <c r="AA1054" s="15">
        <v>0</v>
      </c>
      <c r="AB1054" s="210"/>
      <c r="AC1054" s="15"/>
      <c r="AD1054" s="15"/>
      <c r="AE1054" s="15"/>
      <c r="AF1054" s="244"/>
      <c r="AG1054" s="15"/>
      <c r="AH1054" s="15">
        <f t="shared" si="156"/>
        <v>0</v>
      </c>
      <c r="AI1054" s="22">
        <f t="shared" si="157"/>
        <v>5100</v>
      </c>
      <c r="AJ1054" s="22">
        <f t="shared" si="158"/>
        <v>36720000</v>
      </c>
      <c r="AK1054" s="13">
        <v>43870</v>
      </c>
    </row>
    <row r="1055" spans="1:37" hidden="1">
      <c r="A1055" s="165" t="s">
        <v>1694</v>
      </c>
      <c r="B1055" s="13">
        <v>43505</v>
      </c>
      <c r="C1055" s="267" t="s">
        <v>1622</v>
      </c>
      <c r="D1055" s="258" t="s">
        <v>1008</v>
      </c>
      <c r="E1055" s="198" t="s">
        <v>1009</v>
      </c>
      <c r="F1055" s="165" t="str">
        <f t="shared" si="154"/>
        <v>ROBI_20.22_125_NL2018</v>
      </c>
      <c r="G1055" s="165" t="s">
        <v>61</v>
      </c>
      <c r="I1055" s="12" t="s">
        <v>74</v>
      </c>
      <c r="J1055" s="14">
        <v>125</v>
      </c>
      <c r="K1055" s="15" t="s">
        <v>28</v>
      </c>
      <c r="M1055" s="16">
        <f t="shared" si="155"/>
        <v>40</v>
      </c>
      <c r="N1055" s="15">
        <v>5000</v>
      </c>
      <c r="O1055" s="15">
        <v>10500</v>
      </c>
      <c r="P1055" s="15">
        <f t="shared" si="161"/>
        <v>52500000</v>
      </c>
      <c r="Q1055" s="15" t="str">
        <f t="shared" si="160"/>
        <v/>
      </c>
      <c r="R1055" s="18" t="s">
        <v>29</v>
      </c>
      <c r="S1055" s="23">
        <v>43709</v>
      </c>
      <c r="T1055" s="20">
        <f>IFERROR(VLOOKUP(S1055,'Date Converter'!$A$4:$C$368,3,0),"")</f>
        <v>43737</v>
      </c>
      <c r="U1055" s="21">
        <f t="shared" si="159"/>
        <v>43737</v>
      </c>
      <c r="V1055" s="15" t="s">
        <v>51</v>
      </c>
      <c r="Y1055" s="18"/>
      <c r="Z1055" s="210"/>
      <c r="AA1055" s="15">
        <v>0</v>
      </c>
      <c r="AB1055" s="210"/>
      <c r="AC1055" s="15"/>
      <c r="AD1055" s="15"/>
      <c r="AE1055" s="15"/>
      <c r="AF1055" s="244"/>
      <c r="AG1055" s="15"/>
      <c r="AH1055" s="15">
        <f t="shared" si="156"/>
        <v>0</v>
      </c>
      <c r="AI1055" s="22">
        <f t="shared" si="157"/>
        <v>5000</v>
      </c>
      <c r="AJ1055" s="22">
        <f t="shared" si="158"/>
        <v>52500000</v>
      </c>
      <c r="AK1055" s="13">
        <v>43870</v>
      </c>
    </row>
    <row r="1056" spans="1:37" s="165" customFormat="1" hidden="1">
      <c r="A1056" s="165" t="s">
        <v>1689</v>
      </c>
      <c r="B1056" s="13">
        <v>43505</v>
      </c>
      <c r="C1056" s="13" t="s">
        <v>1622</v>
      </c>
      <c r="D1056" s="165" t="s">
        <v>1008</v>
      </c>
      <c r="E1056" s="165" t="s">
        <v>1009</v>
      </c>
      <c r="F1056" s="165" t="str">
        <f t="shared" si="154"/>
        <v>PAVI_12.14_400_NL2018</v>
      </c>
      <c r="G1056" s="165" t="s">
        <v>138</v>
      </c>
      <c r="H1056" s="12"/>
      <c r="I1056" s="12" t="s">
        <v>113</v>
      </c>
      <c r="J1056" s="14">
        <v>400</v>
      </c>
      <c r="K1056" s="15" t="s">
        <v>28</v>
      </c>
      <c r="L1056" s="15"/>
      <c r="M1056" s="16">
        <f t="shared" si="155"/>
        <v>13</v>
      </c>
      <c r="N1056" s="15">
        <v>5200</v>
      </c>
      <c r="O1056" s="15">
        <v>2800</v>
      </c>
      <c r="P1056" s="15">
        <f t="shared" si="161"/>
        <v>14560000</v>
      </c>
      <c r="Q1056" s="15" t="str">
        <f t="shared" si="160"/>
        <v>Done</v>
      </c>
      <c r="R1056" s="18" t="s">
        <v>44</v>
      </c>
      <c r="S1056" s="23">
        <v>43480</v>
      </c>
      <c r="T1056" s="20">
        <f>IFERROR(VLOOKUP(S1056,'Date Converter'!$A$4:$C$368,3,0),"")</f>
        <v>43515</v>
      </c>
      <c r="U1056" s="21">
        <f t="shared" si="159"/>
        <v>43515</v>
      </c>
      <c r="V1056" s="12" t="s">
        <v>45</v>
      </c>
      <c r="W1056" s="18"/>
      <c r="X1056" s="18"/>
      <c r="Y1056" s="18"/>
      <c r="Z1056" s="210">
        <v>43516</v>
      </c>
      <c r="AA1056" s="15">
        <v>5200</v>
      </c>
      <c r="AB1056" s="210"/>
      <c r="AC1056" s="15"/>
      <c r="AD1056" s="15"/>
      <c r="AE1056" s="15"/>
      <c r="AF1056" s="244"/>
      <c r="AG1056" s="15"/>
      <c r="AH1056" s="15">
        <f t="shared" si="156"/>
        <v>5200</v>
      </c>
      <c r="AI1056" s="22">
        <f t="shared" si="157"/>
        <v>0</v>
      </c>
      <c r="AJ1056" s="22">
        <f t="shared" si="158"/>
        <v>0</v>
      </c>
      <c r="AK1056" s="13"/>
    </row>
    <row r="1057" spans="1:37" hidden="1">
      <c r="A1057" s="165" t="s">
        <v>1689</v>
      </c>
      <c r="B1057" s="13">
        <v>43505</v>
      </c>
      <c r="C1057" s="13" t="s">
        <v>1622</v>
      </c>
      <c r="D1057" s="165" t="s">
        <v>1008</v>
      </c>
      <c r="E1057" s="165" t="s">
        <v>1009</v>
      </c>
      <c r="F1057" s="165" t="str">
        <f t="shared" si="154"/>
        <v>PAVI_12.14_400_NL2018</v>
      </c>
      <c r="G1057" s="165" t="s">
        <v>138</v>
      </c>
      <c r="I1057" s="12" t="s">
        <v>113</v>
      </c>
      <c r="J1057" s="14">
        <v>400</v>
      </c>
      <c r="K1057" s="15" t="s">
        <v>28</v>
      </c>
      <c r="M1057" s="16">
        <f t="shared" si="155"/>
        <v>50</v>
      </c>
      <c r="N1057" s="15">
        <v>20000</v>
      </c>
      <c r="O1057" s="15">
        <v>2800</v>
      </c>
      <c r="P1057" s="15">
        <f t="shared" si="161"/>
        <v>56000000</v>
      </c>
      <c r="Q1057" s="15" t="str">
        <f t="shared" si="160"/>
        <v>Done</v>
      </c>
      <c r="R1057" s="18" t="s">
        <v>44</v>
      </c>
      <c r="S1057" s="23">
        <v>43511</v>
      </c>
      <c r="T1057" s="20">
        <f>IFERROR(VLOOKUP(S1057,'Date Converter'!$A$4:$C$368,3,0),"")</f>
        <v>43544</v>
      </c>
      <c r="U1057" s="21">
        <f t="shared" si="159"/>
        <v>43544</v>
      </c>
      <c r="V1057" s="12" t="s">
        <v>32</v>
      </c>
      <c r="W1057" s="18" t="s">
        <v>39</v>
      </c>
      <c r="Y1057" s="18"/>
      <c r="Z1057" s="210">
        <v>43543</v>
      </c>
      <c r="AA1057" s="15">
        <v>20000</v>
      </c>
      <c r="AB1057" s="210"/>
      <c r="AC1057" s="15"/>
      <c r="AD1057" s="15"/>
      <c r="AE1057" s="15"/>
      <c r="AF1057" s="244"/>
      <c r="AG1057" s="15"/>
      <c r="AH1057" s="15">
        <f t="shared" si="156"/>
        <v>20000</v>
      </c>
      <c r="AI1057" s="22">
        <f t="shared" si="157"/>
        <v>0</v>
      </c>
      <c r="AJ1057" s="22">
        <f t="shared" si="158"/>
        <v>0</v>
      </c>
      <c r="AK1057" s="13">
        <v>43864</v>
      </c>
    </row>
    <row r="1058" spans="1:37" s="165" customFormat="1" hidden="1">
      <c r="A1058" s="165" t="s">
        <v>1689</v>
      </c>
      <c r="B1058" s="13">
        <v>43505</v>
      </c>
      <c r="C1058" s="13" t="s">
        <v>1622</v>
      </c>
      <c r="D1058" s="165" t="s">
        <v>1008</v>
      </c>
      <c r="E1058" s="198" t="s">
        <v>1009</v>
      </c>
      <c r="F1058" s="165" t="str">
        <f t="shared" si="154"/>
        <v>PAVI_12.14_400_NL2018</v>
      </c>
      <c r="G1058" s="165" t="s">
        <v>138</v>
      </c>
      <c r="H1058" s="12"/>
      <c r="I1058" s="12" t="s">
        <v>113</v>
      </c>
      <c r="J1058" s="14">
        <v>400</v>
      </c>
      <c r="K1058" s="15" t="s">
        <v>28</v>
      </c>
      <c r="L1058" s="15"/>
      <c r="M1058" s="16">
        <f t="shared" si="155"/>
        <v>38</v>
      </c>
      <c r="N1058" s="15">
        <v>15200</v>
      </c>
      <c r="O1058" s="15">
        <v>2900</v>
      </c>
      <c r="P1058" s="15">
        <f t="shared" si="161"/>
        <v>44080000</v>
      </c>
      <c r="Q1058" s="15" t="str">
        <f t="shared" si="160"/>
        <v>Done</v>
      </c>
      <c r="R1058" s="18" t="s">
        <v>44</v>
      </c>
      <c r="S1058" s="23">
        <v>43570</v>
      </c>
      <c r="T1058" s="20">
        <f>IFERROR(VLOOKUP(S1058,'Date Converter'!$A$4:$C$368,3,0),"")</f>
        <v>43604</v>
      </c>
      <c r="U1058" s="21">
        <f t="shared" si="159"/>
        <v>43604</v>
      </c>
      <c r="V1058" s="20" t="s">
        <v>87</v>
      </c>
      <c r="W1058" s="18"/>
      <c r="X1058" s="18"/>
      <c r="Y1058" s="18"/>
      <c r="Z1058" s="210">
        <v>43605</v>
      </c>
      <c r="AA1058" s="15">
        <v>15200</v>
      </c>
      <c r="AB1058" s="210"/>
      <c r="AC1058" s="15"/>
      <c r="AD1058" s="15"/>
      <c r="AE1058" s="15"/>
      <c r="AF1058" s="244"/>
      <c r="AG1058" s="15"/>
      <c r="AH1058" s="15">
        <f t="shared" si="156"/>
        <v>15200</v>
      </c>
      <c r="AI1058" s="22">
        <f t="shared" si="157"/>
        <v>0</v>
      </c>
      <c r="AJ1058" s="22">
        <f t="shared" si="158"/>
        <v>0</v>
      </c>
      <c r="AK1058" s="13"/>
    </row>
    <row r="1059" spans="1:37" s="165" customFormat="1" hidden="1">
      <c r="A1059" s="165" t="s">
        <v>1694</v>
      </c>
      <c r="B1059" s="13">
        <v>43505</v>
      </c>
      <c r="C1059" s="267" t="s">
        <v>1622</v>
      </c>
      <c r="D1059" s="258" t="s">
        <v>1008</v>
      </c>
      <c r="E1059" s="198" t="s">
        <v>1009</v>
      </c>
      <c r="F1059" s="165" t="str">
        <f t="shared" si="154"/>
        <v>NELL_18.20_150_NL2018</v>
      </c>
      <c r="G1059" s="165" t="s">
        <v>131</v>
      </c>
      <c r="H1059" s="12"/>
      <c r="I1059" s="12" t="s">
        <v>27</v>
      </c>
      <c r="J1059" s="14">
        <v>150</v>
      </c>
      <c r="K1059" s="15" t="s">
        <v>28</v>
      </c>
      <c r="L1059" s="15"/>
      <c r="M1059" s="16">
        <f t="shared" si="155"/>
        <v>67</v>
      </c>
      <c r="N1059" s="15">
        <v>10050</v>
      </c>
      <c r="O1059" s="15">
        <v>7100</v>
      </c>
      <c r="P1059" s="15">
        <f t="shared" si="161"/>
        <v>71355000</v>
      </c>
      <c r="Q1059" s="15" t="str">
        <f t="shared" si="160"/>
        <v/>
      </c>
      <c r="R1059" s="18" t="s">
        <v>29</v>
      </c>
      <c r="S1059" s="23">
        <v>43709</v>
      </c>
      <c r="T1059" s="20">
        <f>IFERROR(VLOOKUP(S1059,'Date Converter'!$A$4:$C$368,3,0),"")</f>
        <v>43737</v>
      </c>
      <c r="U1059" s="21">
        <f t="shared" si="159"/>
        <v>43737</v>
      </c>
      <c r="V1059" s="15" t="s">
        <v>51</v>
      </c>
      <c r="W1059" s="18"/>
      <c r="X1059" s="18"/>
      <c r="Y1059" s="18"/>
      <c r="Z1059" s="210"/>
      <c r="AA1059" s="15">
        <v>0</v>
      </c>
      <c r="AB1059" s="210"/>
      <c r="AC1059" s="15"/>
      <c r="AD1059" s="15"/>
      <c r="AE1059" s="15"/>
      <c r="AF1059" s="244"/>
      <c r="AG1059" s="15"/>
      <c r="AH1059" s="15">
        <f t="shared" si="156"/>
        <v>0</v>
      </c>
      <c r="AI1059" s="22">
        <f t="shared" si="157"/>
        <v>10050</v>
      </c>
      <c r="AJ1059" s="22">
        <f t="shared" si="158"/>
        <v>71355000</v>
      </c>
      <c r="AK1059" s="13">
        <v>43870</v>
      </c>
    </row>
    <row r="1060" spans="1:37" hidden="1">
      <c r="A1060" s="165" t="s">
        <v>1689</v>
      </c>
      <c r="B1060" s="13">
        <v>43505</v>
      </c>
      <c r="C1060" s="13" t="s">
        <v>1622</v>
      </c>
      <c r="D1060" s="165" t="s">
        <v>1008</v>
      </c>
      <c r="E1060" s="198" t="s">
        <v>1009</v>
      </c>
      <c r="F1060" s="165" t="str">
        <f t="shared" si="154"/>
        <v>MANI_18.20_150_NL2018</v>
      </c>
      <c r="G1060" s="165" t="s">
        <v>105</v>
      </c>
      <c r="I1060" s="12" t="s">
        <v>27</v>
      </c>
      <c r="J1060" s="14">
        <v>150</v>
      </c>
      <c r="K1060" s="15" t="s">
        <v>28</v>
      </c>
      <c r="M1060" s="16">
        <f t="shared" si="155"/>
        <v>134</v>
      </c>
      <c r="N1060" s="15">
        <f>10050+10050</f>
        <v>20100</v>
      </c>
      <c r="O1060" s="15">
        <f>9000+200</f>
        <v>9200</v>
      </c>
      <c r="P1060" s="15">
        <f t="shared" si="161"/>
        <v>184920000</v>
      </c>
      <c r="Q1060" s="15" t="str">
        <f t="shared" si="160"/>
        <v/>
      </c>
      <c r="R1060" s="18" t="s">
        <v>31</v>
      </c>
      <c r="S1060" s="23">
        <v>43631</v>
      </c>
      <c r="T1060" s="20">
        <f>IFERROR(VLOOKUP(S1060,'Date Converter'!$A$4:$C$368,3,0),"")</f>
        <v>43663</v>
      </c>
      <c r="U1060" s="21">
        <f t="shared" si="159"/>
        <v>43663</v>
      </c>
      <c r="V1060" s="20" t="s">
        <v>87</v>
      </c>
      <c r="Y1060" s="18"/>
      <c r="Z1060" s="210"/>
      <c r="AA1060" s="15"/>
      <c r="AB1060" s="210"/>
      <c r="AC1060" s="15"/>
      <c r="AD1060" s="15"/>
      <c r="AE1060" s="15"/>
      <c r="AF1060" s="244"/>
      <c r="AG1060" s="15"/>
      <c r="AH1060" s="15">
        <f t="shared" si="156"/>
        <v>0</v>
      </c>
      <c r="AI1060" s="22">
        <f t="shared" si="157"/>
        <v>20100</v>
      </c>
      <c r="AJ1060" s="22">
        <f t="shared" si="158"/>
        <v>184920000</v>
      </c>
      <c r="AK1060" s="13"/>
    </row>
    <row r="1061" spans="1:37" s="165" customFormat="1" hidden="1">
      <c r="A1061" s="165" t="s">
        <v>1689</v>
      </c>
      <c r="B1061" s="13">
        <v>43505</v>
      </c>
      <c r="C1061" s="13" t="s">
        <v>1622</v>
      </c>
      <c r="D1061" s="165" t="s">
        <v>1008</v>
      </c>
      <c r="E1061" s="198" t="s">
        <v>1009</v>
      </c>
      <c r="F1061" s="165" t="str">
        <f t="shared" si="154"/>
        <v>MANI_18.20_150_NL2018</v>
      </c>
      <c r="G1061" s="165" t="s">
        <v>105</v>
      </c>
      <c r="H1061" s="12"/>
      <c r="I1061" s="12" t="s">
        <v>27</v>
      </c>
      <c r="J1061" s="14">
        <v>150</v>
      </c>
      <c r="K1061" s="15" t="s">
        <v>28</v>
      </c>
      <c r="L1061" s="15"/>
      <c r="M1061" s="16">
        <f t="shared" si="155"/>
        <v>67</v>
      </c>
      <c r="N1061" s="15">
        <v>10050</v>
      </c>
      <c r="O1061" s="15">
        <v>9100</v>
      </c>
      <c r="P1061" s="15">
        <f t="shared" si="161"/>
        <v>91455000</v>
      </c>
      <c r="Q1061" s="15" t="str">
        <f t="shared" si="160"/>
        <v>Done</v>
      </c>
      <c r="R1061" s="18" t="s">
        <v>44</v>
      </c>
      <c r="S1061" s="23">
        <v>43584</v>
      </c>
      <c r="T1061" s="20">
        <f>IFERROR(VLOOKUP(S1061,'Date Converter'!$A$4:$C$368,3,0),"")</f>
        <v>43618</v>
      </c>
      <c r="U1061" s="21">
        <f t="shared" si="159"/>
        <v>43618</v>
      </c>
      <c r="V1061" s="20" t="s">
        <v>443</v>
      </c>
      <c r="W1061" s="18"/>
      <c r="X1061" s="18"/>
      <c r="Y1061" s="18"/>
      <c r="Z1061" s="210">
        <v>43626</v>
      </c>
      <c r="AA1061" s="15">
        <v>10050</v>
      </c>
      <c r="AB1061" s="210"/>
      <c r="AC1061" s="15"/>
      <c r="AD1061" s="15"/>
      <c r="AE1061" s="15"/>
      <c r="AF1061" s="244"/>
      <c r="AG1061" s="15"/>
      <c r="AH1061" s="15">
        <f t="shared" si="156"/>
        <v>10050</v>
      </c>
      <c r="AI1061" s="22">
        <f t="shared" si="157"/>
        <v>0</v>
      </c>
      <c r="AJ1061" s="22">
        <f t="shared" si="158"/>
        <v>0</v>
      </c>
      <c r="AK1061" s="13"/>
    </row>
    <row r="1062" spans="1:37" hidden="1">
      <c r="A1062" s="165" t="s">
        <v>1689</v>
      </c>
      <c r="B1062" s="13">
        <v>43505</v>
      </c>
      <c r="C1062" s="13" t="s">
        <v>1622</v>
      </c>
      <c r="D1062" s="165" t="s">
        <v>1008</v>
      </c>
      <c r="E1062" s="198" t="s">
        <v>1009</v>
      </c>
      <c r="F1062" s="165" t="str">
        <f t="shared" si="154"/>
        <v>MANI_18.20_150_NL2018</v>
      </c>
      <c r="G1062" s="165" t="s">
        <v>105</v>
      </c>
      <c r="I1062" s="12" t="s">
        <v>27</v>
      </c>
      <c r="J1062" s="14">
        <v>150</v>
      </c>
      <c r="K1062" s="15" t="s">
        <v>28</v>
      </c>
      <c r="M1062" s="16">
        <f t="shared" si="155"/>
        <v>267</v>
      </c>
      <c r="N1062" s="15">
        <v>40050</v>
      </c>
      <c r="O1062" s="15">
        <v>9000</v>
      </c>
      <c r="P1062" s="15">
        <f t="shared" si="161"/>
        <v>360450000</v>
      </c>
      <c r="Q1062" s="15" t="str">
        <f t="shared" si="160"/>
        <v/>
      </c>
      <c r="R1062" s="18" t="s">
        <v>29</v>
      </c>
      <c r="S1062" s="23">
        <v>43654</v>
      </c>
      <c r="T1062" s="20">
        <f>IFERROR(VLOOKUP(S1062,'Date Converter'!$A$4:$C$368,3,0),"")</f>
        <v>43685</v>
      </c>
      <c r="U1062" s="21">
        <f t="shared" si="159"/>
        <v>43685</v>
      </c>
      <c r="V1062" s="20" t="s">
        <v>1691</v>
      </c>
      <c r="Y1062" s="18"/>
      <c r="Z1062" s="210"/>
      <c r="AA1062" s="15"/>
      <c r="AB1062" s="210"/>
      <c r="AC1062" s="15"/>
      <c r="AD1062" s="15"/>
      <c r="AE1062" s="15"/>
      <c r="AF1062" s="244"/>
      <c r="AG1062" s="15"/>
      <c r="AH1062" s="15">
        <f t="shared" si="156"/>
        <v>0</v>
      </c>
      <c r="AI1062" s="22">
        <f t="shared" si="157"/>
        <v>40050</v>
      </c>
      <c r="AJ1062" s="22">
        <f t="shared" si="158"/>
        <v>360450000</v>
      </c>
      <c r="AK1062" s="13"/>
    </row>
    <row r="1063" spans="1:37" hidden="1">
      <c r="A1063" s="165" t="s">
        <v>1694</v>
      </c>
      <c r="B1063" s="13">
        <v>43505</v>
      </c>
      <c r="C1063" s="267" t="s">
        <v>1622</v>
      </c>
      <c r="D1063" s="258" t="s">
        <v>1008</v>
      </c>
      <c r="E1063" s="198" t="s">
        <v>1009</v>
      </c>
      <c r="F1063" s="165" t="str">
        <f t="shared" si="154"/>
        <v>MANI_18.20_150_NL2018</v>
      </c>
      <c r="G1063" s="165" t="s">
        <v>105</v>
      </c>
      <c r="I1063" s="12" t="s">
        <v>27</v>
      </c>
      <c r="J1063" s="14">
        <v>150</v>
      </c>
      <c r="K1063" s="15" t="s">
        <v>28</v>
      </c>
      <c r="M1063" s="16">
        <f t="shared" si="155"/>
        <v>67</v>
      </c>
      <c r="N1063" s="15">
        <v>10050</v>
      </c>
      <c r="O1063" s="15">
        <v>9700</v>
      </c>
      <c r="P1063" s="15">
        <f t="shared" si="161"/>
        <v>97485000</v>
      </c>
      <c r="Q1063" s="15" t="str">
        <f t="shared" si="160"/>
        <v/>
      </c>
      <c r="R1063" s="18" t="s">
        <v>29</v>
      </c>
      <c r="S1063" s="23">
        <v>43709</v>
      </c>
      <c r="T1063" s="20">
        <f>IFERROR(VLOOKUP(S1063,'Date Converter'!$A$4:$C$368,3,0),"")</f>
        <v>43737</v>
      </c>
      <c r="U1063" s="21">
        <f t="shared" si="159"/>
        <v>43737</v>
      </c>
      <c r="V1063" s="15" t="s">
        <v>51</v>
      </c>
      <c r="Y1063" s="18"/>
      <c r="Z1063" s="210"/>
      <c r="AA1063" s="15">
        <v>0</v>
      </c>
      <c r="AB1063" s="210"/>
      <c r="AC1063" s="15"/>
      <c r="AD1063" s="15"/>
      <c r="AE1063" s="15"/>
      <c r="AF1063" s="244"/>
      <c r="AG1063" s="15"/>
      <c r="AH1063" s="15">
        <f t="shared" si="156"/>
        <v>0</v>
      </c>
      <c r="AI1063" s="22">
        <f t="shared" si="157"/>
        <v>10050</v>
      </c>
      <c r="AJ1063" s="22">
        <f t="shared" si="158"/>
        <v>97485000</v>
      </c>
      <c r="AK1063" s="26">
        <v>43870</v>
      </c>
    </row>
    <row r="1064" spans="1:37" s="165" customFormat="1" hidden="1">
      <c r="A1064" s="165" t="s">
        <v>1694</v>
      </c>
      <c r="B1064" s="13">
        <v>43505</v>
      </c>
      <c r="C1064" s="267" t="s">
        <v>1622</v>
      </c>
      <c r="D1064" s="258" t="s">
        <v>1008</v>
      </c>
      <c r="E1064" s="198" t="s">
        <v>1009</v>
      </c>
      <c r="F1064" s="165" t="str">
        <f t="shared" si="154"/>
        <v>MANI_22.24_100_NL2018</v>
      </c>
      <c r="G1064" s="165" t="s">
        <v>105</v>
      </c>
      <c r="H1064" s="12"/>
      <c r="I1064" s="12" t="s">
        <v>78</v>
      </c>
      <c r="J1064" s="14">
        <v>100</v>
      </c>
      <c r="K1064" s="15" t="s">
        <v>28</v>
      </c>
      <c r="L1064" s="15"/>
      <c r="M1064" s="16">
        <f t="shared" si="155"/>
        <v>100</v>
      </c>
      <c r="N1064" s="15">
        <v>10000</v>
      </c>
      <c r="O1064" s="15">
        <v>15200</v>
      </c>
      <c r="P1064" s="15">
        <f t="shared" si="161"/>
        <v>152000000</v>
      </c>
      <c r="Q1064" s="15" t="str">
        <f t="shared" si="160"/>
        <v/>
      </c>
      <c r="R1064" s="18" t="s">
        <v>29</v>
      </c>
      <c r="S1064" s="23">
        <v>43709</v>
      </c>
      <c r="T1064" s="20">
        <f>IFERROR(VLOOKUP(S1064,'Date Converter'!$A$4:$C$368,3,0),"")</f>
        <v>43737</v>
      </c>
      <c r="U1064" s="21">
        <f t="shared" si="159"/>
        <v>43737</v>
      </c>
      <c r="V1064" s="15" t="s">
        <v>51</v>
      </c>
      <c r="W1064" s="18"/>
      <c r="X1064" s="18"/>
      <c r="Y1064" s="18"/>
      <c r="Z1064" s="210"/>
      <c r="AA1064" s="15">
        <v>0</v>
      </c>
      <c r="AB1064" s="210"/>
      <c r="AC1064" s="15"/>
      <c r="AD1064" s="15"/>
      <c r="AE1064" s="15"/>
      <c r="AF1064" s="244"/>
      <c r="AG1064" s="15"/>
      <c r="AH1064" s="15">
        <f t="shared" si="156"/>
        <v>0</v>
      </c>
      <c r="AI1064" s="22">
        <f t="shared" si="157"/>
        <v>10000</v>
      </c>
      <c r="AJ1064" s="22">
        <f t="shared" si="158"/>
        <v>152000000</v>
      </c>
      <c r="AK1064" s="26">
        <v>43870</v>
      </c>
    </row>
    <row r="1065" spans="1:37" s="165" customFormat="1" hidden="1">
      <c r="A1065" s="165" t="s">
        <v>1689</v>
      </c>
      <c r="B1065" s="13">
        <v>43505</v>
      </c>
      <c r="C1065" s="13" t="s">
        <v>1622</v>
      </c>
      <c r="D1065" s="165" t="s">
        <v>1008</v>
      </c>
      <c r="E1065" s="198" t="s">
        <v>1009</v>
      </c>
      <c r="F1065" s="165" t="str">
        <f t="shared" si="154"/>
        <v>LODI_16.18_200_NL2018</v>
      </c>
      <c r="G1065" s="165" t="s">
        <v>1367</v>
      </c>
      <c r="H1065" s="12"/>
      <c r="I1065" s="12" t="s">
        <v>35</v>
      </c>
      <c r="J1065" s="14">
        <v>200</v>
      </c>
      <c r="K1065" s="15" t="s">
        <v>28</v>
      </c>
      <c r="L1065" s="15"/>
      <c r="M1065" s="16">
        <f t="shared" si="155"/>
        <v>50</v>
      </c>
      <c r="N1065" s="15">
        <v>10000</v>
      </c>
      <c r="O1065" s="15">
        <f>7000+100</f>
        <v>7100</v>
      </c>
      <c r="P1065" s="15">
        <f t="shared" si="161"/>
        <v>71000000</v>
      </c>
      <c r="Q1065" s="15" t="str">
        <f t="shared" si="160"/>
        <v>Done</v>
      </c>
      <c r="R1065" s="18" t="s">
        <v>44</v>
      </c>
      <c r="S1065" s="23">
        <v>43570</v>
      </c>
      <c r="T1065" s="20">
        <f>IFERROR(VLOOKUP(S1065,'Date Converter'!$A$4:$C$368,3,0),"")</f>
        <v>43604</v>
      </c>
      <c r="U1065" s="21">
        <f t="shared" si="159"/>
        <v>43604</v>
      </c>
      <c r="V1065" s="20" t="s">
        <v>87</v>
      </c>
      <c r="W1065" s="18"/>
      <c r="X1065" s="18"/>
      <c r="Y1065" s="18"/>
      <c r="Z1065" s="210">
        <v>43605</v>
      </c>
      <c r="AA1065" s="15">
        <v>10000</v>
      </c>
      <c r="AB1065" s="210"/>
      <c r="AC1065" s="15"/>
      <c r="AD1065" s="15"/>
      <c r="AE1065" s="15"/>
      <c r="AF1065" s="244"/>
      <c r="AG1065" s="15"/>
      <c r="AH1065" s="15">
        <f t="shared" si="156"/>
        <v>10000</v>
      </c>
      <c r="AI1065" s="22">
        <f t="shared" si="157"/>
        <v>0</v>
      </c>
      <c r="AJ1065" s="22">
        <f t="shared" si="158"/>
        <v>0</v>
      </c>
      <c r="AK1065" s="13">
        <v>43870</v>
      </c>
    </row>
    <row r="1066" spans="1:37" hidden="1">
      <c r="A1066" t="s">
        <v>1689</v>
      </c>
      <c r="B1066" s="13">
        <v>43505</v>
      </c>
      <c r="C1066" s="13" t="s">
        <v>1622</v>
      </c>
      <c r="D1066" s="165" t="s">
        <v>1008</v>
      </c>
      <c r="E1066" s="165" t="s">
        <v>1009</v>
      </c>
      <c r="F1066" s="165" t="str">
        <f t="shared" si="154"/>
        <v>LODI_16.18_200_NL2018</v>
      </c>
      <c r="G1066" s="165" t="s">
        <v>1367</v>
      </c>
      <c r="I1066" s="12" t="s">
        <v>35</v>
      </c>
      <c r="J1066" s="14">
        <v>200</v>
      </c>
      <c r="K1066" s="15" t="s">
        <v>28</v>
      </c>
      <c r="M1066" s="16">
        <f t="shared" si="155"/>
        <v>50</v>
      </c>
      <c r="N1066" s="15">
        <v>10000</v>
      </c>
      <c r="O1066" s="15">
        <v>7000</v>
      </c>
      <c r="P1066" s="15">
        <f t="shared" si="161"/>
        <v>70000000</v>
      </c>
      <c r="Q1066" s="15" t="str">
        <f t="shared" si="160"/>
        <v>Done</v>
      </c>
      <c r="R1066" s="18" t="s">
        <v>44</v>
      </c>
      <c r="S1066" s="219">
        <v>43539</v>
      </c>
      <c r="T1066" s="20">
        <f>IFERROR(VLOOKUP(S1066,'Date Converter'!$A$4:$C$368,3,0),"")</f>
        <v>43574</v>
      </c>
      <c r="U1066" s="21">
        <f t="shared" si="159"/>
        <v>43574</v>
      </c>
      <c r="V1066" s="12" t="s">
        <v>57</v>
      </c>
      <c r="W1066" s="18" t="s">
        <v>58</v>
      </c>
      <c r="Y1066" s="18"/>
      <c r="Z1066" s="210">
        <v>43579</v>
      </c>
      <c r="AA1066" s="15">
        <v>10000</v>
      </c>
      <c r="AB1066" s="210"/>
      <c r="AC1066" s="15"/>
      <c r="AD1066" s="15"/>
      <c r="AE1066" s="15"/>
      <c r="AF1066" s="244"/>
      <c r="AG1066" s="15"/>
      <c r="AH1066" s="15">
        <f t="shared" si="156"/>
        <v>10000</v>
      </c>
      <c r="AI1066" s="22">
        <f t="shared" si="157"/>
        <v>0</v>
      </c>
      <c r="AJ1066" s="22">
        <f t="shared" si="158"/>
        <v>0</v>
      </c>
      <c r="AK1066" s="13">
        <v>43864</v>
      </c>
    </row>
    <row r="1067" spans="1:37" hidden="1">
      <c r="A1067" s="165" t="s">
        <v>1694</v>
      </c>
      <c r="B1067" s="13">
        <v>43505</v>
      </c>
      <c r="C1067" s="267" t="s">
        <v>1622</v>
      </c>
      <c r="D1067" s="258" t="s">
        <v>1008</v>
      </c>
      <c r="E1067" s="198" t="s">
        <v>1009</v>
      </c>
      <c r="F1067" s="165" t="str">
        <f t="shared" si="154"/>
        <v>LODI_18.20_150_NL2018</v>
      </c>
      <c r="G1067" s="165" t="s">
        <v>1367</v>
      </c>
      <c r="I1067" s="12" t="s">
        <v>27</v>
      </c>
      <c r="J1067" s="14">
        <v>150</v>
      </c>
      <c r="K1067" s="15" t="s">
        <v>28</v>
      </c>
      <c r="M1067" s="16">
        <f t="shared" si="155"/>
        <v>67</v>
      </c>
      <c r="N1067" s="15">
        <v>10050</v>
      </c>
      <c r="O1067" s="15">
        <v>9200</v>
      </c>
      <c r="P1067" s="15">
        <f t="shared" si="161"/>
        <v>92460000</v>
      </c>
      <c r="Q1067" s="15" t="str">
        <f t="shared" si="160"/>
        <v/>
      </c>
      <c r="R1067" s="18" t="s">
        <v>29</v>
      </c>
      <c r="S1067" s="23">
        <v>43709</v>
      </c>
      <c r="T1067" s="20">
        <f>IFERROR(VLOOKUP(S1067,'Date Converter'!$A$4:$C$368,3,0),"")</f>
        <v>43737</v>
      </c>
      <c r="U1067" s="21">
        <f t="shared" si="159"/>
        <v>43737</v>
      </c>
      <c r="V1067" s="15" t="s">
        <v>51</v>
      </c>
      <c r="Y1067" s="18"/>
      <c r="Z1067" s="210"/>
      <c r="AA1067" s="15">
        <v>0</v>
      </c>
      <c r="AB1067" s="210"/>
      <c r="AC1067" s="15"/>
      <c r="AD1067" s="15"/>
      <c r="AE1067" s="15"/>
      <c r="AF1067" s="244"/>
      <c r="AG1067" s="15"/>
      <c r="AH1067" s="15">
        <f t="shared" si="156"/>
        <v>0</v>
      </c>
      <c r="AI1067" s="22">
        <f t="shared" si="157"/>
        <v>10050</v>
      </c>
      <c r="AJ1067" s="22">
        <f t="shared" si="158"/>
        <v>92460000</v>
      </c>
      <c r="AK1067" s="26">
        <v>43870</v>
      </c>
    </row>
    <row r="1068" spans="1:37" hidden="1">
      <c r="A1068" s="165" t="s">
        <v>1689</v>
      </c>
      <c r="B1068" s="13">
        <v>43505</v>
      </c>
      <c r="C1068" s="13" t="s">
        <v>1622</v>
      </c>
      <c r="D1068" s="165" t="s">
        <v>1008</v>
      </c>
      <c r="E1068" s="198" t="s">
        <v>1009</v>
      </c>
      <c r="F1068" s="165" t="str">
        <f t="shared" si="154"/>
        <v>LODI_16.18_200_NL2018</v>
      </c>
      <c r="G1068" s="165" t="s">
        <v>1367</v>
      </c>
      <c r="I1068" s="12" t="s">
        <v>35</v>
      </c>
      <c r="J1068" s="14">
        <v>200</v>
      </c>
      <c r="K1068" s="15" t="s">
        <v>28</v>
      </c>
      <c r="M1068" s="16">
        <f t="shared" si="155"/>
        <v>50</v>
      </c>
      <c r="N1068" s="15">
        <v>10000</v>
      </c>
      <c r="O1068" s="15">
        <v>7000</v>
      </c>
      <c r="P1068" s="15">
        <f t="shared" si="161"/>
        <v>70000000</v>
      </c>
      <c r="Q1068" s="15" t="str">
        <f t="shared" si="160"/>
        <v/>
      </c>
      <c r="R1068" s="18" t="s">
        <v>31</v>
      </c>
      <c r="S1068" s="23">
        <v>43631</v>
      </c>
      <c r="T1068" s="20">
        <f>IFERROR(VLOOKUP(S1068,'Date Converter'!$A$4:$C$368,3,0),"")</f>
        <v>43663</v>
      </c>
      <c r="U1068" s="21">
        <f t="shared" si="159"/>
        <v>43663</v>
      </c>
      <c r="V1068" s="20"/>
      <c r="Y1068" s="18"/>
      <c r="Z1068" s="210"/>
      <c r="AA1068" s="15">
        <v>0</v>
      </c>
      <c r="AB1068" s="210"/>
      <c r="AC1068" s="15"/>
      <c r="AD1068" s="15"/>
      <c r="AE1068" s="15"/>
      <c r="AF1068" s="244"/>
      <c r="AG1068" s="15"/>
      <c r="AH1068" s="15">
        <f t="shared" si="156"/>
        <v>0</v>
      </c>
      <c r="AI1068" s="22">
        <f t="shared" si="157"/>
        <v>10000</v>
      </c>
      <c r="AJ1068" s="22">
        <f t="shared" si="158"/>
        <v>70000000</v>
      </c>
      <c r="AK1068" s="13">
        <v>43870</v>
      </c>
    </row>
    <row r="1069" spans="1:37" hidden="1">
      <c r="A1069" s="165" t="s">
        <v>1689</v>
      </c>
      <c r="B1069" s="13">
        <v>43505</v>
      </c>
      <c r="C1069" s="13" t="s">
        <v>1622</v>
      </c>
      <c r="D1069" s="165" t="s">
        <v>1008</v>
      </c>
      <c r="E1069" s="198" t="s">
        <v>1009</v>
      </c>
      <c r="F1069" s="165" t="str">
        <f t="shared" si="154"/>
        <v>LODI_16.18_200_NL2018</v>
      </c>
      <c r="G1069" s="165" t="s">
        <v>1367</v>
      </c>
      <c r="I1069" s="12" t="s">
        <v>35</v>
      </c>
      <c r="J1069" s="14">
        <v>200</v>
      </c>
      <c r="K1069" s="15" t="s">
        <v>28</v>
      </c>
      <c r="M1069" s="16">
        <f t="shared" si="155"/>
        <v>100</v>
      </c>
      <c r="N1069" s="15">
        <v>20000</v>
      </c>
      <c r="O1069" s="15">
        <v>7000</v>
      </c>
      <c r="P1069" s="15">
        <f t="shared" si="161"/>
        <v>140000000</v>
      </c>
      <c r="Q1069" s="15" t="str">
        <f t="shared" si="160"/>
        <v/>
      </c>
      <c r="R1069" s="18" t="s">
        <v>29</v>
      </c>
      <c r="T1069" s="20" t="str">
        <f>IFERROR(VLOOKUP(S1069,'Date Converter'!$A$4:$C$368,3,0),"")</f>
        <v/>
      </c>
      <c r="U1069" s="21" t="str">
        <f t="shared" si="159"/>
        <v/>
      </c>
      <c r="V1069" s="20"/>
      <c r="Y1069" s="18"/>
      <c r="Z1069" s="210"/>
      <c r="AA1069" s="15"/>
      <c r="AB1069" s="210"/>
      <c r="AC1069" s="15"/>
      <c r="AD1069" s="15"/>
      <c r="AE1069" s="15"/>
      <c r="AF1069" s="244"/>
      <c r="AG1069" s="15"/>
      <c r="AH1069" s="15">
        <f t="shared" si="156"/>
        <v>0</v>
      </c>
      <c r="AI1069" s="22">
        <f t="shared" si="157"/>
        <v>20000</v>
      </c>
      <c r="AJ1069" s="22">
        <f t="shared" si="158"/>
        <v>140000000</v>
      </c>
      <c r="AK1069" s="13"/>
    </row>
    <row r="1070" spans="1:37" hidden="1">
      <c r="A1070" s="165" t="s">
        <v>1689</v>
      </c>
      <c r="B1070" s="13">
        <v>43505</v>
      </c>
      <c r="C1070" s="13" t="s">
        <v>1622</v>
      </c>
      <c r="D1070" s="165" t="s">
        <v>1008</v>
      </c>
      <c r="E1070" s="165" t="s">
        <v>1009</v>
      </c>
      <c r="F1070" s="165" t="str">
        <f t="shared" si="154"/>
        <v>LARG_16.18_200_NL2018</v>
      </c>
      <c r="G1070" s="165" t="s">
        <v>70</v>
      </c>
      <c r="I1070" s="12" t="s">
        <v>35</v>
      </c>
      <c r="J1070" s="14">
        <v>200</v>
      </c>
      <c r="K1070" s="15" t="s">
        <v>28</v>
      </c>
      <c r="M1070" s="16">
        <f t="shared" si="155"/>
        <v>50</v>
      </c>
      <c r="N1070" s="15">
        <f>20000-10000</f>
        <v>10000</v>
      </c>
      <c r="O1070" s="15">
        <f>5500+85</f>
        <v>5585</v>
      </c>
      <c r="P1070" s="15">
        <f t="shared" si="161"/>
        <v>55850000</v>
      </c>
      <c r="Q1070" s="15" t="str">
        <f t="shared" si="160"/>
        <v>Done</v>
      </c>
      <c r="R1070" s="18" t="s">
        <v>44</v>
      </c>
      <c r="S1070" s="219">
        <v>43539</v>
      </c>
      <c r="T1070" s="20">
        <f>IFERROR(VLOOKUP(S1070,'Date Converter'!$A$4:$C$368,3,0),"")</f>
        <v>43574</v>
      </c>
      <c r="U1070" s="21">
        <f t="shared" si="159"/>
        <v>43574</v>
      </c>
      <c r="V1070" s="12" t="s">
        <v>57</v>
      </c>
      <c r="W1070" s="18" t="s">
        <v>79</v>
      </c>
      <c r="Y1070" s="18"/>
      <c r="Z1070" s="210">
        <v>43587</v>
      </c>
      <c r="AA1070" s="15">
        <v>10000</v>
      </c>
      <c r="AB1070" s="210"/>
      <c r="AC1070" s="15"/>
      <c r="AD1070" s="15"/>
      <c r="AE1070" s="15"/>
      <c r="AF1070" s="244"/>
      <c r="AG1070" s="15"/>
      <c r="AH1070" s="15">
        <f t="shared" si="156"/>
        <v>10000</v>
      </c>
      <c r="AI1070" s="22">
        <f t="shared" si="157"/>
        <v>0</v>
      </c>
      <c r="AJ1070" s="22">
        <f t="shared" si="158"/>
        <v>0</v>
      </c>
      <c r="AK1070" s="13">
        <v>43864</v>
      </c>
    </row>
    <row r="1071" spans="1:37" s="165" customFormat="1" hidden="1">
      <c r="A1071" s="165" t="s">
        <v>1689</v>
      </c>
      <c r="B1071" s="13">
        <v>43505</v>
      </c>
      <c r="C1071" s="13" t="s">
        <v>1622</v>
      </c>
      <c r="D1071" s="165" t="s">
        <v>1008</v>
      </c>
      <c r="E1071" s="198" t="s">
        <v>1009</v>
      </c>
      <c r="F1071" s="165" t="str">
        <f t="shared" si="154"/>
        <v>LARG_16.18_200_NL2018</v>
      </c>
      <c r="G1071" s="165" t="s">
        <v>70</v>
      </c>
      <c r="H1071" s="12"/>
      <c r="I1071" s="12" t="s">
        <v>35</v>
      </c>
      <c r="J1071" s="14">
        <v>200</v>
      </c>
      <c r="K1071" s="15" t="s">
        <v>28</v>
      </c>
      <c r="L1071" s="15"/>
      <c r="M1071" s="16">
        <f t="shared" si="155"/>
        <v>50</v>
      </c>
      <c r="N1071" s="15">
        <f>20000-10000</f>
        <v>10000</v>
      </c>
      <c r="O1071" s="15">
        <f>5500+148</f>
        <v>5648</v>
      </c>
      <c r="P1071" s="15">
        <f t="shared" si="161"/>
        <v>56480000</v>
      </c>
      <c r="Q1071" s="15" t="str">
        <f t="shared" si="160"/>
        <v>Done</v>
      </c>
      <c r="R1071" s="18" t="s">
        <v>44</v>
      </c>
      <c r="S1071" s="23">
        <v>43584</v>
      </c>
      <c r="T1071" s="20">
        <f>IFERROR(VLOOKUP(S1071,'Date Converter'!$A$4:$C$368,3,0),"")</f>
        <v>43618</v>
      </c>
      <c r="U1071" s="21">
        <f t="shared" si="159"/>
        <v>43618</v>
      </c>
      <c r="V1071" s="20" t="s">
        <v>443</v>
      </c>
      <c r="W1071" s="18"/>
      <c r="X1071" s="18"/>
      <c r="Y1071" s="18"/>
      <c r="Z1071" s="210">
        <v>43626</v>
      </c>
      <c r="AA1071" s="15">
        <v>10000</v>
      </c>
      <c r="AB1071" s="210"/>
      <c r="AC1071" s="15"/>
      <c r="AD1071" s="15"/>
      <c r="AE1071" s="15"/>
      <c r="AF1071" s="244"/>
      <c r="AG1071" s="15"/>
      <c r="AH1071" s="15">
        <f t="shared" si="156"/>
        <v>10000</v>
      </c>
      <c r="AI1071" s="22">
        <f t="shared" si="157"/>
        <v>0</v>
      </c>
      <c r="AJ1071" s="22">
        <f t="shared" si="158"/>
        <v>0</v>
      </c>
      <c r="AK1071" s="13"/>
    </row>
    <row r="1072" spans="1:37" s="165" customFormat="1" hidden="1">
      <c r="A1072" s="165" t="s">
        <v>1694</v>
      </c>
      <c r="B1072" s="13">
        <v>43505</v>
      </c>
      <c r="C1072" s="267" t="s">
        <v>1622</v>
      </c>
      <c r="D1072" s="258" t="s">
        <v>1008</v>
      </c>
      <c r="E1072" s="198" t="s">
        <v>1009</v>
      </c>
      <c r="F1072" s="165" t="str">
        <f t="shared" si="154"/>
        <v>LARG_20.22_125_NL2018</v>
      </c>
      <c r="G1072" s="165" t="s">
        <v>70</v>
      </c>
      <c r="H1072" s="12"/>
      <c r="I1072" s="12" t="s">
        <v>74</v>
      </c>
      <c r="J1072" s="14">
        <v>125</v>
      </c>
      <c r="K1072" s="15" t="s">
        <v>28</v>
      </c>
      <c r="L1072" s="15"/>
      <c r="M1072" s="16">
        <f t="shared" si="155"/>
        <v>62</v>
      </c>
      <c r="N1072" s="15">
        <v>7750</v>
      </c>
      <c r="O1072" s="15">
        <v>10600</v>
      </c>
      <c r="P1072" s="15">
        <f t="shared" si="161"/>
        <v>82150000</v>
      </c>
      <c r="Q1072" s="15" t="str">
        <f t="shared" si="160"/>
        <v/>
      </c>
      <c r="R1072" s="18" t="s">
        <v>29</v>
      </c>
      <c r="S1072" s="23">
        <v>43709</v>
      </c>
      <c r="T1072" s="20">
        <f>IFERROR(VLOOKUP(S1072,'Date Converter'!$A$4:$C$368,3,0),"")</f>
        <v>43737</v>
      </c>
      <c r="U1072" s="21">
        <f t="shared" si="159"/>
        <v>43737</v>
      </c>
      <c r="V1072" s="15" t="s">
        <v>51</v>
      </c>
      <c r="W1072" s="18"/>
      <c r="X1072" s="18"/>
      <c r="Y1072" s="18"/>
      <c r="Z1072" s="210"/>
      <c r="AA1072" s="15">
        <v>0</v>
      </c>
      <c r="AB1072" s="210"/>
      <c r="AC1072" s="15"/>
      <c r="AD1072" s="15"/>
      <c r="AE1072" s="15"/>
      <c r="AF1072" s="244"/>
      <c r="AG1072" s="15"/>
      <c r="AH1072" s="15">
        <f t="shared" si="156"/>
        <v>0</v>
      </c>
      <c r="AI1072" s="22">
        <f t="shared" si="157"/>
        <v>7750</v>
      </c>
      <c r="AJ1072" s="22">
        <f t="shared" si="158"/>
        <v>82150000</v>
      </c>
      <c r="AK1072" s="26">
        <v>43870</v>
      </c>
    </row>
    <row r="1073" spans="1:37" s="165" customFormat="1" hidden="1">
      <c r="A1073" s="165" t="s">
        <v>1694</v>
      </c>
      <c r="B1073" s="13">
        <v>43505</v>
      </c>
      <c r="C1073" s="267" t="s">
        <v>1622</v>
      </c>
      <c r="D1073" s="258" t="s">
        <v>1008</v>
      </c>
      <c r="E1073" s="198" t="s">
        <v>1009</v>
      </c>
      <c r="F1073" s="165" t="str">
        <f t="shared" si="154"/>
        <v>LARG_22.24_100_NL2018</v>
      </c>
      <c r="G1073" s="165" t="s">
        <v>70</v>
      </c>
      <c r="H1073" s="12"/>
      <c r="I1073" s="12" t="s">
        <v>78</v>
      </c>
      <c r="J1073" s="14">
        <v>100</v>
      </c>
      <c r="K1073" s="15" t="s">
        <v>28</v>
      </c>
      <c r="L1073" s="15"/>
      <c r="M1073" s="16">
        <f t="shared" si="155"/>
        <v>23</v>
      </c>
      <c r="N1073" s="15">
        <v>2300</v>
      </c>
      <c r="O1073" s="15">
        <v>11900</v>
      </c>
      <c r="P1073" s="15">
        <f t="shared" si="161"/>
        <v>27370000</v>
      </c>
      <c r="Q1073" s="15" t="str">
        <f t="shared" si="160"/>
        <v/>
      </c>
      <c r="R1073" s="18" t="s">
        <v>29</v>
      </c>
      <c r="S1073" s="23">
        <v>43709</v>
      </c>
      <c r="T1073" s="20">
        <f>IFERROR(VLOOKUP(S1073,'Date Converter'!$A$4:$C$368,3,0),"")</f>
        <v>43737</v>
      </c>
      <c r="U1073" s="21">
        <f t="shared" si="159"/>
        <v>43737</v>
      </c>
      <c r="V1073" s="15" t="s">
        <v>51</v>
      </c>
      <c r="W1073" s="18"/>
      <c r="X1073" s="18"/>
      <c r="Y1073" s="18"/>
      <c r="Z1073" s="210"/>
      <c r="AA1073" s="15">
        <v>0</v>
      </c>
      <c r="AB1073" s="210"/>
      <c r="AC1073" s="15"/>
      <c r="AD1073" s="15"/>
      <c r="AE1073" s="15"/>
      <c r="AF1073" s="244"/>
      <c r="AG1073" s="15"/>
      <c r="AH1073" s="15">
        <f t="shared" si="156"/>
        <v>0</v>
      </c>
      <c r="AI1073" s="22">
        <f t="shared" si="157"/>
        <v>2300</v>
      </c>
      <c r="AJ1073" s="22">
        <f t="shared" si="158"/>
        <v>27370000</v>
      </c>
      <c r="AK1073" s="26">
        <v>43870</v>
      </c>
    </row>
    <row r="1074" spans="1:37" s="165" customFormat="1" hidden="1">
      <c r="A1074" s="165" t="s">
        <v>1694</v>
      </c>
      <c r="B1074" s="13">
        <v>43630</v>
      </c>
      <c r="C1074" s="267" t="s">
        <v>1622</v>
      </c>
      <c r="D1074" s="258" t="s">
        <v>1008</v>
      </c>
      <c r="E1074" s="198" t="s">
        <v>1009</v>
      </c>
      <c r="F1074" s="165" t="str">
        <f t="shared" si="154"/>
        <v>INDI_18.20_150_NL2018</v>
      </c>
      <c r="G1074" s="165" t="s">
        <v>154</v>
      </c>
      <c r="H1074" s="12"/>
      <c r="I1074" s="12" t="s">
        <v>27</v>
      </c>
      <c r="J1074" s="14">
        <v>150</v>
      </c>
      <c r="K1074" s="15" t="s">
        <v>28</v>
      </c>
      <c r="L1074" s="15"/>
      <c r="M1074" s="16">
        <f t="shared" si="155"/>
        <v>67</v>
      </c>
      <c r="N1074" s="15">
        <v>10050</v>
      </c>
      <c r="O1074" s="15">
        <v>10000</v>
      </c>
      <c r="P1074" s="15">
        <f t="shared" si="161"/>
        <v>100500000</v>
      </c>
      <c r="Q1074" s="15" t="str">
        <f t="shared" si="160"/>
        <v/>
      </c>
      <c r="R1074" s="18" t="s">
        <v>29</v>
      </c>
      <c r="S1074" s="23">
        <v>43709</v>
      </c>
      <c r="T1074" s="20">
        <f>IFERROR(VLOOKUP(S1074,'Date Converter'!$A$4:$C$368,3,0),"")</f>
        <v>43737</v>
      </c>
      <c r="U1074" s="21">
        <f t="shared" si="159"/>
        <v>43737</v>
      </c>
      <c r="V1074" s="15" t="s">
        <v>51</v>
      </c>
      <c r="W1074" s="18"/>
      <c r="X1074" s="18"/>
      <c r="Y1074" s="18"/>
      <c r="Z1074" s="210"/>
      <c r="AA1074" s="15"/>
      <c r="AB1074" s="210"/>
      <c r="AC1074" s="15"/>
      <c r="AD1074" s="15"/>
      <c r="AE1074" s="15"/>
      <c r="AF1074" s="244"/>
      <c r="AG1074" s="15"/>
      <c r="AH1074" s="15">
        <f t="shared" si="156"/>
        <v>0</v>
      </c>
      <c r="AI1074" s="22">
        <f t="shared" si="157"/>
        <v>10050</v>
      </c>
      <c r="AJ1074" s="22">
        <f t="shared" si="158"/>
        <v>100500000</v>
      </c>
      <c r="AK1074" s="13"/>
    </row>
    <row r="1075" spans="1:37" s="165" customFormat="1" hidden="1">
      <c r="A1075" s="165" t="s">
        <v>1694</v>
      </c>
      <c r="B1075" s="13">
        <v>43630</v>
      </c>
      <c r="C1075" s="13" t="s">
        <v>1622</v>
      </c>
      <c r="D1075" s="165" t="s">
        <v>1008</v>
      </c>
      <c r="E1075" s="198" t="s">
        <v>1009</v>
      </c>
      <c r="F1075" s="165" t="str">
        <f t="shared" si="154"/>
        <v>INDI_16.18_200_NL2018</v>
      </c>
      <c r="G1075" s="165" t="s">
        <v>154</v>
      </c>
      <c r="H1075" s="12"/>
      <c r="I1075" s="12" t="s">
        <v>35</v>
      </c>
      <c r="J1075" s="14">
        <v>200</v>
      </c>
      <c r="K1075" s="15" t="s">
        <v>28</v>
      </c>
      <c r="L1075" s="15"/>
      <c r="M1075" s="16">
        <f t="shared" si="155"/>
        <v>50</v>
      </c>
      <c r="N1075" s="15">
        <v>10000</v>
      </c>
      <c r="O1075" s="15">
        <v>6700</v>
      </c>
      <c r="P1075" s="15">
        <f t="shared" si="161"/>
        <v>67000000</v>
      </c>
      <c r="Q1075" s="15" t="str">
        <f t="shared" si="160"/>
        <v/>
      </c>
      <c r="R1075" s="18" t="s">
        <v>29</v>
      </c>
      <c r="S1075" s="23">
        <v>43641</v>
      </c>
      <c r="T1075" s="20">
        <f>IFERROR(VLOOKUP(S1075,'Date Converter'!$A$4:$C$368,3,0),"")</f>
        <v>43673</v>
      </c>
      <c r="U1075" s="21">
        <f t="shared" si="159"/>
        <v>43673</v>
      </c>
      <c r="V1075" s="15"/>
      <c r="W1075" s="18"/>
      <c r="X1075" s="18"/>
      <c r="Y1075" s="18"/>
      <c r="Z1075" s="210"/>
      <c r="AA1075" s="15"/>
      <c r="AB1075" s="210"/>
      <c r="AC1075" s="15"/>
      <c r="AD1075" s="15"/>
      <c r="AE1075" s="15"/>
      <c r="AF1075" s="244"/>
      <c r="AG1075" s="15"/>
      <c r="AH1075" s="15">
        <f t="shared" si="156"/>
        <v>0</v>
      </c>
      <c r="AI1075" s="22">
        <f t="shared" si="157"/>
        <v>10000</v>
      </c>
      <c r="AJ1075" s="22">
        <f t="shared" si="158"/>
        <v>67000000</v>
      </c>
      <c r="AK1075" s="13"/>
    </row>
    <row r="1076" spans="1:37" hidden="1">
      <c r="A1076" s="165" t="s">
        <v>1694</v>
      </c>
      <c r="B1076" s="13">
        <v>43630</v>
      </c>
      <c r="C1076" s="13" t="s">
        <v>1622</v>
      </c>
      <c r="D1076" s="165" t="s">
        <v>1008</v>
      </c>
      <c r="E1076" s="198" t="s">
        <v>1009</v>
      </c>
      <c r="F1076" s="165" t="str">
        <f t="shared" si="154"/>
        <v>INDI_16.18_200_NL2018</v>
      </c>
      <c r="G1076" s="165" t="s">
        <v>154</v>
      </c>
      <c r="I1076" s="12" t="s">
        <v>35</v>
      </c>
      <c r="J1076" s="14">
        <v>200</v>
      </c>
      <c r="K1076" s="15" t="s">
        <v>28</v>
      </c>
      <c r="M1076" s="16">
        <f t="shared" si="155"/>
        <v>50</v>
      </c>
      <c r="N1076" s="15">
        <v>10000</v>
      </c>
      <c r="O1076" s="15">
        <v>6800</v>
      </c>
      <c r="P1076" s="15">
        <f t="shared" si="161"/>
        <v>68000000</v>
      </c>
      <c r="Q1076" s="15" t="str">
        <f t="shared" si="160"/>
        <v/>
      </c>
      <c r="R1076" s="18" t="s">
        <v>29</v>
      </c>
      <c r="S1076" s="23">
        <v>43661</v>
      </c>
      <c r="T1076" s="20">
        <f>IFERROR(VLOOKUP(S1076,'Date Converter'!$A$4:$C$368,3,0),"")</f>
        <v>43692</v>
      </c>
      <c r="U1076" s="21">
        <f t="shared" si="159"/>
        <v>43692</v>
      </c>
      <c r="V1076" s="15"/>
      <c r="Y1076" s="18"/>
      <c r="Z1076" s="210"/>
      <c r="AA1076" s="15"/>
      <c r="AB1076" s="210"/>
      <c r="AC1076" s="15"/>
      <c r="AD1076" s="15"/>
      <c r="AE1076" s="15"/>
      <c r="AF1076" s="244"/>
      <c r="AG1076" s="15"/>
      <c r="AH1076" s="15">
        <f t="shared" si="156"/>
        <v>0</v>
      </c>
      <c r="AI1076" s="22">
        <f t="shared" si="157"/>
        <v>10000</v>
      </c>
      <c r="AJ1076" s="22">
        <f t="shared" si="158"/>
        <v>68000000</v>
      </c>
      <c r="AK1076" s="13"/>
    </row>
    <row r="1077" spans="1:37" s="165" customFormat="1" hidden="1">
      <c r="A1077" s="165" t="s">
        <v>1694</v>
      </c>
      <c r="B1077" s="13">
        <v>43630</v>
      </c>
      <c r="C1077" s="13" t="s">
        <v>1622</v>
      </c>
      <c r="D1077" s="165" t="s">
        <v>1008</v>
      </c>
      <c r="E1077" s="198" t="s">
        <v>1009</v>
      </c>
      <c r="F1077" s="165" t="str">
        <f t="shared" si="154"/>
        <v>INDI_16.18_200_NL2018</v>
      </c>
      <c r="G1077" s="165" t="s">
        <v>154</v>
      </c>
      <c r="H1077" s="12"/>
      <c r="I1077" s="12" t="s">
        <v>35</v>
      </c>
      <c r="J1077" s="14">
        <v>200</v>
      </c>
      <c r="K1077" s="15" t="s">
        <v>28</v>
      </c>
      <c r="L1077" s="15"/>
      <c r="M1077" s="16">
        <f t="shared" si="155"/>
        <v>50</v>
      </c>
      <c r="N1077" s="15">
        <v>10000</v>
      </c>
      <c r="O1077" s="15">
        <v>6900</v>
      </c>
      <c r="P1077" s="15">
        <f t="shared" si="161"/>
        <v>69000000</v>
      </c>
      <c r="Q1077" s="15" t="str">
        <f t="shared" si="160"/>
        <v/>
      </c>
      <c r="R1077" s="18" t="s">
        <v>29</v>
      </c>
      <c r="S1077" s="23">
        <v>43692</v>
      </c>
      <c r="T1077" s="20">
        <f>IFERROR(VLOOKUP(S1077,'Date Converter'!$A$4:$C$368,3,0),"")</f>
        <v>43721</v>
      </c>
      <c r="U1077" s="21">
        <f t="shared" si="159"/>
        <v>43721</v>
      </c>
      <c r="V1077" s="15"/>
      <c r="W1077" s="18"/>
      <c r="X1077" s="18"/>
      <c r="Y1077" s="18"/>
      <c r="Z1077" s="210"/>
      <c r="AA1077" s="15"/>
      <c r="AB1077" s="210"/>
      <c r="AC1077" s="15"/>
      <c r="AD1077" s="15"/>
      <c r="AE1077" s="15"/>
      <c r="AF1077" s="244"/>
      <c r="AG1077" s="15"/>
      <c r="AH1077" s="15">
        <f t="shared" si="156"/>
        <v>0</v>
      </c>
      <c r="AI1077" s="22">
        <f t="shared" si="157"/>
        <v>10000</v>
      </c>
      <c r="AJ1077" s="22">
        <f t="shared" si="158"/>
        <v>69000000</v>
      </c>
      <c r="AK1077" s="13"/>
    </row>
    <row r="1078" spans="1:37" s="165" customFormat="1" hidden="1">
      <c r="A1078" s="165" t="s">
        <v>1689</v>
      </c>
      <c r="B1078" s="13">
        <v>43505</v>
      </c>
      <c r="C1078" s="13" t="s">
        <v>1622</v>
      </c>
      <c r="D1078" s="165" t="s">
        <v>1008</v>
      </c>
      <c r="E1078" s="165" t="s">
        <v>1009</v>
      </c>
      <c r="F1078" s="165" t="str">
        <f t="shared" ref="F1078:F1140" si="162">SUBSTITUTE(LEFT(G1078,4)&amp;"_"&amp;H1078&amp;"_"&amp;I1078&amp;"_"&amp;J1078&amp;"_"&amp;K1078,"__","_")</f>
        <v>CONC_16.18_200_NL2018</v>
      </c>
      <c r="G1078" s="165" t="s">
        <v>43</v>
      </c>
      <c r="H1078" s="12"/>
      <c r="I1078" s="12" t="s">
        <v>35</v>
      </c>
      <c r="J1078" s="14">
        <v>200</v>
      </c>
      <c r="K1078" s="15" t="s">
        <v>28</v>
      </c>
      <c r="L1078" s="15"/>
      <c r="M1078" s="16">
        <f t="shared" ref="M1078:M1140" si="163">+N1078/J1078</f>
        <v>0</v>
      </c>
      <c r="N1078" s="15">
        <f>5000-5000</f>
        <v>0</v>
      </c>
      <c r="O1078" s="15">
        <v>4700</v>
      </c>
      <c r="P1078" s="15">
        <f t="shared" si="161"/>
        <v>0</v>
      </c>
      <c r="Q1078" s="15" t="str">
        <f t="shared" si="160"/>
        <v>Canceled</v>
      </c>
      <c r="R1078" s="18" t="s">
        <v>71</v>
      </c>
      <c r="S1078" s="219">
        <v>43539</v>
      </c>
      <c r="T1078" s="20">
        <f>IFERROR(VLOOKUP(S1078,'Date Converter'!$A$4:$C$368,3,0),"")</f>
        <v>43574</v>
      </c>
      <c r="U1078" s="21">
        <f t="shared" si="159"/>
        <v>43574</v>
      </c>
      <c r="V1078" s="12" t="s">
        <v>57</v>
      </c>
      <c r="W1078" s="18"/>
      <c r="X1078" s="18"/>
      <c r="Y1078" s="18"/>
      <c r="Z1078" s="210"/>
      <c r="AA1078" s="15"/>
      <c r="AB1078" s="210"/>
      <c r="AC1078" s="15"/>
      <c r="AD1078" s="15"/>
      <c r="AE1078" s="15"/>
      <c r="AF1078" s="244"/>
      <c r="AG1078" s="15"/>
      <c r="AH1078" s="15">
        <f t="shared" ref="AH1078:AH1140" si="164">+AA1078+AC1078+AE1078+AG1078</f>
        <v>0</v>
      </c>
      <c r="AI1078" s="22">
        <f t="shared" ref="AI1078:AI1140" si="165">+N1078-AH1078</f>
        <v>0</v>
      </c>
      <c r="AJ1078" s="22">
        <f t="shared" ref="AJ1078:AJ1140" si="166">+AI1078*O1078</f>
        <v>0</v>
      </c>
      <c r="AK1078" s="13"/>
    </row>
    <row r="1079" spans="1:37" s="165" customFormat="1" hidden="1">
      <c r="A1079" s="165" t="s">
        <v>1689</v>
      </c>
      <c r="B1079" s="13">
        <v>43505</v>
      </c>
      <c r="C1079" s="13" t="s">
        <v>1622</v>
      </c>
      <c r="D1079" s="165" t="s">
        <v>1008</v>
      </c>
      <c r="E1079" s="165" t="s">
        <v>1009</v>
      </c>
      <c r="F1079" s="165" t="str">
        <f t="shared" si="162"/>
        <v>CONC_16.18_200_NL2018</v>
      </c>
      <c r="G1079" s="165" t="s">
        <v>43</v>
      </c>
      <c r="H1079" s="12"/>
      <c r="I1079" s="12" t="s">
        <v>35</v>
      </c>
      <c r="J1079" s="14">
        <v>200</v>
      </c>
      <c r="K1079" s="15" t="s">
        <v>28</v>
      </c>
      <c r="L1079" s="15"/>
      <c r="M1079" s="16">
        <f t="shared" si="163"/>
        <v>75</v>
      </c>
      <c r="N1079" s="15">
        <v>15000</v>
      </c>
      <c r="O1079" s="15">
        <v>4700</v>
      </c>
      <c r="P1079" s="15">
        <f t="shared" si="161"/>
        <v>70500000</v>
      </c>
      <c r="Q1079" s="15" t="str">
        <f t="shared" si="160"/>
        <v>Done</v>
      </c>
      <c r="R1079" s="18" t="s">
        <v>44</v>
      </c>
      <c r="S1079" s="23" t="s">
        <v>53</v>
      </c>
      <c r="T1079" s="20">
        <f>IFERROR(VLOOKUP(S1079,'Date Converter'!$A$4:$C$368,3,0),"")</f>
        <v>43559</v>
      </c>
      <c r="U1079" s="21">
        <f t="shared" si="159"/>
        <v>43559</v>
      </c>
      <c r="V1079" s="20" t="s">
        <v>54</v>
      </c>
      <c r="W1079" s="18" t="s">
        <v>107</v>
      </c>
      <c r="X1079" s="18"/>
      <c r="Y1079" s="18"/>
      <c r="Z1079" s="210">
        <v>43557</v>
      </c>
      <c r="AA1079" s="15">
        <v>15000</v>
      </c>
      <c r="AB1079" s="210"/>
      <c r="AC1079" s="15"/>
      <c r="AD1079" s="15"/>
      <c r="AE1079" s="15"/>
      <c r="AF1079" s="244"/>
      <c r="AG1079" s="15"/>
      <c r="AH1079" s="15">
        <f t="shared" si="164"/>
        <v>15000</v>
      </c>
      <c r="AI1079" s="22">
        <f t="shared" si="165"/>
        <v>0</v>
      </c>
      <c r="AJ1079" s="22">
        <f t="shared" si="166"/>
        <v>0</v>
      </c>
      <c r="AK1079" s="13">
        <v>43864</v>
      </c>
    </row>
    <row r="1080" spans="1:37" s="165" customFormat="1" hidden="1">
      <c r="A1080" s="165" t="s">
        <v>1694</v>
      </c>
      <c r="B1080" s="13">
        <v>43505</v>
      </c>
      <c r="C1080" s="267" t="s">
        <v>1622</v>
      </c>
      <c r="D1080" s="258" t="s">
        <v>1008</v>
      </c>
      <c r="E1080" s="198" t="s">
        <v>1009</v>
      </c>
      <c r="F1080" s="165" t="str">
        <f t="shared" si="162"/>
        <v>CONC_20.22_125_NL2018</v>
      </c>
      <c r="G1080" s="165" t="s">
        <v>40</v>
      </c>
      <c r="H1080" s="12"/>
      <c r="I1080" s="12" t="s">
        <v>74</v>
      </c>
      <c r="J1080" s="14">
        <v>125</v>
      </c>
      <c r="K1080" s="15" t="s">
        <v>28</v>
      </c>
      <c r="L1080" s="15"/>
      <c r="M1080" s="16">
        <f t="shared" si="163"/>
        <v>80</v>
      </c>
      <c r="N1080" s="15">
        <v>10000</v>
      </c>
      <c r="O1080" s="15">
        <v>10500</v>
      </c>
      <c r="P1080" s="15">
        <f t="shared" si="161"/>
        <v>105000000</v>
      </c>
      <c r="Q1080" s="15" t="str">
        <f t="shared" si="160"/>
        <v/>
      </c>
      <c r="R1080" s="18" t="s">
        <v>29</v>
      </c>
      <c r="S1080" s="23">
        <v>43709</v>
      </c>
      <c r="T1080" s="20">
        <f>IFERROR(VLOOKUP(S1080,'Date Converter'!$A$4:$C$368,3,0),"")</f>
        <v>43737</v>
      </c>
      <c r="U1080" s="21">
        <f t="shared" si="159"/>
        <v>43737</v>
      </c>
      <c r="V1080" s="15" t="s">
        <v>51</v>
      </c>
      <c r="W1080" s="18"/>
      <c r="X1080" s="18"/>
      <c r="Y1080" s="18"/>
      <c r="Z1080" s="210"/>
      <c r="AA1080" s="15">
        <v>0</v>
      </c>
      <c r="AB1080" s="210"/>
      <c r="AC1080" s="15"/>
      <c r="AD1080" s="15"/>
      <c r="AE1080" s="15"/>
      <c r="AF1080" s="244"/>
      <c r="AG1080" s="15"/>
      <c r="AH1080" s="15">
        <f t="shared" si="164"/>
        <v>0</v>
      </c>
      <c r="AI1080" s="22">
        <f t="shared" si="165"/>
        <v>10000</v>
      </c>
      <c r="AJ1080" s="22">
        <f t="shared" si="166"/>
        <v>105000000</v>
      </c>
      <c r="AK1080" s="13"/>
    </row>
    <row r="1081" spans="1:37" hidden="1">
      <c r="A1081" s="165" t="s">
        <v>1689</v>
      </c>
      <c r="B1081" s="13">
        <v>43505</v>
      </c>
      <c r="C1081" s="13" t="s">
        <v>1622</v>
      </c>
      <c r="D1081" s="165" t="s">
        <v>1008</v>
      </c>
      <c r="E1081" s="165" t="s">
        <v>1009</v>
      </c>
      <c r="F1081" s="165" t="str">
        <f t="shared" si="162"/>
        <v>BACA_16.18_200_NL2018</v>
      </c>
      <c r="G1081" s="165" t="s">
        <v>67</v>
      </c>
      <c r="I1081" s="12" t="s">
        <v>35</v>
      </c>
      <c r="J1081" s="14">
        <v>200</v>
      </c>
      <c r="K1081" s="15" t="s">
        <v>28</v>
      </c>
      <c r="M1081" s="16">
        <f t="shared" si="163"/>
        <v>50</v>
      </c>
      <c r="N1081" s="15">
        <v>10000</v>
      </c>
      <c r="O1081" s="15">
        <v>6300</v>
      </c>
      <c r="P1081" s="15">
        <f t="shared" si="161"/>
        <v>63000000</v>
      </c>
      <c r="Q1081" s="15" t="str">
        <f t="shared" si="160"/>
        <v>Done</v>
      </c>
      <c r="R1081" s="18" t="s">
        <v>44</v>
      </c>
      <c r="S1081" s="23">
        <v>43511</v>
      </c>
      <c r="T1081" s="20">
        <f>IFERROR(VLOOKUP(S1081,'Date Converter'!$A$4:$C$368,3,0),"")</f>
        <v>43544</v>
      </c>
      <c r="U1081" s="21">
        <f t="shared" si="159"/>
        <v>43544</v>
      </c>
      <c r="V1081" s="12" t="s">
        <v>32</v>
      </c>
      <c r="W1081" s="18" t="s">
        <v>48</v>
      </c>
      <c r="Y1081" s="18"/>
      <c r="Z1081" s="210">
        <v>43543</v>
      </c>
      <c r="AA1081" s="15">
        <v>10000</v>
      </c>
      <c r="AB1081" s="210"/>
      <c r="AC1081" s="15"/>
      <c r="AD1081" s="15"/>
      <c r="AE1081" s="15"/>
      <c r="AF1081" s="244"/>
      <c r="AG1081" s="15"/>
      <c r="AH1081" s="15">
        <f t="shared" si="164"/>
        <v>10000</v>
      </c>
      <c r="AI1081" s="22">
        <f t="shared" si="165"/>
        <v>0</v>
      </c>
      <c r="AJ1081" s="22">
        <f t="shared" si="166"/>
        <v>0</v>
      </c>
      <c r="AK1081" s="13">
        <v>43864</v>
      </c>
    </row>
    <row r="1082" spans="1:37" hidden="1">
      <c r="A1082" s="165" t="s">
        <v>1689</v>
      </c>
      <c r="B1082" s="13">
        <v>43505</v>
      </c>
      <c r="C1082" s="13" t="s">
        <v>1622</v>
      </c>
      <c r="D1082" s="165" t="s">
        <v>1008</v>
      </c>
      <c r="E1082" s="165" t="s">
        <v>1009</v>
      </c>
      <c r="F1082" s="165" t="str">
        <f t="shared" si="162"/>
        <v>BACA_16.18_200_NL2018</v>
      </c>
      <c r="G1082" s="165" t="s">
        <v>67</v>
      </c>
      <c r="I1082" s="12" t="s">
        <v>35</v>
      </c>
      <c r="J1082" s="14">
        <v>200</v>
      </c>
      <c r="K1082" s="15" t="s">
        <v>28</v>
      </c>
      <c r="M1082" s="16">
        <f t="shared" si="163"/>
        <v>50</v>
      </c>
      <c r="N1082" s="15">
        <v>10000</v>
      </c>
      <c r="O1082" s="15">
        <v>6300</v>
      </c>
      <c r="P1082" s="15">
        <f t="shared" si="161"/>
        <v>63000000</v>
      </c>
      <c r="Q1082" s="15" t="str">
        <f t="shared" si="160"/>
        <v>Done</v>
      </c>
      <c r="R1082" s="18" t="s">
        <v>44</v>
      </c>
      <c r="S1082" s="23" t="s">
        <v>53</v>
      </c>
      <c r="T1082" s="20">
        <f>IFERROR(VLOOKUP(S1082,'Date Converter'!$A$4:$C$368,3,0),"")</f>
        <v>43559</v>
      </c>
      <c r="U1082" s="21">
        <f t="shared" si="159"/>
        <v>43559</v>
      </c>
      <c r="V1082" s="20" t="s">
        <v>54</v>
      </c>
      <c r="W1082" s="18" t="s">
        <v>72</v>
      </c>
      <c r="Y1082" s="18"/>
      <c r="Z1082" s="210">
        <v>43558</v>
      </c>
      <c r="AA1082" s="15">
        <v>10000</v>
      </c>
      <c r="AB1082" s="210"/>
      <c r="AC1082" s="15"/>
      <c r="AD1082" s="15"/>
      <c r="AE1082" s="15"/>
      <c r="AF1082" s="244"/>
      <c r="AG1082" s="15"/>
      <c r="AH1082" s="15">
        <f t="shared" si="164"/>
        <v>10000</v>
      </c>
      <c r="AI1082" s="22">
        <f t="shared" si="165"/>
        <v>0</v>
      </c>
      <c r="AJ1082" s="22">
        <f t="shared" si="166"/>
        <v>0</v>
      </c>
      <c r="AK1082" s="13">
        <v>43865</v>
      </c>
    </row>
    <row r="1083" spans="1:37" hidden="1">
      <c r="A1083" s="165" t="s">
        <v>1689</v>
      </c>
      <c r="B1083" s="13">
        <v>43505</v>
      </c>
      <c r="C1083" s="13" t="s">
        <v>1622</v>
      </c>
      <c r="D1083" s="165" t="s">
        <v>1008</v>
      </c>
      <c r="E1083" s="165" t="s">
        <v>1009</v>
      </c>
      <c r="F1083" s="165" t="str">
        <f t="shared" si="162"/>
        <v>BACA_16.18_200_NL2018</v>
      </c>
      <c r="G1083" s="165" t="s">
        <v>67</v>
      </c>
      <c r="I1083" s="12" t="s">
        <v>35</v>
      </c>
      <c r="J1083" s="14">
        <v>200</v>
      </c>
      <c r="K1083" s="15" t="s">
        <v>28</v>
      </c>
      <c r="M1083" s="16">
        <f t="shared" si="163"/>
        <v>50</v>
      </c>
      <c r="N1083" s="17">
        <v>10000</v>
      </c>
      <c r="O1083" s="15">
        <f>6300+113</f>
        <v>6413</v>
      </c>
      <c r="P1083" s="15">
        <f t="shared" si="161"/>
        <v>64130000</v>
      </c>
      <c r="Q1083" s="15" t="str">
        <f t="shared" si="160"/>
        <v>Done</v>
      </c>
      <c r="R1083" s="18" t="s">
        <v>44</v>
      </c>
      <c r="S1083" s="219">
        <v>43539</v>
      </c>
      <c r="T1083" s="20">
        <f>IFERROR(VLOOKUP(S1083,'Date Converter'!$A$4:$C$368,3,0),"")</f>
        <v>43574</v>
      </c>
      <c r="U1083" s="21">
        <f t="shared" ref="U1083:U1145" si="167">+T1083</f>
        <v>43574</v>
      </c>
      <c r="V1083" s="12" t="s">
        <v>57</v>
      </c>
      <c r="W1083" s="18" t="s">
        <v>132</v>
      </c>
      <c r="Y1083" s="18"/>
      <c r="Z1083" s="210">
        <v>43579</v>
      </c>
      <c r="AA1083" s="15">
        <v>10000</v>
      </c>
      <c r="AB1083" s="210"/>
      <c r="AC1083" s="15"/>
      <c r="AD1083" s="15"/>
      <c r="AE1083" s="15"/>
      <c r="AF1083" s="244"/>
      <c r="AG1083" s="15"/>
      <c r="AH1083" s="15">
        <f t="shared" si="164"/>
        <v>10000</v>
      </c>
      <c r="AI1083" s="22">
        <f t="shared" si="165"/>
        <v>0</v>
      </c>
      <c r="AJ1083" s="22">
        <f t="shared" si="166"/>
        <v>0</v>
      </c>
      <c r="AK1083" s="13">
        <v>43865</v>
      </c>
    </row>
    <row r="1084" spans="1:37" hidden="1">
      <c r="A1084" s="165" t="s">
        <v>1694</v>
      </c>
      <c r="B1084" s="13">
        <v>43505</v>
      </c>
      <c r="C1084" s="267" t="s">
        <v>1622</v>
      </c>
      <c r="D1084" s="258" t="s">
        <v>1008</v>
      </c>
      <c r="E1084" s="198" t="s">
        <v>1009</v>
      </c>
      <c r="F1084" s="165" t="str">
        <f t="shared" si="162"/>
        <v>BACA_20.22_125_NL2018</v>
      </c>
      <c r="G1084" s="165" t="s">
        <v>67</v>
      </c>
      <c r="I1084" s="12" t="s">
        <v>74</v>
      </c>
      <c r="J1084" s="14">
        <v>125</v>
      </c>
      <c r="K1084" s="15" t="s">
        <v>28</v>
      </c>
      <c r="M1084" s="16">
        <f t="shared" si="163"/>
        <v>80</v>
      </c>
      <c r="N1084" s="15">
        <v>10000</v>
      </c>
      <c r="O1084" s="15">
        <v>10800</v>
      </c>
      <c r="P1084" s="15">
        <f t="shared" si="161"/>
        <v>108000000</v>
      </c>
      <c r="Q1084" s="15" t="str">
        <f t="shared" si="160"/>
        <v/>
      </c>
      <c r="R1084" s="18" t="s">
        <v>29</v>
      </c>
      <c r="S1084" s="23">
        <v>43709</v>
      </c>
      <c r="T1084" s="20">
        <f>IFERROR(VLOOKUP(S1084,'Date Converter'!$A$4:$C$368,3,0),"")</f>
        <v>43737</v>
      </c>
      <c r="U1084" s="21">
        <f t="shared" si="167"/>
        <v>43737</v>
      </c>
      <c r="V1084" s="15" t="s">
        <v>51</v>
      </c>
      <c r="Y1084" s="18"/>
      <c r="Z1084" s="210"/>
      <c r="AA1084" s="15">
        <v>0</v>
      </c>
      <c r="AB1084" s="210"/>
      <c r="AC1084" s="15"/>
      <c r="AD1084" s="15"/>
      <c r="AE1084" s="15"/>
      <c r="AF1084" s="244"/>
      <c r="AG1084" s="15"/>
      <c r="AH1084" s="15">
        <f t="shared" si="164"/>
        <v>0</v>
      </c>
      <c r="AI1084" s="22">
        <f t="shared" si="165"/>
        <v>10000</v>
      </c>
      <c r="AJ1084" s="22">
        <f t="shared" si="166"/>
        <v>108000000</v>
      </c>
      <c r="AK1084" s="13">
        <v>43870</v>
      </c>
    </row>
    <row r="1085" spans="1:37" s="165" customFormat="1" hidden="1">
      <c r="A1085" s="165" t="s">
        <v>1689</v>
      </c>
      <c r="B1085" s="13">
        <v>43505</v>
      </c>
      <c r="C1085" s="13" t="s">
        <v>1622</v>
      </c>
      <c r="D1085" s="165" t="s">
        <v>1008</v>
      </c>
      <c r="E1085" s="165" t="s">
        <v>1009</v>
      </c>
      <c r="F1085" s="165" t="str">
        <f t="shared" si="162"/>
        <v>AMAT_14.16_300_NL2018</v>
      </c>
      <c r="G1085" s="165" t="s">
        <v>112</v>
      </c>
      <c r="H1085" s="12"/>
      <c r="I1085" s="12" t="s">
        <v>47</v>
      </c>
      <c r="J1085" s="14">
        <v>300</v>
      </c>
      <c r="K1085" s="15" t="s">
        <v>28</v>
      </c>
      <c r="L1085" s="15"/>
      <c r="M1085" s="16">
        <f t="shared" si="163"/>
        <v>17</v>
      </c>
      <c r="N1085" s="15">
        <v>5100</v>
      </c>
      <c r="O1085" s="15">
        <v>4200</v>
      </c>
      <c r="P1085" s="15">
        <f t="shared" si="161"/>
        <v>21420000</v>
      </c>
      <c r="Q1085" s="15" t="str">
        <f t="shared" si="160"/>
        <v>Done</v>
      </c>
      <c r="R1085" s="18" t="s">
        <v>44</v>
      </c>
      <c r="S1085" s="23">
        <v>43511</v>
      </c>
      <c r="T1085" s="20">
        <f>IFERROR(VLOOKUP(S1085,'Date Converter'!$A$4:$C$368,3,0),"")</f>
        <v>43544</v>
      </c>
      <c r="U1085" s="21">
        <f t="shared" si="167"/>
        <v>43544</v>
      </c>
      <c r="V1085" s="220" t="s">
        <v>32</v>
      </c>
      <c r="W1085" s="18" t="s">
        <v>39</v>
      </c>
      <c r="X1085" s="18"/>
      <c r="Y1085" s="18"/>
      <c r="Z1085" s="210">
        <v>43543</v>
      </c>
      <c r="AA1085" s="15">
        <v>5100</v>
      </c>
      <c r="AB1085" s="210"/>
      <c r="AC1085" s="15"/>
      <c r="AD1085" s="15"/>
      <c r="AE1085" s="15"/>
      <c r="AF1085" s="244"/>
      <c r="AG1085" s="15"/>
      <c r="AH1085" s="15">
        <f t="shared" si="164"/>
        <v>5100</v>
      </c>
      <c r="AI1085" s="22">
        <f t="shared" si="165"/>
        <v>0</v>
      </c>
      <c r="AJ1085" s="22">
        <f t="shared" si="166"/>
        <v>0</v>
      </c>
      <c r="AK1085" s="13">
        <v>43864</v>
      </c>
    </row>
    <row r="1086" spans="1:37" s="165" customFormat="1" hidden="1">
      <c r="A1086" s="165" t="s">
        <v>1689</v>
      </c>
      <c r="B1086" s="13">
        <v>43505</v>
      </c>
      <c r="C1086" s="13" t="s">
        <v>1622</v>
      </c>
      <c r="D1086" s="165" t="s">
        <v>1008</v>
      </c>
      <c r="E1086" s="165" t="s">
        <v>1009</v>
      </c>
      <c r="F1086" s="165" t="str">
        <f t="shared" si="162"/>
        <v>ALUS_14.16_300_NL2018</v>
      </c>
      <c r="G1086" s="165" t="s">
        <v>501</v>
      </c>
      <c r="H1086" s="12"/>
      <c r="I1086" s="12" t="s">
        <v>47</v>
      </c>
      <c r="J1086" s="14">
        <v>300</v>
      </c>
      <c r="K1086" s="15" t="s">
        <v>28</v>
      </c>
      <c r="L1086" s="15"/>
      <c r="M1086" s="16">
        <f t="shared" si="163"/>
        <v>17</v>
      </c>
      <c r="N1086" s="15">
        <v>5100</v>
      </c>
      <c r="O1086" s="15">
        <v>4000</v>
      </c>
      <c r="P1086" s="15">
        <f t="shared" si="161"/>
        <v>20400000</v>
      </c>
      <c r="Q1086" s="15" t="str">
        <f t="shared" si="160"/>
        <v>Done</v>
      </c>
      <c r="R1086" s="18" t="s">
        <v>44</v>
      </c>
      <c r="S1086" s="23" t="s">
        <v>53</v>
      </c>
      <c r="T1086" s="20">
        <f>IFERROR(VLOOKUP(S1086,'Date Converter'!$A$4:$C$368,3,0),"")</f>
        <v>43559</v>
      </c>
      <c r="U1086" s="21">
        <f t="shared" si="167"/>
        <v>43559</v>
      </c>
      <c r="V1086" s="20" t="s">
        <v>54</v>
      </c>
      <c r="W1086" s="18" t="s">
        <v>82</v>
      </c>
      <c r="X1086" s="18"/>
      <c r="Y1086" s="18"/>
      <c r="Z1086" s="210">
        <v>43557</v>
      </c>
      <c r="AA1086" s="15">
        <v>5100</v>
      </c>
      <c r="AB1086" s="210"/>
      <c r="AC1086" s="15"/>
      <c r="AD1086" s="15"/>
      <c r="AE1086" s="15"/>
      <c r="AF1086" s="244"/>
      <c r="AG1086" s="15"/>
      <c r="AH1086" s="15">
        <f t="shared" si="164"/>
        <v>5100</v>
      </c>
      <c r="AI1086" s="22">
        <f t="shared" si="165"/>
        <v>0</v>
      </c>
      <c r="AJ1086" s="22">
        <f t="shared" si="166"/>
        <v>0</v>
      </c>
      <c r="AK1086" s="13">
        <v>43864</v>
      </c>
    </row>
    <row r="1087" spans="1:37" s="165" customFormat="1" hidden="1">
      <c r="A1087" s="165" t="s">
        <v>1696</v>
      </c>
      <c r="B1087" s="13">
        <v>43512</v>
      </c>
      <c r="C1087" s="13" t="s">
        <v>1622</v>
      </c>
      <c r="D1087" s="165" t="s">
        <v>1015</v>
      </c>
      <c r="E1087" s="165" t="s">
        <v>1697</v>
      </c>
      <c r="F1087" s="165" t="str">
        <f t="shared" si="162"/>
        <v>ROBI_22.24_100_NL2018</v>
      </c>
      <c r="G1087" s="165" t="s">
        <v>61</v>
      </c>
      <c r="H1087" s="12"/>
      <c r="I1087" s="12" t="s">
        <v>78</v>
      </c>
      <c r="J1087" s="14">
        <v>100</v>
      </c>
      <c r="K1087" s="15" t="s">
        <v>28</v>
      </c>
      <c r="L1087" s="15"/>
      <c r="M1087" s="16">
        <f t="shared" si="163"/>
        <v>0</v>
      </c>
      <c r="N1087" s="15">
        <f>20000-10000-10000</f>
        <v>0</v>
      </c>
      <c r="O1087" s="15">
        <v>12500</v>
      </c>
      <c r="P1087" s="15">
        <f t="shared" si="161"/>
        <v>0</v>
      </c>
      <c r="Q1087" s="15" t="str">
        <f t="shared" si="160"/>
        <v>Canceled</v>
      </c>
      <c r="R1087" s="18" t="s">
        <v>71</v>
      </c>
      <c r="S1087" s="117">
        <v>43709</v>
      </c>
      <c r="T1087" s="20">
        <f>IFERROR(VLOOKUP(S1087,'Date Converter'!$A$4:$C$368,3,0),"")</f>
        <v>43737</v>
      </c>
      <c r="U1087" s="21">
        <f t="shared" si="167"/>
        <v>43737</v>
      </c>
      <c r="V1087" s="12" t="s">
        <v>51</v>
      </c>
      <c r="W1087" s="18"/>
      <c r="X1087" s="18"/>
      <c r="Y1087" s="18"/>
      <c r="Z1087" s="210"/>
      <c r="AA1087" s="15">
        <v>0</v>
      </c>
      <c r="AB1087" s="210"/>
      <c r="AC1087" s="15"/>
      <c r="AD1087" s="15"/>
      <c r="AE1087" s="15"/>
      <c r="AF1087" s="244"/>
      <c r="AG1087" s="15"/>
      <c r="AH1087" s="15">
        <f t="shared" si="164"/>
        <v>0</v>
      </c>
      <c r="AI1087" s="22">
        <f t="shared" si="165"/>
        <v>0</v>
      </c>
      <c r="AJ1087" s="22">
        <f t="shared" si="166"/>
        <v>0</v>
      </c>
      <c r="AK1087" s="13">
        <v>43870</v>
      </c>
    </row>
    <row r="1088" spans="1:37" s="165" customFormat="1" hidden="1">
      <c r="A1088" s="165" t="s">
        <v>1696</v>
      </c>
      <c r="B1088" s="13">
        <v>43512</v>
      </c>
      <c r="C1088" s="13" t="s">
        <v>1622</v>
      </c>
      <c r="D1088" s="165" t="s">
        <v>1015</v>
      </c>
      <c r="E1088" s="165" t="s">
        <v>1697</v>
      </c>
      <c r="F1088" s="165" t="str">
        <f t="shared" si="162"/>
        <v>MANI_24.26_80_NL2018</v>
      </c>
      <c r="G1088" s="165" t="s">
        <v>105</v>
      </c>
      <c r="H1088" s="12"/>
      <c r="I1088" s="12" t="s">
        <v>220</v>
      </c>
      <c r="J1088" s="14">
        <v>80</v>
      </c>
      <c r="K1088" s="15" t="s">
        <v>28</v>
      </c>
      <c r="L1088" s="15"/>
      <c r="M1088" s="16">
        <f t="shared" si="163"/>
        <v>0</v>
      </c>
      <c r="N1088" s="15">
        <f>20000-10000-10000</f>
        <v>0</v>
      </c>
      <c r="O1088" s="15">
        <v>16000</v>
      </c>
      <c r="P1088" s="15">
        <f t="shared" si="161"/>
        <v>0</v>
      </c>
      <c r="Q1088" s="15" t="str">
        <f t="shared" si="160"/>
        <v>Canceled</v>
      </c>
      <c r="R1088" s="18" t="s">
        <v>71</v>
      </c>
      <c r="S1088" s="117">
        <v>43709</v>
      </c>
      <c r="T1088" s="20">
        <f>IFERROR(VLOOKUP(S1088,'Date Converter'!$A$4:$C$368,3,0),"")</f>
        <v>43737</v>
      </c>
      <c r="U1088" s="21">
        <f t="shared" si="167"/>
        <v>43737</v>
      </c>
      <c r="V1088" s="12" t="s">
        <v>51</v>
      </c>
      <c r="W1088" s="18"/>
      <c r="X1088" s="18"/>
      <c r="Y1088" s="18"/>
      <c r="Z1088" s="210"/>
      <c r="AA1088" s="15">
        <v>0</v>
      </c>
      <c r="AB1088" s="210"/>
      <c r="AC1088" s="15"/>
      <c r="AD1088" s="15"/>
      <c r="AE1088" s="15"/>
      <c r="AF1088" s="244"/>
      <c r="AG1088" s="15"/>
      <c r="AH1088" s="15">
        <f t="shared" si="164"/>
        <v>0</v>
      </c>
      <c r="AI1088" s="22">
        <f t="shared" si="165"/>
        <v>0</v>
      </c>
      <c r="AJ1088" s="22">
        <f t="shared" si="166"/>
        <v>0</v>
      </c>
      <c r="AK1088" s="13"/>
    </row>
    <row r="1089" spans="1:37" hidden="1">
      <c r="A1089" s="165" t="s">
        <v>1696</v>
      </c>
      <c r="B1089" s="13">
        <v>43512</v>
      </c>
      <c r="C1089" s="13" t="s">
        <v>1622</v>
      </c>
      <c r="D1089" s="165" t="s">
        <v>1015</v>
      </c>
      <c r="E1089" s="165" t="s">
        <v>1697</v>
      </c>
      <c r="F1089" s="165" t="str">
        <f t="shared" si="162"/>
        <v>CONC_22.24_100_NL2018</v>
      </c>
      <c r="G1089" s="165" t="s">
        <v>133</v>
      </c>
      <c r="I1089" s="12" t="s">
        <v>78</v>
      </c>
      <c r="J1089" s="14">
        <v>100</v>
      </c>
      <c r="K1089" s="15" t="s">
        <v>28</v>
      </c>
      <c r="M1089" s="16">
        <f t="shared" si="163"/>
        <v>0</v>
      </c>
      <c r="N1089" s="15">
        <f>10000-5000-5000</f>
        <v>0</v>
      </c>
      <c r="O1089" s="15">
        <v>12500</v>
      </c>
      <c r="P1089" s="15">
        <f t="shared" si="161"/>
        <v>0</v>
      </c>
      <c r="Q1089" s="15" t="str">
        <f t="shared" si="160"/>
        <v>Canceled</v>
      </c>
      <c r="R1089" s="18" t="s">
        <v>71</v>
      </c>
      <c r="S1089" s="117">
        <v>43709</v>
      </c>
      <c r="T1089" s="20">
        <f>IFERROR(VLOOKUP(S1089,'Date Converter'!$A$4:$C$368,3,0),"")</f>
        <v>43737</v>
      </c>
      <c r="U1089" s="21">
        <f t="shared" si="167"/>
        <v>43737</v>
      </c>
      <c r="V1089" s="12" t="s">
        <v>51</v>
      </c>
      <c r="Y1089" s="18"/>
      <c r="Z1089" s="210"/>
      <c r="AA1089" s="15">
        <v>0</v>
      </c>
      <c r="AB1089" s="210"/>
      <c r="AC1089" s="15"/>
      <c r="AD1089" s="15"/>
      <c r="AE1089" s="15"/>
      <c r="AF1089" s="244"/>
      <c r="AG1089" s="15"/>
      <c r="AH1089" s="15">
        <f t="shared" si="164"/>
        <v>0</v>
      </c>
      <c r="AI1089" s="22">
        <f t="shared" si="165"/>
        <v>0</v>
      </c>
      <c r="AJ1089" s="22">
        <f t="shared" si="166"/>
        <v>0</v>
      </c>
      <c r="AK1089" s="13">
        <v>43870</v>
      </c>
    </row>
    <row r="1090" spans="1:37" hidden="1">
      <c r="A1090" s="165" t="s">
        <v>1698</v>
      </c>
      <c r="B1090" s="13">
        <v>43521</v>
      </c>
      <c r="C1090" s="13" t="s">
        <v>1622</v>
      </c>
      <c r="D1090" s="165" t="s">
        <v>920</v>
      </c>
      <c r="E1090" s="165" t="s">
        <v>921</v>
      </c>
      <c r="F1090" s="165" t="str">
        <f t="shared" si="162"/>
        <v>YELL_12.14_400_NL2018</v>
      </c>
      <c r="G1090" s="165" t="s">
        <v>89</v>
      </c>
      <c r="I1090" s="12" t="s">
        <v>113</v>
      </c>
      <c r="J1090" s="14">
        <v>400</v>
      </c>
      <c r="K1090" s="15" t="s">
        <v>28</v>
      </c>
      <c r="M1090" s="16">
        <f t="shared" si="163"/>
        <v>63</v>
      </c>
      <c r="N1090" s="15">
        <v>25200</v>
      </c>
      <c r="O1090" s="15">
        <v>2600</v>
      </c>
      <c r="P1090" s="15">
        <f t="shared" si="161"/>
        <v>65520000</v>
      </c>
      <c r="Q1090" s="15" t="str">
        <f t="shared" si="160"/>
        <v>Done</v>
      </c>
      <c r="R1090" s="18" t="s">
        <v>44</v>
      </c>
      <c r="S1090" s="117">
        <v>43539</v>
      </c>
      <c r="T1090" s="20">
        <f>IFERROR(VLOOKUP(S1090,'Date Converter'!$A$4:$C$368,3,0),"")</f>
        <v>43574</v>
      </c>
      <c r="U1090" s="21">
        <f t="shared" si="167"/>
        <v>43574</v>
      </c>
      <c r="V1090" s="12" t="s">
        <v>57</v>
      </c>
      <c r="W1090" s="18" t="s">
        <v>143</v>
      </c>
      <c r="Y1090" s="18"/>
      <c r="Z1090" s="210">
        <v>43580</v>
      </c>
      <c r="AA1090" s="15">
        <f>5200+5200+5200</f>
        <v>15600</v>
      </c>
      <c r="AB1090" s="210">
        <v>43612</v>
      </c>
      <c r="AC1090" s="15">
        <v>4800</v>
      </c>
      <c r="AD1090" s="210">
        <v>43620</v>
      </c>
      <c r="AE1090" s="15">
        <v>4800</v>
      </c>
      <c r="AF1090" s="244"/>
      <c r="AG1090" s="15"/>
      <c r="AH1090" s="15">
        <f t="shared" si="164"/>
        <v>25200</v>
      </c>
      <c r="AI1090" s="22">
        <f t="shared" si="165"/>
        <v>0</v>
      </c>
      <c r="AJ1090" s="22">
        <f t="shared" si="166"/>
        <v>0</v>
      </c>
      <c r="AK1090" s="13">
        <v>43870</v>
      </c>
    </row>
    <row r="1091" spans="1:37" s="165" customFormat="1" hidden="1">
      <c r="A1091" s="165" t="s">
        <v>1698</v>
      </c>
      <c r="B1091" s="13">
        <v>43521</v>
      </c>
      <c r="C1091" s="13" t="s">
        <v>1622</v>
      </c>
      <c r="D1091" s="165" t="s">
        <v>920</v>
      </c>
      <c r="E1091" s="165" t="s">
        <v>921</v>
      </c>
      <c r="F1091" s="165" t="str">
        <f t="shared" si="162"/>
        <v>YELL_14.16_300_NL2018</v>
      </c>
      <c r="G1091" s="165" t="s">
        <v>89</v>
      </c>
      <c r="H1091" s="12"/>
      <c r="I1091" s="12" t="s">
        <v>47</v>
      </c>
      <c r="J1091" s="14">
        <v>300</v>
      </c>
      <c r="K1091" s="15" t="s">
        <v>28</v>
      </c>
      <c r="L1091" s="15"/>
      <c r="M1091" s="16">
        <f t="shared" si="163"/>
        <v>84</v>
      </c>
      <c r="N1091" s="15">
        <v>25200</v>
      </c>
      <c r="O1091" s="15">
        <v>3600</v>
      </c>
      <c r="P1091" s="15">
        <f t="shared" si="161"/>
        <v>90720000</v>
      </c>
      <c r="Q1091" s="15" t="str">
        <f t="shared" ref="Q1091:Q1154" si="168">IF(AND(N1091=0,AI1091=0),"Canceled",IF(AND(N1091&gt;0,AI1091=0),"Done",""))</f>
        <v>Done</v>
      </c>
      <c r="R1091" s="18" t="s">
        <v>44</v>
      </c>
      <c r="S1091" s="117">
        <v>43539</v>
      </c>
      <c r="T1091" s="20">
        <f>IFERROR(VLOOKUP(S1091,'Date Converter'!$A$4:$C$368,3,0),"")</f>
        <v>43574</v>
      </c>
      <c r="U1091" s="21">
        <f t="shared" si="167"/>
        <v>43574</v>
      </c>
      <c r="V1091" s="12" t="s">
        <v>57</v>
      </c>
      <c r="W1091" s="18" t="s">
        <v>132</v>
      </c>
      <c r="X1091" s="18"/>
      <c r="Y1091" s="18"/>
      <c r="Z1091" s="210">
        <v>43580</v>
      </c>
      <c r="AA1091" s="15">
        <f>5100+5100+5100</f>
        <v>15300</v>
      </c>
      <c r="AB1091" s="210">
        <v>43612</v>
      </c>
      <c r="AC1091" s="15">
        <v>5100</v>
      </c>
      <c r="AD1091" s="210">
        <v>43620</v>
      </c>
      <c r="AE1091" s="15">
        <v>4800</v>
      </c>
      <c r="AF1091" s="244"/>
      <c r="AG1091" s="15"/>
      <c r="AH1091" s="15">
        <f t="shared" si="164"/>
        <v>25200</v>
      </c>
      <c r="AI1091" s="22">
        <f t="shared" si="165"/>
        <v>0</v>
      </c>
      <c r="AJ1091" s="22">
        <f t="shared" si="166"/>
        <v>0</v>
      </c>
      <c r="AK1091" s="13">
        <v>43870</v>
      </c>
    </row>
    <row r="1092" spans="1:37" hidden="1">
      <c r="A1092" s="165" t="s">
        <v>1698</v>
      </c>
      <c r="B1092" s="13">
        <v>43580</v>
      </c>
      <c r="C1092" s="13" t="s">
        <v>1622</v>
      </c>
      <c r="D1092" s="165" t="s">
        <v>920</v>
      </c>
      <c r="E1092" s="165" t="s">
        <v>921</v>
      </c>
      <c r="F1092" s="165" t="str">
        <f t="shared" si="162"/>
        <v>YELL_14.16_300_NL2018</v>
      </c>
      <c r="G1092" s="165" t="s">
        <v>89</v>
      </c>
      <c r="I1092" s="12" t="s">
        <v>47</v>
      </c>
      <c r="J1092" s="14">
        <v>300</v>
      </c>
      <c r="K1092" s="15" t="s">
        <v>28</v>
      </c>
      <c r="M1092" s="16">
        <f t="shared" si="163"/>
        <v>83</v>
      </c>
      <c r="N1092" s="15">
        <f>30000-5100</f>
        <v>24900</v>
      </c>
      <c r="O1092" s="15">
        <v>3800</v>
      </c>
      <c r="P1092" s="15">
        <f t="shared" ref="P1092:P1154" si="169">+O1092*N1092</f>
        <v>94620000</v>
      </c>
      <c r="Q1092" s="15" t="str">
        <f t="shared" si="168"/>
        <v/>
      </c>
      <c r="R1092" s="18" t="s">
        <v>63</v>
      </c>
      <c r="S1092" s="117">
        <v>43587</v>
      </c>
      <c r="T1092" s="20">
        <f>IFERROR(VLOOKUP(S1092,'Date Converter'!$A$4:$C$368,3,0),"")</f>
        <v>43620</v>
      </c>
      <c r="U1092" s="21">
        <f t="shared" si="167"/>
        <v>43620</v>
      </c>
      <c r="V1092" s="12" t="s">
        <v>1632</v>
      </c>
      <c r="Y1092" s="18"/>
      <c r="Z1092" s="210">
        <v>43633</v>
      </c>
      <c r="AA1092" s="15">
        <v>15000</v>
      </c>
      <c r="AB1092" s="210"/>
      <c r="AC1092" s="15"/>
      <c r="AD1092" s="210"/>
      <c r="AE1092" s="15"/>
      <c r="AF1092" s="244"/>
      <c r="AG1092" s="15"/>
      <c r="AH1092" s="15">
        <f t="shared" si="164"/>
        <v>15000</v>
      </c>
      <c r="AI1092" s="22">
        <f t="shared" si="165"/>
        <v>9900</v>
      </c>
      <c r="AJ1092" s="22">
        <f t="shared" si="166"/>
        <v>37620000</v>
      </c>
      <c r="AK1092" s="13"/>
    </row>
    <row r="1093" spans="1:37" hidden="1">
      <c r="A1093" s="165" t="s">
        <v>1698</v>
      </c>
      <c r="B1093" s="13">
        <v>43580</v>
      </c>
      <c r="C1093" s="13" t="s">
        <v>1622</v>
      </c>
      <c r="D1093" s="165" t="s">
        <v>920</v>
      </c>
      <c r="E1093" s="165" t="s">
        <v>921</v>
      </c>
      <c r="F1093" s="165" t="str">
        <f t="shared" si="162"/>
        <v>YELL_14.16_300_NL2018</v>
      </c>
      <c r="G1093" s="165" t="s">
        <v>89</v>
      </c>
      <c r="I1093" s="12" t="s">
        <v>47</v>
      </c>
      <c r="J1093" s="14">
        <v>300</v>
      </c>
      <c r="K1093" s="15" t="s">
        <v>28</v>
      </c>
      <c r="M1093" s="16">
        <f t="shared" si="163"/>
        <v>17</v>
      </c>
      <c r="N1093" s="15">
        <v>5100</v>
      </c>
      <c r="O1093" s="15">
        <v>3800</v>
      </c>
      <c r="P1093" s="15">
        <f t="shared" si="169"/>
        <v>19380000</v>
      </c>
      <c r="Q1093" s="15" t="str">
        <f t="shared" si="168"/>
        <v/>
      </c>
      <c r="R1093" s="18" t="s">
        <v>63</v>
      </c>
      <c r="S1093" s="117">
        <v>43603</v>
      </c>
      <c r="T1093" s="20">
        <f>IFERROR(VLOOKUP(S1093,'Date Converter'!$A$4:$C$368,3,0),"")</f>
        <v>43636</v>
      </c>
      <c r="U1093" s="21">
        <f t="shared" si="167"/>
        <v>43636</v>
      </c>
      <c r="Y1093" s="18"/>
      <c r="Z1093" s="210"/>
      <c r="AA1093" s="15"/>
      <c r="AB1093" s="210"/>
      <c r="AC1093" s="15"/>
      <c r="AD1093" s="210"/>
      <c r="AE1093" s="15"/>
      <c r="AF1093" s="244"/>
      <c r="AG1093" s="15"/>
      <c r="AH1093" s="15">
        <f t="shared" si="164"/>
        <v>0</v>
      </c>
      <c r="AI1093" s="22">
        <f t="shared" si="165"/>
        <v>5100</v>
      </c>
      <c r="AJ1093" s="22">
        <f t="shared" si="166"/>
        <v>19380000</v>
      </c>
      <c r="AK1093" s="13"/>
    </row>
    <row r="1094" spans="1:37" hidden="1">
      <c r="A1094" s="165" t="s">
        <v>1698</v>
      </c>
      <c r="B1094" s="13">
        <v>43627</v>
      </c>
      <c r="C1094" s="13" t="s">
        <v>1622</v>
      </c>
      <c r="D1094" s="165" t="s">
        <v>920</v>
      </c>
      <c r="E1094" s="165" t="s">
        <v>921</v>
      </c>
      <c r="F1094" s="165" t="str">
        <f t="shared" si="162"/>
        <v>YELL_14.16_300_NL2018</v>
      </c>
      <c r="G1094" s="165" t="s">
        <v>89</v>
      </c>
      <c r="I1094" s="12" t="s">
        <v>47</v>
      </c>
      <c r="J1094" s="14">
        <v>300</v>
      </c>
      <c r="K1094" s="15" t="s">
        <v>28</v>
      </c>
      <c r="M1094" s="16">
        <f t="shared" si="163"/>
        <v>84</v>
      </c>
      <c r="N1094" s="15">
        <v>25200</v>
      </c>
      <c r="O1094" s="15">
        <v>3920</v>
      </c>
      <c r="P1094" s="15">
        <f t="shared" si="169"/>
        <v>98784000</v>
      </c>
      <c r="Q1094" s="15" t="str">
        <f t="shared" si="168"/>
        <v/>
      </c>
      <c r="R1094" s="18" t="s">
        <v>29</v>
      </c>
      <c r="S1094" s="117">
        <v>43645</v>
      </c>
      <c r="T1094" s="20">
        <f>IFERROR(VLOOKUP(S1094,'Date Converter'!$A$4:$C$368,3,0),"")</f>
        <v>43677</v>
      </c>
      <c r="U1094" s="21">
        <f t="shared" si="167"/>
        <v>43677</v>
      </c>
      <c r="Y1094" s="18"/>
      <c r="Z1094" s="210"/>
      <c r="AA1094" s="15"/>
      <c r="AB1094" s="210"/>
      <c r="AC1094" s="15"/>
      <c r="AD1094" s="15"/>
      <c r="AE1094" s="15"/>
      <c r="AF1094" s="244"/>
      <c r="AG1094" s="15"/>
      <c r="AH1094" s="15">
        <f t="shared" si="164"/>
        <v>0</v>
      </c>
      <c r="AI1094" s="22">
        <f t="shared" si="165"/>
        <v>25200</v>
      </c>
      <c r="AJ1094" s="22">
        <f t="shared" si="166"/>
        <v>98784000</v>
      </c>
      <c r="AK1094" s="13"/>
    </row>
    <row r="1095" spans="1:37" hidden="1">
      <c r="A1095" s="165" t="s">
        <v>1698</v>
      </c>
      <c r="B1095" s="13">
        <v>43627</v>
      </c>
      <c r="C1095" s="13" t="s">
        <v>1622</v>
      </c>
      <c r="D1095" s="165" t="s">
        <v>920</v>
      </c>
      <c r="E1095" s="165" t="s">
        <v>921</v>
      </c>
      <c r="F1095" s="165" t="str">
        <f t="shared" si="162"/>
        <v>YELL_14.16_300_NL2018</v>
      </c>
      <c r="G1095" s="165" t="s">
        <v>89</v>
      </c>
      <c r="I1095" s="12" t="s">
        <v>47</v>
      </c>
      <c r="J1095" s="14">
        <v>300</v>
      </c>
      <c r="K1095" s="15" t="s">
        <v>28</v>
      </c>
      <c r="M1095" s="16">
        <f t="shared" si="163"/>
        <v>84</v>
      </c>
      <c r="N1095" s="15">
        <v>25200</v>
      </c>
      <c r="O1095" s="15">
        <v>4040</v>
      </c>
      <c r="P1095" s="15">
        <f t="shared" si="169"/>
        <v>101808000</v>
      </c>
      <c r="Q1095" s="15" t="str">
        <f t="shared" si="168"/>
        <v/>
      </c>
      <c r="R1095" s="18" t="s">
        <v>29</v>
      </c>
      <c r="S1095" s="117">
        <v>43692</v>
      </c>
      <c r="T1095" s="20">
        <f>IFERROR(VLOOKUP(S1095,'Date Converter'!$A$4:$C$368,3,0),"")</f>
        <v>43721</v>
      </c>
      <c r="U1095" s="21">
        <f t="shared" si="167"/>
        <v>43721</v>
      </c>
      <c r="Y1095" s="18"/>
      <c r="Z1095" s="210"/>
      <c r="AA1095" s="15"/>
      <c r="AB1095" s="210"/>
      <c r="AC1095" s="15"/>
      <c r="AD1095" s="15"/>
      <c r="AE1095" s="15"/>
      <c r="AF1095" s="244"/>
      <c r="AG1095" s="15"/>
      <c r="AH1095" s="15">
        <f t="shared" si="164"/>
        <v>0</v>
      </c>
      <c r="AI1095" s="22">
        <f t="shared" si="165"/>
        <v>25200</v>
      </c>
      <c r="AJ1095" s="22">
        <f t="shared" si="166"/>
        <v>101808000</v>
      </c>
      <c r="AK1095" s="13"/>
    </row>
    <row r="1096" spans="1:37" hidden="1">
      <c r="A1096" s="165" t="s">
        <v>1698</v>
      </c>
      <c r="B1096" s="13">
        <v>43521</v>
      </c>
      <c r="C1096" s="13" t="s">
        <v>1622</v>
      </c>
      <c r="D1096" s="165" t="s">
        <v>920</v>
      </c>
      <c r="E1096" s="165" t="s">
        <v>921</v>
      </c>
      <c r="F1096" s="165" t="str">
        <f t="shared" si="162"/>
        <v>TARR_16.18_200_NL2018</v>
      </c>
      <c r="G1096" s="165" t="s">
        <v>62</v>
      </c>
      <c r="I1096" s="12" t="s">
        <v>35</v>
      </c>
      <c r="J1096" s="14">
        <v>200</v>
      </c>
      <c r="K1096" s="15" t="s">
        <v>28</v>
      </c>
      <c r="M1096" s="16">
        <f t="shared" si="163"/>
        <v>250</v>
      </c>
      <c r="N1096" s="15">
        <v>50000</v>
      </c>
      <c r="O1096" s="15">
        <v>5500</v>
      </c>
      <c r="P1096" s="15">
        <f t="shared" si="169"/>
        <v>275000000</v>
      </c>
      <c r="Q1096" s="15" t="str">
        <f t="shared" si="168"/>
        <v>Done</v>
      </c>
      <c r="R1096" s="18" t="s">
        <v>44</v>
      </c>
      <c r="S1096" s="117">
        <v>43539</v>
      </c>
      <c r="T1096" s="20">
        <f>IFERROR(VLOOKUP(S1096,'Date Converter'!$A$4:$C$368,3,0),"")</f>
        <v>43574</v>
      </c>
      <c r="U1096" s="21">
        <f t="shared" si="167"/>
        <v>43574</v>
      </c>
      <c r="V1096" s="12" t="s">
        <v>57</v>
      </c>
      <c r="W1096" s="18" t="s">
        <v>141</v>
      </c>
      <c r="Y1096" s="18"/>
      <c r="Z1096" s="210">
        <v>43580</v>
      </c>
      <c r="AA1096" s="15">
        <f>10000+10000</f>
        <v>20000</v>
      </c>
      <c r="AB1096" s="210">
        <v>43612</v>
      </c>
      <c r="AC1096" s="15">
        <v>20000</v>
      </c>
      <c r="AD1096" s="210">
        <v>43620</v>
      </c>
      <c r="AE1096" s="15">
        <v>10000</v>
      </c>
      <c r="AF1096" s="244"/>
      <c r="AG1096" s="15"/>
      <c r="AH1096" s="15">
        <f t="shared" si="164"/>
        <v>50000</v>
      </c>
      <c r="AI1096" s="22">
        <f t="shared" si="165"/>
        <v>0</v>
      </c>
      <c r="AJ1096" s="22">
        <f t="shared" si="166"/>
        <v>0</v>
      </c>
      <c r="AK1096" s="13"/>
    </row>
    <row r="1097" spans="1:37" hidden="1">
      <c r="A1097" s="165" t="s">
        <v>1698</v>
      </c>
      <c r="B1097" s="13">
        <v>43521</v>
      </c>
      <c r="C1097" s="13" t="s">
        <v>1622</v>
      </c>
      <c r="D1097" s="165" t="s">
        <v>920</v>
      </c>
      <c r="E1097" s="165" t="s">
        <v>921</v>
      </c>
      <c r="F1097" s="165" t="str">
        <f t="shared" si="162"/>
        <v>ROBI_16.18_200_NL2018</v>
      </c>
      <c r="G1097" s="165" t="s">
        <v>61</v>
      </c>
      <c r="I1097" s="12" t="s">
        <v>35</v>
      </c>
      <c r="J1097" s="14">
        <v>200</v>
      </c>
      <c r="K1097" s="15" t="s">
        <v>28</v>
      </c>
      <c r="M1097" s="16">
        <f t="shared" si="163"/>
        <v>75</v>
      </c>
      <c r="N1097" s="15">
        <f>30000-5000-10000</f>
        <v>15000</v>
      </c>
      <c r="O1097" s="15">
        <v>4800</v>
      </c>
      <c r="P1097" s="15">
        <f t="shared" si="169"/>
        <v>72000000</v>
      </c>
      <c r="Q1097" s="15" t="str">
        <f t="shared" si="168"/>
        <v>Done</v>
      </c>
      <c r="R1097" s="18" t="s">
        <v>44</v>
      </c>
      <c r="S1097" s="117">
        <v>43539</v>
      </c>
      <c r="T1097" s="20">
        <f>IFERROR(VLOOKUP(S1097,'Date Converter'!$A$4:$C$368,3,0),"")</f>
        <v>43574</v>
      </c>
      <c r="U1097" s="21">
        <f t="shared" si="167"/>
        <v>43574</v>
      </c>
      <c r="V1097" s="12" t="s">
        <v>57</v>
      </c>
      <c r="W1097" s="18" t="s">
        <v>141</v>
      </c>
      <c r="Y1097" s="18"/>
      <c r="Z1097" s="210">
        <v>43580</v>
      </c>
      <c r="AA1097" s="15">
        <f>5000+5000+5000</f>
        <v>15000</v>
      </c>
      <c r="AB1097" s="210"/>
      <c r="AC1097" s="15"/>
      <c r="AD1097" s="210"/>
      <c r="AE1097" s="15"/>
      <c r="AF1097" s="244"/>
      <c r="AG1097" s="15"/>
      <c r="AH1097" s="15">
        <f t="shared" si="164"/>
        <v>15000</v>
      </c>
      <c r="AI1097" s="22">
        <f t="shared" si="165"/>
        <v>0</v>
      </c>
      <c r="AJ1097" s="22">
        <f t="shared" si="166"/>
        <v>0</v>
      </c>
      <c r="AK1097" s="13">
        <v>43870</v>
      </c>
    </row>
    <row r="1098" spans="1:37" s="165" customFormat="1" hidden="1">
      <c r="A1098" s="165" t="s">
        <v>1698</v>
      </c>
      <c r="B1098" s="13">
        <v>43521</v>
      </c>
      <c r="C1098" s="13" t="s">
        <v>1622</v>
      </c>
      <c r="D1098" s="165" t="s">
        <v>920</v>
      </c>
      <c r="E1098" s="165" t="s">
        <v>921</v>
      </c>
      <c r="F1098" s="165" t="str">
        <f t="shared" si="162"/>
        <v>ROBI_16.18_200_NL2018</v>
      </c>
      <c r="G1098" s="165" t="s">
        <v>61</v>
      </c>
      <c r="H1098" s="12"/>
      <c r="I1098" s="12" t="s">
        <v>35</v>
      </c>
      <c r="J1098" s="14">
        <v>200</v>
      </c>
      <c r="K1098" s="15" t="s">
        <v>28</v>
      </c>
      <c r="L1098" s="15"/>
      <c r="M1098" s="16">
        <f t="shared" si="163"/>
        <v>75</v>
      </c>
      <c r="N1098" s="15">
        <f>5000+10000</f>
        <v>15000</v>
      </c>
      <c r="O1098" s="15">
        <v>4800</v>
      </c>
      <c r="P1098" s="15">
        <f t="shared" si="169"/>
        <v>72000000</v>
      </c>
      <c r="Q1098" s="15" t="str">
        <f t="shared" si="168"/>
        <v>Done</v>
      </c>
      <c r="R1098" s="18" t="s">
        <v>44</v>
      </c>
      <c r="S1098" s="117">
        <v>43572</v>
      </c>
      <c r="T1098" s="20">
        <f>IFERROR(VLOOKUP(S1098,'Date Converter'!$A$4:$C$368,3,0),"")</f>
        <v>43606</v>
      </c>
      <c r="U1098" s="21">
        <f t="shared" si="167"/>
        <v>43606</v>
      </c>
      <c r="V1098" s="12"/>
      <c r="W1098" s="18"/>
      <c r="X1098" s="18"/>
      <c r="Y1098" s="18"/>
      <c r="Z1098" s="210">
        <v>43612</v>
      </c>
      <c r="AA1098" s="15">
        <v>5000</v>
      </c>
      <c r="AB1098" s="210">
        <v>43620</v>
      </c>
      <c r="AC1098" s="15">
        <v>10000</v>
      </c>
      <c r="AD1098" s="210"/>
      <c r="AE1098" s="15"/>
      <c r="AF1098" s="244"/>
      <c r="AG1098" s="15"/>
      <c r="AH1098" s="15">
        <f t="shared" si="164"/>
        <v>15000</v>
      </c>
      <c r="AI1098" s="22">
        <f t="shared" si="165"/>
        <v>0</v>
      </c>
      <c r="AJ1098" s="22">
        <f t="shared" si="166"/>
        <v>0</v>
      </c>
      <c r="AK1098" s="13"/>
    </row>
    <row r="1099" spans="1:37" hidden="1">
      <c r="A1099" s="165" t="s">
        <v>1698</v>
      </c>
      <c r="B1099" s="13">
        <v>43580</v>
      </c>
      <c r="C1099" s="13" t="s">
        <v>1622</v>
      </c>
      <c r="D1099" s="165" t="s">
        <v>920</v>
      </c>
      <c r="E1099" s="165" t="s">
        <v>921</v>
      </c>
      <c r="F1099" s="165" t="str">
        <f t="shared" si="162"/>
        <v>ROBI_16.18_200_NL2018</v>
      </c>
      <c r="G1099" s="165" t="s">
        <v>61</v>
      </c>
      <c r="I1099" s="12" t="s">
        <v>35</v>
      </c>
      <c r="J1099" s="14">
        <v>200</v>
      </c>
      <c r="K1099" s="15" t="s">
        <v>28</v>
      </c>
      <c r="M1099" s="16">
        <f t="shared" si="163"/>
        <v>50</v>
      </c>
      <c r="N1099" s="15">
        <v>10000</v>
      </c>
      <c r="O1099" s="15">
        <v>5500</v>
      </c>
      <c r="P1099" s="15">
        <f t="shared" si="169"/>
        <v>55000000</v>
      </c>
      <c r="Q1099" s="15" t="str">
        <f t="shared" si="168"/>
        <v/>
      </c>
      <c r="R1099" s="18" t="s">
        <v>63</v>
      </c>
      <c r="S1099" s="117">
        <v>43587</v>
      </c>
      <c r="T1099" s="20">
        <f>IFERROR(VLOOKUP(S1099,'Date Converter'!$A$4:$C$368,3,0),"")</f>
        <v>43620</v>
      </c>
      <c r="U1099" s="21">
        <f t="shared" si="167"/>
        <v>43620</v>
      </c>
      <c r="V1099" s="12" t="s">
        <v>1632</v>
      </c>
      <c r="Y1099" s="18"/>
      <c r="Z1099" s="210">
        <v>43633</v>
      </c>
      <c r="AA1099" s="15">
        <v>5000</v>
      </c>
      <c r="AB1099" s="210"/>
      <c r="AC1099" s="15"/>
      <c r="AD1099" s="210"/>
      <c r="AE1099" s="15"/>
      <c r="AF1099" s="244"/>
      <c r="AG1099" s="15"/>
      <c r="AH1099" s="15">
        <f t="shared" si="164"/>
        <v>5000</v>
      </c>
      <c r="AI1099" s="22">
        <f t="shared" si="165"/>
        <v>5000</v>
      </c>
      <c r="AJ1099" s="22">
        <f t="shared" si="166"/>
        <v>27500000</v>
      </c>
      <c r="AK1099" s="13"/>
    </row>
    <row r="1100" spans="1:37" hidden="1">
      <c r="A1100" s="165" t="s">
        <v>1698</v>
      </c>
      <c r="B1100" s="13">
        <v>43580</v>
      </c>
      <c r="C1100" s="13" t="s">
        <v>1622</v>
      </c>
      <c r="D1100" s="165" t="s">
        <v>920</v>
      </c>
      <c r="E1100" s="165" t="s">
        <v>921</v>
      </c>
      <c r="F1100" s="165" t="str">
        <f t="shared" si="162"/>
        <v>MALD_16.18_200_NL2018</v>
      </c>
      <c r="G1100" s="165" t="s">
        <v>478</v>
      </c>
      <c r="I1100" s="12" t="s">
        <v>35</v>
      </c>
      <c r="J1100" s="14">
        <v>200</v>
      </c>
      <c r="K1100" s="15" t="s">
        <v>28</v>
      </c>
      <c r="M1100" s="16">
        <f t="shared" si="163"/>
        <v>100</v>
      </c>
      <c r="N1100" s="15">
        <v>20000</v>
      </c>
      <c r="O1100" s="15">
        <v>5400</v>
      </c>
      <c r="P1100" s="15">
        <f t="shared" si="169"/>
        <v>108000000</v>
      </c>
      <c r="Q1100" s="15" t="str">
        <f t="shared" si="168"/>
        <v/>
      </c>
      <c r="R1100" s="18" t="s">
        <v>63</v>
      </c>
      <c r="S1100" s="23">
        <v>43597</v>
      </c>
      <c r="T1100" s="20">
        <f>IFERROR(VLOOKUP(S1100,'Date Converter'!$A$4:$C$368,3,0),"")</f>
        <v>43630</v>
      </c>
      <c r="U1100" s="21">
        <f t="shared" si="167"/>
        <v>43630</v>
      </c>
      <c r="V1100" s="12" t="s">
        <v>1632</v>
      </c>
      <c r="Y1100" s="18"/>
      <c r="Z1100" s="210">
        <v>43633</v>
      </c>
      <c r="AA1100" s="25">
        <v>5000</v>
      </c>
      <c r="AB1100" s="210"/>
      <c r="AC1100" s="15"/>
      <c r="AD1100" s="15"/>
      <c r="AE1100" s="15"/>
      <c r="AF1100" s="244"/>
      <c r="AG1100" s="15"/>
      <c r="AH1100" s="15">
        <f t="shared" si="164"/>
        <v>5000</v>
      </c>
      <c r="AI1100" s="22">
        <f t="shared" si="165"/>
        <v>15000</v>
      </c>
      <c r="AJ1100" s="22">
        <f t="shared" si="166"/>
        <v>81000000</v>
      </c>
      <c r="AK1100" s="13"/>
    </row>
    <row r="1101" spans="1:37" s="165" customFormat="1" hidden="1">
      <c r="A1101" s="165" t="s">
        <v>1698</v>
      </c>
      <c r="B1101" s="13">
        <v>43580</v>
      </c>
      <c r="C1101" s="13" t="s">
        <v>1622</v>
      </c>
      <c r="D1101" s="165" t="s">
        <v>920</v>
      </c>
      <c r="E1101" s="165" t="s">
        <v>921</v>
      </c>
      <c r="F1101" s="165" t="str">
        <f t="shared" si="162"/>
        <v>MALD_16.18_200_NL2018</v>
      </c>
      <c r="G1101" s="165" t="s">
        <v>478</v>
      </c>
      <c r="H1101" s="12"/>
      <c r="I1101" s="12" t="s">
        <v>35</v>
      </c>
      <c r="J1101" s="14">
        <v>200</v>
      </c>
      <c r="K1101" s="15" t="s">
        <v>28</v>
      </c>
      <c r="L1101" s="15"/>
      <c r="M1101" s="16">
        <f t="shared" si="163"/>
        <v>50</v>
      </c>
      <c r="N1101" s="15">
        <v>10000</v>
      </c>
      <c r="O1101" s="15">
        <v>5400</v>
      </c>
      <c r="P1101" s="15">
        <f t="shared" si="169"/>
        <v>54000000</v>
      </c>
      <c r="Q1101" s="15" t="str">
        <f t="shared" si="168"/>
        <v/>
      </c>
      <c r="R1101" s="18" t="s">
        <v>31</v>
      </c>
      <c r="S1101" s="117">
        <v>43631</v>
      </c>
      <c r="T1101" s="20">
        <f>IFERROR(VLOOKUP(S1101,'Date Converter'!$A$4:$C$368,3,0),"")</f>
        <v>43663</v>
      </c>
      <c r="U1101" s="21">
        <f t="shared" si="167"/>
        <v>43663</v>
      </c>
      <c r="V1101" s="12" t="s">
        <v>1632</v>
      </c>
      <c r="W1101" s="18"/>
      <c r="X1101" s="18"/>
      <c r="Y1101" s="18"/>
      <c r="Z1101" s="210"/>
      <c r="AA1101" s="15"/>
      <c r="AB1101" s="210"/>
      <c r="AC1101" s="15"/>
      <c r="AD1101" s="15"/>
      <c r="AE1101" s="15"/>
      <c r="AF1101" s="244"/>
      <c r="AG1101" s="15"/>
      <c r="AH1101" s="15">
        <f t="shared" si="164"/>
        <v>0</v>
      </c>
      <c r="AI1101" s="22">
        <f t="shared" si="165"/>
        <v>10000</v>
      </c>
      <c r="AJ1101" s="22">
        <f t="shared" si="166"/>
        <v>54000000</v>
      </c>
      <c r="AK1101" s="13"/>
    </row>
    <row r="1102" spans="1:37" s="165" customFormat="1" hidden="1">
      <c r="A1102" s="165" t="s">
        <v>2386</v>
      </c>
      <c r="B1102" s="13">
        <v>43574</v>
      </c>
      <c r="C1102" s="13" t="s">
        <v>1622</v>
      </c>
      <c r="D1102" s="258" t="s">
        <v>920</v>
      </c>
      <c r="E1102" s="165" t="s">
        <v>921</v>
      </c>
      <c r="F1102" s="165" t="str">
        <f t="shared" si="162"/>
        <v>CONC_20.22_125_NL2018</v>
      </c>
      <c r="G1102" s="165" t="s">
        <v>43</v>
      </c>
      <c r="H1102" s="12"/>
      <c r="I1102" s="12" t="s">
        <v>74</v>
      </c>
      <c r="J1102" s="14">
        <v>125</v>
      </c>
      <c r="K1102" s="15" t="s">
        <v>28</v>
      </c>
      <c r="L1102" s="15"/>
      <c r="M1102" s="16">
        <f t="shared" si="163"/>
        <v>480</v>
      </c>
      <c r="N1102" s="15">
        <v>60000</v>
      </c>
      <c r="O1102" s="15">
        <v>10600</v>
      </c>
      <c r="P1102" s="15">
        <f t="shared" si="169"/>
        <v>636000000</v>
      </c>
      <c r="Q1102" s="15" t="str">
        <f t="shared" si="168"/>
        <v/>
      </c>
      <c r="R1102" s="18" t="s">
        <v>29</v>
      </c>
      <c r="S1102" s="117">
        <v>43709</v>
      </c>
      <c r="T1102" s="20">
        <f>IFERROR(VLOOKUP(S1102,'Date Converter'!$A$4:$C$368,3,0),"")</f>
        <v>43737</v>
      </c>
      <c r="U1102" s="21">
        <f t="shared" si="167"/>
        <v>43737</v>
      </c>
      <c r="V1102" s="12" t="s">
        <v>51</v>
      </c>
      <c r="W1102" s="18"/>
      <c r="X1102" s="18"/>
      <c r="Y1102" s="18"/>
      <c r="Z1102" s="210"/>
      <c r="AA1102" s="15"/>
      <c r="AB1102" s="210"/>
      <c r="AC1102" s="15"/>
      <c r="AD1102" s="15"/>
      <c r="AE1102" s="15"/>
      <c r="AF1102" s="244"/>
      <c r="AG1102" s="15"/>
      <c r="AH1102" s="15">
        <f t="shared" si="164"/>
        <v>0</v>
      </c>
      <c r="AI1102" s="22">
        <f t="shared" si="165"/>
        <v>60000</v>
      </c>
      <c r="AJ1102" s="22">
        <f t="shared" si="166"/>
        <v>636000000</v>
      </c>
      <c r="AK1102" s="13"/>
    </row>
    <row r="1103" spans="1:37" s="165" customFormat="1" hidden="1">
      <c r="A1103" s="165" t="s">
        <v>1698</v>
      </c>
      <c r="B1103" s="13">
        <v>43521</v>
      </c>
      <c r="C1103" s="13" t="s">
        <v>1622</v>
      </c>
      <c r="D1103" s="165" t="s">
        <v>920</v>
      </c>
      <c r="E1103" s="165" t="s">
        <v>921</v>
      </c>
      <c r="F1103" s="165" t="str">
        <f t="shared" si="162"/>
        <v>CONC_16.18_200_NL2018</v>
      </c>
      <c r="G1103" s="165" t="s">
        <v>40</v>
      </c>
      <c r="H1103" s="12"/>
      <c r="I1103" s="12" t="s">
        <v>35</v>
      </c>
      <c r="J1103" s="14">
        <v>200</v>
      </c>
      <c r="K1103" s="15" t="s">
        <v>28</v>
      </c>
      <c r="L1103" s="15"/>
      <c r="M1103" s="16">
        <f t="shared" si="163"/>
        <v>200</v>
      </c>
      <c r="N1103" s="15">
        <f>50000-10000</f>
        <v>40000</v>
      </c>
      <c r="O1103" s="15">
        <v>5000</v>
      </c>
      <c r="P1103" s="15">
        <f t="shared" si="169"/>
        <v>200000000</v>
      </c>
      <c r="Q1103" s="15" t="str">
        <f t="shared" si="168"/>
        <v>Done</v>
      </c>
      <c r="R1103" s="18" t="s">
        <v>44</v>
      </c>
      <c r="S1103" s="117">
        <v>43539</v>
      </c>
      <c r="T1103" s="20">
        <f>IFERROR(VLOOKUP(S1103,'Date Converter'!$A$4:$C$368,3,0),"")</f>
        <v>43574</v>
      </c>
      <c r="U1103" s="21">
        <f t="shared" si="167"/>
        <v>43574</v>
      </c>
      <c r="V1103" s="12" t="s">
        <v>57</v>
      </c>
      <c r="W1103" s="18" t="s">
        <v>86</v>
      </c>
      <c r="X1103" s="18"/>
      <c r="Y1103" s="18"/>
      <c r="Z1103" s="210">
        <v>43575</v>
      </c>
      <c r="AA1103" s="15">
        <f>15000</f>
        <v>15000</v>
      </c>
      <c r="AB1103" s="210">
        <v>43602</v>
      </c>
      <c r="AC1103" s="15">
        <f>10000+10000+5000</f>
        <v>25000</v>
      </c>
      <c r="AD1103" s="15"/>
      <c r="AE1103" s="15"/>
      <c r="AF1103" s="244"/>
      <c r="AG1103" s="15"/>
      <c r="AH1103" s="15">
        <f t="shared" si="164"/>
        <v>40000</v>
      </c>
      <c r="AI1103" s="22">
        <f t="shared" si="165"/>
        <v>0</v>
      </c>
      <c r="AJ1103" s="22">
        <f t="shared" si="166"/>
        <v>0</v>
      </c>
      <c r="AK1103" s="13">
        <v>43870</v>
      </c>
    </row>
    <row r="1104" spans="1:37" hidden="1">
      <c r="A1104" s="165" t="s">
        <v>1698</v>
      </c>
      <c r="B1104" s="13">
        <v>43521</v>
      </c>
      <c r="C1104" s="13" t="s">
        <v>1622</v>
      </c>
      <c r="D1104" s="165" t="s">
        <v>920</v>
      </c>
      <c r="E1104" s="165" t="s">
        <v>921</v>
      </c>
      <c r="F1104" s="165" t="str">
        <f t="shared" si="162"/>
        <v>CONC_16.18_200_NL2018</v>
      </c>
      <c r="G1104" s="165" t="s">
        <v>40</v>
      </c>
      <c r="I1104" s="12" t="s">
        <v>35</v>
      </c>
      <c r="J1104" s="14">
        <v>200</v>
      </c>
      <c r="K1104" s="15" t="s">
        <v>28</v>
      </c>
      <c r="M1104" s="16">
        <f t="shared" si="163"/>
        <v>50</v>
      </c>
      <c r="N1104" s="15">
        <v>10000</v>
      </c>
      <c r="O1104" s="15">
        <v>5000</v>
      </c>
      <c r="P1104" s="15">
        <f t="shared" si="169"/>
        <v>50000000</v>
      </c>
      <c r="Q1104" s="15" t="str">
        <f t="shared" si="168"/>
        <v>Done</v>
      </c>
      <c r="R1104" s="18" t="s">
        <v>44</v>
      </c>
      <c r="S1104" s="117">
        <v>43572</v>
      </c>
      <c r="T1104" s="20">
        <f>IFERROR(VLOOKUP(S1104,'Date Converter'!$A$4:$C$368,3,0),"")</f>
        <v>43606</v>
      </c>
      <c r="U1104" s="21">
        <f t="shared" si="167"/>
        <v>43606</v>
      </c>
      <c r="Y1104" s="18"/>
      <c r="Z1104" s="210">
        <v>43612</v>
      </c>
      <c r="AA1104" s="15">
        <v>5000</v>
      </c>
      <c r="AB1104" s="210">
        <v>43620</v>
      </c>
      <c r="AC1104" s="15">
        <v>5000</v>
      </c>
      <c r="AD1104" s="210"/>
      <c r="AE1104" s="15"/>
      <c r="AF1104" s="244"/>
      <c r="AG1104" s="15"/>
      <c r="AH1104" s="15">
        <f t="shared" si="164"/>
        <v>10000</v>
      </c>
      <c r="AI1104" s="22">
        <f t="shared" si="165"/>
        <v>0</v>
      </c>
      <c r="AJ1104" s="22">
        <f t="shared" si="166"/>
        <v>0</v>
      </c>
      <c r="AK1104" s="13"/>
    </row>
    <row r="1105" spans="1:37" hidden="1">
      <c r="A1105" s="165" t="s">
        <v>1698</v>
      </c>
      <c r="B1105" s="13">
        <v>43627</v>
      </c>
      <c r="C1105" s="13" t="s">
        <v>1622</v>
      </c>
      <c r="D1105" s="165" t="s">
        <v>920</v>
      </c>
      <c r="E1105" s="165" t="s">
        <v>921</v>
      </c>
      <c r="F1105" s="165" t="str">
        <f t="shared" si="162"/>
        <v>CONC_18.20_150_NL2018</v>
      </c>
      <c r="G1105" s="165" t="s">
        <v>40</v>
      </c>
      <c r="I1105" s="12" t="s">
        <v>27</v>
      </c>
      <c r="J1105" s="14">
        <v>150</v>
      </c>
      <c r="K1105" s="15" t="s">
        <v>28</v>
      </c>
      <c r="M1105" s="16">
        <f t="shared" si="163"/>
        <v>167</v>
      </c>
      <c r="N1105" s="15">
        <v>25050</v>
      </c>
      <c r="O1105" s="15">
        <v>7300</v>
      </c>
      <c r="P1105" s="15">
        <f t="shared" si="169"/>
        <v>182865000</v>
      </c>
      <c r="Q1105" s="15" t="str">
        <f t="shared" si="168"/>
        <v/>
      </c>
      <c r="R1105" s="18" t="s">
        <v>29</v>
      </c>
      <c r="S1105" s="117">
        <v>43645</v>
      </c>
      <c r="T1105" s="20">
        <f>IFERROR(VLOOKUP(S1105,'Date Converter'!$A$4:$C$368,3,0),"")</f>
        <v>43677</v>
      </c>
      <c r="U1105" s="21">
        <f t="shared" si="167"/>
        <v>43677</v>
      </c>
      <c r="Y1105" s="18"/>
      <c r="Z1105" s="210"/>
      <c r="AA1105" s="15"/>
      <c r="AB1105" s="210"/>
      <c r="AC1105" s="15"/>
      <c r="AD1105" s="15"/>
      <c r="AE1105" s="15"/>
      <c r="AF1105" s="244"/>
      <c r="AG1105" s="15"/>
      <c r="AH1105" s="15">
        <f t="shared" si="164"/>
        <v>0</v>
      </c>
      <c r="AI1105" s="22">
        <f t="shared" si="165"/>
        <v>25050</v>
      </c>
      <c r="AJ1105" s="22">
        <f t="shared" si="166"/>
        <v>182865000</v>
      </c>
      <c r="AK1105" s="13"/>
    </row>
    <row r="1106" spans="1:37" hidden="1">
      <c r="A1106" s="165" t="s">
        <v>2386</v>
      </c>
      <c r="B1106" s="13">
        <v>43574</v>
      </c>
      <c r="C1106" s="13" t="s">
        <v>1622</v>
      </c>
      <c r="D1106" s="258" t="s">
        <v>920</v>
      </c>
      <c r="E1106" s="165" t="s">
        <v>921</v>
      </c>
      <c r="F1106" s="165" t="str">
        <f t="shared" si="162"/>
        <v>COMP_20.22_125_CL2019</v>
      </c>
      <c r="G1106" s="165" t="s">
        <v>1699</v>
      </c>
      <c r="I1106" s="12" t="s">
        <v>74</v>
      </c>
      <c r="J1106" s="14">
        <v>125</v>
      </c>
      <c r="K1106" s="15" t="s">
        <v>1423</v>
      </c>
      <c r="M1106" s="16">
        <f t="shared" si="163"/>
        <v>320</v>
      </c>
      <c r="N1106" s="15">
        <f>40000</f>
        <v>40000</v>
      </c>
      <c r="O1106" s="15">
        <v>12500</v>
      </c>
      <c r="P1106" s="15">
        <f t="shared" si="169"/>
        <v>500000000</v>
      </c>
      <c r="Q1106" s="15" t="str">
        <f t="shared" si="168"/>
        <v/>
      </c>
      <c r="R1106" s="18" t="s">
        <v>29</v>
      </c>
      <c r="S1106" s="117">
        <v>43709</v>
      </c>
      <c r="T1106" s="20">
        <f>IFERROR(VLOOKUP(S1106,'Date Converter'!$A$4:$C$368,3,0),"")</f>
        <v>43737</v>
      </c>
      <c r="U1106" s="21">
        <f t="shared" si="167"/>
        <v>43737</v>
      </c>
      <c r="V1106" s="12" t="s">
        <v>51</v>
      </c>
      <c r="Y1106" s="18"/>
      <c r="Z1106" s="210"/>
      <c r="AA1106" s="15"/>
      <c r="AB1106" s="210"/>
      <c r="AC1106" s="15"/>
      <c r="AD1106" s="15"/>
      <c r="AE1106" s="15"/>
      <c r="AF1106" s="244"/>
      <c r="AG1106" s="15"/>
      <c r="AH1106" s="15">
        <f t="shared" si="164"/>
        <v>0</v>
      </c>
      <c r="AI1106" s="22">
        <f t="shared" si="165"/>
        <v>40000</v>
      </c>
      <c r="AJ1106" s="22">
        <f t="shared" si="166"/>
        <v>500000000</v>
      </c>
      <c r="AK1106" s="13"/>
    </row>
    <row r="1107" spans="1:37" hidden="1">
      <c r="A1107" s="165" t="s">
        <v>2386</v>
      </c>
      <c r="B1107" s="13">
        <v>43574</v>
      </c>
      <c r="C1107" s="13" t="s">
        <v>1622</v>
      </c>
      <c r="D1107" s="258" t="s">
        <v>920</v>
      </c>
      <c r="E1107" s="165" t="s">
        <v>921</v>
      </c>
      <c r="F1107" s="165" t="str">
        <f t="shared" si="162"/>
        <v>BACA_22.24_85_NL2018</v>
      </c>
      <c r="G1107" s="165" t="s">
        <v>67</v>
      </c>
      <c r="I1107" s="12" t="s">
        <v>78</v>
      </c>
      <c r="J1107" s="14">
        <v>85</v>
      </c>
      <c r="K1107" s="15" t="s">
        <v>28</v>
      </c>
      <c r="M1107" s="16">
        <f t="shared" si="163"/>
        <v>85</v>
      </c>
      <c r="N1107" s="15">
        <v>7225</v>
      </c>
      <c r="O1107" s="15">
        <v>11600</v>
      </c>
      <c r="P1107" s="15">
        <f t="shared" si="169"/>
        <v>83810000</v>
      </c>
      <c r="Q1107" s="15" t="str">
        <f t="shared" si="168"/>
        <v/>
      </c>
      <c r="R1107" s="18" t="s">
        <v>29</v>
      </c>
      <c r="S1107" s="117">
        <v>43709</v>
      </c>
      <c r="T1107" s="20">
        <f>IFERROR(VLOOKUP(S1107,'Date Converter'!$A$4:$C$368,3,0),"")</f>
        <v>43737</v>
      </c>
      <c r="U1107" s="21">
        <f t="shared" si="167"/>
        <v>43737</v>
      </c>
      <c r="Y1107" s="18"/>
      <c r="Z1107" s="210"/>
      <c r="AA1107" s="15"/>
      <c r="AB1107" s="210"/>
      <c r="AC1107" s="15"/>
      <c r="AD1107" s="15"/>
      <c r="AE1107" s="15"/>
      <c r="AF1107" s="244"/>
      <c r="AG1107" s="15"/>
      <c r="AH1107" s="15">
        <f t="shared" si="164"/>
        <v>0</v>
      </c>
      <c r="AI1107" s="22">
        <f t="shared" si="165"/>
        <v>7225</v>
      </c>
      <c r="AJ1107" s="22">
        <f t="shared" si="166"/>
        <v>83810000</v>
      </c>
      <c r="AK1107" s="13"/>
    </row>
    <row r="1108" spans="1:37" s="165" customFormat="1" hidden="1">
      <c r="A1108" s="165" t="s">
        <v>2386</v>
      </c>
      <c r="B1108" s="13">
        <v>43574</v>
      </c>
      <c r="C1108" s="13" t="s">
        <v>1622</v>
      </c>
      <c r="D1108" s="258" t="s">
        <v>920</v>
      </c>
      <c r="E1108" s="165" t="s">
        <v>921</v>
      </c>
      <c r="F1108" s="165" t="str">
        <f t="shared" si="162"/>
        <v>BACA_22.24_100_NL2018</v>
      </c>
      <c r="G1108" s="165" t="s">
        <v>67</v>
      </c>
      <c r="H1108" s="12"/>
      <c r="I1108" s="12" t="s">
        <v>78</v>
      </c>
      <c r="J1108" s="14">
        <v>100</v>
      </c>
      <c r="K1108" s="15" t="s">
        <v>28</v>
      </c>
      <c r="L1108" s="15"/>
      <c r="M1108" s="16">
        <f t="shared" si="163"/>
        <v>80</v>
      </c>
      <c r="N1108" s="15">
        <v>8000</v>
      </c>
      <c r="O1108" s="15">
        <v>11600</v>
      </c>
      <c r="P1108" s="15">
        <f t="shared" si="169"/>
        <v>92800000</v>
      </c>
      <c r="Q1108" s="15" t="str">
        <f t="shared" si="168"/>
        <v/>
      </c>
      <c r="R1108" s="18" t="s">
        <v>29</v>
      </c>
      <c r="S1108" s="117">
        <v>43709</v>
      </c>
      <c r="T1108" s="20">
        <f>IFERROR(VLOOKUP(S1108,'Date Converter'!$A$4:$C$368,3,0),"")</f>
        <v>43737</v>
      </c>
      <c r="U1108" s="21">
        <f t="shared" si="167"/>
        <v>43737</v>
      </c>
      <c r="V1108" s="12" t="s">
        <v>51</v>
      </c>
      <c r="W1108" s="18"/>
      <c r="X1108" s="18"/>
      <c r="Y1108" s="18"/>
      <c r="Z1108" s="210"/>
      <c r="AA1108" s="15"/>
      <c r="AB1108" s="210"/>
      <c r="AC1108" s="15"/>
      <c r="AD1108" s="15"/>
      <c r="AE1108" s="15"/>
      <c r="AF1108" s="244"/>
      <c r="AG1108" s="15"/>
      <c r="AH1108" s="15">
        <f t="shared" si="164"/>
        <v>0</v>
      </c>
      <c r="AI1108" s="22">
        <f t="shared" si="165"/>
        <v>8000</v>
      </c>
      <c r="AJ1108" s="22">
        <f t="shared" si="166"/>
        <v>92800000</v>
      </c>
      <c r="AK1108" s="13"/>
    </row>
    <row r="1109" spans="1:37" s="165" customFormat="1" hidden="1">
      <c r="A1109" s="165" t="s">
        <v>1698</v>
      </c>
      <c r="B1109" s="13">
        <v>43580</v>
      </c>
      <c r="C1109" s="13" t="s">
        <v>1622</v>
      </c>
      <c r="D1109" s="165" t="s">
        <v>920</v>
      </c>
      <c r="E1109" s="165" t="s">
        <v>921</v>
      </c>
      <c r="F1109" s="165" t="str">
        <f t="shared" si="162"/>
        <v>ARVA_16.18_200_NL2018</v>
      </c>
      <c r="G1109" s="165" t="s">
        <v>85</v>
      </c>
      <c r="H1109" s="12"/>
      <c r="I1109" s="12" t="s">
        <v>35</v>
      </c>
      <c r="J1109" s="14">
        <v>200</v>
      </c>
      <c r="K1109" s="15" t="s">
        <v>28</v>
      </c>
      <c r="L1109" s="15"/>
      <c r="M1109" s="16">
        <f t="shared" si="163"/>
        <v>100</v>
      </c>
      <c r="N1109" s="15">
        <v>20000</v>
      </c>
      <c r="O1109" s="15">
        <v>5700</v>
      </c>
      <c r="P1109" s="15">
        <f t="shared" si="169"/>
        <v>114000000</v>
      </c>
      <c r="Q1109" s="15" t="str">
        <f t="shared" si="168"/>
        <v/>
      </c>
      <c r="R1109" s="18" t="s">
        <v>63</v>
      </c>
      <c r="S1109" s="117">
        <v>43572</v>
      </c>
      <c r="T1109" s="20">
        <f>IFERROR(VLOOKUP(S1109,'Date Converter'!$A$4:$C$368,3,0),"")</f>
        <v>43606</v>
      </c>
      <c r="U1109" s="21">
        <f t="shared" si="167"/>
        <v>43606</v>
      </c>
      <c r="V1109" s="12" t="s">
        <v>1632</v>
      </c>
      <c r="W1109" s="18"/>
      <c r="X1109" s="18"/>
      <c r="Y1109" s="18"/>
      <c r="Z1109" s="210">
        <v>43633</v>
      </c>
      <c r="AA1109" s="15">
        <v>10000</v>
      </c>
      <c r="AB1109" s="210"/>
      <c r="AC1109" s="15"/>
      <c r="AD1109" s="15"/>
      <c r="AE1109" s="15"/>
      <c r="AF1109" s="244"/>
      <c r="AG1109" s="15"/>
      <c r="AH1109" s="15">
        <f t="shared" si="164"/>
        <v>10000</v>
      </c>
      <c r="AI1109" s="22">
        <f t="shared" si="165"/>
        <v>10000</v>
      </c>
      <c r="AJ1109" s="22">
        <f t="shared" si="166"/>
        <v>57000000</v>
      </c>
      <c r="AK1109" s="13"/>
    </row>
    <row r="1110" spans="1:37" s="165" customFormat="1" hidden="1">
      <c r="A1110" s="165" t="s">
        <v>1698</v>
      </c>
      <c r="B1110" s="13">
        <v>43580</v>
      </c>
      <c r="C1110" s="13" t="s">
        <v>1622</v>
      </c>
      <c r="D1110" s="165" t="s">
        <v>920</v>
      </c>
      <c r="E1110" s="165" t="s">
        <v>921</v>
      </c>
      <c r="F1110" s="165" t="str">
        <f t="shared" si="162"/>
        <v>ARVA_16.18_200_NL2018</v>
      </c>
      <c r="G1110" s="165" t="s">
        <v>85</v>
      </c>
      <c r="H1110" s="12"/>
      <c r="I1110" s="12" t="s">
        <v>35</v>
      </c>
      <c r="J1110" s="14">
        <v>200</v>
      </c>
      <c r="K1110" s="15" t="s">
        <v>28</v>
      </c>
      <c r="L1110" s="15"/>
      <c r="M1110" s="16">
        <f t="shared" si="163"/>
        <v>50</v>
      </c>
      <c r="N1110" s="15">
        <v>10000</v>
      </c>
      <c r="O1110" s="15">
        <v>5700</v>
      </c>
      <c r="P1110" s="15">
        <f t="shared" si="169"/>
        <v>57000000</v>
      </c>
      <c r="Q1110" s="15" t="str">
        <f t="shared" si="168"/>
        <v/>
      </c>
      <c r="R1110" s="18" t="s">
        <v>63</v>
      </c>
      <c r="S1110" s="117">
        <v>43587</v>
      </c>
      <c r="T1110" s="20">
        <f>IFERROR(VLOOKUP(S1110,'Date Converter'!$A$4:$C$368,3,0),"")</f>
        <v>43620</v>
      </c>
      <c r="U1110" s="21">
        <f t="shared" si="167"/>
        <v>43620</v>
      </c>
      <c r="V1110" s="12" t="s">
        <v>1632</v>
      </c>
      <c r="W1110" s="18"/>
      <c r="X1110" s="18"/>
      <c r="Y1110" s="18"/>
      <c r="Z1110" s="210"/>
      <c r="AA1110" s="15"/>
      <c r="AB1110" s="210"/>
      <c r="AC1110" s="15"/>
      <c r="AD1110" s="15"/>
      <c r="AE1110" s="15"/>
      <c r="AF1110" s="244"/>
      <c r="AG1110" s="15"/>
      <c r="AH1110" s="15">
        <f t="shared" si="164"/>
        <v>0</v>
      </c>
      <c r="AI1110" s="22">
        <f t="shared" si="165"/>
        <v>10000</v>
      </c>
      <c r="AJ1110" s="22">
        <f t="shared" si="166"/>
        <v>57000000</v>
      </c>
      <c r="AK1110" s="13"/>
    </row>
    <row r="1111" spans="1:37" s="165" customFormat="1" hidden="1">
      <c r="A1111" s="165" t="s">
        <v>1700</v>
      </c>
      <c r="B1111" s="13">
        <v>43509</v>
      </c>
      <c r="C1111" s="13" t="s">
        <v>1622</v>
      </c>
      <c r="D1111" s="165" t="s">
        <v>1029</v>
      </c>
      <c r="E1111" s="165" t="s">
        <v>1030</v>
      </c>
      <c r="F1111" s="165" t="str">
        <f t="shared" si="162"/>
        <v>YELL_14.16_300_NL2018</v>
      </c>
      <c r="G1111" s="165" t="s">
        <v>89</v>
      </c>
      <c r="H1111" s="12"/>
      <c r="I1111" s="12" t="s">
        <v>47</v>
      </c>
      <c r="J1111" s="14">
        <v>300</v>
      </c>
      <c r="K1111" s="15" t="s">
        <v>28</v>
      </c>
      <c r="L1111" s="15"/>
      <c r="M1111" s="16">
        <f t="shared" si="163"/>
        <v>14</v>
      </c>
      <c r="N1111" s="15">
        <v>4200</v>
      </c>
      <c r="O1111" s="15">
        <v>3800</v>
      </c>
      <c r="P1111" s="15">
        <f t="shared" si="169"/>
        <v>15960000</v>
      </c>
      <c r="Q1111" s="15" t="str">
        <f t="shared" si="168"/>
        <v>Done</v>
      </c>
      <c r="R1111" s="18" t="s">
        <v>44</v>
      </c>
      <c r="S1111" s="117">
        <v>43572</v>
      </c>
      <c r="T1111" s="20">
        <f>IFERROR(VLOOKUP(S1111,'Date Converter'!$A$4:$C$368,3,0),"")</f>
        <v>43606</v>
      </c>
      <c r="U1111" s="21">
        <f t="shared" si="167"/>
        <v>43606</v>
      </c>
      <c r="V1111" s="12" t="s">
        <v>1416</v>
      </c>
      <c r="W1111" s="18"/>
      <c r="X1111" s="18"/>
      <c r="Y1111" s="18"/>
      <c r="Z1111" s="210">
        <v>43617</v>
      </c>
      <c r="AA1111" s="15">
        <v>4200</v>
      </c>
      <c r="AB1111" s="210"/>
      <c r="AC1111" s="15"/>
      <c r="AD1111" s="15"/>
      <c r="AE1111" s="15"/>
      <c r="AF1111" s="244"/>
      <c r="AG1111" s="15"/>
      <c r="AH1111" s="15">
        <f t="shared" si="164"/>
        <v>4200</v>
      </c>
      <c r="AI1111" s="22">
        <f t="shared" si="165"/>
        <v>0</v>
      </c>
      <c r="AJ1111" s="22">
        <f t="shared" si="166"/>
        <v>0</v>
      </c>
      <c r="AK1111" s="13">
        <v>43870</v>
      </c>
    </row>
    <row r="1112" spans="1:37" hidden="1">
      <c r="A1112" s="165" t="s">
        <v>1700</v>
      </c>
      <c r="B1112" s="13">
        <v>43620</v>
      </c>
      <c r="C1112" s="13" t="s">
        <v>1622</v>
      </c>
      <c r="D1112" s="165" t="s">
        <v>1029</v>
      </c>
      <c r="E1112" s="165" t="s">
        <v>1030</v>
      </c>
      <c r="F1112" s="165" t="str">
        <f t="shared" si="162"/>
        <v>YELL_14.16_300_NL2018</v>
      </c>
      <c r="G1112" t="s">
        <v>89</v>
      </c>
      <c r="I1112" s="12" t="s">
        <v>47</v>
      </c>
      <c r="J1112" s="14">
        <v>300</v>
      </c>
      <c r="K1112" s="15" t="s">
        <v>28</v>
      </c>
      <c r="M1112" s="16">
        <f t="shared" si="163"/>
        <v>2</v>
      </c>
      <c r="N1112" s="15">
        <v>600</v>
      </c>
      <c r="O1112" s="15">
        <v>3900</v>
      </c>
      <c r="P1112" s="15">
        <f t="shared" si="169"/>
        <v>2340000</v>
      </c>
      <c r="Q1112" s="15" t="str">
        <f t="shared" si="168"/>
        <v>Done</v>
      </c>
      <c r="R1112" s="18" t="s">
        <v>44</v>
      </c>
      <c r="S1112" s="117">
        <v>43572</v>
      </c>
      <c r="T1112" s="20">
        <f>IFERROR(VLOOKUP(S1112,'Date Converter'!$A$4:$C$368,3,0),"")</f>
        <v>43606</v>
      </c>
      <c r="U1112" s="21">
        <f t="shared" si="167"/>
        <v>43606</v>
      </c>
      <c r="Y1112" s="18"/>
      <c r="Z1112" s="210">
        <v>43620</v>
      </c>
      <c r="AA1112" s="15">
        <v>600</v>
      </c>
      <c r="AB1112" s="210"/>
      <c r="AC1112" s="15"/>
      <c r="AD1112" s="15"/>
      <c r="AE1112" s="15"/>
      <c r="AF1112" s="244"/>
      <c r="AG1112" s="15"/>
      <c r="AH1112" s="15">
        <f t="shared" si="164"/>
        <v>600</v>
      </c>
      <c r="AI1112" s="22">
        <f t="shared" si="165"/>
        <v>0</v>
      </c>
      <c r="AJ1112" s="22">
        <f t="shared" si="166"/>
        <v>0</v>
      </c>
      <c r="AK1112" s="13"/>
    </row>
    <row r="1113" spans="1:37" hidden="1">
      <c r="A1113" s="165" t="s">
        <v>1700</v>
      </c>
      <c r="B1113" s="13">
        <v>43509</v>
      </c>
      <c r="C1113" s="13" t="s">
        <v>1622</v>
      </c>
      <c r="D1113" t="s">
        <v>1029</v>
      </c>
      <c r="E1113" s="165" t="s">
        <v>1030</v>
      </c>
      <c r="F1113" s="165" t="str">
        <f t="shared" si="162"/>
        <v>ROBI_16.18_200_NL2018</v>
      </c>
      <c r="G1113" s="165" t="s">
        <v>61</v>
      </c>
      <c r="I1113" s="12" t="s">
        <v>35</v>
      </c>
      <c r="J1113" s="14">
        <v>200</v>
      </c>
      <c r="K1113" s="15" t="s">
        <v>28</v>
      </c>
      <c r="M1113" s="16">
        <f t="shared" si="163"/>
        <v>25</v>
      </c>
      <c r="N1113" s="15">
        <v>5000</v>
      </c>
      <c r="O1113" s="15">
        <v>5400</v>
      </c>
      <c r="P1113" s="15">
        <f t="shared" si="169"/>
        <v>27000000</v>
      </c>
      <c r="Q1113" s="15" t="str">
        <f t="shared" si="168"/>
        <v>Done</v>
      </c>
      <c r="R1113" s="18" t="s">
        <v>44</v>
      </c>
      <c r="S1113" s="117">
        <v>43572</v>
      </c>
      <c r="T1113" s="20">
        <f>IFERROR(VLOOKUP(S1113,'Date Converter'!$A$4:$C$368,3,0),"")</f>
        <v>43606</v>
      </c>
      <c r="U1113" s="21">
        <f t="shared" si="167"/>
        <v>43606</v>
      </c>
      <c r="V1113" s="12" t="s">
        <v>1416</v>
      </c>
      <c r="Y1113" s="18"/>
      <c r="Z1113" s="210">
        <v>43617</v>
      </c>
      <c r="AA1113" s="15">
        <v>5000</v>
      </c>
      <c r="AB1113" s="210"/>
      <c r="AC1113" s="15"/>
      <c r="AD1113" s="15"/>
      <c r="AE1113" s="15"/>
      <c r="AF1113" s="244"/>
      <c r="AG1113" s="15"/>
      <c r="AH1113" s="15">
        <f t="shared" si="164"/>
        <v>5000</v>
      </c>
      <c r="AI1113" s="22">
        <f t="shared" si="165"/>
        <v>0</v>
      </c>
      <c r="AJ1113" s="22">
        <f t="shared" si="166"/>
        <v>0</v>
      </c>
      <c r="AK1113" s="13">
        <v>43870</v>
      </c>
    </row>
    <row r="1114" spans="1:37" hidden="1">
      <c r="A1114" s="165" t="s">
        <v>1700</v>
      </c>
      <c r="B1114" s="13">
        <v>43509</v>
      </c>
      <c r="C1114" s="13" t="s">
        <v>1622</v>
      </c>
      <c r="D1114" s="165" t="s">
        <v>1029</v>
      </c>
      <c r="E1114" s="165" t="s">
        <v>1030</v>
      </c>
      <c r="F1114" s="165" t="str">
        <f t="shared" si="162"/>
        <v>BACA_15.16_300_NL2018</v>
      </c>
      <c r="G1114" s="165" t="s">
        <v>67</v>
      </c>
      <c r="I1114" s="12" t="s">
        <v>77</v>
      </c>
      <c r="J1114" s="14">
        <v>300</v>
      </c>
      <c r="K1114" s="15" t="s">
        <v>28</v>
      </c>
      <c r="M1114" s="16">
        <f t="shared" si="163"/>
        <v>17</v>
      </c>
      <c r="N1114" s="15">
        <f>6000-900</f>
        <v>5100</v>
      </c>
      <c r="O1114" s="15">
        <v>4370</v>
      </c>
      <c r="P1114" s="15">
        <f t="shared" si="169"/>
        <v>22287000</v>
      </c>
      <c r="Q1114" s="15" t="str">
        <f t="shared" si="168"/>
        <v>Done</v>
      </c>
      <c r="R1114" s="18" t="s">
        <v>44</v>
      </c>
      <c r="S1114" s="117">
        <v>43511</v>
      </c>
      <c r="T1114" s="20">
        <f>IFERROR(VLOOKUP(S1114,'Date Converter'!$A$4:$C$368,3,0),"")</f>
        <v>43544</v>
      </c>
      <c r="U1114" s="21">
        <f t="shared" si="167"/>
        <v>43544</v>
      </c>
      <c r="V1114" s="12" t="s">
        <v>32</v>
      </c>
      <c r="W1114" s="18" t="s">
        <v>48</v>
      </c>
      <c r="Y1114" s="18"/>
      <c r="Z1114" s="210">
        <v>43545</v>
      </c>
      <c r="AA1114" s="15">
        <v>5100</v>
      </c>
      <c r="AB1114" s="210"/>
      <c r="AC1114" s="15"/>
      <c r="AD1114" s="15"/>
      <c r="AE1114" s="15"/>
      <c r="AF1114" s="244"/>
      <c r="AG1114" s="15"/>
      <c r="AH1114" s="15">
        <f t="shared" si="164"/>
        <v>5100</v>
      </c>
      <c r="AI1114" s="22">
        <f t="shared" si="165"/>
        <v>0</v>
      </c>
      <c r="AJ1114" s="22">
        <f t="shared" si="166"/>
        <v>0</v>
      </c>
      <c r="AK1114" s="13"/>
    </row>
    <row r="1115" spans="1:37" hidden="1">
      <c r="A1115" s="165" t="s">
        <v>1701</v>
      </c>
      <c r="B1115" s="13">
        <v>43470</v>
      </c>
      <c r="C1115" s="13" t="s">
        <v>1622</v>
      </c>
      <c r="D1115" s="165" t="s">
        <v>1106</v>
      </c>
      <c r="E1115" s="165" t="s">
        <v>1702</v>
      </c>
      <c r="F1115" s="165" t="str">
        <f t="shared" si="162"/>
        <v>YELL_12.14_400_NL2018</v>
      </c>
      <c r="G1115" s="165" t="s">
        <v>89</v>
      </c>
      <c r="I1115" s="12" t="s">
        <v>113</v>
      </c>
      <c r="J1115" s="14">
        <v>400</v>
      </c>
      <c r="K1115" s="15" t="s">
        <v>28</v>
      </c>
      <c r="M1115" s="16">
        <f t="shared" si="163"/>
        <v>125</v>
      </c>
      <c r="N1115" s="15">
        <v>50000</v>
      </c>
      <c r="O1115" s="15">
        <v>2600</v>
      </c>
      <c r="P1115" s="15">
        <f t="shared" si="169"/>
        <v>130000000</v>
      </c>
      <c r="Q1115" s="15" t="str">
        <f t="shared" si="168"/>
        <v>Done</v>
      </c>
      <c r="R1115" s="18" t="s">
        <v>44</v>
      </c>
      <c r="S1115" s="117">
        <v>43480</v>
      </c>
      <c r="T1115" s="20">
        <f>IFERROR(VLOOKUP(S1115,'Date Converter'!$A$4:$C$368,3,0),"")</f>
        <v>43515</v>
      </c>
      <c r="U1115" s="21">
        <f t="shared" si="167"/>
        <v>43515</v>
      </c>
      <c r="V1115" s="20" t="s">
        <v>45</v>
      </c>
      <c r="Y1115" s="18"/>
      <c r="Z1115" s="210">
        <v>43515</v>
      </c>
      <c r="AA1115" s="15">
        <v>50000</v>
      </c>
      <c r="AB1115" s="210"/>
      <c r="AC1115" s="15"/>
      <c r="AD1115" s="15"/>
      <c r="AE1115" s="15"/>
      <c r="AF1115" s="244"/>
      <c r="AG1115" s="15"/>
      <c r="AH1115" s="15">
        <f t="shared" si="164"/>
        <v>50000</v>
      </c>
      <c r="AI1115" s="22">
        <f t="shared" si="165"/>
        <v>0</v>
      </c>
      <c r="AJ1115" s="22">
        <f t="shared" si="166"/>
        <v>0</v>
      </c>
      <c r="AK1115" s="13"/>
    </row>
    <row r="1116" spans="1:37" s="165" customFormat="1" hidden="1">
      <c r="A1116" s="165" t="s">
        <v>1704</v>
      </c>
      <c r="B1116" s="13">
        <v>43539</v>
      </c>
      <c r="C1116" s="13" t="s">
        <v>1622</v>
      </c>
      <c r="D1116" s="165" t="s">
        <v>1106</v>
      </c>
      <c r="E1116" s="165" t="s">
        <v>1702</v>
      </c>
      <c r="F1116" s="165" t="str">
        <f t="shared" si="162"/>
        <v>YELL_12.14_400_NL2018</v>
      </c>
      <c r="G1116" s="165" t="s">
        <v>89</v>
      </c>
      <c r="H1116" s="12"/>
      <c r="I1116" s="12" t="s">
        <v>113</v>
      </c>
      <c r="J1116" s="14">
        <v>400</v>
      </c>
      <c r="K1116" s="15" t="s">
        <v>28</v>
      </c>
      <c r="L1116" s="15"/>
      <c r="M1116" s="16">
        <f t="shared" si="163"/>
        <v>0</v>
      </c>
      <c r="N1116" s="15">
        <f>30000-10000-20000</f>
        <v>0</v>
      </c>
      <c r="O1116" s="15">
        <v>2700</v>
      </c>
      <c r="P1116" s="15">
        <f t="shared" si="169"/>
        <v>0</v>
      </c>
      <c r="Q1116" s="15" t="str">
        <f t="shared" si="168"/>
        <v>Canceled</v>
      </c>
      <c r="R1116" s="18" t="s">
        <v>71</v>
      </c>
      <c r="S1116" s="212">
        <v>43570</v>
      </c>
      <c r="T1116" s="20">
        <f>IFERROR(VLOOKUP(S1116,'Date Converter'!$A$4:$C$368,3,0),"")</f>
        <v>43604</v>
      </c>
      <c r="U1116" s="21">
        <f t="shared" si="167"/>
        <v>43604</v>
      </c>
      <c r="V1116" s="20" t="s">
        <v>87</v>
      </c>
      <c r="W1116" s="18"/>
      <c r="X1116" s="18"/>
      <c r="Y1116" s="18"/>
      <c r="Z1116" s="210"/>
      <c r="AA1116" s="15">
        <v>0</v>
      </c>
      <c r="AB1116" s="210"/>
      <c r="AC1116" s="15"/>
      <c r="AD1116" s="15"/>
      <c r="AE1116" s="15"/>
      <c r="AF1116" s="244"/>
      <c r="AG1116" s="15"/>
      <c r="AH1116" s="15">
        <f t="shared" si="164"/>
        <v>0</v>
      </c>
      <c r="AI1116" s="22">
        <f t="shared" si="165"/>
        <v>0</v>
      </c>
      <c r="AJ1116" s="22">
        <f t="shared" si="166"/>
        <v>0</v>
      </c>
      <c r="AK1116" s="13"/>
    </row>
    <row r="1117" spans="1:37" s="165" customFormat="1" hidden="1">
      <c r="A1117" s="165" t="s">
        <v>1704</v>
      </c>
      <c r="B1117" s="13">
        <v>43539</v>
      </c>
      <c r="C1117" s="13" t="s">
        <v>1622</v>
      </c>
      <c r="D1117" s="165" t="s">
        <v>1106</v>
      </c>
      <c r="E1117" s="165" t="s">
        <v>1702</v>
      </c>
      <c r="F1117" s="165" t="str">
        <f t="shared" si="162"/>
        <v>YELL_14.16_300_NL2018</v>
      </c>
      <c r="G1117" s="165" t="s">
        <v>89</v>
      </c>
      <c r="H1117" s="12"/>
      <c r="I1117" s="12" t="s">
        <v>47</v>
      </c>
      <c r="J1117" s="14">
        <v>300</v>
      </c>
      <c r="K1117" s="15" t="s">
        <v>28</v>
      </c>
      <c r="L1117" s="15"/>
      <c r="M1117" s="16">
        <f t="shared" si="163"/>
        <v>0</v>
      </c>
      <c r="N1117" s="15">
        <f>20100-20100</f>
        <v>0</v>
      </c>
      <c r="O1117" s="15">
        <v>3800</v>
      </c>
      <c r="P1117" s="15">
        <f t="shared" si="169"/>
        <v>0</v>
      </c>
      <c r="Q1117" s="15" t="str">
        <f t="shared" si="168"/>
        <v>Canceled</v>
      </c>
      <c r="R1117" s="18" t="s">
        <v>71</v>
      </c>
      <c r="S1117" s="212">
        <v>43570</v>
      </c>
      <c r="T1117" s="20">
        <f>IFERROR(VLOOKUP(S1117,'Date Converter'!$A$4:$C$368,3,0),"")</f>
        <v>43604</v>
      </c>
      <c r="U1117" s="21">
        <f t="shared" si="167"/>
        <v>43604</v>
      </c>
      <c r="V1117" s="20" t="s">
        <v>87</v>
      </c>
      <c r="W1117" s="18"/>
      <c r="X1117" s="18"/>
      <c r="Y1117" s="18"/>
      <c r="Z1117" s="210"/>
      <c r="AA1117" s="15">
        <v>0</v>
      </c>
      <c r="AB1117" s="210"/>
      <c r="AC1117" s="15"/>
      <c r="AD1117" s="15"/>
      <c r="AE1117" s="15"/>
      <c r="AF1117" s="244"/>
      <c r="AG1117" s="15"/>
      <c r="AH1117" s="15">
        <f t="shared" si="164"/>
        <v>0</v>
      </c>
      <c r="AI1117" s="22">
        <f t="shared" si="165"/>
        <v>0</v>
      </c>
      <c r="AJ1117" s="22">
        <f t="shared" si="166"/>
        <v>0</v>
      </c>
      <c r="AK1117" s="13"/>
    </row>
    <row r="1118" spans="1:37" s="165" customFormat="1" hidden="1">
      <c r="A1118" s="165" t="s">
        <v>1704</v>
      </c>
      <c r="B1118" s="13">
        <v>43634</v>
      </c>
      <c r="C1118" s="13" t="s">
        <v>1622</v>
      </c>
      <c r="D1118" s="165" t="s">
        <v>1106</v>
      </c>
      <c r="E1118" s="165" t="s">
        <v>1702</v>
      </c>
      <c r="F1118" s="165" t="str">
        <f t="shared" si="162"/>
        <v>YELL_12.14_400_NL2018</v>
      </c>
      <c r="G1118" s="165" t="s">
        <v>89</v>
      </c>
      <c r="H1118" s="12"/>
      <c r="I1118" s="12" t="s">
        <v>113</v>
      </c>
      <c r="J1118" s="14">
        <v>400</v>
      </c>
      <c r="K1118" s="15" t="s">
        <v>28</v>
      </c>
      <c r="L1118" s="15"/>
      <c r="M1118" s="16">
        <f t="shared" si="163"/>
        <v>15</v>
      </c>
      <c r="N1118" s="15">
        <v>6000</v>
      </c>
      <c r="O1118" s="15">
        <v>2900</v>
      </c>
      <c r="P1118" s="15">
        <f t="shared" si="169"/>
        <v>17400000</v>
      </c>
      <c r="Q1118" s="15" t="str">
        <f t="shared" si="168"/>
        <v/>
      </c>
      <c r="R1118" s="18" t="s">
        <v>31</v>
      </c>
      <c r="S1118" s="212">
        <v>43631</v>
      </c>
      <c r="T1118" s="20">
        <f>IFERROR(VLOOKUP(S1118,'Date Converter'!$A$4:$C$368,3,0),"")</f>
        <v>43663</v>
      </c>
      <c r="U1118" s="21">
        <f t="shared" si="167"/>
        <v>43663</v>
      </c>
      <c r="V1118" s="20"/>
      <c r="W1118" s="18"/>
      <c r="X1118" s="18"/>
      <c r="Y1118" s="18"/>
      <c r="Z1118" s="210"/>
      <c r="AA1118" s="15"/>
      <c r="AB1118" s="210"/>
      <c r="AC1118" s="15"/>
      <c r="AD1118" s="15"/>
      <c r="AE1118" s="15"/>
      <c r="AF1118" s="244"/>
      <c r="AG1118" s="15"/>
      <c r="AH1118" s="15">
        <f t="shared" si="164"/>
        <v>0</v>
      </c>
      <c r="AI1118" s="22">
        <f t="shared" si="165"/>
        <v>6000</v>
      </c>
      <c r="AJ1118" s="22">
        <f t="shared" si="166"/>
        <v>17400000</v>
      </c>
      <c r="AK1118" s="13"/>
    </row>
    <row r="1119" spans="1:37" s="165" customFormat="1" hidden="1">
      <c r="A1119" s="165" t="s">
        <v>1704</v>
      </c>
      <c r="B1119" s="13">
        <v>43539</v>
      </c>
      <c r="C1119" s="13" t="s">
        <v>1622</v>
      </c>
      <c r="D1119" s="165" t="s">
        <v>1106</v>
      </c>
      <c r="E1119" s="165" t="s">
        <v>1702</v>
      </c>
      <c r="F1119" s="165" t="str">
        <f t="shared" si="162"/>
        <v>YELL_14.16_300_NL2018</v>
      </c>
      <c r="G1119" s="165" t="s">
        <v>89</v>
      </c>
      <c r="H1119" s="12"/>
      <c r="I1119" s="12" t="s">
        <v>47</v>
      </c>
      <c r="J1119" s="14">
        <v>300</v>
      </c>
      <c r="K1119" s="15" t="s">
        <v>28</v>
      </c>
      <c r="L1119" s="15"/>
      <c r="M1119" s="16">
        <f t="shared" si="163"/>
        <v>167</v>
      </c>
      <c r="N1119" s="15">
        <f>50100</f>
        <v>50100</v>
      </c>
      <c r="O1119" s="15">
        <v>3800</v>
      </c>
      <c r="P1119" s="15">
        <f t="shared" si="169"/>
        <v>190380000</v>
      </c>
      <c r="Q1119" s="15" t="str">
        <f t="shared" si="168"/>
        <v/>
      </c>
      <c r="R1119" s="18" t="s">
        <v>29</v>
      </c>
      <c r="S1119" s="212">
        <v>43678</v>
      </c>
      <c r="T1119" s="20">
        <f>IFERROR(VLOOKUP(S1119,'Date Converter'!$A$4:$C$368,3,0),"")</f>
        <v>43707</v>
      </c>
      <c r="U1119" s="21">
        <f t="shared" si="167"/>
        <v>43707</v>
      </c>
      <c r="V1119" s="20" t="s">
        <v>1705</v>
      </c>
      <c r="W1119" s="18"/>
      <c r="X1119" s="18"/>
      <c r="Y1119" s="18"/>
      <c r="Z1119" s="210"/>
      <c r="AA1119" s="15">
        <v>0</v>
      </c>
      <c r="AB1119" s="210"/>
      <c r="AC1119" s="15"/>
      <c r="AD1119" s="15"/>
      <c r="AE1119" s="15"/>
      <c r="AF1119" s="244"/>
      <c r="AG1119" s="15"/>
      <c r="AH1119" s="15">
        <f t="shared" si="164"/>
        <v>0</v>
      </c>
      <c r="AI1119" s="22">
        <f t="shared" si="165"/>
        <v>50100</v>
      </c>
      <c r="AJ1119" s="22">
        <f t="shared" si="166"/>
        <v>190380000</v>
      </c>
      <c r="AK1119" s="13"/>
    </row>
    <row r="1120" spans="1:37" s="165" customFormat="1" hidden="1">
      <c r="A1120" s="165" t="s">
        <v>1701</v>
      </c>
      <c r="B1120" s="13">
        <v>43470</v>
      </c>
      <c r="C1120" s="13" t="s">
        <v>1622</v>
      </c>
      <c r="D1120" s="165" t="s">
        <v>1106</v>
      </c>
      <c r="E1120" s="165" t="s">
        <v>1702</v>
      </c>
      <c r="F1120" s="165" t="str">
        <f t="shared" si="162"/>
        <v>YELL_12.14_400_NL2018</v>
      </c>
      <c r="G1120" s="165" t="s">
        <v>89</v>
      </c>
      <c r="H1120" s="12"/>
      <c r="I1120" s="12" t="s">
        <v>113</v>
      </c>
      <c r="J1120" s="14">
        <v>400</v>
      </c>
      <c r="K1120" s="15" t="s">
        <v>28</v>
      </c>
      <c r="L1120" s="15"/>
      <c r="M1120" s="16">
        <f t="shared" si="163"/>
        <v>125</v>
      </c>
      <c r="N1120" s="15">
        <v>50000</v>
      </c>
      <c r="O1120" s="15">
        <v>2600</v>
      </c>
      <c r="P1120" s="15">
        <f t="shared" si="169"/>
        <v>130000000</v>
      </c>
      <c r="Q1120" s="15" t="str">
        <f t="shared" si="168"/>
        <v>Done</v>
      </c>
      <c r="R1120" s="18" t="s">
        <v>44</v>
      </c>
      <c r="S1120" s="117" t="s">
        <v>151</v>
      </c>
      <c r="T1120" s="20">
        <f>IFERROR(VLOOKUP(S1120,'Date Converter'!$A$4:$C$368,3,0),"")</f>
        <v>43558</v>
      </c>
      <c r="U1120" s="21">
        <f t="shared" si="167"/>
        <v>43558</v>
      </c>
      <c r="V1120" s="20" t="s">
        <v>81</v>
      </c>
      <c r="W1120" s="18" t="s">
        <v>72</v>
      </c>
      <c r="X1120" s="18"/>
      <c r="Y1120" s="18"/>
      <c r="Z1120" s="210">
        <v>43558</v>
      </c>
      <c r="AA1120" s="15">
        <v>50000</v>
      </c>
      <c r="AB1120" s="210"/>
      <c r="AC1120" s="15"/>
      <c r="AD1120" s="15"/>
      <c r="AE1120" s="15"/>
      <c r="AF1120" s="244"/>
      <c r="AG1120" s="15"/>
      <c r="AH1120" s="15">
        <f t="shared" si="164"/>
        <v>50000</v>
      </c>
      <c r="AI1120" s="22">
        <f t="shared" si="165"/>
        <v>0</v>
      </c>
      <c r="AJ1120" s="22">
        <f t="shared" si="166"/>
        <v>0</v>
      </c>
      <c r="AK1120" s="13"/>
    </row>
    <row r="1121" spans="1:38" s="165" customFormat="1" hidden="1">
      <c r="A1121" s="165" t="s">
        <v>1704</v>
      </c>
      <c r="B1121" s="13">
        <v>43539</v>
      </c>
      <c r="C1121" s="13" t="s">
        <v>1622</v>
      </c>
      <c r="D1121" s="165" t="s">
        <v>1106</v>
      </c>
      <c r="E1121" s="165" t="s">
        <v>1702</v>
      </c>
      <c r="F1121" s="165" t="str">
        <f t="shared" si="162"/>
        <v>ROBI_16.18_200_NL2018</v>
      </c>
      <c r="G1121" s="165" t="s">
        <v>61</v>
      </c>
      <c r="H1121" s="12"/>
      <c r="I1121" s="12" t="s">
        <v>35</v>
      </c>
      <c r="J1121" s="14">
        <v>200</v>
      </c>
      <c r="K1121" s="15" t="s">
        <v>28</v>
      </c>
      <c r="L1121" s="15"/>
      <c r="M1121" s="16">
        <f t="shared" si="163"/>
        <v>100</v>
      </c>
      <c r="N1121" s="15">
        <f>30000-10000</f>
        <v>20000</v>
      </c>
      <c r="O1121" s="15">
        <v>5100</v>
      </c>
      <c r="P1121" s="15">
        <f t="shared" si="169"/>
        <v>102000000</v>
      </c>
      <c r="Q1121" s="15" t="str">
        <f t="shared" si="168"/>
        <v>Done</v>
      </c>
      <c r="R1121" s="18" t="s">
        <v>44</v>
      </c>
      <c r="S1121" s="212">
        <v>43570</v>
      </c>
      <c r="T1121" s="20">
        <f>IFERROR(VLOOKUP(S1121,'Date Converter'!$A$4:$C$368,3,0),"")</f>
        <v>43604</v>
      </c>
      <c r="U1121" s="21">
        <f t="shared" si="167"/>
        <v>43604</v>
      </c>
      <c r="V1121" s="20" t="s">
        <v>87</v>
      </c>
      <c r="W1121" s="18"/>
      <c r="X1121" s="18"/>
      <c r="Y1121" s="18"/>
      <c r="Z1121" s="210">
        <v>43603</v>
      </c>
      <c r="AA1121" s="15">
        <v>20000</v>
      </c>
      <c r="AB1121" s="210"/>
      <c r="AC1121" s="15"/>
      <c r="AD1121" s="15"/>
      <c r="AE1121" s="15"/>
      <c r="AF1121" s="244"/>
      <c r="AG1121" s="15"/>
      <c r="AH1121" s="15">
        <f t="shared" si="164"/>
        <v>20000</v>
      </c>
      <c r="AI1121" s="22">
        <f t="shared" si="165"/>
        <v>0</v>
      </c>
      <c r="AJ1121" s="22">
        <f t="shared" si="166"/>
        <v>0</v>
      </c>
      <c r="AK1121" s="13"/>
    </row>
    <row r="1122" spans="1:38" s="165" customFormat="1" hidden="1">
      <c r="A1122" s="165" t="s">
        <v>1704</v>
      </c>
      <c r="B1122" s="13">
        <v>43598</v>
      </c>
      <c r="C1122" s="13" t="s">
        <v>1622</v>
      </c>
      <c r="D1122" s="165" t="s">
        <v>1106</v>
      </c>
      <c r="E1122" s="165" t="s">
        <v>1702</v>
      </c>
      <c r="F1122" s="165" t="str">
        <f t="shared" si="162"/>
        <v>ROBI_16.18_200_NL2018</v>
      </c>
      <c r="G1122" s="165" t="s">
        <v>61</v>
      </c>
      <c r="H1122" s="12"/>
      <c r="I1122" s="12" t="s">
        <v>35</v>
      </c>
      <c r="J1122" s="14">
        <v>200</v>
      </c>
      <c r="K1122" s="15" t="s">
        <v>28</v>
      </c>
      <c r="L1122" s="15"/>
      <c r="M1122" s="16">
        <f t="shared" si="163"/>
        <v>50</v>
      </c>
      <c r="N1122" s="15">
        <f>20000-10000</f>
        <v>10000</v>
      </c>
      <c r="O1122" s="15">
        <f>5100+170</f>
        <v>5270</v>
      </c>
      <c r="P1122" s="15">
        <f t="shared" si="169"/>
        <v>52700000</v>
      </c>
      <c r="Q1122" s="15" t="str">
        <f t="shared" si="168"/>
        <v/>
      </c>
      <c r="R1122" s="18" t="s">
        <v>31</v>
      </c>
      <c r="S1122" s="212">
        <v>43631</v>
      </c>
      <c r="T1122" s="20">
        <f>IFERROR(VLOOKUP(S1122,'Date Converter'!$A$4:$C$368,3,0),"")</f>
        <v>43663</v>
      </c>
      <c r="U1122" s="21">
        <f t="shared" si="167"/>
        <v>43663</v>
      </c>
      <c r="V1122" s="20"/>
      <c r="W1122" s="18"/>
      <c r="X1122" s="18"/>
      <c r="Y1122" s="18"/>
      <c r="Z1122" s="210"/>
      <c r="AA1122" s="15"/>
      <c r="AB1122" s="210"/>
      <c r="AC1122" s="15"/>
      <c r="AD1122" s="15"/>
      <c r="AE1122" s="15"/>
      <c r="AF1122" s="244"/>
      <c r="AG1122" s="15"/>
      <c r="AH1122" s="15">
        <f t="shared" si="164"/>
        <v>0</v>
      </c>
      <c r="AI1122" s="22">
        <f t="shared" si="165"/>
        <v>10000</v>
      </c>
      <c r="AJ1122" s="22">
        <f t="shared" si="166"/>
        <v>52700000</v>
      </c>
      <c r="AK1122" s="13"/>
    </row>
    <row r="1123" spans="1:38" s="165" customFormat="1" hidden="1">
      <c r="A1123" s="165" t="s">
        <v>1704</v>
      </c>
      <c r="B1123" s="13">
        <v>43636</v>
      </c>
      <c r="C1123" s="13" t="s">
        <v>1622</v>
      </c>
      <c r="D1123" s="165" t="s">
        <v>1106</v>
      </c>
      <c r="E1123" s="165" t="s">
        <v>1702</v>
      </c>
      <c r="F1123" s="165" t="str">
        <f t="shared" si="162"/>
        <v>ROBI_16.18_200_NL2018</v>
      </c>
      <c r="G1123" s="165" t="s">
        <v>61</v>
      </c>
      <c r="H1123" s="12"/>
      <c r="I1123" s="12" t="s">
        <v>35</v>
      </c>
      <c r="J1123" s="14">
        <v>200</v>
      </c>
      <c r="K1123" s="15" t="s">
        <v>28</v>
      </c>
      <c r="L1123" s="15"/>
      <c r="M1123" s="16">
        <f t="shared" si="163"/>
        <v>50</v>
      </c>
      <c r="N1123" s="262">
        <v>10000</v>
      </c>
      <c r="O1123" s="15">
        <f>5100+100</f>
        <v>5200</v>
      </c>
      <c r="P1123" s="15">
        <f t="shared" si="169"/>
        <v>52000000</v>
      </c>
      <c r="Q1123" s="15" t="str">
        <f t="shared" si="168"/>
        <v>Done</v>
      </c>
      <c r="R1123" s="18" t="s">
        <v>44</v>
      </c>
      <c r="S1123" s="212">
        <v>43603</v>
      </c>
      <c r="T1123" s="20">
        <f>IFERROR(VLOOKUP(S1123,'Date Converter'!$A$4:$C$368,3,0),"")</f>
        <v>43636</v>
      </c>
      <c r="U1123" s="21">
        <f t="shared" si="167"/>
        <v>43636</v>
      </c>
      <c r="V1123" s="20"/>
      <c r="W1123" s="18"/>
      <c r="X1123" s="18"/>
      <c r="Y1123" s="18"/>
      <c r="Z1123" s="210">
        <v>43642</v>
      </c>
      <c r="AA1123" s="15">
        <v>10000</v>
      </c>
      <c r="AB1123" s="210"/>
      <c r="AC1123" s="15"/>
      <c r="AD1123" s="15"/>
      <c r="AE1123" s="15"/>
      <c r="AF1123" s="244"/>
      <c r="AG1123" s="15"/>
      <c r="AH1123" s="15">
        <f t="shared" si="164"/>
        <v>10000</v>
      </c>
      <c r="AI1123" s="22">
        <f t="shared" si="165"/>
        <v>0</v>
      </c>
      <c r="AJ1123" s="22">
        <f t="shared" si="166"/>
        <v>0</v>
      </c>
      <c r="AK1123" s="13"/>
    </row>
    <row r="1124" spans="1:38" s="165" customFormat="1" hidden="1">
      <c r="A1124" s="165" t="s">
        <v>1704</v>
      </c>
      <c r="B1124" s="13">
        <v>43539</v>
      </c>
      <c r="C1124" s="13" t="s">
        <v>1622</v>
      </c>
      <c r="D1124" s="165" t="s">
        <v>1106</v>
      </c>
      <c r="E1124" s="165" t="s">
        <v>1702</v>
      </c>
      <c r="F1124" s="165" t="str">
        <f t="shared" si="162"/>
        <v>ROBI_16.18_200_NL2018</v>
      </c>
      <c r="G1124" s="165" t="s">
        <v>61</v>
      </c>
      <c r="H1124" s="12"/>
      <c r="I1124" s="12" t="s">
        <v>35</v>
      </c>
      <c r="J1124" s="14">
        <v>200</v>
      </c>
      <c r="K1124" s="15" t="s">
        <v>28</v>
      </c>
      <c r="L1124" s="15"/>
      <c r="M1124" s="16">
        <f t="shared" si="163"/>
        <v>200</v>
      </c>
      <c r="N1124" s="15">
        <f>60000-20000</f>
        <v>40000</v>
      </c>
      <c r="O1124" s="15">
        <v>5000</v>
      </c>
      <c r="P1124" s="15">
        <f t="shared" si="169"/>
        <v>200000000</v>
      </c>
      <c r="Q1124" s="15" t="str">
        <f t="shared" si="168"/>
        <v/>
      </c>
      <c r="R1124" s="18" t="s">
        <v>29</v>
      </c>
      <c r="S1124" s="212"/>
      <c r="T1124" s="20" t="str">
        <f>IFERROR(VLOOKUP(S1124,'Date Converter'!$A$4:$C$368,3,0),"")</f>
        <v/>
      </c>
      <c r="U1124" s="21" t="str">
        <f t="shared" si="167"/>
        <v/>
      </c>
      <c r="V1124" s="20" t="s">
        <v>1708</v>
      </c>
      <c r="W1124" s="18"/>
      <c r="X1124" s="18"/>
      <c r="Y1124" s="18"/>
      <c r="Z1124" s="210"/>
      <c r="AA1124" s="15">
        <v>0</v>
      </c>
      <c r="AB1124" s="210"/>
      <c r="AC1124" s="15"/>
      <c r="AD1124" s="15"/>
      <c r="AE1124" s="15"/>
      <c r="AF1124" s="244"/>
      <c r="AG1124" s="15"/>
      <c r="AH1124" s="15">
        <f t="shared" si="164"/>
        <v>0</v>
      </c>
      <c r="AI1124" s="22">
        <f t="shared" si="165"/>
        <v>40000</v>
      </c>
      <c r="AJ1124" s="22">
        <f t="shared" si="166"/>
        <v>200000000</v>
      </c>
      <c r="AK1124" s="13"/>
    </row>
    <row r="1125" spans="1:38" s="165" customFormat="1" hidden="1">
      <c r="A1125" s="165" t="s">
        <v>1706</v>
      </c>
      <c r="B1125" s="13">
        <v>43584</v>
      </c>
      <c r="C1125" s="267" t="s">
        <v>1622</v>
      </c>
      <c r="D1125" s="258" t="s">
        <v>1106</v>
      </c>
      <c r="E1125" s="165" t="s">
        <v>1702</v>
      </c>
      <c r="F1125" s="165" t="str">
        <f t="shared" si="162"/>
        <v>PALA_16.18_200_NL2018</v>
      </c>
      <c r="G1125" s="165" t="s">
        <v>1707</v>
      </c>
      <c r="H1125" s="12"/>
      <c r="I1125" s="12" t="s">
        <v>35</v>
      </c>
      <c r="J1125" s="14">
        <v>200</v>
      </c>
      <c r="K1125" s="15" t="s">
        <v>28</v>
      </c>
      <c r="L1125" s="15"/>
      <c r="M1125" s="16">
        <f t="shared" si="163"/>
        <v>50</v>
      </c>
      <c r="N1125" s="15">
        <v>10000</v>
      </c>
      <c r="O1125" s="15">
        <v>6800</v>
      </c>
      <c r="P1125" s="15">
        <f t="shared" si="169"/>
        <v>68000000</v>
      </c>
      <c r="Q1125" s="15" t="str">
        <f t="shared" si="168"/>
        <v/>
      </c>
      <c r="R1125" s="18" t="s">
        <v>29</v>
      </c>
      <c r="S1125" s="212">
        <v>43709</v>
      </c>
      <c r="T1125" s="20">
        <f>IFERROR(VLOOKUP(S1125,'Date Converter'!$A$4:$C$368,3,0),"")</f>
        <v>43737</v>
      </c>
      <c r="U1125" s="21">
        <f t="shared" si="167"/>
        <v>43737</v>
      </c>
      <c r="V1125" s="20" t="s">
        <v>51</v>
      </c>
      <c r="W1125" s="18"/>
      <c r="X1125" s="18"/>
      <c r="Y1125" s="18"/>
      <c r="Z1125" s="210"/>
      <c r="AA1125" s="15"/>
      <c r="AB1125" s="210"/>
      <c r="AC1125" s="15"/>
      <c r="AD1125" s="15"/>
      <c r="AE1125" s="15"/>
      <c r="AF1125" s="244"/>
      <c r="AG1125" s="15"/>
      <c r="AH1125" s="15">
        <f t="shared" si="164"/>
        <v>0</v>
      </c>
      <c r="AI1125" s="22">
        <f t="shared" si="165"/>
        <v>10000</v>
      </c>
      <c r="AJ1125" s="22">
        <f t="shared" si="166"/>
        <v>68000000</v>
      </c>
      <c r="AK1125" s="13"/>
    </row>
    <row r="1126" spans="1:38" s="165" customFormat="1" hidden="1">
      <c r="A1126" s="165" t="s">
        <v>1704</v>
      </c>
      <c r="B1126" s="13">
        <v>43539</v>
      </c>
      <c r="C1126" s="13" t="s">
        <v>1622</v>
      </c>
      <c r="D1126" s="165" t="s">
        <v>1106</v>
      </c>
      <c r="E1126" s="165" t="s">
        <v>1702</v>
      </c>
      <c r="F1126" s="165" t="str">
        <f t="shared" si="162"/>
        <v>MALD_16.18_200_NL2018</v>
      </c>
      <c r="G1126" s="165" t="s">
        <v>478</v>
      </c>
      <c r="H1126" s="12"/>
      <c r="I1126" s="12" t="s">
        <v>35</v>
      </c>
      <c r="J1126" s="14">
        <v>200</v>
      </c>
      <c r="K1126" s="15" t="s">
        <v>28</v>
      </c>
      <c r="L1126" s="15"/>
      <c r="M1126" s="16">
        <f t="shared" si="163"/>
        <v>0</v>
      </c>
      <c r="N1126" s="15">
        <f>20000-20000</f>
        <v>0</v>
      </c>
      <c r="O1126" s="15">
        <v>5000</v>
      </c>
      <c r="P1126" s="15">
        <f t="shared" si="169"/>
        <v>0</v>
      </c>
      <c r="Q1126" s="15" t="str">
        <f t="shared" si="168"/>
        <v>Canceled</v>
      </c>
      <c r="R1126" s="18" t="s">
        <v>71</v>
      </c>
      <c r="S1126" s="212">
        <v>43586</v>
      </c>
      <c r="T1126" s="20">
        <f>IFERROR(VLOOKUP(S1126,'Date Converter'!$A$4:$C$368,3,0),"")</f>
        <v>43619</v>
      </c>
      <c r="U1126" s="21">
        <f t="shared" si="167"/>
        <v>43619</v>
      </c>
      <c r="V1126" s="20" t="s">
        <v>1705</v>
      </c>
      <c r="W1126" s="18"/>
      <c r="X1126" s="18"/>
      <c r="Y1126" s="18"/>
      <c r="Z1126" s="210"/>
      <c r="AA1126" s="15">
        <v>0</v>
      </c>
      <c r="AB1126" s="210"/>
      <c r="AC1126" s="15"/>
      <c r="AD1126" s="15"/>
      <c r="AE1126" s="15"/>
      <c r="AF1126" s="244"/>
      <c r="AG1126" s="15"/>
      <c r="AH1126" s="15">
        <f t="shared" si="164"/>
        <v>0</v>
      </c>
      <c r="AI1126" s="22">
        <f t="shared" si="165"/>
        <v>0</v>
      </c>
      <c r="AJ1126" s="22">
        <f t="shared" si="166"/>
        <v>0</v>
      </c>
      <c r="AK1126" s="13"/>
      <c r="AL1126" s="165" t="s">
        <v>1629</v>
      </c>
    </row>
    <row r="1127" spans="1:38" s="165" customFormat="1" hidden="1">
      <c r="A1127" s="165" t="s">
        <v>1701</v>
      </c>
      <c r="B1127" s="13">
        <v>43470</v>
      </c>
      <c r="C1127" s="13" t="s">
        <v>1622</v>
      </c>
      <c r="D1127" s="165" t="s">
        <v>1106</v>
      </c>
      <c r="E1127" s="165" t="s">
        <v>1702</v>
      </c>
      <c r="F1127" s="165" t="str">
        <f t="shared" si="162"/>
        <v>MALD_16.18_200_NL2018</v>
      </c>
      <c r="G1127" s="165" t="s">
        <v>478</v>
      </c>
      <c r="H1127" s="12"/>
      <c r="I1127" s="12" t="s">
        <v>35</v>
      </c>
      <c r="J1127" s="14">
        <v>200</v>
      </c>
      <c r="K1127" s="15" t="s">
        <v>28</v>
      </c>
      <c r="L1127" s="15"/>
      <c r="M1127" s="16">
        <f t="shared" si="163"/>
        <v>50</v>
      </c>
      <c r="N1127" s="25">
        <v>10000</v>
      </c>
      <c r="O1127" s="15">
        <v>5000</v>
      </c>
      <c r="P1127" s="15">
        <f t="shared" si="169"/>
        <v>50000000</v>
      </c>
      <c r="Q1127" s="15" t="str">
        <f t="shared" si="168"/>
        <v>Done</v>
      </c>
      <c r="R1127" s="18" t="s">
        <v>44</v>
      </c>
      <c r="S1127" s="117">
        <v>43539</v>
      </c>
      <c r="T1127" s="20">
        <f>IFERROR(VLOOKUP(S1127,'Date Converter'!$A$4:$C$368,3,0),"")</f>
        <v>43574</v>
      </c>
      <c r="U1127" s="21">
        <f t="shared" si="167"/>
        <v>43574</v>
      </c>
      <c r="V1127" s="20" t="s">
        <v>57</v>
      </c>
      <c r="W1127" s="18" t="s">
        <v>79</v>
      </c>
      <c r="X1127" s="18"/>
      <c r="Y1127" s="18"/>
      <c r="Z1127" s="210">
        <v>43578</v>
      </c>
      <c r="AA1127" s="15">
        <v>10000</v>
      </c>
      <c r="AB1127" s="210"/>
      <c r="AC1127" s="15"/>
      <c r="AD1127" s="15"/>
      <c r="AE1127" s="15"/>
      <c r="AF1127" s="244"/>
      <c r="AG1127" s="15"/>
      <c r="AH1127" s="15">
        <f t="shared" si="164"/>
        <v>10000</v>
      </c>
      <c r="AI1127" s="22">
        <f t="shared" si="165"/>
        <v>0</v>
      </c>
      <c r="AJ1127" s="22">
        <f t="shared" si="166"/>
        <v>0</v>
      </c>
      <c r="AK1127" s="13"/>
      <c r="AL1127" s="165" t="s">
        <v>1629</v>
      </c>
    </row>
    <row r="1128" spans="1:38" s="165" customFormat="1" hidden="1">
      <c r="A1128" s="165" t="s">
        <v>1704</v>
      </c>
      <c r="B1128" s="13">
        <v>43598</v>
      </c>
      <c r="C1128" s="13" t="s">
        <v>1622</v>
      </c>
      <c r="D1128" s="165" t="s">
        <v>1106</v>
      </c>
      <c r="E1128" s="165" t="s">
        <v>1702</v>
      </c>
      <c r="F1128" s="165" t="str">
        <f t="shared" si="162"/>
        <v>LARG_16.18_200_NL2018</v>
      </c>
      <c r="G1128" s="165" t="s">
        <v>70</v>
      </c>
      <c r="H1128" s="12"/>
      <c r="I1128" s="12" t="s">
        <v>35</v>
      </c>
      <c r="J1128" s="14">
        <v>200</v>
      </c>
      <c r="K1128" s="15" t="s">
        <v>28</v>
      </c>
      <c r="L1128" s="15"/>
      <c r="M1128" s="16">
        <f t="shared" si="163"/>
        <v>50</v>
      </c>
      <c r="N1128" s="15">
        <v>10000</v>
      </c>
      <c r="O1128" s="15">
        <v>5800</v>
      </c>
      <c r="P1128" s="15">
        <f t="shared" si="169"/>
        <v>58000000</v>
      </c>
      <c r="Q1128" s="15" t="str">
        <f t="shared" si="168"/>
        <v>Done</v>
      </c>
      <c r="R1128" s="18" t="s">
        <v>44</v>
      </c>
      <c r="S1128" s="212">
        <v>43590</v>
      </c>
      <c r="T1128" s="20">
        <f>IFERROR(VLOOKUP(S1128,'Date Converter'!$A$4:$C$368,3,0),"")</f>
        <v>43623</v>
      </c>
      <c r="U1128" s="21">
        <f t="shared" si="167"/>
        <v>43623</v>
      </c>
      <c r="V1128" s="20"/>
      <c r="W1128" s="18"/>
      <c r="X1128" s="18"/>
      <c r="Y1128" s="18"/>
      <c r="Z1128" s="210">
        <v>43624</v>
      </c>
      <c r="AA1128" s="15">
        <v>10000</v>
      </c>
      <c r="AB1128" s="210"/>
      <c r="AC1128" s="15"/>
      <c r="AD1128" s="15"/>
      <c r="AE1128" s="15"/>
      <c r="AF1128" s="244"/>
      <c r="AG1128" s="15"/>
      <c r="AH1128" s="15">
        <f t="shared" si="164"/>
        <v>10000</v>
      </c>
      <c r="AI1128" s="22">
        <f t="shared" si="165"/>
        <v>0</v>
      </c>
      <c r="AJ1128" s="22">
        <f t="shared" si="166"/>
        <v>0</v>
      </c>
      <c r="AK1128" s="13"/>
    </row>
    <row r="1129" spans="1:38" s="165" customFormat="1" hidden="1">
      <c r="A1129" s="165" t="s">
        <v>1706</v>
      </c>
      <c r="B1129" s="13">
        <v>43584</v>
      </c>
      <c r="C1129" s="267" t="s">
        <v>1622</v>
      </c>
      <c r="D1129" s="258" t="s">
        <v>1106</v>
      </c>
      <c r="E1129" s="165" t="s">
        <v>1702</v>
      </c>
      <c r="F1129" s="165" t="str">
        <f t="shared" si="162"/>
        <v>CONC_18.20_150_NL2018</v>
      </c>
      <c r="G1129" s="165" t="s">
        <v>40</v>
      </c>
      <c r="H1129" s="12"/>
      <c r="I1129" s="12" t="s">
        <v>27</v>
      </c>
      <c r="J1129" s="14">
        <v>150</v>
      </c>
      <c r="K1129" s="15" t="s">
        <v>28</v>
      </c>
      <c r="L1129" s="15"/>
      <c r="M1129" s="16">
        <f t="shared" si="163"/>
        <v>67</v>
      </c>
      <c r="N1129" s="15">
        <v>10050</v>
      </c>
      <c r="O1129" s="15">
        <v>8000</v>
      </c>
      <c r="P1129" s="15">
        <f t="shared" si="169"/>
        <v>80400000</v>
      </c>
      <c r="Q1129" s="15" t="str">
        <f t="shared" si="168"/>
        <v/>
      </c>
      <c r="R1129" s="18" t="s">
        <v>29</v>
      </c>
      <c r="S1129" s="212">
        <v>43709</v>
      </c>
      <c r="T1129" s="20">
        <f>IFERROR(VLOOKUP(S1129,'Date Converter'!$A$4:$C$368,3,0),"")</f>
        <v>43737</v>
      </c>
      <c r="U1129" s="21">
        <f t="shared" si="167"/>
        <v>43737</v>
      </c>
      <c r="V1129" s="20" t="s">
        <v>51</v>
      </c>
      <c r="W1129" s="18"/>
      <c r="X1129" s="18"/>
      <c r="Y1129" s="18"/>
      <c r="Z1129" s="210"/>
      <c r="AA1129" s="15"/>
      <c r="AB1129" s="210"/>
      <c r="AC1129" s="15"/>
      <c r="AD1129" s="15"/>
      <c r="AE1129" s="15"/>
      <c r="AF1129" s="244"/>
      <c r="AG1129" s="15"/>
      <c r="AH1129" s="15">
        <f t="shared" si="164"/>
        <v>0</v>
      </c>
      <c r="AI1129" s="22">
        <f t="shared" si="165"/>
        <v>10050</v>
      </c>
      <c r="AJ1129" s="22">
        <f t="shared" si="166"/>
        <v>80400000</v>
      </c>
      <c r="AK1129" s="13"/>
    </row>
    <row r="1130" spans="1:38" s="165" customFormat="1" hidden="1">
      <c r="A1130" s="165" t="s">
        <v>1701</v>
      </c>
      <c r="B1130" s="13">
        <v>43470</v>
      </c>
      <c r="C1130" s="13" t="s">
        <v>1622</v>
      </c>
      <c r="D1130" s="165" t="s">
        <v>1106</v>
      </c>
      <c r="E1130" s="165" t="s">
        <v>1702</v>
      </c>
      <c r="F1130" s="165" t="str">
        <f t="shared" si="162"/>
        <v>CIAR_RL_12.14_400_NL2018</v>
      </c>
      <c r="G1130" s="165" t="s">
        <v>1703</v>
      </c>
      <c r="H1130" s="12" t="s">
        <v>219</v>
      </c>
      <c r="I1130" s="12" t="s">
        <v>113</v>
      </c>
      <c r="J1130" s="14">
        <v>400</v>
      </c>
      <c r="K1130" s="15" t="s">
        <v>28</v>
      </c>
      <c r="L1130" s="15"/>
      <c r="M1130" s="16">
        <f t="shared" si="163"/>
        <v>2</v>
      </c>
      <c r="N1130" s="15">
        <v>800</v>
      </c>
      <c r="O1130" s="15">
        <v>8000</v>
      </c>
      <c r="P1130" s="15">
        <f t="shared" si="169"/>
        <v>6400000</v>
      </c>
      <c r="Q1130" s="15" t="str">
        <f t="shared" si="168"/>
        <v>Done</v>
      </c>
      <c r="R1130" s="18" t="s">
        <v>44</v>
      </c>
      <c r="S1130" s="117">
        <v>43488</v>
      </c>
      <c r="T1130" s="20">
        <f>IFERROR(VLOOKUP(S1130,'Date Converter'!$A$4:$C$368,3,0),"")</f>
        <v>43523</v>
      </c>
      <c r="U1130" s="21">
        <f t="shared" si="167"/>
        <v>43523</v>
      </c>
      <c r="V1130" s="20" t="s">
        <v>69</v>
      </c>
      <c r="W1130" s="18"/>
      <c r="X1130" s="18"/>
      <c r="Y1130" s="18"/>
      <c r="Z1130" s="210">
        <v>43523</v>
      </c>
      <c r="AA1130" s="15">
        <v>800</v>
      </c>
      <c r="AB1130" s="210"/>
      <c r="AC1130" s="15"/>
      <c r="AD1130" s="15"/>
      <c r="AE1130" s="15"/>
      <c r="AF1130" s="244"/>
      <c r="AG1130" s="15"/>
      <c r="AH1130" s="15">
        <f t="shared" si="164"/>
        <v>800</v>
      </c>
      <c r="AI1130" s="22">
        <f t="shared" si="165"/>
        <v>0</v>
      </c>
      <c r="AJ1130" s="22">
        <f t="shared" si="166"/>
        <v>0</v>
      </c>
      <c r="AK1130" s="13"/>
    </row>
    <row r="1131" spans="1:38" s="165" customFormat="1" hidden="1">
      <c r="A1131" s="165" t="s">
        <v>1701</v>
      </c>
      <c r="B1131" s="13">
        <v>43470</v>
      </c>
      <c r="C1131" s="13" t="s">
        <v>1622</v>
      </c>
      <c r="D1131" s="165" t="s">
        <v>1106</v>
      </c>
      <c r="E1131" s="165" t="s">
        <v>1702</v>
      </c>
      <c r="F1131" s="165" t="str">
        <f t="shared" si="162"/>
        <v>BACA_15.16_275_NL2018</v>
      </c>
      <c r="G1131" s="165" t="s">
        <v>67</v>
      </c>
      <c r="H1131" s="12"/>
      <c r="I1131" s="12" t="s">
        <v>77</v>
      </c>
      <c r="J1131" s="14">
        <v>275</v>
      </c>
      <c r="K1131" s="15" t="s">
        <v>28</v>
      </c>
      <c r="L1131" s="15"/>
      <c r="M1131" s="16">
        <f t="shared" si="163"/>
        <v>46</v>
      </c>
      <c r="N1131" s="15">
        <v>12650</v>
      </c>
      <c r="O1131" s="15">
        <v>4370</v>
      </c>
      <c r="P1131" s="15">
        <f t="shared" si="169"/>
        <v>55280500</v>
      </c>
      <c r="Q1131" s="15" t="str">
        <f t="shared" si="168"/>
        <v>Done</v>
      </c>
      <c r="R1131" s="18" t="s">
        <v>44</v>
      </c>
      <c r="S1131" s="212">
        <v>43511</v>
      </c>
      <c r="T1131" s="20">
        <f>IFERROR(VLOOKUP(S1131,'Date Converter'!$A$4:$C$368,3,0),"")</f>
        <v>43544</v>
      </c>
      <c r="U1131" s="21">
        <f t="shared" si="167"/>
        <v>43544</v>
      </c>
      <c r="V1131" s="20" t="s">
        <v>393</v>
      </c>
      <c r="W1131" s="18" t="s">
        <v>48</v>
      </c>
      <c r="X1131" s="18"/>
      <c r="Y1131" s="18"/>
      <c r="Z1131" s="210">
        <v>43543</v>
      </c>
      <c r="AA1131" s="15">
        <v>12650</v>
      </c>
      <c r="AB1131" s="210"/>
      <c r="AC1131" s="15"/>
      <c r="AD1131" s="15"/>
      <c r="AE1131" s="15"/>
      <c r="AF1131" s="244"/>
      <c r="AG1131" s="15"/>
      <c r="AH1131" s="15">
        <f t="shared" si="164"/>
        <v>12650</v>
      </c>
      <c r="AI1131" s="22">
        <f t="shared" si="165"/>
        <v>0</v>
      </c>
      <c r="AJ1131" s="22">
        <f t="shared" si="166"/>
        <v>0</v>
      </c>
      <c r="AK1131" s="13"/>
    </row>
    <row r="1132" spans="1:38" s="165" customFormat="1" hidden="1">
      <c r="A1132" s="165" t="s">
        <v>1701</v>
      </c>
      <c r="B1132" s="13">
        <v>43470</v>
      </c>
      <c r="C1132" s="13" t="s">
        <v>1622</v>
      </c>
      <c r="D1132" s="165" t="s">
        <v>1106</v>
      </c>
      <c r="E1132" s="165" t="s">
        <v>1702</v>
      </c>
      <c r="F1132" s="165" t="str">
        <f t="shared" si="162"/>
        <v>BACA_15.16_300_NL2018</v>
      </c>
      <c r="G1132" s="165" t="s">
        <v>67</v>
      </c>
      <c r="H1132" s="12"/>
      <c r="I1132" s="12" t="s">
        <v>77</v>
      </c>
      <c r="J1132" s="14">
        <v>300</v>
      </c>
      <c r="K1132" s="15" t="s">
        <v>28</v>
      </c>
      <c r="L1132" s="15"/>
      <c r="M1132" s="16">
        <f t="shared" si="163"/>
        <v>12</v>
      </c>
      <c r="N1132" s="15">
        <v>3600</v>
      </c>
      <c r="O1132" s="15">
        <v>4370</v>
      </c>
      <c r="P1132" s="15">
        <f t="shared" si="169"/>
        <v>15732000</v>
      </c>
      <c r="Q1132" s="15" t="str">
        <f t="shared" si="168"/>
        <v>Done</v>
      </c>
      <c r="R1132" s="18" t="s">
        <v>44</v>
      </c>
      <c r="S1132" s="212">
        <v>43511</v>
      </c>
      <c r="T1132" s="20">
        <f>IFERROR(VLOOKUP(S1132,'Date Converter'!$A$4:$C$368,3,0),"")</f>
        <v>43544</v>
      </c>
      <c r="U1132" s="21">
        <f t="shared" si="167"/>
        <v>43544</v>
      </c>
      <c r="V1132" s="20" t="s">
        <v>393</v>
      </c>
      <c r="W1132" s="18" t="s">
        <v>48</v>
      </c>
      <c r="X1132" s="18"/>
      <c r="Y1132" s="18"/>
      <c r="Z1132" s="210">
        <v>43543</v>
      </c>
      <c r="AA1132" s="15">
        <v>3600</v>
      </c>
      <c r="AB1132" s="210"/>
      <c r="AC1132" s="15"/>
      <c r="AD1132" s="15"/>
      <c r="AE1132" s="15"/>
      <c r="AF1132" s="244"/>
      <c r="AG1132" s="15"/>
      <c r="AH1132" s="15">
        <f t="shared" si="164"/>
        <v>3600</v>
      </c>
      <c r="AI1132" s="22">
        <f t="shared" si="165"/>
        <v>0</v>
      </c>
      <c r="AJ1132" s="22">
        <f t="shared" si="166"/>
        <v>0</v>
      </c>
      <c r="AK1132" s="13"/>
    </row>
    <row r="1133" spans="1:38" s="165" customFormat="1" hidden="1">
      <c r="A1133" s="165" t="s">
        <v>1701</v>
      </c>
      <c r="B1133" s="13">
        <v>43470</v>
      </c>
      <c r="C1133" s="13" t="s">
        <v>1622</v>
      </c>
      <c r="D1133" s="165" t="s">
        <v>1106</v>
      </c>
      <c r="E1133" s="165" t="s">
        <v>1702</v>
      </c>
      <c r="F1133" s="165" t="str">
        <f t="shared" si="162"/>
        <v>BACA_15.16_250_NL2018</v>
      </c>
      <c r="G1133" s="165" t="s">
        <v>67</v>
      </c>
      <c r="H1133" s="12"/>
      <c r="I1133" s="12" t="s">
        <v>77</v>
      </c>
      <c r="J1133" s="14">
        <v>250</v>
      </c>
      <c r="K1133" s="15" t="s">
        <v>28</v>
      </c>
      <c r="L1133" s="15"/>
      <c r="M1133" s="16">
        <f t="shared" si="163"/>
        <v>0</v>
      </c>
      <c r="N1133" s="15">
        <f>20000-20000</f>
        <v>0</v>
      </c>
      <c r="O1133" s="15">
        <v>4370</v>
      </c>
      <c r="P1133" s="15">
        <f t="shared" si="169"/>
        <v>0</v>
      </c>
      <c r="Q1133" s="15" t="str">
        <f t="shared" si="168"/>
        <v>Canceled</v>
      </c>
      <c r="R1133" s="18" t="s">
        <v>71</v>
      </c>
      <c r="S1133" s="19">
        <v>43539</v>
      </c>
      <c r="T1133" s="20">
        <f>IFERROR(VLOOKUP(S1133,'Date Converter'!$A$4:$C$368,3,0),"")</f>
        <v>43574</v>
      </c>
      <c r="U1133" s="21">
        <f t="shared" si="167"/>
        <v>43574</v>
      </c>
      <c r="V1133" s="20"/>
      <c r="W1133" s="18" t="s">
        <v>108</v>
      </c>
      <c r="X1133" s="18"/>
      <c r="Y1133" s="18"/>
      <c r="Z1133" s="210"/>
      <c r="AA1133" s="15">
        <v>0</v>
      </c>
      <c r="AB1133" s="210"/>
      <c r="AC1133" s="15"/>
      <c r="AD1133" s="15"/>
      <c r="AE1133" s="15"/>
      <c r="AF1133" s="244"/>
      <c r="AG1133" s="15"/>
      <c r="AH1133" s="15">
        <f t="shared" si="164"/>
        <v>0</v>
      </c>
      <c r="AI1133" s="22">
        <f t="shared" si="165"/>
        <v>0</v>
      </c>
      <c r="AJ1133" s="22">
        <f t="shared" si="166"/>
        <v>0</v>
      </c>
      <c r="AK1133" s="13"/>
    </row>
    <row r="1134" spans="1:38" s="165" customFormat="1" hidden="1">
      <c r="A1134" s="165" t="s">
        <v>327</v>
      </c>
      <c r="B1134" s="13">
        <v>43532</v>
      </c>
      <c r="C1134" s="13" t="s">
        <v>23</v>
      </c>
      <c r="D1134" s="165" t="s">
        <v>210</v>
      </c>
      <c r="E1134" s="13" t="s">
        <v>211</v>
      </c>
      <c r="F1134" s="165" t="str">
        <f t="shared" si="162"/>
        <v>TEBA_14.16_300_NL2018</v>
      </c>
      <c r="G1134" s="13" t="s">
        <v>127</v>
      </c>
      <c r="H1134" s="12"/>
      <c r="I1134" s="12" t="s">
        <v>47</v>
      </c>
      <c r="J1134" s="14">
        <v>300</v>
      </c>
      <c r="K1134" s="15" t="s">
        <v>28</v>
      </c>
      <c r="L1134" s="15"/>
      <c r="M1134" s="16">
        <f t="shared" si="163"/>
        <v>1</v>
      </c>
      <c r="N1134" s="15">
        <v>300</v>
      </c>
      <c r="O1134" s="15">
        <v>4500</v>
      </c>
      <c r="P1134" s="15">
        <f t="shared" si="169"/>
        <v>1350000</v>
      </c>
      <c r="Q1134" s="15" t="str">
        <f t="shared" si="168"/>
        <v>Done</v>
      </c>
      <c r="R1134" s="18" t="s">
        <v>44</v>
      </c>
      <c r="S1134" s="23">
        <v>43539</v>
      </c>
      <c r="T1134" s="20">
        <f>IFERROR(VLOOKUP(S1134,'Date Converter'!$A$4:$C$368,3,0),"")</f>
        <v>43574</v>
      </c>
      <c r="U1134" s="21">
        <f t="shared" si="167"/>
        <v>43574</v>
      </c>
      <c r="V1134" s="12" t="s">
        <v>57</v>
      </c>
      <c r="W1134" s="18" t="s">
        <v>143</v>
      </c>
      <c r="X1134" s="18">
        <v>43569</v>
      </c>
      <c r="Y1134" s="12"/>
      <c r="Z1134" s="206">
        <v>43578</v>
      </c>
      <c r="AA1134" s="15">
        <v>300</v>
      </c>
      <c r="AB1134" s="206"/>
      <c r="AC1134" s="12"/>
      <c r="AD1134" s="206"/>
      <c r="AE1134" s="12"/>
      <c r="AF1134" s="245"/>
      <c r="AG1134" s="12"/>
      <c r="AH1134" s="15">
        <f t="shared" si="164"/>
        <v>300</v>
      </c>
      <c r="AI1134" s="22">
        <f t="shared" si="165"/>
        <v>0</v>
      </c>
      <c r="AJ1134" s="22">
        <f t="shared" si="166"/>
        <v>0</v>
      </c>
    </row>
    <row r="1135" spans="1:38" s="165" customFormat="1" hidden="1">
      <c r="A1135" s="165" t="s">
        <v>327</v>
      </c>
      <c r="B1135" s="13">
        <v>43532</v>
      </c>
      <c r="C1135" s="13" t="s">
        <v>23</v>
      </c>
      <c r="D1135" s="165" t="s">
        <v>210</v>
      </c>
      <c r="E1135" s="13" t="s">
        <v>211</v>
      </c>
      <c r="F1135" s="165" t="str">
        <f t="shared" si="162"/>
        <v>PAVI_12.14_400_NL2018</v>
      </c>
      <c r="G1135" s="13" t="s">
        <v>138</v>
      </c>
      <c r="H1135" s="12"/>
      <c r="I1135" s="12" t="s">
        <v>113</v>
      </c>
      <c r="J1135" s="14">
        <v>400</v>
      </c>
      <c r="K1135" s="15" t="s">
        <v>28</v>
      </c>
      <c r="L1135" s="15"/>
      <c r="M1135" s="16">
        <f t="shared" si="163"/>
        <v>1</v>
      </c>
      <c r="N1135" s="15">
        <v>400</v>
      </c>
      <c r="O1135" s="15">
        <v>3300</v>
      </c>
      <c r="P1135" s="15">
        <f t="shared" si="169"/>
        <v>1320000</v>
      </c>
      <c r="Q1135" s="15" t="str">
        <f t="shared" si="168"/>
        <v>Done</v>
      </c>
      <c r="R1135" s="18" t="s">
        <v>44</v>
      </c>
      <c r="S1135" s="23">
        <v>43539</v>
      </c>
      <c r="T1135" s="20">
        <f>IFERROR(VLOOKUP(S1135,'Date Converter'!$A$4:$C$368,3,0),"")</f>
        <v>43574</v>
      </c>
      <c r="U1135" s="21">
        <f t="shared" si="167"/>
        <v>43574</v>
      </c>
      <c r="V1135" s="12" t="s">
        <v>57</v>
      </c>
      <c r="W1135" s="18" t="s">
        <v>132</v>
      </c>
      <c r="X1135" s="18">
        <v>43569</v>
      </c>
      <c r="Y1135" s="12"/>
      <c r="Z1135" s="206">
        <v>43578</v>
      </c>
      <c r="AA1135" s="15">
        <v>400</v>
      </c>
      <c r="AB1135" s="206"/>
      <c r="AC1135" s="12"/>
      <c r="AD1135" s="206"/>
      <c r="AE1135" s="12"/>
      <c r="AF1135" s="245"/>
      <c r="AG1135" s="12"/>
      <c r="AH1135" s="15">
        <f t="shared" si="164"/>
        <v>400</v>
      </c>
      <c r="AI1135" s="22">
        <f t="shared" si="165"/>
        <v>0</v>
      </c>
      <c r="AJ1135" s="22">
        <f t="shared" si="166"/>
        <v>0</v>
      </c>
    </row>
    <row r="1136" spans="1:38" s="165" customFormat="1" hidden="1">
      <c r="A1136" s="165" t="s">
        <v>296</v>
      </c>
      <c r="B1136" s="13">
        <v>43532</v>
      </c>
      <c r="C1136" s="13" t="s">
        <v>23</v>
      </c>
      <c r="D1136" s="165" t="s">
        <v>83</v>
      </c>
      <c r="E1136" s="119" t="s">
        <v>84</v>
      </c>
      <c r="F1136" s="165" t="str">
        <f t="shared" si="162"/>
        <v>YELL_14.16_300_NL2018</v>
      </c>
      <c r="G1136" s="13" t="s">
        <v>89</v>
      </c>
      <c r="H1136" s="12"/>
      <c r="I1136" s="12" t="s">
        <v>47</v>
      </c>
      <c r="J1136" s="14">
        <v>300</v>
      </c>
      <c r="K1136" s="15" t="s">
        <v>28</v>
      </c>
      <c r="L1136" s="15"/>
      <c r="M1136" s="16">
        <f t="shared" si="163"/>
        <v>0</v>
      </c>
      <c r="N1136" s="15">
        <f>5100-5100</f>
        <v>0</v>
      </c>
      <c r="O1136" s="15">
        <v>3800</v>
      </c>
      <c r="P1136" s="15">
        <f t="shared" si="169"/>
        <v>0</v>
      </c>
      <c r="Q1136" s="15" t="str">
        <f t="shared" si="168"/>
        <v>Canceled</v>
      </c>
      <c r="R1136" s="18" t="s">
        <v>71</v>
      </c>
      <c r="S1136" s="23">
        <v>43539</v>
      </c>
      <c r="T1136" s="20">
        <f>IFERROR(VLOOKUP(S1136,'Date Converter'!$A$4:$C$368,3,0),"")</f>
        <v>43574</v>
      </c>
      <c r="U1136" s="21">
        <f t="shared" si="167"/>
        <v>43574</v>
      </c>
      <c r="V1136" s="12" t="s">
        <v>57</v>
      </c>
      <c r="W1136" s="18" t="s">
        <v>79</v>
      </c>
      <c r="X1136" s="18">
        <v>43569</v>
      </c>
      <c r="Y1136" s="12" t="s">
        <v>59</v>
      </c>
      <c r="Z1136" s="206"/>
      <c r="AA1136" s="15">
        <v>0</v>
      </c>
      <c r="AB1136" s="206"/>
      <c r="AC1136" s="12"/>
      <c r="AD1136" s="206"/>
      <c r="AE1136" s="12"/>
      <c r="AF1136" s="245"/>
      <c r="AG1136" s="12"/>
      <c r="AH1136" s="15">
        <f t="shared" si="164"/>
        <v>0</v>
      </c>
      <c r="AI1136" s="22">
        <f t="shared" si="165"/>
        <v>0</v>
      </c>
      <c r="AJ1136" s="22">
        <f t="shared" si="166"/>
        <v>0</v>
      </c>
    </row>
    <row r="1137" spans="1:36" s="165" customFormat="1" hidden="1">
      <c r="A1137" s="165" t="s">
        <v>296</v>
      </c>
      <c r="B1137" s="13">
        <v>43532</v>
      </c>
      <c r="C1137" s="13" t="s">
        <v>23</v>
      </c>
      <c r="D1137" s="165" t="s">
        <v>83</v>
      </c>
      <c r="E1137" s="119" t="s">
        <v>84</v>
      </c>
      <c r="F1137" s="165" t="str">
        <f t="shared" si="162"/>
        <v>YELL_14.16_300_NL2018</v>
      </c>
      <c r="G1137" s="13" t="s">
        <v>89</v>
      </c>
      <c r="H1137" s="12"/>
      <c r="I1137" s="12" t="s">
        <v>47</v>
      </c>
      <c r="J1137" s="14">
        <v>300</v>
      </c>
      <c r="K1137" s="15" t="s">
        <v>28</v>
      </c>
      <c r="L1137" s="15"/>
      <c r="M1137" s="16">
        <f t="shared" si="163"/>
        <v>0</v>
      </c>
      <c r="N1137" s="15">
        <f>5100-900-4200</f>
        <v>0</v>
      </c>
      <c r="O1137" s="15">
        <v>3800</v>
      </c>
      <c r="P1137" s="15">
        <f t="shared" si="169"/>
        <v>0</v>
      </c>
      <c r="Q1137" s="15" t="str">
        <f t="shared" si="168"/>
        <v>Canceled</v>
      </c>
      <c r="R1137" s="18" t="s">
        <v>71</v>
      </c>
      <c r="S1137" s="23">
        <v>43572</v>
      </c>
      <c r="T1137" s="20">
        <f>IFERROR(VLOOKUP(S1137,'Date Converter'!$A$4:$C$368,3,0),"")</f>
        <v>43606</v>
      </c>
      <c r="U1137" s="21">
        <f t="shared" si="167"/>
        <v>43606</v>
      </c>
      <c r="V1137" s="12" t="s">
        <v>36</v>
      </c>
      <c r="W1137" s="18"/>
      <c r="X1137" s="18"/>
      <c r="Y1137" s="12" t="s">
        <v>59</v>
      </c>
      <c r="Z1137" s="206"/>
      <c r="AA1137" s="15">
        <v>0</v>
      </c>
      <c r="AB1137" s="206"/>
      <c r="AC1137" s="12"/>
      <c r="AD1137" s="206"/>
      <c r="AE1137" s="12"/>
      <c r="AF1137" s="245"/>
      <c r="AG1137" s="12"/>
      <c r="AH1137" s="15">
        <f t="shared" si="164"/>
        <v>0</v>
      </c>
      <c r="AI1137" s="22">
        <f t="shared" si="165"/>
        <v>0</v>
      </c>
      <c r="AJ1137" s="22">
        <f t="shared" si="166"/>
        <v>0</v>
      </c>
    </row>
    <row r="1138" spans="1:36" s="165" customFormat="1" hidden="1">
      <c r="A1138" s="165" t="s">
        <v>296</v>
      </c>
      <c r="B1138" s="13">
        <v>43532</v>
      </c>
      <c r="C1138" s="13" t="s">
        <v>23</v>
      </c>
      <c r="D1138" s="165" t="s">
        <v>83</v>
      </c>
      <c r="E1138" s="119" t="s">
        <v>84</v>
      </c>
      <c r="F1138" s="165" t="str">
        <f t="shared" si="162"/>
        <v>YELL_14.16_300_NL2018</v>
      </c>
      <c r="G1138" s="13" t="s">
        <v>89</v>
      </c>
      <c r="H1138" s="12"/>
      <c r="I1138" s="12" t="s">
        <v>47</v>
      </c>
      <c r="J1138" s="14">
        <v>300</v>
      </c>
      <c r="K1138" s="15" t="s">
        <v>28</v>
      </c>
      <c r="L1138" s="15"/>
      <c r="M1138" s="16">
        <f t="shared" si="163"/>
        <v>0</v>
      </c>
      <c r="N1138" s="15">
        <f>2100-2100</f>
        <v>0</v>
      </c>
      <c r="O1138" s="15">
        <v>3900</v>
      </c>
      <c r="P1138" s="15">
        <f t="shared" si="169"/>
        <v>0</v>
      </c>
      <c r="Q1138" s="15" t="str">
        <f t="shared" si="168"/>
        <v>Canceled</v>
      </c>
      <c r="R1138" s="18" t="s">
        <v>71</v>
      </c>
      <c r="S1138" s="23">
        <v>43572</v>
      </c>
      <c r="T1138" s="20">
        <f>IFERROR(VLOOKUP(S1138,'Date Converter'!$A$4:$C$368,3,0),"")</f>
        <v>43606</v>
      </c>
      <c r="U1138" s="21">
        <f t="shared" si="167"/>
        <v>43606</v>
      </c>
      <c r="V1138" s="12" t="s">
        <v>87</v>
      </c>
      <c r="W1138" s="18"/>
      <c r="X1138" s="18"/>
      <c r="Y1138" s="12" t="s">
        <v>59</v>
      </c>
      <c r="Z1138" s="206"/>
      <c r="AA1138" s="15">
        <v>0</v>
      </c>
      <c r="AB1138" s="206"/>
      <c r="AC1138" s="12"/>
      <c r="AD1138" s="206"/>
      <c r="AE1138" s="12"/>
      <c r="AF1138" s="245"/>
      <c r="AG1138" s="12"/>
      <c r="AH1138" s="15">
        <f t="shared" si="164"/>
        <v>0</v>
      </c>
      <c r="AI1138" s="22">
        <f t="shared" si="165"/>
        <v>0</v>
      </c>
      <c r="AJ1138" s="22">
        <f t="shared" si="166"/>
        <v>0</v>
      </c>
    </row>
    <row r="1139" spans="1:36" s="165" customFormat="1" hidden="1">
      <c r="A1139" s="165" t="s">
        <v>296</v>
      </c>
      <c r="B1139" s="13">
        <v>43532</v>
      </c>
      <c r="C1139" s="13" t="s">
        <v>23</v>
      </c>
      <c r="D1139" s="165" t="s">
        <v>83</v>
      </c>
      <c r="E1139" s="119" t="s">
        <v>84</v>
      </c>
      <c r="F1139" s="165" t="str">
        <f t="shared" si="162"/>
        <v>YELL_14.16_300_NL2018</v>
      </c>
      <c r="G1139" s="13" t="s">
        <v>89</v>
      </c>
      <c r="H1139" s="12"/>
      <c r="I1139" s="12" t="s">
        <v>47</v>
      </c>
      <c r="J1139" s="14">
        <v>300</v>
      </c>
      <c r="K1139" s="15" t="s">
        <v>28</v>
      </c>
      <c r="L1139" s="15"/>
      <c r="M1139" s="16">
        <f t="shared" si="163"/>
        <v>0</v>
      </c>
      <c r="N1139" s="15">
        <f>2100-2100</f>
        <v>0</v>
      </c>
      <c r="O1139" s="15">
        <v>3900</v>
      </c>
      <c r="P1139" s="15">
        <f t="shared" si="169"/>
        <v>0</v>
      </c>
      <c r="Q1139" s="15" t="str">
        <f t="shared" si="168"/>
        <v>Canceled</v>
      </c>
      <c r="R1139" s="18" t="s">
        <v>71</v>
      </c>
      <c r="S1139" s="23">
        <v>43572</v>
      </c>
      <c r="T1139" s="20">
        <f>IFERROR(VLOOKUP(S1139,'Date Converter'!$A$4:$C$368,3,0),"")</f>
        <v>43606</v>
      </c>
      <c r="U1139" s="21">
        <f t="shared" si="167"/>
        <v>43606</v>
      </c>
      <c r="V1139" s="12" t="s">
        <v>88</v>
      </c>
      <c r="W1139" s="18"/>
      <c r="X1139" s="18"/>
      <c r="Y1139" s="12" t="s">
        <v>59</v>
      </c>
      <c r="Z1139" s="206"/>
      <c r="AA1139" s="15">
        <v>0</v>
      </c>
      <c r="AB1139" s="206"/>
      <c r="AC1139" s="12"/>
      <c r="AD1139" s="206"/>
      <c r="AE1139" s="12"/>
      <c r="AF1139" s="245"/>
      <c r="AG1139" s="12"/>
      <c r="AH1139" s="15">
        <f t="shared" si="164"/>
        <v>0</v>
      </c>
      <c r="AI1139" s="22">
        <f t="shared" si="165"/>
        <v>0</v>
      </c>
      <c r="AJ1139" s="22">
        <f t="shared" si="166"/>
        <v>0</v>
      </c>
    </row>
    <row r="1140" spans="1:36" s="165" customFormat="1" hidden="1">
      <c r="A1140" s="165" t="s">
        <v>296</v>
      </c>
      <c r="B1140" s="13">
        <v>43532</v>
      </c>
      <c r="C1140" s="13" t="s">
        <v>23</v>
      </c>
      <c r="D1140" s="165" t="s">
        <v>83</v>
      </c>
      <c r="E1140" s="119" t="s">
        <v>84</v>
      </c>
      <c r="F1140" s="165" t="str">
        <f t="shared" si="162"/>
        <v>PROF_14.16_300_NL2018</v>
      </c>
      <c r="G1140" s="165" t="s">
        <v>56</v>
      </c>
      <c r="H1140" s="12"/>
      <c r="I1140" s="12" t="s">
        <v>47</v>
      </c>
      <c r="J1140" s="14">
        <v>300</v>
      </c>
      <c r="K1140" s="15" t="s">
        <v>28</v>
      </c>
      <c r="L1140" s="15"/>
      <c r="M1140" s="16">
        <f t="shared" si="163"/>
        <v>0</v>
      </c>
      <c r="N1140" s="15">
        <f>4200-4200</f>
        <v>0</v>
      </c>
      <c r="O1140" s="15">
        <v>5000</v>
      </c>
      <c r="P1140" s="15">
        <f t="shared" si="169"/>
        <v>0</v>
      </c>
      <c r="Q1140" s="15" t="str">
        <f t="shared" si="168"/>
        <v>Canceled</v>
      </c>
      <c r="R1140" s="18" t="s">
        <v>71</v>
      </c>
      <c r="S1140" s="23">
        <v>43539</v>
      </c>
      <c r="T1140" s="20">
        <f>IFERROR(VLOOKUP(S1140,'Date Converter'!$A$4:$C$368,3,0),"")</f>
        <v>43574</v>
      </c>
      <c r="U1140" s="21">
        <f t="shared" si="167"/>
        <v>43574</v>
      </c>
      <c r="V1140" s="12" t="s">
        <v>57</v>
      </c>
      <c r="W1140" s="18" t="s">
        <v>58</v>
      </c>
      <c r="X1140" s="18">
        <v>43569</v>
      </c>
      <c r="Y1140" s="12" t="s">
        <v>59</v>
      </c>
      <c r="Z1140" s="206"/>
      <c r="AA1140" s="15">
        <v>0</v>
      </c>
      <c r="AB1140" s="206"/>
      <c r="AC1140" s="12"/>
      <c r="AD1140" s="206"/>
      <c r="AE1140" s="12"/>
      <c r="AF1140" s="245"/>
      <c r="AG1140" s="12"/>
      <c r="AH1140" s="15">
        <f t="shared" si="164"/>
        <v>0</v>
      </c>
      <c r="AI1140" s="22">
        <f t="shared" si="165"/>
        <v>0</v>
      </c>
      <c r="AJ1140" s="22">
        <f t="shared" si="166"/>
        <v>0</v>
      </c>
    </row>
    <row r="1141" spans="1:36" s="165" customFormat="1" hidden="1">
      <c r="A1141" s="165" t="s">
        <v>296</v>
      </c>
      <c r="B1141" s="13">
        <v>43532</v>
      </c>
      <c r="C1141" s="13" t="s">
        <v>23</v>
      </c>
      <c r="D1141" s="165" t="s">
        <v>83</v>
      </c>
      <c r="E1141" s="119" t="s">
        <v>84</v>
      </c>
      <c r="F1141" s="165" t="str">
        <f t="shared" ref="F1141:F1205" si="170">SUBSTITUTE(LEFT(G1141,4)&amp;"_"&amp;H1141&amp;"_"&amp;I1141&amp;"_"&amp;J1141&amp;"_"&amp;K1141,"__","_")</f>
        <v>PROF_14.16_275_NL2018</v>
      </c>
      <c r="G1141" s="165" t="s">
        <v>56</v>
      </c>
      <c r="H1141" s="12"/>
      <c r="I1141" s="12" t="s">
        <v>47</v>
      </c>
      <c r="J1141" s="14">
        <v>275</v>
      </c>
      <c r="K1141" s="15" t="s">
        <v>28</v>
      </c>
      <c r="L1141" s="15"/>
      <c r="M1141" s="16">
        <f t="shared" ref="M1141:M1205" si="171">+N1141/J1141</f>
        <v>0</v>
      </c>
      <c r="N1141" s="15">
        <f>4125-4125</f>
        <v>0</v>
      </c>
      <c r="O1141" s="15">
        <v>5000</v>
      </c>
      <c r="P1141" s="15">
        <f t="shared" si="169"/>
        <v>0</v>
      </c>
      <c r="Q1141" s="15" t="str">
        <f t="shared" si="168"/>
        <v>Canceled</v>
      </c>
      <c r="R1141" s="18" t="s">
        <v>71</v>
      </c>
      <c r="S1141" s="23">
        <v>43572</v>
      </c>
      <c r="T1141" s="20">
        <f>IFERROR(VLOOKUP(S1141,'Date Converter'!$A$4:$C$368,3,0),"")</f>
        <v>43606</v>
      </c>
      <c r="U1141" s="21">
        <f t="shared" si="167"/>
        <v>43606</v>
      </c>
      <c r="V1141" s="12" t="s">
        <v>36</v>
      </c>
      <c r="W1141" s="18"/>
      <c r="X1141" s="18"/>
      <c r="Y1141" s="12" t="s">
        <v>59</v>
      </c>
      <c r="Z1141" s="206"/>
      <c r="AA1141" s="15">
        <v>0</v>
      </c>
      <c r="AB1141" s="206"/>
      <c r="AC1141" s="12"/>
      <c r="AD1141" s="206"/>
      <c r="AE1141" s="12"/>
      <c r="AF1141" s="245"/>
      <c r="AG1141" s="12"/>
      <c r="AH1141" s="15">
        <f t="shared" ref="AH1141:AH1205" si="172">+AA1141+AC1141+AE1141+AG1141</f>
        <v>0</v>
      </c>
      <c r="AI1141" s="22">
        <f t="shared" ref="AI1141:AI1205" si="173">+N1141-AH1141</f>
        <v>0</v>
      </c>
      <c r="AJ1141" s="22">
        <f t="shared" ref="AJ1141:AJ1205" si="174">+AI1141*O1141</f>
        <v>0</v>
      </c>
    </row>
    <row r="1142" spans="1:36" s="165" customFormat="1" hidden="1">
      <c r="A1142" s="165" t="s">
        <v>296</v>
      </c>
      <c r="B1142" s="13">
        <v>43532</v>
      </c>
      <c r="C1142" s="13" t="s">
        <v>23</v>
      </c>
      <c r="D1142" s="165" t="s">
        <v>83</v>
      </c>
      <c r="E1142" s="119" t="s">
        <v>84</v>
      </c>
      <c r="F1142" s="165" t="str">
        <f t="shared" si="170"/>
        <v>PROF_14.16_300_NL2018</v>
      </c>
      <c r="G1142" s="165" t="s">
        <v>56</v>
      </c>
      <c r="H1142" s="12"/>
      <c r="I1142" s="12" t="s">
        <v>47</v>
      </c>
      <c r="J1142" s="14">
        <v>300</v>
      </c>
      <c r="K1142" s="15" t="s">
        <v>28</v>
      </c>
      <c r="L1142" s="15"/>
      <c r="M1142" s="16">
        <f t="shared" si="171"/>
        <v>0</v>
      </c>
      <c r="N1142" s="15">
        <f>2100-2100</f>
        <v>0</v>
      </c>
      <c r="O1142" s="15">
        <v>5100</v>
      </c>
      <c r="P1142" s="15">
        <f t="shared" si="169"/>
        <v>0</v>
      </c>
      <c r="Q1142" s="15" t="str">
        <f t="shared" si="168"/>
        <v>Canceled</v>
      </c>
      <c r="R1142" s="18" t="s">
        <v>71</v>
      </c>
      <c r="S1142" s="23">
        <v>43572</v>
      </c>
      <c r="T1142" s="20">
        <f>IFERROR(VLOOKUP(S1142,'Date Converter'!$A$4:$C$368,3,0),"")</f>
        <v>43606</v>
      </c>
      <c r="U1142" s="21">
        <f t="shared" si="167"/>
        <v>43606</v>
      </c>
      <c r="V1142" s="12" t="s">
        <v>87</v>
      </c>
      <c r="W1142" s="18"/>
      <c r="X1142" s="18"/>
      <c r="Y1142" s="12" t="s">
        <v>59</v>
      </c>
      <c r="Z1142" s="206"/>
      <c r="AA1142" s="15">
        <v>0</v>
      </c>
      <c r="AB1142" s="206"/>
      <c r="AC1142" s="12"/>
      <c r="AD1142" s="206"/>
      <c r="AE1142" s="12"/>
      <c r="AF1142" s="245"/>
      <c r="AG1142" s="12"/>
      <c r="AH1142" s="15">
        <f t="shared" si="172"/>
        <v>0</v>
      </c>
      <c r="AI1142" s="22">
        <f t="shared" si="173"/>
        <v>0</v>
      </c>
      <c r="AJ1142" s="22">
        <f t="shared" si="174"/>
        <v>0</v>
      </c>
    </row>
    <row r="1143" spans="1:36" s="165" customFormat="1" hidden="1">
      <c r="A1143" s="165" t="s">
        <v>296</v>
      </c>
      <c r="B1143" s="13">
        <v>43532</v>
      </c>
      <c r="C1143" s="13" t="s">
        <v>23</v>
      </c>
      <c r="D1143" s="165" t="s">
        <v>83</v>
      </c>
      <c r="E1143" s="119" t="s">
        <v>84</v>
      </c>
      <c r="F1143" s="165" t="str">
        <f t="shared" si="170"/>
        <v>PROF_14.16_300_NL2018</v>
      </c>
      <c r="G1143" s="165" t="s">
        <v>56</v>
      </c>
      <c r="H1143" s="12"/>
      <c r="I1143" s="12" t="s">
        <v>47</v>
      </c>
      <c r="J1143" s="14">
        <v>300</v>
      </c>
      <c r="K1143" s="15" t="s">
        <v>28</v>
      </c>
      <c r="L1143" s="15"/>
      <c r="M1143" s="16">
        <f t="shared" si="171"/>
        <v>0</v>
      </c>
      <c r="N1143" s="15">
        <f>2100-2100</f>
        <v>0</v>
      </c>
      <c r="O1143" s="15">
        <v>5100</v>
      </c>
      <c r="P1143" s="15">
        <f t="shared" si="169"/>
        <v>0</v>
      </c>
      <c r="Q1143" s="15" t="str">
        <f t="shared" si="168"/>
        <v>Canceled</v>
      </c>
      <c r="R1143" s="18" t="s">
        <v>71</v>
      </c>
      <c r="S1143" s="23">
        <v>43572</v>
      </c>
      <c r="T1143" s="20">
        <f>IFERROR(VLOOKUP(S1143,'Date Converter'!$A$4:$C$368,3,0),"")</f>
        <v>43606</v>
      </c>
      <c r="U1143" s="21">
        <f t="shared" si="167"/>
        <v>43606</v>
      </c>
      <c r="V1143" s="12" t="s">
        <v>88</v>
      </c>
      <c r="W1143" s="18"/>
      <c r="X1143" s="18"/>
      <c r="Y1143" s="12" t="s">
        <v>59</v>
      </c>
      <c r="Z1143" s="206"/>
      <c r="AA1143" s="15">
        <v>0</v>
      </c>
      <c r="AB1143" s="206"/>
      <c r="AC1143" s="12"/>
      <c r="AD1143" s="206"/>
      <c r="AE1143" s="12"/>
      <c r="AF1143" s="245"/>
      <c r="AG1143" s="12"/>
      <c r="AH1143" s="15">
        <f t="shared" si="172"/>
        <v>0</v>
      </c>
      <c r="AI1143" s="22">
        <f t="shared" si="173"/>
        <v>0</v>
      </c>
      <c r="AJ1143" s="22">
        <f t="shared" si="174"/>
        <v>0</v>
      </c>
    </row>
    <row r="1144" spans="1:36" s="165" customFormat="1" hidden="1">
      <c r="A1144" s="165" t="s">
        <v>296</v>
      </c>
      <c r="B1144" s="13">
        <v>43532</v>
      </c>
      <c r="C1144" s="13" t="s">
        <v>23</v>
      </c>
      <c r="D1144" s="165" t="s">
        <v>83</v>
      </c>
      <c r="E1144" s="119" t="s">
        <v>84</v>
      </c>
      <c r="F1144" s="165" t="str">
        <f t="shared" si="170"/>
        <v>ARVA_16.18_200_NL2018</v>
      </c>
      <c r="G1144" s="165" t="s">
        <v>85</v>
      </c>
      <c r="H1144" s="12"/>
      <c r="I1144" s="12" t="s">
        <v>35</v>
      </c>
      <c r="J1144" s="14">
        <v>200</v>
      </c>
      <c r="K1144" s="15" t="s">
        <v>28</v>
      </c>
      <c r="L1144" s="15"/>
      <c r="M1144" s="16">
        <f t="shared" si="171"/>
        <v>0</v>
      </c>
      <c r="N1144" s="15">
        <f>5000-5000</f>
        <v>0</v>
      </c>
      <c r="O1144" s="15">
        <v>5500</v>
      </c>
      <c r="P1144" s="15">
        <f t="shared" si="169"/>
        <v>0</v>
      </c>
      <c r="Q1144" s="15" t="str">
        <f t="shared" si="168"/>
        <v>Canceled</v>
      </c>
      <c r="R1144" s="18" t="s">
        <v>71</v>
      </c>
      <c r="S1144" s="23">
        <v>43539</v>
      </c>
      <c r="T1144" s="20">
        <f>IFERROR(VLOOKUP(S1144,'Date Converter'!$A$4:$C$368,3,0),"")</f>
        <v>43574</v>
      </c>
      <c r="U1144" s="21">
        <f t="shared" si="167"/>
        <v>43574</v>
      </c>
      <c r="V1144" s="12" t="s">
        <v>57</v>
      </c>
      <c r="W1144" s="18" t="s">
        <v>86</v>
      </c>
      <c r="X1144" s="18">
        <v>43569</v>
      </c>
      <c r="Y1144" s="12" t="s">
        <v>59</v>
      </c>
      <c r="Z1144" s="206"/>
      <c r="AA1144" s="15">
        <v>0</v>
      </c>
      <c r="AB1144" s="206"/>
      <c r="AC1144" s="12"/>
      <c r="AD1144" s="206"/>
      <c r="AE1144" s="12"/>
      <c r="AF1144" s="245"/>
      <c r="AG1144" s="12"/>
      <c r="AH1144" s="15">
        <f t="shared" si="172"/>
        <v>0</v>
      </c>
      <c r="AI1144" s="22">
        <f t="shared" si="173"/>
        <v>0</v>
      </c>
      <c r="AJ1144" s="22">
        <f t="shared" si="174"/>
        <v>0</v>
      </c>
    </row>
    <row r="1145" spans="1:36" s="165" customFormat="1" hidden="1">
      <c r="A1145" s="165" t="s">
        <v>296</v>
      </c>
      <c r="B1145" s="13">
        <v>43532</v>
      </c>
      <c r="C1145" s="13" t="s">
        <v>23</v>
      </c>
      <c r="D1145" s="165" t="s">
        <v>83</v>
      </c>
      <c r="E1145" s="119" t="s">
        <v>84</v>
      </c>
      <c r="F1145" s="165" t="str">
        <f t="shared" si="170"/>
        <v>ARVA_16.18_200_NL2018</v>
      </c>
      <c r="G1145" s="165" t="s">
        <v>85</v>
      </c>
      <c r="H1145" s="12"/>
      <c r="I1145" s="12" t="s">
        <v>35</v>
      </c>
      <c r="J1145" s="14">
        <v>200</v>
      </c>
      <c r="K1145" s="15" t="s">
        <v>28</v>
      </c>
      <c r="L1145" s="15"/>
      <c r="M1145" s="16">
        <f t="shared" si="171"/>
        <v>0</v>
      </c>
      <c r="N1145" s="15">
        <f>4000-4000</f>
        <v>0</v>
      </c>
      <c r="O1145" s="15">
        <v>5500</v>
      </c>
      <c r="P1145" s="15">
        <f t="shared" si="169"/>
        <v>0</v>
      </c>
      <c r="Q1145" s="15" t="str">
        <f t="shared" si="168"/>
        <v>Canceled</v>
      </c>
      <c r="R1145" s="18" t="s">
        <v>71</v>
      </c>
      <c r="S1145" s="23">
        <v>43572</v>
      </c>
      <c r="T1145" s="20">
        <f>IFERROR(VLOOKUP(S1145,'Date Converter'!$A$4:$C$368,3,0),"")</f>
        <v>43606</v>
      </c>
      <c r="U1145" s="21">
        <f t="shared" si="167"/>
        <v>43606</v>
      </c>
      <c r="V1145" s="12" t="s">
        <v>36</v>
      </c>
      <c r="W1145" s="18"/>
      <c r="X1145" s="18"/>
      <c r="Y1145" s="12" t="s">
        <v>59</v>
      </c>
      <c r="Z1145" s="206"/>
      <c r="AA1145" s="15">
        <v>0</v>
      </c>
      <c r="AB1145" s="206"/>
      <c r="AC1145" s="12"/>
      <c r="AD1145" s="206"/>
      <c r="AE1145" s="12"/>
      <c r="AF1145" s="245"/>
      <c r="AG1145" s="12"/>
      <c r="AH1145" s="15">
        <f t="shared" si="172"/>
        <v>0</v>
      </c>
      <c r="AI1145" s="22">
        <f t="shared" si="173"/>
        <v>0</v>
      </c>
      <c r="AJ1145" s="22">
        <f t="shared" si="174"/>
        <v>0</v>
      </c>
    </row>
    <row r="1146" spans="1:36" s="165" customFormat="1" hidden="1">
      <c r="A1146" s="165" t="s">
        <v>296</v>
      </c>
      <c r="B1146" s="13">
        <v>43532</v>
      </c>
      <c r="C1146" s="13" t="s">
        <v>23</v>
      </c>
      <c r="D1146" s="165" t="s">
        <v>83</v>
      </c>
      <c r="E1146" s="119" t="s">
        <v>84</v>
      </c>
      <c r="F1146" s="165" t="str">
        <f t="shared" si="170"/>
        <v>ARVA_16.18_200_NL2018</v>
      </c>
      <c r="G1146" s="165" t="s">
        <v>85</v>
      </c>
      <c r="H1146" s="12"/>
      <c r="I1146" s="12" t="s">
        <v>35</v>
      </c>
      <c r="J1146" s="14">
        <v>200</v>
      </c>
      <c r="K1146" s="15" t="s">
        <v>28</v>
      </c>
      <c r="L1146" s="15"/>
      <c r="M1146" s="16">
        <f t="shared" si="171"/>
        <v>0</v>
      </c>
      <c r="N1146" s="15">
        <f>3000-3000</f>
        <v>0</v>
      </c>
      <c r="O1146" s="15">
        <v>5500</v>
      </c>
      <c r="P1146" s="15">
        <f t="shared" si="169"/>
        <v>0</v>
      </c>
      <c r="Q1146" s="15" t="str">
        <f t="shared" si="168"/>
        <v>Canceled</v>
      </c>
      <c r="R1146" s="18" t="s">
        <v>71</v>
      </c>
      <c r="S1146" s="23">
        <v>43572</v>
      </c>
      <c r="T1146" s="20">
        <f>IFERROR(VLOOKUP(S1146,'Date Converter'!$A$4:$C$368,3,0),"")</f>
        <v>43606</v>
      </c>
      <c r="U1146" s="21">
        <f t="shared" ref="U1146:U1210" si="175">+T1146</f>
        <v>43606</v>
      </c>
      <c r="V1146" s="12" t="s">
        <v>87</v>
      </c>
      <c r="W1146" s="18"/>
      <c r="X1146" s="18"/>
      <c r="Y1146" s="12" t="s">
        <v>59</v>
      </c>
      <c r="Z1146" s="206"/>
      <c r="AA1146" s="15">
        <v>0</v>
      </c>
      <c r="AB1146" s="206"/>
      <c r="AC1146" s="12"/>
      <c r="AD1146" s="206"/>
      <c r="AE1146" s="12"/>
      <c r="AF1146" s="245"/>
      <c r="AG1146" s="12"/>
      <c r="AH1146" s="15">
        <f t="shared" si="172"/>
        <v>0</v>
      </c>
      <c r="AI1146" s="22">
        <f t="shared" si="173"/>
        <v>0</v>
      </c>
      <c r="AJ1146" s="22">
        <f t="shared" si="174"/>
        <v>0</v>
      </c>
    </row>
    <row r="1147" spans="1:36" s="165" customFormat="1" hidden="1">
      <c r="A1147" s="165" t="s">
        <v>296</v>
      </c>
      <c r="B1147" s="13">
        <v>43532</v>
      </c>
      <c r="C1147" s="13" t="s">
        <v>23</v>
      </c>
      <c r="D1147" s="165" t="s">
        <v>83</v>
      </c>
      <c r="E1147" s="119" t="s">
        <v>84</v>
      </c>
      <c r="F1147" s="165" t="str">
        <f t="shared" si="170"/>
        <v>ARVA_16.18_200_NL2018</v>
      </c>
      <c r="G1147" s="165" t="s">
        <v>85</v>
      </c>
      <c r="H1147" s="12"/>
      <c r="I1147" s="12" t="s">
        <v>35</v>
      </c>
      <c r="J1147" s="14">
        <v>200</v>
      </c>
      <c r="K1147" s="15" t="s">
        <v>28</v>
      </c>
      <c r="L1147" s="15"/>
      <c r="M1147" s="16">
        <f t="shared" si="171"/>
        <v>0</v>
      </c>
      <c r="N1147" s="15">
        <f>2000-2000</f>
        <v>0</v>
      </c>
      <c r="O1147" s="15">
        <v>5500</v>
      </c>
      <c r="P1147" s="15">
        <f t="shared" si="169"/>
        <v>0</v>
      </c>
      <c r="Q1147" s="15" t="str">
        <f t="shared" si="168"/>
        <v>Canceled</v>
      </c>
      <c r="R1147" s="18" t="s">
        <v>71</v>
      </c>
      <c r="S1147" s="23">
        <v>43572</v>
      </c>
      <c r="T1147" s="20">
        <f>IFERROR(VLOOKUP(S1147,'Date Converter'!$A$4:$C$368,3,0),"")</f>
        <v>43606</v>
      </c>
      <c r="U1147" s="21">
        <f t="shared" si="175"/>
        <v>43606</v>
      </c>
      <c r="V1147" s="12" t="s">
        <v>443</v>
      </c>
      <c r="W1147" s="18"/>
      <c r="X1147" s="18"/>
      <c r="Y1147" s="12" t="s">
        <v>59</v>
      </c>
      <c r="Z1147" s="206"/>
      <c r="AA1147" s="15">
        <v>0</v>
      </c>
      <c r="AB1147" s="206"/>
      <c r="AC1147" s="12"/>
      <c r="AD1147" s="206"/>
      <c r="AE1147" s="12"/>
      <c r="AF1147" s="245"/>
      <c r="AG1147" s="12"/>
      <c r="AH1147" s="15">
        <f t="shared" si="172"/>
        <v>0</v>
      </c>
      <c r="AI1147" s="22">
        <f t="shared" si="173"/>
        <v>0</v>
      </c>
      <c r="AJ1147" s="22">
        <f t="shared" si="174"/>
        <v>0</v>
      </c>
    </row>
    <row r="1148" spans="1:36" s="165" customFormat="1" hidden="1">
      <c r="A1148" s="165" t="s">
        <v>329</v>
      </c>
      <c r="B1148" s="13">
        <v>43517</v>
      </c>
      <c r="C1148" s="13" t="s">
        <v>23</v>
      </c>
      <c r="D1148" s="165" t="s">
        <v>214</v>
      </c>
      <c r="E1148" s="165" t="s">
        <v>215</v>
      </c>
      <c r="F1148" s="165" t="str">
        <f t="shared" si="170"/>
        <v>PAVI_12.14_400_NL2018</v>
      </c>
      <c r="G1148" s="165" t="s">
        <v>138</v>
      </c>
      <c r="H1148" s="12"/>
      <c r="I1148" s="12" t="s">
        <v>113</v>
      </c>
      <c r="J1148" s="14">
        <v>400</v>
      </c>
      <c r="K1148" s="15" t="s">
        <v>28</v>
      </c>
      <c r="L1148" s="15"/>
      <c r="M1148" s="16">
        <f t="shared" si="171"/>
        <v>13</v>
      </c>
      <c r="N1148" s="15">
        <v>5200</v>
      </c>
      <c r="O1148" s="15">
        <v>2800</v>
      </c>
      <c r="P1148" s="15">
        <f t="shared" si="169"/>
        <v>14560000</v>
      </c>
      <c r="Q1148" s="15" t="str">
        <f t="shared" si="168"/>
        <v>Done</v>
      </c>
      <c r="R1148" s="18" t="s">
        <v>44</v>
      </c>
      <c r="S1148" s="23">
        <v>43480</v>
      </c>
      <c r="T1148" s="20">
        <f>IFERROR(VLOOKUP(S1148,'Date Converter'!$A$4:$C$368,3,0),"")</f>
        <v>43515</v>
      </c>
      <c r="U1148" s="21">
        <f t="shared" si="175"/>
        <v>43515</v>
      </c>
      <c r="V1148" s="20" t="s">
        <v>45</v>
      </c>
      <c r="W1148" s="18"/>
      <c r="X1148" s="18"/>
      <c r="Y1148" s="15" t="s">
        <v>59</v>
      </c>
      <c r="Z1148" s="206">
        <v>43536</v>
      </c>
      <c r="AA1148" s="15">
        <v>5200</v>
      </c>
      <c r="AB1148" s="206"/>
      <c r="AC1148" s="15"/>
      <c r="AD1148" s="206"/>
      <c r="AE1148" s="15"/>
      <c r="AF1148" s="244"/>
      <c r="AG1148" s="15"/>
      <c r="AH1148" s="15">
        <f t="shared" si="172"/>
        <v>5200</v>
      </c>
      <c r="AI1148" s="22">
        <f t="shared" si="173"/>
        <v>0</v>
      </c>
      <c r="AJ1148" s="22">
        <f t="shared" si="174"/>
        <v>0</v>
      </c>
    </row>
    <row r="1149" spans="1:36" s="165" customFormat="1" hidden="1">
      <c r="A1149" s="165" t="s">
        <v>329</v>
      </c>
      <c r="B1149" s="13">
        <v>43517</v>
      </c>
      <c r="C1149" s="13" t="s">
        <v>23</v>
      </c>
      <c r="D1149" s="165" t="s">
        <v>214</v>
      </c>
      <c r="E1149" s="165" t="s">
        <v>215</v>
      </c>
      <c r="F1149" s="165" t="str">
        <f t="shared" si="170"/>
        <v>NELL_12.14_400_NL2018</v>
      </c>
      <c r="G1149" s="165" t="s">
        <v>131</v>
      </c>
      <c r="H1149" s="12"/>
      <c r="I1149" s="12" t="s">
        <v>113</v>
      </c>
      <c r="J1149" s="14">
        <v>400</v>
      </c>
      <c r="K1149" s="15" t="s">
        <v>28</v>
      </c>
      <c r="L1149" s="15"/>
      <c r="M1149" s="16">
        <f t="shared" si="171"/>
        <v>13</v>
      </c>
      <c r="N1149" s="15">
        <v>5200</v>
      </c>
      <c r="O1149" s="15">
        <v>3000</v>
      </c>
      <c r="P1149" s="15">
        <f t="shared" si="169"/>
        <v>15600000</v>
      </c>
      <c r="Q1149" s="15" t="str">
        <f t="shared" si="168"/>
        <v>Done</v>
      </c>
      <c r="R1149" s="18" t="s">
        <v>44</v>
      </c>
      <c r="S1149" s="23">
        <v>43480</v>
      </c>
      <c r="T1149" s="20">
        <f>IFERROR(VLOOKUP(S1149,'Date Converter'!$A$4:$C$368,3,0),"")</f>
        <v>43515</v>
      </c>
      <c r="U1149" s="21">
        <f t="shared" si="175"/>
        <v>43515</v>
      </c>
      <c r="V1149" s="20" t="s">
        <v>45</v>
      </c>
      <c r="W1149" s="18"/>
      <c r="X1149" s="18"/>
      <c r="Y1149" s="15" t="s">
        <v>59</v>
      </c>
      <c r="Z1149" s="206">
        <v>43536</v>
      </c>
      <c r="AA1149" s="15">
        <v>5200</v>
      </c>
      <c r="AB1149" s="206"/>
      <c r="AC1149" s="15"/>
      <c r="AD1149" s="206"/>
      <c r="AE1149" s="15"/>
      <c r="AF1149" s="244"/>
      <c r="AG1149" s="15"/>
      <c r="AH1149" s="15">
        <f t="shared" si="172"/>
        <v>5200</v>
      </c>
      <c r="AI1149" s="22">
        <f t="shared" si="173"/>
        <v>0</v>
      </c>
      <c r="AJ1149" s="22">
        <f t="shared" si="174"/>
        <v>0</v>
      </c>
    </row>
    <row r="1150" spans="1:36" s="165" customFormat="1" hidden="1">
      <c r="A1150" s="165" t="s">
        <v>1588</v>
      </c>
      <c r="B1150" s="13">
        <v>43604</v>
      </c>
      <c r="C1150" s="13" t="s">
        <v>23</v>
      </c>
      <c r="D1150" s="165" t="s">
        <v>1590</v>
      </c>
      <c r="E1150" s="13" t="s">
        <v>1589</v>
      </c>
      <c r="F1150" s="165" t="str">
        <f t="shared" si="170"/>
        <v>YELL_14.16_300_NL2018</v>
      </c>
      <c r="G1150" s="165" t="s">
        <v>89</v>
      </c>
      <c r="H1150" s="12"/>
      <c r="I1150" s="12" t="s">
        <v>47</v>
      </c>
      <c r="J1150" s="31" t="s">
        <v>124</v>
      </c>
      <c r="K1150" s="15" t="s">
        <v>28</v>
      </c>
      <c r="L1150" s="15"/>
      <c r="M1150" s="16">
        <f t="shared" si="171"/>
        <v>0</v>
      </c>
      <c r="N1150" s="15">
        <f>6000-6000</f>
        <v>0</v>
      </c>
      <c r="O1150" s="15">
        <v>3900</v>
      </c>
      <c r="P1150" s="15">
        <f t="shared" si="169"/>
        <v>0</v>
      </c>
      <c r="Q1150" s="15" t="str">
        <f t="shared" si="168"/>
        <v>Canceled</v>
      </c>
      <c r="R1150" s="18" t="s">
        <v>71</v>
      </c>
      <c r="S1150" s="23">
        <v>43615</v>
      </c>
      <c r="T1150" s="20">
        <f>IFERROR(VLOOKUP(S1150,'Date Converter'!$A$4:$C$368,3,0),"")</f>
        <v>43648</v>
      </c>
      <c r="U1150" s="21">
        <f t="shared" si="175"/>
        <v>43648</v>
      </c>
      <c r="V1150" s="12"/>
      <c r="W1150" s="18"/>
      <c r="X1150" s="18"/>
      <c r="Y1150" s="12"/>
      <c r="Z1150" s="206"/>
      <c r="AA1150" s="15"/>
      <c r="AB1150" s="206"/>
      <c r="AC1150" s="12"/>
      <c r="AD1150" s="206"/>
      <c r="AE1150" s="12"/>
      <c r="AF1150" s="245"/>
      <c r="AG1150" s="12"/>
      <c r="AH1150" s="15">
        <f t="shared" si="172"/>
        <v>0</v>
      </c>
      <c r="AI1150" s="22">
        <f t="shared" si="173"/>
        <v>0</v>
      </c>
      <c r="AJ1150" s="22">
        <f t="shared" si="174"/>
        <v>0</v>
      </c>
    </row>
    <row r="1151" spans="1:36" s="165" customFormat="1" ht="15.75" hidden="1" customHeight="1">
      <c r="A1151" s="165" t="s">
        <v>1588</v>
      </c>
      <c r="B1151" s="13">
        <v>43604</v>
      </c>
      <c r="C1151" s="13" t="s">
        <v>23</v>
      </c>
      <c r="D1151" s="165" t="s">
        <v>1590</v>
      </c>
      <c r="E1151" s="13" t="s">
        <v>1589</v>
      </c>
      <c r="F1151" s="165" t="str">
        <f t="shared" si="170"/>
        <v>TEBA_14.16_300_NL2018</v>
      </c>
      <c r="G1151" s="165" t="s">
        <v>127</v>
      </c>
      <c r="H1151" s="12"/>
      <c r="I1151" s="12" t="s">
        <v>47</v>
      </c>
      <c r="J1151" s="31" t="s">
        <v>124</v>
      </c>
      <c r="K1151" s="15" t="s">
        <v>28</v>
      </c>
      <c r="L1151" s="15"/>
      <c r="M1151" s="16">
        <f t="shared" si="171"/>
        <v>0</v>
      </c>
      <c r="N1151" s="15">
        <f>3000-3000</f>
        <v>0</v>
      </c>
      <c r="O1151" s="15">
        <v>4300</v>
      </c>
      <c r="P1151" s="15">
        <f t="shared" si="169"/>
        <v>0</v>
      </c>
      <c r="Q1151" s="15" t="str">
        <f t="shared" si="168"/>
        <v>Canceled</v>
      </c>
      <c r="R1151" s="18" t="s">
        <v>71</v>
      </c>
      <c r="S1151" s="23">
        <v>43590</v>
      </c>
      <c r="T1151" s="20">
        <f>IFERROR(VLOOKUP(S1151,'Date Converter'!$A$4:$C$368,3,0),"")</f>
        <v>43623</v>
      </c>
      <c r="U1151" s="21">
        <f t="shared" si="175"/>
        <v>43623</v>
      </c>
      <c r="V1151" s="12"/>
      <c r="W1151" s="18"/>
      <c r="X1151" s="18"/>
      <c r="Y1151" s="12"/>
      <c r="Z1151" s="206"/>
      <c r="AA1151" s="15"/>
      <c r="AB1151" s="206"/>
      <c r="AC1151" s="12"/>
      <c r="AD1151" s="206"/>
      <c r="AE1151" s="12"/>
      <c r="AF1151" s="245"/>
      <c r="AG1151" s="12"/>
      <c r="AH1151" s="15">
        <f t="shared" si="172"/>
        <v>0</v>
      </c>
      <c r="AI1151" s="22">
        <f t="shared" si="173"/>
        <v>0</v>
      </c>
      <c r="AJ1151" s="22">
        <f t="shared" si="174"/>
        <v>0</v>
      </c>
    </row>
    <row r="1152" spans="1:36" s="165" customFormat="1" hidden="1">
      <c r="A1152" s="165" t="s">
        <v>1588</v>
      </c>
      <c r="B1152" s="13">
        <v>43621</v>
      </c>
      <c r="C1152" s="13" t="s">
        <v>23</v>
      </c>
      <c r="D1152" s="165" t="s">
        <v>1590</v>
      </c>
      <c r="E1152" s="13" t="s">
        <v>1589</v>
      </c>
      <c r="F1152" s="165" t="str">
        <f t="shared" si="170"/>
        <v>TEBA_14.16_300_NL2018</v>
      </c>
      <c r="G1152" s="13" t="s">
        <v>127</v>
      </c>
      <c r="H1152" s="12"/>
      <c r="I1152" s="12" t="s">
        <v>47</v>
      </c>
      <c r="J1152" s="31" t="s">
        <v>124</v>
      </c>
      <c r="K1152" s="15" t="s">
        <v>28</v>
      </c>
      <c r="L1152" s="15"/>
      <c r="M1152" s="16">
        <f t="shared" si="171"/>
        <v>0</v>
      </c>
      <c r="N1152" s="15">
        <f>3000-3000</f>
        <v>0</v>
      </c>
      <c r="O1152" s="15">
        <v>4300</v>
      </c>
      <c r="P1152" s="15">
        <f t="shared" si="169"/>
        <v>0</v>
      </c>
      <c r="Q1152" s="15" t="str">
        <f t="shared" si="168"/>
        <v>Canceled</v>
      </c>
      <c r="R1152" s="18" t="s">
        <v>71</v>
      </c>
      <c r="S1152" s="23">
        <v>43590</v>
      </c>
      <c r="T1152" s="20">
        <f>IFERROR(VLOOKUP(S1152,'Date Converter'!$A$4:$C$368,3,0),"")</f>
        <v>43623</v>
      </c>
      <c r="U1152" s="21">
        <f t="shared" si="175"/>
        <v>43623</v>
      </c>
      <c r="V1152" s="12"/>
      <c r="W1152" s="18"/>
      <c r="X1152" s="18"/>
      <c r="Y1152" s="12"/>
      <c r="Z1152" s="206"/>
      <c r="AA1152" s="15"/>
      <c r="AB1152" s="206"/>
      <c r="AC1152" s="12"/>
      <c r="AD1152" s="206"/>
      <c r="AE1152" s="12"/>
      <c r="AF1152" s="245"/>
      <c r="AG1152" s="12"/>
      <c r="AH1152" s="15">
        <f t="shared" si="172"/>
        <v>0</v>
      </c>
      <c r="AI1152" s="22">
        <f t="shared" si="173"/>
        <v>0</v>
      </c>
      <c r="AJ1152" s="22">
        <f t="shared" si="174"/>
        <v>0</v>
      </c>
    </row>
    <row r="1153" spans="1:36" s="165" customFormat="1" hidden="1">
      <c r="A1153" s="165" t="s">
        <v>1588</v>
      </c>
      <c r="B1153" s="13">
        <v>43630</v>
      </c>
      <c r="C1153" s="13" t="s">
        <v>23</v>
      </c>
      <c r="D1153" s="165" t="s">
        <v>1590</v>
      </c>
      <c r="E1153" s="13" t="s">
        <v>1589</v>
      </c>
      <c r="F1153" s="165" t="str">
        <f t="shared" si="170"/>
        <v>SERA_16.18_200_NL2018</v>
      </c>
      <c r="G1153" s="165" t="s">
        <v>227</v>
      </c>
      <c r="H1153" s="12"/>
      <c r="I1153" s="12" t="s">
        <v>35</v>
      </c>
      <c r="J1153" s="31" t="s">
        <v>121</v>
      </c>
      <c r="K1153" s="15" t="s">
        <v>28</v>
      </c>
      <c r="L1153" s="15"/>
      <c r="M1153" s="16">
        <f t="shared" si="171"/>
        <v>20</v>
      </c>
      <c r="N1153" s="15">
        <v>4000</v>
      </c>
      <c r="O1153" s="15">
        <v>5300</v>
      </c>
      <c r="P1153" s="15">
        <f t="shared" si="169"/>
        <v>21200000</v>
      </c>
      <c r="Q1153" s="15" t="str">
        <f t="shared" si="168"/>
        <v/>
      </c>
      <c r="R1153" s="18" t="s">
        <v>31</v>
      </c>
      <c r="S1153" s="23">
        <v>43631</v>
      </c>
      <c r="T1153" s="20">
        <f>IFERROR(VLOOKUP(S1153,'Date Converter'!$A$4:$C$368,3,0),"")</f>
        <v>43663</v>
      </c>
      <c r="U1153" s="21">
        <f t="shared" si="175"/>
        <v>43663</v>
      </c>
      <c r="V1153" s="12"/>
      <c r="W1153" s="18"/>
      <c r="X1153" s="18"/>
      <c r="Y1153" s="12"/>
      <c r="Z1153" s="206"/>
      <c r="AA1153" s="15"/>
      <c r="AB1153" s="206"/>
      <c r="AC1153" s="12"/>
      <c r="AD1153" s="206"/>
      <c r="AE1153" s="12"/>
      <c r="AF1153" s="245"/>
      <c r="AG1153" s="12"/>
      <c r="AH1153" s="15">
        <f t="shared" si="172"/>
        <v>0</v>
      </c>
      <c r="AI1153" s="22">
        <f t="shared" si="173"/>
        <v>4000</v>
      </c>
      <c r="AJ1153" s="22">
        <f t="shared" si="174"/>
        <v>21200000</v>
      </c>
    </row>
    <row r="1154" spans="1:36" s="165" customFormat="1" hidden="1">
      <c r="A1154" s="165" t="s">
        <v>1588</v>
      </c>
      <c r="B1154" s="13">
        <v>43630</v>
      </c>
      <c r="C1154" s="13" t="s">
        <v>23</v>
      </c>
      <c r="D1154" s="165" t="s">
        <v>1590</v>
      </c>
      <c r="E1154" s="13" t="s">
        <v>1589</v>
      </c>
      <c r="F1154" s="165" t="str">
        <f t="shared" si="170"/>
        <v>SERA_16.18_200_NL2018</v>
      </c>
      <c r="G1154" s="13" t="s">
        <v>227</v>
      </c>
      <c r="H1154" s="12"/>
      <c r="I1154" s="12" t="s">
        <v>35</v>
      </c>
      <c r="J1154" s="31" t="s">
        <v>121</v>
      </c>
      <c r="K1154" s="15" t="s">
        <v>28</v>
      </c>
      <c r="L1154" s="15"/>
      <c r="M1154" s="16">
        <f t="shared" si="171"/>
        <v>20</v>
      </c>
      <c r="N1154" s="15">
        <v>4000</v>
      </c>
      <c r="O1154" s="15">
        <v>5300</v>
      </c>
      <c r="P1154" s="15">
        <f t="shared" si="169"/>
        <v>21200000</v>
      </c>
      <c r="Q1154" s="15" t="str">
        <f t="shared" si="168"/>
        <v/>
      </c>
      <c r="R1154" s="18" t="s">
        <v>29</v>
      </c>
      <c r="S1154" s="23">
        <v>43641</v>
      </c>
      <c r="T1154" s="20">
        <f>IFERROR(VLOOKUP(S1154,'Date Converter'!$A$4:$C$368,3,0),"")</f>
        <v>43673</v>
      </c>
      <c r="U1154" s="21">
        <f t="shared" si="175"/>
        <v>43673</v>
      </c>
      <c r="V1154" s="12"/>
      <c r="W1154" s="18"/>
      <c r="X1154" s="18"/>
      <c r="Y1154" s="12"/>
      <c r="Z1154" s="206"/>
      <c r="AA1154" s="15"/>
      <c r="AB1154" s="206"/>
      <c r="AC1154" s="12"/>
      <c r="AD1154" s="206"/>
      <c r="AE1154" s="12"/>
      <c r="AF1154" s="245"/>
      <c r="AG1154" s="12"/>
      <c r="AH1154" s="15">
        <f t="shared" si="172"/>
        <v>0</v>
      </c>
      <c r="AI1154" s="22">
        <f t="shared" si="173"/>
        <v>4000</v>
      </c>
      <c r="AJ1154" s="22">
        <f t="shared" si="174"/>
        <v>21200000</v>
      </c>
    </row>
    <row r="1155" spans="1:36" s="165" customFormat="1" hidden="1">
      <c r="A1155" s="165" t="s">
        <v>1588</v>
      </c>
      <c r="B1155" s="13">
        <v>43610</v>
      </c>
      <c r="C1155" s="13" t="s">
        <v>23</v>
      </c>
      <c r="D1155" s="165" t="s">
        <v>1590</v>
      </c>
      <c r="E1155" s="13" t="s">
        <v>1589</v>
      </c>
      <c r="F1155" s="165" t="str">
        <f t="shared" si="170"/>
        <v>ROBI_16.18_200_NL2018</v>
      </c>
      <c r="G1155" s="13" t="s">
        <v>61</v>
      </c>
      <c r="H1155" s="12"/>
      <c r="I1155" s="12" t="s">
        <v>35</v>
      </c>
      <c r="J1155" s="31" t="s">
        <v>121</v>
      </c>
      <c r="K1155" s="15" t="s">
        <v>28</v>
      </c>
      <c r="L1155" s="15"/>
      <c r="M1155" s="16">
        <f t="shared" si="171"/>
        <v>25</v>
      </c>
      <c r="N1155" s="15">
        <v>5000</v>
      </c>
      <c r="O1155" s="15">
        <v>5800</v>
      </c>
      <c r="P1155" s="15">
        <f t="shared" ref="P1155:P1219" si="176">+O1155*N1155</f>
        <v>29000000</v>
      </c>
      <c r="Q1155" s="15" t="str">
        <f t="shared" ref="Q1155:Q1218" si="177">IF(AND(N1155=0,AI1155=0),"Canceled",IF(AND(N1155&gt;0,AI1155=0),"Done",""))</f>
        <v/>
      </c>
      <c r="R1155" s="18" t="s">
        <v>29</v>
      </c>
      <c r="S1155" s="23">
        <v>43671</v>
      </c>
      <c r="T1155" s="20">
        <f>IFERROR(VLOOKUP(S1155,'Date Converter'!$A$4:$C$368,3,0),"")</f>
        <v>43702</v>
      </c>
      <c r="U1155" s="21">
        <f t="shared" si="175"/>
        <v>43702</v>
      </c>
      <c r="V1155" s="12"/>
      <c r="W1155" s="18"/>
      <c r="X1155" s="18"/>
      <c r="Y1155" s="12"/>
      <c r="Z1155" s="206"/>
      <c r="AA1155" s="15"/>
      <c r="AB1155" s="206"/>
      <c r="AC1155" s="12"/>
      <c r="AD1155" s="206"/>
      <c r="AE1155" s="12"/>
      <c r="AF1155" s="245"/>
      <c r="AG1155" s="12"/>
      <c r="AH1155" s="15">
        <f t="shared" si="172"/>
        <v>0</v>
      </c>
      <c r="AI1155" s="22">
        <f t="shared" si="173"/>
        <v>5000</v>
      </c>
      <c r="AJ1155" s="22">
        <f t="shared" si="174"/>
        <v>29000000</v>
      </c>
    </row>
    <row r="1156" spans="1:36" s="165" customFormat="1" hidden="1">
      <c r="A1156" s="165" t="s">
        <v>1588</v>
      </c>
      <c r="B1156" s="13">
        <v>43604</v>
      </c>
      <c r="C1156" s="13" t="s">
        <v>23</v>
      </c>
      <c r="D1156" s="165" t="s">
        <v>1590</v>
      </c>
      <c r="E1156" s="13" t="s">
        <v>1589</v>
      </c>
      <c r="F1156" s="165" t="str">
        <f t="shared" si="170"/>
        <v>PROF_16.18_200_NL2018</v>
      </c>
      <c r="G1156" s="165" t="s">
        <v>56</v>
      </c>
      <c r="H1156" s="12"/>
      <c r="I1156" s="12" t="s">
        <v>35</v>
      </c>
      <c r="J1156" s="31" t="s">
        <v>121</v>
      </c>
      <c r="K1156" s="15" t="s">
        <v>28</v>
      </c>
      <c r="L1156" s="15"/>
      <c r="M1156" s="16">
        <f t="shared" si="171"/>
        <v>15</v>
      </c>
      <c r="N1156" s="15">
        <v>3000</v>
      </c>
      <c r="O1156" s="15">
        <v>7800</v>
      </c>
      <c r="P1156" s="15">
        <f t="shared" si="176"/>
        <v>23400000</v>
      </c>
      <c r="Q1156" s="15" t="str">
        <f t="shared" si="177"/>
        <v>Done</v>
      </c>
      <c r="R1156" s="18" t="s">
        <v>44</v>
      </c>
      <c r="S1156" s="23">
        <v>43572</v>
      </c>
      <c r="T1156" s="20">
        <f>IFERROR(VLOOKUP(S1156,'Date Converter'!$A$4:$C$368,3,0),"")</f>
        <v>43606</v>
      </c>
      <c r="U1156" s="21">
        <f t="shared" si="175"/>
        <v>43606</v>
      </c>
      <c r="V1156" s="12"/>
      <c r="W1156" s="18"/>
      <c r="X1156" s="18"/>
      <c r="Y1156" s="12"/>
      <c r="Z1156" s="206">
        <v>43629</v>
      </c>
      <c r="AA1156" s="15">
        <v>3000</v>
      </c>
      <c r="AB1156" s="206"/>
      <c r="AC1156" s="12"/>
      <c r="AD1156" s="206"/>
      <c r="AE1156" s="12"/>
      <c r="AF1156" s="245"/>
      <c r="AG1156" s="12"/>
      <c r="AH1156" s="15">
        <f t="shared" si="172"/>
        <v>3000</v>
      </c>
      <c r="AI1156" s="22">
        <f t="shared" si="173"/>
        <v>0</v>
      </c>
      <c r="AJ1156" s="22">
        <f t="shared" si="174"/>
        <v>0</v>
      </c>
    </row>
    <row r="1157" spans="1:36" s="165" customFormat="1" hidden="1">
      <c r="A1157" s="165" t="s">
        <v>1588</v>
      </c>
      <c r="B1157" s="13">
        <v>43604</v>
      </c>
      <c r="C1157" s="13" t="s">
        <v>23</v>
      </c>
      <c r="D1157" s="165" t="s">
        <v>1590</v>
      </c>
      <c r="E1157" s="13" t="s">
        <v>1589</v>
      </c>
      <c r="F1157" s="165" t="str">
        <f t="shared" si="170"/>
        <v>PROF_16.18_200_NL2018</v>
      </c>
      <c r="G1157" s="165" t="s">
        <v>56</v>
      </c>
      <c r="H1157" s="12"/>
      <c r="I1157" s="12" t="s">
        <v>35</v>
      </c>
      <c r="J1157" s="31" t="s">
        <v>121</v>
      </c>
      <c r="K1157" s="15" t="s">
        <v>28</v>
      </c>
      <c r="L1157" s="15"/>
      <c r="M1157" s="16">
        <f t="shared" si="171"/>
        <v>20</v>
      </c>
      <c r="N1157" s="15">
        <v>4000</v>
      </c>
      <c r="O1157" s="15">
        <v>7800</v>
      </c>
      <c r="P1157" s="15">
        <f t="shared" si="176"/>
        <v>31200000</v>
      </c>
      <c r="Q1157" s="15" t="str">
        <f t="shared" si="177"/>
        <v>Done</v>
      </c>
      <c r="R1157" s="18" t="s">
        <v>44</v>
      </c>
      <c r="S1157" s="23">
        <v>43572</v>
      </c>
      <c r="T1157" s="20">
        <f>IFERROR(VLOOKUP(S1157,'Date Converter'!$A$4:$C$368,3,0),"")</f>
        <v>43606</v>
      </c>
      <c r="U1157" s="21">
        <f t="shared" si="175"/>
        <v>43606</v>
      </c>
      <c r="V1157" s="12"/>
      <c r="W1157" s="18"/>
      <c r="X1157" s="18"/>
      <c r="Y1157" s="12"/>
      <c r="Z1157" s="206">
        <v>43629</v>
      </c>
      <c r="AA1157" s="15">
        <v>4000</v>
      </c>
      <c r="AB1157" s="206"/>
      <c r="AC1157" s="12"/>
      <c r="AD1157" s="206"/>
      <c r="AE1157" s="12"/>
      <c r="AF1157" s="245"/>
      <c r="AG1157" s="12"/>
      <c r="AH1157" s="15">
        <f t="shared" si="172"/>
        <v>4000</v>
      </c>
      <c r="AI1157" s="22">
        <f t="shared" si="173"/>
        <v>0</v>
      </c>
      <c r="AJ1157" s="22">
        <f t="shared" si="174"/>
        <v>0</v>
      </c>
    </row>
    <row r="1158" spans="1:36" s="165" customFormat="1" hidden="1">
      <c r="A1158" s="165" t="s">
        <v>1588</v>
      </c>
      <c r="B1158" s="13">
        <v>43604</v>
      </c>
      <c r="C1158" s="13" t="s">
        <v>23</v>
      </c>
      <c r="D1158" s="165" t="s">
        <v>1590</v>
      </c>
      <c r="E1158" s="13" t="s">
        <v>1589</v>
      </c>
      <c r="F1158" s="165" t="str">
        <f t="shared" si="170"/>
        <v>PROF_14.16_300_NL2018</v>
      </c>
      <c r="G1158" s="165" t="s">
        <v>56</v>
      </c>
      <c r="H1158" s="12"/>
      <c r="I1158" s="12" t="s">
        <v>47</v>
      </c>
      <c r="J1158" s="31" t="s">
        <v>124</v>
      </c>
      <c r="K1158" s="15" t="s">
        <v>28</v>
      </c>
      <c r="L1158" s="15"/>
      <c r="M1158" s="16">
        <f t="shared" si="171"/>
        <v>11</v>
      </c>
      <c r="N1158" s="15">
        <f>3000+300</f>
        <v>3300</v>
      </c>
      <c r="O1158" s="15">
        <v>5100</v>
      </c>
      <c r="P1158" s="15">
        <f t="shared" si="176"/>
        <v>16830000</v>
      </c>
      <c r="Q1158" s="15" t="str">
        <f t="shared" si="177"/>
        <v>Done</v>
      </c>
      <c r="R1158" s="18" t="s">
        <v>44</v>
      </c>
      <c r="S1158" s="23">
        <v>43590</v>
      </c>
      <c r="T1158" s="20">
        <f>IFERROR(VLOOKUP(S1158,'Date Converter'!$A$4:$C$368,3,0),"")</f>
        <v>43623</v>
      </c>
      <c r="U1158" s="21">
        <f t="shared" si="175"/>
        <v>43623</v>
      </c>
      <c r="V1158" s="12"/>
      <c r="W1158" s="18"/>
      <c r="X1158" s="18"/>
      <c r="Y1158" s="12"/>
      <c r="Z1158" s="206">
        <v>43629</v>
      </c>
      <c r="AA1158" s="15">
        <v>3300</v>
      </c>
      <c r="AB1158" s="206"/>
      <c r="AC1158" s="12"/>
      <c r="AD1158" s="206"/>
      <c r="AE1158" s="12"/>
      <c r="AF1158" s="245"/>
      <c r="AG1158" s="12"/>
      <c r="AH1158" s="15">
        <f t="shared" si="172"/>
        <v>3300</v>
      </c>
      <c r="AI1158" s="22">
        <f t="shared" si="173"/>
        <v>0</v>
      </c>
      <c r="AJ1158" s="22">
        <f t="shared" si="174"/>
        <v>0</v>
      </c>
    </row>
    <row r="1159" spans="1:36" s="165" customFormat="1" hidden="1">
      <c r="A1159" s="165" t="s">
        <v>1588</v>
      </c>
      <c r="B1159" s="13">
        <v>43630</v>
      </c>
      <c r="C1159" s="13" t="s">
        <v>23</v>
      </c>
      <c r="D1159" s="165" t="s">
        <v>1590</v>
      </c>
      <c r="E1159" s="13" t="s">
        <v>1589</v>
      </c>
      <c r="F1159" s="165" t="str">
        <f t="shared" si="170"/>
        <v>PROF_14.16_300_NL2018</v>
      </c>
      <c r="G1159" s="165" t="s">
        <v>56</v>
      </c>
      <c r="H1159" s="12"/>
      <c r="I1159" s="12" t="s">
        <v>47</v>
      </c>
      <c r="J1159" s="31" t="s">
        <v>124</v>
      </c>
      <c r="K1159" s="15" t="s">
        <v>28</v>
      </c>
      <c r="L1159" s="15"/>
      <c r="M1159" s="16">
        <f t="shared" si="171"/>
        <v>20</v>
      </c>
      <c r="N1159" s="15">
        <f>20100-14100</f>
        <v>6000</v>
      </c>
      <c r="O1159" s="15">
        <v>5200</v>
      </c>
      <c r="P1159" s="15">
        <f t="shared" si="176"/>
        <v>31200000</v>
      </c>
      <c r="Q1159" s="15" t="str">
        <f t="shared" si="177"/>
        <v/>
      </c>
      <c r="R1159" s="18" t="s">
        <v>31</v>
      </c>
      <c r="S1159" s="23">
        <v>43631</v>
      </c>
      <c r="T1159" s="20">
        <f>IFERROR(VLOOKUP(S1159,'Date Converter'!$A$4:$C$368,3,0),"")</f>
        <v>43663</v>
      </c>
      <c r="U1159" s="21">
        <f t="shared" si="175"/>
        <v>43663</v>
      </c>
      <c r="V1159" s="12"/>
      <c r="W1159" s="18"/>
      <c r="X1159" s="18"/>
      <c r="Y1159" s="12"/>
      <c r="Z1159" s="206"/>
      <c r="AA1159" s="15"/>
      <c r="AB1159" s="206"/>
      <c r="AC1159" s="12"/>
      <c r="AD1159" s="206"/>
      <c r="AE1159" s="12"/>
      <c r="AF1159" s="245"/>
      <c r="AG1159" s="12"/>
      <c r="AH1159" s="15">
        <f t="shared" si="172"/>
        <v>0</v>
      </c>
      <c r="AI1159" s="22">
        <f t="shared" si="173"/>
        <v>6000</v>
      </c>
      <c r="AJ1159" s="22">
        <f t="shared" si="174"/>
        <v>31200000</v>
      </c>
    </row>
    <row r="1160" spans="1:36" s="165" customFormat="1" hidden="1">
      <c r="A1160" s="165" t="s">
        <v>1588</v>
      </c>
      <c r="B1160" s="13">
        <v>43630</v>
      </c>
      <c r="C1160" s="13" t="s">
        <v>23</v>
      </c>
      <c r="D1160" s="165" t="s">
        <v>1590</v>
      </c>
      <c r="E1160" s="13" t="s">
        <v>1589</v>
      </c>
      <c r="F1160" s="165" t="str">
        <f t="shared" si="170"/>
        <v>PROF_16.18_200_NL2018</v>
      </c>
      <c r="G1160" s="165" t="s">
        <v>56</v>
      </c>
      <c r="H1160" s="12"/>
      <c r="I1160" s="12" t="s">
        <v>35</v>
      </c>
      <c r="J1160" s="31" t="s">
        <v>121</v>
      </c>
      <c r="K1160" s="15" t="s">
        <v>28</v>
      </c>
      <c r="L1160" s="15"/>
      <c r="M1160" s="16">
        <f t="shared" si="171"/>
        <v>100</v>
      </c>
      <c r="N1160" s="15">
        <v>20000</v>
      </c>
      <c r="O1160" s="15">
        <v>7800</v>
      </c>
      <c r="P1160" s="15">
        <f t="shared" si="176"/>
        <v>156000000</v>
      </c>
      <c r="Q1160" s="15" t="str">
        <f t="shared" si="177"/>
        <v/>
      </c>
      <c r="R1160" s="18" t="s">
        <v>31</v>
      </c>
      <c r="S1160" s="23">
        <v>43631</v>
      </c>
      <c r="T1160" s="20">
        <f>IFERROR(VLOOKUP(S1160,'Date Converter'!$A$4:$C$368,3,0),"")</f>
        <v>43663</v>
      </c>
      <c r="U1160" s="21">
        <f t="shared" si="175"/>
        <v>43663</v>
      </c>
      <c r="V1160" s="12"/>
      <c r="W1160" s="18"/>
      <c r="X1160" s="18"/>
      <c r="Y1160" s="12"/>
      <c r="Z1160" s="206"/>
      <c r="AA1160" s="15"/>
      <c r="AB1160" s="206"/>
      <c r="AC1160" s="12"/>
      <c r="AD1160" s="206"/>
      <c r="AE1160" s="12"/>
      <c r="AF1160" s="245"/>
      <c r="AG1160" s="12"/>
      <c r="AH1160" s="15">
        <f t="shared" si="172"/>
        <v>0</v>
      </c>
      <c r="AI1160" s="22">
        <f t="shared" si="173"/>
        <v>20000</v>
      </c>
      <c r="AJ1160" s="22">
        <f t="shared" si="174"/>
        <v>156000000</v>
      </c>
    </row>
    <row r="1161" spans="1:36" s="165" customFormat="1" hidden="1">
      <c r="A1161" s="165" t="s">
        <v>1588</v>
      </c>
      <c r="B1161" s="13">
        <v>43640</v>
      </c>
      <c r="C1161" s="13" t="s">
        <v>23</v>
      </c>
      <c r="D1161" s="165" t="s">
        <v>1590</v>
      </c>
      <c r="E1161" s="13" t="s">
        <v>1589</v>
      </c>
      <c r="F1161" s="165" t="str">
        <f t="shared" si="170"/>
        <v>MANI_16.18_200_NL2018</v>
      </c>
      <c r="G1161" s="13" t="s">
        <v>105</v>
      </c>
      <c r="H1161" s="12"/>
      <c r="I1161" s="12" t="s">
        <v>35</v>
      </c>
      <c r="J1161" s="31" t="s">
        <v>121</v>
      </c>
      <c r="K1161" s="15" t="s">
        <v>28</v>
      </c>
      <c r="L1161" s="15"/>
      <c r="M1161" s="16">
        <f t="shared" si="171"/>
        <v>40</v>
      </c>
      <c r="N1161" s="15">
        <f>5000+3000</f>
        <v>8000</v>
      </c>
      <c r="O1161" s="15">
        <v>7000</v>
      </c>
      <c r="P1161" s="15">
        <f t="shared" si="176"/>
        <v>56000000</v>
      </c>
      <c r="Q1161" s="15" t="str">
        <f t="shared" si="177"/>
        <v/>
      </c>
      <c r="R1161" s="18" t="s">
        <v>63</v>
      </c>
      <c r="S1161" s="23">
        <v>43603</v>
      </c>
      <c r="T1161" s="20">
        <f>IFERROR(VLOOKUP(S1161,'Date Converter'!$A$4:$C$368,3,0),"")</f>
        <v>43636</v>
      </c>
      <c r="U1161" s="21">
        <f t="shared" si="175"/>
        <v>43636</v>
      </c>
      <c r="V1161" s="12" t="s">
        <v>2407</v>
      </c>
      <c r="W1161" s="18"/>
      <c r="X1161" s="18"/>
      <c r="Y1161" s="12"/>
      <c r="Z1161" s="206"/>
      <c r="AA1161" s="15"/>
      <c r="AB1161" s="206"/>
      <c r="AC1161" s="12"/>
      <c r="AD1161" s="206"/>
      <c r="AE1161" s="12"/>
      <c r="AF1161" s="245"/>
      <c r="AG1161" s="12"/>
      <c r="AH1161" s="15">
        <f t="shared" si="172"/>
        <v>0</v>
      </c>
      <c r="AI1161" s="22">
        <f t="shared" si="173"/>
        <v>8000</v>
      </c>
      <c r="AJ1161" s="22">
        <f t="shared" si="174"/>
        <v>56000000</v>
      </c>
    </row>
    <row r="1162" spans="1:36" s="165" customFormat="1" hidden="1">
      <c r="A1162" s="165" t="s">
        <v>1588</v>
      </c>
      <c r="B1162" s="13">
        <v>43630</v>
      </c>
      <c r="C1162" s="13" t="s">
        <v>23</v>
      </c>
      <c r="D1162" s="165" t="s">
        <v>1590</v>
      </c>
      <c r="E1162" s="13" t="s">
        <v>1589</v>
      </c>
      <c r="F1162" s="165" t="str">
        <f t="shared" si="170"/>
        <v>PROF_16.18_200_NL2018</v>
      </c>
      <c r="G1162" s="165" t="s">
        <v>56</v>
      </c>
      <c r="H1162" s="12"/>
      <c r="I1162" s="12" t="s">
        <v>35</v>
      </c>
      <c r="J1162" s="31" t="s">
        <v>121</v>
      </c>
      <c r="K1162" s="15" t="s">
        <v>28</v>
      </c>
      <c r="L1162" s="15"/>
      <c r="M1162" s="16">
        <f t="shared" si="171"/>
        <v>25</v>
      </c>
      <c r="N1162" s="15">
        <v>5000</v>
      </c>
      <c r="O1162" s="15">
        <v>7800</v>
      </c>
      <c r="P1162" s="15">
        <f t="shared" si="176"/>
        <v>39000000</v>
      </c>
      <c r="Q1162" s="15" t="str">
        <f t="shared" si="177"/>
        <v>Done</v>
      </c>
      <c r="R1162" s="18" t="s">
        <v>44</v>
      </c>
      <c r="S1162" s="23">
        <v>43617</v>
      </c>
      <c r="T1162" s="20">
        <f>IFERROR(VLOOKUP(S1162,'Date Converter'!$A$4:$C$368,3,0),"")</f>
        <v>43649</v>
      </c>
      <c r="U1162" s="21">
        <f t="shared" si="175"/>
        <v>43649</v>
      </c>
      <c r="V1162" s="12" t="s">
        <v>1888</v>
      </c>
      <c r="W1162" s="18"/>
      <c r="X1162" s="18"/>
      <c r="Y1162" s="12"/>
      <c r="Z1162" s="206">
        <v>43640</v>
      </c>
      <c r="AA1162" s="15">
        <v>5000</v>
      </c>
      <c r="AB1162" s="206"/>
      <c r="AC1162" s="12"/>
      <c r="AD1162" s="206"/>
      <c r="AE1162" s="12"/>
      <c r="AF1162" s="245"/>
      <c r="AG1162" s="12"/>
      <c r="AH1162" s="15">
        <f t="shared" si="172"/>
        <v>5000</v>
      </c>
      <c r="AI1162" s="22">
        <f t="shared" si="173"/>
        <v>0</v>
      </c>
      <c r="AJ1162" s="22">
        <f t="shared" si="174"/>
        <v>0</v>
      </c>
    </row>
    <row r="1163" spans="1:36" s="165" customFormat="1" hidden="1">
      <c r="A1163" s="165" t="s">
        <v>1588</v>
      </c>
      <c r="B1163" s="13">
        <v>43630</v>
      </c>
      <c r="C1163" s="13" t="s">
        <v>23</v>
      </c>
      <c r="D1163" s="165" t="s">
        <v>1590</v>
      </c>
      <c r="E1163" s="13" t="s">
        <v>1589</v>
      </c>
      <c r="F1163" s="165" t="str">
        <f t="shared" si="170"/>
        <v>PROF_16.18_200_NL2018</v>
      </c>
      <c r="G1163" s="165" t="s">
        <v>56</v>
      </c>
      <c r="H1163" s="12"/>
      <c r="I1163" s="12" t="s">
        <v>35</v>
      </c>
      <c r="J1163" s="31" t="s">
        <v>121</v>
      </c>
      <c r="K1163" s="15" t="s">
        <v>28</v>
      </c>
      <c r="L1163" s="15"/>
      <c r="M1163" s="16">
        <f t="shared" si="171"/>
        <v>55</v>
      </c>
      <c r="N1163" s="15">
        <v>11000</v>
      </c>
      <c r="O1163" s="15">
        <v>7800</v>
      </c>
      <c r="P1163" s="15">
        <f t="shared" si="176"/>
        <v>85800000</v>
      </c>
      <c r="Q1163" s="15" t="str">
        <f t="shared" si="177"/>
        <v/>
      </c>
      <c r="R1163" s="18" t="s">
        <v>63</v>
      </c>
      <c r="S1163" s="23">
        <v>43609</v>
      </c>
      <c r="T1163" s="20">
        <f>IFERROR(VLOOKUP(S1163,'Date Converter'!$A$4:$C$368,3,0),"")</f>
        <v>43642</v>
      </c>
      <c r="U1163" s="21">
        <f t="shared" si="175"/>
        <v>43642</v>
      </c>
      <c r="V1163" s="12" t="s">
        <v>2407</v>
      </c>
      <c r="W1163" s="18"/>
      <c r="X1163" s="18"/>
      <c r="Y1163" s="12"/>
      <c r="Z1163" s="206"/>
      <c r="AA1163" s="15"/>
      <c r="AB1163" s="206"/>
      <c r="AC1163" s="12"/>
      <c r="AD1163" s="206"/>
      <c r="AE1163" s="12"/>
      <c r="AF1163" s="245"/>
      <c r="AG1163" s="12"/>
      <c r="AH1163" s="15">
        <f t="shared" si="172"/>
        <v>0</v>
      </c>
      <c r="AI1163" s="22">
        <f t="shared" si="173"/>
        <v>11000</v>
      </c>
      <c r="AJ1163" s="22">
        <f t="shared" si="174"/>
        <v>85800000</v>
      </c>
    </row>
    <row r="1164" spans="1:36" s="165" customFormat="1" hidden="1">
      <c r="A1164" s="165" t="s">
        <v>1588</v>
      </c>
      <c r="B1164" s="13">
        <v>43630</v>
      </c>
      <c r="C1164" s="13" t="s">
        <v>23</v>
      </c>
      <c r="D1164" s="165" t="s">
        <v>1590</v>
      </c>
      <c r="E1164" s="13" t="s">
        <v>1589</v>
      </c>
      <c r="F1164" s="165" t="str">
        <f t="shared" si="170"/>
        <v>PROF_14.16_300_NL2018</v>
      </c>
      <c r="G1164" s="165" t="s">
        <v>56</v>
      </c>
      <c r="H1164" s="12"/>
      <c r="I1164" s="12" t="s">
        <v>47</v>
      </c>
      <c r="J1164" s="31" t="s">
        <v>124</v>
      </c>
      <c r="K1164" s="15" t="s">
        <v>28</v>
      </c>
      <c r="L1164" s="15"/>
      <c r="M1164" s="16">
        <f t="shared" si="171"/>
        <v>34</v>
      </c>
      <c r="N1164" s="15">
        <v>10200</v>
      </c>
      <c r="O1164" s="15">
        <v>5200</v>
      </c>
      <c r="P1164" s="15">
        <f t="shared" si="176"/>
        <v>53040000</v>
      </c>
      <c r="Q1164" s="15" t="str">
        <f t="shared" si="177"/>
        <v/>
      </c>
      <c r="R1164" s="18" t="s">
        <v>29</v>
      </c>
      <c r="S1164" s="23">
        <v>43641</v>
      </c>
      <c r="T1164" s="20">
        <f>IFERROR(VLOOKUP(S1164,'Date Converter'!$A$4:$C$368,3,0),"")</f>
        <v>43673</v>
      </c>
      <c r="U1164" s="21">
        <f t="shared" si="175"/>
        <v>43673</v>
      </c>
      <c r="V1164" s="12"/>
      <c r="W1164" s="18"/>
      <c r="X1164" s="18"/>
      <c r="Y1164" s="12"/>
      <c r="Z1164" s="206"/>
      <c r="AA1164" s="15"/>
      <c r="AB1164" s="206"/>
      <c r="AC1164" s="12"/>
      <c r="AD1164" s="206"/>
      <c r="AE1164" s="12"/>
      <c r="AF1164" s="245"/>
      <c r="AG1164" s="12"/>
      <c r="AH1164" s="15">
        <f t="shared" si="172"/>
        <v>0</v>
      </c>
      <c r="AI1164" s="22">
        <f t="shared" si="173"/>
        <v>10200</v>
      </c>
      <c r="AJ1164" s="22">
        <f t="shared" si="174"/>
        <v>53040000</v>
      </c>
    </row>
    <row r="1165" spans="1:36" s="165" customFormat="1" hidden="1">
      <c r="A1165" s="165" t="s">
        <v>1588</v>
      </c>
      <c r="B1165" s="13">
        <v>43610</v>
      </c>
      <c r="C1165" s="13" t="s">
        <v>23</v>
      </c>
      <c r="D1165" s="165" t="s">
        <v>1590</v>
      </c>
      <c r="E1165" s="13" t="s">
        <v>1589</v>
      </c>
      <c r="F1165" s="165" t="str">
        <f t="shared" si="170"/>
        <v>PROF_16.18_200_NL2018</v>
      </c>
      <c r="G1165" s="13" t="s">
        <v>56</v>
      </c>
      <c r="H1165" s="12"/>
      <c r="I1165" s="12" t="s">
        <v>35</v>
      </c>
      <c r="J1165" s="31" t="s">
        <v>121</v>
      </c>
      <c r="K1165" s="15" t="s">
        <v>28</v>
      </c>
      <c r="L1165" s="15"/>
      <c r="M1165" s="16">
        <f t="shared" si="171"/>
        <v>100</v>
      </c>
      <c r="N1165" s="15">
        <v>20000</v>
      </c>
      <c r="O1165" s="15">
        <v>8100</v>
      </c>
      <c r="P1165" s="15">
        <f t="shared" si="176"/>
        <v>162000000</v>
      </c>
      <c r="Q1165" s="15" t="str">
        <f t="shared" si="177"/>
        <v/>
      </c>
      <c r="R1165" s="18" t="s">
        <v>29</v>
      </c>
      <c r="S1165" s="23">
        <v>43671</v>
      </c>
      <c r="T1165" s="20">
        <f>IFERROR(VLOOKUP(S1165,'Date Converter'!$A$4:$C$368,3,0),"")</f>
        <v>43702</v>
      </c>
      <c r="U1165" s="21">
        <f t="shared" si="175"/>
        <v>43702</v>
      </c>
      <c r="V1165" s="12"/>
      <c r="W1165" s="18"/>
      <c r="X1165" s="18"/>
      <c r="Y1165" s="12"/>
      <c r="Z1165" s="206"/>
      <c r="AA1165" s="15"/>
      <c r="AB1165" s="206"/>
      <c r="AC1165" s="12"/>
      <c r="AD1165" s="206"/>
      <c r="AE1165" s="12"/>
      <c r="AF1165" s="245"/>
      <c r="AG1165" s="12"/>
      <c r="AH1165" s="15">
        <f t="shared" si="172"/>
        <v>0</v>
      </c>
      <c r="AI1165" s="22">
        <f t="shared" si="173"/>
        <v>20000</v>
      </c>
      <c r="AJ1165" s="22">
        <f t="shared" si="174"/>
        <v>162000000</v>
      </c>
    </row>
    <row r="1166" spans="1:36" s="165" customFormat="1" hidden="1">
      <c r="A1166" s="165" t="s">
        <v>1607</v>
      </c>
      <c r="B1166" s="13">
        <v>43610</v>
      </c>
      <c r="C1166" s="266" t="s">
        <v>23</v>
      </c>
      <c r="D1166" s="258" t="s">
        <v>1590</v>
      </c>
      <c r="E1166" s="13" t="s">
        <v>1589</v>
      </c>
      <c r="F1166" s="165" t="str">
        <f t="shared" si="170"/>
        <v>PROF_18.20_150_NL2018</v>
      </c>
      <c r="G1166" s="13" t="s">
        <v>56</v>
      </c>
      <c r="H1166" s="12"/>
      <c r="I1166" s="12" t="s">
        <v>27</v>
      </c>
      <c r="J1166" s="31" t="s">
        <v>126</v>
      </c>
      <c r="K1166" s="15" t="s">
        <v>28</v>
      </c>
      <c r="L1166" s="15"/>
      <c r="M1166" s="16">
        <f t="shared" si="171"/>
        <v>153</v>
      </c>
      <c r="N1166" s="15">
        <f>58050-30000-5000-100</f>
        <v>22950</v>
      </c>
      <c r="O1166" s="15">
        <v>10900</v>
      </c>
      <c r="P1166" s="15">
        <f t="shared" si="176"/>
        <v>250155000</v>
      </c>
      <c r="Q1166" s="15" t="str">
        <f t="shared" si="177"/>
        <v/>
      </c>
      <c r="R1166" s="18" t="s">
        <v>29</v>
      </c>
      <c r="S1166" s="23">
        <v>43709</v>
      </c>
      <c r="T1166" s="20">
        <f>IFERROR(VLOOKUP(S1166,'Date Converter'!$A$4:$C$368,3,0),"")</f>
        <v>43737</v>
      </c>
      <c r="U1166" s="21">
        <f t="shared" si="175"/>
        <v>43737</v>
      </c>
      <c r="V1166" s="12"/>
      <c r="W1166" s="18"/>
      <c r="X1166" s="18"/>
      <c r="Y1166" s="12"/>
      <c r="Z1166" s="206"/>
      <c r="AA1166" s="15"/>
      <c r="AB1166" s="206"/>
      <c r="AC1166" s="12"/>
      <c r="AD1166" s="206"/>
      <c r="AE1166" s="12"/>
      <c r="AF1166" s="245"/>
      <c r="AG1166" s="12"/>
      <c r="AH1166" s="15">
        <f t="shared" si="172"/>
        <v>0</v>
      </c>
      <c r="AI1166" s="22">
        <f t="shared" si="173"/>
        <v>22950</v>
      </c>
      <c r="AJ1166" s="22">
        <f t="shared" si="174"/>
        <v>250155000</v>
      </c>
    </row>
    <row r="1167" spans="1:36" s="165" customFormat="1" hidden="1">
      <c r="A1167" s="165" t="s">
        <v>1607</v>
      </c>
      <c r="B1167" s="13">
        <v>43626</v>
      </c>
      <c r="C1167" s="266" t="s">
        <v>23</v>
      </c>
      <c r="D1167" s="258" t="s">
        <v>1590</v>
      </c>
      <c r="E1167" s="13" t="s">
        <v>1589</v>
      </c>
      <c r="F1167" s="165" t="str">
        <f t="shared" si="170"/>
        <v>PROF_18.20_150_NL2018</v>
      </c>
      <c r="G1167" s="13" t="s">
        <v>56</v>
      </c>
      <c r="H1167" s="12"/>
      <c r="I1167" s="12" t="s">
        <v>27</v>
      </c>
      <c r="J1167" s="31" t="s">
        <v>126</v>
      </c>
      <c r="K1167" s="15" t="s">
        <v>28</v>
      </c>
      <c r="L1167" s="15"/>
      <c r="M1167" s="16">
        <f t="shared" si="171"/>
        <v>47</v>
      </c>
      <c r="N1167" s="15">
        <f>15000-7950</f>
        <v>7050</v>
      </c>
      <c r="O1167" s="15">
        <v>10900</v>
      </c>
      <c r="P1167" s="15">
        <f t="shared" si="176"/>
        <v>76845000</v>
      </c>
      <c r="Q1167" s="15" t="str">
        <f t="shared" si="177"/>
        <v/>
      </c>
      <c r="R1167" s="18" t="s">
        <v>29</v>
      </c>
      <c r="S1167" s="23">
        <v>43709</v>
      </c>
      <c r="T1167" s="20">
        <f>IFERROR(VLOOKUP(S1167,'Date Converter'!$A$4:$C$368,3,0),"")</f>
        <v>43737</v>
      </c>
      <c r="U1167" s="21">
        <f t="shared" si="175"/>
        <v>43737</v>
      </c>
      <c r="V1167" s="12"/>
      <c r="W1167" s="18"/>
      <c r="X1167" s="18"/>
      <c r="Y1167" s="12"/>
      <c r="Z1167" s="206"/>
      <c r="AA1167" s="15"/>
      <c r="AB1167" s="206"/>
      <c r="AC1167" s="12"/>
      <c r="AD1167" s="206"/>
      <c r="AE1167" s="12"/>
      <c r="AF1167" s="245"/>
      <c r="AG1167" s="12"/>
      <c r="AH1167" s="15">
        <f t="shared" si="172"/>
        <v>0</v>
      </c>
      <c r="AI1167" s="22">
        <f t="shared" si="173"/>
        <v>7050</v>
      </c>
      <c r="AJ1167" s="22">
        <f t="shared" si="174"/>
        <v>76845000</v>
      </c>
    </row>
    <row r="1168" spans="1:36" s="165" customFormat="1" hidden="1">
      <c r="A1168" s="165" t="s">
        <v>1588</v>
      </c>
      <c r="B1168" s="13">
        <v>43604</v>
      </c>
      <c r="C1168" s="13" t="s">
        <v>23</v>
      </c>
      <c r="D1168" s="165" t="s">
        <v>1590</v>
      </c>
      <c r="E1168" s="13" t="s">
        <v>1589</v>
      </c>
      <c r="F1168" s="165" t="str">
        <f t="shared" si="170"/>
        <v>PAVI_14.16_300_NL2018</v>
      </c>
      <c r="G1168" s="165" t="s">
        <v>138</v>
      </c>
      <c r="H1168" s="12"/>
      <c r="I1168" s="12" t="s">
        <v>47</v>
      </c>
      <c r="J1168" s="31" t="s">
        <v>124</v>
      </c>
      <c r="K1168" s="15" t="s">
        <v>28</v>
      </c>
      <c r="L1168" s="15"/>
      <c r="M1168" s="16">
        <f t="shared" si="171"/>
        <v>0</v>
      </c>
      <c r="N1168" s="15">
        <f>3000-3000</f>
        <v>0</v>
      </c>
      <c r="O1168" s="15">
        <v>4400</v>
      </c>
      <c r="P1168" s="15">
        <f t="shared" si="176"/>
        <v>0</v>
      </c>
      <c r="Q1168" s="15" t="str">
        <f t="shared" si="177"/>
        <v>Canceled</v>
      </c>
      <c r="R1168" s="18" t="s">
        <v>71</v>
      </c>
      <c r="S1168" s="23">
        <v>43590</v>
      </c>
      <c r="T1168" s="20">
        <f>IFERROR(VLOOKUP(S1168,'Date Converter'!$A$4:$C$368,3,0),"")</f>
        <v>43623</v>
      </c>
      <c r="U1168" s="21">
        <f t="shared" si="175"/>
        <v>43623</v>
      </c>
      <c r="V1168" s="12"/>
      <c r="W1168" s="18"/>
      <c r="X1168" s="18"/>
      <c r="Y1168" s="12"/>
      <c r="Z1168" s="206"/>
      <c r="AA1168" s="15"/>
      <c r="AB1168" s="206"/>
      <c r="AC1168" s="12"/>
      <c r="AD1168" s="206"/>
      <c r="AE1168" s="12"/>
      <c r="AF1168" s="245"/>
      <c r="AG1168" s="12"/>
      <c r="AH1168" s="15">
        <f t="shared" si="172"/>
        <v>0</v>
      </c>
      <c r="AI1168" s="22">
        <f t="shared" si="173"/>
        <v>0</v>
      </c>
      <c r="AJ1168" s="22">
        <f t="shared" si="174"/>
        <v>0</v>
      </c>
    </row>
    <row r="1169" spans="1:38" s="165" customFormat="1" hidden="1">
      <c r="A1169" s="165" t="s">
        <v>1588</v>
      </c>
      <c r="B1169" s="13">
        <v>43604</v>
      </c>
      <c r="C1169" s="13" t="s">
        <v>23</v>
      </c>
      <c r="D1169" s="165" t="s">
        <v>1590</v>
      </c>
      <c r="E1169" s="13" t="s">
        <v>1589</v>
      </c>
      <c r="F1169" s="165" t="str">
        <f t="shared" si="170"/>
        <v>PAVI_14.16_300_NL2018</v>
      </c>
      <c r="G1169" s="165" t="s">
        <v>138</v>
      </c>
      <c r="H1169" s="12"/>
      <c r="I1169" s="12" t="s">
        <v>47</v>
      </c>
      <c r="J1169" s="31" t="s">
        <v>124</v>
      </c>
      <c r="K1169" s="15" t="s">
        <v>28</v>
      </c>
      <c r="L1169" s="15"/>
      <c r="M1169" s="16">
        <f t="shared" si="171"/>
        <v>0</v>
      </c>
      <c r="N1169" s="15">
        <f>3000-3000</f>
        <v>0</v>
      </c>
      <c r="O1169" s="15">
        <v>4400</v>
      </c>
      <c r="P1169" s="15">
        <f t="shared" si="176"/>
        <v>0</v>
      </c>
      <c r="Q1169" s="15" t="str">
        <f t="shared" si="177"/>
        <v>Canceled</v>
      </c>
      <c r="R1169" s="18" t="s">
        <v>44</v>
      </c>
      <c r="S1169" s="23">
        <v>43594</v>
      </c>
      <c r="T1169" s="20">
        <f>IFERROR(VLOOKUP(S1169,'Date Converter'!$A$4:$C$368,3,0),"")</f>
        <v>43627</v>
      </c>
      <c r="U1169" s="21">
        <f t="shared" si="175"/>
        <v>43627</v>
      </c>
      <c r="V1169" s="12"/>
      <c r="W1169" s="18"/>
      <c r="X1169" s="18"/>
      <c r="Y1169" s="12"/>
      <c r="Z1169" s="206"/>
      <c r="AA1169" s="15"/>
      <c r="AB1169" s="206"/>
      <c r="AC1169" s="12"/>
      <c r="AD1169" s="206"/>
      <c r="AE1169" s="12"/>
      <c r="AF1169" s="245"/>
      <c r="AG1169" s="12"/>
      <c r="AH1169" s="15">
        <f t="shared" si="172"/>
        <v>0</v>
      </c>
      <c r="AI1169" s="22">
        <f t="shared" si="173"/>
        <v>0</v>
      </c>
      <c r="AJ1169" s="22">
        <f t="shared" si="174"/>
        <v>0</v>
      </c>
    </row>
    <row r="1170" spans="1:38" s="165" customFormat="1" hidden="1">
      <c r="A1170" s="165" t="s">
        <v>1588</v>
      </c>
      <c r="B1170" s="13">
        <v>43604</v>
      </c>
      <c r="C1170" s="13" t="s">
        <v>23</v>
      </c>
      <c r="D1170" s="165" t="s">
        <v>1590</v>
      </c>
      <c r="E1170" s="13" t="s">
        <v>1589</v>
      </c>
      <c r="F1170" s="165" t="str">
        <f t="shared" si="170"/>
        <v>MANI_16.18_200_NL2018</v>
      </c>
      <c r="G1170" s="165" t="s">
        <v>105</v>
      </c>
      <c r="H1170" s="12"/>
      <c r="I1170" s="12" t="s">
        <v>35</v>
      </c>
      <c r="J1170" s="31" t="s">
        <v>121</v>
      </c>
      <c r="K1170" s="15" t="s">
        <v>28</v>
      </c>
      <c r="L1170" s="15"/>
      <c r="M1170" s="16">
        <f t="shared" si="171"/>
        <v>10</v>
      </c>
      <c r="N1170" s="15">
        <v>2000</v>
      </c>
      <c r="O1170" s="15">
        <v>7000</v>
      </c>
      <c r="P1170" s="15">
        <f t="shared" si="176"/>
        <v>14000000</v>
      </c>
      <c r="Q1170" s="15" t="str">
        <f t="shared" si="177"/>
        <v>Done</v>
      </c>
      <c r="R1170" s="18" t="s">
        <v>44</v>
      </c>
      <c r="S1170" s="23">
        <v>43594</v>
      </c>
      <c r="T1170" s="20">
        <f>IFERROR(VLOOKUP(S1170,'Date Converter'!$A$4:$C$368,3,0),"")</f>
        <v>43627</v>
      </c>
      <c r="U1170" s="21">
        <f t="shared" si="175"/>
        <v>43627</v>
      </c>
      <c r="V1170" s="12"/>
      <c r="W1170" s="18"/>
      <c r="X1170" s="18"/>
      <c r="Y1170" s="12"/>
      <c r="Z1170" s="206">
        <v>43629</v>
      </c>
      <c r="AA1170" s="15">
        <v>2000</v>
      </c>
      <c r="AB1170" s="206"/>
      <c r="AC1170" s="12"/>
      <c r="AD1170" s="206"/>
      <c r="AE1170" s="12"/>
      <c r="AF1170" s="245"/>
      <c r="AG1170" s="12"/>
      <c r="AH1170" s="15">
        <f t="shared" si="172"/>
        <v>2000</v>
      </c>
      <c r="AI1170" s="22">
        <f t="shared" si="173"/>
        <v>0</v>
      </c>
      <c r="AJ1170" s="22">
        <f t="shared" si="174"/>
        <v>0</v>
      </c>
    </row>
    <row r="1171" spans="1:38" s="165" customFormat="1" hidden="1">
      <c r="A1171" s="165" t="s">
        <v>1607</v>
      </c>
      <c r="B1171" s="13">
        <v>43626</v>
      </c>
      <c r="C1171" s="266" t="s">
        <v>23</v>
      </c>
      <c r="D1171" s="258" t="s">
        <v>1590</v>
      </c>
      <c r="E1171" s="13" t="s">
        <v>1589</v>
      </c>
      <c r="F1171" s="165" t="str">
        <f t="shared" si="170"/>
        <v>MANI_20.22_125_NL2018</v>
      </c>
      <c r="G1171" s="13" t="s">
        <v>105</v>
      </c>
      <c r="H1171" s="12"/>
      <c r="I1171" s="12" t="s">
        <v>74</v>
      </c>
      <c r="J1171" s="31" t="s">
        <v>122</v>
      </c>
      <c r="K1171" s="15" t="s">
        <v>28</v>
      </c>
      <c r="L1171" s="15"/>
      <c r="M1171" s="16">
        <f t="shared" si="171"/>
        <v>24</v>
      </c>
      <c r="N1171" s="15">
        <v>3000</v>
      </c>
      <c r="O1171" s="15">
        <v>13600</v>
      </c>
      <c r="P1171" s="15">
        <f t="shared" si="176"/>
        <v>40800000</v>
      </c>
      <c r="Q1171" s="15" t="str">
        <f t="shared" si="177"/>
        <v/>
      </c>
      <c r="R1171" s="18" t="s">
        <v>29</v>
      </c>
      <c r="S1171" s="23">
        <v>43709</v>
      </c>
      <c r="T1171" s="20">
        <f>IFERROR(VLOOKUP(S1171,'Date Converter'!$A$4:$C$368,3,0),"")</f>
        <v>43737</v>
      </c>
      <c r="U1171" s="21">
        <f t="shared" si="175"/>
        <v>43737</v>
      </c>
      <c r="V1171" s="12"/>
      <c r="W1171" s="18"/>
      <c r="X1171" s="18"/>
      <c r="Y1171" s="12"/>
      <c r="Z1171" s="206"/>
      <c r="AA1171" s="15"/>
      <c r="AB1171" s="206"/>
      <c r="AC1171" s="12"/>
      <c r="AD1171" s="206"/>
      <c r="AE1171" s="12"/>
      <c r="AF1171" s="245"/>
      <c r="AG1171" s="12"/>
      <c r="AH1171" s="15">
        <f t="shared" si="172"/>
        <v>0</v>
      </c>
      <c r="AI1171" s="22">
        <f t="shared" si="173"/>
        <v>3000</v>
      </c>
      <c r="AJ1171" s="22">
        <f t="shared" si="174"/>
        <v>40800000</v>
      </c>
    </row>
    <row r="1172" spans="1:38" s="165" customFormat="1" hidden="1">
      <c r="A1172" s="165" t="s">
        <v>1607</v>
      </c>
      <c r="B1172" s="13">
        <v>43626</v>
      </c>
      <c r="C1172" s="266" t="s">
        <v>23</v>
      </c>
      <c r="D1172" s="258" t="s">
        <v>1590</v>
      </c>
      <c r="E1172" s="13" t="s">
        <v>1589</v>
      </c>
      <c r="F1172" s="165" t="str">
        <f t="shared" si="170"/>
        <v>MANI_20.22_125_NL2018</v>
      </c>
      <c r="G1172" s="13" t="s">
        <v>105</v>
      </c>
      <c r="H1172" s="12"/>
      <c r="I1172" s="12" t="s">
        <v>74</v>
      </c>
      <c r="J1172" s="31" t="s">
        <v>122</v>
      </c>
      <c r="K1172" s="15" t="s">
        <v>28</v>
      </c>
      <c r="L1172" s="15"/>
      <c r="M1172" s="16">
        <f t="shared" si="171"/>
        <v>24</v>
      </c>
      <c r="N1172" s="15">
        <v>3000</v>
      </c>
      <c r="O1172" s="15">
        <v>13600</v>
      </c>
      <c r="P1172" s="15">
        <f t="shared" si="176"/>
        <v>40800000</v>
      </c>
      <c r="Q1172" s="15" t="str">
        <f t="shared" si="177"/>
        <v/>
      </c>
      <c r="R1172" s="18" t="s">
        <v>29</v>
      </c>
      <c r="S1172" s="23">
        <v>43709</v>
      </c>
      <c r="T1172" s="20">
        <f>IFERROR(VLOOKUP(S1172,'Date Converter'!$A$4:$C$368,3,0),"")</f>
        <v>43737</v>
      </c>
      <c r="U1172" s="21">
        <f t="shared" si="175"/>
        <v>43737</v>
      </c>
      <c r="V1172" s="12"/>
      <c r="W1172" s="18"/>
      <c r="X1172" s="18"/>
      <c r="Y1172" s="12"/>
      <c r="Z1172" s="206"/>
      <c r="AA1172" s="15"/>
      <c r="AB1172" s="206"/>
      <c r="AC1172" s="12"/>
      <c r="AD1172" s="206"/>
      <c r="AE1172" s="12"/>
      <c r="AF1172" s="245"/>
      <c r="AG1172" s="12"/>
      <c r="AH1172" s="15">
        <f t="shared" si="172"/>
        <v>0</v>
      </c>
      <c r="AI1172" s="22">
        <f t="shared" si="173"/>
        <v>3000</v>
      </c>
      <c r="AJ1172" s="22">
        <f t="shared" si="174"/>
        <v>40800000</v>
      </c>
    </row>
    <row r="1173" spans="1:38" s="165" customFormat="1" hidden="1">
      <c r="A1173" s="165" t="s">
        <v>1588</v>
      </c>
      <c r="B1173" s="13">
        <v>43604</v>
      </c>
      <c r="C1173" s="13" t="s">
        <v>23</v>
      </c>
      <c r="D1173" s="165" t="s">
        <v>1590</v>
      </c>
      <c r="E1173" s="13" t="s">
        <v>1589</v>
      </c>
      <c r="F1173" s="165" t="str">
        <f t="shared" si="170"/>
        <v>MALD_16.18_200_NL2018</v>
      </c>
      <c r="G1173" s="165" t="s">
        <v>478</v>
      </c>
      <c r="H1173" s="12"/>
      <c r="I1173" s="12" t="s">
        <v>35</v>
      </c>
      <c r="J1173" s="31" t="s">
        <v>121</v>
      </c>
      <c r="K1173" s="15" t="s">
        <v>28</v>
      </c>
      <c r="L1173" s="15"/>
      <c r="M1173" s="16">
        <f t="shared" si="171"/>
        <v>20</v>
      </c>
      <c r="N1173" s="15">
        <v>4000</v>
      </c>
      <c r="O1173" s="15">
        <v>5400</v>
      </c>
      <c r="P1173" s="15">
        <f t="shared" si="176"/>
        <v>21600000</v>
      </c>
      <c r="Q1173" s="15" t="str">
        <f t="shared" si="177"/>
        <v>Done</v>
      </c>
      <c r="R1173" s="18" t="s">
        <v>44</v>
      </c>
      <c r="S1173" s="23">
        <v>43597</v>
      </c>
      <c r="T1173" s="20">
        <f>IFERROR(VLOOKUP(S1173,'Date Converter'!$A$4:$C$368,3,0),"")</f>
        <v>43630</v>
      </c>
      <c r="U1173" s="21">
        <f t="shared" si="175"/>
        <v>43630</v>
      </c>
      <c r="V1173" s="12"/>
      <c r="W1173" s="18"/>
      <c r="X1173" s="18"/>
      <c r="Y1173" s="12"/>
      <c r="Z1173" s="206">
        <v>43640</v>
      </c>
      <c r="AA1173" s="15">
        <v>4000</v>
      </c>
      <c r="AB1173" s="206"/>
      <c r="AC1173" s="12"/>
      <c r="AD1173" s="206"/>
      <c r="AE1173" s="12"/>
      <c r="AF1173" s="245"/>
      <c r="AG1173" s="12"/>
      <c r="AH1173" s="15">
        <f t="shared" si="172"/>
        <v>4000</v>
      </c>
      <c r="AI1173" s="22">
        <f t="shared" si="173"/>
        <v>0</v>
      </c>
      <c r="AJ1173" s="22">
        <f t="shared" si="174"/>
        <v>0</v>
      </c>
    </row>
    <row r="1174" spans="1:38" s="165" customFormat="1" hidden="1">
      <c r="A1174" s="165" t="s">
        <v>1588</v>
      </c>
      <c r="B1174" s="13">
        <v>43604</v>
      </c>
      <c r="C1174" s="13" t="s">
        <v>23</v>
      </c>
      <c r="D1174" s="165" t="s">
        <v>1590</v>
      </c>
      <c r="E1174" s="13" t="s">
        <v>1589</v>
      </c>
      <c r="F1174" s="165" t="str">
        <f t="shared" si="170"/>
        <v>MALD_16.18_200_NL2018</v>
      </c>
      <c r="G1174" s="165" t="s">
        <v>478</v>
      </c>
      <c r="H1174" s="12"/>
      <c r="I1174" s="12" t="s">
        <v>35</v>
      </c>
      <c r="J1174" s="31" t="s">
        <v>121</v>
      </c>
      <c r="K1174" s="15" t="s">
        <v>28</v>
      </c>
      <c r="L1174" s="15"/>
      <c r="M1174" s="16">
        <f t="shared" si="171"/>
        <v>30</v>
      </c>
      <c r="N1174" s="15">
        <v>6000</v>
      </c>
      <c r="O1174" s="15">
        <v>5400</v>
      </c>
      <c r="P1174" s="15">
        <f t="shared" si="176"/>
        <v>32400000</v>
      </c>
      <c r="Q1174" s="15" t="str">
        <f t="shared" si="177"/>
        <v>Done</v>
      </c>
      <c r="R1174" s="18" t="s">
        <v>44</v>
      </c>
      <c r="S1174" s="23">
        <v>43597</v>
      </c>
      <c r="T1174" s="20">
        <f>IFERROR(VLOOKUP(S1174,'Date Converter'!$A$4:$C$368,3,0),"")</f>
        <v>43630</v>
      </c>
      <c r="U1174" s="21">
        <f t="shared" si="175"/>
        <v>43630</v>
      </c>
      <c r="V1174" s="12"/>
      <c r="W1174" s="18"/>
      <c r="X1174" s="18"/>
      <c r="Y1174" s="12"/>
      <c r="Z1174" s="206">
        <v>43640</v>
      </c>
      <c r="AA1174" s="15">
        <v>6000</v>
      </c>
      <c r="AB1174" s="206"/>
      <c r="AC1174" s="12"/>
      <c r="AD1174" s="206"/>
      <c r="AE1174" s="12"/>
      <c r="AF1174" s="245"/>
      <c r="AG1174" s="12"/>
      <c r="AH1174" s="15">
        <f t="shared" si="172"/>
        <v>6000</v>
      </c>
      <c r="AI1174" s="22">
        <f t="shared" si="173"/>
        <v>0</v>
      </c>
      <c r="AJ1174" s="22">
        <f t="shared" si="174"/>
        <v>0</v>
      </c>
    </row>
    <row r="1175" spans="1:38" s="165" customFormat="1" hidden="1">
      <c r="A1175" s="165" t="s">
        <v>1588</v>
      </c>
      <c r="B1175" s="13">
        <v>43626</v>
      </c>
      <c r="C1175" s="13" t="s">
        <v>23</v>
      </c>
      <c r="D1175" s="165" t="s">
        <v>1590</v>
      </c>
      <c r="E1175" s="13" t="s">
        <v>1589</v>
      </c>
      <c r="F1175" s="165" t="str">
        <f t="shared" si="170"/>
        <v>MALD_14.16_300_NL2018</v>
      </c>
      <c r="G1175" s="165" t="s">
        <v>478</v>
      </c>
      <c r="H1175" s="12"/>
      <c r="I1175" s="12" t="s">
        <v>47</v>
      </c>
      <c r="J1175" s="31" t="s">
        <v>124</v>
      </c>
      <c r="K1175" s="15" t="s">
        <v>28</v>
      </c>
      <c r="L1175" s="15"/>
      <c r="M1175" s="16">
        <f t="shared" si="171"/>
        <v>9</v>
      </c>
      <c r="N1175" s="15">
        <v>2700</v>
      </c>
      <c r="O1175" s="15">
        <v>4000</v>
      </c>
      <c r="P1175" s="15">
        <f t="shared" si="176"/>
        <v>10800000</v>
      </c>
      <c r="Q1175" s="15" t="str">
        <f t="shared" si="177"/>
        <v>Done</v>
      </c>
      <c r="R1175" s="18" t="s">
        <v>44</v>
      </c>
      <c r="S1175" s="23">
        <v>43594</v>
      </c>
      <c r="T1175" s="20">
        <f>IFERROR(VLOOKUP(S1175,'Date Converter'!$A$4:$C$368,3,0),"")</f>
        <v>43627</v>
      </c>
      <c r="U1175" s="21">
        <f t="shared" si="175"/>
        <v>43627</v>
      </c>
      <c r="V1175" s="12"/>
      <c r="W1175" s="18"/>
      <c r="X1175" s="18"/>
      <c r="Y1175" s="12"/>
      <c r="Z1175" s="206">
        <v>43629</v>
      </c>
      <c r="AA1175" s="256">
        <v>2700</v>
      </c>
      <c r="AB1175" s="206"/>
      <c r="AC1175" s="12"/>
      <c r="AD1175" s="206"/>
      <c r="AE1175" s="12"/>
      <c r="AF1175" s="245"/>
      <c r="AG1175" s="12"/>
      <c r="AH1175" s="15">
        <f t="shared" si="172"/>
        <v>2700</v>
      </c>
      <c r="AI1175" s="22">
        <f t="shared" si="173"/>
        <v>0</v>
      </c>
      <c r="AJ1175" s="22">
        <f t="shared" si="174"/>
        <v>0</v>
      </c>
    </row>
    <row r="1176" spans="1:38" s="165" customFormat="1" hidden="1">
      <c r="A1176" s="165" t="s">
        <v>1588</v>
      </c>
      <c r="B1176" s="13">
        <v>43630</v>
      </c>
      <c r="C1176" s="13" t="s">
        <v>23</v>
      </c>
      <c r="D1176" s="165" t="s">
        <v>1590</v>
      </c>
      <c r="E1176" s="13" t="s">
        <v>1589</v>
      </c>
      <c r="F1176" s="165" t="str">
        <f t="shared" si="170"/>
        <v>MALD_16.18_200_NL2018</v>
      </c>
      <c r="G1176" s="165" t="s">
        <v>478</v>
      </c>
      <c r="H1176" s="12"/>
      <c r="I1176" s="12" t="s">
        <v>35</v>
      </c>
      <c r="J1176" s="31" t="s">
        <v>121</v>
      </c>
      <c r="K1176" s="15" t="s">
        <v>28</v>
      </c>
      <c r="L1176" s="15"/>
      <c r="M1176" s="16">
        <f t="shared" si="171"/>
        <v>25</v>
      </c>
      <c r="N1176" s="15">
        <v>5000</v>
      </c>
      <c r="O1176" s="15">
        <v>5500</v>
      </c>
      <c r="P1176" s="15">
        <f t="shared" si="176"/>
        <v>27500000</v>
      </c>
      <c r="Q1176" s="15" t="str">
        <f t="shared" si="177"/>
        <v/>
      </c>
      <c r="R1176" s="18" t="s">
        <v>29</v>
      </c>
      <c r="S1176" s="23">
        <v>43641</v>
      </c>
      <c r="T1176" s="20">
        <f>IFERROR(VLOOKUP(S1176,'Date Converter'!$A$4:$C$368,3,0),"")</f>
        <v>43673</v>
      </c>
      <c r="U1176" s="21">
        <f t="shared" si="175"/>
        <v>43673</v>
      </c>
      <c r="V1176" s="12"/>
      <c r="W1176" s="18"/>
      <c r="X1176" s="18"/>
      <c r="Y1176" s="12"/>
      <c r="Z1176" s="206"/>
      <c r="AA1176" s="15"/>
      <c r="AB1176" s="206"/>
      <c r="AC1176" s="12"/>
      <c r="AD1176" s="206"/>
      <c r="AE1176" s="12"/>
      <c r="AF1176" s="245"/>
      <c r="AG1176" s="12"/>
      <c r="AH1176" s="15">
        <f t="shared" si="172"/>
        <v>0</v>
      </c>
      <c r="AI1176" s="22">
        <f t="shared" si="173"/>
        <v>5000</v>
      </c>
      <c r="AJ1176" s="22">
        <f t="shared" si="174"/>
        <v>27500000</v>
      </c>
    </row>
    <row r="1177" spans="1:38" s="165" customFormat="1" hidden="1">
      <c r="A1177" s="165" t="s">
        <v>1588</v>
      </c>
      <c r="B1177" s="13">
        <v>43626</v>
      </c>
      <c r="C1177" s="13" t="s">
        <v>23</v>
      </c>
      <c r="D1177" s="165" t="s">
        <v>1590</v>
      </c>
      <c r="E1177" s="13" t="s">
        <v>1589</v>
      </c>
      <c r="F1177" s="165" t="str">
        <f t="shared" si="170"/>
        <v>DALI_14.16_300_NL2018</v>
      </c>
      <c r="G1177" s="13" t="s">
        <v>46</v>
      </c>
      <c r="H1177" s="12"/>
      <c r="I1177" s="12" t="s">
        <v>47</v>
      </c>
      <c r="J1177" s="31" t="s">
        <v>124</v>
      </c>
      <c r="K1177" s="15" t="s">
        <v>28</v>
      </c>
      <c r="L1177" s="15"/>
      <c r="M1177" s="16">
        <f t="shared" si="171"/>
        <v>0</v>
      </c>
      <c r="N1177" s="15">
        <f>6000-6000</f>
        <v>0</v>
      </c>
      <c r="O1177" s="15">
        <v>5500</v>
      </c>
      <c r="P1177" s="15">
        <f t="shared" si="176"/>
        <v>0</v>
      </c>
      <c r="Q1177" s="15" t="str">
        <f t="shared" si="177"/>
        <v>Canceled</v>
      </c>
      <c r="R1177" s="18" t="s">
        <v>71</v>
      </c>
      <c r="S1177" s="23">
        <v>43594</v>
      </c>
      <c r="T1177" s="20">
        <f>IFERROR(VLOOKUP(S1177,'Date Converter'!$A$4:$C$368,3,0),"")</f>
        <v>43627</v>
      </c>
      <c r="U1177" s="21">
        <f t="shared" si="175"/>
        <v>43627</v>
      </c>
      <c r="V1177" s="12"/>
      <c r="W1177" s="18"/>
      <c r="X1177" s="18"/>
      <c r="Y1177" s="12"/>
      <c r="Z1177" s="206"/>
      <c r="AA1177" s="15"/>
      <c r="AB1177" s="206"/>
      <c r="AC1177" s="12"/>
      <c r="AD1177" s="206"/>
      <c r="AE1177" s="12"/>
      <c r="AF1177" s="245"/>
      <c r="AG1177" s="12"/>
      <c r="AH1177" s="15">
        <f t="shared" si="172"/>
        <v>0</v>
      </c>
      <c r="AI1177" s="22">
        <f t="shared" si="173"/>
        <v>0</v>
      </c>
      <c r="AJ1177" s="22">
        <f t="shared" si="174"/>
        <v>0</v>
      </c>
    </row>
    <row r="1178" spans="1:38" s="165" customFormat="1" hidden="1">
      <c r="A1178" s="165" t="s">
        <v>1588</v>
      </c>
      <c r="B1178" s="13">
        <v>43605</v>
      </c>
      <c r="C1178" s="13" t="s">
        <v>23</v>
      </c>
      <c r="D1178" s="165" t="s">
        <v>1590</v>
      </c>
      <c r="E1178" s="13" t="s">
        <v>1589</v>
      </c>
      <c r="F1178" s="165" t="str">
        <f t="shared" si="170"/>
        <v>DALI_14.16_300_NL2018</v>
      </c>
      <c r="G1178" s="13" t="s">
        <v>46</v>
      </c>
      <c r="H1178" s="12"/>
      <c r="I1178" s="12" t="s">
        <v>47</v>
      </c>
      <c r="J1178" s="31" t="s">
        <v>124</v>
      </c>
      <c r="K1178" s="15" t="s">
        <v>28</v>
      </c>
      <c r="L1178" s="15"/>
      <c r="M1178" s="16">
        <f t="shared" si="171"/>
        <v>0</v>
      </c>
      <c r="N1178" s="15">
        <f>6000-6000</f>
        <v>0</v>
      </c>
      <c r="O1178" s="15">
        <v>5500</v>
      </c>
      <c r="P1178" s="15">
        <f t="shared" si="176"/>
        <v>0</v>
      </c>
      <c r="Q1178" s="15" t="str">
        <f t="shared" si="177"/>
        <v>Canceled</v>
      </c>
      <c r="R1178" s="18" t="s">
        <v>71</v>
      </c>
      <c r="S1178" s="23">
        <v>43631</v>
      </c>
      <c r="T1178" s="20">
        <f>IFERROR(VLOOKUP(S1178,'Date Converter'!$A$4:$C$368,3,0),"")</f>
        <v>43663</v>
      </c>
      <c r="U1178" s="21">
        <f t="shared" si="175"/>
        <v>43663</v>
      </c>
      <c r="V1178" s="12"/>
      <c r="W1178" s="18"/>
      <c r="X1178" s="18"/>
      <c r="Y1178" s="12"/>
      <c r="Z1178" s="206"/>
      <c r="AA1178" s="15"/>
      <c r="AB1178" s="206"/>
      <c r="AC1178" s="12"/>
      <c r="AD1178" s="206"/>
      <c r="AE1178" s="12"/>
      <c r="AF1178" s="245"/>
      <c r="AG1178" s="12"/>
      <c r="AH1178" s="15">
        <f t="shared" si="172"/>
        <v>0</v>
      </c>
      <c r="AI1178" s="22">
        <f t="shared" si="173"/>
        <v>0</v>
      </c>
      <c r="AJ1178" s="22">
        <f t="shared" si="174"/>
        <v>0</v>
      </c>
    </row>
    <row r="1179" spans="1:38" s="165" customFormat="1" hidden="1">
      <c r="A1179" s="165" t="s">
        <v>1588</v>
      </c>
      <c r="B1179" s="13">
        <v>43605</v>
      </c>
      <c r="C1179" s="13" t="s">
        <v>23</v>
      </c>
      <c r="D1179" s="165" t="s">
        <v>1590</v>
      </c>
      <c r="E1179" s="13" t="s">
        <v>1589</v>
      </c>
      <c r="F1179" s="165" t="str">
        <f t="shared" si="170"/>
        <v>DALI_14.16_300_NL2018</v>
      </c>
      <c r="G1179" s="13" t="s">
        <v>46</v>
      </c>
      <c r="H1179" s="12"/>
      <c r="I1179" s="12" t="s">
        <v>47</v>
      </c>
      <c r="J1179" s="31" t="s">
        <v>124</v>
      </c>
      <c r="K1179" s="15" t="s">
        <v>28</v>
      </c>
      <c r="L1179" s="15"/>
      <c r="M1179" s="16">
        <f t="shared" si="171"/>
        <v>0</v>
      </c>
      <c r="N1179" s="15">
        <f>6000-6000</f>
        <v>0</v>
      </c>
      <c r="O1179" s="15">
        <v>5600</v>
      </c>
      <c r="P1179" s="15">
        <f t="shared" si="176"/>
        <v>0</v>
      </c>
      <c r="Q1179" s="15" t="str">
        <f t="shared" si="177"/>
        <v>Canceled</v>
      </c>
      <c r="R1179" s="18" t="s">
        <v>71</v>
      </c>
      <c r="S1179" s="23">
        <v>43641</v>
      </c>
      <c r="T1179" s="20">
        <f>IFERROR(VLOOKUP(S1179,'Date Converter'!$A$4:$C$368,3,0),"")</f>
        <v>43673</v>
      </c>
      <c r="U1179" s="21">
        <f t="shared" si="175"/>
        <v>43673</v>
      </c>
      <c r="V1179" s="12"/>
      <c r="W1179" s="18"/>
      <c r="X1179" s="18"/>
      <c r="Y1179" s="12"/>
      <c r="Z1179" s="206"/>
      <c r="AA1179" s="15"/>
      <c r="AB1179" s="206"/>
      <c r="AC1179" s="12"/>
      <c r="AD1179" s="206"/>
      <c r="AE1179" s="12"/>
      <c r="AF1179" s="245"/>
      <c r="AG1179" s="12"/>
      <c r="AH1179" s="15">
        <f t="shared" si="172"/>
        <v>0</v>
      </c>
      <c r="AI1179" s="22">
        <f t="shared" si="173"/>
        <v>0</v>
      </c>
      <c r="AJ1179" s="22">
        <f t="shared" si="174"/>
        <v>0</v>
      </c>
    </row>
    <row r="1180" spans="1:38" s="165" customFormat="1" hidden="1">
      <c r="A1180" s="165" t="s">
        <v>1588</v>
      </c>
      <c r="B1180" s="13">
        <v>43610</v>
      </c>
      <c r="C1180" s="13" t="s">
        <v>23</v>
      </c>
      <c r="D1180" s="165" t="s">
        <v>1590</v>
      </c>
      <c r="E1180" s="13" t="s">
        <v>1589</v>
      </c>
      <c r="F1180" s="165" t="str">
        <f t="shared" si="170"/>
        <v>DALI_14.16_300_NL2018</v>
      </c>
      <c r="G1180" s="13" t="s">
        <v>46</v>
      </c>
      <c r="H1180" s="12"/>
      <c r="I1180" s="12" t="s">
        <v>47</v>
      </c>
      <c r="J1180" s="31" t="s">
        <v>124</v>
      </c>
      <c r="K1180" s="15" t="s">
        <v>28</v>
      </c>
      <c r="L1180" s="15"/>
      <c r="M1180" s="16">
        <f t="shared" si="171"/>
        <v>23</v>
      </c>
      <c r="N1180" s="15">
        <v>6900</v>
      </c>
      <c r="O1180" s="15">
        <v>5700</v>
      </c>
      <c r="P1180" s="15">
        <f t="shared" si="176"/>
        <v>39330000</v>
      </c>
      <c r="Q1180" s="15" t="str">
        <f t="shared" si="177"/>
        <v/>
      </c>
      <c r="R1180" s="18" t="s">
        <v>29</v>
      </c>
      <c r="S1180" s="23">
        <v>43671</v>
      </c>
      <c r="T1180" s="20">
        <f>IFERROR(VLOOKUP(S1180,'Date Converter'!$A$4:$C$368,3,0),"")</f>
        <v>43702</v>
      </c>
      <c r="U1180" s="21">
        <f t="shared" si="175"/>
        <v>43702</v>
      </c>
      <c r="V1180" s="12"/>
      <c r="W1180" s="18"/>
      <c r="X1180" s="18"/>
      <c r="Y1180" s="12"/>
      <c r="Z1180" s="206"/>
      <c r="AA1180" s="15"/>
      <c r="AB1180" s="206"/>
      <c r="AC1180" s="12"/>
      <c r="AD1180" s="206"/>
      <c r="AE1180" s="12"/>
      <c r="AF1180" s="245"/>
      <c r="AG1180" s="12"/>
      <c r="AH1180" s="15">
        <f t="shared" si="172"/>
        <v>0</v>
      </c>
      <c r="AI1180" s="22">
        <f t="shared" si="173"/>
        <v>6900</v>
      </c>
      <c r="AJ1180" s="22">
        <f t="shared" si="174"/>
        <v>39330000</v>
      </c>
    </row>
    <row r="1181" spans="1:38" s="165" customFormat="1" hidden="1">
      <c r="A1181" s="165" t="s">
        <v>1588</v>
      </c>
      <c r="B1181" s="13">
        <v>43642</v>
      </c>
      <c r="C1181" s="13" t="s">
        <v>23</v>
      </c>
      <c r="D1181" s="165" t="s">
        <v>1590</v>
      </c>
      <c r="E1181" s="13" t="s">
        <v>1589</v>
      </c>
      <c r="F1181" s="165" t="str">
        <f t="shared" ref="F1181" si="178">SUBSTITUTE(LEFT(G1181,4)&amp;"_"&amp;H1181&amp;"_"&amp;I1181&amp;"_"&amp;J1181&amp;"_"&amp;K1181,"__","_")</f>
        <v>LARG_16.18_200_NL2018</v>
      </c>
      <c r="G1181" s="13" t="s">
        <v>70</v>
      </c>
      <c r="H1181" s="12"/>
      <c r="I1181" s="12" t="s">
        <v>35</v>
      </c>
      <c r="J1181" s="31" t="s">
        <v>121</v>
      </c>
      <c r="K1181" s="15" t="s">
        <v>28</v>
      </c>
      <c r="L1181" s="15"/>
      <c r="M1181" s="16">
        <f t="shared" si="171"/>
        <v>5</v>
      </c>
      <c r="N1181" s="15">
        <v>1000</v>
      </c>
      <c r="O1181" s="15">
        <v>5900</v>
      </c>
      <c r="P1181" s="15">
        <f t="shared" si="176"/>
        <v>5900000</v>
      </c>
      <c r="Q1181" s="15" t="str">
        <f t="shared" si="177"/>
        <v/>
      </c>
      <c r="R1181" s="18" t="s">
        <v>63</v>
      </c>
      <c r="S1181" s="23">
        <v>43590</v>
      </c>
      <c r="T1181" s="20">
        <f>IFERROR(VLOOKUP(S1181,'Date Converter'!$A$4:$C$368,3,0),"")</f>
        <v>43623</v>
      </c>
      <c r="U1181" s="21">
        <f t="shared" ref="U1181" si="179">+T1181</f>
        <v>43623</v>
      </c>
      <c r="V1181" s="12" t="s">
        <v>2407</v>
      </c>
      <c r="W1181" s="18"/>
      <c r="X1181" s="18"/>
      <c r="Y1181" s="12"/>
      <c r="Z1181" s="206"/>
      <c r="AA1181" s="15"/>
      <c r="AB1181" s="206"/>
      <c r="AC1181" s="12"/>
      <c r="AD1181" s="206"/>
      <c r="AE1181" s="12"/>
      <c r="AF1181" s="245"/>
      <c r="AG1181" s="12"/>
      <c r="AH1181" s="15">
        <f t="shared" ref="AH1181" si="180">+AA1181+AC1181+AE1181+AG1181</f>
        <v>0</v>
      </c>
      <c r="AI1181" s="22">
        <f t="shared" ref="AI1181" si="181">+N1181-AH1181</f>
        <v>1000</v>
      </c>
      <c r="AJ1181" s="22">
        <f t="shared" ref="AJ1181" si="182">+AI1181*O1181</f>
        <v>5900000</v>
      </c>
    </row>
    <row r="1182" spans="1:38" s="165" customFormat="1" hidden="1">
      <c r="A1182" s="165" t="s">
        <v>1588</v>
      </c>
      <c r="B1182" s="13">
        <v>43635</v>
      </c>
      <c r="C1182" s="13" t="s">
        <v>23</v>
      </c>
      <c r="D1182" s="165" t="s">
        <v>1590</v>
      </c>
      <c r="E1182" s="13" t="s">
        <v>1589</v>
      </c>
      <c r="F1182" s="165" t="str">
        <f t="shared" si="170"/>
        <v>CONC_16.18_200_NL2018</v>
      </c>
      <c r="G1182" s="13" t="s">
        <v>40</v>
      </c>
      <c r="H1182" s="12"/>
      <c r="I1182" s="12" t="s">
        <v>35</v>
      </c>
      <c r="J1182" s="31" t="s">
        <v>121</v>
      </c>
      <c r="K1182" s="15" t="s">
        <v>28</v>
      </c>
      <c r="L1182" s="15"/>
      <c r="M1182" s="16">
        <f t="shared" si="171"/>
        <v>15</v>
      </c>
      <c r="N1182" s="15">
        <v>3000</v>
      </c>
      <c r="O1182" s="15">
        <v>6500</v>
      </c>
      <c r="P1182" s="15">
        <f t="shared" si="176"/>
        <v>19500000</v>
      </c>
      <c r="Q1182" s="15" t="str">
        <f t="shared" si="177"/>
        <v>Done</v>
      </c>
      <c r="R1182" s="18" t="s">
        <v>44</v>
      </c>
      <c r="S1182" s="23">
        <v>43603</v>
      </c>
      <c r="T1182" s="20">
        <f>IFERROR(VLOOKUP(S1182,'Date Converter'!$A$4:$C$368,3,0),"")</f>
        <v>43636</v>
      </c>
      <c r="U1182" s="21">
        <f t="shared" si="175"/>
        <v>43636</v>
      </c>
      <c r="V1182" s="12"/>
      <c r="W1182" s="18"/>
      <c r="X1182" s="18"/>
      <c r="Y1182" s="12"/>
      <c r="Z1182" s="206">
        <v>43640</v>
      </c>
      <c r="AA1182" s="15">
        <v>3000</v>
      </c>
      <c r="AB1182" s="206"/>
      <c r="AC1182" s="12"/>
      <c r="AD1182" s="206"/>
      <c r="AE1182" s="12"/>
      <c r="AF1182" s="245"/>
      <c r="AG1182" s="12"/>
      <c r="AH1182" s="15">
        <f t="shared" si="172"/>
        <v>3000</v>
      </c>
      <c r="AI1182" s="22">
        <f t="shared" si="173"/>
        <v>0</v>
      </c>
      <c r="AJ1182" s="22">
        <f t="shared" si="174"/>
        <v>0</v>
      </c>
    </row>
    <row r="1183" spans="1:38" s="165" customFormat="1" hidden="1">
      <c r="A1183" s="165" t="s">
        <v>1607</v>
      </c>
      <c r="B1183" s="13">
        <v>43610</v>
      </c>
      <c r="C1183" s="266" t="s">
        <v>23</v>
      </c>
      <c r="D1183" s="258" t="s">
        <v>1590</v>
      </c>
      <c r="E1183" s="13" t="s">
        <v>1589</v>
      </c>
      <c r="F1183" s="165" t="str">
        <f t="shared" si="170"/>
        <v>CONC_20.22_125_NL2018</v>
      </c>
      <c r="G1183" s="13" t="s">
        <v>40</v>
      </c>
      <c r="H1183" s="12"/>
      <c r="I1183" s="12" t="s">
        <v>74</v>
      </c>
      <c r="J1183" s="31" t="s">
        <v>122</v>
      </c>
      <c r="K1183" s="15" t="s">
        <v>28</v>
      </c>
      <c r="L1183" s="15"/>
      <c r="M1183" s="16">
        <f t="shared" si="171"/>
        <v>16</v>
      </c>
      <c r="N1183" s="15">
        <f>5000-3000</f>
        <v>2000</v>
      </c>
      <c r="O1183" s="15">
        <v>10600</v>
      </c>
      <c r="P1183" s="15">
        <f t="shared" si="176"/>
        <v>21200000</v>
      </c>
      <c r="Q1183" s="15" t="str">
        <f t="shared" si="177"/>
        <v/>
      </c>
      <c r="R1183" s="18" t="s">
        <v>29</v>
      </c>
      <c r="S1183" s="23">
        <v>43709</v>
      </c>
      <c r="T1183" s="20">
        <f>IFERROR(VLOOKUP(S1183,'Date Converter'!$A$4:$C$368,3,0),"")</f>
        <v>43737</v>
      </c>
      <c r="U1183" s="21">
        <f t="shared" si="175"/>
        <v>43737</v>
      </c>
      <c r="V1183" s="12"/>
      <c r="W1183" s="18"/>
      <c r="X1183" s="18"/>
      <c r="Y1183" s="12"/>
      <c r="Z1183" s="206"/>
      <c r="AA1183" s="15"/>
      <c r="AB1183" s="206"/>
      <c r="AC1183" s="12"/>
      <c r="AD1183" s="206"/>
      <c r="AE1183" s="12"/>
      <c r="AF1183" s="245"/>
      <c r="AG1183" s="12"/>
      <c r="AH1183" s="15">
        <f t="shared" si="172"/>
        <v>0</v>
      </c>
      <c r="AI1183" s="22">
        <f t="shared" si="173"/>
        <v>2000</v>
      </c>
      <c r="AJ1183" s="22">
        <f t="shared" si="174"/>
        <v>21200000</v>
      </c>
    </row>
    <row r="1184" spans="1:38" s="165" customFormat="1" hidden="1">
      <c r="A1184" s="165" t="s">
        <v>1607</v>
      </c>
      <c r="B1184" s="13">
        <v>43626</v>
      </c>
      <c r="C1184" s="266" t="s">
        <v>23</v>
      </c>
      <c r="D1184" s="258" t="s">
        <v>1590</v>
      </c>
      <c r="E1184" s="13" t="s">
        <v>1589</v>
      </c>
      <c r="F1184" s="165" t="str">
        <f t="shared" si="170"/>
        <v>CONC_20.22_125_NL2018</v>
      </c>
      <c r="G1184" s="13" t="s">
        <v>40</v>
      </c>
      <c r="H1184" s="12"/>
      <c r="I1184" s="12" t="s">
        <v>74</v>
      </c>
      <c r="J1184" s="31" t="s">
        <v>122</v>
      </c>
      <c r="K1184" s="15" t="s">
        <v>28</v>
      </c>
      <c r="L1184" s="15"/>
      <c r="M1184" s="16">
        <f t="shared" si="171"/>
        <v>16</v>
      </c>
      <c r="N1184" s="15">
        <v>2000</v>
      </c>
      <c r="O1184" s="15">
        <v>10600</v>
      </c>
      <c r="P1184" s="15">
        <f t="shared" si="176"/>
        <v>21200000</v>
      </c>
      <c r="Q1184" s="15" t="str">
        <f t="shared" si="177"/>
        <v/>
      </c>
      <c r="R1184" s="18" t="s">
        <v>29</v>
      </c>
      <c r="S1184" s="23">
        <v>43709</v>
      </c>
      <c r="T1184" s="20">
        <f>IFERROR(VLOOKUP(S1184,'Date Converter'!$A$4:$C$368,3,0),"")</f>
        <v>43737</v>
      </c>
      <c r="U1184" s="21">
        <f t="shared" si="175"/>
        <v>43737</v>
      </c>
      <c r="V1184" s="12"/>
      <c r="W1184" s="18"/>
      <c r="X1184" s="18"/>
      <c r="Y1184" s="12"/>
      <c r="Z1184" s="206"/>
      <c r="AA1184" s="15"/>
      <c r="AB1184" s="206"/>
      <c r="AC1184" s="12"/>
      <c r="AD1184" s="206"/>
      <c r="AE1184" s="12"/>
      <c r="AF1184" s="245"/>
      <c r="AG1184" s="12"/>
      <c r="AH1184" s="15">
        <f t="shared" si="172"/>
        <v>0</v>
      </c>
      <c r="AI1184" s="22">
        <f t="shared" si="173"/>
        <v>2000</v>
      </c>
      <c r="AJ1184" s="22">
        <f t="shared" si="174"/>
        <v>21200000</v>
      </c>
      <c r="AL1184" s="198"/>
    </row>
    <row r="1185" spans="1:38" s="165" customFormat="1" hidden="1">
      <c r="A1185" s="165" t="s">
        <v>1709</v>
      </c>
      <c r="B1185" s="13">
        <v>43535</v>
      </c>
      <c r="C1185" s="13" t="s">
        <v>1622</v>
      </c>
      <c r="D1185" s="165" t="s">
        <v>800</v>
      </c>
      <c r="E1185" s="13" t="s">
        <v>801</v>
      </c>
      <c r="F1185" s="165" t="str">
        <f t="shared" si="170"/>
        <v>YELL_14.16_300_NL2018</v>
      </c>
      <c r="G1185" s="13" t="s">
        <v>89</v>
      </c>
      <c r="H1185" s="12"/>
      <c r="I1185" s="12">
        <v>14.16</v>
      </c>
      <c r="J1185" s="14">
        <v>300</v>
      </c>
      <c r="K1185" s="15" t="s">
        <v>28</v>
      </c>
      <c r="L1185" s="15"/>
      <c r="M1185" s="16">
        <f t="shared" si="171"/>
        <v>0</v>
      </c>
      <c r="N1185" s="15">
        <f>4200-4200</f>
        <v>0</v>
      </c>
      <c r="O1185" s="15">
        <v>3800</v>
      </c>
      <c r="P1185" s="15">
        <f t="shared" si="176"/>
        <v>0</v>
      </c>
      <c r="Q1185" s="15" t="str">
        <f t="shared" si="177"/>
        <v>Canceled</v>
      </c>
      <c r="R1185" s="18" t="s">
        <v>71</v>
      </c>
      <c r="S1185" s="117">
        <v>43539</v>
      </c>
      <c r="T1185" s="20">
        <f>IFERROR(VLOOKUP(S1185,'Date Converter'!$A$4:$C$368,3,0),"")</f>
        <v>43574</v>
      </c>
      <c r="U1185" s="21">
        <f t="shared" si="175"/>
        <v>43574</v>
      </c>
      <c r="V1185" s="12" t="s">
        <v>57</v>
      </c>
      <c r="W1185" s="18" t="s">
        <v>132</v>
      </c>
      <c r="X1185" s="18"/>
      <c r="Y1185" s="18"/>
      <c r="Z1185" s="206"/>
      <c r="AA1185" s="15">
        <v>0</v>
      </c>
      <c r="AB1185" s="206"/>
      <c r="AC1185" s="12"/>
      <c r="AD1185" s="12"/>
      <c r="AE1185" s="12"/>
      <c r="AF1185" s="245"/>
      <c r="AG1185" s="12"/>
      <c r="AH1185" s="15">
        <f t="shared" si="172"/>
        <v>0</v>
      </c>
      <c r="AI1185" s="22">
        <f t="shared" si="173"/>
        <v>0</v>
      </c>
      <c r="AJ1185" s="22">
        <f t="shared" si="174"/>
        <v>0</v>
      </c>
      <c r="AL1185" s="198"/>
    </row>
    <row r="1186" spans="1:38" s="165" customFormat="1" hidden="1">
      <c r="A1186" s="165" t="s">
        <v>2368</v>
      </c>
      <c r="B1186" s="13">
        <v>43637</v>
      </c>
      <c r="C1186" s="267" t="s">
        <v>1622</v>
      </c>
      <c r="D1186" s="258" t="s">
        <v>800</v>
      </c>
      <c r="E1186" s="13" t="s">
        <v>801</v>
      </c>
      <c r="F1186" s="165" t="str">
        <f t="shared" si="170"/>
        <v>TARR_20.22_125_NL2018</v>
      </c>
      <c r="G1186" s="13" t="s">
        <v>62</v>
      </c>
      <c r="H1186" s="12"/>
      <c r="I1186" s="12" t="s">
        <v>74</v>
      </c>
      <c r="J1186" s="31" t="s">
        <v>122</v>
      </c>
      <c r="K1186" s="15" t="s">
        <v>28</v>
      </c>
      <c r="L1186" s="15"/>
      <c r="M1186" s="16">
        <f t="shared" si="171"/>
        <v>40</v>
      </c>
      <c r="N1186" s="15">
        <v>5000</v>
      </c>
      <c r="O1186" s="15">
        <v>11000</v>
      </c>
      <c r="P1186" s="15">
        <f t="shared" si="176"/>
        <v>55000000</v>
      </c>
      <c r="Q1186" s="15" t="str">
        <f t="shared" si="177"/>
        <v/>
      </c>
      <c r="R1186" s="18" t="s">
        <v>29</v>
      </c>
      <c r="S1186" s="23">
        <v>43709</v>
      </c>
      <c r="T1186" s="20">
        <f>IFERROR(VLOOKUP(S1186,'Date Converter'!$A$4:$C$368,3,0),"")</f>
        <v>43737</v>
      </c>
      <c r="U1186" s="21">
        <f t="shared" si="175"/>
        <v>43737</v>
      </c>
      <c r="V1186" s="12"/>
      <c r="W1186" s="18"/>
      <c r="X1186" s="18"/>
      <c r="Y1186" s="18"/>
      <c r="Z1186" s="206"/>
      <c r="AA1186" s="15"/>
      <c r="AB1186" s="206"/>
      <c r="AC1186" s="12"/>
      <c r="AD1186" s="12"/>
      <c r="AE1186" s="12"/>
      <c r="AF1186" s="245"/>
      <c r="AG1186" s="12"/>
      <c r="AH1186" s="15">
        <f t="shared" si="172"/>
        <v>0</v>
      </c>
      <c r="AI1186" s="22">
        <f t="shared" si="173"/>
        <v>5000</v>
      </c>
      <c r="AJ1186" s="22">
        <f t="shared" si="174"/>
        <v>55000000</v>
      </c>
      <c r="AL1186" s="198"/>
    </row>
    <row r="1187" spans="1:38" s="165" customFormat="1" hidden="1">
      <c r="A1187" s="165" t="s">
        <v>2368</v>
      </c>
      <c r="B1187" s="13">
        <v>43637</v>
      </c>
      <c r="C1187" s="267" t="s">
        <v>1622</v>
      </c>
      <c r="D1187" s="258" t="s">
        <v>800</v>
      </c>
      <c r="E1187" s="13" t="s">
        <v>801</v>
      </c>
      <c r="F1187" s="165" t="str">
        <f t="shared" si="170"/>
        <v>ROBI_24.26_80_NL2018</v>
      </c>
      <c r="G1187" s="13" t="s">
        <v>61</v>
      </c>
      <c r="H1187" s="12"/>
      <c r="I1187" s="24" t="s">
        <v>220</v>
      </c>
      <c r="J1187" s="14">
        <v>80</v>
      </c>
      <c r="K1187" s="15" t="s">
        <v>28</v>
      </c>
      <c r="L1187" s="15"/>
      <c r="M1187" s="16">
        <f t="shared" si="171"/>
        <v>63</v>
      </c>
      <c r="N1187" s="15">
        <v>5040</v>
      </c>
      <c r="O1187" s="15">
        <v>15300</v>
      </c>
      <c r="P1187" s="15">
        <f t="shared" si="176"/>
        <v>77112000</v>
      </c>
      <c r="Q1187" s="15" t="str">
        <f t="shared" si="177"/>
        <v/>
      </c>
      <c r="R1187" s="18" t="s">
        <v>29</v>
      </c>
      <c r="S1187" s="23">
        <v>43709</v>
      </c>
      <c r="T1187" s="20">
        <f>IFERROR(VLOOKUP(S1187,'Date Converter'!$A$4:$C$368,3,0),"")</f>
        <v>43737</v>
      </c>
      <c r="U1187" s="21">
        <f t="shared" si="175"/>
        <v>43737</v>
      </c>
      <c r="V1187" s="12"/>
      <c r="W1187" s="18"/>
      <c r="X1187" s="18"/>
      <c r="Y1187" s="18"/>
      <c r="Z1187" s="206"/>
      <c r="AA1187" s="15"/>
      <c r="AB1187" s="206"/>
      <c r="AC1187" s="12"/>
      <c r="AD1187" s="12"/>
      <c r="AE1187" s="12"/>
      <c r="AF1187" s="245"/>
      <c r="AG1187" s="12"/>
      <c r="AH1187" s="15">
        <f t="shared" si="172"/>
        <v>0</v>
      </c>
      <c r="AI1187" s="22">
        <f t="shared" si="173"/>
        <v>5040</v>
      </c>
      <c r="AJ1187" s="22">
        <f t="shared" si="174"/>
        <v>77112000</v>
      </c>
      <c r="AL1187" s="198"/>
    </row>
    <row r="1188" spans="1:38" s="165" customFormat="1" hidden="1">
      <c r="A1188" s="165" t="s">
        <v>1709</v>
      </c>
      <c r="B1188" s="13">
        <v>43535</v>
      </c>
      <c r="C1188" s="13" t="s">
        <v>1622</v>
      </c>
      <c r="D1188" s="165" t="s">
        <v>800</v>
      </c>
      <c r="E1188" s="13" t="s">
        <v>801</v>
      </c>
      <c r="F1188" s="165" t="str">
        <f t="shared" si="170"/>
        <v>PARA_14.16_300_NL2018</v>
      </c>
      <c r="G1188" s="13" t="s">
        <v>490</v>
      </c>
      <c r="H1188" s="12"/>
      <c r="I1188" s="12">
        <v>14.16</v>
      </c>
      <c r="J1188" s="14">
        <v>300</v>
      </c>
      <c r="K1188" s="15" t="s">
        <v>28</v>
      </c>
      <c r="L1188" s="15"/>
      <c r="M1188" s="16">
        <f t="shared" si="171"/>
        <v>0</v>
      </c>
      <c r="N1188" s="15">
        <f>5100-5100</f>
        <v>0</v>
      </c>
      <c r="O1188" s="15">
        <v>4800</v>
      </c>
      <c r="P1188" s="15">
        <f t="shared" si="176"/>
        <v>0</v>
      </c>
      <c r="Q1188" s="15" t="str">
        <f t="shared" si="177"/>
        <v>Canceled</v>
      </c>
      <c r="R1188" s="18" t="s">
        <v>71</v>
      </c>
      <c r="S1188" s="117">
        <v>43539</v>
      </c>
      <c r="T1188" s="20">
        <f>IFERROR(VLOOKUP(S1188,'Date Converter'!$A$4:$C$368,3,0),"")</f>
        <v>43574</v>
      </c>
      <c r="U1188" s="21">
        <f t="shared" si="175"/>
        <v>43574</v>
      </c>
      <c r="V1188" s="12" t="s">
        <v>57</v>
      </c>
      <c r="W1188" s="18" t="s">
        <v>132</v>
      </c>
      <c r="X1188" s="18"/>
      <c r="Y1188" s="18"/>
      <c r="Z1188" s="206"/>
      <c r="AA1188" s="15">
        <v>0</v>
      </c>
      <c r="AB1188" s="206"/>
      <c r="AC1188" s="12"/>
      <c r="AD1188" s="12"/>
      <c r="AE1188" s="12"/>
      <c r="AF1188" s="245"/>
      <c r="AG1188" s="12"/>
      <c r="AH1188" s="15">
        <f t="shared" si="172"/>
        <v>0</v>
      </c>
      <c r="AI1188" s="22">
        <f t="shared" si="173"/>
        <v>0</v>
      </c>
      <c r="AJ1188" s="22">
        <f t="shared" si="174"/>
        <v>0</v>
      </c>
      <c r="AL1188" s="198"/>
    </row>
    <row r="1189" spans="1:38" s="165" customFormat="1" hidden="1">
      <c r="A1189" s="165" t="s">
        <v>1709</v>
      </c>
      <c r="B1189" s="13">
        <v>43535</v>
      </c>
      <c r="C1189" s="13" t="s">
        <v>1622</v>
      </c>
      <c r="D1189" s="165" t="s">
        <v>800</v>
      </c>
      <c r="E1189" s="13" t="s">
        <v>801</v>
      </c>
      <c r="F1189" s="165" t="str">
        <f t="shared" si="170"/>
        <v>MANI_14.16_300_NL2018</v>
      </c>
      <c r="G1189" s="13" t="s">
        <v>105</v>
      </c>
      <c r="H1189" s="12"/>
      <c r="I1189" s="12">
        <v>14.16</v>
      </c>
      <c r="J1189" s="14">
        <v>300</v>
      </c>
      <c r="K1189" s="15" t="s">
        <v>28</v>
      </c>
      <c r="L1189" s="15"/>
      <c r="M1189" s="16">
        <f t="shared" si="171"/>
        <v>0</v>
      </c>
      <c r="N1189" s="15">
        <f>3000-3000</f>
        <v>0</v>
      </c>
      <c r="O1189" s="15">
        <v>3600</v>
      </c>
      <c r="P1189" s="15">
        <f t="shared" si="176"/>
        <v>0</v>
      </c>
      <c r="Q1189" s="15" t="str">
        <f t="shared" si="177"/>
        <v>Canceled</v>
      </c>
      <c r="R1189" s="18" t="s">
        <v>71</v>
      </c>
      <c r="S1189" s="117">
        <v>43539</v>
      </c>
      <c r="T1189" s="20">
        <f>IFERROR(VLOOKUP(S1189,'Date Converter'!$A$4:$C$368,3,0),"")</f>
        <v>43574</v>
      </c>
      <c r="U1189" s="21">
        <f t="shared" si="175"/>
        <v>43574</v>
      </c>
      <c r="V1189" s="12" t="s">
        <v>57</v>
      </c>
      <c r="W1189" s="18" t="s">
        <v>132</v>
      </c>
      <c r="X1189" s="18"/>
      <c r="Y1189" s="18"/>
      <c r="Z1189" s="206"/>
      <c r="AA1189" s="15">
        <v>0</v>
      </c>
      <c r="AB1189" s="206"/>
      <c r="AC1189" s="12"/>
      <c r="AD1189" s="12"/>
      <c r="AE1189" s="12"/>
      <c r="AF1189" s="245"/>
      <c r="AG1189" s="12"/>
      <c r="AH1189" s="15">
        <f t="shared" si="172"/>
        <v>0</v>
      </c>
      <c r="AI1189" s="22">
        <f t="shared" si="173"/>
        <v>0</v>
      </c>
      <c r="AJ1189" s="22">
        <f t="shared" si="174"/>
        <v>0</v>
      </c>
      <c r="AL1189" s="198"/>
    </row>
    <row r="1190" spans="1:38" s="165" customFormat="1" hidden="1">
      <c r="A1190" s="165" t="s">
        <v>2368</v>
      </c>
      <c r="B1190" s="13">
        <v>43637</v>
      </c>
      <c r="C1190" s="267" t="s">
        <v>1622</v>
      </c>
      <c r="D1190" s="258" t="s">
        <v>800</v>
      </c>
      <c r="E1190" s="13" t="s">
        <v>801</v>
      </c>
      <c r="F1190" s="165" t="str">
        <f t="shared" si="170"/>
        <v>CONC_24.26_80_NL2018</v>
      </c>
      <c r="G1190" s="13" t="s">
        <v>40</v>
      </c>
      <c r="H1190" s="12"/>
      <c r="I1190" s="24" t="s">
        <v>220</v>
      </c>
      <c r="J1190" s="14">
        <v>80</v>
      </c>
      <c r="K1190" s="15" t="s">
        <v>28</v>
      </c>
      <c r="L1190" s="15"/>
      <c r="M1190" s="16">
        <f t="shared" si="171"/>
        <v>63</v>
      </c>
      <c r="N1190" s="15">
        <v>5040</v>
      </c>
      <c r="O1190" s="15">
        <v>15200</v>
      </c>
      <c r="P1190" s="15">
        <f t="shared" si="176"/>
        <v>76608000</v>
      </c>
      <c r="Q1190" s="15" t="str">
        <f t="shared" si="177"/>
        <v/>
      </c>
      <c r="R1190" s="18" t="s">
        <v>29</v>
      </c>
      <c r="S1190" s="23">
        <v>43709</v>
      </c>
      <c r="T1190" s="20">
        <f>IFERROR(VLOOKUP(S1190,'Date Converter'!$A$4:$C$368,3,0),"")</f>
        <v>43737</v>
      </c>
      <c r="U1190" s="21">
        <f t="shared" si="175"/>
        <v>43737</v>
      </c>
      <c r="V1190" s="12"/>
      <c r="W1190" s="18"/>
      <c r="X1190" s="18"/>
      <c r="Y1190" s="18"/>
      <c r="Z1190" s="206"/>
      <c r="AA1190" s="15"/>
      <c r="AB1190" s="206"/>
      <c r="AC1190" s="12"/>
      <c r="AD1190" s="12"/>
      <c r="AE1190" s="12"/>
      <c r="AF1190" s="245"/>
      <c r="AG1190" s="12"/>
      <c r="AH1190" s="15">
        <f t="shared" si="172"/>
        <v>0</v>
      </c>
      <c r="AI1190" s="22">
        <f t="shared" si="173"/>
        <v>5040</v>
      </c>
      <c r="AJ1190" s="22">
        <f t="shared" si="174"/>
        <v>76608000</v>
      </c>
      <c r="AL1190" s="198"/>
    </row>
    <row r="1191" spans="1:38" s="165" customFormat="1" hidden="1">
      <c r="A1191" s="165" t="s">
        <v>1877</v>
      </c>
      <c r="B1191" s="13">
        <v>43629</v>
      </c>
      <c r="C1191" s="13" t="s">
        <v>23</v>
      </c>
      <c r="D1191" s="165" t="s">
        <v>290</v>
      </c>
      <c r="E1191" s="119" t="s">
        <v>291</v>
      </c>
      <c r="F1191" s="165" t="str">
        <f t="shared" si="170"/>
        <v>YELL_14.16_300_NL2018</v>
      </c>
      <c r="G1191" s="13" t="s">
        <v>89</v>
      </c>
      <c r="H1191" s="12"/>
      <c r="I1191" s="12" t="s">
        <v>47</v>
      </c>
      <c r="J1191" s="31" t="s">
        <v>124</v>
      </c>
      <c r="K1191" s="15" t="s">
        <v>28</v>
      </c>
      <c r="L1191" s="15"/>
      <c r="M1191" s="16">
        <f t="shared" si="171"/>
        <v>20</v>
      </c>
      <c r="N1191" s="15">
        <f>3000+3000</f>
        <v>6000</v>
      </c>
      <c r="O1191" s="15">
        <v>4000</v>
      </c>
      <c r="P1191" s="15">
        <f t="shared" si="176"/>
        <v>24000000</v>
      </c>
      <c r="Q1191" s="15" t="str">
        <f t="shared" si="177"/>
        <v/>
      </c>
      <c r="R1191" s="18" t="s">
        <v>31</v>
      </c>
      <c r="S1191" s="23">
        <v>43631</v>
      </c>
      <c r="T1191" s="20">
        <f>IFERROR(VLOOKUP(S1191,'Date Converter'!$A$4:$C$368,3,0),"")</f>
        <v>43663</v>
      </c>
      <c r="U1191" s="21">
        <f t="shared" si="175"/>
        <v>43663</v>
      </c>
      <c r="V1191" s="12"/>
      <c r="W1191" s="18"/>
      <c r="X1191" s="18"/>
      <c r="Y1191" s="12"/>
      <c r="Z1191" s="206"/>
      <c r="AA1191" s="15"/>
      <c r="AB1191" s="206"/>
      <c r="AC1191" s="12"/>
      <c r="AD1191" s="206"/>
      <c r="AE1191" s="12"/>
      <c r="AF1191" s="245"/>
      <c r="AG1191" s="12"/>
      <c r="AH1191" s="15">
        <f t="shared" si="172"/>
        <v>0</v>
      </c>
      <c r="AI1191" s="22">
        <f t="shared" si="173"/>
        <v>6000</v>
      </c>
      <c r="AJ1191" s="22">
        <f t="shared" si="174"/>
        <v>24000000</v>
      </c>
      <c r="AL1191" s="198"/>
    </row>
    <row r="1192" spans="1:38" s="165" customFormat="1" hidden="1">
      <c r="A1192" s="165" t="s">
        <v>1877</v>
      </c>
      <c r="B1192" s="13">
        <v>43629</v>
      </c>
      <c r="C1192" s="13" t="s">
        <v>23</v>
      </c>
      <c r="D1192" s="165" t="s">
        <v>290</v>
      </c>
      <c r="E1192" s="119" t="s">
        <v>291</v>
      </c>
      <c r="F1192" s="165" t="str">
        <f t="shared" si="170"/>
        <v>TARR_14.16_300_NL2018</v>
      </c>
      <c r="G1192" s="13" t="s">
        <v>62</v>
      </c>
      <c r="H1192" s="12"/>
      <c r="I1192" s="12" t="s">
        <v>47</v>
      </c>
      <c r="J1192" s="31" t="s">
        <v>124</v>
      </c>
      <c r="K1192" s="15" t="s">
        <v>28</v>
      </c>
      <c r="L1192" s="15"/>
      <c r="M1192" s="16">
        <f t="shared" si="171"/>
        <v>10</v>
      </c>
      <c r="N1192" s="15">
        <v>3000</v>
      </c>
      <c r="O1192" s="15">
        <v>5000</v>
      </c>
      <c r="P1192" s="15">
        <f t="shared" si="176"/>
        <v>15000000</v>
      </c>
      <c r="Q1192" s="15" t="str">
        <f t="shared" si="177"/>
        <v/>
      </c>
      <c r="R1192" s="18" t="s">
        <v>31</v>
      </c>
      <c r="S1192" s="23">
        <v>43631</v>
      </c>
      <c r="T1192" s="20">
        <f>IFERROR(VLOOKUP(S1192,'Date Converter'!$A$4:$C$368,3,0),"")</f>
        <v>43663</v>
      </c>
      <c r="U1192" s="21">
        <f t="shared" si="175"/>
        <v>43663</v>
      </c>
      <c r="V1192" s="12"/>
      <c r="W1192" s="18"/>
      <c r="X1192" s="18"/>
      <c r="Y1192" s="12"/>
      <c r="Z1192" s="206"/>
      <c r="AA1192" s="15"/>
      <c r="AB1192" s="206"/>
      <c r="AC1192" s="12"/>
      <c r="AD1192" s="206"/>
      <c r="AE1192" s="12"/>
      <c r="AF1192" s="245"/>
      <c r="AG1192" s="12"/>
      <c r="AH1192" s="15">
        <f t="shared" si="172"/>
        <v>0</v>
      </c>
      <c r="AI1192" s="22">
        <f t="shared" si="173"/>
        <v>3000</v>
      </c>
      <c r="AJ1192" s="22">
        <f t="shared" si="174"/>
        <v>15000000</v>
      </c>
      <c r="AL1192" s="198"/>
    </row>
    <row r="1193" spans="1:38" s="165" customFormat="1" hidden="1">
      <c r="A1193" s="165" t="s">
        <v>482</v>
      </c>
      <c r="B1193" s="13">
        <v>43542</v>
      </c>
      <c r="C1193" s="13" t="s">
        <v>23</v>
      </c>
      <c r="D1193" s="165" t="s">
        <v>290</v>
      </c>
      <c r="E1193" s="13" t="s">
        <v>291</v>
      </c>
      <c r="F1193" s="165" t="str">
        <f t="shared" si="170"/>
        <v>SERA_14.16_300_NL2018</v>
      </c>
      <c r="G1193" s="13" t="s">
        <v>227</v>
      </c>
      <c r="H1193" s="12"/>
      <c r="I1193" s="12" t="s">
        <v>47</v>
      </c>
      <c r="J1193" s="31" t="s">
        <v>124</v>
      </c>
      <c r="K1193" s="15" t="s">
        <v>28</v>
      </c>
      <c r="L1193" s="15"/>
      <c r="M1193" s="16">
        <f t="shared" si="171"/>
        <v>10</v>
      </c>
      <c r="N1193" s="15">
        <v>3000</v>
      </c>
      <c r="O1193" s="15">
        <v>3500</v>
      </c>
      <c r="P1193" s="15">
        <f t="shared" si="176"/>
        <v>10500000</v>
      </c>
      <c r="Q1193" s="15" t="str">
        <f t="shared" si="177"/>
        <v>Done</v>
      </c>
      <c r="R1193" s="18" t="s">
        <v>44</v>
      </c>
      <c r="S1193" s="23">
        <v>43524</v>
      </c>
      <c r="T1193" s="20">
        <f>IFERROR(VLOOKUP(S1193,'Date Converter'!$A$4:$C$368,3,0),"")</f>
        <v>43557</v>
      </c>
      <c r="U1193" s="21">
        <f t="shared" si="175"/>
        <v>43557</v>
      </c>
      <c r="V1193" s="12" t="s">
        <v>54</v>
      </c>
      <c r="W1193" s="18" t="s">
        <v>55</v>
      </c>
      <c r="X1193" s="18">
        <v>43555</v>
      </c>
      <c r="Y1193" s="12"/>
      <c r="Z1193" s="206">
        <v>43587</v>
      </c>
      <c r="AA1193" s="15">
        <v>3000</v>
      </c>
      <c r="AB1193" s="206"/>
      <c r="AC1193" s="12"/>
      <c r="AD1193" s="206"/>
      <c r="AE1193" s="12"/>
      <c r="AF1193" s="245"/>
      <c r="AG1193" s="12"/>
      <c r="AH1193" s="15">
        <f t="shared" si="172"/>
        <v>3000</v>
      </c>
      <c r="AI1193" s="22">
        <f t="shared" si="173"/>
        <v>0</v>
      </c>
      <c r="AJ1193" s="22">
        <f t="shared" si="174"/>
        <v>0</v>
      </c>
      <c r="AL1193" s="198"/>
    </row>
    <row r="1194" spans="1:38" s="165" customFormat="1" hidden="1">
      <c r="A1194" s="165" t="s">
        <v>482</v>
      </c>
      <c r="B1194" s="13">
        <v>43542</v>
      </c>
      <c r="C1194" s="13" t="s">
        <v>23</v>
      </c>
      <c r="D1194" s="165" t="s">
        <v>290</v>
      </c>
      <c r="E1194" s="119" t="s">
        <v>291</v>
      </c>
      <c r="F1194" s="165" t="str">
        <f t="shared" si="170"/>
        <v>SERA_14.16_300_NL2018</v>
      </c>
      <c r="G1194" s="13" t="s">
        <v>227</v>
      </c>
      <c r="H1194" s="12"/>
      <c r="I1194" s="12" t="s">
        <v>47</v>
      </c>
      <c r="J1194" s="31" t="s">
        <v>124</v>
      </c>
      <c r="K1194" s="15" t="s">
        <v>28</v>
      </c>
      <c r="L1194" s="15"/>
      <c r="M1194" s="16">
        <f t="shared" si="171"/>
        <v>10</v>
      </c>
      <c r="N1194" s="15">
        <v>3000</v>
      </c>
      <c r="O1194" s="15">
        <v>3500</v>
      </c>
      <c r="P1194" s="15">
        <f t="shared" si="176"/>
        <v>10500000</v>
      </c>
      <c r="Q1194" s="15" t="str">
        <f t="shared" si="177"/>
        <v/>
      </c>
      <c r="R1194" s="18" t="s">
        <v>63</v>
      </c>
      <c r="S1194" s="23">
        <v>43572</v>
      </c>
      <c r="T1194" s="20">
        <f>IFERROR(VLOOKUP(S1194,'Date Converter'!$A$4:$C$368,3,0),"")</f>
        <v>43606</v>
      </c>
      <c r="U1194" s="21">
        <f t="shared" si="175"/>
        <v>43606</v>
      </c>
      <c r="V1194" s="12" t="s">
        <v>36</v>
      </c>
      <c r="W1194" s="18"/>
      <c r="X1194" s="18"/>
      <c r="Y1194" s="12"/>
      <c r="Z1194" s="206"/>
      <c r="AA1194" s="15"/>
      <c r="AB1194" s="206"/>
      <c r="AC1194" s="12"/>
      <c r="AD1194" s="206"/>
      <c r="AE1194" s="12"/>
      <c r="AF1194" s="245"/>
      <c r="AG1194" s="12"/>
      <c r="AH1194" s="15">
        <f t="shared" si="172"/>
        <v>0</v>
      </c>
      <c r="AI1194" s="22">
        <f t="shared" si="173"/>
        <v>3000</v>
      </c>
      <c r="AJ1194" s="22">
        <f t="shared" si="174"/>
        <v>10500000</v>
      </c>
      <c r="AL1194" s="198"/>
    </row>
    <row r="1195" spans="1:38" s="165" customFormat="1" hidden="1">
      <c r="A1195" s="165" t="s">
        <v>482</v>
      </c>
      <c r="B1195" s="13">
        <v>43542</v>
      </c>
      <c r="C1195" s="13" t="s">
        <v>23</v>
      </c>
      <c r="D1195" s="165" t="s">
        <v>290</v>
      </c>
      <c r="E1195" s="119" t="s">
        <v>291</v>
      </c>
      <c r="F1195" s="165" t="str">
        <f t="shared" si="170"/>
        <v>SERA_14.16_300_NL2018</v>
      </c>
      <c r="G1195" s="13" t="s">
        <v>227</v>
      </c>
      <c r="H1195" s="12"/>
      <c r="I1195" s="12" t="s">
        <v>47</v>
      </c>
      <c r="J1195" s="31" t="s">
        <v>124</v>
      </c>
      <c r="K1195" s="15" t="s">
        <v>28</v>
      </c>
      <c r="L1195" s="15"/>
      <c r="M1195" s="16">
        <f t="shared" si="171"/>
        <v>10</v>
      </c>
      <c r="N1195" s="15">
        <v>3000</v>
      </c>
      <c r="O1195" s="15">
        <v>3700</v>
      </c>
      <c r="P1195" s="15">
        <f t="shared" si="176"/>
        <v>11100000</v>
      </c>
      <c r="Q1195" s="15" t="str">
        <f t="shared" si="177"/>
        <v/>
      </c>
      <c r="R1195" s="18" t="s">
        <v>63</v>
      </c>
      <c r="S1195" s="23">
        <v>43597</v>
      </c>
      <c r="T1195" s="20">
        <f>IFERROR(VLOOKUP(S1195,'Date Converter'!$A$4:$C$368,3,0),"")</f>
        <v>43630</v>
      </c>
      <c r="U1195" s="21">
        <f t="shared" si="175"/>
        <v>43630</v>
      </c>
      <c r="V1195" s="12" t="s">
        <v>1454</v>
      </c>
      <c r="W1195" s="18"/>
      <c r="X1195" s="18"/>
      <c r="Y1195" s="12"/>
      <c r="Z1195" s="206"/>
      <c r="AA1195" s="15"/>
      <c r="AB1195" s="206"/>
      <c r="AC1195" s="12"/>
      <c r="AD1195" s="206"/>
      <c r="AE1195" s="12"/>
      <c r="AF1195" s="245"/>
      <c r="AG1195" s="12"/>
      <c r="AH1195" s="15">
        <f t="shared" si="172"/>
        <v>0</v>
      </c>
      <c r="AI1195" s="22">
        <f t="shared" si="173"/>
        <v>3000</v>
      </c>
      <c r="AJ1195" s="22">
        <f t="shared" si="174"/>
        <v>11100000</v>
      </c>
      <c r="AL1195" s="198"/>
    </row>
    <row r="1196" spans="1:38" s="165" customFormat="1" hidden="1">
      <c r="A1196" s="165" t="s">
        <v>1877</v>
      </c>
      <c r="B1196" s="13">
        <v>43629</v>
      </c>
      <c r="C1196" s="13" t="s">
        <v>23</v>
      </c>
      <c r="D1196" s="165" t="s">
        <v>290</v>
      </c>
      <c r="E1196" s="119" t="s">
        <v>291</v>
      </c>
      <c r="F1196" s="165" t="str">
        <f t="shared" si="170"/>
        <v>ROBI_16.18_200_NL2018</v>
      </c>
      <c r="G1196" s="13" t="s">
        <v>61</v>
      </c>
      <c r="H1196" s="12"/>
      <c r="I1196" s="12" t="s">
        <v>35</v>
      </c>
      <c r="J1196" s="31" t="s">
        <v>121</v>
      </c>
      <c r="K1196" s="15" t="s">
        <v>28</v>
      </c>
      <c r="L1196" s="15"/>
      <c r="M1196" s="16">
        <f t="shared" si="171"/>
        <v>15</v>
      </c>
      <c r="N1196" s="15">
        <v>3000</v>
      </c>
      <c r="O1196" s="15">
        <v>5600</v>
      </c>
      <c r="P1196" s="15">
        <f t="shared" si="176"/>
        <v>16800000</v>
      </c>
      <c r="Q1196" s="15" t="str">
        <f t="shared" si="177"/>
        <v/>
      </c>
      <c r="R1196" s="18" t="s">
        <v>31</v>
      </c>
      <c r="S1196" s="23">
        <v>43631</v>
      </c>
      <c r="T1196" s="20">
        <f>IFERROR(VLOOKUP(S1196,'Date Converter'!$A$4:$C$368,3,0),"")</f>
        <v>43663</v>
      </c>
      <c r="U1196" s="21">
        <f t="shared" si="175"/>
        <v>43663</v>
      </c>
      <c r="V1196" s="12"/>
      <c r="W1196" s="18"/>
      <c r="X1196" s="18"/>
      <c r="Y1196" s="12"/>
      <c r="Z1196" s="206"/>
      <c r="AA1196" s="15"/>
      <c r="AB1196" s="206"/>
      <c r="AC1196" s="12"/>
      <c r="AD1196" s="206"/>
      <c r="AE1196" s="12"/>
      <c r="AF1196" s="245"/>
      <c r="AG1196" s="12"/>
      <c r="AH1196" s="15">
        <f t="shared" si="172"/>
        <v>0</v>
      </c>
      <c r="AI1196" s="22">
        <f t="shared" si="173"/>
        <v>3000</v>
      </c>
      <c r="AJ1196" s="22">
        <f t="shared" si="174"/>
        <v>16800000</v>
      </c>
      <c r="AL1196" s="198"/>
    </row>
    <row r="1197" spans="1:38" s="165" customFormat="1" hidden="1">
      <c r="A1197" s="165" t="s">
        <v>1409</v>
      </c>
      <c r="B1197" s="13">
        <v>43542</v>
      </c>
      <c r="C1197" s="13" t="s">
        <v>23</v>
      </c>
      <c r="D1197" s="258" t="s">
        <v>290</v>
      </c>
      <c r="E1197" s="119" t="s">
        <v>291</v>
      </c>
      <c r="F1197" s="165" t="str">
        <f t="shared" si="170"/>
        <v>ROBI_20.22_125_NL2018</v>
      </c>
      <c r="G1197" s="13" t="s">
        <v>61</v>
      </c>
      <c r="H1197" s="12"/>
      <c r="I1197" s="12" t="s">
        <v>74</v>
      </c>
      <c r="J1197" s="31" t="s">
        <v>122</v>
      </c>
      <c r="K1197" s="15" t="s">
        <v>28</v>
      </c>
      <c r="L1197" s="15"/>
      <c r="M1197" s="16">
        <f t="shared" si="171"/>
        <v>40</v>
      </c>
      <c r="N1197" s="15">
        <v>5000</v>
      </c>
      <c r="O1197" s="15">
        <v>10500</v>
      </c>
      <c r="P1197" s="15">
        <f t="shared" si="176"/>
        <v>52500000</v>
      </c>
      <c r="Q1197" s="15" t="str">
        <f t="shared" si="177"/>
        <v/>
      </c>
      <c r="R1197" s="18" t="s">
        <v>29</v>
      </c>
      <c r="S1197" s="23">
        <v>43709</v>
      </c>
      <c r="T1197" s="20">
        <f>IFERROR(VLOOKUP(S1197,'Date Converter'!$A$4:$C$368,3,0),"")</f>
        <v>43737</v>
      </c>
      <c r="U1197" s="21">
        <f t="shared" si="175"/>
        <v>43737</v>
      </c>
      <c r="V1197" s="12" t="s">
        <v>51</v>
      </c>
      <c r="W1197" s="18"/>
      <c r="X1197" s="18"/>
      <c r="Y1197" s="12"/>
      <c r="Z1197" s="206"/>
      <c r="AA1197" s="15"/>
      <c r="AB1197" s="206"/>
      <c r="AC1197" s="12"/>
      <c r="AD1197" s="206"/>
      <c r="AE1197" s="12"/>
      <c r="AF1197" s="245"/>
      <c r="AG1197" s="12"/>
      <c r="AH1197" s="15">
        <f t="shared" si="172"/>
        <v>0</v>
      </c>
      <c r="AI1197" s="22">
        <f t="shared" si="173"/>
        <v>5000</v>
      </c>
      <c r="AJ1197" s="22">
        <f t="shared" si="174"/>
        <v>52500000</v>
      </c>
      <c r="AL1197" s="198"/>
    </row>
    <row r="1198" spans="1:38" s="165" customFormat="1" hidden="1">
      <c r="A1198" s="165" t="s">
        <v>482</v>
      </c>
      <c r="B1198" s="13">
        <v>43542</v>
      </c>
      <c r="C1198" s="13" t="s">
        <v>23</v>
      </c>
      <c r="D1198" s="165" t="s">
        <v>290</v>
      </c>
      <c r="E1198" s="119" t="s">
        <v>291</v>
      </c>
      <c r="F1198" s="165" t="str">
        <f t="shared" si="170"/>
        <v>PROF_14.16_300_NL2018</v>
      </c>
      <c r="G1198" s="13" t="s">
        <v>56</v>
      </c>
      <c r="H1198" s="12"/>
      <c r="I1198" s="12" t="s">
        <v>47</v>
      </c>
      <c r="J1198" s="31" t="s">
        <v>124</v>
      </c>
      <c r="K1198" s="15" t="s">
        <v>28</v>
      </c>
      <c r="L1198" s="15"/>
      <c r="M1198" s="16">
        <f t="shared" si="171"/>
        <v>7</v>
      </c>
      <c r="N1198" s="15">
        <v>2100</v>
      </c>
      <c r="O1198" s="15">
        <v>5000</v>
      </c>
      <c r="P1198" s="15">
        <f t="shared" si="176"/>
        <v>10500000</v>
      </c>
      <c r="Q1198" s="15" t="str">
        <f t="shared" si="177"/>
        <v>Done</v>
      </c>
      <c r="R1198" s="18" t="s">
        <v>44</v>
      </c>
      <c r="S1198" s="23">
        <v>43539</v>
      </c>
      <c r="T1198" s="20">
        <f>IFERROR(VLOOKUP(S1198,'Date Converter'!$A$4:$C$368,3,0),"")</f>
        <v>43574</v>
      </c>
      <c r="U1198" s="21">
        <f t="shared" si="175"/>
        <v>43574</v>
      </c>
      <c r="V1198" s="12" t="s">
        <v>57</v>
      </c>
      <c r="W1198" s="18" t="s">
        <v>58</v>
      </c>
      <c r="X1198" s="18">
        <v>43574</v>
      </c>
      <c r="Y1198" s="12"/>
      <c r="Z1198" s="206">
        <v>43587</v>
      </c>
      <c r="AA1198" s="15">
        <v>2100</v>
      </c>
      <c r="AB1198" s="206"/>
      <c r="AC1198" s="12"/>
      <c r="AD1198" s="206"/>
      <c r="AE1198" s="12"/>
      <c r="AF1198" s="245"/>
      <c r="AG1198" s="12"/>
      <c r="AH1198" s="15">
        <f t="shared" si="172"/>
        <v>2100</v>
      </c>
      <c r="AI1198" s="22">
        <f t="shared" si="173"/>
        <v>0</v>
      </c>
      <c r="AJ1198" s="22">
        <f t="shared" si="174"/>
        <v>0</v>
      </c>
      <c r="AL1198" s="198"/>
    </row>
    <row r="1199" spans="1:38" s="165" customFormat="1" hidden="1">
      <c r="A1199" s="165" t="s">
        <v>482</v>
      </c>
      <c r="B1199" s="13">
        <v>43542</v>
      </c>
      <c r="C1199" s="13" t="s">
        <v>23</v>
      </c>
      <c r="D1199" s="165" t="s">
        <v>290</v>
      </c>
      <c r="E1199" s="119" t="s">
        <v>291</v>
      </c>
      <c r="F1199" s="165" t="str">
        <f t="shared" si="170"/>
        <v>PROF_14.16_275_NL2018</v>
      </c>
      <c r="G1199" s="13" t="s">
        <v>56</v>
      </c>
      <c r="H1199" s="12"/>
      <c r="I1199" s="12" t="s">
        <v>47</v>
      </c>
      <c r="J1199" s="31" t="s">
        <v>1427</v>
      </c>
      <c r="K1199" s="15" t="s">
        <v>28</v>
      </c>
      <c r="L1199" s="15"/>
      <c r="M1199" s="16">
        <f t="shared" si="171"/>
        <v>7</v>
      </c>
      <c r="N1199" s="15">
        <v>1925</v>
      </c>
      <c r="O1199" s="15">
        <v>5000</v>
      </c>
      <c r="P1199" s="15">
        <f t="shared" si="176"/>
        <v>9625000</v>
      </c>
      <c r="Q1199" s="15" t="str">
        <f t="shared" si="177"/>
        <v>Done</v>
      </c>
      <c r="R1199" s="18" t="s">
        <v>44</v>
      </c>
      <c r="S1199" s="23">
        <v>43572</v>
      </c>
      <c r="T1199" s="20">
        <f>IFERROR(VLOOKUP(S1199,'Date Converter'!$A$4:$C$368,3,0),"")</f>
        <v>43606</v>
      </c>
      <c r="U1199" s="21">
        <f t="shared" si="175"/>
        <v>43606</v>
      </c>
      <c r="V1199" s="12"/>
      <c r="W1199" s="18"/>
      <c r="X1199" s="18"/>
      <c r="Y1199" s="12"/>
      <c r="Z1199" s="206">
        <v>43630</v>
      </c>
      <c r="AA1199" s="15">
        <v>1925</v>
      </c>
      <c r="AB1199" s="206"/>
      <c r="AC1199" s="12"/>
      <c r="AD1199" s="206"/>
      <c r="AE1199" s="12"/>
      <c r="AF1199" s="245"/>
      <c r="AG1199" s="12"/>
      <c r="AH1199" s="15">
        <f t="shared" si="172"/>
        <v>1925</v>
      </c>
      <c r="AI1199" s="22">
        <f t="shared" si="173"/>
        <v>0</v>
      </c>
      <c r="AJ1199" s="22">
        <f t="shared" si="174"/>
        <v>0</v>
      </c>
    </row>
    <row r="1200" spans="1:38" s="165" customFormat="1" hidden="1">
      <c r="A1200" s="165" t="s">
        <v>482</v>
      </c>
      <c r="B1200" s="13">
        <v>43542</v>
      </c>
      <c r="C1200" s="13" t="s">
        <v>23</v>
      </c>
      <c r="D1200" s="165" t="s">
        <v>290</v>
      </c>
      <c r="E1200" s="119" t="s">
        <v>291</v>
      </c>
      <c r="F1200" s="165" t="str">
        <f t="shared" si="170"/>
        <v>PROF_14.16_275_NL2018</v>
      </c>
      <c r="G1200" s="13" t="s">
        <v>56</v>
      </c>
      <c r="H1200" s="12"/>
      <c r="I1200" s="12" t="s">
        <v>47</v>
      </c>
      <c r="J1200" s="31" t="s">
        <v>1427</v>
      </c>
      <c r="K1200" s="15" t="s">
        <v>28</v>
      </c>
      <c r="L1200" s="15"/>
      <c r="M1200" s="16">
        <f t="shared" si="171"/>
        <v>7</v>
      </c>
      <c r="N1200" s="15">
        <f>4125-2200</f>
        <v>1925</v>
      </c>
      <c r="O1200" s="15">
        <v>5000</v>
      </c>
      <c r="P1200" s="15">
        <f t="shared" si="176"/>
        <v>9625000</v>
      </c>
      <c r="Q1200" s="15" t="str">
        <f t="shared" si="177"/>
        <v/>
      </c>
      <c r="R1200" s="18" t="s">
        <v>63</v>
      </c>
      <c r="S1200" s="23">
        <v>43572</v>
      </c>
      <c r="T1200" s="20">
        <f>IFERROR(VLOOKUP(S1200,'Date Converter'!$A$4:$C$368,3,0),"")</f>
        <v>43606</v>
      </c>
      <c r="U1200" s="21">
        <f t="shared" si="175"/>
        <v>43606</v>
      </c>
      <c r="V1200" s="12" t="s">
        <v>36</v>
      </c>
      <c r="W1200" s="18"/>
      <c r="X1200" s="18"/>
      <c r="Y1200" s="12"/>
      <c r="Z1200" s="206">
        <v>43630</v>
      </c>
      <c r="AA1200" s="15">
        <v>1100</v>
      </c>
      <c r="AB1200" s="206"/>
      <c r="AC1200" s="12"/>
      <c r="AD1200" s="206"/>
      <c r="AE1200" s="12"/>
      <c r="AF1200" s="245"/>
      <c r="AG1200" s="12"/>
      <c r="AH1200" s="15">
        <f t="shared" si="172"/>
        <v>1100</v>
      </c>
      <c r="AI1200" s="22">
        <f t="shared" si="173"/>
        <v>825</v>
      </c>
      <c r="AJ1200" s="22">
        <f t="shared" si="174"/>
        <v>4125000</v>
      </c>
    </row>
    <row r="1201" spans="1:38" s="165" customFormat="1" hidden="1">
      <c r="A1201" s="165" t="s">
        <v>482</v>
      </c>
      <c r="B1201" s="13">
        <v>43542</v>
      </c>
      <c r="C1201" s="13" t="s">
        <v>23</v>
      </c>
      <c r="D1201" s="165" t="s">
        <v>290</v>
      </c>
      <c r="E1201" s="119" t="s">
        <v>291</v>
      </c>
      <c r="F1201" s="165" t="str">
        <f t="shared" si="170"/>
        <v>PROF_14.16_275_NL2018</v>
      </c>
      <c r="G1201" s="13" t="s">
        <v>56</v>
      </c>
      <c r="H1201" s="12"/>
      <c r="I1201" s="12" t="s">
        <v>47</v>
      </c>
      <c r="J1201" s="31" t="s">
        <v>1427</v>
      </c>
      <c r="K1201" s="15" t="s">
        <v>28</v>
      </c>
      <c r="L1201" s="15"/>
      <c r="M1201" s="16">
        <f t="shared" si="171"/>
        <v>8</v>
      </c>
      <c r="N1201" s="15">
        <v>2200</v>
      </c>
      <c r="O1201" s="15">
        <v>5000</v>
      </c>
      <c r="P1201" s="15">
        <f t="shared" si="176"/>
        <v>11000000</v>
      </c>
      <c r="Q1201" s="15" t="str">
        <f t="shared" si="177"/>
        <v/>
      </c>
      <c r="R1201" s="18" t="s">
        <v>63</v>
      </c>
      <c r="S1201" s="23">
        <v>43603</v>
      </c>
      <c r="T1201" s="20">
        <f>IFERROR(VLOOKUP(S1201,'Date Converter'!$A$4:$C$368,3,0),"")</f>
        <v>43636</v>
      </c>
      <c r="U1201" s="21">
        <f t="shared" si="175"/>
        <v>43636</v>
      </c>
      <c r="V1201" s="12"/>
      <c r="W1201" s="18"/>
      <c r="X1201" s="18"/>
      <c r="Y1201" s="12"/>
      <c r="Z1201" s="206"/>
      <c r="AA1201" s="15"/>
      <c r="AB1201" s="206"/>
      <c r="AC1201" s="12"/>
      <c r="AD1201" s="206"/>
      <c r="AE1201" s="12"/>
      <c r="AF1201" s="245"/>
      <c r="AG1201" s="12"/>
      <c r="AH1201" s="15">
        <f t="shared" si="172"/>
        <v>0</v>
      </c>
      <c r="AI1201" s="22">
        <f t="shared" si="173"/>
        <v>2200</v>
      </c>
      <c r="AJ1201" s="22">
        <f t="shared" si="174"/>
        <v>11000000</v>
      </c>
    </row>
    <row r="1202" spans="1:38" s="165" customFormat="1" ht="15.75" hidden="1" customHeight="1">
      <c r="A1202" s="165" t="s">
        <v>1409</v>
      </c>
      <c r="B1202" s="13">
        <v>43542</v>
      </c>
      <c r="C1202" s="13" t="s">
        <v>23</v>
      </c>
      <c r="D1202" s="258" t="s">
        <v>290</v>
      </c>
      <c r="E1202" s="119" t="s">
        <v>291</v>
      </c>
      <c r="F1202" s="165" t="str">
        <f t="shared" si="170"/>
        <v>CONC_20.22_125_NL2018</v>
      </c>
      <c r="G1202" s="13" t="s">
        <v>40</v>
      </c>
      <c r="H1202" s="12"/>
      <c r="I1202" s="12" t="s">
        <v>74</v>
      </c>
      <c r="J1202" s="31" t="s">
        <v>122</v>
      </c>
      <c r="K1202" s="15" t="s">
        <v>28</v>
      </c>
      <c r="L1202" s="15"/>
      <c r="M1202" s="16">
        <f t="shared" si="171"/>
        <v>40</v>
      </c>
      <c r="N1202" s="15">
        <v>5000</v>
      </c>
      <c r="O1202" s="15">
        <v>10500</v>
      </c>
      <c r="P1202" s="15">
        <f t="shared" si="176"/>
        <v>52500000</v>
      </c>
      <c r="Q1202" s="15" t="str">
        <f t="shared" si="177"/>
        <v/>
      </c>
      <c r="R1202" s="18" t="s">
        <v>29</v>
      </c>
      <c r="S1202" s="23">
        <v>43709</v>
      </c>
      <c r="T1202" s="20">
        <f>IFERROR(VLOOKUP(S1202,'Date Converter'!$A$4:$C$368,3,0),"")</f>
        <v>43737</v>
      </c>
      <c r="U1202" s="21">
        <f t="shared" si="175"/>
        <v>43737</v>
      </c>
      <c r="V1202" s="12" t="s">
        <v>51</v>
      </c>
      <c r="W1202" s="18"/>
      <c r="X1202" s="18"/>
      <c r="Y1202" s="12"/>
      <c r="Z1202" s="206"/>
      <c r="AA1202" s="15"/>
      <c r="AB1202" s="206"/>
      <c r="AC1202" s="12"/>
      <c r="AD1202" s="206"/>
      <c r="AE1202" s="12"/>
      <c r="AF1202" s="245"/>
      <c r="AG1202" s="12"/>
      <c r="AH1202" s="15">
        <f t="shared" si="172"/>
        <v>0</v>
      </c>
      <c r="AI1202" s="22">
        <f t="shared" si="173"/>
        <v>5000</v>
      </c>
      <c r="AJ1202" s="22">
        <f t="shared" si="174"/>
        <v>52500000</v>
      </c>
      <c r="AL1202" s="198"/>
    </row>
    <row r="1203" spans="1:38" s="165" customFormat="1" hidden="1">
      <c r="A1203" s="165" t="s">
        <v>1711</v>
      </c>
      <c r="B1203" s="13">
        <v>43539</v>
      </c>
      <c r="C1203" s="13" t="s">
        <v>1622</v>
      </c>
      <c r="D1203" s="165" t="s">
        <v>1059</v>
      </c>
      <c r="E1203" s="13" t="s">
        <v>1060</v>
      </c>
      <c r="F1203" s="165" t="str">
        <f t="shared" si="170"/>
        <v>YELL_12.14_400_NL2018</v>
      </c>
      <c r="G1203" s="165" t="s">
        <v>89</v>
      </c>
      <c r="H1203" s="12"/>
      <c r="I1203" s="12" t="s">
        <v>113</v>
      </c>
      <c r="J1203" s="31" t="s">
        <v>128</v>
      </c>
      <c r="K1203" s="15" t="s">
        <v>28</v>
      </c>
      <c r="L1203" s="15"/>
      <c r="M1203" s="16">
        <f t="shared" si="171"/>
        <v>8</v>
      </c>
      <c r="N1203" s="15">
        <v>3200</v>
      </c>
      <c r="O1203" s="15">
        <v>2600</v>
      </c>
      <c r="P1203" s="15">
        <f t="shared" si="176"/>
        <v>8320000</v>
      </c>
      <c r="Q1203" s="15" t="str">
        <f t="shared" si="177"/>
        <v>Done</v>
      </c>
      <c r="R1203" s="18" t="s">
        <v>44</v>
      </c>
      <c r="S1203" s="117">
        <v>43511</v>
      </c>
      <c r="T1203" s="20">
        <f>IFERROR(VLOOKUP(S1203,'Date Converter'!$A$4:$C$368,3,0),"")</f>
        <v>43544</v>
      </c>
      <c r="U1203" s="21">
        <f t="shared" si="175"/>
        <v>43544</v>
      </c>
      <c r="V1203" s="12" t="s">
        <v>32</v>
      </c>
      <c r="W1203" s="18" t="s">
        <v>33</v>
      </c>
      <c r="X1203" s="18"/>
      <c r="Y1203" s="18"/>
      <c r="Z1203" s="206"/>
      <c r="AA1203" s="15">
        <v>3200</v>
      </c>
      <c r="AB1203" s="206"/>
      <c r="AC1203" s="12"/>
      <c r="AD1203" s="12"/>
      <c r="AE1203" s="12"/>
      <c r="AF1203" s="245"/>
      <c r="AG1203" s="12"/>
      <c r="AH1203" s="15">
        <f t="shared" si="172"/>
        <v>3200</v>
      </c>
      <c r="AI1203" s="22">
        <f t="shared" si="173"/>
        <v>0</v>
      </c>
      <c r="AJ1203" s="22">
        <f t="shared" si="174"/>
        <v>0</v>
      </c>
      <c r="AL1203" s="198"/>
    </row>
    <row r="1204" spans="1:38" s="165" customFormat="1" hidden="1">
      <c r="A1204" s="165" t="s">
        <v>1710</v>
      </c>
      <c r="B1204" s="13">
        <v>43539</v>
      </c>
      <c r="C1204" s="267" t="s">
        <v>1622</v>
      </c>
      <c r="D1204" s="258" t="s">
        <v>1059</v>
      </c>
      <c r="E1204" s="13" t="s">
        <v>1060</v>
      </c>
      <c r="F1204" s="165" t="str">
        <f t="shared" si="170"/>
        <v>TARR_20.22_125_NL2018</v>
      </c>
      <c r="G1204" s="165" t="s">
        <v>62</v>
      </c>
      <c r="H1204" s="12"/>
      <c r="I1204" s="12" t="s">
        <v>74</v>
      </c>
      <c r="J1204" s="31" t="s">
        <v>122</v>
      </c>
      <c r="K1204" s="15" t="s">
        <v>28</v>
      </c>
      <c r="L1204" s="15"/>
      <c r="M1204" s="16">
        <f t="shared" si="171"/>
        <v>40</v>
      </c>
      <c r="N1204" s="15">
        <v>5000</v>
      </c>
      <c r="O1204" s="15">
        <v>10800</v>
      </c>
      <c r="P1204" s="15">
        <f t="shared" si="176"/>
        <v>54000000</v>
      </c>
      <c r="Q1204" s="15" t="str">
        <f t="shared" si="177"/>
        <v/>
      </c>
      <c r="R1204" s="18" t="s">
        <v>29</v>
      </c>
      <c r="S1204" s="117">
        <v>43709</v>
      </c>
      <c r="T1204" s="20">
        <f>IFERROR(VLOOKUP(S1204,'Date Converter'!$A$4:$C$368,3,0),"")</f>
        <v>43737</v>
      </c>
      <c r="U1204" s="21">
        <f t="shared" si="175"/>
        <v>43737</v>
      </c>
      <c r="V1204" s="12" t="s">
        <v>51</v>
      </c>
      <c r="W1204" s="18"/>
      <c r="X1204" s="18"/>
      <c r="Y1204" s="18"/>
      <c r="Z1204" s="206"/>
      <c r="AA1204" s="15">
        <v>0</v>
      </c>
      <c r="AB1204" s="206"/>
      <c r="AC1204" s="12"/>
      <c r="AD1204" s="12"/>
      <c r="AE1204" s="12"/>
      <c r="AF1204" s="245"/>
      <c r="AG1204" s="12"/>
      <c r="AH1204" s="15">
        <f t="shared" si="172"/>
        <v>0</v>
      </c>
      <c r="AI1204" s="22">
        <f t="shared" si="173"/>
        <v>5000</v>
      </c>
      <c r="AJ1204" s="22">
        <f t="shared" si="174"/>
        <v>54000000</v>
      </c>
      <c r="AL1204" s="198"/>
    </row>
    <row r="1205" spans="1:38" s="165" customFormat="1" hidden="1">
      <c r="A1205" s="165" t="s">
        <v>1710</v>
      </c>
      <c r="B1205" s="13">
        <v>43539</v>
      </c>
      <c r="C1205" s="267" t="s">
        <v>1622</v>
      </c>
      <c r="D1205" s="258" t="s">
        <v>1059</v>
      </c>
      <c r="E1205" s="13" t="s">
        <v>1060</v>
      </c>
      <c r="F1205" s="165" t="str">
        <f t="shared" si="170"/>
        <v>ROBI_20.22_125_NL2018</v>
      </c>
      <c r="G1205" s="165" t="s">
        <v>61</v>
      </c>
      <c r="H1205" s="12"/>
      <c r="I1205" s="12" t="s">
        <v>74</v>
      </c>
      <c r="J1205" s="31" t="s">
        <v>122</v>
      </c>
      <c r="K1205" s="15" t="s">
        <v>28</v>
      </c>
      <c r="L1205" s="15"/>
      <c r="M1205" s="16">
        <f t="shared" si="171"/>
        <v>24</v>
      </c>
      <c r="N1205" s="15">
        <v>3000</v>
      </c>
      <c r="O1205" s="15">
        <v>10500</v>
      </c>
      <c r="P1205" s="15">
        <f t="shared" si="176"/>
        <v>31500000</v>
      </c>
      <c r="Q1205" s="15" t="str">
        <f t="shared" si="177"/>
        <v/>
      </c>
      <c r="R1205" s="18" t="s">
        <v>29</v>
      </c>
      <c r="S1205" s="117">
        <v>43709</v>
      </c>
      <c r="T1205" s="20">
        <f>IFERROR(VLOOKUP(S1205,'Date Converter'!$A$4:$C$368,3,0),"")</f>
        <v>43737</v>
      </c>
      <c r="U1205" s="21">
        <f t="shared" si="175"/>
        <v>43737</v>
      </c>
      <c r="V1205" s="12" t="s">
        <v>51</v>
      </c>
      <c r="W1205" s="18"/>
      <c r="X1205" s="18"/>
      <c r="Y1205" s="18"/>
      <c r="Z1205" s="206"/>
      <c r="AA1205" s="15">
        <v>0</v>
      </c>
      <c r="AB1205" s="206"/>
      <c r="AC1205" s="12"/>
      <c r="AD1205" s="12"/>
      <c r="AE1205" s="12"/>
      <c r="AF1205" s="245"/>
      <c r="AG1205" s="12"/>
      <c r="AH1205" s="15">
        <f t="shared" si="172"/>
        <v>0</v>
      </c>
      <c r="AI1205" s="22">
        <f t="shared" si="173"/>
        <v>3000</v>
      </c>
      <c r="AJ1205" s="22">
        <f t="shared" si="174"/>
        <v>31500000</v>
      </c>
      <c r="AL1205" s="198"/>
    </row>
    <row r="1206" spans="1:38" s="165" customFormat="1" hidden="1">
      <c r="A1206" s="165" t="s">
        <v>1710</v>
      </c>
      <c r="B1206" s="13">
        <v>43539</v>
      </c>
      <c r="C1206" s="267" t="s">
        <v>1622</v>
      </c>
      <c r="D1206" s="258" t="s">
        <v>1059</v>
      </c>
      <c r="E1206" s="13" t="s">
        <v>1060</v>
      </c>
      <c r="F1206" s="165" t="str">
        <f t="shared" ref="F1206:F1268" si="183">SUBSTITUTE(LEFT(G1206,4)&amp;"_"&amp;H1206&amp;"_"&amp;I1206&amp;"_"&amp;J1206&amp;"_"&amp;K1206,"__","_")</f>
        <v>CONC_20.22_125_NL2018</v>
      </c>
      <c r="G1206" s="165" t="s">
        <v>40</v>
      </c>
      <c r="H1206" s="12"/>
      <c r="I1206" s="12" t="s">
        <v>74</v>
      </c>
      <c r="J1206" s="31" t="s">
        <v>122</v>
      </c>
      <c r="K1206" s="15" t="s">
        <v>28</v>
      </c>
      <c r="L1206" s="15"/>
      <c r="M1206" s="16">
        <f t="shared" ref="M1206:M1268" si="184">+N1206/J1206</f>
        <v>16</v>
      </c>
      <c r="N1206" s="15">
        <v>2000</v>
      </c>
      <c r="O1206" s="15">
        <v>10500</v>
      </c>
      <c r="P1206" s="15">
        <f t="shared" si="176"/>
        <v>21000000</v>
      </c>
      <c r="Q1206" s="15" t="str">
        <f t="shared" si="177"/>
        <v/>
      </c>
      <c r="R1206" s="18" t="s">
        <v>29</v>
      </c>
      <c r="S1206" s="117">
        <v>43709</v>
      </c>
      <c r="T1206" s="20">
        <f>IFERROR(VLOOKUP(S1206,'Date Converter'!$A$4:$C$368,3,0),"")</f>
        <v>43737</v>
      </c>
      <c r="U1206" s="21">
        <f t="shared" si="175"/>
        <v>43737</v>
      </c>
      <c r="V1206" s="12" t="s">
        <v>51</v>
      </c>
      <c r="W1206" s="18"/>
      <c r="X1206" s="18"/>
      <c r="Y1206" s="18"/>
      <c r="Z1206" s="206"/>
      <c r="AA1206" s="15">
        <v>0</v>
      </c>
      <c r="AB1206" s="206"/>
      <c r="AC1206" s="12"/>
      <c r="AD1206" s="12"/>
      <c r="AE1206" s="12"/>
      <c r="AF1206" s="245"/>
      <c r="AG1206" s="12"/>
      <c r="AH1206" s="15">
        <f t="shared" ref="AH1206:AH1268" si="185">+AA1206+AC1206+AE1206+AG1206</f>
        <v>0</v>
      </c>
      <c r="AI1206" s="22">
        <f t="shared" ref="AI1206:AI1268" si="186">+N1206-AH1206</f>
        <v>2000</v>
      </c>
      <c r="AJ1206" s="22">
        <f t="shared" ref="AJ1206:AJ1268" si="187">+AI1206*O1206</f>
        <v>21000000</v>
      </c>
    </row>
    <row r="1207" spans="1:38" s="165" customFormat="1" hidden="1">
      <c r="A1207" s="165" t="s">
        <v>1620</v>
      </c>
      <c r="B1207" s="13">
        <v>43614</v>
      </c>
      <c r="C1207" s="13" t="s">
        <v>23</v>
      </c>
      <c r="D1207" s="165" t="s">
        <v>181</v>
      </c>
      <c r="E1207" s="13" t="s">
        <v>950</v>
      </c>
      <c r="F1207" s="165" t="str">
        <f t="shared" si="183"/>
        <v>ROBI_14.16_300_NL2018</v>
      </c>
      <c r="G1207" s="13" t="s">
        <v>61</v>
      </c>
      <c r="H1207" s="12"/>
      <c r="I1207" s="12" t="s">
        <v>47</v>
      </c>
      <c r="J1207" s="31" t="s">
        <v>124</v>
      </c>
      <c r="K1207" s="15" t="s">
        <v>28</v>
      </c>
      <c r="L1207" s="15"/>
      <c r="M1207" s="16">
        <f t="shared" si="184"/>
        <v>3</v>
      </c>
      <c r="N1207" s="15">
        <v>900</v>
      </c>
      <c r="O1207" s="15">
        <v>3800</v>
      </c>
      <c r="P1207" s="15">
        <f t="shared" si="176"/>
        <v>3420000</v>
      </c>
      <c r="Q1207" s="15" t="str">
        <f t="shared" si="177"/>
        <v>Done</v>
      </c>
      <c r="R1207" s="18" t="s">
        <v>44</v>
      </c>
      <c r="S1207" s="23">
        <v>43590</v>
      </c>
      <c r="T1207" s="20">
        <f>IFERROR(VLOOKUP(S1207,'Date Converter'!$A$4:$C$368,3,0),"")</f>
        <v>43623</v>
      </c>
      <c r="U1207" s="21">
        <f t="shared" si="175"/>
        <v>43623</v>
      </c>
      <c r="V1207" s="12"/>
      <c r="W1207" s="18"/>
      <c r="X1207" s="18"/>
      <c r="Y1207" s="12"/>
      <c r="Z1207" s="206">
        <v>43631</v>
      </c>
      <c r="AA1207" s="12" t="s">
        <v>2006</v>
      </c>
      <c r="AB1207" s="12"/>
      <c r="AC1207" s="12"/>
      <c r="AD1207" s="12"/>
      <c r="AE1207" s="12"/>
      <c r="AF1207" s="245"/>
      <c r="AG1207" s="12"/>
      <c r="AH1207" s="15">
        <f t="shared" si="185"/>
        <v>900</v>
      </c>
      <c r="AI1207" s="22">
        <f t="shared" si="186"/>
        <v>0</v>
      </c>
      <c r="AJ1207" s="22">
        <f t="shared" si="187"/>
        <v>0</v>
      </c>
      <c r="AL1207" s="198"/>
    </row>
    <row r="1208" spans="1:38" s="165" customFormat="1" hidden="1">
      <c r="A1208" s="165" t="s">
        <v>1620</v>
      </c>
      <c r="B1208" s="13">
        <v>43614</v>
      </c>
      <c r="C1208" s="13" t="s">
        <v>23</v>
      </c>
      <c r="D1208" s="165" t="s">
        <v>181</v>
      </c>
      <c r="E1208" s="13" t="s">
        <v>950</v>
      </c>
      <c r="F1208" s="165" t="str">
        <f t="shared" si="183"/>
        <v>MANI_14.16_300_NL2018</v>
      </c>
      <c r="G1208" s="13" t="s">
        <v>105</v>
      </c>
      <c r="H1208" s="12"/>
      <c r="I1208" s="12" t="s">
        <v>47</v>
      </c>
      <c r="J1208" s="31" t="s">
        <v>124</v>
      </c>
      <c r="K1208" s="15" t="s">
        <v>28</v>
      </c>
      <c r="L1208" s="15"/>
      <c r="M1208" s="16">
        <f t="shared" si="184"/>
        <v>8</v>
      </c>
      <c r="N1208" s="15">
        <v>2400</v>
      </c>
      <c r="O1208" s="15">
        <v>3800</v>
      </c>
      <c r="P1208" s="15">
        <f t="shared" si="176"/>
        <v>9120000</v>
      </c>
      <c r="Q1208" s="15" t="str">
        <f t="shared" si="177"/>
        <v>Done</v>
      </c>
      <c r="R1208" s="18" t="s">
        <v>44</v>
      </c>
      <c r="S1208" s="23">
        <v>43590</v>
      </c>
      <c r="T1208" s="20">
        <f>IFERROR(VLOOKUP(S1208,'Date Converter'!$A$4:$C$368,3,0),"")</f>
        <v>43623</v>
      </c>
      <c r="U1208" s="21">
        <f t="shared" si="175"/>
        <v>43623</v>
      </c>
      <c r="V1208" s="12"/>
      <c r="W1208" s="18"/>
      <c r="X1208" s="18"/>
      <c r="Y1208" s="12"/>
      <c r="Z1208" s="206">
        <v>43631</v>
      </c>
      <c r="AA1208" s="15">
        <v>2400</v>
      </c>
      <c r="AB1208" s="12"/>
      <c r="AC1208" s="12"/>
      <c r="AD1208" s="12"/>
      <c r="AE1208" s="12"/>
      <c r="AF1208" s="245"/>
      <c r="AG1208" s="12"/>
      <c r="AH1208" s="15">
        <f t="shared" si="185"/>
        <v>2400</v>
      </c>
      <c r="AI1208" s="22">
        <f t="shared" si="186"/>
        <v>0</v>
      </c>
      <c r="AJ1208" s="22">
        <f t="shared" si="187"/>
        <v>0</v>
      </c>
      <c r="AL1208" s="198"/>
    </row>
    <row r="1209" spans="1:38" s="165" customFormat="1" hidden="1">
      <c r="A1209" s="165" t="s">
        <v>1620</v>
      </c>
      <c r="B1209" s="13">
        <v>43614</v>
      </c>
      <c r="C1209" s="13" t="s">
        <v>23</v>
      </c>
      <c r="D1209" s="165" t="s">
        <v>181</v>
      </c>
      <c r="E1209" s="13" t="s">
        <v>950</v>
      </c>
      <c r="F1209" s="165" t="str">
        <f t="shared" si="183"/>
        <v>DALI_14.16_300_NL2018</v>
      </c>
      <c r="G1209" s="13" t="s">
        <v>46</v>
      </c>
      <c r="H1209" s="12"/>
      <c r="I1209" s="12" t="s">
        <v>47</v>
      </c>
      <c r="J1209" s="31" t="s">
        <v>124</v>
      </c>
      <c r="K1209" s="15" t="s">
        <v>28</v>
      </c>
      <c r="L1209" s="15"/>
      <c r="M1209" s="16">
        <f t="shared" si="184"/>
        <v>2</v>
      </c>
      <c r="N1209" s="15">
        <v>600</v>
      </c>
      <c r="O1209" s="15">
        <v>5500</v>
      </c>
      <c r="P1209" s="15">
        <f t="shared" si="176"/>
        <v>3300000</v>
      </c>
      <c r="Q1209" s="15" t="str">
        <f t="shared" si="177"/>
        <v>Done</v>
      </c>
      <c r="R1209" s="18" t="s">
        <v>44</v>
      </c>
      <c r="S1209" s="23">
        <v>43590</v>
      </c>
      <c r="T1209" s="20">
        <f>IFERROR(VLOOKUP(S1209,'Date Converter'!$A$4:$C$368,3,0),"")</f>
        <v>43623</v>
      </c>
      <c r="U1209" s="21">
        <f t="shared" si="175"/>
        <v>43623</v>
      </c>
      <c r="V1209" s="12"/>
      <c r="W1209" s="18"/>
      <c r="X1209" s="18"/>
      <c r="Y1209" s="12"/>
      <c r="Z1209" s="206">
        <v>43631</v>
      </c>
      <c r="AA1209" s="15">
        <v>600</v>
      </c>
      <c r="AB1209" s="12"/>
      <c r="AC1209" s="12"/>
      <c r="AD1209" s="12"/>
      <c r="AE1209" s="12"/>
      <c r="AF1209" s="245"/>
      <c r="AG1209" s="12"/>
      <c r="AH1209" s="15">
        <f t="shared" si="185"/>
        <v>600</v>
      </c>
      <c r="AI1209" s="22">
        <f t="shared" si="186"/>
        <v>0</v>
      </c>
      <c r="AJ1209" s="22">
        <f t="shared" si="187"/>
        <v>0</v>
      </c>
    </row>
    <row r="1210" spans="1:38" s="165" customFormat="1" hidden="1">
      <c r="A1210" s="165" t="s">
        <v>1712</v>
      </c>
      <c r="B1210" s="13">
        <v>43470</v>
      </c>
      <c r="C1210" s="13" t="s">
        <v>1622</v>
      </c>
      <c r="D1210" s="165" t="s">
        <v>1088</v>
      </c>
      <c r="E1210" s="165" t="s">
        <v>1086</v>
      </c>
      <c r="F1210" s="165" t="str">
        <f t="shared" si="183"/>
        <v>YELL_12.14_400_NL2018</v>
      </c>
      <c r="G1210" s="165" t="s">
        <v>89</v>
      </c>
      <c r="H1210" s="12"/>
      <c r="I1210" s="12" t="s">
        <v>113</v>
      </c>
      <c r="J1210" s="14">
        <v>400</v>
      </c>
      <c r="K1210" s="15" t="s">
        <v>28</v>
      </c>
      <c r="L1210" s="15"/>
      <c r="M1210" s="16">
        <f t="shared" si="184"/>
        <v>25</v>
      </c>
      <c r="N1210" s="15">
        <v>10000</v>
      </c>
      <c r="O1210" s="15">
        <v>2600</v>
      </c>
      <c r="P1210" s="15">
        <f t="shared" si="176"/>
        <v>26000000</v>
      </c>
      <c r="Q1210" s="15" t="str">
        <f t="shared" si="177"/>
        <v>Done</v>
      </c>
      <c r="R1210" s="18" t="s">
        <v>44</v>
      </c>
      <c r="S1210" s="117">
        <v>43480</v>
      </c>
      <c r="T1210" s="20">
        <f>IFERROR(VLOOKUP(S1210,'Date Converter'!$A$4:$C$368,3,0),"")</f>
        <v>43515</v>
      </c>
      <c r="U1210" s="21">
        <f t="shared" si="175"/>
        <v>43515</v>
      </c>
      <c r="V1210" s="12" t="s">
        <v>45</v>
      </c>
      <c r="W1210" s="18"/>
      <c r="X1210" s="18"/>
      <c r="Y1210" s="18"/>
      <c r="Z1210" s="210">
        <v>43515</v>
      </c>
      <c r="AA1210" s="15">
        <v>10000</v>
      </c>
      <c r="AB1210" s="210"/>
      <c r="AC1210" s="15"/>
      <c r="AD1210" s="15"/>
      <c r="AE1210" s="15"/>
      <c r="AF1210" s="244"/>
      <c r="AG1210" s="15"/>
      <c r="AH1210" s="15">
        <f t="shared" si="185"/>
        <v>10000</v>
      </c>
      <c r="AI1210" s="22">
        <f t="shared" si="186"/>
        <v>0</v>
      </c>
      <c r="AJ1210" s="22">
        <f t="shared" si="187"/>
        <v>0</v>
      </c>
      <c r="AK1210" s="13"/>
    </row>
    <row r="1211" spans="1:38" s="165" customFormat="1" hidden="1">
      <c r="A1211" s="165" t="s">
        <v>1712</v>
      </c>
      <c r="B1211" s="13">
        <v>43470</v>
      </c>
      <c r="C1211" s="13" t="s">
        <v>1622</v>
      </c>
      <c r="D1211" s="165" t="s">
        <v>1088</v>
      </c>
      <c r="E1211" s="165" t="s">
        <v>1086</v>
      </c>
      <c r="F1211" s="165" t="str">
        <f t="shared" si="183"/>
        <v>YELL_16.18_200_NL2018</v>
      </c>
      <c r="G1211" s="165" t="s">
        <v>89</v>
      </c>
      <c r="H1211" s="12"/>
      <c r="I1211" s="12" t="s">
        <v>35</v>
      </c>
      <c r="J1211" s="14">
        <v>200</v>
      </c>
      <c r="K1211" s="15" t="s">
        <v>28</v>
      </c>
      <c r="L1211" s="15"/>
      <c r="M1211" s="16">
        <f t="shared" si="184"/>
        <v>25</v>
      </c>
      <c r="N1211" s="15">
        <v>5000</v>
      </c>
      <c r="O1211" s="15">
        <v>5000</v>
      </c>
      <c r="P1211" s="15">
        <f t="shared" si="176"/>
        <v>25000000</v>
      </c>
      <c r="Q1211" s="15" t="str">
        <f t="shared" si="177"/>
        <v>Done</v>
      </c>
      <c r="R1211" s="18" t="s">
        <v>44</v>
      </c>
      <c r="S1211" s="117">
        <v>43480</v>
      </c>
      <c r="T1211" s="20">
        <f>IFERROR(VLOOKUP(S1211,'Date Converter'!$A$4:$C$368,3,0),"")</f>
        <v>43515</v>
      </c>
      <c r="U1211" s="21">
        <f t="shared" ref="U1211:U1273" si="188">+T1211</f>
        <v>43515</v>
      </c>
      <c r="V1211" s="12" t="s">
        <v>45</v>
      </c>
      <c r="W1211" s="18"/>
      <c r="X1211" s="18"/>
      <c r="Y1211" s="18"/>
      <c r="Z1211" s="210">
        <v>43516</v>
      </c>
      <c r="AA1211" s="15">
        <v>5000</v>
      </c>
      <c r="AB1211" s="210"/>
      <c r="AC1211" s="15"/>
      <c r="AD1211" s="15"/>
      <c r="AE1211" s="15"/>
      <c r="AF1211" s="244"/>
      <c r="AG1211" s="15"/>
      <c r="AH1211" s="15">
        <f t="shared" si="185"/>
        <v>5000</v>
      </c>
      <c r="AI1211" s="22">
        <f t="shared" si="186"/>
        <v>0</v>
      </c>
      <c r="AJ1211" s="22">
        <f t="shared" si="187"/>
        <v>0</v>
      </c>
      <c r="AK1211" s="13">
        <v>43872</v>
      </c>
    </row>
    <row r="1212" spans="1:38" s="165" customFormat="1" hidden="1">
      <c r="A1212" s="165" t="s">
        <v>1712</v>
      </c>
      <c r="B1212" s="13">
        <v>43470</v>
      </c>
      <c r="C1212" s="13" t="s">
        <v>1622</v>
      </c>
      <c r="D1212" s="165" t="s">
        <v>1088</v>
      </c>
      <c r="E1212" s="165" t="s">
        <v>1086</v>
      </c>
      <c r="F1212" s="165" t="str">
        <f t="shared" si="183"/>
        <v>YELL_14.16_300_NL2018</v>
      </c>
      <c r="G1212" s="165" t="s">
        <v>89</v>
      </c>
      <c r="H1212" s="12"/>
      <c r="I1212" s="12" t="s">
        <v>47</v>
      </c>
      <c r="J1212" s="14">
        <v>300</v>
      </c>
      <c r="K1212" s="15" t="s">
        <v>28</v>
      </c>
      <c r="L1212" s="15"/>
      <c r="M1212" s="16">
        <f t="shared" si="184"/>
        <v>14</v>
      </c>
      <c r="N1212" s="15">
        <v>4200</v>
      </c>
      <c r="O1212" s="15">
        <v>3800</v>
      </c>
      <c r="P1212" s="15">
        <f t="shared" si="176"/>
        <v>15960000</v>
      </c>
      <c r="Q1212" s="15" t="str">
        <f t="shared" si="177"/>
        <v>Done</v>
      </c>
      <c r="R1212" s="18" t="s">
        <v>44</v>
      </c>
      <c r="S1212" s="117">
        <v>43511</v>
      </c>
      <c r="T1212" s="20">
        <f>IFERROR(VLOOKUP(S1212,'Date Converter'!$A$4:$C$368,3,0),"")</f>
        <v>43544</v>
      </c>
      <c r="U1212" s="21">
        <f t="shared" si="188"/>
        <v>43544</v>
      </c>
      <c r="V1212" s="12" t="s">
        <v>32</v>
      </c>
      <c r="W1212" s="18" t="s">
        <v>41</v>
      </c>
      <c r="X1212" s="18"/>
      <c r="Y1212" s="18"/>
      <c r="Z1212" s="210">
        <v>43543</v>
      </c>
      <c r="AA1212" s="15">
        <v>4200</v>
      </c>
      <c r="AB1212" s="210"/>
      <c r="AC1212" s="15"/>
      <c r="AD1212" s="15"/>
      <c r="AE1212" s="15"/>
      <c r="AF1212" s="244"/>
      <c r="AG1212" s="15"/>
      <c r="AH1212" s="15">
        <f t="shared" si="185"/>
        <v>4200</v>
      </c>
      <c r="AI1212" s="22">
        <f t="shared" si="186"/>
        <v>0</v>
      </c>
      <c r="AJ1212" s="22">
        <f t="shared" si="187"/>
        <v>0</v>
      </c>
      <c r="AK1212" s="13">
        <v>43872</v>
      </c>
    </row>
    <row r="1213" spans="1:38" s="165" customFormat="1" hidden="1">
      <c r="A1213" s="165" t="s">
        <v>1713</v>
      </c>
      <c r="B1213" s="13">
        <v>43628</v>
      </c>
      <c r="C1213" s="13" t="s">
        <v>1622</v>
      </c>
      <c r="D1213" s="165" t="s">
        <v>1088</v>
      </c>
      <c r="E1213" s="165" t="s">
        <v>1086</v>
      </c>
      <c r="F1213" s="165" t="str">
        <f t="shared" si="183"/>
        <v>YELL_14.16_300_NL2018</v>
      </c>
      <c r="G1213" s="165" t="s">
        <v>89</v>
      </c>
      <c r="H1213" s="12"/>
      <c r="I1213" s="12" t="s">
        <v>47</v>
      </c>
      <c r="J1213" s="14">
        <v>300</v>
      </c>
      <c r="K1213" s="15" t="s">
        <v>28</v>
      </c>
      <c r="L1213" s="15"/>
      <c r="M1213" s="16">
        <f t="shared" si="184"/>
        <v>17</v>
      </c>
      <c r="N1213" s="15">
        <v>5100</v>
      </c>
      <c r="O1213" s="15">
        <v>4000</v>
      </c>
      <c r="P1213" s="15">
        <f t="shared" si="176"/>
        <v>20400000</v>
      </c>
      <c r="Q1213" s="15" t="str">
        <f t="shared" si="177"/>
        <v/>
      </c>
      <c r="R1213" s="18" t="s">
        <v>31</v>
      </c>
      <c r="S1213" s="117">
        <v>43631</v>
      </c>
      <c r="T1213" s="20">
        <f>IFERROR(VLOOKUP(S1213,'Date Converter'!$A$4:$C$368,3,0),"")</f>
        <v>43663</v>
      </c>
      <c r="U1213" s="21">
        <f t="shared" si="188"/>
        <v>43663</v>
      </c>
      <c r="V1213" s="27" t="s">
        <v>1875</v>
      </c>
      <c r="W1213" s="18"/>
      <c r="X1213" s="18"/>
      <c r="Y1213" s="18"/>
      <c r="Z1213" s="210"/>
      <c r="AA1213" s="15"/>
      <c r="AB1213" s="210"/>
      <c r="AC1213" s="15"/>
      <c r="AD1213" s="210"/>
      <c r="AE1213" s="15"/>
      <c r="AF1213" s="244"/>
      <c r="AG1213" s="15"/>
      <c r="AH1213" s="15">
        <f t="shared" si="185"/>
        <v>0</v>
      </c>
      <c r="AI1213" s="22">
        <f t="shared" si="186"/>
        <v>5100</v>
      </c>
      <c r="AJ1213" s="22">
        <f t="shared" si="187"/>
        <v>20400000</v>
      </c>
      <c r="AK1213" s="13"/>
    </row>
    <row r="1214" spans="1:38" s="165" customFormat="1" hidden="1">
      <c r="A1214" s="165" t="s">
        <v>1716</v>
      </c>
      <c r="B1214" s="13">
        <v>43554</v>
      </c>
      <c r="C1214" s="267" t="s">
        <v>1622</v>
      </c>
      <c r="D1214" s="258" t="s">
        <v>1085</v>
      </c>
      <c r="E1214" s="13" t="s">
        <v>1086</v>
      </c>
      <c r="F1214" s="165" t="str">
        <f t="shared" si="183"/>
        <v>YELL_16.18_200_NL2018</v>
      </c>
      <c r="G1214" s="13" t="s">
        <v>89</v>
      </c>
      <c r="H1214" s="12"/>
      <c r="I1214" s="12" t="s">
        <v>35</v>
      </c>
      <c r="J1214" s="31" t="s">
        <v>121</v>
      </c>
      <c r="K1214" s="15" t="s">
        <v>28</v>
      </c>
      <c r="L1214" s="15"/>
      <c r="M1214" s="33">
        <f t="shared" si="184"/>
        <v>15</v>
      </c>
      <c r="N1214" s="15">
        <v>3000</v>
      </c>
      <c r="O1214" s="25">
        <v>6400</v>
      </c>
      <c r="P1214" s="15">
        <f t="shared" si="176"/>
        <v>19200000</v>
      </c>
      <c r="Q1214" s="15" t="str">
        <f t="shared" si="177"/>
        <v/>
      </c>
      <c r="R1214" s="18" t="s">
        <v>29</v>
      </c>
      <c r="S1214" s="117">
        <v>43709</v>
      </c>
      <c r="T1214" s="20">
        <f>IFERROR(VLOOKUP(S1214,'Date Converter'!$A$4:$C$368,3,0),"")</f>
        <v>43737</v>
      </c>
      <c r="U1214" s="21">
        <f t="shared" si="188"/>
        <v>43737</v>
      </c>
      <c r="V1214" s="12"/>
      <c r="W1214" s="18"/>
      <c r="X1214" s="18"/>
      <c r="Y1214" s="18"/>
      <c r="Z1214" s="206"/>
      <c r="AA1214" s="15">
        <v>0</v>
      </c>
      <c r="AB1214" s="206"/>
      <c r="AC1214" s="12"/>
      <c r="AD1214" s="12"/>
      <c r="AE1214" s="12"/>
      <c r="AF1214" s="245"/>
      <c r="AG1214" s="12"/>
      <c r="AH1214" s="15">
        <f t="shared" si="185"/>
        <v>0</v>
      </c>
      <c r="AI1214" s="22">
        <f t="shared" si="186"/>
        <v>3000</v>
      </c>
      <c r="AJ1214" s="22">
        <f t="shared" si="187"/>
        <v>19200000</v>
      </c>
    </row>
    <row r="1215" spans="1:38" s="165" customFormat="1" hidden="1">
      <c r="A1215" s="165" t="s">
        <v>1715</v>
      </c>
      <c r="B1215" s="13">
        <v>43536</v>
      </c>
      <c r="C1215" s="267" t="s">
        <v>1622</v>
      </c>
      <c r="D1215" s="258" t="s">
        <v>1088</v>
      </c>
      <c r="E1215" s="165" t="s">
        <v>1086</v>
      </c>
      <c r="F1215" s="165" t="str">
        <f t="shared" si="183"/>
        <v>YELL_DI_18.20_150_NL2018</v>
      </c>
      <c r="G1215" s="165" t="s">
        <v>1644</v>
      </c>
      <c r="H1215" s="12" t="s">
        <v>1641</v>
      </c>
      <c r="I1215" s="12" t="s">
        <v>27</v>
      </c>
      <c r="J1215" s="14">
        <v>150</v>
      </c>
      <c r="K1215" s="15" t="s">
        <v>28</v>
      </c>
      <c r="L1215" s="15"/>
      <c r="M1215" s="16">
        <f t="shared" si="184"/>
        <v>234</v>
      </c>
      <c r="N1215" s="15">
        <v>35100</v>
      </c>
      <c r="O1215" s="15">
        <v>6200</v>
      </c>
      <c r="P1215" s="15">
        <f t="shared" si="176"/>
        <v>217620000</v>
      </c>
      <c r="Q1215" s="15" t="str">
        <f t="shared" si="177"/>
        <v/>
      </c>
      <c r="R1215" s="18" t="s">
        <v>29</v>
      </c>
      <c r="S1215" s="117">
        <v>43709</v>
      </c>
      <c r="T1215" s="20">
        <f>IFERROR(VLOOKUP(S1215,'Date Converter'!$A$4:$C$368,3,0),"")</f>
        <v>43737</v>
      </c>
      <c r="U1215" s="21">
        <f t="shared" si="188"/>
        <v>43737</v>
      </c>
      <c r="V1215" s="12" t="s">
        <v>51</v>
      </c>
      <c r="W1215" s="18"/>
      <c r="X1215" s="18"/>
      <c r="Y1215" s="18"/>
      <c r="Z1215" s="210"/>
      <c r="AA1215" s="15">
        <v>0</v>
      </c>
      <c r="AB1215" s="210"/>
      <c r="AC1215" s="15"/>
      <c r="AD1215" s="15"/>
      <c r="AE1215" s="15"/>
      <c r="AF1215" s="244"/>
      <c r="AG1215" s="15"/>
      <c r="AH1215" s="15">
        <f t="shared" si="185"/>
        <v>0</v>
      </c>
      <c r="AI1215" s="22">
        <f t="shared" si="186"/>
        <v>35100</v>
      </c>
      <c r="AJ1215" s="22">
        <f t="shared" si="187"/>
        <v>217620000</v>
      </c>
      <c r="AK1215" s="13"/>
    </row>
    <row r="1216" spans="1:38" s="165" customFormat="1" hidden="1">
      <c r="A1216" s="165" t="s">
        <v>1716</v>
      </c>
      <c r="B1216" s="13">
        <v>43554</v>
      </c>
      <c r="C1216" s="267" t="s">
        <v>1622</v>
      </c>
      <c r="D1216" s="258" t="s">
        <v>1085</v>
      </c>
      <c r="E1216" s="13" t="s">
        <v>1086</v>
      </c>
      <c r="F1216" s="165" t="str">
        <f t="shared" si="183"/>
        <v>TREN_POT_10.12_500_NL2018</v>
      </c>
      <c r="G1216" s="222" t="s">
        <v>1733</v>
      </c>
      <c r="H1216" s="12" t="s">
        <v>1720</v>
      </c>
      <c r="I1216" s="12" t="s">
        <v>1721</v>
      </c>
      <c r="J1216" s="31" t="s">
        <v>1722</v>
      </c>
      <c r="K1216" s="15" t="s">
        <v>28</v>
      </c>
      <c r="L1216" s="15"/>
      <c r="M1216" s="223">
        <f t="shared" si="184"/>
        <v>9</v>
      </c>
      <c r="N1216" s="25">
        <v>4500</v>
      </c>
      <c r="O1216" s="25">
        <v>3500</v>
      </c>
      <c r="P1216" s="25">
        <f t="shared" si="176"/>
        <v>15750000</v>
      </c>
      <c r="Q1216" s="15" t="str">
        <f t="shared" si="177"/>
        <v/>
      </c>
      <c r="R1216" s="18" t="s">
        <v>29</v>
      </c>
      <c r="S1216" s="117">
        <v>43709</v>
      </c>
      <c r="T1216" s="20">
        <f>IFERROR(VLOOKUP(S1216,'Date Converter'!$A$4:$C$368,3,0),"")</f>
        <v>43737</v>
      </c>
      <c r="U1216" s="21">
        <f t="shared" si="188"/>
        <v>43737</v>
      </c>
      <c r="V1216" s="12"/>
      <c r="W1216" s="18"/>
      <c r="X1216" s="18"/>
      <c r="Y1216" s="18"/>
      <c r="Z1216" s="206"/>
      <c r="AA1216" s="15">
        <v>0</v>
      </c>
      <c r="AB1216" s="206"/>
      <c r="AC1216" s="12"/>
      <c r="AD1216" s="12"/>
      <c r="AE1216" s="12"/>
      <c r="AF1216" s="245"/>
      <c r="AG1216" s="12"/>
      <c r="AH1216" s="15">
        <f t="shared" si="185"/>
        <v>0</v>
      </c>
      <c r="AI1216" s="22">
        <f t="shared" si="186"/>
        <v>4500</v>
      </c>
      <c r="AJ1216" s="22">
        <f t="shared" si="187"/>
        <v>15750000</v>
      </c>
    </row>
    <row r="1217" spans="1:37" s="165" customFormat="1" hidden="1">
      <c r="A1217" s="165" t="s">
        <v>1716</v>
      </c>
      <c r="B1217" s="13">
        <v>43554</v>
      </c>
      <c r="C1217" s="267" t="s">
        <v>1622</v>
      </c>
      <c r="D1217" s="258" t="s">
        <v>1085</v>
      </c>
      <c r="E1217" s="13" t="s">
        <v>1086</v>
      </c>
      <c r="F1217" s="165" t="str">
        <f t="shared" si="183"/>
        <v>TREN_POT_10.12_500_NL2018</v>
      </c>
      <c r="G1217" s="13" t="s">
        <v>1731</v>
      </c>
      <c r="H1217" s="12" t="s">
        <v>1720</v>
      </c>
      <c r="I1217" s="12" t="s">
        <v>1721</v>
      </c>
      <c r="J1217" s="31" t="s">
        <v>1722</v>
      </c>
      <c r="K1217" s="15" t="s">
        <v>28</v>
      </c>
      <c r="L1217" s="15"/>
      <c r="M1217" s="33">
        <f t="shared" si="184"/>
        <v>9</v>
      </c>
      <c r="N1217" s="15">
        <v>4500</v>
      </c>
      <c r="O1217" s="15">
        <v>3500</v>
      </c>
      <c r="P1217" s="15">
        <f t="shared" si="176"/>
        <v>15750000</v>
      </c>
      <c r="Q1217" s="15" t="str">
        <f t="shared" si="177"/>
        <v/>
      </c>
      <c r="R1217" s="18" t="s">
        <v>29</v>
      </c>
      <c r="S1217" s="117">
        <v>43709</v>
      </c>
      <c r="T1217" s="20">
        <f>IFERROR(VLOOKUP(S1217,'Date Converter'!$A$4:$C$368,3,0),"")</f>
        <v>43737</v>
      </c>
      <c r="U1217" s="21">
        <f t="shared" si="188"/>
        <v>43737</v>
      </c>
      <c r="V1217" s="12"/>
      <c r="W1217" s="18"/>
      <c r="X1217" s="18"/>
      <c r="Y1217" s="18"/>
      <c r="Z1217" s="206"/>
      <c r="AA1217" s="15">
        <v>0</v>
      </c>
      <c r="AB1217" s="206"/>
      <c r="AC1217" s="12"/>
      <c r="AD1217" s="12"/>
      <c r="AE1217" s="12"/>
      <c r="AF1217" s="245"/>
      <c r="AG1217" s="12"/>
      <c r="AH1217" s="15">
        <f t="shared" si="185"/>
        <v>0</v>
      </c>
      <c r="AI1217" s="22">
        <f t="shared" si="186"/>
        <v>4500</v>
      </c>
      <c r="AJ1217" s="22">
        <f t="shared" si="187"/>
        <v>15750000</v>
      </c>
    </row>
    <row r="1218" spans="1:37" s="165" customFormat="1" hidden="1">
      <c r="A1218" s="165" t="s">
        <v>1712</v>
      </c>
      <c r="B1218" s="13">
        <v>43470</v>
      </c>
      <c r="C1218" s="13" t="s">
        <v>1622</v>
      </c>
      <c r="D1218" s="165" t="s">
        <v>1088</v>
      </c>
      <c r="E1218" s="165" t="s">
        <v>1086</v>
      </c>
      <c r="F1218" s="165" t="str">
        <f t="shared" si="183"/>
        <v>TEBA_14.16_300_NL2018</v>
      </c>
      <c r="G1218" s="165" t="s">
        <v>127</v>
      </c>
      <c r="H1218" s="12"/>
      <c r="I1218" s="12" t="s">
        <v>47</v>
      </c>
      <c r="J1218" s="14">
        <v>300</v>
      </c>
      <c r="K1218" s="15" t="s">
        <v>28</v>
      </c>
      <c r="L1218" s="15"/>
      <c r="M1218" s="16">
        <f t="shared" si="184"/>
        <v>50</v>
      </c>
      <c r="N1218" s="15">
        <v>15000</v>
      </c>
      <c r="O1218" s="15">
        <v>4100</v>
      </c>
      <c r="P1218" s="15">
        <f t="shared" si="176"/>
        <v>61500000</v>
      </c>
      <c r="Q1218" s="15" t="str">
        <f t="shared" si="177"/>
        <v>Done</v>
      </c>
      <c r="R1218" s="18" t="s">
        <v>44</v>
      </c>
      <c r="S1218" s="117">
        <v>43539</v>
      </c>
      <c r="T1218" s="20">
        <f>IFERROR(VLOOKUP(S1218,'Date Converter'!$A$4:$C$368,3,0),"")</f>
        <v>43574</v>
      </c>
      <c r="U1218" s="21">
        <f t="shared" si="188"/>
        <v>43574</v>
      </c>
      <c r="V1218" s="12" t="s">
        <v>57</v>
      </c>
      <c r="W1218" s="18" t="s">
        <v>143</v>
      </c>
      <c r="X1218" s="18"/>
      <c r="Y1218" s="18"/>
      <c r="Z1218" s="210">
        <v>43577</v>
      </c>
      <c r="AA1218" s="15">
        <v>15000</v>
      </c>
      <c r="AB1218" s="210"/>
      <c r="AC1218" s="15"/>
      <c r="AD1218" s="210"/>
      <c r="AE1218" s="15"/>
      <c r="AF1218" s="244"/>
      <c r="AG1218" s="15"/>
      <c r="AH1218" s="15">
        <f t="shared" si="185"/>
        <v>15000</v>
      </c>
      <c r="AI1218" s="22">
        <f t="shared" si="186"/>
        <v>0</v>
      </c>
      <c r="AJ1218" s="22">
        <f t="shared" si="187"/>
        <v>0</v>
      </c>
      <c r="AK1218" s="13"/>
    </row>
    <row r="1219" spans="1:37" s="165" customFormat="1" hidden="1">
      <c r="A1219" s="165" t="s">
        <v>1712</v>
      </c>
      <c r="B1219" s="13">
        <v>43470</v>
      </c>
      <c r="C1219" s="13" t="s">
        <v>1622</v>
      </c>
      <c r="D1219" s="165" t="s">
        <v>1088</v>
      </c>
      <c r="E1219" s="165" t="s">
        <v>1086</v>
      </c>
      <c r="F1219" s="165" t="str">
        <f t="shared" si="183"/>
        <v>TEBA_12.14_400_NL2018</v>
      </c>
      <c r="G1219" s="165" t="s">
        <v>127</v>
      </c>
      <c r="H1219" s="12"/>
      <c r="I1219" s="12" t="s">
        <v>113</v>
      </c>
      <c r="J1219" s="14">
        <v>400</v>
      </c>
      <c r="K1219" s="15" t="s">
        <v>28</v>
      </c>
      <c r="L1219" s="15"/>
      <c r="M1219" s="16">
        <f t="shared" si="184"/>
        <v>15</v>
      </c>
      <c r="N1219" s="15">
        <v>6000</v>
      </c>
      <c r="O1219" s="15">
        <v>2800</v>
      </c>
      <c r="P1219" s="15">
        <f t="shared" si="176"/>
        <v>16800000</v>
      </c>
      <c r="Q1219" s="15" t="str">
        <f t="shared" ref="Q1219:Q1282" si="189">IF(AND(N1219=0,AI1219=0),"Canceled",IF(AND(N1219&gt;0,AI1219=0),"Done",""))</f>
        <v>Done</v>
      </c>
      <c r="R1219" s="18" t="s">
        <v>44</v>
      </c>
      <c r="S1219" s="117" t="s">
        <v>151</v>
      </c>
      <c r="T1219" s="20">
        <f>IFERROR(VLOOKUP(S1219,'Date Converter'!$A$4:$C$368,3,0),"")</f>
        <v>43558</v>
      </c>
      <c r="U1219" s="21">
        <f t="shared" si="188"/>
        <v>43558</v>
      </c>
      <c r="V1219" s="12" t="s">
        <v>81</v>
      </c>
      <c r="W1219" s="18" t="s">
        <v>82</v>
      </c>
      <c r="X1219" s="18"/>
      <c r="Y1219" s="18"/>
      <c r="Z1219" s="210">
        <v>43560</v>
      </c>
      <c r="AA1219" s="15">
        <v>6000</v>
      </c>
      <c r="AB1219" s="210"/>
      <c r="AC1219" s="15"/>
      <c r="AD1219" s="210"/>
      <c r="AE1219" s="15"/>
      <c r="AF1219" s="244"/>
      <c r="AG1219" s="15"/>
      <c r="AH1219" s="15">
        <f t="shared" si="185"/>
        <v>6000</v>
      </c>
      <c r="AI1219" s="22">
        <f t="shared" si="186"/>
        <v>0</v>
      </c>
      <c r="AJ1219" s="22">
        <f t="shared" si="187"/>
        <v>0</v>
      </c>
      <c r="AK1219" s="13"/>
    </row>
    <row r="1220" spans="1:37" s="165" customFormat="1" hidden="1">
      <c r="A1220" s="165" t="s">
        <v>1713</v>
      </c>
      <c r="B1220" s="13">
        <v>43536</v>
      </c>
      <c r="C1220" s="13" t="s">
        <v>1622</v>
      </c>
      <c r="D1220" s="165" t="s">
        <v>1088</v>
      </c>
      <c r="E1220" s="165" t="s">
        <v>1086</v>
      </c>
      <c r="F1220" s="165" t="str">
        <f t="shared" si="183"/>
        <v>TEBA_14.16_300_NL2018</v>
      </c>
      <c r="G1220" s="165" t="s">
        <v>127</v>
      </c>
      <c r="H1220" s="12"/>
      <c r="I1220" s="12" t="s">
        <v>47</v>
      </c>
      <c r="J1220" s="14">
        <v>300</v>
      </c>
      <c r="K1220" s="15" t="s">
        <v>28</v>
      </c>
      <c r="L1220" s="15"/>
      <c r="M1220" s="16">
        <f t="shared" si="184"/>
        <v>34</v>
      </c>
      <c r="N1220" s="15">
        <v>10200</v>
      </c>
      <c r="O1220" s="15">
        <v>4200</v>
      </c>
      <c r="P1220" s="15">
        <f t="shared" ref="P1220:P1282" si="190">+O1220*N1220</f>
        <v>42840000</v>
      </c>
      <c r="Q1220" s="15" t="str">
        <f t="shared" si="189"/>
        <v>Done</v>
      </c>
      <c r="R1220" s="18" t="s">
        <v>44</v>
      </c>
      <c r="S1220" s="117">
        <v>43572</v>
      </c>
      <c r="T1220" s="20">
        <f>IFERROR(VLOOKUP(S1220,'Date Converter'!$A$4:$C$368,3,0),"")</f>
        <v>43606</v>
      </c>
      <c r="U1220" s="21">
        <f t="shared" si="188"/>
        <v>43606</v>
      </c>
      <c r="V1220" s="27" t="s">
        <v>36</v>
      </c>
      <c r="W1220" s="18"/>
      <c r="X1220" s="18"/>
      <c r="Y1220" s="18"/>
      <c r="Z1220" s="210">
        <v>43609</v>
      </c>
      <c r="AA1220" s="15">
        <v>5100</v>
      </c>
      <c r="AB1220" s="210">
        <v>43620</v>
      </c>
      <c r="AC1220" s="15">
        <v>5100</v>
      </c>
      <c r="AD1220" s="210"/>
      <c r="AE1220" s="15"/>
      <c r="AF1220" s="244"/>
      <c r="AG1220" s="15"/>
      <c r="AH1220" s="15">
        <f t="shared" si="185"/>
        <v>10200</v>
      </c>
      <c r="AI1220" s="22">
        <f t="shared" si="186"/>
        <v>0</v>
      </c>
      <c r="AJ1220" s="22">
        <f t="shared" si="187"/>
        <v>0</v>
      </c>
      <c r="AK1220" s="13"/>
    </row>
    <row r="1221" spans="1:37" s="165" customFormat="1" hidden="1">
      <c r="A1221" s="165" t="s">
        <v>1712</v>
      </c>
      <c r="B1221" s="13">
        <v>43470</v>
      </c>
      <c r="C1221" s="13" t="s">
        <v>1622</v>
      </c>
      <c r="D1221" s="165" t="s">
        <v>1088</v>
      </c>
      <c r="E1221" s="165" t="s">
        <v>1086</v>
      </c>
      <c r="F1221" s="165" t="str">
        <f t="shared" si="183"/>
        <v>TARR_16.18_200_NL2018</v>
      </c>
      <c r="G1221" s="165" t="s">
        <v>62</v>
      </c>
      <c r="H1221" s="12"/>
      <c r="I1221" s="12" t="s">
        <v>35</v>
      </c>
      <c r="J1221" s="14">
        <v>200</v>
      </c>
      <c r="K1221" s="15" t="s">
        <v>28</v>
      </c>
      <c r="L1221" s="15"/>
      <c r="M1221" s="16">
        <f t="shared" si="184"/>
        <v>100</v>
      </c>
      <c r="N1221" s="15">
        <v>20000</v>
      </c>
      <c r="O1221" s="15">
        <v>6500</v>
      </c>
      <c r="P1221" s="15">
        <f t="shared" si="190"/>
        <v>130000000</v>
      </c>
      <c r="Q1221" s="15" t="str">
        <f t="shared" si="189"/>
        <v>Done</v>
      </c>
      <c r="R1221" s="18" t="s">
        <v>44</v>
      </c>
      <c r="S1221" s="117">
        <v>43480</v>
      </c>
      <c r="T1221" s="20">
        <f>IFERROR(VLOOKUP(S1221,'Date Converter'!$A$4:$C$368,3,0),"")</f>
        <v>43515</v>
      </c>
      <c r="U1221" s="21">
        <f t="shared" si="188"/>
        <v>43515</v>
      </c>
      <c r="V1221" s="12" t="s">
        <v>45</v>
      </c>
      <c r="W1221" s="18"/>
      <c r="X1221" s="18"/>
      <c r="Y1221" s="18"/>
      <c r="Z1221" s="210">
        <v>43515</v>
      </c>
      <c r="AA1221" s="15">
        <v>20000</v>
      </c>
      <c r="AB1221" s="210"/>
      <c r="AC1221" s="15"/>
      <c r="AD1221" s="15"/>
      <c r="AE1221" s="15"/>
      <c r="AF1221" s="244"/>
      <c r="AG1221" s="15"/>
      <c r="AH1221" s="15">
        <f t="shared" si="185"/>
        <v>20000</v>
      </c>
      <c r="AI1221" s="22">
        <f t="shared" si="186"/>
        <v>0</v>
      </c>
      <c r="AJ1221" s="22">
        <f t="shared" si="187"/>
        <v>0</v>
      </c>
      <c r="AK1221" s="13"/>
    </row>
    <row r="1222" spans="1:37" s="165" customFormat="1" hidden="1">
      <c r="A1222" s="165" t="s">
        <v>1713</v>
      </c>
      <c r="B1222" s="13">
        <v>43603</v>
      </c>
      <c r="C1222" s="13" t="s">
        <v>1622</v>
      </c>
      <c r="D1222" s="165" t="s">
        <v>1088</v>
      </c>
      <c r="E1222" s="165" t="s">
        <v>1086</v>
      </c>
      <c r="F1222" s="165" t="str">
        <f t="shared" si="183"/>
        <v>TARR_14.16_300_NL2018</v>
      </c>
      <c r="G1222" s="165" t="s">
        <v>62</v>
      </c>
      <c r="H1222" s="12"/>
      <c r="I1222" s="12" t="s">
        <v>47</v>
      </c>
      <c r="J1222" s="14">
        <v>300</v>
      </c>
      <c r="K1222" s="15" t="s">
        <v>28</v>
      </c>
      <c r="L1222" s="15"/>
      <c r="M1222" s="16">
        <f t="shared" si="184"/>
        <v>17</v>
      </c>
      <c r="N1222" s="15">
        <v>5100</v>
      </c>
      <c r="O1222" s="15">
        <v>4800</v>
      </c>
      <c r="P1222" s="15">
        <f t="shared" si="190"/>
        <v>24480000</v>
      </c>
      <c r="Q1222" s="15" t="str">
        <f t="shared" si="189"/>
        <v>Done</v>
      </c>
      <c r="R1222" s="18" t="s">
        <v>44</v>
      </c>
      <c r="S1222" s="117">
        <v>43572</v>
      </c>
      <c r="T1222" s="20">
        <f>IFERROR(VLOOKUP(S1222,'Date Converter'!$A$4:$C$368,3,0),"")</f>
        <v>43606</v>
      </c>
      <c r="U1222" s="21">
        <f t="shared" si="188"/>
        <v>43606</v>
      </c>
      <c r="V1222" s="27"/>
      <c r="W1222" s="18"/>
      <c r="X1222" s="18"/>
      <c r="Y1222" s="18"/>
      <c r="Z1222" s="210">
        <v>43603</v>
      </c>
      <c r="AA1222" s="15">
        <v>5100</v>
      </c>
      <c r="AB1222" s="210"/>
      <c r="AC1222" s="15"/>
      <c r="AD1222" s="15"/>
      <c r="AE1222" s="15"/>
      <c r="AF1222" s="244"/>
      <c r="AG1222" s="15"/>
      <c r="AH1222" s="15">
        <f t="shared" si="185"/>
        <v>5100</v>
      </c>
      <c r="AI1222" s="22">
        <f t="shared" si="186"/>
        <v>0</v>
      </c>
      <c r="AJ1222" s="22">
        <f t="shared" si="187"/>
        <v>0</v>
      </c>
      <c r="AK1222" s="13"/>
    </row>
    <row r="1223" spans="1:37" s="165" customFormat="1" hidden="1">
      <c r="A1223" s="165" t="s">
        <v>1715</v>
      </c>
      <c r="B1223" s="13">
        <v>43536</v>
      </c>
      <c r="C1223" s="267" t="s">
        <v>1622</v>
      </c>
      <c r="D1223" s="258" t="s">
        <v>1088</v>
      </c>
      <c r="E1223" s="165" t="s">
        <v>1086</v>
      </c>
      <c r="F1223" s="165" t="str">
        <f t="shared" si="183"/>
        <v>TARR_18.20_150_NL2018</v>
      </c>
      <c r="G1223" s="165" t="s">
        <v>62</v>
      </c>
      <c r="H1223" s="12"/>
      <c r="I1223" s="12" t="s">
        <v>27</v>
      </c>
      <c r="J1223" s="14">
        <v>150</v>
      </c>
      <c r="K1223" s="15" t="s">
        <v>28</v>
      </c>
      <c r="L1223" s="15"/>
      <c r="M1223" s="16">
        <f t="shared" si="184"/>
        <v>34</v>
      </c>
      <c r="N1223" s="15">
        <v>5100</v>
      </c>
      <c r="O1223" s="15">
        <v>9400</v>
      </c>
      <c r="P1223" s="15">
        <f t="shared" si="190"/>
        <v>47940000</v>
      </c>
      <c r="Q1223" s="15" t="str">
        <f t="shared" si="189"/>
        <v/>
      </c>
      <c r="R1223" s="18" t="s">
        <v>29</v>
      </c>
      <c r="S1223" s="117">
        <v>43709</v>
      </c>
      <c r="T1223" s="20">
        <f>IFERROR(VLOOKUP(S1223,'Date Converter'!$A$4:$C$368,3,0),"")</f>
        <v>43737</v>
      </c>
      <c r="U1223" s="21">
        <f t="shared" si="188"/>
        <v>43737</v>
      </c>
      <c r="V1223" s="12" t="s">
        <v>51</v>
      </c>
      <c r="W1223" s="18"/>
      <c r="X1223" s="18"/>
      <c r="Y1223" s="18"/>
      <c r="Z1223" s="210"/>
      <c r="AA1223" s="15">
        <v>0</v>
      </c>
      <c r="AB1223" s="210"/>
      <c r="AC1223" s="15"/>
      <c r="AD1223" s="15"/>
      <c r="AE1223" s="15"/>
      <c r="AF1223" s="244"/>
      <c r="AG1223" s="15"/>
      <c r="AH1223" s="15">
        <f t="shared" si="185"/>
        <v>0</v>
      </c>
      <c r="AI1223" s="22">
        <f t="shared" si="186"/>
        <v>5100</v>
      </c>
      <c r="AJ1223" s="22">
        <f t="shared" si="187"/>
        <v>47940000</v>
      </c>
      <c r="AK1223" s="13"/>
    </row>
    <row r="1224" spans="1:37" s="165" customFormat="1" hidden="1">
      <c r="A1224" s="165" t="s">
        <v>1716</v>
      </c>
      <c r="B1224" s="13">
        <v>43554</v>
      </c>
      <c r="C1224" s="267" t="s">
        <v>1622</v>
      </c>
      <c r="D1224" s="258" t="s">
        <v>1085</v>
      </c>
      <c r="E1224" s="13" t="s">
        <v>1086</v>
      </c>
      <c r="F1224" s="165" t="str">
        <f t="shared" si="183"/>
        <v>TANG_POT_11.12_500_NL2018</v>
      </c>
      <c r="G1224" s="222" t="s">
        <v>1732</v>
      </c>
      <c r="H1224" s="12" t="s">
        <v>1720</v>
      </c>
      <c r="I1224" s="12" t="s">
        <v>1726</v>
      </c>
      <c r="J1224" s="31" t="s">
        <v>1722</v>
      </c>
      <c r="K1224" s="15" t="s">
        <v>28</v>
      </c>
      <c r="L1224" s="15"/>
      <c r="M1224" s="223">
        <f t="shared" si="184"/>
        <v>10</v>
      </c>
      <c r="N1224" s="25">
        <v>5000</v>
      </c>
      <c r="O1224" s="25">
        <v>3600</v>
      </c>
      <c r="P1224" s="25">
        <f t="shared" si="190"/>
        <v>18000000</v>
      </c>
      <c r="Q1224" s="15" t="str">
        <f t="shared" si="189"/>
        <v/>
      </c>
      <c r="R1224" s="18" t="s">
        <v>29</v>
      </c>
      <c r="S1224" s="117">
        <v>43709</v>
      </c>
      <c r="T1224" s="20">
        <f>IFERROR(VLOOKUP(S1224,'Date Converter'!$A$4:$C$368,3,0),"")</f>
        <v>43737</v>
      </c>
      <c r="U1224" s="21">
        <f t="shared" si="188"/>
        <v>43737</v>
      </c>
      <c r="V1224" s="12"/>
      <c r="W1224" s="18"/>
      <c r="X1224" s="18"/>
      <c r="Y1224" s="18"/>
      <c r="Z1224" s="206"/>
      <c r="AA1224" s="15">
        <v>0</v>
      </c>
      <c r="AB1224" s="206"/>
      <c r="AC1224" s="12"/>
      <c r="AD1224" s="12"/>
      <c r="AE1224" s="12"/>
      <c r="AF1224" s="245"/>
      <c r="AG1224" s="12"/>
      <c r="AH1224" s="15">
        <f t="shared" si="185"/>
        <v>0</v>
      </c>
      <c r="AI1224" s="22">
        <f t="shared" si="186"/>
        <v>5000</v>
      </c>
      <c r="AJ1224" s="22">
        <f t="shared" si="187"/>
        <v>18000000</v>
      </c>
    </row>
    <row r="1225" spans="1:37" s="165" customFormat="1" hidden="1">
      <c r="A1225" s="165" t="s">
        <v>1716</v>
      </c>
      <c r="B1225" s="13">
        <v>43554</v>
      </c>
      <c r="C1225" s="267" t="s">
        <v>1622</v>
      </c>
      <c r="D1225" s="258" t="s">
        <v>1085</v>
      </c>
      <c r="E1225" s="13" t="s">
        <v>1086</v>
      </c>
      <c r="F1225" s="165" t="str">
        <f t="shared" si="183"/>
        <v>SUGA_POT_10.12_500_NL2018</v>
      </c>
      <c r="G1225" s="13" t="s">
        <v>1728</v>
      </c>
      <c r="H1225" s="12" t="s">
        <v>1720</v>
      </c>
      <c r="I1225" s="12" t="s">
        <v>1721</v>
      </c>
      <c r="J1225" s="31" t="s">
        <v>1722</v>
      </c>
      <c r="K1225" s="15" t="s">
        <v>28</v>
      </c>
      <c r="L1225" s="15"/>
      <c r="M1225" s="33">
        <f t="shared" si="184"/>
        <v>16.8</v>
      </c>
      <c r="N1225" s="15">
        <v>8400</v>
      </c>
      <c r="O1225" s="15">
        <v>3500</v>
      </c>
      <c r="P1225" s="15">
        <f t="shared" si="190"/>
        <v>29400000</v>
      </c>
      <c r="Q1225" s="15" t="str">
        <f t="shared" si="189"/>
        <v/>
      </c>
      <c r="R1225" s="18" t="s">
        <v>29</v>
      </c>
      <c r="S1225" s="117">
        <v>43709</v>
      </c>
      <c r="T1225" s="20">
        <f>IFERROR(VLOOKUP(S1225,'Date Converter'!$A$4:$C$368,3,0),"")</f>
        <v>43737</v>
      </c>
      <c r="U1225" s="21">
        <f t="shared" si="188"/>
        <v>43737</v>
      </c>
      <c r="V1225" s="12"/>
      <c r="W1225" s="18"/>
      <c r="X1225" s="18"/>
      <c r="Y1225" s="18"/>
      <c r="Z1225" s="206"/>
      <c r="AA1225" s="15">
        <v>0</v>
      </c>
      <c r="AB1225" s="206"/>
      <c r="AC1225" s="12"/>
      <c r="AD1225" s="12"/>
      <c r="AE1225" s="12"/>
      <c r="AF1225" s="245"/>
      <c r="AG1225" s="12"/>
      <c r="AH1225" s="15">
        <f t="shared" si="185"/>
        <v>0</v>
      </c>
      <c r="AI1225" s="22">
        <f t="shared" si="186"/>
        <v>8400</v>
      </c>
      <c r="AJ1225" s="22">
        <f t="shared" si="187"/>
        <v>29400000</v>
      </c>
    </row>
    <row r="1226" spans="1:37" s="165" customFormat="1" hidden="1">
      <c r="A1226" s="165" t="s">
        <v>1716</v>
      </c>
      <c r="B1226" s="13">
        <v>43554</v>
      </c>
      <c r="C1226" s="267" t="s">
        <v>1622</v>
      </c>
      <c r="D1226" s="258" t="s">
        <v>1085</v>
      </c>
      <c r="E1226" s="13" t="s">
        <v>1086</v>
      </c>
      <c r="F1226" s="165" t="str">
        <f t="shared" si="183"/>
        <v>SORO_POT_10.12_500_NL2018</v>
      </c>
      <c r="G1226" s="13" t="s">
        <v>1730</v>
      </c>
      <c r="H1226" s="12" t="s">
        <v>1720</v>
      </c>
      <c r="I1226" s="12" t="s">
        <v>1721</v>
      </c>
      <c r="J1226" s="31" t="s">
        <v>1722</v>
      </c>
      <c r="K1226" s="15" t="s">
        <v>28</v>
      </c>
      <c r="L1226" s="15"/>
      <c r="M1226" s="33">
        <f t="shared" si="184"/>
        <v>12</v>
      </c>
      <c r="N1226" s="15">
        <v>6000</v>
      </c>
      <c r="O1226" s="15">
        <v>3500</v>
      </c>
      <c r="P1226" s="15">
        <f t="shared" si="190"/>
        <v>21000000</v>
      </c>
      <c r="Q1226" s="15" t="str">
        <f t="shared" si="189"/>
        <v/>
      </c>
      <c r="R1226" s="18" t="s">
        <v>29</v>
      </c>
      <c r="S1226" s="117">
        <v>43709</v>
      </c>
      <c r="T1226" s="20">
        <f>IFERROR(VLOOKUP(S1226,'Date Converter'!$A$4:$C$368,3,0),"")</f>
        <v>43737</v>
      </c>
      <c r="U1226" s="21">
        <f t="shared" si="188"/>
        <v>43737</v>
      </c>
      <c r="V1226" s="12"/>
      <c r="W1226" s="18"/>
      <c r="X1226" s="18"/>
      <c r="Y1226" s="18"/>
      <c r="Z1226" s="206"/>
      <c r="AA1226" s="15">
        <v>0</v>
      </c>
      <c r="AB1226" s="206"/>
      <c r="AC1226" s="12"/>
      <c r="AD1226" s="12"/>
      <c r="AE1226" s="12"/>
      <c r="AF1226" s="245"/>
      <c r="AG1226" s="12"/>
      <c r="AH1226" s="15">
        <f t="shared" si="185"/>
        <v>0</v>
      </c>
      <c r="AI1226" s="22">
        <f t="shared" si="186"/>
        <v>6000</v>
      </c>
      <c r="AJ1226" s="22">
        <f t="shared" si="187"/>
        <v>21000000</v>
      </c>
    </row>
    <row r="1227" spans="1:37" s="165" customFormat="1" hidden="1">
      <c r="A1227" s="165" t="s">
        <v>1716</v>
      </c>
      <c r="B1227" s="13">
        <v>43554</v>
      </c>
      <c r="C1227" s="267" t="s">
        <v>1622</v>
      </c>
      <c r="D1227" s="258" t="s">
        <v>1085</v>
      </c>
      <c r="E1227" s="13" t="s">
        <v>1086</v>
      </c>
      <c r="F1227" s="165" t="str">
        <f t="shared" si="183"/>
        <v>SORO_POT_10.12_500_NL2018</v>
      </c>
      <c r="G1227" s="222" t="s">
        <v>1730</v>
      </c>
      <c r="H1227" s="12" t="s">
        <v>1720</v>
      </c>
      <c r="I1227" s="12" t="s">
        <v>1721</v>
      </c>
      <c r="J1227" s="31" t="s">
        <v>1722</v>
      </c>
      <c r="K1227" s="15" t="s">
        <v>28</v>
      </c>
      <c r="L1227" s="15"/>
      <c r="M1227" s="223">
        <f t="shared" si="184"/>
        <v>12</v>
      </c>
      <c r="N1227" s="25">
        <v>6000</v>
      </c>
      <c r="O1227" s="25">
        <v>3500</v>
      </c>
      <c r="P1227" s="25">
        <f t="shared" si="190"/>
        <v>21000000</v>
      </c>
      <c r="Q1227" s="15" t="str">
        <f t="shared" si="189"/>
        <v/>
      </c>
      <c r="R1227" s="18" t="s">
        <v>29</v>
      </c>
      <c r="S1227" s="117">
        <v>43709</v>
      </c>
      <c r="T1227" s="20">
        <f>IFERROR(VLOOKUP(S1227,'Date Converter'!$A$4:$C$368,3,0),"")</f>
        <v>43737</v>
      </c>
      <c r="U1227" s="21">
        <f t="shared" si="188"/>
        <v>43737</v>
      </c>
      <c r="V1227" s="12"/>
      <c r="W1227" s="18"/>
      <c r="X1227" s="18"/>
      <c r="Y1227" s="18"/>
      <c r="Z1227" s="206"/>
      <c r="AA1227" s="15">
        <v>0</v>
      </c>
      <c r="AB1227" s="206"/>
      <c r="AC1227" s="12"/>
      <c r="AD1227" s="12"/>
      <c r="AE1227" s="12"/>
      <c r="AF1227" s="245"/>
      <c r="AG1227" s="12"/>
      <c r="AH1227" s="15">
        <f t="shared" si="185"/>
        <v>0</v>
      </c>
      <c r="AI1227" s="22">
        <f t="shared" si="186"/>
        <v>6000</v>
      </c>
      <c r="AJ1227" s="22">
        <f t="shared" si="187"/>
        <v>21000000</v>
      </c>
    </row>
    <row r="1228" spans="1:37" s="165" customFormat="1" hidden="1">
      <c r="A1228" s="165" t="s">
        <v>1716</v>
      </c>
      <c r="B1228" s="13">
        <v>43554</v>
      </c>
      <c r="C1228" s="267" t="s">
        <v>1622</v>
      </c>
      <c r="D1228" s="258" t="s">
        <v>1085</v>
      </c>
      <c r="E1228" s="13" t="s">
        <v>1086</v>
      </c>
      <c r="F1228" s="165" t="str">
        <f t="shared" si="183"/>
        <v>SORO_POT_12.14_400_NL2018</v>
      </c>
      <c r="G1228" s="222" t="s">
        <v>1730</v>
      </c>
      <c r="H1228" s="12" t="s">
        <v>1720</v>
      </c>
      <c r="I1228" s="12" t="s">
        <v>113</v>
      </c>
      <c r="J1228" s="31" t="s">
        <v>128</v>
      </c>
      <c r="K1228" s="15" t="s">
        <v>28</v>
      </c>
      <c r="L1228" s="15"/>
      <c r="M1228" s="223">
        <f t="shared" si="184"/>
        <v>10</v>
      </c>
      <c r="N1228" s="25">
        <v>4000</v>
      </c>
      <c r="O1228" s="25">
        <v>5200</v>
      </c>
      <c r="P1228" s="25">
        <f t="shared" si="190"/>
        <v>20800000</v>
      </c>
      <c r="Q1228" s="15" t="str">
        <f t="shared" si="189"/>
        <v/>
      </c>
      <c r="R1228" s="18" t="s">
        <v>29</v>
      </c>
      <c r="S1228" s="117">
        <v>43709</v>
      </c>
      <c r="T1228" s="20">
        <f>IFERROR(VLOOKUP(S1228,'Date Converter'!$A$4:$C$368,3,0),"")</f>
        <v>43737</v>
      </c>
      <c r="U1228" s="21">
        <f t="shared" si="188"/>
        <v>43737</v>
      </c>
      <c r="V1228" s="12"/>
      <c r="W1228" s="18"/>
      <c r="X1228" s="18"/>
      <c r="Y1228" s="18"/>
      <c r="Z1228" s="206"/>
      <c r="AA1228" s="15">
        <v>0</v>
      </c>
      <c r="AB1228" s="206"/>
      <c r="AC1228" s="12"/>
      <c r="AD1228" s="12"/>
      <c r="AE1228" s="12"/>
      <c r="AF1228" s="245"/>
      <c r="AG1228" s="12"/>
      <c r="AH1228" s="15">
        <f t="shared" si="185"/>
        <v>0</v>
      </c>
      <c r="AI1228" s="22">
        <f t="shared" si="186"/>
        <v>4000</v>
      </c>
      <c r="AJ1228" s="22">
        <f t="shared" si="187"/>
        <v>20800000</v>
      </c>
    </row>
    <row r="1229" spans="1:37" s="165" customFormat="1" hidden="1">
      <c r="A1229" s="165" t="s">
        <v>1713</v>
      </c>
      <c r="B1229" s="13">
        <v>43536</v>
      </c>
      <c r="C1229" s="13" t="s">
        <v>1622</v>
      </c>
      <c r="D1229" s="165" t="s">
        <v>1088</v>
      </c>
      <c r="E1229" s="165" t="s">
        <v>1086</v>
      </c>
      <c r="F1229" s="165" t="str">
        <f t="shared" si="183"/>
        <v>SERA_14.16_300_NL2018</v>
      </c>
      <c r="G1229" s="165" t="s">
        <v>227</v>
      </c>
      <c r="H1229" s="12"/>
      <c r="I1229" s="12" t="s">
        <v>47</v>
      </c>
      <c r="J1229" s="14">
        <v>300</v>
      </c>
      <c r="K1229" s="15" t="s">
        <v>28</v>
      </c>
      <c r="L1229" s="15"/>
      <c r="M1229" s="16">
        <f t="shared" si="184"/>
        <v>17</v>
      </c>
      <c r="N1229" s="15">
        <f>10200-5100</f>
        <v>5100</v>
      </c>
      <c r="O1229" s="15">
        <v>3600</v>
      </c>
      <c r="P1229" s="15">
        <f t="shared" si="190"/>
        <v>18360000</v>
      </c>
      <c r="Q1229" s="15" t="str">
        <f t="shared" si="189"/>
        <v>Done</v>
      </c>
      <c r="R1229" s="18" t="s">
        <v>44</v>
      </c>
      <c r="S1229" s="117">
        <v>43572</v>
      </c>
      <c r="T1229" s="20">
        <f>IFERROR(VLOOKUP(S1229,'Date Converter'!$A$4:$C$368,3,0),"")</f>
        <v>43606</v>
      </c>
      <c r="U1229" s="21">
        <f t="shared" si="188"/>
        <v>43606</v>
      </c>
      <c r="V1229" s="27" t="s">
        <v>1416</v>
      </c>
      <c r="W1229" s="18"/>
      <c r="X1229" s="18"/>
      <c r="Y1229" s="18"/>
      <c r="Z1229" s="210">
        <v>43609</v>
      </c>
      <c r="AA1229" s="15">
        <v>5100</v>
      </c>
      <c r="AB1229" s="210"/>
      <c r="AC1229" s="15"/>
      <c r="AD1229" s="210"/>
      <c r="AE1229" s="15"/>
      <c r="AF1229" s="244"/>
      <c r="AG1229" s="15"/>
      <c r="AH1229" s="15">
        <f t="shared" si="185"/>
        <v>5100</v>
      </c>
      <c r="AI1229" s="22">
        <f t="shared" si="186"/>
        <v>0</v>
      </c>
      <c r="AJ1229" s="22">
        <f t="shared" si="187"/>
        <v>0</v>
      </c>
      <c r="AK1229" s="13"/>
    </row>
    <row r="1230" spans="1:37" s="165" customFormat="1" hidden="1">
      <c r="A1230" s="165" t="s">
        <v>1713</v>
      </c>
      <c r="B1230" s="13">
        <v>43536</v>
      </c>
      <c r="C1230" s="13" t="s">
        <v>1622</v>
      </c>
      <c r="D1230" s="165" t="s">
        <v>1088</v>
      </c>
      <c r="E1230" s="165" t="s">
        <v>1086</v>
      </c>
      <c r="F1230" s="165" t="str">
        <f t="shared" si="183"/>
        <v>SERA_14.16_300_NL2018</v>
      </c>
      <c r="G1230" s="165" t="s">
        <v>227</v>
      </c>
      <c r="H1230" s="12"/>
      <c r="I1230" s="12" t="s">
        <v>47</v>
      </c>
      <c r="J1230" s="14">
        <v>300</v>
      </c>
      <c r="K1230" s="15" t="s">
        <v>28</v>
      </c>
      <c r="L1230" s="15"/>
      <c r="M1230" s="16">
        <f t="shared" si="184"/>
        <v>0</v>
      </c>
      <c r="N1230" s="15">
        <f>10200-10200</f>
        <v>0</v>
      </c>
      <c r="O1230" s="15">
        <v>3600</v>
      </c>
      <c r="P1230" s="15">
        <f t="shared" si="190"/>
        <v>0</v>
      </c>
      <c r="Q1230" s="15" t="str">
        <f t="shared" si="189"/>
        <v>Canceled</v>
      </c>
      <c r="R1230" s="18" t="s">
        <v>71</v>
      </c>
      <c r="S1230" s="117">
        <v>43587</v>
      </c>
      <c r="T1230" s="20">
        <f>IFERROR(VLOOKUP(S1230,'Date Converter'!$A$4:$C$368,3,0),"")</f>
        <v>43620</v>
      </c>
      <c r="U1230" s="21">
        <f t="shared" si="188"/>
        <v>43620</v>
      </c>
      <c r="V1230" s="27" t="s">
        <v>1632</v>
      </c>
      <c r="W1230" s="18"/>
      <c r="X1230" s="18"/>
      <c r="Y1230" s="18"/>
      <c r="Z1230" s="210"/>
      <c r="AA1230" s="15">
        <v>0</v>
      </c>
      <c r="AB1230" s="210"/>
      <c r="AC1230" s="15"/>
      <c r="AD1230" s="15"/>
      <c r="AE1230" s="15"/>
      <c r="AF1230" s="244"/>
      <c r="AG1230" s="15"/>
      <c r="AH1230" s="15">
        <f t="shared" si="185"/>
        <v>0</v>
      </c>
      <c r="AI1230" s="22">
        <f t="shared" si="186"/>
        <v>0</v>
      </c>
      <c r="AJ1230" s="22">
        <f t="shared" si="187"/>
        <v>0</v>
      </c>
      <c r="AK1230" s="13"/>
    </row>
    <row r="1231" spans="1:37" s="165" customFormat="1" hidden="1">
      <c r="A1231" s="165" t="s">
        <v>1713</v>
      </c>
      <c r="B1231" s="13">
        <v>43536</v>
      </c>
      <c r="C1231" s="13" t="s">
        <v>1622</v>
      </c>
      <c r="D1231" s="165" t="s">
        <v>1088</v>
      </c>
      <c r="E1231" s="165" t="s">
        <v>1086</v>
      </c>
      <c r="F1231" s="165" t="str">
        <f t="shared" si="183"/>
        <v>SERA_14.16_300_NL2018</v>
      </c>
      <c r="G1231" s="165" t="s">
        <v>227</v>
      </c>
      <c r="H1231" s="12"/>
      <c r="I1231" s="12" t="s">
        <v>47</v>
      </c>
      <c r="J1231" s="14">
        <v>300</v>
      </c>
      <c r="K1231" s="15" t="s">
        <v>28</v>
      </c>
      <c r="L1231" s="15"/>
      <c r="M1231" s="16">
        <f t="shared" si="184"/>
        <v>0</v>
      </c>
      <c r="N1231" s="15">
        <f>30000-30000</f>
        <v>0</v>
      </c>
      <c r="O1231" s="15">
        <v>3500</v>
      </c>
      <c r="P1231" s="15">
        <f t="shared" si="190"/>
        <v>0</v>
      </c>
      <c r="Q1231" s="15" t="str">
        <f t="shared" si="189"/>
        <v>Canceled</v>
      </c>
      <c r="R1231" s="18" t="s">
        <v>71</v>
      </c>
      <c r="S1231" s="117"/>
      <c r="T1231" s="20" t="str">
        <f>IFERROR(VLOOKUP(S1231,'Date Converter'!$A$4:$C$368,3,0),"")</f>
        <v/>
      </c>
      <c r="U1231" s="21" t="str">
        <f t="shared" si="188"/>
        <v/>
      </c>
      <c r="V1231" s="27" t="s">
        <v>1714</v>
      </c>
      <c r="W1231" s="18"/>
      <c r="X1231" s="18"/>
      <c r="Y1231" s="18"/>
      <c r="Z1231" s="210"/>
      <c r="AA1231" s="15">
        <v>0</v>
      </c>
      <c r="AB1231" s="210"/>
      <c r="AC1231" s="15"/>
      <c r="AD1231" s="15"/>
      <c r="AE1231" s="15"/>
      <c r="AF1231" s="244"/>
      <c r="AG1231" s="15"/>
      <c r="AH1231" s="15">
        <f t="shared" si="185"/>
        <v>0</v>
      </c>
      <c r="AI1231" s="22">
        <f t="shared" si="186"/>
        <v>0</v>
      </c>
      <c r="AJ1231" s="22">
        <f t="shared" si="187"/>
        <v>0</v>
      </c>
      <c r="AK1231" s="13"/>
    </row>
    <row r="1232" spans="1:37" s="165" customFormat="1" hidden="1">
      <c r="A1232" s="165" t="s">
        <v>1715</v>
      </c>
      <c r="B1232" s="13">
        <v>43536</v>
      </c>
      <c r="C1232" s="267" t="s">
        <v>1622</v>
      </c>
      <c r="D1232" s="258" t="s">
        <v>1088</v>
      </c>
      <c r="E1232" s="165" t="s">
        <v>1086</v>
      </c>
      <c r="F1232" s="165" t="str">
        <f t="shared" si="183"/>
        <v>SERA_20.22_125_NL2018</v>
      </c>
      <c r="G1232" s="165" t="s">
        <v>227</v>
      </c>
      <c r="H1232" s="12"/>
      <c r="I1232" s="12" t="s">
        <v>74</v>
      </c>
      <c r="J1232" s="14">
        <v>125</v>
      </c>
      <c r="K1232" s="15" t="s">
        <v>28</v>
      </c>
      <c r="L1232" s="15"/>
      <c r="M1232" s="16">
        <f t="shared" si="184"/>
        <v>40</v>
      </c>
      <c r="N1232" s="15">
        <v>5000</v>
      </c>
      <c r="O1232" s="15">
        <v>9300</v>
      </c>
      <c r="P1232" s="15">
        <f t="shared" si="190"/>
        <v>46500000</v>
      </c>
      <c r="Q1232" s="15" t="str">
        <f t="shared" si="189"/>
        <v/>
      </c>
      <c r="R1232" s="18" t="s">
        <v>29</v>
      </c>
      <c r="S1232" s="117">
        <v>43709</v>
      </c>
      <c r="T1232" s="20">
        <f>IFERROR(VLOOKUP(S1232,'Date Converter'!$A$4:$C$368,3,0),"")</f>
        <v>43737</v>
      </c>
      <c r="U1232" s="21">
        <f t="shared" si="188"/>
        <v>43737</v>
      </c>
      <c r="V1232" s="12" t="s">
        <v>51</v>
      </c>
      <c r="W1232" s="18"/>
      <c r="X1232" s="18"/>
      <c r="Y1232" s="18"/>
      <c r="Z1232" s="210"/>
      <c r="AA1232" s="15">
        <v>0</v>
      </c>
      <c r="AB1232" s="210"/>
      <c r="AC1232" s="15"/>
      <c r="AD1232" s="15"/>
      <c r="AE1232" s="15"/>
      <c r="AF1232" s="244"/>
      <c r="AG1232" s="15"/>
      <c r="AH1232" s="15">
        <f t="shared" si="185"/>
        <v>0</v>
      </c>
      <c r="AI1232" s="22">
        <f t="shared" si="186"/>
        <v>5000</v>
      </c>
      <c r="AJ1232" s="22">
        <f t="shared" si="187"/>
        <v>46500000</v>
      </c>
      <c r="AK1232" s="13"/>
    </row>
    <row r="1233" spans="1:37" s="165" customFormat="1" hidden="1">
      <c r="A1233" s="165" t="s">
        <v>1716</v>
      </c>
      <c r="B1233" s="13">
        <v>43554</v>
      </c>
      <c r="C1233" s="267" t="s">
        <v>1622</v>
      </c>
      <c r="D1233" s="258" t="s">
        <v>1085</v>
      </c>
      <c r="E1233" s="13" t="s">
        <v>1086</v>
      </c>
      <c r="F1233" s="165" t="str">
        <f t="shared" si="183"/>
        <v>SERA_18.20_150_NL2018</v>
      </c>
      <c r="G1233" s="13" t="s">
        <v>227</v>
      </c>
      <c r="H1233" s="12"/>
      <c r="I1233" s="12" t="s">
        <v>27</v>
      </c>
      <c r="J1233" s="31" t="s">
        <v>126</v>
      </c>
      <c r="K1233" s="15" t="s">
        <v>28</v>
      </c>
      <c r="L1233" s="15"/>
      <c r="M1233" s="16">
        <f t="shared" si="184"/>
        <v>15</v>
      </c>
      <c r="N1233" s="15">
        <v>2250</v>
      </c>
      <c r="O1233" s="15">
        <v>7800</v>
      </c>
      <c r="P1233" s="15">
        <f t="shared" si="190"/>
        <v>17550000</v>
      </c>
      <c r="Q1233" s="15" t="str">
        <f t="shared" si="189"/>
        <v/>
      </c>
      <c r="R1233" s="18" t="s">
        <v>29</v>
      </c>
      <c r="S1233" s="117">
        <v>43709</v>
      </c>
      <c r="T1233" s="20">
        <f>IFERROR(VLOOKUP(S1233,'Date Converter'!$A$4:$C$368,3,0),"")</f>
        <v>43737</v>
      </c>
      <c r="U1233" s="21">
        <f t="shared" si="188"/>
        <v>43737</v>
      </c>
      <c r="V1233" s="12"/>
      <c r="W1233" s="18"/>
      <c r="X1233" s="18"/>
      <c r="Y1233" s="18"/>
      <c r="Z1233" s="206"/>
      <c r="AA1233" s="15">
        <v>0</v>
      </c>
      <c r="AB1233" s="206"/>
      <c r="AC1233" s="12"/>
      <c r="AD1233" s="12"/>
      <c r="AE1233" s="12"/>
      <c r="AF1233" s="245"/>
      <c r="AG1233" s="12"/>
      <c r="AH1233" s="15">
        <f t="shared" si="185"/>
        <v>0</v>
      </c>
      <c r="AI1233" s="22">
        <f t="shared" si="186"/>
        <v>2250</v>
      </c>
      <c r="AJ1233" s="22">
        <f t="shared" si="187"/>
        <v>17550000</v>
      </c>
    </row>
    <row r="1234" spans="1:37" s="165" customFormat="1" hidden="1">
      <c r="A1234" s="165" t="s">
        <v>1716</v>
      </c>
      <c r="B1234" s="13">
        <v>43554</v>
      </c>
      <c r="C1234" s="267" t="s">
        <v>1622</v>
      </c>
      <c r="D1234" s="258" t="s">
        <v>1085</v>
      </c>
      <c r="E1234" s="13" t="s">
        <v>1086</v>
      </c>
      <c r="F1234" s="165" t="str">
        <f t="shared" si="183"/>
        <v>SENS_18.20_150_NL2018</v>
      </c>
      <c r="G1234" s="13" t="s">
        <v>80</v>
      </c>
      <c r="H1234" s="12"/>
      <c r="I1234" s="12" t="s">
        <v>27</v>
      </c>
      <c r="J1234" s="31" t="s">
        <v>126</v>
      </c>
      <c r="K1234" s="15" t="s">
        <v>28</v>
      </c>
      <c r="L1234" s="15"/>
      <c r="M1234" s="33">
        <f t="shared" si="184"/>
        <v>20</v>
      </c>
      <c r="N1234" s="15">
        <v>3000</v>
      </c>
      <c r="O1234" s="15">
        <v>7600</v>
      </c>
      <c r="P1234" s="15">
        <f t="shared" si="190"/>
        <v>22800000</v>
      </c>
      <c r="Q1234" s="15" t="str">
        <f t="shared" si="189"/>
        <v/>
      </c>
      <c r="R1234" s="18" t="s">
        <v>29</v>
      </c>
      <c r="S1234" s="117">
        <v>43709</v>
      </c>
      <c r="T1234" s="20">
        <f>IFERROR(VLOOKUP(S1234,'Date Converter'!$A$4:$C$368,3,0),"")</f>
        <v>43737</v>
      </c>
      <c r="U1234" s="21">
        <f t="shared" si="188"/>
        <v>43737</v>
      </c>
      <c r="V1234" s="12"/>
      <c r="W1234" s="18"/>
      <c r="X1234" s="18"/>
      <c r="Y1234" s="18"/>
      <c r="Z1234" s="206"/>
      <c r="AA1234" s="15">
        <v>0</v>
      </c>
      <c r="AB1234" s="206"/>
      <c r="AC1234" s="12"/>
      <c r="AD1234" s="12"/>
      <c r="AE1234" s="12"/>
      <c r="AF1234" s="245"/>
      <c r="AG1234" s="12"/>
      <c r="AH1234" s="15">
        <f t="shared" si="185"/>
        <v>0</v>
      </c>
      <c r="AI1234" s="22">
        <f t="shared" si="186"/>
        <v>3000</v>
      </c>
      <c r="AJ1234" s="22">
        <f t="shared" si="187"/>
        <v>22800000</v>
      </c>
    </row>
    <row r="1235" spans="1:37" s="165" customFormat="1" hidden="1">
      <c r="A1235" s="165" t="s">
        <v>1712</v>
      </c>
      <c r="B1235" s="13">
        <v>43470</v>
      </c>
      <c r="C1235" s="13" t="s">
        <v>1622</v>
      </c>
      <c r="D1235" s="165" t="s">
        <v>1088</v>
      </c>
      <c r="E1235" s="165" t="s">
        <v>1086</v>
      </c>
      <c r="F1235" s="165" t="str">
        <f t="shared" si="183"/>
        <v>ROBI_18.20_150_NL2018</v>
      </c>
      <c r="G1235" s="165" t="s">
        <v>61</v>
      </c>
      <c r="H1235" s="12"/>
      <c r="I1235" s="12" t="s">
        <v>27</v>
      </c>
      <c r="J1235" s="14">
        <v>150</v>
      </c>
      <c r="K1235" s="15" t="s">
        <v>28</v>
      </c>
      <c r="L1235" s="15"/>
      <c r="M1235" s="16">
        <f t="shared" si="184"/>
        <v>34</v>
      </c>
      <c r="N1235" s="15">
        <v>5100</v>
      </c>
      <c r="O1235" s="15">
        <v>6300</v>
      </c>
      <c r="P1235" s="15">
        <f t="shared" si="190"/>
        <v>32130000</v>
      </c>
      <c r="Q1235" s="15" t="str">
        <f t="shared" si="189"/>
        <v>Done</v>
      </c>
      <c r="R1235" s="18" t="s">
        <v>44</v>
      </c>
      <c r="S1235" s="117">
        <v>43511</v>
      </c>
      <c r="T1235" s="20">
        <f>IFERROR(VLOOKUP(S1235,'Date Converter'!$A$4:$C$368,3,0),"")</f>
        <v>43544</v>
      </c>
      <c r="U1235" s="21">
        <f t="shared" si="188"/>
        <v>43544</v>
      </c>
      <c r="V1235" s="12" t="s">
        <v>32</v>
      </c>
      <c r="W1235" s="18" t="s">
        <v>48</v>
      </c>
      <c r="X1235" s="18"/>
      <c r="Y1235" s="18"/>
      <c r="Z1235" s="210">
        <v>43543</v>
      </c>
      <c r="AA1235" s="15">
        <v>5100</v>
      </c>
      <c r="AB1235" s="210"/>
      <c r="AC1235" s="15"/>
      <c r="AD1235" s="15"/>
      <c r="AE1235" s="15"/>
      <c r="AF1235" s="244"/>
      <c r="AG1235" s="15"/>
      <c r="AH1235" s="15">
        <f t="shared" si="185"/>
        <v>5100</v>
      </c>
      <c r="AI1235" s="22">
        <f t="shared" si="186"/>
        <v>0</v>
      </c>
      <c r="AJ1235" s="22">
        <f t="shared" si="187"/>
        <v>0</v>
      </c>
      <c r="AK1235" s="13">
        <v>43872</v>
      </c>
    </row>
    <row r="1236" spans="1:37" s="165" customFormat="1" hidden="1">
      <c r="A1236" s="165" t="s">
        <v>1712</v>
      </c>
      <c r="B1236" s="13">
        <v>43470</v>
      </c>
      <c r="C1236" s="13" t="s">
        <v>1622</v>
      </c>
      <c r="D1236" s="165" t="s">
        <v>1088</v>
      </c>
      <c r="E1236" s="165" t="s">
        <v>1086</v>
      </c>
      <c r="F1236" s="165" t="str">
        <f t="shared" si="183"/>
        <v>PAVI_12.14_400_NL2018</v>
      </c>
      <c r="G1236" s="165" t="s">
        <v>138</v>
      </c>
      <c r="H1236" s="12"/>
      <c r="I1236" s="12" t="s">
        <v>113</v>
      </c>
      <c r="J1236" s="14">
        <v>400</v>
      </c>
      <c r="K1236" s="15" t="s">
        <v>28</v>
      </c>
      <c r="L1236" s="15"/>
      <c r="M1236" s="16">
        <f t="shared" si="184"/>
        <v>43</v>
      </c>
      <c r="N1236" s="15">
        <v>17200</v>
      </c>
      <c r="O1236" s="15">
        <v>2800</v>
      </c>
      <c r="P1236" s="15">
        <f t="shared" si="190"/>
        <v>48160000</v>
      </c>
      <c r="Q1236" s="15" t="str">
        <f t="shared" si="189"/>
        <v>Done</v>
      </c>
      <c r="R1236" s="18" t="s">
        <v>44</v>
      </c>
      <c r="S1236" s="117">
        <v>43480</v>
      </c>
      <c r="T1236" s="20">
        <f>IFERROR(VLOOKUP(S1236,'Date Converter'!$A$4:$C$368,3,0),"")</f>
        <v>43515</v>
      </c>
      <c r="U1236" s="21">
        <f t="shared" si="188"/>
        <v>43515</v>
      </c>
      <c r="V1236" s="12" t="s">
        <v>45</v>
      </c>
      <c r="W1236" s="18"/>
      <c r="X1236" s="18"/>
      <c r="Y1236" s="18"/>
      <c r="Z1236" s="210">
        <v>43515</v>
      </c>
      <c r="AA1236" s="15">
        <v>17200</v>
      </c>
      <c r="AB1236" s="210"/>
      <c r="AC1236" s="15"/>
      <c r="AD1236" s="15"/>
      <c r="AE1236" s="15"/>
      <c r="AF1236" s="244"/>
      <c r="AG1236" s="15"/>
      <c r="AH1236" s="15">
        <f t="shared" si="185"/>
        <v>17200</v>
      </c>
      <c r="AI1236" s="22">
        <f t="shared" si="186"/>
        <v>0</v>
      </c>
      <c r="AJ1236" s="22">
        <f t="shared" si="187"/>
        <v>0</v>
      </c>
      <c r="AK1236" s="13">
        <v>43872</v>
      </c>
    </row>
    <row r="1237" spans="1:37" s="165" customFormat="1" hidden="1">
      <c r="A1237" s="165" t="s">
        <v>1712</v>
      </c>
      <c r="B1237" s="13">
        <v>43470</v>
      </c>
      <c r="C1237" s="13" t="s">
        <v>1622</v>
      </c>
      <c r="D1237" s="165" t="s">
        <v>1088</v>
      </c>
      <c r="E1237" s="165" t="s">
        <v>1086</v>
      </c>
      <c r="F1237" s="165" t="str">
        <f t="shared" si="183"/>
        <v>PAVI_12.14_400_NL2018</v>
      </c>
      <c r="G1237" s="165" t="s">
        <v>138</v>
      </c>
      <c r="H1237" s="12"/>
      <c r="I1237" s="12" t="s">
        <v>113</v>
      </c>
      <c r="J1237" s="14">
        <v>400</v>
      </c>
      <c r="K1237" s="15" t="s">
        <v>28</v>
      </c>
      <c r="L1237" s="15"/>
      <c r="M1237" s="16">
        <f t="shared" si="184"/>
        <v>13</v>
      </c>
      <c r="N1237" s="15">
        <v>5200</v>
      </c>
      <c r="O1237" s="15">
        <v>2800</v>
      </c>
      <c r="P1237" s="15">
        <f t="shared" si="190"/>
        <v>14560000</v>
      </c>
      <c r="Q1237" s="15" t="str">
        <f t="shared" si="189"/>
        <v>Done</v>
      </c>
      <c r="R1237" s="18" t="s">
        <v>44</v>
      </c>
      <c r="S1237" s="117">
        <v>43511</v>
      </c>
      <c r="T1237" s="20">
        <f>IFERROR(VLOOKUP(S1237,'Date Converter'!$A$4:$C$368,3,0),"")</f>
        <v>43544</v>
      </c>
      <c r="U1237" s="21">
        <f t="shared" si="188"/>
        <v>43544</v>
      </c>
      <c r="V1237" s="12" t="s">
        <v>32</v>
      </c>
      <c r="W1237" s="18" t="s">
        <v>39</v>
      </c>
      <c r="X1237" s="18"/>
      <c r="Y1237" s="18"/>
      <c r="Z1237" s="210">
        <v>43543</v>
      </c>
      <c r="AA1237" s="15">
        <v>5200</v>
      </c>
      <c r="AB1237" s="210"/>
      <c r="AC1237" s="15"/>
      <c r="AD1237" s="15"/>
      <c r="AE1237" s="15"/>
      <c r="AF1237" s="244"/>
      <c r="AG1237" s="15"/>
      <c r="AH1237" s="15">
        <f t="shared" si="185"/>
        <v>5200</v>
      </c>
      <c r="AI1237" s="22">
        <f t="shared" si="186"/>
        <v>0</v>
      </c>
      <c r="AJ1237" s="22">
        <f t="shared" si="187"/>
        <v>0</v>
      </c>
      <c r="AK1237" s="13">
        <v>43872</v>
      </c>
    </row>
    <row r="1238" spans="1:37" s="165" customFormat="1" hidden="1">
      <c r="A1238" s="165" t="s">
        <v>1712</v>
      </c>
      <c r="B1238" s="13">
        <v>43470</v>
      </c>
      <c r="C1238" s="13" t="s">
        <v>1622</v>
      </c>
      <c r="D1238" s="165" t="s">
        <v>1088</v>
      </c>
      <c r="E1238" s="165" t="s">
        <v>1086</v>
      </c>
      <c r="F1238" s="165" t="str">
        <f t="shared" si="183"/>
        <v>PAVI_12.14_400_NL2018</v>
      </c>
      <c r="G1238" s="165" t="s">
        <v>138</v>
      </c>
      <c r="H1238" s="12"/>
      <c r="I1238" s="12" t="s">
        <v>113</v>
      </c>
      <c r="J1238" s="14">
        <v>400</v>
      </c>
      <c r="K1238" s="15" t="s">
        <v>28</v>
      </c>
      <c r="L1238" s="15"/>
      <c r="M1238" s="16">
        <f t="shared" si="184"/>
        <v>25</v>
      </c>
      <c r="N1238" s="15">
        <v>10000</v>
      </c>
      <c r="O1238" s="15">
        <v>2800</v>
      </c>
      <c r="P1238" s="15">
        <f t="shared" si="190"/>
        <v>28000000</v>
      </c>
      <c r="Q1238" s="15" t="str">
        <f t="shared" si="189"/>
        <v>Done</v>
      </c>
      <c r="R1238" s="18" t="s">
        <v>44</v>
      </c>
      <c r="S1238" s="117">
        <v>43539</v>
      </c>
      <c r="T1238" s="20">
        <f>IFERROR(VLOOKUP(S1238,'Date Converter'!$A$4:$C$368,3,0),"")</f>
        <v>43574</v>
      </c>
      <c r="U1238" s="21">
        <f t="shared" si="188"/>
        <v>43574</v>
      </c>
      <c r="V1238" s="12" t="s">
        <v>57</v>
      </c>
      <c r="W1238" s="18" t="s">
        <v>132</v>
      </c>
      <c r="X1238" s="18"/>
      <c r="Y1238" s="18"/>
      <c r="Z1238" s="210">
        <v>43591</v>
      </c>
      <c r="AA1238" s="15">
        <f>5200</f>
        <v>5200</v>
      </c>
      <c r="AB1238" s="210">
        <v>43605</v>
      </c>
      <c r="AC1238" s="15">
        <v>4800</v>
      </c>
      <c r="AD1238" s="210"/>
      <c r="AE1238" s="15"/>
      <c r="AF1238" s="244"/>
      <c r="AG1238" s="15"/>
      <c r="AH1238" s="15">
        <f t="shared" si="185"/>
        <v>10000</v>
      </c>
      <c r="AI1238" s="22">
        <f t="shared" si="186"/>
        <v>0</v>
      </c>
      <c r="AJ1238" s="22">
        <f t="shared" si="187"/>
        <v>0</v>
      </c>
      <c r="AK1238" s="13"/>
    </row>
    <row r="1239" spans="1:37" s="165" customFormat="1" hidden="1">
      <c r="A1239" s="165" t="s">
        <v>1712</v>
      </c>
      <c r="B1239" s="13">
        <v>43470</v>
      </c>
      <c r="C1239" s="13" t="s">
        <v>1622</v>
      </c>
      <c r="D1239" s="165" t="s">
        <v>1088</v>
      </c>
      <c r="E1239" s="165" t="s">
        <v>1086</v>
      </c>
      <c r="F1239" s="165" t="str">
        <f t="shared" si="183"/>
        <v>PAVI_12.14_400_NL2018</v>
      </c>
      <c r="G1239" s="165" t="s">
        <v>138</v>
      </c>
      <c r="H1239" s="12"/>
      <c r="I1239" s="12" t="s">
        <v>113</v>
      </c>
      <c r="J1239" s="14">
        <v>400</v>
      </c>
      <c r="K1239" s="15" t="s">
        <v>28</v>
      </c>
      <c r="L1239" s="15"/>
      <c r="M1239" s="16">
        <f t="shared" si="184"/>
        <v>25</v>
      </c>
      <c r="N1239" s="15">
        <v>10000</v>
      </c>
      <c r="O1239" s="15">
        <v>2800</v>
      </c>
      <c r="P1239" s="15">
        <f t="shared" si="190"/>
        <v>28000000</v>
      </c>
      <c r="Q1239" s="15" t="str">
        <f t="shared" si="189"/>
        <v>Done</v>
      </c>
      <c r="R1239" s="18" t="s">
        <v>44</v>
      </c>
      <c r="S1239" s="117" t="s">
        <v>151</v>
      </c>
      <c r="T1239" s="20">
        <f>IFERROR(VLOOKUP(S1239,'Date Converter'!$A$4:$C$368,3,0),"")</f>
        <v>43558</v>
      </c>
      <c r="U1239" s="21">
        <f t="shared" si="188"/>
        <v>43558</v>
      </c>
      <c r="V1239" s="12" t="s">
        <v>81</v>
      </c>
      <c r="W1239" s="18" t="s">
        <v>101</v>
      </c>
      <c r="X1239" s="18"/>
      <c r="Y1239" s="18"/>
      <c r="Z1239" s="210">
        <v>43560</v>
      </c>
      <c r="AA1239" s="15">
        <f>3200</f>
        <v>3200</v>
      </c>
      <c r="AB1239" s="210">
        <v>43564</v>
      </c>
      <c r="AC1239" s="15">
        <f>6800</f>
        <v>6800</v>
      </c>
      <c r="AD1239" s="210"/>
      <c r="AE1239" s="15"/>
      <c r="AF1239" s="244"/>
      <c r="AG1239" s="15"/>
      <c r="AH1239" s="15">
        <f t="shared" si="185"/>
        <v>10000</v>
      </c>
      <c r="AI1239" s="22">
        <f t="shared" si="186"/>
        <v>0</v>
      </c>
      <c r="AJ1239" s="22">
        <f t="shared" si="187"/>
        <v>0</v>
      </c>
      <c r="AK1239" s="13"/>
    </row>
    <row r="1240" spans="1:37" s="165" customFormat="1" hidden="1">
      <c r="A1240" s="165" t="s">
        <v>1713</v>
      </c>
      <c r="B1240" s="13">
        <v>43536</v>
      </c>
      <c r="C1240" s="13" t="s">
        <v>1622</v>
      </c>
      <c r="D1240" s="165" t="s">
        <v>1088</v>
      </c>
      <c r="E1240" s="165" t="s">
        <v>1086</v>
      </c>
      <c r="F1240" s="165" t="str">
        <f t="shared" si="183"/>
        <v>PAVI_12.14_400_NL2018</v>
      </c>
      <c r="G1240" s="165" t="s">
        <v>138</v>
      </c>
      <c r="H1240" s="12"/>
      <c r="I1240" s="12" t="s">
        <v>113</v>
      </c>
      <c r="J1240" s="14">
        <v>400</v>
      </c>
      <c r="K1240" s="15" t="s">
        <v>28</v>
      </c>
      <c r="L1240" s="15"/>
      <c r="M1240" s="16">
        <f t="shared" si="184"/>
        <v>23</v>
      </c>
      <c r="N1240" s="15">
        <f>9000+200</f>
        <v>9200</v>
      </c>
      <c r="O1240" s="15">
        <v>2900</v>
      </c>
      <c r="P1240" s="15">
        <f t="shared" si="190"/>
        <v>26680000</v>
      </c>
      <c r="Q1240" s="15" t="str">
        <f t="shared" si="189"/>
        <v>Done</v>
      </c>
      <c r="R1240" s="18" t="s">
        <v>44</v>
      </c>
      <c r="S1240" s="117">
        <v>43572</v>
      </c>
      <c r="T1240" s="20">
        <f>IFERROR(VLOOKUP(S1240,'Date Converter'!$A$4:$C$368,3,0),"")</f>
        <v>43606</v>
      </c>
      <c r="U1240" s="21">
        <f t="shared" si="188"/>
        <v>43606</v>
      </c>
      <c r="V1240" s="27" t="s">
        <v>36</v>
      </c>
      <c r="W1240" s="18"/>
      <c r="X1240" s="18"/>
      <c r="Y1240" s="18"/>
      <c r="Z1240" s="210">
        <v>43620</v>
      </c>
      <c r="AA1240" s="15">
        <v>5200</v>
      </c>
      <c r="AB1240" s="210">
        <v>43634</v>
      </c>
      <c r="AC1240" s="15">
        <v>4000</v>
      </c>
      <c r="AD1240" s="210"/>
      <c r="AE1240" s="15"/>
      <c r="AF1240" s="244"/>
      <c r="AG1240" s="15"/>
      <c r="AH1240" s="15">
        <f t="shared" si="185"/>
        <v>9200</v>
      </c>
      <c r="AI1240" s="22">
        <f t="shared" si="186"/>
        <v>0</v>
      </c>
      <c r="AJ1240" s="22">
        <f t="shared" si="187"/>
        <v>0</v>
      </c>
      <c r="AK1240" s="13"/>
    </row>
    <row r="1241" spans="1:37" s="165" customFormat="1" hidden="1">
      <c r="A1241" s="165" t="s">
        <v>1713</v>
      </c>
      <c r="B1241" s="13">
        <v>43628</v>
      </c>
      <c r="C1241" s="13" t="s">
        <v>1622</v>
      </c>
      <c r="D1241" s="165" t="s">
        <v>1088</v>
      </c>
      <c r="E1241" s="165" t="s">
        <v>1086</v>
      </c>
      <c r="F1241" s="165" t="str">
        <f t="shared" si="183"/>
        <v>PAVI_12.14_400_NL2018</v>
      </c>
      <c r="G1241" s="165" t="s">
        <v>138</v>
      </c>
      <c r="H1241" s="12"/>
      <c r="I1241" s="12" t="s">
        <v>113</v>
      </c>
      <c r="J1241" s="14">
        <v>400</v>
      </c>
      <c r="K1241" s="15" t="s">
        <v>28</v>
      </c>
      <c r="L1241" s="15"/>
      <c r="M1241" s="16">
        <f t="shared" si="184"/>
        <v>13</v>
      </c>
      <c r="N1241" s="15">
        <v>5200</v>
      </c>
      <c r="O1241" s="15">
        <v>3000</v>
      </c>
      <c r="P1241" s="15">
        <f t="shared" si="190"/>
        <v>15600000</v>
      </c>
      <c r="Q1241" s="15" t="str">
        <f t="shared" si="189"/>
        <v/>
      </c>
      <c r="R1241" s="18" t="s">
        <v>31</v>
      </c>
      <c r="S1241" s="117">
        <v>43631</v>
      </c>
      <c r="T1241" s="20">
        <f>IFERROR(VLOOKUP(S1241,'Date Converter'!$A$4:$C$368,3,0),"")</f>
        <v>43663</v>
      </c>
      <c r="U1241" s="21">
        <f t="shared" si="188"/>
        <v>43663</v>
      </c>
      <c r="V1241" s="27" t="s">
        <v>1875</v>
      </c>
      <c r="W1241" s="18"/>
      <c r="X1241" s="18"/>
      <c r="Y1241" s="18"/>
      <c r="Z1241" s="210"/>
      <c r="AA1241" s="15"/>
      <c r="AB1241" s="210"/>
      <c r="AC1241" s="15"/>
      <c r="AD1241" s="210"/>
      <c r="AE1241" s="15"/>
      <c r="AF1241" s="244"/>
      <c r="AG1241" s="15"/>
      <c r="AH1241" s="15">
        <f t="shared" si="185"/>
        <v>0</v>
      </c>
      <c r="AI1241" s="22">
        <f t="shared" si="186"/>
        <v>5200</v>
      </c>
      <c r="AJ1241" s="22">
        <f t="shared" si="187"/>
        <v>15600000</v>
      </c>
      <c r="AK1241" s="13"/>
    </row>
    <row r="1242" spans="1:37" s="165" customFormat="1" hidden="1">
      <c r="A1242" s="165" t="s">
        <v>1713</v>
      </c>
      <c r="B1242" s="13">
        <v>43628</v>
      </c>
      <c r="C1242" s="13" t="s">
        <v>1622</v>
      </c>
      <c r="D1242" s="165" t="s">
        <v>1088</v>
      </c>
      <c r="E1242" s="165" t="s">
        <v>1086</v>
      </c>
      <c r="F1242" s="165" t="str">
        <f t="shared" si="183"/>
        <v>PAVI_14.16_300_NL2018</v>
      </c>
      <c r="G1242" s="165" t="s">
        <v>138</v>
      </c>
      <c r="H1242" s="12"/>
      <c r="I1242" s="12" t="s">
        <v>47</v>
      </c>
      <c r="J1242" s="14">
        <v>300</v>
      </c>
      <c r="K1242" s="15" t="s">
        <v>28</v>
      </c>
      <c r="L1242" s="15"/>
      <c r="M1242" s="16">
        <f t="shared" si="184"/>
        <v>3</v>
      </c>
      <c r="N1242" s="15">
        <v>900</v>
      </c>
      <c r="O1242" s="15">
        <v>4400</v>
      </c>
      <c r="P1242" s="15">
        <f t="shared" si="190"/>
        <v>3960000</v>
      </c>
      <c r="Q1242" s="15" t="str">
        <f t="shared" si="189"/>
        <v>Done</v>
      </c>
      <c r="R1242" s="18" t="s">
        <v>44</v>
      </c>
      <c r="S1242" s="117">
        <v>43572</v>
      </c>
      <c r="T1242" s="20">
        <f>IFERROR(VLOOKUP(S1242,'Date Converter'!$A$4:$C$368,3,0),"")</f>
        <v>43606</v>
      </c>
      <c r="U1242" s="21">
        <f t="shared" si="188"/>
        <v>43606</v>
      </c>
      <c r="V1242" s="27"/>
      <c r="W1242" s="18"/>
      <c r="X1242" s="18"/>
      <c r="Y1242" s="18"/>
      <c r="Z1242" s="210">
        <v>43634</v>
      </c>
      <c r="AA1242" s="15">
        <v>900</v>
      </c>
      <c r="AB1242" s="210"/>
      <c r="AC1242" s="15"/>
      <c r="AD1242" s="210"/>
      <c r="AE1242" s="15"/>
      <c r="AF1242" s="244"/>
      <c r="AG1242" s="15"/>
      <c r="AH1242" s="15">
        <f t="shared" si="185"/>
        <v>900</v>
      </c>
      <c r="AI1242" s="22">
        <f t="shared" si="186"/>
        <v>0</v>
      </c>
      <c r="AJ1242" s="22">
        <f t="shared" si="187"/>
        <v>0</v>
      </c>
      <c r="AK1242" s="13"/>
    </row>
    <row r="1243" spans="1:37" s="165" customFormat="1" hidden="1">
      <c r="A1243" s="165" t="s">
        <v>1713</v>
      </c>
      <c r="B1243" s="13">
        <v>43536</v>
      </c>
      <c r="C1243" s="13" t="s">
        <v>1622</v>
      </c>
      <c r="D1243" s="165" t="s">
        <v>1088</v>
      </c>
      <c r="E1243" s="165" t="s">
        <v>1086</v>
      </c>
      <c r="F1243" s="165" t="str">
        <f t="shared" si="183"/>
        <v>PAVI_12.14_400_NL2018</v>
      </c>
      <c r="G1243" s="165" t="s">
        <v>138</v>
      </c>
      <c r="H1243" s="12"/>
      <c r="I1243" s="12" t="s">
        <v>113</v>
      </c>
      <c r="J1243" s="14">
        <v>400</v>
      </c>
      <c r="K1243" s="15" t="s">
        <v>28</v>
      </c>
      <c r="L1243" s="15"/>
      <c r="M1243" s="16">
        <f t="shared" si="184"/>
        <v>0</v>
      </c>
      <c r="N1243" s="15">
        <f>10000-10000</f>
        <v>0</v>
      </c>
      <c r="O1243" s="15">
        <v>2900</v>
      </c>
      <c r="P1243" s="15">
        <f t="shared" si="190"/>
        <v>0</v>
      </c>
      <c r="Q1243" s="15" t="str">
        <f t="shared" si="189"/>
        <v>Canceled</v>
      </c>
      <c r="R1243" s="18" t="s">
        <v>71</v>
      </c>
      <c r="S1243" s="117">
        <v>43584</v>
      </c>
      <c r="T1243" s="20">
        <f>IFERROR(VLOOKUP(S1243,'Date Converter'!$A$4:$C$368,3,0),"")</f>
        <v>43618</v>
      </c>
      <c r="U1243" s="21">
        <f t="shared" si="188"/>
        <v>43618</v>
      </c>
      <c r="V1243" s="27" t="s">
        <v>443</v>
      </c>
      <c r="W1243" s="18"/>
      <c r="X1243" s="18"/>
      <c r="Y1243" s="18"/>
      <c r="Z1243" s="210"/>
      <c r="AA1243" s="15">
        <v>0</v>
      </c>
      <c r="AB1243" s="210"/>
      <c r="AC1243" s="15"/>
      <c r="AD1243" s="15"/>
      <c r="AE1243" s="15"/>
      <c r="AF1243" s="244"/>
      <c r="AG1243" s="15"/>
      <c r="AH1243" s="15">
        <f t="shared" si="185"/>
        <v>0</v>
      </c>
      <c r="AI1243" s="22">
        <f t="shared" si="186"/>
        <v>0</v>
      </c>
      <c r="AJ1243" s="22">
        <f t="shared" si="187"/>
        <v>0</v>
      </c>
      <c r="AK1243" s="13"/>
    </row>
    <row r="1244" spans="1:37" s="165" customFormat="1" hidden="1">
      <c r="A1244" s="165" t="s">
        <v>1716</v>
      </c>
      <c r="B1244" s="13">
        <v>43554</v>
      </c>
      <c r="C1244" s="267" t="s">
        <v>1622</v>
      </c>
      <c r="D1244" s="258" t="s">
        <v>1085</v>
      </c>
      <c r="E1244" s="13" t="s">
        <v>1086</v>
      </c>
      <c r="F1244" s="165" t="str">
        <f t="shared" si="183"/>
        <v>PAVI_16.18_200_NL2018</v>
      </c>
      <c r="G1244" s="13" t="s">
        <v>138</v>
      </c>
      <c r="H1244" s="12"/>
      <c r="I1244" s="12" t="s">
        <v>35</v>
      </c>
      <c r="J1244" s="31" t="s">
        <v>121</v>
      </c>
      <c r="K1244" s="15" t="s">
        <v>28</v>
      </c>
      <c r="L1244" s="15"/>
      <c r="M1244" s="33">
        <f t="shared" si="184"/>
        <v>10</v>
      </c>
      <c r="N1244" s="15">
        <v>2000</v>
      </c>
      <c r="O1244" s="15">
        <v>6100</v>
      </c>
      <c r="P1244" s="15">
        <f t="shared" si="190"/>
        <v>12200000</v>
      </c>
      <c r="Q1244" s="15" t="str">
        <f t="shared" si="189"/>
        <v/>
      </c>
      <c r="R1244" s="18" t="s">
        <v>29</v>
      </c>
      <c r="S1244" s="117">
        <v>43709</v>
      </c>
      <c r="T1244" s="20">
        <f>IFERROR(VLOOKUP(S1244,'Date Converter'!$A$4:$C$368,3,0),"")</f>
        <v>43737</v>
      </c>
      <c r="U1244" s="21">
        <f t="shared" si="188"/>
        <v>43737</v>
      </c>
      <c r="V1244" s="12"/>
      <c r="W1244" s="18"/>
      <c r="X1244" s="18"/>
      <c r="Y1244" s="18"/>
      <c r="Z1244" s="206"/>
      <c r="AA1244" s="15">
        <v>0</v>
      </c>
      <c r="AB1244" s="206"/>
      <c r="AC1244" s="12"/>
      <c r="AD1244" s="12"/>
      <c r="AE1244" s="12"/>
      <c r="AF1244" s="245"/>
      <c r="AG1244" s="12"/>
      <c r="AH1244" s="15">
        <f t="shared" si="185"/>
        <v>0</v>
      </c>
      <c r="AI1244" s="22">
        <f t="shared" si="186"/>
        <v>2000</v>
      </c>
      <c r="AJ1244" s="22">
        <f t="shared" si="187"/>
        <v>12200000</v>
      </c>
    </row>
    <row r="1245" spans="1:37" s="165" customFormat="1" hidden="1">
      <c r="A1245" s="165" t="s">
        <v>1716</v>
      </c>
      <c r="B1245" s="13">
        <v>43554</v>
      </c>
      <c r="C1245" s="267" t="s">
        <v>1622</v>
      </c>
      <c r="D1245" s="258" t="s">
        <v>1085</v>
      </c>
      <c r="E1245" s="13" t="s">
        <v>1086</v>
      </c>
      <c r="F1245" s="165" t="str">
        <f t="shared" si="183"/>
        <v>PARA_18.20_150_NL2018</v>
      </c>
      <c r="G1245" s="13" t="s">
        <v>490</v>
      </c>
      <c r="H1245" s="12"/>
      <c r="I1245" s="12" t="s">
        <v>27</v>
      </c>
      <c r="J1245" s="31" t="s">
        <v>126</v>
      </c>
      <c r="K1245" s="15" t="s">
        <v>28</v>
      </c>
      <c r="L1245" s="15"/>
      <c r="M1245" s="33">
        <f t="shared" si="184"/>
        <v>10</v>
      </c>
      <c r="N1245" s="15">
        <v>1500</v>
      </c>
      <c r="O1245" s="15">
        <v>8500</v>
      </c>
      <c r="P1245" s="15">
        <f t="shared" si="190"/>
        <v>12750000</v>
      </c>
      <c r="Q1245" s="15" t="str">
        <f t="shared" si="189"/>
        <v/>
      </c>
      <c r="R1245" s="18" t="s">
        <v>29</v>
      </c>
      <c r="S1245" s="117">
        <v>43709</v>
      </c>
      <c r="T1245" s="20">
        <f>IFERROR(VLOOKUP(S1245,'Date Converter'!$A$4:$C$368,3,0),"")</f>
        <v>43737</v>
      </c>
      <c r="U1245" s="21">
        <f t="shared" si="188"/>
        <v>43737</v>
      </c>
      <c r="V1245" s="12"/>
      <c r="W1245" s="18"/>
      <c r="X1245" s="18"/>
      <c r="Y1245" s="18"/>
      <c r="Z1245" s="206"/>
      <c r="AA1245" s="15">
        <v>0</v>
      </c>
      <c r="AB1245" s="206"/>
      <c r="AC1245" s="12"/>
      <c r="AD1245" s="12"/>
      <c r="AE1245" s="12"/>
      <c r="AF1245" s="245"/>
      <c r="AG1245" s="12"/>
      <c r="AH1245" s="15">
        <f t="shared" si="185"/>
        <v>0</v>
      </c>
      <c r="AI1245" s="22">
        <f t="shared" si="186"/>
        <v>1500</v>
      </c>
      <c r="AJ1245" s="22">
        <f t="shared" si="187"/>
        <v>12750000</v>
      </c>
    </row>
    <row r="1246" spans="1:37" s="165" customFormat="1" hidden="1">
      <c r="A1246" s="165" t="s">
        <v>1712</v>
      </c>
      <c r="B1246" s="13">
        <v>43470</v>
      </c>
      <c r="C1246" s="13" t="s">
        <v>1622</v>
      </c>
      <c r="D1246" s="165" t="s">
        <v>1088</v>
      </c>
      <c r="E1246" s="165" t="s">
        <v>1086</v>
      </c>
      <c r="F1246" s="165" t="str">
        <f t="shared" si="183"/>
        <v>NELL_12.14_400_NL2018</v>
      </c>
      <c r="G1246" s="165" t="s">
        <v>131</v>
      </c>
      <c r="H1246" s="12"/>
      <c r="I1246" s="12" t="s">
        <v>113</v>
      </c>
      <c r="J1246" s="14">
        <v>400</v>
      </c>
      <c r="K1246" s="15" t="s">
        <v>28</v>
      </c>
      <c r="L1246" s="15"/>
      <c r="M1246" s="16">
        <f t="shared" si="184"/>
        <v>43</v>
      </c>
      <c r="N1246" s="15">
        <v>17200</v>
      </c>
      <c r="O1246" s="15">
        <v>3000</v>
      </c>
      <c r="P1246" s="15">
        <f t="shared" si="190"/>
        <v>51600000</v>
      </c>
      <c r="Q1246" s="15" t="str">
        <f t="shared" si="189"/>
        <v>Done</v>
      </c>
      <c r="R1246" s="18" t="s">
        <v>44</v>
      </c>
      <c r="S1246" s="117">
        <v>43480</v>
      </c>
      <c r="T1246" s="20">
        <f>IFERROR(VLOOKUP(S1246,'Date Converter'!$A$4:$C$368,3,0),"")</f>
        <v>43515</v>
      </c>
      <c r="U1246" s="21">
        <f t="shared" si="188"/>
        <v>43515</v>
      </c>
      <c r="V1246" s="12" t="s">
        <v>45</v>
      </c>
      <c r="W1246" s="18"/>
      <c r="X1246" s="18"/>
      <c r="Y1246" s="18"/>
      <c r="Z1246" s="210">
        <v>43515</v>
      </c>
      <c r="AA1246" s="15">
        <v>17200</v>
      </c>
      <c r="AB1246" s="210"/>
      <c r="AC1246" s="15"/>
      <c r="AD1246" s="15"/>
      <c r="AE1246" s="15"/>
      <c r="AF1246" s="244"/>
      <c r="AG1246" s="15"/>
      <c r="AH1246" s="15">
        <f t="shared" si="185"/>
        <v>17200</v>
      </c>
      <c r="AI1246" s="22">
        <f t="shared" si="186"/>
        <v>0</v>
      </c>
      <c r="AJ1246" s="22">
        <f t="shared" si="187"/>
        <v>0</v>
      </c>
      <c r="AK1246" s="13"/>
    </row>
    <row r="1247" spans="1:37" s="165" customFormat="1" hidden="1">
      <c r="A1247" s="165" t="s">
        <v>1713</v>
      </c>
      <c r="B1247" s="13">
        <v>43536</v>
      </c>
      <c r="C1247" s="13" t="s">
        <v>1622</v>
      </c>
      <c r="D1247" s="165" t="s">
        <v>1088</v>
      </c>
      <c r="E1247" s="165" t="s">
        <v>1086</v>
      </c>
      <c r="F1247" s="165" t="str">
        <f t="shared" si="183"/>
        <v>NASH_14.16_300_NL2018</v>
      </c>
      <c r="G1247" s="165" t="s">
        <v>123</v>
      </c>
      <c r="H1247" s="12"/>
      <c r="I1247" s="12" t="s">
        <v>47</v>
      </c>
      <c r="J1247" s="14">
        <v>300</v>
      </c>
      <c r="K1247" s="15" t="s">
        <v>28</v>
      </c>
      <c r="L1247" s="15"/>
      <c r="M1247" s="16">
        <f t="shared" si="184"/>
        <v>38</v>
      </c>
      <c r="N1247" s="15">
        <f>10200+1200</f>
        <v>11400</v>
      </c>
      <c r="O1247" s="15">
        <v>3800</v>
      </c>
      <c r="P1247" s="15">
        <f t="shared" si="190"/>
        <v>43320000</v>
      </c>
      <c r="Q1247" s="15" t="str">
        <f t="shared" si="189"/>
        <v>Done</v>
      </c>
      <c r="R1247" s="18" t="s">
        <v>44</v>
      </c>
      <c r="S1247" s="117">
        <v>43572</v>
      </c>
      <c r="T1247" s="20">
        <f>IFERROR(VLOOKUP(S1247,'Date Converter'!$A$4:$C$368,3,0),"")</f>
        <v>43606</v>
      </c>
      <c r="U1247" s="21">
        <f t="shared" si="188"/>
        <v>43606</v>
      </c>
      <c r="V1247" s="27" t="s">
        <v>36</v>
      </c>
      <c r="W1247" s="18"/>
      <c r="X1247" s="18"/>
      <c r="Y1247" s="18"/>
      <c r="Z1247" s="210">
        <v>43605</v>
      </c>
      <c r="AA1247" s="15">
        <v>5100</v>
      </c>
      <c r="AB1247" s="210">
        <v>43620</v>
      </c>
      <c r="AC1247" s="15">
        <v>6300</v>
      </c>
      <c r="AD1247" s="210"/>
      <c r="AE1247" s="15"/>
      <c r="AF1247" s="244"/>
      <c r="AG1247" s="15"/>
      <c r="AH1247" s="15">
        <f t="shared" si="185"/>
        <v>11400</v>
      </c>
      <c r="AI1247" s="22">
        <f t="shared" si="186"/>
        <v>0</v>
      </c>
      <c r="AJ1247" s="22">
        <f t="shared" si="187"/>
        <v>0</v>
      </c>
      <c r="AK1247" s="13"/>
    </row>
    <row r="1248" spans="1:37" s="165" customFormat="1" hidden="1">
      <c r="A1248" s="165" t="s">
        <v>1716</v>
      </c>
      <c r="B1248" s="13">
        <v>43554</v>
      </c>
      <c r="C1248" s="267" t="s">
        <v>1622</v>
      </c>
      <c r="D1248" s="258" t="s">
        <v>1085</v>
      </c>
      <c r="E1248" s="13" t="s">
        <v>1086</v>
      </c>
      <c r="F1248" s="165" t="str">
        <f t="shared" si="183"/>
        <v>MAYT_18.20_150_NL2018</v>
      </c>
      <c r="G1248" s="13" t="s">
        <v>1717</v>
      </c>
      <c r="H1248" s="12"/>
      <c r="I1248" s="12" t="s">
        <v>27</v>
      </c>
      <c r="J1248" s="31" t="s">
        <v>126</v>
      </c>
      <c r="K1248" s="15" t="s">
        <v>28</v>
      </c>
      <c r="L1248" s="15"/>
      <c r="M1248" s="16">
        <f t="shared" si="184"/>
        <v>10</v>
      </c>
      <c r="N1248" s="15">
        <v>1500</v>
      </c>
      <c r="O1248" s="15">
        <v>6500</v>
      </c>
      <c r="P1248" s="15">
        <f t="shared" si="190"/>
        <v>9750000</v>
      </c>
      <c r="Q1248" s="15" t="str">
        <f t="shared" si="189"/>
        <v/>
      </c>
      <c r="R1248" s="18" t="s">
        <v>29</v>
      </c>
      <c r="S1248" s="117">
        <v>43709</v>
      </c>
      <c r="T1248" s="20">
        <f>IFERROR(VLOOKUP(S1248,'Date Converter'!$A$4:$C$368,3,0),"")</f>
        <v>43737</v>
      </c>
      <c r="U1248" s="21">
        <f t="shared" si="188"/>
        <v>43737</v>
      </c>
      <c r="V1248" s="12"/>
      <c r="W1248" s="18"/>
      <c r="X1248" s="18"/>
      <c r="Y1248" s="18"/>
      <c r="Z1248" s="206"/>
      <c r="AA1248" s="15">
        <v>0</v>
      </c>
      <c r="AB1248" s="206"/>
      <c r="AC1248" s="12"/>
      <c r="AD1248" s="12"/>
      <c r="AE1248" s="12"/>
      <c r="AF1248" s="245"/>
      <c r="AG1248" s="12"/>
      <c r="AH1248" s="15">
        <f t="shared" si="185"/>
        <v>0</v>
      </c>
      <c r="AI1248" s="22">
        <f t="shared" si="186"/>
        <v>1500</v>
      </c>
      <c r="AJ1248" s="22">
        <f t="shared" si="187"/>
        <v>9750000</v>
      </c>
    </row>
    <row r="1249" spans="1:37" s="165" customFormat="1" hidden="1">
      <c r="A1249" s="165" t="s">
        <v>1712</v>
      </c>
      <c r="B1249" s="13">
        <v>43470</v>
      </c>
      <c r="C1249" s="13" t="s">
        <v>1622</v>
      </c>
      <c r="D1249" s="165" t="s">
        <v>1088</v>
      </c>
      <c r="E1249" s="165" t="s">
        <v>1086</v>
      </c>
      <c r="F1249" s="165" t="str">
        <f t="shared" si="183"/>
        <v>MARE_16.18_200_NL2018</v>
      </c>
      <c r="G1249" s="165" t="s">
        <v>52</v>
      </c>
      <c r="H1249" s="12"/>
      <c r="I1249" s="12" t="s">
        <v>35</v>
      </c>
      <c r="J1249" s="14">
        <v>200</v>
      </c>
      <c r="K1249" s="15" t="s">
        <v>28</v>
      </c>
      <c r="L1249" s="15"/>
      <c r="M1249" s="16">
        <f t="shared" si="184"/>
        <v>35</v>
      </c>
      <c r="N1249" s="15">
        <v>7000</v>
      </c>
      <c r="O1249" s="15">
        <v>6000</v>
      </c>
      <c r="P1249" s="15">
        <f t="shared" si="190"/>
        <v>42000000</v>
      </c>
      <c r="Q1249" s="15" t="str">
        <f t="shared" si="189"/>
        <v>Done</v>
      </c>
      <c r="R1249" s="18" t="s">
        <v>44</v>
      </c>
      <c r="S1249" s="117" t="s">
        <v>151</v>
      </c>
      <c r="T1249" s="20">
        <f>IFERROR(VLOOKUP(S1249,'Date Converter'!$A$4:$C$368,3,0),"")</f>
        <v>43558</v>
      </c>
      <c r="U1249" s="21">
        <f t="shared" si="188"/>
        <v>43558</v>
      </c>
      <c r="V1249" s="12" t="s">
        <v>81</v>
      </c>
      <c r="W1249" s="18" t="s">
        <v>55</v>
      </c>
      <c r="X1249" s="18"/>
      <c r="Y1249" s="18"/>
      <c r="Z1249" s="210">
        <v>43564</v>
      </c>
      <c r="AA1249" s="15">
        <v>7000</v>
      </c>
      <c r="AB1249" s="210"/>
      <c r="AC1249" s="15"/>
      <c r="AD1249" s="210"/>
      <c r="AE1249" s="15"/>
      <c r="AF1249" s="244"/>
      <c r="AG1249" s="15"/>
      <c r="AH1249" s="15">
        <f t="shared" si="185"/>
        <v>7000</v>
      </c>
      <c r="AI1249" s="22">
        <f t="shared" si="186"/>
        <v>0</v>
      </c>
      <c r="AJ1249" s="22">
        <f t="shared" si="187"/>
        <v>0</v>
      </c>
      <c r="AK1249" s="13"/>
    </row>
    <row r="1250" spans="1:37" s="165" customFormat="1" hidden="1">
      <c r="A1250" s="165" t="s">
        <v>1715</v>
      </c>
      <c r="B1250" s="13">
        <v>43536</v>
      </c>
      <c r="C1250" s="267" t="s">
        <v>1622</v>
      </c>
      <c r="D1250" s="258" t="s">
        <v>1088</v>
      </c>
      <c r="E1250" s="165" t="s">
        <v>1086</v>
      </c>
      <c r="F1250" s="165" t="str">
        <f t="shared" si="183"/>
        <v>MARE_18.20_150_NL2018</v>
      </c>
      <c r="G1250" s="165" t="s">
        <v>52</v>
      </c>
      <c r="H1250" s="12"/>
      <c r="I1250" s="12" t="s">
        <v>27</v>
      </c>
      <c r="J1250" s="14">
        <v>150</v>
      </c>
      <c r="K1250" s="15" t="s">
        <v>28</v>
      </c>
      <c r="L1250" s="15"/>
      <c r="M1250" s="16">
        <f t="shared" si="184"/>
        <v>34</v>
      </c>
      <c r="N1250" s="15">
        <v>5100</v>
      </c>
      <c r="O1250" s="15">
        <v>9500</v>
      </c>
      <c r="P1250" s="15">
        <f t="shared" si="190"/>
        <v>48450000</v>
      </c>
      <c r="Q1250" s="15" t="str">
        <f t="shared" si="189"/>
        <v/>
      </c>
      <c r="R1250" s="18" t="s">
        <v>29</v>
      </c>
      <c r="S1250" s="117">
        <v>43709</v>
      </c>
      <c r="T1250" s="20">
        <f>IFERROR(VLOOKUP(S1250,'Date Converter'!$A$4:$C$368,3,0),"")</f>
        <v>43737</v>
      </c>
      <c r="U1250" s="21">
        <f t="shared" si="188"/>
        <v>43737</v>
      </c>
      <c r="V1250" s="12" t="s">
        <v>51</v>
      </c>
      <c r="W1250" s="18"/>
      <c r="X1250" s="18"/>
      <c r="Y1250" s="18"/>
      <c r="Z1250" s="210"/>
      <c r="AA1250" s="15">
        <v>0</v>
      </c>
      <c r="AB1250" s="210"/>
      <c r="AC1250" s="15"/>
      <c r="AD1250" s="15"/>
      <c r="AE1250" s="15"/>
      <c r="AF1250" s="244"/>
      <c r="AG1250" s="15"/>
      <c r="AH1250" s="15">
        <f t="shared" si="185"/>
        <v>0</v>
      </c>
      <c r="AI1250" s="22">
        <f t="shared" si="186"/>
        <v>5100</v>
      </c>
      <c r="AJ1250" s="22">
        <f t="shared" si="187"/>
        <v>48450000</v>
      </c>
      <c r="AK1250" s="13"/>
    </row>
    <row r="1251" spans="1:37" s="165" customFormat="1" hidden="1">
      <c r="A1251" s="165" t="s">
        <v>1712</v>
      </c>
      <c r="B1251" s="13">
        <v>43470</v>
      </c>
      <c r="C1251" s="13" t="s">
        <v>1622</v>
      </c>
      <c r="D1251" s="165" t="s">
        <v>1088</v>
      </c>
      <c r="E1251" s="165" t="s">
        <v>1086</v>
      </c>
      <c r="F1251" s="165" t="str">
        <f t="shared" si="183"/>
        <v>MALD_15.16_300_NL2018</v>
      </c>
      <c r="G1251" s="165" t="s">
        <v>478</v>
      </c>
      <c r="H1251" s="12"/>
      <c r="I1251" s="12" t="s">
        <v>77</v>
      </c>
      <c r="J1251" s="14">
        <v>300</v>
      </c>
      <c r="K1251" s="15" t="s">
        <v>28</v>
      </c>
      <c r="L1251" s="15"/>
      <c r="M1251" s="16">
        <f t="shared" si="184"/>
        <v>16</v>
      </c>
      <c r="N1251" s="15">
        <v>4800</v>
      </c>
      <c r="O1251" s="15">
        <v>3900</v>
      </c>
      <c r="P1251" s="15">
        <f t="shared" si="190"/>
        <v>18720000</v>
      </c>
      <c r="Q1251" s="15" t="str">
        <f t="shared" si="189"/>
        <v>Done</v>
      </c>
      <c r="R1251" s="18" t="s">
        <v>44</v>
      </c>
      <c r="S1251" s="117">
        <v>43511</v>
      </c>
      <c r="T1251" s="20">
        <f>IFERROR(VLOOKUP(S1251,'Date Converter'!$A$4:$C$368,3,0),"")</f>
        <v>43544</v>
      </c>
      <c r="U1251" s="21">
        <f t="shared" si="188"/>
        <v>43544</v>
      </c>
      <c r="V1251" s="12" t="s">
        <v>32</v>
      </c>
      <c r="W1251" s="18" t="s">
        <v>41</v>
      </c>
      <c r="X1251" s="18"/>
      <c r="Y1251" s="18"/>
      <c r="Z1251" s="210">
        <v>43543</v>
      </c>
      <c r="AA1251" s="15">
        <v>4800</v>
      </c>
      <c r="AB1251" s="210"/>
      <c r="AC1251" s="15"/>
      <c r="AD1251" s="15"/>
      <c r="AE1251" s="15"/>
      <c r="AF1251" s="244"/>
      <c r="AG1251" s="15"/>
      <c r="AH1251" s="15">
        <f t="shared" si="185"/>
        <v>4800</v>
      </c>
      <c r="AI1251" s="22">
        <f t="shared" si="186"/>
        <v>0</v>
      </c>
      <c r="AJ1251" s="22">
        <f t="shared" si="187"/>
        <v>0</v>
      </c>
      <c r="AK1251" s="13">
        <v>43872</v>
      </c>
    </row>
    <row r="1252" spans="1:37" s="165" customFormat="1" hidden="1">
      <c r="A1252" s="165" t="s">
        <v>1716</v>
      </c>
      <c r="B1252" s="13">
        <v>43554</v>
      </c>
      <c r="C1252" s="267" t="s">
        <v>1622</v>
      </c>
      <c r="D1252" s="258" t="s">
        <v>1085</v>
      </c>
      <c r="E1252" s="13" t="s">
        <v>1086</v>
      </c>
      <c r="F1252" s="165" t="str">
        <f t="shared" si="183"/>
        <v>MALD_18.20_150_NL2018</v>
      </c>
      <c r="G1252" s="13" t="s">
        <v>478</v>
      </c>
      <c r="H1252" s="12"/>
      <c r="I1252" s="12" t="s">
        <v>27</v>
      </c>
      <c r="J1252" s="31" t="s">
        <v>126</v>
      </c>
      <c r="K1252" s="15" t="s">
        <v>28</v>
      </c>
      <c r="L1252" s="15"/>
      <c r="M1252" s="33">
        <f t="shared" si="184"/>
        <v>35</v>
      </c>
      <c r="N1252" s="15">
        <v>5250</v>
      </c>
      <c r="O1252" s="15">
        <v>8400</v>
      </c>
      <c r="P1252" s="15">
        <f t="shared" si="190"/>
        <v>44100000</v>
      </c>
      <c r="Q1252" s="15" t="str">
        <f t="shared" si="189"/>
        <v/>
      </c>
      <c r="R1252" s="18" t="s">
        <v>29</v>
      </c>
      <c r="S1252" s="117">
        <v>43709</v>
      </c>
      <c r="T1252" s="20">
        <f>IFERROR(VLOOKUP(S1252,'Date Converter'!$A$4:$C$368,3,0),"")</f>
        <v>43737</v>
      </c>
      <c r="U1252" s="21">
        <f t="shared" si="188"/>
        <v>43737</v>
      </c>
      <c r="V1252" s="12"/>
      <c r="W1252" s="18"/>
      <c r="X1252" s="18"/>
      <c r="Y1252" s="18"/>
      <c r="Z1252" s="206"/>
      <c r="AA1252" s="15">
        <v>0</v>
      </c>
      <c r="AB1252" s="206"/>
      <c r="AC1252" s="12"/>
      <c r="AD1252" s="12"/>
      <c r="AE1252" s="12"/>
      <c r="AF1252" s="245"/>
      <c r="AG1252" s="12"/>
      <c r="AH1252" s="15">
        <f t="shared" si="185"/>
        <v>0</v>
      </c>
      <c r="AI1252" s="22">
        <f t="shared" si="186"/>
        <v>5250</v>
      </c>
      <c r="AJ1252" s="22">
        <f t="shared" si="187"/>
        <v>44100000</v>
      </c>
    </row>
    <row r="1253" spans="1:37" s="165" customFormat="1" hidden="1">
      <c r="A1253" s="165" t="s">
        <v>1716</v>
      </c>
      <c r="B1253" s="13">
        <v>43554</v>
      </c>
      <c r="C1253" s="267" t="s">
        <v>1622</v>
      </c>
      <c r="D1253" s="258" t="s">
        <v>1085</v>
      </c>
      <c r="E1253" s="13" t="s">
        <v>1086</v>
      </c>
      <c r="F1253" s="165" t="str">
        <f t="shared" si="183"/>
        <v>MAJE_POT_10.12_500_NL2018</v>
      </c>
      <c r="G1253" s="13" t="s">
        <v>1727</v>
      </c>
      <c r="H1253" s="12" t="s">
        <v>1720</v>
      </c>
      <c r="I1253" s="12" t="s">
        <v>1721</v>
      </c>
      <c r="J1253" s="31" t="s">
        <v>1722</v>
      </c>
      <c r="K1253" s="15" t="s">
        <v>28</v>
      </c>
      <c r="L1253" s="15"/>
      <c r="M1253" s="33">
        <f t="shared" si="184"/>
        <v>48</v>
      </c>
      <c r="N1253" s="15">
        <v>24000</v>
      </c>
      <c r="O1253" s="15">
        <v>3500</v>
      </c>
      <c r="P1253" s="15">
        <f t="shared" si="190"/>
        <v>84000000</v>
      </c>
      <c r="Q1253" s="15" t="str">
        <f t="shared" si="189"/>
        <v/>
      </c>
      <c r="R1253" s="18" t="s">
        <v>29</v>
      </c>
      <c r="S1253" s="117">
        <v>43709</v>
      </c>
      <c r="T1253" s="20">
        <f>IFERROR(VLOOKUP(S1253,'Date Converter'!$A$4:$C$368,3,0),"")</f>
        <v>43737</v>
      </c>
      <c r="U1253" s="21">
        <f t="shared" si="188"/>
        <v>43737</v>
      </c>
      <c r="V1253" s="12"/>
      <c r="W1253" s="18"/>
      <c r="X1253" s="18"/>
      <c r="Y1253" s="18"/>
      <c r="Z1253" s="206"/>
      <c r="AA1253" s="15">
        <v>0</v>
      </c>
      <c r="AB1253" s="206"/>
      <c r="AC1253" s="12"/>
      <c r="AD1253" s="12"/>
      <c r="AE1253" s="12"/>
      <c r="AF1253" s="245"/>
      <c r="AG1253" s="12"/>
      <c r="AH1253" s="15">
        <f t="shared" si="185"/>
        <v>0</v>
      </c>
      <c r="AI1253" s="22">
        <f t="shared" si="186"/>
        <v>24000</v>
      </c>
      <c r="AJ1253" s="22">
        <f t="shared" si="187"/>
        <v>84000000</v>
      </c>
    </row>
    <row r="1254" spans="1:37" s="165" customFormat="1" hidden="1">
      <c r="A1254" s="165" t="s">
        <v>1715</v>
      </c>
      <c r="B1254" s="13">
        <v>43536</v>
      </c>
      <c r="C1254" s="13" t="s">
        <v>1622</v>
      </c>
      <c r="D1254" s="165" t="s">
        <v>1088</v>
      </c>
      <c r="E1254" s="165" t="s">
        <v>1086</v>
      </c>
      <c r="F1254" s="165" t="str">
        <f t="shared" si="183"/>
        <v>LODI_18.20_150_NL2018</v>
      </c>
      <c r="G1254" s="165" t="s">
        <v>1367</v>
      </c>
      <c r="H1254" s="12"/>
      <c r="I1254" s="12" t="s">
        <v>27</v>
      </c>
      <c r="J1254" s="14">
        <v>150</v>
      </c>
      <c r="K1254" s="15" t="s">
        <v>28</v>
      </c>
      <c r="L1254" s="15"/>
      <c r="M1254" s="16">
        <f t="shared" si="184"/>
        <v>0</v>
      </c>
      <c r="N1254" s="15">
        <f>5100-5100</f>
        <v>0</v>
      </c>
      <c r="O1254" s="15">
        <v>9200</v>
      </c>
      <c r="P1254" s="15">
        <f t="shared" si="190"/>
        <v>0</v>
      </c>
      <c r="Q1254" s="15" t="str">
        <f t="shared" si="189"/>
        <v>Canceled</v>
      </c>
      <c r="R1254" s="18" t="s">
        <v>71</v>
      </c>
      <c r="S1254" s="117">
        <v>43709</v>
      </c>
      <c r="T1254" s="20">
        <f>IFERROR(VLOOKUP(S1254,'Date Converter'!$A$4:$C$368,3,0),"")</f>
        <v>43737</v>
      </c>
      <c r="U1254" s="21">
        <f t="shared" si="188"/>
        <v>43737</v>
      </c>
      <c r="V1254" s="12" t="s">
        <v>51</v>
      </c>
      <c r="W1254" s="18"/>
      <c r="X1254" s="18"/>
      <c r="Y1254" s="18"/>
      <c r="Z1254" s="210"/>
      <c r="AA1254" s="15">
        <v>0</v>
      </c>
      <c r="AB1254" s="210"/>
      <c r="AC1254" s="15"/>
      <c r="AD1254" s="15"/>
      <c r="AE1254" s="15"/>
      <c r="AF1254" s="244"/>
      <c r="AG1254" s="15"/>
      <c r="AH1254" s="15">
        <f t="shared" si="185"/>
        <v>0</v>
      </c>
      <c r="AI1254" s="22">
        <f t="shared" si="186"/>
        <v>0</v>
      </c>
      <c r="AJ1254" s="22">
        <f t="shared" si="187"/>
        <v>0</v>
      </c>
      <c r="AK1254" s="13"/>
    </row>
    <row r="1255" spans="1:37" s="165" customFormat="1" hidden="1">
      <c r="A1255" s="165" t="s">
        <v>1716</v>
      </c>
      <c r="B1255" s="13">
        <v>43554</v>
      </c>
      <c r="C1255" s="267" t="s">
        <v>1622</v>
      </c>
      <c r="D1255" s="258" t="s">
        <v>1085</v>
      </c>
      <c r="E1255" s="13" t="s">
        <v>1086</v>
      </c>
      <c r="F1255" s="165" t="str">
        <f t="shared" si="183"/>
        <v>LODI_18.20_150_NL2018</v>
      </c>
      <c r="G1255" s="13" t="s">
        <v>1367</v>
      </c>
      <c r="H1255" s="12"/>
      <c r="I1255" s="12" t="s">
        <v>27</v>
      </c>
      <c r="J1255" s="31" t="s">
        <v>126</v>
      </c>
      <c r="K1255" s="15" t="s">
        <v>28</v>
      </c>
      <c r="L1255" s="15"/>
      <c r="M1255" s="33">
        <f t="shared" si="184"/>
        <v>30</v>
      </c>
      <c r="N1255" s="15">
        <v>4500</v>
      </c>
      <c r="O1255" s="15">
        <v>9200</v>
      </c>
      <c r="P1255" s="15">
        <f t="shared" si="190"/>
        <v>41400000</v>
      </c>
      <c r="Q1255" s="15" t="str">
        <f t="shared" si="189"/>
        <v/>
      </c>
      <c r="R1255" s="18" t="s">
        <v>29</v>
      </c>
      <c r="S1255" s="117">
        <v>43709</v>
      </c>
      <c r="T1255" s="20">
        <f>IFERROR(VLOOKUP(S1255,'Date Converter'!$A$4:$C$368,3,0),"")</f>
        <v>43737</v>
      </c>
      <c r="U1255" s="21">
        <f t="shared" si="188"/>
        <v>43737</v>
      </c>
      <c r="V1255" s="12"/>
      <c r="W1255" s="18"/>
      <c r="X1255" s="18"/>
      <c r="Y1255" s="18"/>
      <c r="Z1255" s="206"/>
      <c r="AA1255" s="15">
        <v>0</v>
      </c>
      <c r="AB1255" s="206"/>
      <c r="AC1255" s="12"/>
      <c r="AD1255" s="12"/>
      <c r="AE1255" s="12"/>
      <c r="AF1255" s="245"/>
      <c r="AG1255" s="12"/>
      <c r="AH1255" s="15">
        <f t="shared" si="185"/>
        <v>0</v>
      </c>
      <c r="AI1255" s="22">
        <f t="shared" si="186"/>
        <v>4500</v>
      </c>
      <c r="AJ1255" s="22">
        <f t="shared" si="187"/>
        <v>41400000</v>
      </c>
    </row>
    <row r="1256" spans="1:37" s="165" customFormat="1" hidden="1">
      <c r="A1256" s="165" t="s">
        <v>1716</v>
      </c>
      <c r="B1256" s="13">
        <v>43554</v>
      </c>
      <c r="C1256" s="267" t="s">
        <v>1622</v>
      </c>
      <c r="D1256" s="258" t="s">
        <v>1085</v>
      </c>
      <c r="E1256" s="13" t="s">
        <v>1086</v>
      </c>
      <c r="F1256" s="165" t="str">
        <f t="shared" si="183"/>
        <v>LAKE_16.18_200_NL2018</v>
      </c>
      <c r="G1256" s="13" t="s">
        <v>50</v>
      </c>
      <c r="H1256" s="12"/>
      <c r="I1256" s="12" t="s">
        <v>35</v>
      </c>
      <c r="J1256" s="31" t="s">
        <v>121</v>
      </c>
      <c r="K1256" s="15" t="s">
        <v>28</v>
      </c>
      <c r="L1256" s="15"/>
      <c r="M1256" s="33">
        <f t="shared" si="184"/>
        <v>15</v>
      </c>
      <c r="N1256" s="15">
        <v>3000</v>
      </c>
      <c r="O1256" s="25">
        <v>6800</v>
      </c>
      <c r="P1256" s="15">
        <f t="shared" si="190"/>
        <v>20400000</v>
      </c>
      <c r="Q1256" s="15" t="str">
        <f t="shared" si="189"/>
        <v/>
      </c>
      <c r="R1256" s="18" t="s">
        <v>29</v>
      </c>
      <c r="S1256" s="117">
        <v>43709</v>
      </c>
      <c r="T1256" s="20">
        <f>IFERROR(VLOOKUP(S1256,'Date Converter'!$A$4:$C$368,3,0),"")</f>
        <v>43737</v>
      </c>
      <c r="U1256" s="21">
        <f t="shared" si="188"/>
        <v>43737</v>
      </c>
      <c r="V1256" s="12"/>
      <c r="W1256" s="18"/>
      <c r="X1256" s="18"/>
      <c r="Y1256" s="18"/>
      <c r="Z1256" s="206"/>
      <c r="AA1256" s="15">
        <v>0</v>
      </c>
      <c r="AB1256" s="206"/>
      <c r="AC1256" s="12"/>
      <c r="AD1256" s="12"/>
      <c r="AE1256" s="12"/>
      <c r="AF1256" s="245"/>
      <c r="AG1256" s="12"/>
      <c r="AH1256" s="15">
        <f t="shared" si="185"/>
        <v>0</v>
      </c>
      <c r="AI1256" s="22">
        <f t="shared" si="186"/>
        <v>3000</v>
      </c>
      <c r="AJ1256" s="22">
        <f t="shared" si="187"/>
        <v>20400000</v>
      </c>
    </row>
    <row r="1257" spans="1:37" s="165" customFormat="1" hidden="1">
      <c r="A1257" s="165" t="s">
        <v>1716</v>
      </c>
      <c r="B1257" s="13">
        <v>43554</v>
      </c>
      <c r="C1257" s="267" t="s">
        <v>1622</v>
      </c>
      <c r="D1257" s="258" t="s">
        <v>1085</v>
      </c>
      <c r="E1257" s="13" t="s">
        <v>1086</v>
      </c>
      <c r="F1257" s="165" t="str">
        <f t="shared" si="183"/>
        <v>ISLA_POT_11.12_400_NL2018</v>
      </c>
      <c r="G1257" s="13" t="s">
        <v>1725</v>
      </c>
      <c r="H1257" s="12" t="s">
        <v>1720</v>
      </c>
      <c r="I1257" s="12" t="s">
        <v>1726</v>
      </c>
      <c r="J1257" s="31" t="s">
        <v>128</v>
      </c>
      <c r="K1257" s="15" t="s">
        <v>28</v>
      </c>
      <c r="L1257" s="15"/>
      <c r="M1257" s="33">
        <f t="shared" si="184"/>
        <v>21</v>
      </c>
      <c r="N1257" s="15">
        <v>8400</v>
      </c>
      <c r="O1257" s="15">
        <v>3600</v>
      </c>
      <c r="P1257" s="15">
        <f t="shared" si="190"/>
        <v>30240000</v>
      </c>
      <c r="Q1257" s="15" t="str">
        <f t="shared" si="189"/>
        <v/>
      </c>
      <c r="R1257" s="18" t="s">
        <v>29</v>
      </c>
      <c r="S1257" s="117">
        <v>43709</v>
      </c>
      <c r="T1257" s="20">
        <f>IFERROR(VLOOKUP(S1257,'Date Converter'!$A$4:$C$368,3,0),"")</f>
        <v>43737</v>
      </c>
      <c r="U1257" s="21">
        <f t="shared" si="188"/>
        <v>43737</v>
      </c>
      <c r="V1257" s="12"/>
      <c r="W1257" s="18"/>
      <c r="X1257" s="18"/>
      <c r="Y1257" s="18"/>
      <c r="Z1257" s="206"/>
      <c r="AA1257" s="15">
        <v>0</v>
      </c>
      <c r="AB1257" s="206"/>
      <c r="AC1257" s="12"/>
      <c r="AD1257" s="12"/>
      <c r="AE1257" s="12"/>
      <c r="AF1257" s="245"/>
      <c r="AG1257" s="12"/>
      <c r="AH1257" s="15">
        <f t="shared" si="185"/>
        <v>0</v>
      </c>
      <c r="AI1257" s="22">
        <f t="shared" si="186"/>
        <v>8400</v>
      </c>
      <c r="AJ1257" s="22">
        <f t="shared" si="187"/>
        <v>30240000</v>
      </c>
    </row>
    <row r="1258" spans="1:37" s="165" customFormat="1" hidden="1">
      <c r="A1258" s="165" t="s">
        <v>1716</v>
      </c>
      <c r="B1258" s="13">
        <v>43554</v>
      </c>
      <c r="C1258" s="267" t="s">
        <v>1622</v>
      </c>
      <c r="D1258" s="258" t="s">
        <v>1085</v>
      </c>
      <c r="E1258" s="13" t="s">
        <v>1086</v>
      </c>
      <c r="F1258" s="165" t="str">
        <f t="shared" si="183"/>
        <v>GOLD_POT_10.12_500_NL2018</v>
      </c>
      <c r="G1258" s="13" t="s">
        <v>1724</v>
      </c>
      <c r="H1258" s="12" t="s">
        <v>1720</v>
      </c>
      <c r="I1258" s="12" t="s">
        <v>1721</v>
      </c>
      <c r="J1258" s="31" t="s">
        <v>1722</v>
      </c>
      <c r="K1258" s="15" t="s">
        <v>28</v>
      </c>
      <c r="L1258" s="15"/>
      <c r="M1258" s="33">
        <f t="shared" si="184"/>
        <v>54</v>
      </c>
      <c r="N1258" s="15">
        <v>27000</v>
      </c>
      <c r="O1258" s="15">
        <v>3500</v>
      </c>
      <c r="P1258" s="15">
        <f t="shared" si="190"/>
        <v>94500000</v>
      </c>
      <c r="Q1258" s="15" t="str">
        <f t="shared" si="189"/>
        <v/>
      </c>
      <c r="R1258" s="18" t="s">
        <v>29</v>
      </c>
      <c r="S1258" s="117">
        <v>43709</v>
      </c>
      <c r="T1258" s="20">
        <f>IFERROR(VLOOKUP(S1258,'Date Converter'!$A$4:$C$368,3,0),"")</f>
        <v>43737</v>
      </c>
      <c r="U1258" s="21">
        <f t="shared" si="188"/>
        <v>43737</v>
      </c>
      <c r="V1258" s="12"/>
      <c r="W1258" s="18"/>
      <c r="X1258" s="18"/>
      <c r="Y1258" s="18"/>
      <c r="Z1258" s="206"/>
      <c r="AA1258" s="15">
        <v>0</v>
      </c>
      <c r="AB1258" s="206"/>
      <c r="AC1258" s="12"/>
      <c r="AD1258" s="12"/>
      <c r="AE1258" s="12"/>
      <c r="AF1258" s="245"/>
      <c r="AG1258" s="12"/>
      <c r="AH1258" s="15">
        <f t="shared" si="185"/>
        <v>0</v>
      </c>
      <c r="AI1258" s="22">
        <f t="shared" si="186"/>
        <v>27000</v>
      </c>
      <c r="AJ1258" s="22">
        <f t="shared" si="187"/>
        <v>94500000</v>
      </c>
    </row>
    <row r="1259" spans="1:37" s="165" customFormat="1" hidden="1">
      <c r="A1259" s="165" t="s">
        <v>1716</v>
      </c>
      <c r="B1259" s="13">
        <v>43554</v>
      </c>
      <c r="C1259" s="267" t="s">
        <v>1622</v>
      </c>
      <c r="D1259" s="258" t="s">
        <v>1085</v>
      </c>
      <c r="E1259" s="13" t="s">
        <v>1086</v>
      </c>
      <c r="F1259" s="165" t="str">
        <f t="shared" si="183"/>
        <v>GOLD_POT_12.14_400_NL2018</v>
      </c>
      <c r="G1259" s="13" t="s">
        <v>1724</v>
      </c>
      <c r="H1259" s="12" t="s">
        <v>1720</v>
      </c>
      <c r="I1259" s="12" t="s">
        <v>113</v>
      </c>
      <c r="J1259" s="31" t="s">
        <v>128</v>
      </c>
      <c r="K1259" s="15" t="s">
        <v>28</v>
      </c>
      <c r="L1259" s="15"/>
      <c r="M1259" s="33">
        <f t="shared" si="184"/>
        <v>10</v>
      </c>
      <c r="N1259" s="15">
        <v>4000</v>
      </c>
      <c r="O1259" s="15">
        <v>5200</v>
      </c>
      <c r="P1259" s="15">
        <f t="shared" si="190"/>
        <v>20800000</v>
      </c>
      <c r="Q1259" s="15" t="str">
        <f t="shared" si="189"/>
        <v/>
      </c>
      <c r="R1259" s="18" t="s">
        <v>29</v>
      </c>
      <c r="S1259" s="117">
        <v>43709</v>
      </c>
      <c r="T1259" s="20">
        <f>IFERROR(VLOOKUP(S1259,'Date Converter'!$A$4:$C$368,3,0),"")</f>
        <v>43737</v>
      </c>
      <c r="U1259" s="21">
        <f t="shared" si="188"/>
        <v>43737</v>
      </c>
      <c r="V1259" s="12"/>
      <c r="W1259" s="18"/>
      <c r="X1259" s="18"/>
      <c r="Y1259" s="18"/>
      <c r="Z1259" s="206"/>
      <c r="AA1259" s="15">
        <v>0</v>
      </c>
      <c r="AB1259" s="206"/>
      <c r="AC1259" s="12"/>
      <c r="AD1259" s="12"/>
      <c r="AE1259" s="12"/>
      <c r="AF1259" s="245"/>
      <c r="AG1259" s="12"/>
      <c r="AH1259" s="15">
        <f t="shared" si="185"/>
        <v>0</v>
      </c>
      <c r="AI1259" s="22">
        <f t="shared" si="186"/>
        <v>4000</v>
      </c>
      <c r="AJ1259" s="22">
        <f t="shared" si="187"/>
        <v>20800000</v>
      </c>
    </row>
    <row r="1260" spans="1:37" s="165" customFormat="1" hidden="1">
      <c r="A1260" s="165" t="s">
        <v>1716</v>
      </c>
      <c r="B1260" s="13">
        <v>43554</v>
      </c>
      <c r="C1260" s="267" t="s">
        <v>1622</v>
      </c>
      <c r="D1260" s="258" t="s">
        <v>1085</v>
      </c>
      <c r="E1260" s="13" t="s">
        <v>1086</v>
      </c>
      <c r="F1260" s="165" t="str">
        <f t="shared" si="183"/>
        <v>EREM_16.18_200_NL2018</v>
      </c>
      <c r="G1260" s="13" t="s">
        <v>469</v>
      </c>
      <c r="H1260" s="12"/>
      <c r="I1260" s="12" t="s">
        <v>35</v>
      </c>
      <c r="J1260" s="31" t="s">
        <v>121</v>
      </c>
      <c r="K1260" s="15" t="s">
        <v>28</v>
      </c>
      <c r="L1260" s="15"/>
      <c r="M1260" s="33">
        <f t="shared" si="184"/>
        <v>10</v>
      </c>
      <c r="N1260" s="15">
        <v>2000</v>
      </c>
      <c r="O1260" s="15">
        <v>6100</v>
      </c>
      <c r="P1260" s="15">
        <f t="shared" si="190"/>
        <v>12200000</v>
      </c>
      <c r="Q1260" s="15" t="str">
        <f t="shared" si="189"/>
        <v/>
      </c>
      <c r="R1260" s="18" t="s">
        <v>29</v>
      </c>
      <c r="S1260" s="117">
        <v>43709</v>
      </c>
      <c r="T1260" s="20">
        <f>IFERROR(VLOOKUP(S1260,'Date Converter'!$A$4:$C$368,3,0),"")</f>
        <v>43737</v>
      </c>
      <c r="U1260" s="21">
        <f t="shared" si="188"/>
        <v>43737</v>
      </c>
      <c r="V1260" s="12"/>
      <c r="W1260" s="18"/>
      <c r="X1260" s="18"/>
      <c r="Y1260" s="18"/>
      <c r="Z1260" s="206"/>
      <c r="AA1260" s="15">
        <v>0</v>
      </c>
      <c r="AB1260" s="206"/>
      <c r="AC1260" s="12"/>
      <c r="AD1260" s="12"/>
      <c r="AE1260" s="12"/>
      <c r="AF1260" s="245"/>
      <c r="AG1260" s="12"/>
      <c r="AH1260" s="15">
        <f t="shared" si="185"/>
        <v>0</v>
      </c>
      <c r="AI1260" s="22">
        <f t="shared" si="186"/>
        <v>2000</v>
      </c>
      <c r="AJ1260" s="22">
        <f t="shared" si="187"/>
        <v>12200000</v>
      </c>
    </row>
    <row r="1261" spans="1:37" s="165" customFormat="1" hidden="1">
      <c r="A1261" s="165" t="s">
        <v>1716</v>
      </c>
      <c r="B1261" s="13">
        <v>43554</v>
      </c>
      <c r="C1261" s="267" t="s">
        <v>1622</v>
      </c>
      <c r="D1261" s="258" t="s">
        <v>1085</v>
      </c>
      <c r="E1261" s="13" t="s">
        <v>1086</v>
      </c>
      <c r="F1261" s="165" t="str">
        <f t="shared" si="183"/>
        <v>DYNA_16.18_200_NL2018</v>
      </c>
      <c r="G1261" s="13" t="s">
        <v>1718</v>
      </c>
      <c r="H1261" s="12"/>
      <c r="I1261" s="12" t="s">
        <v>35</v>
      </c>
      <c r="J1261" s="31" t="s">
        <v>121</v>
      </c>
      <c r="K1261" s="15" t="s">
        <v>28</v>
      </c>
      <c r="L1261" s="15"/>
      <c r="M1261" s="33">
        <f t="shared" si="184"/>
        <v>10</v>
      </c>
      <c r="N1261" s="15">
        <v>2000</v>
      </c>
      <c r="O1261" s="15">
        <v>7300</v>
      </c>
      <c r="P1261" s="15">
        <f t="shared" si="190"/>
        <v>14600000</v>
      </c>
      <c r="Q1261" s="15" t="str">
        <f t="shared" si="189"/>
        <v/>
      </c>
      <c r="R1261" s="18" t="s">
        <v>29</v>
      </c>
      <c r="S1261" s="117">
        <v>43709</v>
      </c>
      <c r="T1261" s="20">
        <f>IFERROR(VLOOKUP(S1261,'Date Converter'!$A$4:$C$368,3,0),"")</f>
        <v>43737</v>
      </c>
      <c r="U1261" s="21">
        <f t="shared" si="188"/>
        <v>43737</v>
      </c>
      <c r="V1261" s="12"/>
      <c r="W1261" s="18"/>
      <c r="X1261" s="18"/>
      <c r="Y1261" s="18"/>
      <c r="Z1261" s="206"/>
      <c r="AA1261" s="15">
        <v>0</v>
      </c>
      <c r="AB1261" s="206"/>
      <c r="AC1261" s="12"/>
      <c r="AD1261" s="12"/>
      <c r="AE1261" s="12"/>
      <c r="AF1261" s="245"/>
      <c r="AG1261" s="12"/>
      <c r="AH1261" s="15">
        <f t="shared" si="185"/>
        <v>0</v>
      </c>
      <c r="AI1261" s="22">
        <f t="shared" si="186"/>
        <v>2000</v>
      </c>
      <c r="AJ1261" s="22">
        <f t="shared" si="187"/>
        <v>14600000</v>
      </c>
    </row>
    <row r="1262" spans="1:37" s="165" customFormat="1" hidden="1">
      <c r="A1262" s="165" t="s">
        <v>1713</v>
      </c>
      <c r="B1262" s="13">
        <v>43536</v>
      </c>
      <c r="C1262" s="13" t="s">
        <v>1622</v>
      </c>
      <c r="D1262" s="165" t="s">
        <v>1088</v>
      </c>
      <c r="E1262" s="165" t="s">
        <v>1086</v>
      </c>
      <c r="F1262" s="165" t="str">
        <f t="shared" si="183"/>
        <v>DALI_14.16_300_NL2018</v>
      </c>
      <c r="G1262" s="165" t="s">
        <v>46</v>
      </c>
      <c r="H1262" s="12"/>
      <c r="I1262" s="12" t="s">
        <v>47</v>
      </c>
      <c r="J1262" s="14">
        <v>300</v>
      </c>
      <c r="K1262" s="15" t="s">
        <v>28</v>
      </c>
      <c r="L1262" s="15"/>
      <c r="M1262" s="16">
        <f t="shared" si="184"/>
        <v>17</v>
      </c>
      <c r="N1262" s="15">
        <f>10200-5100</f>
        <v>5100</v>
      </c>
      <c r="O1262" s="15">
        <v>5400</v>
      </c>
      <c r="P1262" s="15">
        <f t="shared" si="190"/>
        <v>27540000</v>
      </c>
      <c r="Q1262" s="15" t="str">
        <f t="shared" si="189"/>
        <v>Done</v>
      </c>
      <c r="R1262" s="18" t="s">
        <v>44</v>
      </c>
      <c r="S1262" s="117">
        <v>43572</v>
      </c>
      <c r="T1262" s="20">
        <f>IFERROR(VLOOKUP(S1262,'Date Converter'!$A$4:$C$368,3,0),"")</f>
        <v>43606</v>
      </c>
      <c r="U1262" s="21">
        <f t="shared" si="188"/>
        <v>43606</v>
      </c>
      <c r="V1262" s="12" t="s">
        <v>36</v>
      </c>
      <c r="W1262" s="18"/>
      <c r="X1262" s="18"/>
      <c r="Y1262" s="18"/>
      <c r="Z1262" s="210">
        <v>43620</v>
      </c>
      <c r="AA1262" s="15">
        <v>5100</v>
      </c>
      <c r="AB1262" s="210"/>
      <c r="AC1262" s="15"/>
      <c r="AD1262" s="210"/>
      <c r="AE1262" s="15"/>
      <c r="AF1262" s="244"/>
      <c r="AG1262" s="15"/>
      <c r="AH1262" s="15">
        <f t="shared" si="185"/>
        <v>5100</v>
      </c>
      <c r="AI1262" s="22">
        <f t="shared" si="186"/>
        <v>0</v>
      </c>
      <c r="AJ1262" s="22">
        <f t="shared" si="187"/>
        <v>0</v>
      </c>
      <c r="AK1262" s="13"/>
    </row>
    <row r="1263" spans="1:37" s="165" customFormat="1" hidden="1">
      <c r="A1263" s="165" t="s">
        <v>1713</v>
      </c>
      <c r="B1263" s="13">
        <v>43628</v>
      </c>
      <c r="C1263" s="13" t="s">
        <v>1622</v>
      </c>
      <c r="D1263" s="165" t="s">
        <v>1088</v>
      </c>
      <c r="E1263" s="165" t="s">
        <v>1086</v>
      </c>
      <c r="F1263" s="165" t="str">
        <f t="shared" si="183"/>
        <v>DALI_14.16_300_NL2018</v>
      </c>
      <c r="G1263" s="165" t="s">
        <v>46</v>
      </c>
      <c r="H1263" s="12"/>
      <c r="I1263" s="12" t="s">
        <v>47</v>
      </c>
      <c r="J1263" s="14">
        <v>300</v>
      </c>
      <c r="K1263" s="15" t="s">
        <v>28</v>
      </c>
      <c r="L1263" s="15"/>
      <c r="M1263" s="16">
        <f t="shared" si="184"/>
        <v>17</v>
      </c>
      <c r="N1263" s="15">
        <f>10200-5100</f>
        <v>5100</v>
      </c>
      <c r="O1263" s="15">
        <v>5450</v>
      </c>
      <c r="P1263" s="15">
        <f t="shared" si="190"/>
        <v>27795000</v>
      </c>
      <c r="Q1263" s="15" t="str">
        <f t="shared" si="189"/>
        <v>Done</v>
      </c>
      <c r="R1263" s="18" t="s">
        <v>44</v>
      </c>
      <c r="S1263" s="117">
        <v>43590</v>
      </c>
      <c r="T1263" s="20">
        <f>IFERROR(VLOOKUP(S1263,'Date Converter'!$A$4:$C$368,3,0),"")</f>
        <v>43623</v>
      </c>
      <c r="U1263" s="21">
        <f t="shared" si="188"/>
        <v>43623</v>
      </c>
      <c r="V1263" s="27"/>
      <c r="W1263" s="18"/>
      <c r="X1263" s="18"/>
      <c r="Y1263" s="18"/>
      <c r="Z1263" s="210">
        <v>43637</v>
      </c>
      <c r="AA1263" s="15">
        <v>5100</v>
      </c>
      <c r="AB1263" s="210"/>
      <c r="AC1263" s="15"/>
      <c r="AD1263" s="210"/>
      <c r="AE1263" s="15"/>
      <c r="AF1263" s="244"/>
      <c r="AG1263" s="15"/>
      <c r="AH1263" s="15">
        <f t="shared" si="185"/>
        <v>5100</v>
      </c>
      <c r="AI1263" s="22">
        <f t="shared" si="186"/>
        <v>0</v>
      </c>
      <c r="AJ1263" s="22">
        <f t="shared" si="187"/>
        <v>0</v>
      </c>
      <c r="AK1263" s="13"/>
    </row>
    <row r="1264" spans="1:37" s="165" customFormat="1" hidden="1">
      <c r="A1264" s="165" t="s">
        <v>1713</v>
      </c>
      <c r="B1264" s="13">
        <v>43628</v>
      </c>
      <c r="C1264" s="13" t="s">
        <v>1622</v>
      </c>
      <c r="D1264" s="165" t="s">
        <v>1088</v>
      </c>
      <c r="E1264" s="165" t="s">
        <v>1086</v>
      </c>
      <c r="F1264" s="165" t="str">
        <f t="shared" si="183"/>
        <v>DALI_14.16_300_NL2018</v>
      </c>
      <c r="G1264" s="165" t="s">
        <v>46</v>
      </c>
      <c r="H1264" s="12"/>
      <c r="I1264" s="12" t="s">
        <v>47</v>
      </c>
      <c r="J1264" s="14">
        <v>300</v>
      </c>
      <c r="K1264" s="15" t="s">
        <v>28</v>
      </c>
      <c r="L1264" s="15"/>
      <c r="M1264" s="16">
        <f t="shared" si="184"/>
        <v>17</v>
      </c>
      <c r="N1264" s="15">
        <v>5100</v>
      </c>
      <c r="O1264" s="15">
        <v>5500</v>
      </c>
      <c r="P1264" s="15">
        <f t="shared" si="190"/>
        <v>28050000</v>
      </c>
      <c r="Q1264" s="15" t="str">
        <f t="shared" si="189"/>
        <v/>
      </c>
      <c r="R1264" s="18" t="s">
        <v>31</v>
      </c>
      <c r="S1264" s="117">
        <v>43631</v>
      </c>
      <c r="T1264" s="20">
        <f>IFERROR(VLOOKUP(S1264,'Date Converter'!$A$4:$C$368,3,0),"")</f>
        <v>43663</v>
      </c>
      <c r="U1264" s="21">
        <f t="shared" si="188"/>
        <v>43663</v>
      </c>
      <c r="V1264" s="27" t="s">
        <v>1875</v>
      </c>
      <c r="W1264" s="18"/>
      <c r="X1264" s="18"/>
      <c r="Y1264" s="18"/>
      <c r="Z1264" s="210"/>
      <c r="AA1264" s="15"/>
      <c r="AB1264" s="210"/>
      <c r="AC1264" s="15"/>
      <c r="AD1264" s="210"/>
      <c r="AE1264" s="15"/>
      <c r="AF1264" s="244"/>
      <c r="AG1264" s="15"/>
      <c r="AH1264" s="15">
        <f t="shared" si="185"/>
        <v>0</v>
      </c>
      <c r="AI1264" s="22">
        <f t="shared" si="186"/>
        <v>5100</v>
      </c>
      <c r="AJ1264" s="22">
        <f t="shared" si="187"/>
        <v>28050000</v>
      </c>
      <c r="AK1264" s="13"/>
    </row>
    <row r="1265" spans="1:38" s="165" customFormat="1" hidden="1">
      <c r="A1265" s="165" t="s">
        <v>1713</v>
      </c>
      <c r="B1265" s="13">
        <v>43633</v>
      </c>
      <c r="C1265" s="13" t="s">
        <v>1622</v>
      </c>
      <c r="D1265" s="165" t="s">
        <v>1088</v>
      </c>
      <c r="E1265" s="165" t="s">
        <v>1086</v>
      </c>
      <c r="F1265" s="165" t="str">
        <f t="shared" si="183"/>
        <v>DALI_14.16_300_NL2018</v>
      </c>
      <c r="G1265" s="165" t="s">
        <v>46</v>
      </c>
      <c r="H1265" s="12"/>
      <c r="I1265" s="12" t="s">
        <v>47</v>
      </c>
      <c r="J1265" s="14">
        <v>300</v>
      </c>
      <c r="K1265" s="15" t="s">
        <v>28</v>
      </c>
      <c r="L1265" s="15"/>
      <c r="M1265" s="16">
        <f t="shared" si="184"/>
        <v>67</v>
      </c>
      <c r="N1265" s="15">
        <v>20100</v>
      </c>
      <c r="O1265" s="15">
        <v>5500</v>
      </c>
      <c r="P1265" s="15">
        <f t="shared" si="190"/>
        <v>110550000</v>
      </c>
      <c r="Q1265" s="15" t="str">
        <f t="shared" si="189"/>
        <v/>
      </c>
      <c r="R1265" s="18" t="s">
        <v>29</v>
      </c>
      <c r="S1265" s="117">
        <v>43641</v>
      </c>
      <c r="T1265" s="20">
        <f>IFERROR(VLOOKUP(S1265,'Date Converter'!$A$4:$C$368,3,0),"")</f>
        <v>43673</v>
      </c>
      <c r="U1265" s="21">
        <f t="shared" si="188"/>
        <v>43673</v>
      </c>
      <c r="V1265" s="27"/>
      <c r="W1265" s="18"/>
      <c r="X1265" s="18"/>
      <c r="Y1265" s="18"/>
      <c r="Z1265" s="210"/>
      <c r="AA1265" s="15"/>
      <c r="AB1265" s="210"/>
      <c r="AC1265" s="15"/>
      <c r="AD1265" s="210"/>
      <c r="AE1265" s="15"/>
      <c r="AF1265" s="244"/>
      <c r="AG1265" s="15"/>
      <c r="AH1265" s="15">
        <f t="shared" si="185"/>
        <v>0</v>
      </c>
      <c r="AI1265" s="22">
        <f t="shared" si="186"/>
        <v>20100</v>
      </c>
      <c r="AJ1265" s="22">
        <f t="shared" si="187"/>
        <v>110550000</v>
      </c>
      <c r="AK1265" s="13"/>
    </row>
    <row r="1266" spans="1:38" s="165" customFormat="1" hidden="1">
      <c r="A1266" s="165" t="s">
        <v>1715</v>
      </c>
      <c r="B1266" s="13">
        <v>43536</v>
      </c>
      <c r="C1266" s="267" t="s">
        <v>1622</v>
      </c>
      <c r="D1266" s="258" t="s">
        <v>1088</v>
      </c>
      <c r="E1266" s="165" t="s">
        <v>1086</v>
      </c>
      <c r="F1266" s="165" t="str">
        <f t="shared" si="183"/>
        <v>DALI_20.22_125_NL2018</v>
      </c>
      <c r="G1266" s="165" t="s">
        <v>46</v>
      </c>
      <c r="H1266" s="12"/>
      <c r="I1266" s="12" t="s">
        <v>74</v>
      </c>
      <c r="J1266" s="14">
        <v>125</v>
      </c>
      <c r="K1266" s="15" t="s">
        <v>28</v>
      </c>
      <c r="L1266" s="15"/>
      <c r="M1266" s="16">
        <f t="shared" si="184"/>
        <v>80</v>
      </c>
      <c r="N1266" s="15">
        <v>10000</v>
      </c>
      <c r="O1266" s="15">
        <v>14200</v>
      </c>
      <c r="P1266" s="15">
        <f t="shared" si="190"/>
        <v>142000000</v>
      </c>
      <c r="Q1266" s="15" t="str">
        <f t="shared" si="189"/>
        <v/>
      </c>
      <c r="R1266" s="18" t="s">
        <v>29</v>
      </c>
      <c r="S1266" s="117">
        <v>43709</v>
      </c>
      <c r="T1266" s="20">
        <f>IFERROR(VLOOKUP(S1266,'Date Converter'!$A$4:$C$368,3,0),"")</f>
        <v>43737</v>
      </c>
      <c r="U1266" s="21">
        <f t="shared" si="188"/>
        <v>43737</v>
      </c>
      <c r="V1266" s="12" t="s">
        <v>51</v>
      </c>
      <c r="W1266" s="18"/>
      <c r="X1266" s="18"/>
      <c r="Y1266" s="18"/>
      <c r="Z1266" s="210"/>
      <c r="AA1266" s="15">
        <v>0</v>
      </c>
      <c r="AB1266" s="210"/>
      <c r="AC1266" s="15"/>
      <c r="AD1266" s="15"/>
      <c r="AE1266" s="15"/>
      <c r="AF1266" s="244"/>
      <c r="AG1266" s="15"/>
      <c r="AH1266" s="15">
        <f t="shared" si="185"/>
        <v>0</v>
      </c>
      <c r="AI1266" s="22">
        <f t="shared" si="186"/>
        <v>10000</v>
      </c>
      <c r="AJ1266" s="22">
        <f t="shared" si="187"/>
        <v>142000000</v>
      </c>
      <c r="AK1266" s="13"/>
    </row>
    <row r="1267" spans="1:38" s="165" customFormat="1" hidden="1">
      <c r="A1267" s="165" t="s">
        <v>1716</v>
      </c>
      <c r="B1267" s="13">
        <v>43554</v>
      </c>
      <c r="C1267" s="267" t="s">
        <v>1622</v>
      </c>
      <c r="D1267" s="258" t="s">
        <v>1085</v>
      </c>
      <c r="E1267" s="13" t="s">
        <v>1086</v>
      </c>
      <c r="F1267" s="165" t="str">
        <f t="shared" si="183"/>
        <v>CONF_POT_12.14_400_NL2018</v>
      </c>
      <c r="G1267" s="13" t="s">
        <v>1729</v>
      </c>
      <c r="H1267" s="12" t="s">
        <v>1720</v>
      </c>
      <c r="I1267" s="12" t="s">
        <v>113</v>
      </c>
      <c r="J1267" s="31" t="s">
        <v>128</v>
      </c>
      <c r="K1267" s="15" t="s">
        <v>28</v>
      </c>
      <c r="L1267" s="15"/>
      <c r="M1267" s="33">
        <f t="shared" si="184"/>
        <v>10</v>
      </c>
      <c r="N1267" s="15">
        <v>4000</v>
      </c>
      <c r="O1267" s="15">
        <v>5200</v>
      </c>
      <c r="P1267" s="15">
        <f t="shared" si="190"/>
        <v>20800000</v>
      </c>
      <c r="Q1267" s="15" t="str">
        <f t="shared" si="189"/>
        <v/>
      </c>
      <c r="R1267" s="18" t="s">
        <v>29</v>
      </c>
      <c r="S1267" s="117">
        <v>43709</v>
      </c>
      <c r="T1267" s="20">
        <f>IFERROR(VLOOKUP(S1267,'Date Converter'!$A$4:$C$368,3,0),"")</f>
        <v>43737</v>
      </c>
      <c r="U1267" s="21">
        <f t="shared" si="188"/>
        <v>43737</v>
      </c>
      <c r="V1267" s="12"/>
      <c r="W1267" s="18"/>
      <c r="X1267" s="18"/>
      <c r="Y1267" s="18"/>
      <c r="Z1267" s="206"/>
      <c r="AA1267" s="15">
        <v>0</v>
      </c>
      <c r="AB1267" s="206"/>
      <c r="AC1267" s="12"/>
      <c r="AD1267" s="12"/>
      <c r="AE1267" s="12"/>
      <c r="AF1267" s="245"/>
      <c r="AG1267" s="12"/>
      <c r="AH1267" s="15">
        <f t="shared" si="185"/>
        <v>0</v>
      </c>
      <c r="AI1267" s="22">
        <f t="shared" si="186"/>
        <v>4000</v>
      </c>
      <c r="AJ1267" s="22">
        <f t="shared" si="187"/>
        <v>20800000</v>
      </c>
    </row>
    <row r="1268" spans="1:38" s="165" customFormat="1" hidden="1">
      <c r="A1268" s="165" t="s">
        <v>1712</v>
      </c>
      <c r="B1268" s="13">
        <v>43470</v>
      </c>
      <c r="C1268" s="13" t="s">
        <v>1622</v>
      </c>
      <c r="D1268" s="165" t="s">
        <v>1088</v>
      </c>
      <c r="E1268" s="165" t="s">
        <v>1086</v>
      </c>
      <c r="F1268" s="165" t="str">
        <f t="shared" si="183"/>
        <v>CONC_16.18_200_NL2018</v>
      </c>
      <c r="G1268" s="165" t="s">
        <v>43</v>
      </c>
      <c r="H1268" s="12"/>
      <c r="I1268" s="12" t="s">
        <v>35</v>
      </c>
      <c r="J1268" s="14">
        <v>200</v>
      </c>
      <c r="K1268" s="15" t="s">
        <v>28</v>
      </c>
      <c r="L1268" s="15"/>
      <c r="M1268" s="16">
        <f t="shared" si="184"/>
        <v>25</v>
      </c>
      <c r="N1268" s="15">
        <v>5000</v>
      </c>
      <c r="O1268" s="15">
        <v>4600</v>
      </c>
      <c r="P1268" s="15">
        <f t="shared" si="190"/>
        <v>23000000</v>
      </c>
      <c r="Q1268" s="15" t="str">
        <f t="shared" si="189"/>
        <v>Done</v>
      </c>
      <c r="R1268" s="18" t="s">
        <v>44</v>
      </c>
      <c r="S1268" s="117">
        <v>43480</v>
      </c>
      <c r="T1268" s="20">
        <f>IFERROR(VLOOKUP(S1268,'Date Converter'!$A$4:$C$368,3,0),"")</f>
        <v>43515</v>
      </c>
      <c r="U1268" s="21">
        <f t="shared" si="188"/>
        <v>43515</v>
      </c>
      <c r="V1268" s="12" t="s">
        <v>45</v>
      </c>
      <c r="W1268" s="18"/>
      <c r="X1268" s="18"/>
      <c r="Y1268" s="18"/>
      <c r="Z1268" s="210">
        <v>43515</v>
      </c>
      <c r="AA1268" s="15">
        <v>5000</v>
      </c>
      <c r="AB1268" s="210"/>
      <c r="AC1268" s="15"/>
      <c r="AD1268" s="15"/>
      <c r="AE1268" s="15"/>
      <c r="AF1268" s="244"/>
      <c r="AG1268" s="15"/>
      <c r="AH1268" s="15">
        <f t="shared" si="185"/>
        <v>5000</v>
      </c>
      <c r="AI1268" s="22">
        <f t="shared" si="186"/>
        <v>0</v>
      </c>
      <c r="AJ1268" s="22">
        <f t="shared" si="187"/>
        <v>0</v>
      </c>
      <c r="AK1268" s="13">
        <v>43872</v>
      </c>
    </row>
    <row r="1269" spans="1:38" s="165" customFormat="1" hidden="1">
      <c r="A1269" s="165" t="s">
        <v>1715</v>
      </c>
      <c r="B1269" s="13">
        <v>43536</v>
      </c>
      <c r="C1269" s="267" t="s">
        <v>1622</v>
      </c>
      <c r="D1269" s="258" t="s">
        <v>1088</v>
      </c>
      <c r="E1269" s="165" t="s">
        <v>1086</v>
      </c>
      <c r="F1269" s="165" t="str">
        <f t="shared" ref="F1269:F1332" si="191">SUBSTITUTE(LEFT(G1269,4)&amp;"_"&amp;H1269&amp;"_"&amp;I1269&amp;"_"&amp;J1269&amp;"_"&amp;K1269,"__","_")</f>
        <v>CONC_18.20_150_NL2018</v>
      </c>
      <c r="G1269" s="165" t="s">
        <v>40</v>
      </c>
      <c r="H1269" s="12"/>
      <c r="I1269" s="12" t="s">
        <v>27</v>
      </c>
      <c r="J1269" s="14">
        <v>150</v>
      </c>
      <c r="K1269" s="15" t="s">
        <v>28</v>
      </c>
      <c r="L1269" s="15"/>
      <c r="M1269" s="16">
        <f t="shared" ref="M1269:M1332" si="192">+N1269/J1269</f>
        <v>34</v>
      </c>
      <c r="N1269" s="15">
        <v>5100</v>
      </c>
      <c r="O1269" s="15">
        <v>8000</v>
      </c>
      <c r="P1269" s="15">
        <f t="shared" si="190"/>
        <v>40800000</v>
      </c>
      <c r="Q1269" s="15" t="str">
        <f t="shared" si="189"/>
        <v/>
      </c>
      <c r="R1269" s="18" t="s">
        <v>29</v>
      </c>
      <c r="S1269" s="117">
        <v>43709</v>
      </c>
      <c r="T1269" s="20">
        <f>IFERROR(VLOOKUP(S1269,'Date Converter'!$A$4:$C$368,3,0),"")</f>
        <v>43737</v>
      </c>
      <c r="U1269" s="21">
        <f t="shared" si="188"/>
        <v>43737</v>
      </c>
      <c r="V1269" s="12" t="s">
        <v>51</v>
      </c>
      <c r="W1269" s="18"/>
      <c r="X1269" s="18"/>
      <c r="Y1269" s="18"/>
      <c r="Z1269" s="210"/>
      <c r="AA1269" s="15">
        <v>0</v>
      </c>
      <c r="AB1269" s="210"/>
      <c r="AC1269" s="15"/>
      <c r="AD1269" s="15"/>
      <c r="AE1269" s="15"/>
      <c r="AF1269" s="244"/>
      <c r="AG1269" s="15"/>
      <c r="AH1269" s="15">
        <f t="shared" ref="AH1269:AH1332" si="193">+AA1269+AC1269+AE1269+AG1269</f>
        <v>0</v>
      </c>
      <c r="AI1269" s="22">
        <f t="shared" ref="AI1269:AI1332" si="194">+N1269-AH1269</f>
        <v>5100</v>
      </c>
      <c r="AJ1269" s="22">
        <f t="shared" ref="AJ1269:AJ1332" si="195">+AI1269*O1269</f>
        <v>40800000</v>
      </c>
      <c r="AK1269" s="13"/>
    </row>
    <row r="1270" spans="1:38" s="165" customFormat="1" hidden="1">
      <c r="A1270" s="165" t="s">
        <v>1715</v>
      </c>
      <c r="B1270" s="13">
        <v>43536</v>
      </c>
      <c r="C1270" s="267" t="s">
        <v>1622</v>
      </c>
      <c r="D1270" s="258" t="s">
        <v>1088</v>
      </c>
      <c r="E1270" s="165" t="s">
        <v>1086</v>
      </c>
      <c r="F1270" s="165" t="str">
        <f t="shared" si="191"/>
        <v>CONC_20.22_125_NL2018</v>
      </c>
      <c r="G1270" s="165" t="s">
        <v>40</v>
      </c>
      <c r="H1270" s="12"/>
      <c r="I1270" s="12" t="s">
        <v>74</v>
      </c>
      <c r="J1270" s="14">
        <v>125</v>
      </c>
      <c r="K1270" s="15" t="s">
        <v>28</v>
      </c>
      <c r="L1270" s="15"/>
      <c r="M1270" s="16">
        <f t="shared" si="192"/>
        <v>40</v>
      </c>
      <c r="N1270" s="15">
        <v>5000</v>
      </c>
      <c r="O1270" s="15">
        <v>10500</v>
      </c>
      <c r="P1270" s="15">
        <f t="shared" si="190"/>
        <v>52500000</v>
      </c>
      <c r="Q1270" s="15" t="str">
        <f t="shared" si="189"/>
        <v/>
      </c>
      <c r="R1270" s="18" t="s">
        <v>29</v>
      </c>
      <c r="S1270" s="117">
        <v>43709</v>
      </c>
      <c r="T1270" s="20">
        <f>IFERROR(VLOOKUP(S1270,'Date Converter'!$A$4:$C$368,3,0),"")</f>
        <v>43737</v>
      </c>
      <c r="U1270" s="21">
        <f t="shared" si="188"/>
        <v>43737</v>
      </c>
      <c r="V1270" s="12" t="s">
        <v>51</v>
      </c>
      <c r="W1270" s="18"/>
      <c r="X1270" s="18"/>
      <c r="Y1270" s="18"/>
      <c r="Z1270" s="210"/>
      <c r="AA1270" s="15">
        <v>0</v>
      </c>
      <c r="AB1270" s="210"/>
      <c r="AC1270" s="15"/>
      <c r="AD1270" s="15"/>
      <c r="AE1270" s="15"/>
      <c r="AF1270" s="244"/>
      <c r="AG1270" s="15"/>
      <c r="AH1270" s="15">
        <f t="shared" si="193"/>
        <v>0</v>
      </c>
      <c r="AI1270" s="22">
        <f t="shared" si="194"/>
        <v>5000</v>
      </c>
      <c r="AJ1270" s="22">
        <f t="shared" si="195"/>
        <v>52500000</v>
      </c>
      <c r="AK1270" s="13"/>
    </row>
    <row r="1271" spans="1:38" s="165" customFormat="1" hidden="1">
      <c r="A1271" s="165" t="s">
        <v>1716</v>
      </c>
      <c r="B1271" s="13">
        <v>43554</v>
      </c>
      <c r="C1271" s="267" t="s">
        <v>1622</v>
      </c>
      <c r="D1271" s="258" t="s">
        <v>1085</v>
      </c>
      <c r="E1271" s="13" t="s">
        <v>1086</v>
      </c>
      <c r="F1271" s="165" t="str">
        <f t="shared" si="191"/>
        <v>CONC_18.20_150_NL2018</v>
      </c>
      <c r="G1271" s="13" t="s">
        <v>40</v>
      </c>
      <c r="H1271" s="12"/>
      <c r="I1271" s="12" t="s">
        <v>27</v>
      </c>
      <c r="J1271" s="31" t="s">
        <v>126</v>
      </c>
      <c r="K1271" s="15" t="s">
        <v>28</v>
      </c>
      <c r="L1271" s="15"/>
      <c r="M1271" s="16">
        <f t="shared" si="192"/>
        <v>30</v>
      </c>
      <c r="N1271" s="15">
        <v>4500</v>
      </c>
      <c r="O1271" s="25">
        <v>8000</v>
      </c>
      <c r="P1271" s="15">
        <f t="shared" si="190"/>
        <v>36000000</v>
      </c>
      <c r="Q1271" s="15" t="str">
        <f t="shared" si="189"/>
        <v/>
      </c>
      <c r="R1271" s="18" t="s">
        <v>29</v>
      </c>
      <c r="S1271" s="117">
        <v>43709</v>
      </c>
      <c r="T1271" s="20">
        <f>IFERROR(VLOOKUP(S1271,'Date Converter'!$A$4:$C$368,3,0),"")</f>
        <v>43737</v>
      </c>
      <c r="U1271" s="21">
        <f t="shared" si="188"/>
        <v>43737</v>
      </c>
      <c r="V1271" s="12"/>
      <c r="W1271" s="18"/>
      <c r="X1271" s="18"/>
      <c r="Y1271" s="18"/>
      <c r="Z1271" s="206"/>
      <c r="AA1271" s="15">
        <v>0</v>
      </c>
      <c r="AB1271" s="206"/>
      <c r="AC1271" s="12"/>
      <c r="AD1271" s="12"/>
      <c r="AE1271" s="12"/>
      <c r="AF1271" s="245"/>
      <c r="AG1271" s="12"/>
      <c r="AH1271" s="15">
        <f t="shared" si="193"/>
        <v>0</v>
      </c>
      <c r="AI1271" s="22">
        <f t="shared" si="194"/>
        <v>4500</v>
      </c>
      <c r="AJ1271" s="22">
        <f t="shared" si="195"/>
        <v>36000000</v>
      </c>
    </row>
    <row r="1272" spans="1:38" s="165" customFormat="1" hidden="1">
      <c r="A1272" s="165" t="s">
        <v>1716</v>
      </c>
      <c r="B1272" s="13">
        <v>43554</v>
      </c>
      <c r="C1272" s="267" t="s">
        <v>1622</v>
      </c>
      <c r="D1272" s="258" t="s">
        <v>1085</v>
      </c>
      <c r="E1272" s="13" t="s">
        <v>1086</v>
      </c>
      <c r="F1272" s="165" t="str">
        <f t="shared" si="191"/>
        <v>CLAS_POT_10.12_500_NL2018</v>
      </c>
      <c r="G1272" s="13" t="s">
        <v>1723</v>
      </c>
      <c r="H1272" s="12" t="s">
        <v>1720</v>
      </c>
      <c r="I1272" s="12" t="s">
        <v>1721</v>
      </c>
      <c r="J1272" s="31" t="s">
        <v>1722</v>
      </c>
      <c r="K1272" s="15" t="s">
        <v>28</v>
      </c>
      <c r="L1272" s="15"/>
      <c r="M1272" s="33">
        <f t="shared" si="192"/>
        <v>48</v>
      </c>
      <c r="N1272" s="15">
        <v>24000</v>
      </c>
      <c r="O1272" s="15">
        <v>3500</v>
      </c>
      <c r="P1272" s="15">
        <f t="shared" si="190"/>
        <v>84000000</v>
      </c>
      <c r="Q1272" s="15" t="str">
        <f t="shared" si="189"/>
        <v/>
      </c>
      <c r="R1272" s="18" t="s">
        <v>29</v>
      </c>
      <c r="S1272" s="117">
        <v>43709</v>
      </c>
      <c r="T1272" s="20">
        <f>IFERROR(VLOOKUP(S1272,'Date Converter'!$A$4:$C$368,3,0),"")</f>
        <v>43737</v>
      </c>
      <c r="U1272" s="21">
        <f t="shared" si="188"/>
        <v>43737</v>
      </c>
      <c r="V1272" s="12"/>
      <c r="W1272" s="18"/>
      <c r="X1272" s="18"/>
      <c r="Y1272" s="18"/>
      <c r="Z1272" s="206"/>
      <c r="AA1272" s="15">
        <v>0</v>
      </c>
      <c r="AB1272" s="206"/>
      <c r="AC1272" s="12"/>
      <c r="AD1272" s="12"/>
      <c r="AE1272" s="12"/>
      <c r="AF1272" s="245"/>
      <c r="AG1272" s="12"/>
      <c r="AH1272" s="15">
        <f t="shared" si="193"/>
        <v>0</v>
      </c>
      <c r="AI1272" s="22">
        <f t="shared" si="194"/>
        <v>24000</v>
      </c>
      <c r="AJ1272" s="22">
        <f t="shared" si="195"/>
        <v>84000000</v>
      </c>
    </row>
    <row r="1273" spans="1:38" s="165" customFormat="1" hidden="1">
      <c r="A1273" s="165" t="s">
        <v>1716</v>
      </c>
      <c r="B1273" s="13">
        <v>43554</v>
      </c>
      <c r="C1273" s="267" t="s">
        <v>1622</v>
      </c>
      <c r="D1273" s="258" t="s">
        <v>1085</v>
      </c>
      <c r="E1273" s="13" t="s">
        <v>1086</v>
      </c>
      <c r="F1273" s="165" t="str">
        <f t="shared" si="191"/>
        <v>CLAS_POT_12.14_400_NL2018</v>
      </c>
      <c r="G1273" s="13" t="s">
        <v>1723</v>
      </c>
      <c r="H1273" s="12" t="s">
        <v>1720</v>
      </c>
      <c r="I1273" s="12" t="s">
        <v>113</v>
      </c>
      <c r="J1273" s="31" t="s">
        <v>128</v>
      </c>
      <c r="K1273" s="15" t="s">
        <v>28</v>
      </c>
      <c r="L1273" s="15"/>
      <c r="M1273" s="33">
        <f t="shared" si="192"/>
        <v>10</v>
      </c>
      <c r="N1273" s="15">
        <v>4000</v>
      </c>
      <c r="O1273" s="15">
        <v>5200</v>
      </c>
      <c r="P1273" s="15">
        <f t="shared" si="190"/>
        <v>20800000</v>
      </c>
      <c r="Q1273" s="15" t="str">
        <f t="shared" si="189"/>
        <v/>
      </c>
      <c r="R1273" s="18" t="s">
        <v>29</v>
      </c>
      <c r="S1273" s="117">
        <v>43709</v>
      </c>
      <c r="T1273" s="20">
        <f>IFERROR(VLOOKUP(S1273,'Date Converter'!$A$4:$C$368,3,0),"")</f>
        <v>43737</v>
      </c>
      <c r="U1273" s="21">
        <f t="shared" si="188"/>
        <v>43737</v>
      </c>
      <c r="V1273" s="12"/>
      <c r="W1273" s="18"/>
      <c r="X1273" s="18"/>
      <c r="Y1273" s="18"/>
      <c r="Z1273" s="206"/>
      <c r="AA1273" s="15">
        <v>0</v>
      </c>
      <c r="AB1273" s="206"/>
      <c r="AC1273" s="12"/>
      <c r="AD1273" s="12"/>
      <c r="AE1273" s="12"/>
      <c r="AF1273" s="245"/>
      <c r="AG1273" s="12"/>
      <c r="AH1273" s="15">
        <f t="shared" si="193"/>
        <v>0</v>
      </c>
      <c r="AI1273" s="22">
        <f t="shared" si="194"/>
        <v>4000</v>
      </c>
      <c r="AJ1273" s="22">
        <f t="shared" si="195"/>
        <v>20800000</v>
      </c>
      <c r="AL1273" s="165" t="s">
        <v>109</v>
      </c>
    </row>
    <row r="1274" spans="1:38" s="165" customFormat="1" hidden="1">
      <c r="A1274" s="165" t="s">
        <v>1716</v>
      </c>
      <c r="B1274" s="13">
        <v>43554</v>
      </c>
      <c r="C1274" s="267" t="s">
        <v>1622</v>
      </c>
      <c r="D1274" s="258" t="s">
        <v>1085</v>
      </c>
      <c r="E1274" s="13" t="s">
        <v>1086</v>
      </c>
      <c r="F1274" s="165" t="str">
        <f t="shared" si="191"/>
        <v>BUZZ_POT_10.12_500_NL2018</v>
      </c>
      <c r="G1274" s="13" t="s">
        <v>1719</v>
      </c>
      <c r="H1274" s="12" t="s">
        <v>1720</v>
      </c>
      <c r="I1274" s="12" t="s">
        <v>1721</v>
      </c>
      <c r="J1274" s="31" t="s">
        <v>1722</v>
      </c>
      <c r="K1274" s="15" t="s">
        <v>28</v>
      </c>
      <c r="L1274" s="15"/>
      <c r="M1274" s="33">
        <f t="shared" si="192"/>
        <v>10</v>
      </c>
      <c r="N1274" s="15">
        <v>5000</v>
      </c>
      <c r="O1274" s="15">
        <v>3500</v>
      </c>
      <c r="P1274" s="15">
        <f t="shared" si="190"/>
        <v>17500000</v>
      </c>
      <c r="Q1274" s="15" t="str">
        <f t="shared" si="189"/>
        <v/>
      </c>
      <c r="R1274" s="18" t="s">
        <v>29</v>
      </c>
      <c r="S1274" s="117">
        <v>43709</v>
      </c>
      <c r="T1274" s="20">
        <f>IFERROR(VLOOKUP(S1274,'Date Converter'!$A$4:$C$368,3,0),"")</f>
        <v>43737</v>
      </c>
      <c r="U1274" s="21">
        <f t="shared" ref="U1274:U1337" si="196">+T1274</f>
        <v>43737</v>
      </c>
      <c r="V1274" s="12"/>
      <c r="W1274" s="18"/>
      <c r="X1274" s="18"/>
      <c r="Y1274" s="18"/>
      <c r="Z1274" s="206"/>
      <c r="AA1274" s="15">
        <v>0</v>
      </c>
      <c r="AB1274" s="206"/>
      <c r="AC1274" s="12"/>
      <c r="AD1274" s="12"/>
      <c r="AE1274" s="12"/>
      <c r="AF1274" s="245"/>
      <c r="AG1274" s="12"/>
      <c r="AH1274" s="15">
        <f t="shared" si="193"/>
        <v>0</v>
      </c>
      <c r="AI1274" s="22">
        <f t="shared" si="194"/>
        <v>5000</v>
      </c>
      <c r="AJ1274" s="22">
        <f t="shared" si="195"/>
        <v>17500000</v>
      </c>
    </row>
    <row r="1275" spans="1:38" s="165" customFormat="1" hidden="1">
      <c r="A1275" s="165" t="s">
        <v>1712</v>
      </c>
      <c r="B1275" s="13">
        <v>43470</v>
      </c>
      <c r="C1275" s="13" t="s">
        <v>1622</v>
      </c>
      <c r="D1275" s="165" t="s">
        <v>1088</v>
      </c>
      <c r="E1275" s="165" t="s">
        <v>1086</v>
      </c>
      <c r="F1275" s="165" t="str">
        <f t="shared" si="191"/>
        <v>ARVA_16.18_200_NL2018</v>
      </c>
      <c r="G1275" s="165" t="s">
        <v>85</v>
      </c>
      <c r="H1275" s="12"/>
      <c r="I1275" s="12" t="s">
        <v>35</v>
      </c>
      <c r="J1275" s="14">
        <v>200</v>
      </c>
      <c r="K1275" s="15" t="s">
        <v>28</v>
      </c>
      <c r="L1275" s="15"/>
      <c r="M1275" s="16">
        <f t="shared" si="192"/>
        <v>125</v>
      </c>
      <c r="N1275" s="15">
        <f>30000-5000</f>
        <v>25000</v>
      </c>
      <c r="O1275" s="15">
        <v>5500</v>
      </c>
      <c r="P1275" s="15">
        <f t="shared" si="190"/>
        <v>137500000</v>
      </c>
      <c r="Q1275" s="15" t="str">
        <f t="shared" si="189"/>
        <v>Done</v>
      </c>
      <c r="R1275" s="18" t="s">
        <v>44</v>
      </c>
      <c r="S1275" s="117">
        <v>43539</v>
      </c>
      <c r="T1275" s="20">
        <f>IFERROR(VLOOKUP(S1275,'Date Converter'!$A$4:$C$368,3,0),"")</f>
        <v>43574</v>
      </c>
      <c r="U1275" s="21">
        <f t="shared" si="196"/>
        <v>43574</v>
      </c>
      <c r="V1275" s="12" t="s">
        <v>57</v>
      </c>
      <c r="W1275" s="18" t="s">
        <v>86</v>
      </c>
      <c r="X1275" s="18"/>
      <c r="Y1275" s="18"/>
      <c r="Z1275" s="210">
        <v>43578</v>
      </c>
      <c r="AA1275" s="15">
        <f>10000</f>
        <v>10000</v>
      </c>
      <c r="AB1275" s="210">
        <v>43591</v>
      </c>
      <c r="AC1275" s="15">
        <v>5000</v>
      </c>
      <c r="AD1275" s="210">
        <v>43609</v>
      </c>
      <c r="AE1275" s="15">
        <f>5000+5000</f>
        <v>10000</v>
      </c>
      <c r="AF1275" s="244"/>
      <c r="AG1275" s="15"/>
      <c r="AH1275" s="15">
        <f t="shared" si="193"/>
        <v>25000</v>
      </c>
      <c r="AI1275" s="22">
        <f t="shared" si="194"/>
        <v>0</v>
      </c>
      <c r="AJ1275" s="22">
        <f t="shared" si="195"/>
        <v>0</v>
      </c>
      <c r="AK1275" s="13"/>
      <c r="AL1275" s="165" t="s">
        <v>109</v>
      </c>
    </row>
    <row r="1276" spans="1:38" s="165" customFormat="1" hidden="1">
      <c r="A1276" s="165" t="s">
        <v>1713</v>
      </c>
      <c r="B1276" s="13">
        <v>43536</v>
      </c>
      <c r="C1276" s="13" t="s">
        <v>1622</v>
      </c>
      <c r="D1276" s="165" t="s">
        <v>1088</v>
      </c>
      <c r="E1276" s="165" t="s">
        <v>1086</v>
      </c>
      <c r="F1276" s="165" t="str">
        <f t="shared" si="191"/>
        <v>ARVA_16.18_200_NL2018</v>
      </c>
      <c r="G1276" s="165" t="s">
        <v>85</v>
      </c>
      <c r="H1276" s="12"/>
      <c r="I1276" s="12" t="s">
        <v>35</v>
      </c>
      <c r="J1276" s="14">
        <v>200</v>
      </c>
      <c r="K1276" s="15" t="s">
        <v>28</v>
      </c>
      <c r="L1276" s="15"/>
      <c r="M1276" s="16">
        <f t="shared" si="192"/>
        <v>0</v>
      </c>
      <c r="N1276" s="15">
        <f>10000-10000</f>
        <v>0</v>
      </c>
      <c r="O1276" s="15">
        <f>5500+170</f>
        <v>5670</v>
      </c>
      <c r="P1276" s="15">
        <f t="shared" si="190"/>
        <v>0</v>
      </c>
      <c r="Q1276" s="15" t="str">
        <f t="shared" si="189"/>
        <v>Canceled</v>
      </c>
      <c r="R1276" s="18" t="s">
        <v>71</v>
      </c>
      <c r="S1276" s="117">
        <v>43572</v>
      </c>
      <c r="T1276" s="20">
        <f>IFERROR(VLOOKUP(S1276,'Date Converter'!$A$4:$C$368,3,0),"")</f>
        <v>43606</v>
      </c>
      <c r="U1276" s="21">
        <f t="shared" si="196"/>
        <v>43606</v>
      </c>
      <c r="V1276" s="27" t="s">
        <v>36</v>
      </c>
      <c r="W1276" s="18"/>
      <c r="X1276" s="18"/>
      <c r="Y1276" s="18"/>
      <c r="Z1276" s="210"/>
      <c r="AA1276" s="15">
        <v>0</v>
      </c>
      <c r="AB1276" s="210"/>
      <c r="AC1276" s="15"/>
      <c r="AD1276" s="210"/>
      <c r="AE1276" s="15"/>
      <c r="AF1276" s="244"/>
      <c r="AG1276" s="15"/>
      <c r="AH1276" s="15">
        <f t="shared" si="193"/>
        <v>0</v>
      </c>
      <c r="AI1276" s="22">
        <f t="shared" si="194"/>
        <v>0</v>
      </c>
      <c r="AJ1276" s="22">
        <f t="shared" si="195"/>
        <v>0</v>
      </c>
      <c r="AK1276" s="13"/>
    </row>
    <row r="1277" spans="1:38" s="165" customFormat="1" hidden="1">
      <c r="A1277" s="165" t="s">
        <v>1713</v>
      </c>
      <c r="B1277" s="13">
        <v>43628</v>
      </c>
      <c r="C1277" s="13" t="s">
        <v>1622</v>
      </c>
      <c r="D1277" s="165" t="s">
        <v>1088</v>
      </c>
      <c r="E1277" s="165" t="s">
        <v>1086</v>
      </c>
      <c r="F1277" s="165" t="str">
        <f t="shared" si="191"/>
        <v>ARVA_16.18_200_NL2018</v>
      </c>
      <c r="G1277" s="165" t="s">
        <v>85</v>
      </c>
      <c r="H1277" s="12"/>
      <c r="I1277" s="12" t="s">
        <v>35</v>
      </c>
      <c r="J1277" s="14">
        <v>200</v>
      </c>
      <c r="K1277" s="15" t="s">
        <v>28</v>
      </c>
      <c r="L1277" s="15"/>
      <c r="M1277" s="16">
        <f t="shared" si="192"/>
        <v>25</v>
      </c>
      <c r="N1277" s="15">
        <v>5000</v>
      </c>
      <c r="O1277" s="15">
        <v>5200</v>
      </c>
      <c r="P1277" s="15">
        <f t="shared" si="190"/>
        <v>26000000</v>
      </c>
      <c r="Q1277" s="15" t="str">
        <f t="shared" si="189"/>
        <v>Done</v>
      </c>
      <c r="R1277" s="18" t="s">
        <v>44</v>
      </c>
      <c r="S1277" s="117">
        <v>43572</v>
      </c>
      <c r="T1277" s="20">
        <f>IFERROR(VLOOKUP(S1277,'Date Converter'!$A$4:$C$368,3,0),"")</f>
        <v>43606</v>
      </c>
      <c r="U1277" s="21">
        <f t="shared" si="196"/>
        <v>43606</v>
      </c>
      <c r="V1277" s="27"/>
      <c r="W1277" s="18"/>
      <c r="X1277" s="18"/>
      <c r="Y1277" s="18"/>
      <c r="Z1277" s="210">
        <v>43637</v>
      </c>
      <c r="AA1277" s="15">
        <v>5000</v>
      </c>
      <c r="AB1277" s="210"/>
      <c r="AC1277" s="15"/>
      <c r="AD1277" s="210"/>
      <c r="AE1277" s="15"/>
      <c r="AF1277" s="244"/>
      <c r="AG1277" s="15"/>
      <c r="AH1277" s="15">
        <f t="shared" si="193"/>
        <v>5000</v>
      </c>
      <c r="AI1277" s="22">
        <f t="shared" si="194"/>
        <v>0</v>
      </c>
      <c r="AJ1277" s="22">
        <f t="shared" si="195"/>
        <v>0</v>
      </c>
      <c r="AK1277" s="13"/>
      <c r="AL1277" s="165" t="s">
        <v>109</v>
      </c>
    </row>
    <row r="1278" spans="1:38" s="165" customFormat="1" hidden="1">
      <c r="A1278" s="165" t="s">
        <v>1713</v>
      </c>
      <c r="B1278" s="13">
        <v>43628</v>
      </c>
      <c r="C1278" s="13" t="s">
        <v>1622</v>
      </c>
      <c r="D1278" s="165" t="s">
        <v>1088</v>
      </c>
      <c r="E1278" s="165" t="s">
        <v>1086</v>
      </c>
      <c r="F1278" s="165" t="str">
        <f t="shared" si="191"/>
        <v>ARVA_16.18_200_NL2018</v>
      </c>
      <c r="G1278" s="165" t="s">
        <v>85</v>
      </c>
      <c r="H1278" s="12"/>
      <c r="I1278" s="12" t="s">
        <v>35</v>
      </c>
      <c r="J1278" s="14">
        <v>200</v>
      </c>
      <c r="K1278" s="15" t="s">
        <v>28</v>
      </c>
      <c r="L1278" s="15"/>
      <c r="M1278" s="16">
        <f t="shared" si="192"/>
        <v>25</v>
      </c>
      <c r="N1278" s="15">
        <v>5000</v>
      </c>
      <c r="O1278" s="15">
        <v>5200</v>
      </c>
      <c r="P1278" s="15">
        <f t="shared" si="190"/>
        <v>26000000</v>
      </c>
      <c r="Q1278" s="15" t="str">
        <f t="shared" si="189"/>
        <v>Done</v>
      </c>
      <c r="R1278" s="18" t="s">
        <v>44</v>
      </c>
      <c r="S1278" s="117">
        <v>43572</v>
      </c>
      <c r="T1278" s="20">
        <f>IFERROR(VLOOKUP(S1278,'Date Converter'!$A$4:$C$368,3,0),"")</f>
        <v>43606</v>
      </c>
      <c r="U1278" s="21">
        <f t="shared" si="196"/>
        <v>43606</v>
      </c>
      <c r="V1278" s="27" t="s">
        <v>1875</v>
      </c>
      <c r="W1278" s="18"/>
      <c r="X1278" s="18"/>
      <c r="Y1278" s="18"/>
      <c r="Z1278" s="210">
        <v>43642</v>
      </c>
      <c r="AA1278" s="15">
        <v>5000</v>
      </c>
      <c r="AB1278" s="210"/>
      <c r="AC1278" s="15"/>
      <c r="AD1278" s="210"/>
      <c r="AE1278" s="15"/>
      <c r="AF1278" s="244"/>
      <c r="AG1278" s="15"/>
      <c r="AH1278" s="15">
        <f t="shared" si="193"/>
        <v>5000</v>
      </c>
      <c r="AI1278" s="22">
        <f t="shared" si="194"/>
        <v>0</v>
      </c>
      <c r="AJ1278" s="22">
        <f t="shared" si="195"/>
        <v>0</v>
      </c>
      <c r="AK1278" s="13"/>
    </row>
    <row r="1279" spans="1:38" s="165" customFormat="1" hidden="1">
      <c r="A1279" s="165" t="s">
        <v>1713</v>
      </c>
      <c r="B1279" s="13">
        <v>43628</v>
      </c>
      <c r="C1279" s="13" t="s">
        <v>1622</v>
      </c>
      <c r="D1279" s="165" t="s">
        <v>1088</v>
      </c>
      <c r="E1279" s="165" t="s">
        <v>1086</v>
      </c>
      <c r="F1279" s="165" t="str">
        <f t="shared" si="191"/>
        <v>ARVA_16.18_200_NL2018</v>
      </c>
      <c r="G1279" s="165" t="s">
        <v>85</v>
      </c>
      <c r="H1279" s="12"/>
      <c r="I1279" s="12" t="s">
        <v>35</v>
      </c>
      <c r="J1279" s="14">
        <v>200</v>
      </c>
      <c r="K1279" s="15" t="s">
        <v>28</v>
      </c>
      <c r="L1279" s="15"/>
      <c r="M1279" s="16">
        <f t="shared" si="192"/>
        <v>9</v>
      </c>
      <c r="N1279" s="15">
        <v>1800</v>
      </c>
      <c r="O1279" s="15">
        <v>5500</v>
      </c>
      <c r="P1279" s="15">
        <f t="shared" si="190"/>
        <v>9900000</v>
      </c>
      <c r="Q1279" s="15" t="str">
        <f t="shared" si="189"/>
        <v>Done</v>
      </c>
      <c r="R1279" s="18" t="s">
        <v>44</v>
      </c>
      <c r="S1279" s="117">
        <v>43590</v>
      </c>
      <c r="T1279" s="20">
        <f>IFERROR(VLOOKUP(S1279,'Date Converter'!$A$4:$C$368,3,0),"")</f>
        <v>43623</v>
      </c>
      <c r="U1279" s="21">
        <f t="shared" si="196"/>
        <v>43623</v>
      </c>
      <c r="V1279" s="27" t="s">
        <v>36</v>
      </c>
      <c r="W1279" s="18"/>
      <c r="X1279" s="18"/>
      <c r="Y1279" s="18"/>
      <c r="Z1279" s="210">
        <v>43628</v>
      </c>
      <c r="AA1279" s="15">
        <v>1800</v>
      </c>
      <c r="AB1279" s="210"/>
      <c r="AC1279" s="15"/>
      <c r="AD1279" s="210"/>
      <c r="AE1279" s="15"/>
      <c r="AF1279" s="244"/>
      <c r="AG1279" s="15"/>
      <c r="AH1279" s="15">
        <f t="shared" si="193"/>
        <v>1800</v>
      </c>
      <c r="AI1279" s="22">
        <f t="shared" si="194"/>
        <v>0</v>
      </c>
      <c r="AJ1279" s="22">
        <f t="shared" si="195"/>
        <v>0</v>
      </c>
      <c r="AK1279" s="13"/>
      <c r="AL1279" s="165" t="s">
        <v>109</v>
      </c>
    </row>
    <row r="1280" spans="1:38" s="165" customFormat="1" hidden="1">
      <c r="A1280" s="165" t="s">
        <v>1713</v>
      </c>
      <c r="B1280" s="13">
        <v>43536</v>
      </c>
      <c r="C1280" s="13" t="s">
        <v>1622</v>
      </c>
      <c r="D1280" s="165" t="s">
        <v>1088</v>
      </c>
      <c r="E1280" s="165" t="s">
        <v>1086</v>
      </c>
      <c r="F1280" s="165" t="str">
        <f t="shared" si="191"/>
        <v>ARVA_16.18_200_NL2018</v>
      </c>
      <c r="G1280" s="165" t="s">
        <v>85</v>
      </c>
      <c r="H1280" s="12"/>
      <c r="I1280" s="12" t="s">
        <v>35</v>
      </c>
      <c r="J1280" s="14">
        <v>200</v>
      </c>
      <c r="K1280" s="15" t="s">
        <v>28</v>
      </c>
      <c r="L1280" s="15"/>
      <c r="M1280" s="16">
        <f t="shared" si="192"/>
        <v>0</v>
      </c>
      <c r="N1280" s="15">
        <f>10000-10000</f>
        <v>0</v>
      </c>
      <c r="O1280" s="15">
        <v>5600</v>
      </c>
      <c r="P1280" s="15">
        <f t="shared" si="190"/>
        <v>0</v>
      </c>
      <c r="Q1280" s="15" t="str">
        <f t="shared" si="189"/>
        <v>Canceled</v>
      </c>
      <c r="R1280" s="18" t="s">
        <v>71</v>
      </c>
      <c r="S1280" s="117">
        <v>43584</v>
      </c>
      <c r="T1280" s="20">
        <f>IFERROR(VLOOKUP(S1280,'Date Converter'!$A$4:$C$368,3,0),"")</f>
        <v>43618</v>
      </c>
      <c r="U1280" s="21">
        <f t="shared" si="196"/>
        <v>43618</v>
      </c>
      <c r="V1280" s="27" t="s">
        <v>443</v>
      </c>
      <c r="W1280" s="18"/>
      <c r="X1280" s="18"/>
      <c r="Y1280" s="18"/>
      <c r="Z1280" s="210"/>
      <c r="AA1280" s="15">
        <v>0</v>
      </c>
      <c r="AB1280" s="210"/>
      <c r="AC1280" s="15"/>
      <c r="AD1280" s="15"/>
      <c r="AE1280" s="15"/>
      <c r="AF1280" s="244"/>
      <c r="AG1280" s="15"/>
      <c r="AH1280" s="15">
        <f t="shared" si="193"/>
        <v>0</v>
      </c>
      <c r="AI1280" s="22">
        <f t="shared" si="194"/>
        <v>0</v>
      </c>
      <c r="AJ1280" s="22">
        <f t="shared" si="195"/>
        <v>0</v>
      </c>
      <c r="AK1280" s="13"/>
    </row>
    <row r="1281" spans="1:38" s="165" customFormat="1" hidden="1">
      <c r="A1281" s="165" t="s">
        <v>1715</v>
      </c>
      <c r="B1281" s="13">
        <v>43536</v>
      </c>
      <c r="C1281" s="267" t="s">
        <v>1622</v>
      </c>
      <c r="D1281" s="258" t="s">
        <v>1088</v>
      </c>
      <c r="E1281" s="165" t="s">
        <v>1086</v>
      </c>
      <c r="F1281" s="165" t="str">
        <f t="shared" si="191"/>
        <v>ARVA_18.20_150_NL2018</v>
      </c>
      <c r="G1281" s="165" t="s">
        <v>85</v>
      </c>
      <c r="H1281" s="12"/>
      <c r="I1281" s="12" t="s">
        <v>27</v>
      </c>
      <c r="J1281" s="14">
        <v>150</v>
      </c>
      <c r="K1281" s="15" t="s">
        <v>28</v>
      </c>
      <c r="L1281" s="15"/>
      <c r="M1281" s="16">
        <f t="shared" si="192"/>
        <v>67</v>
      </c>
      <c r="N1281" s="15">
        <v>10050</v>
      </c>
      <c r="O1281" s="15">
        <v>8500</v>
      </c>
      <c r="P1281" s="15">
        <f t="shared" si="190"/>
        <v>85425000</v>
      </c>
      <c r="Q1281" s="15" t="str">
        <f t="shared" si="189"/>
        <v/>
      </c>
      <c r="R1281" s="18" t="s">
        <v>29</v>
      </c>
      <c r="S1281" s="117">
        <v>43709</v>
      </c>
      <c r="T1281" s="20">
        <f>IFERROR(VLOOKUP(S1281,'Date Converter'!$A$4:$C$368,3,0),"")</f>
        <v>43737</v>
      </c>
      <c r="U1281" s="21">
        <f t="shared" si="196"/>
        <v>43737</v>
      </c>
      <c r="V1281" s="12" t="s">
        <v>51</v>
      </c>
      <c r="W1281" s="18"/>
      <c r="X1281" s="18"/>
      <c r="Y1281" s="18"/>
      <c r="Z1281" s="210"/>
      <c r="AA1281" s="15">
        <v>0</v>
      </c>
      <c r="AB1281" s="210"/>
      <c r="AC1281" s="15"/>
      <c r="AD1281" s="15"/>
      <c r="AE1281" s="15"/>
      <c r="AF1281" s="244"/>
      <c r="AG1281" s="15"/>
      <c r="AH1281" s="15">
        <f t="shared" si="193"/>
        <v>0</v>
      </c>
      <c r="AI1281" s="22">
        <f t="shared" si="194"/>
        <v>10050</v>
      </c>
      <c r="AJ1281" s="22">
        <f t="shared" si="195"/>
        <v>85425000</v>
      </c>
      <c r="AK1281" s="13"/>
    </row>
    <row r="1282" spans="1:38" s="165" customFormat="1" hidden="1">
      <c r="A1282" s="165" t="s">
        <v>1713</v>
      </c>
      <c r="B1282" s="13">
        <v>43536</v>
      </c>
      <c r="C1282" s="13" t="s">
        <v>1622</v>
      </c>
      <c r="D1282" s="165" t="s">
        <v>1088</v>
      </c>
      <c r="E1282" s="165" t="s">
        <v>1086</v>
      </c>
      <c r="F1282" s="165" t="str">
        <f t="shared" si="191"/>
        <v>AMAT_14.16_300_NL2018</v>
      </c>
      <c r="G1282" s="165" t="s">
        <v>112</v>
      </c>
      <c r="H1282" s="12"/>
      <c r="I1282" s="12" t="s">
        <v>47</v>
      </c>
      <c r="J1282" s="14">
        <v>300</v>
      </c>
      <c r="K1282" s="15" t="s">
        <v>28</v>
      </c>
      <c r="L1282" s="15"/>
      <c r="M1282" s="16">
        <f t="shared" si="192"/>
        <v>0</v>
      </c>
      <c r="N1282" s="15">
        <f>10200-10200</f>
        <v>0</v>
      </c>
      <c r="O1282" s="15">
        <v>4400</v>
      </c>
      <c r="P1282" s="15">
        <f t="shared" si="190"/>
        <v>0</v>
      </c>
      <c r="Q1282" s="15" t="str">
        <f t="shared" si="189"/>
        <v>Canceled</v>
      </c>
      <c r="R1282" s="18" t="s">
        <v>71</v>
      </c>
      <c r="S1282" s="117">
        <v>43584</v>
      </c>
      <c r="T1282" s="20">
        <f>IFERROR(VLOOKUP(S1282,'Date Converter'!$A$4:$C$368,3,0),"")</f>
        <v>43618</v>
      </c>
      <c r="U1282" s="21">
        <f t="shared" si="196"/>
        <v>43618</v>
      </c>
      <c r="V1282" s="27" t="s">
        <v>443</v>
      </c>
      <c r="W1282" s="18"/>
      <c r="X1282" s="18"/>
      <c r="Y1282" s="18"/>
      <c r="Z1282" s="210"/>
      <c r="AA1282" s="15">
        <v>0</v>
      </c>
      <c r="AB1282" s="210"/>
      <c r="AC1282" s="15"/>
      <c r="AD1282" s="15"/>
      <c r="AE1282" s="15"/>
      <c r="AF1282" s="244"/>
      <c r="AG1282" s="15"/>
      <c r="AH1282" s="15">
        <f t="shared" si="193"/>
        <v>0</v>
      </c>
      <c r="AI1282" s="22">
        <f t="shared" si="194"/>
        <v>0</v>
      </c>
      <c r="AJ1282" s="22">
        <f t="shared" si="195"/>
        <v>0</v>
      </c>
      <c r="AK1282" s="13"/>
    </row>
    <row r="1283" spans="1:38" s="165" customFormat="1" hidden="1">
      <c r="A1283" s="165" t="s">
        <v>483</v>
      </c>
      <c r="B1283" s="13">
        <v>43539</v>
      </c>
      <c r="C1283" s="13" t="s">
        <v>23</v>
      </c>
      <c r="D1283" s="165" t="s">
        <v>212</v>
      </c>
      <c r="E1283" s="13" t="s">
        <v>213</v>
      </c>
      <c r="F1283" s="165" t="str">
        <f t="shared" si="191"/>
        <v>YELL_12.14_400_NL2018</v>
      </c>
      <c r="G1283" s="13" t="s">
        <v>89</v>
      </c>
      <c r="H1283" s="12"/>
      <c r="I1283" s="12" t="s">
        <v>113</v>
      </c>
      <c r="J1283" s="31" t="s">
        <v>128</v>
      </c>
      <c r="K1283" s="15" t="s">
        <v>28</v>
      </c>
      <c r="L1283" s="15"/>
      <c r="M1283" s="16">
        <f t="shared" si="192"/>
        <v>12</v>
      </c>
      <c r="N1283" s="15">
        <v>4800</v>
      </c>
      <c r="O1283" s="15">
        <v>2600</v>
      </c>
      <c r="P1283" s="15">
        <f t="shared" ref="P1283:P1346" si="197">+O1283*N1283</f>
        <v>12480000</v>
      </c>
      <c r="Q1283" s="15" t="str">
        <f t="shared" ref="Q1283:Q1346" si="198">IF(AND(N1283=0,AI1283=0),"Canceled",IF(AND(N1283&gt;0,AI1283=0),"Done",""))</f>
        <v>Done</v>
      </c>
      <c r="R1283" s="18" t="s">
        <v>44</v>
      </c>
      <c r="S1283" s="23">
        <v>43524</v>
      </c>
      <c r="T1283" s="20">
        <f>IFERROR(VLOOKUP(S1283,'Date Converter'!$A$4:$C$368,3,0),"")</f>
        <v>43557</v>
      </c>
      <c r="U1283" s="21">
        <f t="shared" si="196"/>
        <v>43557</v>
      </c>
      <c r="V1283" s="12"/>
      <c r="W1283" s="18"/>
      <c r="X1283" s="18"/>
      <c r="Y1283" s="12"/>
      <c r="Z1283" s="206">
        <v>43577</v>
      </c>
      <c r="AA1283" s="15">
        <v>4800</v>
      </c>
      <c r="AB1283" s="206"/>
      <c r="AC1283" s="12"/>
      <c r="AD1283" s="206"/>
      <c r="AE1283" s="12"/>
      <c r="AF1283" s="245"/>
      <c r="AG1283" s="12"/>
      <c r="AH1283" s="15">
        <f t="shared" si="193"/>
        <v>4800</v>
      </c>
      <c r="AI1283" s="22">
        <f t="shared" si="194"/>
        <v>0</v>
      </c>
      <c r="AJ1283" s="22">
        <f t="shared" si="195"/>
        <v>0</v>
      </c>
    </row>
    <row r="1284" spans="1:38" s="165" customFormat="1" hidden="1">
      <c r="A1284" s="165" t="s">
        <v>483</v>
      </c>
      <c r="B1284" s="13">
        <v>43539</v>
      </c>
      <c r="C1284" s="13" t="s">
        <v>23</v>
      </c>
      <c r="D1284" s="165" t="s">
        <v>212</v>
      </c>
      <c r="E1284" s="119" t="s">
        <v>213</v>
      </c>
      <c r="F1284" s="165" t="str">
        <f t="shared" si="191"/>
        <v>YELL_12.14_400_NL2018</v>
      </c>
      <c r="G1284" s="13" t="s">
        <v>89</v>
      </c>
      <c r="H1284" s="12"/>
      <c r="I1284" s="12" t="s">
        <v>113</v>
      </c>
      <c r="J1284" s="31" t="s">
        <v>128</v>
      </c>
      <c r="K1284" s="15" t="s">
        <v>28</v>
      </c>
      <c r="L1284" s="15"/>
      <c r="M1284" s="16">
        <f t="shared" si="192"/>
        <v>9</v>
      </c>
      <c r="N1284" s="15">
        <v>3600</v>
      </c>
      <c r="O1284" s="15">
        <v>2700</v>
      </c>
      <c r="P1284" s="15">
        <f t="shared" si="197"/>
        <v>9720000</v>
      </c>
      <c r="Q1284" s="15" t="str">
        <f t="shared" si="198"/>
        <v>Done</v>
      </c>
      <c r="R1284" s="18" t="s">
        <v>44</v>
      </c>
      <c r="S1284" s="23">
        <v>43539</v>
      </c>
      <c r="T1284" s="20">
        <f>IFERROR(VLOOKUP(S1284,'Date Converter'!$A$4:$C$368,3,0),"")</f>
        <v>43574</v>
      </c>
      <c r="U1284" s="21">
        <f t="shared" si="196"/>
        <v>43574</v>
      </c>
      <c r="V1284" s="12"/>
      <c r="W1284" s="18"/>
      <c r="X1284" s="18"/>
      <c r="Y1284" s="12"/>
      <c r="Z1284" s="206">
        <v>43596</v>
      </c>
      <c r="AA1284" s="15">
        <v>3600</v>
      </c>
      <c r="AB1284" s="206"/>
      <c r="AC1284" s="12"/>
      <c r="AD1284" s="206"/>
      <c r="AE1284" s="12"/>
      <c r="AF1284" s="245"/>
      <c r="AG1284" s="12"/>
      <c r="AH1284" s="15">
        <f t="shared" si="193"/>
        <v>3600</v>
      </c>
      <c r="AI1284" s="22">
        <f t="shared" si="194"/>
        <v>0</v>
      </c>
      <c r="AJ1284" s="22">
        <f t="shared" si="195"/>
        <v>0</v>
      </c>
      <c r="AL1284" s="165" t="s">
        <v>109</v>
      </c>
    </row>
    <row r="1285" spans="1:38" s="165" customFormat="1" hidden="1">
      <c r="A1285" s="165" t="s">
        <v>483</v>
      </c>
      <c r="B1285" s="13">
        <v>43539</v>
      </c>
      <c r="C1285" s="13" t="s">
        <v>23</v>
      </c>
      <c r="D1285" s="165" t="s">
        <v>212</v>
      </c>
      <c r="E1285" s="119" t="s">
        <v>213</v>
      </c>
      <c r="F1285" s="165" t="str">
        <f t="shared" si="191"/>
        <v>YELL_14.16_300_NL2018</v>
      </c>
      <c r="G1285" s="13" t="s">
        <v>89</v>
      </c>
      <c r="H1285" s="12"/>
      <c r="I1285" s="12" t="s">
        <v>47</v>
      </c>
      <c r="J1285" s="31" t="s">
        <v>124</v>
      </c>
      <c r="K1285" s="15" t="s">
        <v>28</v>
      </c>
      <c r="L1285" s="15"/>
      <c r="M1285" s="16">
        <f t="shared" si="192"/>
        <v>14</v>
      </c>
      <c r="N1285" s="15">
        <v>4200</v>
      </c>
      <c r="O1285" s="15">
        <v>3800</v>
      </c>
      <c r="P1285" s="15">
        <f t="shared" si="197"/>
        <v>15960000</v>
      </c>
      <c r="Q1285" s="15" t="str">
        <f t="shared" si="198"/>
        <v>Done</v>
      </c>
      <c r="R1285" s="18" t="s">
        <v>44</v>
      </c>
      <c r="S1285" s="23">
        <v>43572</v>
      </c>
      <c r="T1285" s="20">
        <f>IFERROR(VLOOKUP(S1285,'Date Converter'!$A$4:$C$368,3,0),"")</f>
        <v>43606</v>
      </c>
      <c r="U1285" s="21">
        <f t="shared" si="196"/>
        <v>43606</v>
      </c>
      <c r="V1285" s="12"/>
      <c r="W1285" s="18"/>
      <c r="X1285" s="18"/>
      <c r="Y1285" s="12"/>
      <c r="Z1285" s="206">
        <v>43616</v>
      </c>
      <c r="AA1285" s="15">
        <v>4200</v>
      </c>
      <c r="AB1285" s="206"/>
      <c r="AC1285" s="12"/>
      <c r="AD1285" s="206"/>
      <c r="AE1285" s="12"/>
      <c r="AF1285" s="245"/>
      <c r="AG1285" s="12"/>
      <c r="AH1285" s="15">
        <f t="shared" si="193"/>
        <v>4200</v>
      </c>
      <c r="AI1285" s="22">
        <f t="shared" si="194"/>
        <v>0</v>
      </c>
      <c r="AJ1285" s="22">
        <f t="shared" si="195"/>
        <v>0</v>
      </c>
      <c r="AL1285" s="165" t="s">
        <v>109</v>
      </c>
    </row>
    <row r="1286" spans="1:38" s="165" customFormat="1" hidden="1">
      <c r="A1286" s="165" t="s">
        <v>483</v>
      </c>
      <c r="B1286" s="13">
        <v>43539</v>
      </c>
      <c r="C1286" s="13" t="s">
        <v>23</v>
      </c>
      <c r="D1286" s="165" t="s">
        <v>212</v>
      </c>
      <c r="E1286" s="119" t="s">
        <v>213</v>
      </c>
      <c r="F1286" s="165" t="str">
        <f t="shared" si="191"/>
        <v>TARR_16.18_200_NL2018</v>
      </c>
      <c r="G1286" s="13" t="s">
        <v>62</v>
      </c>
      <c r="H1286" s="12"/>
      <c r="I1286" s="12" t="s">
        <v>35</v>
      </c>
      <c r="J1286" s="31" t="s">
        <v>121</v>
      </c>
      <c r="K1286" s="15" t="s">
        <v>28</v>
      </c>
      <c r="L1286" s="15"/>
      <c r="M1286" s="16">
        <f t="shared" si="192"/>
        <v>7</v>
      </c>
      <c r="N1286" s="15">
        <v>1400</v>
      </c>
      <c r="O1286" s="15">
        <v>5500</v>
      </c>
      <c r="P1286" s="15">
        <f t="shared" si="197"/>
        <v>7700000</v>
      </c>
      <c r="Q1286" s="15" t="str">
        <f t="shared" si="198"/>
        <v>Done</v>
      </c>
      <c r="R1286" s="18" t="s">
        <v>44</v>
      </c>
      <c r="S1286" s="23">
        <v>43539</v>
      </c>
      <c r="T1286" s="20">
        <f>IFERROR(VLOOKUP(S1286,'Date Converter'!$A$4:$C$368,3,0),"")</f>
        <v>43574</v>
      </c>
      <c r="U1286" s="21">
        <f t="shared" si="196"/>
        <v>43574</v>
      </c>
      <c r="V1286" s="12"/>
      <c r="W1286" s="18"/>
      <c r="X1286" s="18"/>
      <c r="Y1286" s="12"/>
      <c r="Z1286" s="206">
        <v>43596</v>
      </c>
      <c r="AA1286" s="15">
        <v>1400</v>
      </c>
      <c r="AB1286" s="206"/>
      <c r="AC1286" s="12"/>
      <c r="AD1286" s="206"/>
      <c r="AE1286" s="12"/>
      <c r="AF1286" s="245"/>
      <c r="AG1286" s="12"/>
      <c r="AH1286" s="15">
        <f t="shared" si="193"/>
        <v>1400</v>
      </c>
      <c r="AI1286" s="22">
        <f t="shared" si="194"/>
        <v>0</v>
      </c>
      <c r="AJ1286" s="22">
        <f t="shared" si="195"/>
        <v>0</v>
      </c>
    </row>
    <row r="1287" spans="1:38" s="165" customFormat="1" hidden="1">
      <c r="A1287" s="165" t="s">
        <v>483</v>
      </c>
      <c r="B1287" s="13">
        <v>43539</v>
      </c>
      <c r="C1287" s="13" t="s">
        <v>23</v>
      </c>
      <c r="D1287" s="165" t="s">
        <v>212</v>
      </c>
      <c r="E1287" s="119" t="s">
        <v>213</v>
      </c>
      <c r="F1287" s="165" t="str">
        <f t="shared" si="191"/>
        <v>ROBI_18.20_150_NL2018</v>
      </c>
      <c r="G1287" s="13" t="s">
        <v>61</v>
      </c>
      <c r="H1287" s="12"/>
      <c r="I1287" s="12" t="s">
        <v>27</v>
      </c>
      <c r="J1287" s="31" t="s">
        <v>126</v>
      </c>
      <c r="K1287" s="15" t="s">
        <v>28</v>
      </c>
      <c r="L1287" s="15"/>
      <c r="M1287" s="16">
        <f t="shared" si="192"/>
        <v>14</v>
      </c>
      <c r="N1287" s="15">
        <v>2100</v>
      </c>
      <c r="O1287" s="15">
        <v>6300</v>
      </c>
      <c r="P1287" s="15">
        <f t="shared" si="197"/>
        <v>13230000</v>
      </c>
      <c r="Q1287" s="15" t="str">
        <f t="shared" si="198"/>
        <v>Done</v>
      </c>
      <c r="R1287" s="18" t="s">
        <v>44</v>
      </c>
      <c r="S1287" s="23">
        <v>43539</v>
      </c>
      <c r="T1287" s="20">
        <f>IFERROR(VLOOKUP(S1287,'Date Converter'!$A$4:$C$368,3,0),"")</f>
        <v>43574</v>
      </c>
      <c r="U1287" s="21">
        <f t="shared" si="196"/>
        <v>43574</v>
      </c>
      <c r="V1287" s="12"/>
      <c r="W1287" s="18"/>
      <c r="X1287" s="18"/>
      <c r="Y1287" s="12"/>
      <c r="Z1287" s="206">
        <v>43596</v>
      </c>
      <c r="AA1287" s="15">
        <v>2100</v>
      </c>
      <c r="AB1287" s="206"/>
      <c r="AC1287" s="12"/>
      <c r="AD1287" s="206"/>
      <c r="AE1287" s="12"/>
      <c r="AF1287" s="245"/>
      <c r="AG1287" s="12"/>
      <c r="AH1287" s="15">
        <f t="shared" si="193"/>
        <v>2100</v>
      </c>
      <c r="AI1287" s="22">
        <f t="shared" si="194"/>
        <v>0</v>
      </c>
      <c r="AJ1287" s="22">
        <f t="shared" si="195"/>
        <v>0</v>
      </c>
    </row>
    <row r="1288" spans="1:38" s="165" customFormat="1" hidden="1">
      <c r="A1288" s="165" t="s">
        <v>483</v>
      </c>
      <c r="B1288" s="13">
        <v>43539</v>
      </c>
      <c r="C1288" s="13" t="s">
        <v>23</v>
      </c>
      <c r="D1288" s="165" t="s">
        <v>212</v>
      </c>
      <c r="E1288" s="119" t="s">
        <v>213</v>
      </c>
      <c r="F1288" s="165" t="str">
        <f t="shared" si="191"/>
        <v>ROBI_16.18_200_NL2018</v>
      </c>
      <c r="G1288" s="13" t="s">
        <v>61</v>
      </c>
      <c r="H1288" s="12"/>
      <c r="I1288" s="12" t="s">
        <v>35</v>
      </c>
      <c r="J1288" s="31" t="s">
        <v>121</v>
      </c>
      <c r="K1288" s="15" t="s">
        <v>28</v>
      </c>
      <c r="L1288" s="15"/>
      <c r="M1288" s="16">
        <f t="shared" si="192"/>
        <v>15</v>
      </c>
      <c r="N1288" s="15">
        <v>3000</v>
      </c>
      <c r="O1288" s="15">
        <v>5000</v>
      </c>
      <c r="P1288" s="15">
        <f t="shared" si="197"/>
        <v>15000000</v>
      </c>
      <c r="Q1288" s="15" t="str">
        <f t="shared" si="198"/>
        <v>Done</v>
      </c>
      <c r="R1288" s="18" t="s">
        <v>44</v>
      </c>
      <c r="S1288" s="23">
        <v>43572</v>
      </c>
      <c r="T1288" s="20">
        <f>IFERROR(VLOOKUP(S1288,'Date Converter'!$A$4:$C$368,3,0),"")</f>
        <v>43606</v>
      </c>
      <c r="U1288" s="21">
        <f t="shared" si="196"/>
        <v>43606</v>
      </c>
      <c r="V1288" s="12"/>
      <c r="W1288" s="18"/>
      <c r="X1288" s="18"/>
      <c r="Y1288" s="12"/>
      <c r="Z1288" s="206">
        <v>43616</v>
      </c>
      <c r="AA1288" s="15">
        <v>3000</v>
      </c>
      <c r="AB1288" s="206"/>
      <c r="AC1288" s="12"/>
      <c r="AD1288" s="206"/>
      <c r="AE1288" s="12"/>
      <c r="AF1288" s="245"/>
      <c r="AG1288" s="12"/>
      <c r="AH1288" s="15">
        <f t="shared" si="193"/>
        <v>3000</v>
      </c>
      <c r="AI1288" s="22">
        <f t="shared" si="194"/>
        <v>0</v>
      </c>
      <c r="AJ1288" s="22">
        <f t="shared" si="195"/>
        <v>0</v>
      </c>
    </row>
    <row r="1289" spans="1:38" s="165" customFormat="1" hidden="1">
      <c r="A1289" s="165" t="s">
        <v>328</v>
      </c>
      <c r="B1289" s="13">
        <v>43539</v>
      </c>
      <c r="C1289" s="266" t="s">
        <v>23</v>
      </c>
      <c r="D1289" s="258" t="s">
        <v>212</v>
      </c>
      <c r="E1289" s="119" t="s">
        <v>213</v>
      </c>
      <c r="F1289" s="165" t="str">
        <f t="shared" si="191"/>
        <v>ROBI_22.24_100_NL2018</v>
      </c>
      <c r="G1289" s="165" t="s">
        <v>61</v>
      </c>
      <c r="H1289" s="12"/>
      <c r="I1289" s="12" t="s">
        <v>78</v>
      </c>
      <c r="J1289" s="31" t="s">
        <v>206</v>
      </c>
      <c r="K1289" s="15" t="s">
        <v>28</v>
      </c>
      <c r="L1289" s="15"/>
      <c r="M1289" s="16">
        <f t="shared" si="192"/>
        <v>150</v>
      </c>
      <c r="N1289" s="15">
        <v>15000</v>
      </c>
      <c r="O1289" s="15">
        <v>12500</v>
      </c>
      <c r="P1289" s="15">
        <f t="shared" si="197"/>
        <v>187500000</v>
      </c>
      <c r="Q1289" s="15" t="str">
        <f t="shared" si="198"/>
        <v/>
      </c>
      <c r="R1289" s="18" t="s">
        <v>29</v>
      </c>
      <c r="S1289" s="23">
        <v>43709</v>
      </c>
      <c r="T1289" s="20">
        <f>IFERROR(VLOOKUP(S1289,'Date Converter'!$A$4:$C$368,3,0),"")</f>
        <v>43737</v>
      </c>
      <c r="U1289" s="21">
        <f t="shared" si="196"/>
        <v>43737</v>
      </c>
      <c r="V1289" s="12" t="s">
        <v>51</v>
      </c>
      <c r="W1289" s="18"/>
      <c r="X1289" s="18"/>
      <c r="Y1289" s="12"/>
      <c r="Z1289" s="206"/>
      <c r="AA1289" s="15">
        <v>0</v>
      </c>
      <c r="AB1289" s="206"/>
      <c r="AC1289" s="12"/>
      <c r="AD1289" s="206"/>
      <c r="AE1289" s="12"/>
      <c r="AF1289" s="245"/>
      <c r="AG1289" s="12"/>
      <c r="AH1289" s="15">
        <f t="shared" si="193"/>
        <v>0</v>
      </c>
      <c r="AI1289" s="22">
        <f t="shared" si="194"/>
        <v>15000</v>
      </c>
      <c r="AJ1289" s="22">
        <f t="shared" si="195"/>
        <v>187500000</v>
      </c>
    </row>
    <row r="1290" spans="1:38" s="165" customFormat="1" hidden="1">
      <c r="A1290" s="165" t="s">
        <v>483</v>
      </c>
      <c r="B1290" s="13">
        <v>43631</v>
      </c>
      <c r="C1290" s="13" t="s">
        <v>23</v>
      </c>
      <c r="D1290" s="165" t="s">
        <v>212</v>
      </c>
      <c r="E1290" s="119" t="s">
        <v>213</v>
      </c>
      <c r="F1290" s="165" t="str">
        <f t="shared" si="191"/>
        <v>ROBI_16.18_200_NL2018</v>
      </c>
      <c r="G1290" s="13" t="s">
        <v>61</v>
      </c>
      <c r="H1290" s="12"/>
      <c r="I1290" s="24" t="s">
        <v>35</v>
      </c>
      <c r="J1290" s="31" t="s">
        <v>121</v>
      </c>
      <c r="K1290" s="15" t="s">
        <v>28</v>
      </c>
      <c r="L1290" s="15"/>
      <c r="M1290" s="16">
        <f t="shared" si="192"/>
        <v>15</v>
      </c>
      <c r="N1290" s="15">
        <f>7000-4000</f>
        <v>3000</v>
      </c>
      <c r="O1290" s="15">
        <v>5500</v>
      </c>
      <c r="P1290" s="15">
        <f t="shared" si="197"/>
        <v>16500000</v>
      </c>
      <c r="Q1290" s="15" t="str">
        <f t="shared" si="198"/>
        <v>Done</v>
      </c>
      <c r="R1290" s="18" t="s">
        <v>44</v>
      </c>
      <c r="S1290" s="23">
        <v>43600</v>
      </c>
      <c r="T1290" s="20">
        <f>IFERROR(VLOOKUP(S1290,'Date Converter'!$A$4:$C$368,3,0),"")</f>
        <v>43633</v>
      </c>
      <c r="U1290" s="21">
        <f t="shared" si="196"/>
        <v>43633</v>
      </c>
      <c r="V1290" s="12"/>
      <c r="W1290" s="18"/>
      <c r="X1290" s="18"/>
      <c r="Y1290" s="12"/>
      <c r="Z1290" s="206">
        <v>43636</v>
      </c>
      <c r="AA1290" s="15">
        <v>3000</v>
      </c>
      <c r="AB1290" s="206"/>
      <c r="AC1290" s="12"/>
      <c r="AD1290" s="206"/>
      <c r="AE1290" s="12"/>
      <c r="AF1290" s="245"/>
      <c r="AG1290" s="12"/>
      <c r="AH1290" s="15">
        <f t="shared" si="193"/>
        <v>3000</v>
      </c>
      <c r="AI1290" s="22">
        <f t="shared" si="194"/>
        <v>0</v>
      </c>
      <c r="AJ1290" s="22">
        <f t="shared" si="195"/>
        <v>0</v>
      </c>
    </row>
    <row r="1291" spans="1:38" s="165" customFormat="1" hidden="1">
      <c r="A1291" s="165" t="s">
        <v>483</v>
      </c>
      <c r="B1291" s="13">
        <v>43631</v>
      </c>
      <c r="C1291" s="13" t="s">
        <v>23</v>
      </c>
      <c r="D1291" s="165" t="s">
        <v>212</v>
      </c>
      <c r="E1291" s="119" t="s">
        <v>213</v>
      </c>
      <c r="F1291" s="165" t="str">
        <f t="shared" si="191"/>
        <v>ROBI_16.18_200_NL2018</v>
      </c>
      <c r="G1291" s="13" t="s">
        <v>61</v>
      </c>
      <c r="H1291" s="12"/>
      <c r="I1291" s="24" t="s">
        <v>35</v>
      </c>
      <c r="J1291" s="31" t="s">
        <v>121</v>
      </c>
      <c r="K1291" s="15" t="s">
        <v>28</v>
      </c>
      <c r="L1291" s="15"/>
      <c r="M1291" s="16">
        <f t="shared" si="192"/>
        <v>20</v>
      </c>
      <c r="N1291" s="262">
        <v>4000</v>
      </c>
      <c r="O1291" s="15">
        <v>5500</v>
      </c>
      <c r="P1291" s="15">
        <f t="shared" si="197"/>
        <v>22000000</v>
      </c>
      <c r="Q1291" s="15" t="str">
        <f t="shared" si="198"/>
        <v/>
      </c>
      <c r="R1291" s="18" t="s">
        <v>63</v>
      </c>
      <c r="S1291" s="23">
        <v>43603</v>
      </c>
      <c r="T1291" s="20">
        <f>IFERROR(VLOOKUP(S1291,'Date Converter'!$A$4:$C$368,3,0),"")</f>
        <v>43636</v>
      </c>
      <c r="U1291" s="21">
        <f t="shared" si="196"/>
        <v>43636</v>
      </c>
      <c r="V1291" s="12"/>
      <c r="W1291" s="18"/>
      <c r="X1291" s="18"/>
      <c r="Y1291" s="12"/>
      <c r="Z1291" s="206"/>
      <c r="AA1291" s="15"/>
      <c r="AB1291" s="206"/>
      <c r="AC1291" s="12"/>
      <c r="AD1291" s="206"/>
      <c r="AE1291" s="12"/>
      <c r="AF1291" s="245"/>
      <c r="AG1291" s="12"/>
      <c r="AH1291" s="15">
        <f t="shared" si="193"/>
        <v>0</v>
      </c>
      <c r="AI1291" s="22">
        <f t="shared" si="194"/>
        <v>4000</v>
      </c>
      <c r="AJ1291" s="22">
        <f t="shared" si="195"/>
        <v>22000000</v>
      </c>
    </row>
    <row r="1292" spans="1:38" s="165" customFormat="1" hidden="1">
      <c r="A1292" s="165" t="s">
        <v>483</v>
      </c>
      <c r="B1292" s="13">
        <v>43539</v>
      </c>
      <c r="C1292" s="13" t="s">
        <v>23</v>
      </c>
      <c r="D1292" s="165" t="s">
        <v>212</v>
      </c>
      <c r="E1292" s="13" t="s">
        <v>213</v>
      </c>
      <c r="F1292" s="165" t="str">
        <f t="shared" si="191"/>
        <v>PROF_14.16_300_NL2018</v>
      </c>
      <c r="G1292" s="13" t="s">
        <v>56</v>
      </c>
      <c r="H1292" s="12"/>
      <c r="I1292" s="12" t="s">
        <v>47</v>
      </c>
      <c r="J1292" s="31" t="s">
        <v>124</v>
      </c>
      <c r="K1292" s="15" t="s">
        <v>28</v>
      </c>
      <c r="L1292" s="15"/>
      <c r="M1292" s="16">
        <f t="shared" si="192"/>
        <v>6</v>
      </c>
      <c r="N1292" s="15">
        <v>1800</v>
      </c>
      <c r="O1292" s="15">
        <v>4800</v>
      </c>
      <c r="P1292" s="15">
        <f t="shared" si="197"/>
        <v>8640000</v>
      </c>
      <c r="Q1292" s="15" t="str">
        <f t="shared" si="198"/>
        <v>Done</v>
      </c>
      <c r="R1292" s="18" t="s">
        <v>44</v>
      </c>
      <c r="S1292" s="23">
        <v>43511</v>
      </c>
      <c r="T1292" s="20">
        <f>IFERROR(VLOOKUP(S1292,'Date Converter'!$A$4:$C$368,3,0),"")</f>
        <v>43544</v>
      </c>
      <c r="U1292" s="21">
        <f t="shared" si="196"/>
        <v>43544</v>
      </c>
      <c r="V1292" s="12"/>
      <c r="W1292" s="18"/>
      <c r="X1292" s="18"/>
      <c r="Y1292" s="12"/>
      <c r="Z1292" s="206">
        <v>43577</v>
      </c>
      <c r="AA1292" s="15">
        <v>1800</v>
      </c>
      <c r="AB1292" s="206"/>
      <c r="AC1292" s="12"/>
      <c r="AD1292" s="206"/>
      <c r="AE1292" s="12"/>
      <c r="AF1292" s="245"/>
      <c r="AG1292" s="12"/>
      <c r="AH1292" s="15">
        <f t="shared" si="193"/>
        <v>1800</v>
      </c>
      <c r="AI1292" s="22">
        <f t="shared" si="194"/>
        <v>0</v>
      </c>
      <c r="AJ1292" s="22">
        <f t="shared" si="195"/>
        <v>0</v>
      </c>
    </row>
    <row r="1293" spans="1:38" s="165" customFormat="1" hidden="1">
      <c r="A1293" s="165" t="s">
        <v>483</v>
      </c>
      <c r="B1293" s="13">
        <v>43631</v>
      </c>
      <c r="C1293" s="13" t="s">
        <v>23</v>
      </c>
      <c r="D1293" s="165" t="s">
        <v>212</v>
      </c>
      <c r="E1293" s="119" t="s">
        <v>213</v>
      </c>
      <c r="F1293" s="165" t="str">
        <f t="shared" si="191"/>
        <v>OUTB_14.16_300_NL2018</v>
      </c>
      <c r="G1293" s="13" t="s">
        <v>1748</v>
      </c>
      <c r="H1293" s="12"/>
      <c r="I1293" s="12" t="s">
        <v>47</v>
      </c>
      <c r="J1293" s="31" t="s">
        <v>124</v>
      </c>
      <c r="K1293" s="15" t="s">
        <v>28</v>
      </c>
      <c r="L1293" s="15"/>
      <c r="M1293" s="16">
        <f t="shared" si="192"/>
        <v>7</v>
      </c>
      <c r="N1293" s="15">
        <v>2100</v>
      </c>
      <c r="O1293" s="15">
        <v>5400</v>
      </c>
      <c r="P1293" s="15">
        <f t="shared" si="197"/>
        <v>11340000</v>
      </c>
      <c r="Q1293" s="15" t="str">
        <f t="shared" si="198"/>
        <v>Done</v>
      </c>
      <c r="R1293" s="18" t="s">
        <v>44</v>
      </c>
      <c r="S1293" s="23">
        <v>43600</v>
      </c>
      <c r="T1293" s="20">
        <f>IFERROR(VLOOKUP(S1293,'Date Converter'!$A$4:$C$368,3,0),"")</f>
        <v>43633</v>
      </c>
      <c r="U1293" s="21">
        <f t="shared" si="196"/>
        <v>43633</v>
      </c>
      <c r="V1293" s="12"/>
      <c r="W1293" s="18"/>
      <c r="X1293" s="18"/>
      <c r="Y1293" s="12"/>
      <c r="Z1293" s="206">
        <v>43636</v>
      </c>
      <c r="AA1293" s="15">
        <v>2100</v>
      </c>
      <c r="AB1293" s="206"/>
      <c r="AC1293" s="12"/>
      <c r="AD1293" s="206"/>
      <c r="AE1293" s="12"/>
      <c r="AF1293" s="245"/>
      <c r="AG1293" s="12"/>
      <c r="AH1293" s="15">
        <f t="shared" si="193"/>
        <v>2100</v>
      </c>
      <c r="AI1293" s="22">
        <f t="shared" si="194"/>
        <v>0</v>
      </c>
      <c r="AJ1293" s="22">
        <f t="shared" si="195"/>
        <v>0</v>
      </c>
    </row>
    <row r="1294" spans="1:38" s="165" customFormat="1" hidden="1">
      <c r="A1294" s="165" t="s">
        <v>483</v>
      </c>
      <c r="B1294" s="13">
        <v>43631</v>
      </c>
      <c r="C1294" s="13" t="s">
        <v>23</v>
      </c>
      <c r="D1294" s="165" t="s">
        <v>212</v>
      </c>
      <c r="E1294" s="119" t="s">
        <v>213</v>
      </c>
      <c r="F1294" s="165" t="str">
        <f t="shared" si="191"/>
        <v>DALI_14.16_300_NL2018</v>
      </c>
      <c r="G1294" s="13" t="s">
        <v>46</v>
      </c>
      <c r="H1294" s="12"/>
      <c r="I1294" s="12" t="s">
        <v>47</v>
      </c>
      <c r="J1294" s="31" t="s">
        <v>124</v>
      </c>
      <c r="K1294" s="15" t="s">
        <v>28</v>
      </c>
      <c r="L1294" s="15"/>
      <c r="M1294" s="16">
        <f t="shared" si="192"/>
        <v>10</v>
      </c>
      <c r="N1294" s="15">
        <f>3600-600</f>
        <v>3000</v>
      </c>
      <c r="O1294" s="15">
        <v>5600</v>
      </c>
      <c r="P1294" s="15">
        <f t="shared" si="197"/>
        <v>16800000</v>
      </c>
      <c r="Q1294" s="15" t="str">
        <f t="shared" si="198"/>
        <v/>
      </c>
      <c r="R1294" s="18" t="s">
        <v>63</v>
      </c>
      <c r="S1294" s="23">
        <v>43619</v>
      </c>
      <c r="T1294" s="20">
        <f>IFERROR(VLOOKUP(S1294,'Date Converter'!$A$4:$C$368,3,0),"")</f>
        <v>43651</v>
      </c>
      <c r="U1294" s="21">
        <f t="shared" si="196"/>
        <v>43651</v>
      </c>
      <c r="V1294" s="12"/>
      <c r="W1294" s="18"/>
      <c r="X1294" s="18"/>
      <c r="Y1294" s="12"/>
      <c r="Z1294" s="206"/>
      <c r="AA1294" s="15"/>
      <c r="AB1294" s="206"/>
      <c r="AC1294" s="12"/>
      <c r="AD1294" s="206"/>
      <c r="AE1294" s="12"/>
      <c r="AF1294" s="245"/>
      <c r="AG1294" s="12"/>
      <c r="AH1294" s="15">
        <f t="shared" si="193"/>
        <v>0</v>
      </c>
      <c r="AI1294" s="22">
        <f t="shared" si="194"/>
        <v>3000</v>
      </c>
      <c r="AJ1294" s="22">
        <f t="shared" si="195"/>
        <v>16800000</v>
      </c>
    </row>
    <row r="1295" spans="1:38" s="165" customFormat="1" hidden="1">
      <c r="A1295" s="165" t="s">
        <v>328</v>
      </c>
      <c r="B1295" s="13">
        <v>43539</v>
      </c>
      <c r="C1295" s="266" t="s">
        <v>23</v>
      </c>
      <c r="D1295" s="258" t="s">
        <v>212</v>
      </c>
      <c r="E1295" s="119" t="s">
        <v>213</v>
      </c>
      <c r="F1295" s="165" t="str">
        <f t="shared" si="191"/>
        <v>CONC_20.22_125_NL2018</v>
      </c>
      <c r="G1295" s="13" t="s">
        <v>40</v>
      </c>
      <c r="H1295" s="12"/>
      <c r="I1295" s="12" t="s">
        <v>74</v>
      </c>
      <c r="J1295" s="31" t="s">
        <v>122</v>
      </c>
      <c r="K1295" s="15" t="s">
        <v>28</v>
      </c>
      <c r="L1295" s="15"/>
      <c r="M1295" s="16">
        <f t="shared" si="192"/>
        <v>120</v>
      </c>
      <c r="N1295" s="15">
        <v>15000</v>
      </c>
      <c r="O1295" s="15">
        <v>10500</v>
      </c>
      <c r="P1295" s="15">
        <f t="shared" si="197"/>
        <v>157500000</v>
      </c>
      <c r="Q1295" s="15" t="str">
        <f t="shared" si="198"/>
        <v/>
      </c>
      <c r="R1295" s="18" t="s">
        <v>29</v>
      </c>
      <c r="S1295" s="23">
        <v>43709</v>
      </c>
      <c r="T1295" s="20">
        <f>IFERROR(VLOOKUP(S1295,'Date Converter'!$A$4:$C$368,3,0),"")</f>
        <v>43737</v>
      </c>
      <c r="U1295" s="21">
        <f t="shared" si="196"/>
        <v>43737</v>
      </c>
      <c r="V1295" s="12" t="s">
        <v>51</v>
      </c>
      <c r="W1295" s="18"/>
      <c r="X1295" s="18"/>
      <c r="Y1295" s="12"/>
      <c r="Z1295" s="206"/>
      <c r="AA1295" s="15">
        <v>0</v>
      </c>
      <c r="AB1295" s="206"/>
      <c r="AC1295" s="12"/>
      <c r="AD1295" s="206"/>
      <c r="AE1295" s="12"/>
      <c r="AF1295" s="245"/>
      <c r="AG1295" s="12"/>
      <c r="AH1295" s="15">
        <f t="shared" si="193"/>
        <v>0</v>
      </c>
      <c r="AI1295" s="22">
        <f t="shared" si="194"/>
        <v>15000</v>
      </c>
      <c r="AJ1295" s="22">
        <f t="shared" si="195"/>
        <v>157500000</v>
      </c>
    </row>
    <row r="1296" spans="1:38" s="165" customFormat="1" hidden="1">
      <c r="A1296" s="165" t="s">
        <v>483</v>
      </c>
      <c r="B1296" s="13">
        <v>43631</v>
      </c>
      <c r="C1296" s="13" t="s">
        <v>23</v>
      </c>
      <c r="D1296" s="165" t="s">
        <v>212</v>
      </c>
      <c r="E1296" s="119" t="s">
        <v>213</v>
      </c>
      <c r="F1296" s="165" t="str">
        <f t="shared" si="191"/>
        <v>CONC_16.18_200_NL2018</v>
      </c>
      <c r="G1296" s="13" t="s">
        <v>40</v>
      </c>
      <c r="H1296" s="12"/>
      <c r="I1296" s="24" t="s">
        <v>35</v>
      </c>
      <c r="J1296" s="31" t="s">
        <v>121</v>
      </c>
      <c r="K1296" s="15" t="s">
        <v>28</v>
      </c>
      <c r="L1296" s="15"/>
      <c r="M1296" s="16">
        <f t="shared" si="192"/>
        <v>10</v>
      </c>
      <c r="N1296" s="15">
        <v>2000</v>
      </c>
      <c r="O1296" s="15">
        <v>6500</v>
      </c>
      <c r="P1296" s="15">
        <f t="shared" si="197"/>
        <v>13000000</v>
      </c>
      <c r="Q1296" s="15" t="str">
        <f t="shared" si="198"/>
        <v/>
      </c>
      <c r="R1296" s="18" t="s">
        <v>63</v>
      </c>
      <c r="S1296" s="23">
        <v>43610</v>
      </c>
      <c r="T1296" s="20">
        <f>IFERROR(VLOOKUP(S1296,'Date Converter'!$A$4:$C$368,3,0),"")</f>
        <v>43643</v>
      </c>
      <c r="U1296" s="21">
        <f t="shared" si="196"/>
        <v>43643</v>
      </c>
      <c r="V1296" s="12"/>
      <c r="W1296" s="18"/>
      <c r="X1296" s="18"/>
      <c r="Y1296" s="12"/>
      <c r="Z1296" s="206"/>
      <c r="AA1296" s="15"/>
      <c r="AB1296" s="206"/>
      <c r="AC1296" s="12"/>
      <c r="AD1296" s="206"/>
      <c r="AE1296" s="12"/>
      <c r="AF1296" s="245"/>
      <c r="AG1296" s="12"/>
      <c r="AH1296" s="15">
        <f t="shared" si="193"/>
        <v>0</v>
      </c>
      <c r="AI1296" s="22">
        <f t="shared" si="194"/>
        <v>2000</v>
      </c>
      <c r="AJ1296" s="22">
        <f t="shared" si="195"/>
        <v>13000000</v>
      </c>
    </row>
    <row r="1297" spans="1:36" s="165" customFormat="1" hidden="1">
      <c r="A1297" s="165" t="s">
        <v>1800</v>
      </c>
      <c r="B1297" s="13">
        <v>43615</v>
      </c>
      <c r="C1297" s="13" t="s">
        <v>23</v>
      </c>
      <c r="D1297" s="258" t="s">
        <v>1036</v>
      </c>
      <c r="E1297" s="13" t="s">
        <v>1037</v>
      </c>
      <c r="F1297" s="165" t="str">
        <f t="shared" si="191"/>
        <v>ROBI_20.22_125_NZ2019</v>
      </c>
      <c r="G1297" s="13" t="s">
        <v>1581</v>
      </c>
      <c r="H1297" s="12"/>
      <c r="I1297" s="12" t="s">
        <v>74</v>
      </c>
      <c r="J1297" s="31" t="s">
        <v>122</v>
      </c>
      <c r="K1297" s="15" t="s">
        <v>1507</v>
      </c>
      <c r="L1297" s="15"/>
      <c r="M1297" s="33">
        <f t="shared" si="192"/>
        <v>40</v>
      </c>
      <c r="N1297" s="15">
        <v>5000</v>
      </c>
      <c r="O1297" s="15">
        <v>12500</v>
      </c>
      <c r="P1297" s="15">
        <f t="shared" si="197"/>
        <v>62500000</v>
      </c>
      <c r="Q1297" s="15" t="str">
        <f t="shared" si="198"/>
        <v/>
      </c>
      <c r="R1297" s="18" t="s">
        <v>29</v>
      </c>
      <c r="S1297" s="23">
        <v>43709</v>
      </c>
      <c r="T1297" s="20">
        <f>IFERROR(VLOOKUP(S1297,'Date Converter'!$A$4:$C$368,3,0),"")</f>
        <v>43737</v>
      </c>
      <c r="U1297" s="21">
        <f t="shared" si="196"/>
        <v>43737</v>
      </c>
      <c r="V1297" s="12"/>
      <c r="W1297" s="18"/>
      <c r="X1297" s="18"/>
      <c r="Y1297" s="12"/>
      <c r="Z1297" s="206"/>
      <c r="AA1297" s="12"/>
      <c r="AB1297" s="12"/>
      <c r="AC1297" s="12"/>
      <c r="AD1297" s="12"/>
      <c r="AE1297" s="12"/>
      <c r="AF1297" s="245"/>
      <c r="AG1297" s="12"/>
      <c r="AH1297" s="15">
        <f t="shared" si="193"/>
        <v>0</v>
      </c>
      <c r="AI1297" s="22">
        <f t="shared" si="194"/>
        <v>5000</v>
      </c>
      <c r="AJ1297" s="22">
        <f t="shared" si="195"/>
        <v>62500000</v>
      </c>
    </row>
    <row r="1298" spans="1:36" s="165" customFormat="1" hidden="1">
      <c r="A1298" s="165" t="s">
        <v>1800</v>
      </c>
      <c r="B1298" s="13">
        <v>43615</v>
      </c>
      <c r="C1298" s="13" t="s">
        <v>23</v>
      </c>
      <c r="D1298" s="258" t="s">
        <v>1036</v>
      </c>
      <c r="E1298" s="13" t="s">
        <v>1037</v>
      </c>
      <c r="F1298" s="165" t="str">
        <f t="shared" si="191"/>
        <v>ROBI_22.24_100_NZ2019</v>
      </c>
      <c r="G1298" s="13" t="s">
        <v>1581</v>
      </c>
      <c r="H1298" s="12"/>
      <c r="I1298" s="12" t="s">
        <v>78</v>
      </c>
      <c r="J1298" s="31" t="s">
        <v>206</v>
      </c>
      <c r="K1298" s="15" t="s">
        <v>1507</v>
      </c>
      <c r="L1298" s="15"/>
      <c r="M1298" s="33">
        <f t="shared" si="192"/>
        <v>50</v>
      </c>
      <c r="N1298" s="15">
        <v>5000</v>
      </c>
      <c r="O1298" s="15">
        <v>13000</v>
      </c>
      <c r="P1298" s="15">
        <f t="shared" si="197"/>
        <v>65000000</v>
      </c>
      <c r="Q1298" s="15" t="str">
        <f t="shared" si="198"/>
        <v/>
      </c>
      <c r="R1298" s="18" t="s">
        <v>29</v>
      </c>
      <c r="S1298" s="23">
        <v>43709</v>
      </c>
      <c r="T1298" s="20">
        <f>IFERROR(VLOOKUP(S1298,'Date Converter'!$A$4:$C$368,3,0),"")</f>
        <v>43737</v>
      </c>
      <c r="U1298" s="21">
        <f t="shared" si="196"/>
        <v>43737</v>
      </c>
      <c r="V1298" s="12"/>
      <c r="W1298" s="18"/>
      <c r="X1298" s="18"/>
      <c r="Y1298" s="12"/>
      <c r="Z1298" s="206"/>
      <c r="AA1298" s="12"/>
      <c r="AB1298" s="12"/>
      <c r="AC1298" s="12"/>
      <c r="AD1298" s="12"/>
      <c r="AE1298" s="12"/>
      <c r="AF1298" s="245"/>
      <c r="AG1298" s="12"/>
      <c r="AH1298" s="15">
        <f t="shared" si="193"/>
        <v>0</v>
      </c>
      <c r="AI1298" s="22">
        <f t="shared" si="194"/>
        <v>5000</v>
      </c>
      <c r="AJ1298" s="22">
        <f t="shared" si="195"/>
        <v>65000000</v>
      </c>
    </row>
    <row r="1299" spans="1:36" s="165" customFormat="1" hidden="1">
      <c r="A1299" s="165" t="s">
        <v>1800</v>
      </c>
      <c r="B1299" s="13">
        <v>43615</v>
      </c>
      <c r="C1299" s="13" t="s">
        <v>23</v>
      </c>
      <c r="D1299" s="165" t="s">
        <v>1036</v>
      </c>
      <c r="E1299" s="13" t="s">
        <v>1037</v>
      </c>
      <c r="F1299" s="165" t="str">
        <f t="shared" si="191"/>
        <v>ROBI_20.22_125_NL2018</v>
      </c>
      <c r="G1299" s="13" t="s">
        <v>61</v>
      </c>
      <c r="H1299" s="12"/>
      <c r="I1299" s="12" t="s">
        <v>74</v>
      </c>
      <c r="J1299" s="31" t="s">
        <v>122</v>
      </c>
      <c r="K1299" s="15" t="s">
        <v>28</v>
      </c>
      <c r="L1299" s="15"/>
      <c r="M1299" s="33">
        <f t="shared" si="192"/>
        <v>0</v>
      </c>
      <c r="N1299" s="15">
        <f>5000-5000</f>
        <v>0</v>
      </c>
      <c r="O1299" s="15">
        <v>10700</v>
      </c>
      <c r="P1299" s="15">
        <f t="shared" si="197"/>
        <v>0</v>
      </c>
      <c r="Q1299" s="15" t="str">
        <f t="shared" si="198"/>
        <v>Canceled</v>
      </c>
      <c r="R1299" s="18" t="s">
        <v>71</v>
      </c>
      <c r="S1299" s="23">
        <v>43709</v>
      </c>
      <c r="T1299" s="20" t="str">
        <f>IFERROR(VLOOKUP(S1299,#REF!,3,0),"")</f>
        <v/>
      </c>
      <c r="U1299" s="21" t="str">
        <f t="shared" si="196"/>
        <v/>
      </c>
      <c r="V1299" s="12"/>
      <c r="W1299" s="18"/>
      <c r="X1299" s="18"/>
      <c r="Y1299" s="12"/>
      <c r="Z1299" s="206"/>
      <c r="AA1299" s="12"/>
      <c r="AB1299" s="12"/>
      <c r="AC1299" s="12"/>
      <c r="AD1299" s="12"/>
      <c r="AE1299" s="12"/>
      <c r="AF1299" s="245"/>
      <c r="AG1299" s="12"/>
      <c r="AH1299" s="15">
        <f t="shared" si="193"/>
        <v>0</v>
      </c>
      <c r="AI1299" s="22">
        <f t="shared" si="194"/>
        <v>0</v>
      </c>
      <c r="AJ1299" s="22">
        <f t="shared" si="195"/>
        <v>0</v>
      </c>
    </row>
    <row r="1300" spans="1:36" s="165" customFormat="1" hidden="1">
      <c r="A1300" s="165" t="s">
        <v>1800</v>
      </c>
      <c r="B1300" s="13">
        <v>43615</v>
      </c>
      <c r="C1300" s="13" t="s">
        <v>23</v>
      </c>
      <c r="D1300" s="165" t="s">
        <v>1036</v>
      </c>
      <c r="E1300" s="13" t="s">
        <v>1037</v>
      </c>
      <c r="F1300" s="165" t="str">
        <f t="shared" si="191"/>
        <v>ROBI_22.24_100_NL2018</v>
      </c>
      <c r="G1300" s="13" t="s">
        <v>61</v>
      </c>
      <c r="H1300" s="12"/>
      <c r="I1300" s="12" t="s">
        <v>78</v>
      </c>
      <c r="J1300" s="31" t="s">
        <v>206</v>
      </c>
      <c r="K1300" s="15" t="s">
        <v>28</v>
      </c>
      <c r="L1300" s="15"/>
      <c r="M1300" s="33">
        <f t="shared" si="192"/>
        <v>0</v>
      </c>
      <c r="N1300" s="15">
        <f>5000-5000</f>
        <v>0</v>
      </c>
      <c r="O1300" s="15">
        <v>12500</v>
      </c>
      <c r="P1300" s="15">
        <f t="shared" si="197"/>
        <v>0</v>
      </c>
      <c r="Q1300" s="15" t="str">
        <f t="shared" si="198"/>
        <v>Canceled</v>
      </c>
      <c r="R1300" s="18" t="s">
        <v>71</v>
      </c>
      <c r="S1300" s="23">
        <v>43709</v>
      </c>
      <c r="T1300" s="20" t="str">
        <f>IFERROR(VLOOKUP(S1300,#REF!,3,0),"")</f>
        <v/>
      </c>
      <c r="U1300" s="21" t="str">
        <f t="shared" si="196"/>
        <v/>
      </c>
      <c r="V1300" s="12"/>
      <c r="W1300" s="18"/>
      <c r="X1300" s="18"/>
      <c r="Y1300" s="12"/>
      <c r="Z1300" s="206"/>
      <c r="AA1300" s="12"/>
      <c r="AB1300" s="12"/>
      <c r="AC1300" s="12"/>
      <c r="AD1300" s="12"/>
      <c r="AE1300" s="12"/>
      <c r="AF1300" s="245"/>
      <c r="AG1300" s="12"/>
      <c r="AH1300" s="15">
        <f t="shared" si="193"/>
        <v>0</v>
      </c>
      <c r="AI1300" s="22">
        <f t="shared" si="194"/>
        <v>0</v>
      </c>
      <c r="AJ1300" s="22">
        <f t="shared" si="195"/>
        <v>0</v>
      </c>
    </row>
    <row r="1301" spans="1:36" s="165" customFormat="1" hidden="1">
      <c r="A1301" s="165" t="s">
        <v>1800</v>
      </c>
      <c r="B1301" s="13">
        <v>43615</v>
      </c>
      <c r="C1301" s="13" t="s">
        <v>23</v>
      </c>
      <c r="D1301" s="165" t="s">
        <v>1036</v>
      </c>
      <c r="E1301" s="13" t="s">
        <v>1037</v>
      </c>
      <c r="F1301" s="165" t="str">
        <f t="shared" si="191"/>
        <v>CONC_20.22_125_NL2018</v>
      </c>
      <c r="G1301" s="13" t="s">
        <v>40</v>
      </c>
      <c r="H1301" s="12"/>
      <c r="I1301" s="12" t="s">
        <v>74</v>
      </c>
      <c r="J1301" s="31" t="s">
        <v>122</v>
      </c>
      <c r="K1301" s="15" t="s">
        <v>28</v>
      </c>
      <c r="L1301" s="15"/>
      <c r="M1301" s="33">
        <f t="shared" si="192"/>
        <v>0</v>
      </c>
      <c r="N1301" s="15">
        <f>12000-12000</f>
        <v>0</v>
      </c>
      <c r="O1301" s="15">
        <v>10600</v>
      </c>
      <c r="P1301" s="15">
        <f t="shared" si="197"/>
        <v>0</v>
      </c>
      <c r="Q1301" s="15" t="str">
        <f t="shared" si="198"/>
        <v>Canceled</v>
      </c>
      <c r="R1301" s="18" t="s">
        <v>71</v>
      </c>
      <c r="S1301" s="23">
        <v>43709</v>
      </c>
      <c r="T1301" s="20" t="str">
        <f>IFERROR(VLOOKUP(S1301,#REF!,3,0),"")</f>
        <v/>
      </c>
      <c r="U1301" s="21" t="str">
        <f t="shared" si="196"/>
        <v/>
      </c>
      <c r="V1301" s="12"/>
      <c r="W1301" s="18"/>
      <c r="X1301" s="18"/>
      <c r="Y1301" s="12"/>
      <c r="Z1301" s="206"/>
      <c r="AA1301" s="12"/>
      <c r="AB1301" s="12"/>
      <c r="AC1301" s="12"/>
      <c r="AD1301" s="12"/>
      <c r="AE1301" s="12"/>
      <c r="AF1301" s="245"/>
      <c r="AG1301" s="12"/>
      <c r="AH1301" s="15">
        <f t="shared" si="193"/>
        <v>0</v>
      </c>
      <c r="AI1301" s="22">
        <f t="shared" si="194"/>
        <v>0</v>
      </c>
      <c r="AJ1301" s="22">
        <f t="shared" si="195"/>
        <v>0</v>
      </c>
    </row>
    <row r="1302" spans="1:36" s="165" customFormat="1" hidden="1">
      <c r="A1302" s="165" t="s">
        <v>1800</v>
      </c>
      <c r="B1302" s="13">
        <v>43615</v>
      </c>
      <c r="C1302" s="13" t="s">
        <v>23</v>
      </c>
      <c r="D1302" s="165" t="s">
        <v>1036</v>
      </c>
      <c r="E1302" s="13" t="s">
        <v>1037</v>
      </c>
      <c r="F1302" s="165" t="str">
        <f t="shared" si="191"/>
        <v>CONC_22.24_100_NL2018</v>
      </c>
      <c r="G1302" s="13" t="s">
        <v>40</v>
      </c>
      <c r="H1302" s="12"/>
      <c r="I1302" s="12" t="s">
        <v>78</v>
      </c>
      <c r="J1302" s="31" t="s">
        <v>206</v>
      </c>
      <c r="K1302" s="15" t="s">
        <v>28</v>
      </c>
      <c r="L1302" s="15"/>
      <c r="M1302" s="33">
        <f t="shared" si="192"/>
        <v>0</v>
      </c>
      <c r="N1302" s="15">
        <f>15000-15000</f>
        <v>0</v>
      </c>
      <c r="O1302" s="15">
        <v>12500</v>
      </c>
      <c r="P1302" s="15">
        <f t="shared" si="197"/>
        <v>0</v>
      </c>
      <c r="Q1302" s="15" t="str">
        <f t="shared" si="198"/>
        <v>Canceled</v>
      </c>
      <c r="R1302" s="18" t="s">
        <v>71</v>
      </c>
      <c r="S1302" s="23">
        <v>43709</v>
      </c>
      <c r="T1302" s="20" t="str">
        <f>IFERROR(VLOOKUP(S1302,#REF!,3,0),"")</f>
        <v/>
      </c>
      <c r="U1302" s="21" t="str">
        <f t="shared" si="196"/>
        <v/>
      </c>
      <c r="V1302" s="12"/>
      <c r="W1302" s="18"/>
      <c r="X1302" s="18"/>
      <c r="Y1302" s="12"/>
      <c r="Z1302" s="206"/>
      <c r="AA1302" s="12"/>
      <c r="AB1302" s="12"/>
      <c r="AC1302" s="12"/>
      <c r="AD1302" s="12"/>
      <c r="AE1302" s="12"/>
      <c r="AF1302" s="245"/>
      <c r="AG1302" s="12"/>
      <c r="AH1302" s="15">
        <f t="shared" si="193"/>
        <v>0</v>
      </c>
      <c r="AI1302" s="22">
        <f t="shared" si="194"/>
        <v>0</v>
      </c>
      <c r="AJ1302" s="22">
        <f t="shared" si="195"/>
        <v>0</v>
      </c>
    </row>
    <row r="1303" spans="1:36" s="165" customFormat="1" hidden="1">
      <c r="A1303" s="165" t="s">
        <v>1800</v>
      </c>
      <c r="B1303" s="13">
        <v>43615</v>
      </c>
      <c r="C1303" s="13" t="s">
        <v>23</v>
      </c>
      <c r="D1303" s="258" t="s">
        <v>1036</v>
      </c>
      <c r="E1303" s="13" t="s">
        <v>1037</v>
      </c>
      <c r="F1303" s="165" t="str">
        <f t="shared" si="191"/>
        <v>CONC_20.22_125_NZ2019</v>
      </c>
      <c r="G1303" s="13" t="s">
        <v>40</v>
      </c>
      <c r="H1303" s="12"/>
      <c r="I1303" s="12" t="s">
        <v>74</v>
      </c>
      <c r="J1303" s="31" t="s">
        <v>122</v>
      </c>
      <c r="K1303" s="15" t="s">
        <v>1507</v>
      </c>
      <c r="L1303" s="15"/>
      <c r="M1303" s="33">
        <f t="shared" si="192"/>
        <v>216</v>
      </c>
      <c r="N1303" s="15">
        <v>27000</v>
      </c>
      <c r="O1303" s="15">
        <v>12000</v>
      </c>
      <c r="P1303" s="15">
        <f t="shared" si="197"/>
        <v>324000000</v>
      </c>
      <c r="Q1303" s="15" t="str">
        <f t="shared" si="198"/>
        <v/>
      </c>
      <c r="R1303" s="18" t="s">
        <v>29</v>
      </c>
      <c r="S1303" s="23">
        <v>43709</v>
      </c>
      <c r="T1303" s="20">
        <f>IFERROR(VLOOKUP(S1303,'Date Converter'!$A$4:$C$368,3,0),"")</f>
        <v>43737</v>
      </c>
      <c r="U1303" s="21">
        <f t="shared" si="196"/>
        <v>43737</v>
      </c>
      <c r="V1303" s="12"/>
      <c r="W1303" s="18"/>
      <c r="X1303" s="18"/>
      <c r="Y1303" s="12"/>
      <c r="Z1303" s="206"/>
      <c r="AA1303" s="12"/>
      <c r="AB1303" s="12"/>
      <c r="AC1303" s="12"/>
      <c r="AD1303" s="12"/>
      <c r="AE1303" s="12"/>
      <c r="AF1303" s="245"/>
      <c r="AG1303" s="12"/>
      <c r="AH1303" s="15">
        <f t="shared" si="193"/>
        <v>0</v>
      </c>
      <c r="AI1303" s="22">
        <f t="shared" si="194"/>
        <v>27000</v>
      </c>
      <c r="AJ1303" s="22">
        <f t="shared" si="195"/>
        <v>324000000</v>
      </c>
    </row>
    <row r="1304" spans="1:36" s="165" customFormat="1" hidden="1">
      <c r="A1304" s="165" t="s">
        <v>1456</v>
      </c>
      <c r="B1304" s="13">
        <v>43574</v>
      </c>
      <c r="C1304" s="13" t="s">
        <v>23</v>
      </c>
      <c r="D1304" s="258" t="s">
        <v>1369</v>
      </c>
      <c r="E1304" s="249" t="s">
        <v>1370</v>
      </c>
      <c r="F1304" s="183" t="str">
        <f t="shared" si="191"/>
        <v>PROF_20.22_125_CL2019</v>
      </c>
      <c r="G1304" s="188" t="s">
        <v>1382</v>
      </c>
      <c r="H1304" s="184"/>
      <c r="I1304" s="184" t="s">
        <v>74</v>
      </c>
      <c r="J1304" s="192" t="s">
        <v>122</v>
      </c>
      <c r="K1304" s="185" t="s">
        <v>1423</v>
      </c>
      <c r="L1304" s="185"/>
      <c r="M1304" s="187">
        <f t="shared" si="192"/>
        <v>24</v>
      </c>
      <c r="N1304" s="185">
        <v>3000</v>
      </c>
      <c r="O1304" s="185">
        <v>13500</v>
      </c>
      <c r="P1304" s="15">
        <f t="shared" si="197"/>
        <v>40500000</v>
      </c>
      <c r="Q1304" s="15" t="str">
        <f t="shared" si="198"/>
        <v/>
      </c>
      <c r="R1304" s="18" t="s">
        <v>29</v>
      </c>
      <c r="S1304" s="23">
        <v>43709</v>
      </c>
      <c r="T1304" s="20">
        <f>IFERROR(VLOOKUP(S1304,'Date Converter'!$A$4:$C$368,3,0),"")</f>
        <v>43737</v>
      </c>
      <c r="U1304" s="21">
        <f t="shared" si="196"/>
        <v>43737</v>
      </c>
      <c r="V1304" s="12"/>
      <c r="W1304" s="18"/>
      <c r="X1304" s="18"/>
      <c r="Y1304" s="12"/>
      <c r="Z1304" s="206"/>
      <c r="AA1304" s="15"/>
      <c r="AB1304" s="206"/>
      <c r="AC1304" s="12"/>
      <c r="AD1304" s="206"/>
      <c r="AE1304" s="12"/>
      <c r="AF1304" s="245"/>
      <c r="AG1304" s="12"/>
      <c r="AH1304" s="15">
        <f t="shared" si="193"/>
        <v>0</v>
      </c>
      <c r="AI1304" s="22">
        <f t="shared" si="194"/>
        <v>3000</v>
      </c>
      <c r="AJ1304" s="22">
        <f t="shared" si="195"/>
        <v>40500000</v>
      </c>
    </row>
    <row r="1305" spans="1:36" s="165" customFormat="1" hidden="1">
      <c r="A1305" s="165" t="s">
        <v>1368</v>
      </c>
      <c r="B1305" s="13">
        <v>43574</v>
      </c>
      <c r="C1305" s="13" t="s">
        <v>23</v>
      </c>
      <c r="D1305" s="165" t="s">
        <v>1369</v>
      </c>
      <c r="E1305" s="119" t="s">
        <v>1370</v>
      </c>
      <c r="F1305" s="165" t="str">
        <f t="shared" si="191"/>
        <v>PROF_14.16_300_NL2018</v>
      </c>
      <c r="G1305" s="13" t="s">
        <v>56</v>
      </c>
      <c r="H1305" s="12"/>
      <c r="I1305" s="12" t="s">
        <v>47</v>
      </c>
      <c r="J1305" s="31" t="s">
        <v>124</v>
      </c>
      <c r="K1305" s="15" t="s">
        <v>28</v>
      </c>
      <c r="L1305" s="15"/>
      <c r="M1305" s="16">
        <f t="shared" si="192"/>
        <v>0</v>
      </c>
      <c r="N1305" s="15">
        <f>12000-12000</f>
        <v>0</v>
      </c>
      <c r="O1305" s="15">
        <v>5200</v>
      </c>
      <c r="P1305" s="15">
        <f t="shared" si="197"/>
        <v>0</v>
      </c>
      <c r="Q1305" s="15" t="str">
        <f t="shared" si="198"/>
        <v>Canceled</v>
      </c>
      <c r="R1305" s="18" t="s">
        <v>71</v>
      </c>
      <c r="S1305" s="23">
        <v>43590</v>
      </c>
      <c r="T1305" s="20">
        <f>IFERROR(VLOOKUP(S1305,'Date Converter'!$A$4:$C$368,3,0),"")</f>
        <v>43623</v>
      </c>
      <c r="U1305" s="21">
        <f t="shared" si="196"/>
        <v>43623</v>
      </c>
      <c r="V1305" s="12" t="s">
        <v>1454</v>
      </c>
      <c r="W1305" s="18"/>
      <c r="X1305" s="18"/>
      <c r="Y1305" s="12"/>
      <c r="Z1305" s="206"/>
      <c r="AA1305" s="15"/>
      <c r="AB1305" s="206"/>
      <c r="AC1305" s="12"/>
      <c r="AD1305" s="206"/>
      <c r="AE1305" s="12"/>
      <c r="AF1305" s="245"/>
      <c r="AG1305" s="12"/>
      <c r="AH1305" s="15">
        <f t="shared" si="193"/>
        <v>0</v>
      </c>
      <c r="AI1305" s="22">
        <f t="shared" si="194"/>
        <v>0</v>
      </c>
      <c r="AJ1305" s="22">
        <f t="shared" si="195"/>
        <v>0</v>
      </c>
    </row>
    <row r="1306" spans="1:36" s="165" customFormat="1" hidden="1">
      <c r="A1306" s="165" t="s">
        <v>1368</v>
      </c>
      <c r="B1306" s="13">
        <v>43598</v>
      </c>
      <c r="C1306" s="13" t="s">
        <v>23</v>
      </c>
      <c r="D1306" s="165" t="s">
        <v>1369</v>
      </c>
      <c r="E1306" s="119" t="s">
        <v>1370</v>
      </c>
      <c r="F1306" s="165" t="str">
        <f t="shared" si="191"/>
        <v>PROF_14.16_275_NL2018</v>
      </c>
      <c r="G1306" s="13" t="s">
        <v>56</v>
      </c>
      <c r="H1306" s="12"/>
      <c r="I1306" s="12" t="s">
        <v>47</v>
      </c>
      <c r="J1306" s="31" t="s">
        <v>1427</v>
      </c>
      <c r="K1306" s="15" t="s">
        <v>28</v>
      </c>
      <c r="L1306" s="15"/>
      <c r="M1306" s="16">
        <f t="shared" si="192"/>
        <v>58</v>
      </c>
      <c r="N1306" s="15">
        <v>15950</v>
      </c>
      <c r="O1306" s="15">
        <v>5000</v>
      </c>
      <c r="P1306" s="15">
        <f t="shared" si="197"/>
        <v>79750000</v>
      </c>
      <c r="Q1306" s="15" t="str">
        <f t="shared" si="198"/>
        <v>Done</v>
      </c>
      <c r="R1306" s="18" t="s">
        <v>44</v>
      </c>
      <c r="S1306" s="23">
        <v>43572</v>
      </c>
      <c r="T1306" s="20">
        <f>IFERROR(VLOOKUP(S1306,'Date Converter'!$A$4:$C$368,3,0),"")</f>
        <v>43606</v>
      </c>
      <c r="U1306" s="21">
        <f t="shared" si="196"/>
        <v>43606</v>
      </c>
      <c r="V1306" s="12"/>
      <c r="W1306" s="18"/>
      <c r="X1306" s="18"/>
      <c r="Y1306" s="12"/>
      <c r="Z1306" s="206">
        <v>43604</v>
      </c>
      <c r="AA1306" s="15">
        <v>12925</v>
      </c>
      <c r="AB1306" s="206">
        <v>43612</v>
      </c>
      <c r="AC1306" s="218" t="s">
        <v>1611</v>
      </c>
      <c r="AD1306" s="206"/>
      <c r="AE1306" s="12"/>
      <c r="AF1306" s="245"/>
      <c r="AG1306" s="12"/>
      <c r="AH1306" s="15">
        <f t="shared" si="193"/>
        <v>15950</v>
      </c>
      <c r="AI1306" s="22">
        <f t="shared" si="194"/>
        <v>0</v>
      </c>
      <c r="AJ1306" s="22">
        <f t="shared" si="195"/>
        <v>0</v>
      </c>
    </row>
    <row r="1307" spans="1:36" s="165" customFormat="1" hidden="1">
      <c r="A1307" s="165" t="s">
        <v>1368</v>
      </c>
      <c r="B1307" s="13">
        <v>43598</v>
      </c>
      <c r="C1307" s="13" t="s">
        <v>23</v>
      </c>
      <c r="D1307" s="165" t="s">
        <v>1369</v>
      </c>
      <c r="E1307" s="119" t="s">
        <v>1370</v>
      </c>
      <c r="F1307" s="165" t="str">
        <f t="shared" si="191"/>
        <v>PROF_16.18_200_NL2018</v>
      </c>
      <c r="G1307" s="13" t="s">
        <v>56</v>
      </c>
      <c r="H1307" s="12"/>
      <c r="I1307" s="12" t="s">
        <v>35</v>
      </c>
      <c r="J1307" s="31" t="s">
        <v>121</v>
      </c>
      <c r="K1307" s="15" t="s">
        <v>28</v>
      </c>
      <c r="L1307" s="15"/>
      <c r="M1307" s="16">
        <f t="shared" si="192"/>
        <v>5</v>
      </c>
      <c r="N1307" s="15">
        <v>1000</v>
      </c>
      <c r="O1307" s="15">
        <v>7800</v>
      </c>
      <c r="P1307" s="15">
        <f t="shared" si="197"/>
        <v>7800000</v>
      </c>
      <c r="Q1307" s="15" t="str">
        <f t="shared" si="198"/>
        <v>Done</v>
      </c>
      <c r="R1307" s="18" t="s">
        <v>44</v>
      </c>
      <c r="S1307" s="23">
        <v>43572</v>
      </c>
      <c r="T1307" s="20">
        <f>IFERROR(VLOOKUP(S1307,'Date Converter'!$A$4:$C$368,3,0),"")</f>
        <v>43606</v>
      </c>
      <c r="U1307" s="21">
        <f t="shared" si="196"/>
        <v>43606</v>
      </c>
      <c r="V1307" s="12"/>
      <c r="W1307" s="18"/>
      <c r="X1307" s="18"/>
      <c r="Y1307" s="12"/>
      <c r="Z1307" s="206">
        <v>43612</v>
      </c>
      <c r="AA1307" s="15">
        <v>1000</v>
      </c>
      <c r="AB1307" s="206"/>
      <c r="AC1307" s="12"/>
      <c r="AD1307" s="206"/>
      <c r="AE1307" s="12"/>
      <c r="AF1307" s="245"/>
      <c r="AG1307" s="12"/>
      <c r="AH1307" s="15">
        <f t="shared" si="193"/>
        <v>1000</v>
      </c>
      <c r="AI1307" s="22">
        <f t="shared" si="194"/>
        <v>0</v>
      </c>
      <c r="AJ1307" s="22">
        <f t="shared" si="195"/>
        <v>0</v>
      </c>
    </row>
    <row r="1308" spans="1:36" s="165" customFormat="1" hidden="1">
      <c r="A1308" s="165" t="s">
        <v>1368</v>
      </c>
      <c r="B1308" s="13">
        <v>43623</v>
      </c>
      <c r="C1308" s="13" t="s">
        <v>23</v>
      </c>
      <c r="D1308" s="165" t="s">
        <v>1369</v>
      </c>
      <c r="E1308" s="119" t="s">
        <v>1370</v>
      </c>
      <c r="F1308" s="165" t="str">
        <f t="shared" si="191"/>
        <v>PAVI_12.14_400_NL2018</v>
      </c>
      <c r="G1308" s="13" t="s">
        <v>138</v>
      </c>
      <c r="H1308" s="12"/>
      <c r="I1308" s="12" t="s">
        <v>113</v>
      </c>
      <c r="J1308" s="31" t="s">
        <v>128</v>
      </c>
      <c r="K1308" s="15" t="s">
        <v>28</v>
      </c>
      <c r="L1308" s="15"/>
      <c r="M1308" s="16">
        <f t="shared" si="192"/>
        <v>5</v>
      </c>
      <c r="N1308" s="15">
        <v>2000</v>
      </c>
      <c r="O1308" s="15">
        <v>2900</v>
      </c>
      <c r="P1308" s="15">
        <f t="shared" si="197"/>
        <v>5800000</v>
      </c>
      <c r="Q1308" s="15" t="str">
        <f t="shared" si="198"/>
        <v>Done</v>
      </c>
      <c r="R1308" s="18" t="s">
        <v>44</v>
      </c>
      <c r="S1308" s="23">
        <v>43590</v>
      </c>
      <c r="T1308" s="20">
        <f>IFERROR(VLOOKUP(S1308,'Date Converter'!$A$4:$C$368,3,0),"")</f>
        <v>43623</v>
      </c>
      <c r="U1308" s="21">
        <f t="shared" si="196"/>
        <v>43623</v>
      </c>
      <c r="V1308" s="12"/>
      <c r="W1308" s="18"/>
      <c r="X1308" s="18"/>
      <c r="Y1308" s="12"/>
      <c r="Z1308" s="206">
        <v>43624</v>
      </c>
      <c r="AA1308" s="15">
        <v>2000</v>
      </c>
      <c r="AB1308" s="206"/>
      <c r="AC1308" s="12"/>
      <c r="AD1308" s="206"/>
      <c r="AE1308" s="12"/>
      <c r="AF1308" s="245"/>
      <c r="AG1308" s="12"/>
      <c r="AH1308" s="15">
        <f t="shared" si="193"/>
        <v>2000</v>
      </c>
      <c r="AI1308" s="22">
        <f t="shared" si="194"/>
        <v>0</v>
      </c>
      <c r="AJ1308" s="22">
        <f t="shared" si="195"/>
        <v>0</v>
      </c>
    </row>
    <row r="1309" spans="1:36" s="165" customFormat="1" hidden="1">
      <c r="A1309" s="165" t="s">
        <v>1368</v>
      </c>
      <c r="B1309" s="13">
        <v>43593</v>
      </c>
      <c r="C1309" s="13" t="s">
        <v>23</v>
      </c>
      <c r="D1309" s="165" t="s">
        <v>1369</v>
      </c>
      <c r="E1309" s="119" t="s">
        <v>1370</v>
      </c>
      <c r="F1309" s="165" t="str">
        <f t="shared" si="191"/>
        <v>PAVI_12.14_400_NL2018</v>
      </c>
      <c r="G1309" s="13" t="s">
        <v>138</v>
      </c>
      <c r="H1309" s="12"/>
      <c r="I1309" s="12" t="s">
        <v>113</v>
      </c>
      <c r="J1309" s="31" t="s">
        <v>128</v>
      </c>
      <c r="K1309" s="15" t="s">
        <v>28</v>
      </c>
      <c r="L1309" s="15"/>
      <c r="M1309" s="16">
        <f t="shared" si="192"/>
        <v>13</v>
      </c>
      <c r="N1309" s="15">
        <v>5200</v>
      </c>
      <c r="O1309" s="15">
        <v>2900</v>
      </c>
      <c r="P1309" s="15">
        <f t="shared" si="197"/>
        <v>15080000</v>
      </c>
      <c r="Q1309" s="15" t="str">
        <f t="shared" si="198"/>
        <v>Done</v>
      </c>
      <c r="R1309" s="18" t="s">
        <v>44</v>
      </c>
      <c r="S1309" s="23">
        <v>43572</v>
      </c>
      <c r="T1309" s="20">
        <f>IFERROR(VLOOKUP(S1309,'Date Converter'!$A$4:$C$368,3,0),"")</f>
        <v>43606</v>
      </c>
      <c r="U1309" s="21">
        <f t="shared" si="196"/>
        <v>43606</v>
      </c>
      <c r="V1309" s="12" t="s">
        <v>479</v>
      </c>
      <c r="W1309" s="18"/>
      <c r="X1309" s="18"/>
      <c r="Y1309" s="12"/>
      <c r="Z1309" s="206">
        <v>43604</v>
      </c>
      <c r="AA1309" s="15">
        <v>5200</v>
      </c>
      <c r="AB1309" s="206"/>
      <c r="AC1309" s="12"/>
      <c r="AD1309" s="206"/>
      <c r="AE1309" s="12"/>
      <c r="AF1309" s="245"/>
      <c r="AG1309" s="12"/>
      <c r="AH1309" s="15">
        <f t="shared" si="193"/>
        <v>5200</v>
      </c>
      <c r="AI1309" s="22">
        <f t="shared" si="194"/>
        <v>0</v>
      </c>
      <c r="AJ1309" s="22">
        <f t="shared" si="195"/>
        <v>0</v>
      </c>
    </row>
    <row r="1310" spans="1:36" s="165" customFormat="1" hidden="1">
      <c r="A1310" s="165" t="s">
        <v>1368</v>
      </c>
      <c r="B1310" s="13">
        <v>43609</v>
      </c>
      <c r="C1310" s="13" t="s">
        <v>23</v>
      </c>
      <c r="D1310" s="165" t="s">
        <v>1369</v>
      </c>
      <c r="E1310" s="119" t="s">
        <v>1370</v>
      </c>
      <c r="F1310" s="165" t="str">
        <f t="shared" si="191"/>
        <v>PAVI_12.14_400_NL2018</v>
      </c>
      <c r="G1310" s="13" t="s">
        <v>138</v>
      </c>
      <c r="H1310" s="12"/>
      <c r="I1310" s="12" t="s">
        <v>113</v>
      </c>
      <c r="J1310" s="31" t="s">
        <v>128</v>
      </c>
      <c r="K1310" s="15" t="s">
        <v>28</v>
      </c>
      <c r="L1310" s="15"/>
      <c r="M1310" s="16">
        <f t="shared" si="192"/>
        <v>9</v>
      </c>
      <c r="N1310" s="15">
        <v>3600</v>
      </c>
      <c r="O1310" s="15">
        <v>2900</v>
      </c>
      <c r="P1310" s="15">
        <f t="shared" si="197"/>
        <v>10440000</v>
      </c>
      <c r="Q1310" s="15" t="str">
        <f t="shared" si="198"/>
        <v>Done</v>
      </c>
      <c r="R1310" s="18" t="s">
        <v>44</v>
      </c>
      <c r="S1310" s="23">
        <v>43572</v>
      </c>
      <c r="T1310" s="20">
        <f>IFERROR(VLOOKUP(S1310,'Date Converter'!$A$4:$C$368,3,0),"")</f>
        <v>43606</v>
      </c>
      <c r="U1310" s="21">
        <f t="shared" si="196"/>
        <v>43606</v>
      </c>
      <c r="V1310" s="12"/>
      <c r="W1310" s="18"/>
      <c r="X1310" s="18"/>
      <c r="Y1310" s="12"/>
      <c r="Z1310" s="206">
        <v>43612</v>
      </c>
      <c r="AA1310" s="15">
        <v>3600</v>
      </c>
      <c r="AB1310" s="206"/>
      <c r="AC1310" s="12"/>
      <c r="AD1310" s="206"/>
      <c r="AE1310" s="12"/>
      <c r="AF1310" s="245"/>
      <c r="AG1310" s="12"/>
      <c r="AH1310" s="15">
        <f t="shared" si="193"/>
        <v>3600</v>
      </c>
      <c r="AI1310" s="22">
        <f t="shared" si="194"/>
        <v>0</v>
      </c>
      <c r="AJ1310" s="22">
        <f t="shared" si="195"/>
        <v>0</v>
      </c>
    </row>
    <row r="1311" spans="1:36" s="165" customFormat="1" hidden="1">
      <c r="A1311" s="165" t="s">
        <v>1368</v>
      </c>
      <c r="B1311" s="13">
        <v>43563</v>
      </c>
      <c r="C1311" s="13" t="s">
        <v>23</v>
      </c>
      <c r="D1311" s="165" t="s">
        <v>1369</v>
      </c>
      <c r="E1311" s="119" t="s">
        <v>1370</v>
      </c>
      <c r="F1311" s="165" t="str">
        <f t="shared" si="191"/>
        <v>NASH_14.16_300_NL2018</v>
      </c>
      <c r="G1311" s="13" t="s">
        <v>123</v>
      </c>
      <c r="H1311" s="12"/>
      <c r="I1311" s="12" t="s">
        <v>47</v>
      </c>
      <c r="J1311" s="31" t="s">
        <v>124</v>
      </c>
      <c r="K1311" s="15" t="s">
        <v>28</v>
      </c>
      <c r="L1311" s="15"/>
      <c r="M1311" s="16">
        <f t="shared" si="192"/>
        <v>27</v>
      </c>
      <c r="N1311" s="15">
        <v>8100</v>
      </c>
      <c r="O1311" s="15">
        <v>4000</v>
      </c>
      <c r="P1311" s="15">
        <f t="shared" si="197"/>
        <v>32400000</v>
      </c>
      <c r="Q1311" s="15" t="str">
        <f t="shared" si="198"/>
        <v>Done</v>
      </c>
      <c r="R1311" s="18" t="s">
        <v>44</v>
      </c>
      <c r="S1311" s="23">
        <v>43572</v>
      </c>
      <c r="T1311" s="20">
        <f>IFERROR(VLOOKUP(S1311,'Date Converter'!$A$4:$C$368,3,0),"")</f>
        <v>43606</v>
      </c>
      <c r="U1311" s="21">
        <f t="shared" si="196"/>
        <v>43606</v>
      </c>
      <c r="V1311" s="12" t="s">
        <v>479</v>
      </c>
      <c r="W1311" s="18"/>
      <c r="X1311" s="18"/>
      <c r="Y1311" s="12"/>
      <c r="Z1311" s="206">
        <v>43612</v>
      </c>
      <c r="AA1311" s="15">
        <v>8100</v>
      </c>
      <c r="AB1311" s="206"/>
      <c r="AC1311" s="12"/>
      <c r="AD1311" s="206"/>
      <c r="AE1311" s="12"/>
      <c r="AF1311" s="245"/>
      <c r="AG1311" s="12"/>
      <c r="AH1311" s="15">
        <f t="shared" si="193"/>
        <v>8100</v>
      </c>
      <c r="AI1311" s="22">
        <f t="shared" si="194"/>
        <v>0</v>
      </c>
      <c r="AJ1311" s="22">
        <f t="shared" si="195"/>
        <v>0</v>
      </c>
    </row>
    <row r="1312" spans="1:36" s="165" customFormat="1" hidden="1">
      <c r="A1312" s="165" t="s">
        <v>1368</v>
      </c>
      <c r="B1312" s="13">
        <v>43614</v>
      </c>
      <c r="C1312" s="13" t="s">
        <v>23</v>
      </c>
      <c r="D1312" s="165" t="s">
        <v>1369</v>
      </c>
      <c r="E1312" s="119" t="s">
        <v>1370</v>
      </c>
      <c r="F1312" s="165" t="str">
        <f t="shared" si="191"/>
        <v>AMAT_14.16_300_NL2018</v>
      </c>
      <c r="G1312" s="13" t="s">
        <v>112</v>
      </c>
      <c r="H1312" s="12"/>
      <c r="I1312" s="12" t="s">
        <v>47</v>
      </c>
      <c r="J1312" s="31" t="s">
        <v>124</v>
      </c>
      <c r="K1312" s="15" t="s">
        <v>28</v>
      </c>
      <c r="L1312" s="15"/>
      <c r="M1312" s="16">
        <f t="shared" si="192"/>
        <v>7</v>
      </c>
      <c r="N1312" s="15">
        <v>2100</v>
      </c>
      <c r="O1312" s="15">
        <v>4500</v>
      </c>
      <c r="P1312" s="15">
        <f t="shared" si="197"/>
        <v>9450000</v>
      </c>
      <c r="Q1312" s="15" t="str">
        <f t="shared" si="198"/>
        <v>Done</v>
      </c>
      <c r="R1312" s="18" t="s">
        <v>44</v>
      </c>
      <c r="S1312" s="23">
        <v>43590</v>
      </c>
      <c r="T1312" s="20">
        <f>IFERROR(VLOOKUP(S1312,'Date Converter'!$A$4:$C$368,3,0),"")</f>
        <v>43623</v>
      </c>
      <c r="U1312" s="21">
        <f t="shared" si="196"/>
        <v>43623</v>
      </c>
      <c r="V1312" s="12"/>
      <c r="W1312" s="18"/>
      <c r="X1312" s="18"/>
      <c r="Y1312" s="12"/>
      <c r="Z1312" s="206">
        <v>43624</v>
      </c>
      <c r="AA1312" s="15">
        <v>2100</v>
      </c>
      <c r="AB1312" s="206"/>
      <c r="AC1312" s="12"/>
      <c r="AD1312" s="206"/>
      <c r="AE1312" s="12"/>
      <c r="AF1312" s="245"/>
      <c r="AG1312" s="12"/>
      <c r="AH1312" s="15">
        <f t="shared" si="193"/>
        <v>2100</v>
      </c>
      <c r="AI1312" s="22">
        <f t="shared" si="194"/>
        <v>0</v>
      </c>
      <c r="AJ1312" s="22">
        <f t="shared" si="195"/>
        <v>0</v>
      </c>
    </row>
    <row r="1313" spans="1:37" s="165" customFormat="1" hidden="1">
      <c r="A1313" s="165" t="s">
        <v>1499</v>
      </c>
      <c r="B1313" s="13">
        <v>43587</v>
      </c>
      <c r="C1313" s="13" t="s">
        <v>23</v>
      </c>
      <c r="D1313" s="165" t="s">
        <v>1510</v>
      </c>
      <c r="E1313" s="13" t="s">
        <v>1500</v>
      </c>
      <c r="F1313" s="165" t="str">
        <f t="shared" si="191"/>
        <v>DALI_14.16_300_NL2018</v>
      </c>
      <c r="G1313" s="13" t="s">
        <v>46</v>
      </c>
      <c r="H1313" s="12"/>
      <c r="I1313" s="12" t="s">
        <v>47</v>
      </c>
      <c r="J1313" s="31" t="s">
        <v>124</v>
      </c>
      <c r="K1313" s="15" t="s">
        <v>28</v>
      </c>
      <c r="L1313" s="15"/>
      <c r="M1313" s="33">
        <f t="shared" si="192"/>
        <v>3</v>
      </c>
      <c r="N1313" s="15">
        <v>900</v>
      </c>
      <c r="O1313" s="15">
        <v>5500</v>
      </c>
      <c r="P1313" s="15">
        <f t="shared" si="197"/>
        <v>4950000</v>
      </c>
      <c r="Q1313" s="15" t="str">
        <f t="shared" si="198"/>
        <v>Done</v>
      </c>
      <c r="R1313" s="18" t="s">
        <v>44</v>
      </c>
      <c r="S1313" s="23">
        <v>43554</v>
      </c>
      <c r="T1313" s="20">
        <f>IFERROR(VLOOKUP(S1313,'Date Converter'!$A$4:$C$368,3,0),"")</f>
        <v>43589</v>
      </c>
      <c r="U1313" s="21">
        <f t="shared" si="196"/>
        <v>43589</v>
      </c>
      <c r="V1313" s="12"/>
      <c r="W1313" s="18"/>
      <c r="X1313" s="18"/>
      <c r="Y1313" s="12"/>
      <c r="Z1313" s="206">
        <v>43593</v>
      </c>
      <c r="AA1313" s="15">
        <v>900</v>
      </c>
      <c r="AB1313" s="206"/>
      <c r="AC1313" s="12"/>
      <c r="AD1313" s="206"/>
      <c r="AE1313" s="12"/>
      <c r="AF1313" s="245"/>
      <c r="AG1313" s="12"/>
      <c r="AH1313" s="15">
        <f t="shared" si="193"/>
        <v>900</v>
      </c>
      <c r="AI1313" s="22">
        <f t="shared" si="194"/>
        <v>0</v>
      </c>
      <c r="AJ1313" s="22">
        <f t="shared" si="195"/>
        <v>0</v>
      </c>
    </row>
    <row r="1314" spans="1:37" s="165" customFormat="1" hidden="1">
      <c r="A1314" s="165" t="s">
        <v>298</v>
      </c>
      <c r="B1314" s="13">
        <v>43509</v>
      </c>
      <c r="C1314" s="13" t="s">
        <v>23</v>
      </c>
      <c r="D1314" s="165" t="s">
        <v>228</v>
      </c>
      <c r="E1314" s="165" t="s">
        <v>229</v>
      </c>
      <c r="F1314" s="165" t="str">
        <f t="shared" si="191"/>
        <v>YELL_16.18_200_NL2018</v>
      </c>
      <c r="G1314" s="165" t="s">
        <v>89</v>
      </c>
      <c r="H1314" s="12"/>
      <c r="I1314" s="12" t="s">
        <v>35</v>
      </c>
      <c r="J1314" s="14">
        <v>200</v>
      </c>
      <c r="K1314" s="15" t="s">
        <v>28</v>
      </c>
      <c r="L1314" s="15"/>
      <c r="M1314" s="16">
        <f t="shared" si="192"/>
        <v>11</v>
      </c>
      <c r="N1314" s="15">
        <v>2200</v>
      </c>
      <c r="O1314" s="15">
        <v>5000</v>
      </c>
      <c r="P1314" s="15">
        <f t="shared" si="197"/>
        <v>11000000</v>
      </c>
      <c r="Q1314" s="15" t="str">
        <f t="shared" si="198"/>
        <v>Done</v>
      </c>
      <c r="R1314" s="18" t="s">
        <v>44</v>
      </c>
      <c r="S1314" s="23">
        <v>43480</v>
      </c>
      <c r="T1314" s="20">
        <f>IFERROR(VLOOKUP(S1314,'Date Converter'!$A$4:$C$368,3,0),"")</f>
        <v>43515</v>
      </c>
      <c r="U1314" s="21">
        <f t="shared" si="196"/>
        <v>43515</v>
      </c>
      <c r="V1314" s="12" t="s">
        <v>45</v>
      </c>
      <c r="W1314" s="18"/>
      <c r="X1314" s="18"/>
      <c r="Y1314" s="15"/>
      <c r="Z1314" s="206">
        <v>43525</v>
      </c>
      <c r="AA1314" s="15">
        <v>2200</v>
      </c>
      <c r="AB1314" s="206"/>
      <c r="AC1314" s="15"/>
      <c r="AD1314" s="206"/>
      <c r="AE1314" s="15"/>
      <c r="AF1314" s="244"/>
      <c r="AG1314" s="15"/>
      <c r="AH1314" s="15">
        <f t="shared" si="193"/>
        <v>2200</v>
      </c>
      <c r="AI1314" s="22">
        <f t="shared" si="194"/>
        <v>0</v>
      </c>
      <c r="AJ1314" s="22">
        <f t="shared" si="195"/>
        <v>0</v>
      </c>
    </row>
    <row r="1315" spans="1:37" s="165" customFormat="1" hidden="1">
      <c r="A1315" s="165" t="s">
        <v>1734</v>
      </c>
      <c r="B1315" s="13">
        <v>43470</v>
      </c>
      <c r="C1315" s="13" t="s">
        <v>1622</v>
      </c>
      <c r="D1315" s="165" t="s">
        <v>1141</v>
      </c>
      <c r="E1315" s="165" t="s">
        <v>1142</v>
      </c>
      <c r="F1315" s="165" t="str">
        <f t="shared" si="191"/>
        <v>YELL_DN_16.18_200_NL2018</v>
      </c>
      <c r="G1315" s="165" t="s">
        <v>89</v>
      </c>
      <c r="H1315" s="12" t="s">
        <v>480</v>
      </c>
      <c r="I1315" s="12" t="s">
        <v>35</v>
      </c>
      <c r="J1315" s="14">
        <v>200</v>
      </c>
      <c r="K1315" s="15" t="s">
        <v>28</v>
      </c>
      <c r="L1315" s="15"/>
      <c r="M1315" s="16">
        <f t="shared" si="192"/>
        <v>20</v>
      </c>
      <c r="N1315" s="15">
        <v>4000</v>
      </c>
      <c r="O1315" s="15">
        <v>5500</v>
      </c>
      <c r="P1315" s="15">
        <f t="shared" si="197"/>
        <v>22000000</v>
      </c>
      <c r="Q1315" s="15" t="str">
        <f t="shared" si="198"/>
        <v>Done</v>
      </c>
      <c r="R1315" s="18" t="s">
        <v>44</v>
      </c>
      <c r="S1315" s="117">
        <v>43511</v>
      </c>
      <c r="T1315" s="20">
        <f>IFERROR(VLOOKUP(S1315,'Date Converter'!$A$4:$C$368,3,0),"")</f>
        <v>43544</v>
      </c>
      <c r="U1315" s="21">
        <f t="shared" si="196"/>
        <v>43544</v>
      </c>
      <c r="V1315" s="12" t="s">
        <v>1735</v>
      </c>
      <c r="W1315" s="18" t="s">
        <v>41</v>
      </c>
      <c r="X1315" s="18"/>
      <c r="Y1315" s="18"/>
      <c r="Z1315" s="210">
        <v>43549</v>
      </c>
      <c r="AA1315" s="15">
        <v>4000</v>
      </c>
      <c r="AB1315" s="210"/>
      <c r="AC1315" s="15"/>
      <c r="AD1315" s="15"/>
      <c r="AE1315" s="15"/>
      <c r="AF1315" s="244"/>
      <c r="AG1315" s="15"/>
      <c r="AH1315" s="15">
        <f t="shared" si="193"/>
        <v>4000</v>
      </c>
      <c r="AI1315" s="22">
        <f t="shared" si="194"/>
        <v>0</v>
      </c>
      <c r="AJ1315" s="22">
        <f t="shared" si="195"/>
        <v>0</v>
      </c>
      <c r="AK1315" s="13">
        <v>43872</v>
      </c>
    </row>
    <row r="1316" spans="1:37" s="165" customFormat="1" hidden="1">
      <c r="A1316" s="165" t="s">
        <v>1734</v>
      </c>
      <c r="B1316" s="13">
        <v>43623</v>
      </c>
      <c r="C1316" s="13" t="s">
        <v>1622</v>
      </c>
      <c r="D1316" s="165" t="s">
        <v>1141</v>
      </c>
      <c r="E1316" s="165" t="s">
        <v>1142</v>
      </c>
      <c r="F1316" s="165" t="str">
        <f t="shared" si="191"/>
        <v>YELL_DN_16.18_200_NL2018</v>
      </c>
      <c r="G1316" s="165" t="s">
        <v>89</v>
      </c>
      <c r="H1316" s="12" t="s">
        <v>480</v>
      </c>
      <c r="I1316" s="12" t="s">
        <v>35</v>
      </c>
      <c r="J1316" s="14">
        <v>200</v>
      </c>
      <c r="K1316" s="15" t="s">
        <v>28</v>
      </c>
      <c r="L1316" s="15"/>
      <c r="M1316" s="16">
        <f t="shared" si="192"/>
        <v>0</v>
      </c>
      <c r="N1316" s="15">
        <f>3000-3000</f>
        <v>0</v>
      </c>
      <c r="O1316" s="15">
        <v>5500</v>
      </c>
      <c r="P1316" s="15">
        <f t="shared" si="197"/>
        <v>0</v>
      </c>
      <c r="Q1316" s="15" t="str">
        <f t="shared" si="198"/>
        <v>Canceled</v>
      </c>
      <c r="R1316" s="18" t="s">
        <v>71</v>
      </c>
      <c r="S1316" s="117">
        <v>43570</v>
      </c>
      <c r="T1316" s="20">
        <f>IFERROR(VLOOKUP(S1316,'Date Converter'!$A$4:$C$368,3,0),"")</f>
        <v>43604</v>
      </c>
      <c r="U1316" s="21">
        <f t="shared" si="196"/>
        <v>43604</v>
      </c>
      <c r="V1316" s="12" t="s">
        <v>87</v>
      </c>
      <c r="W1316" s="18"/>
      <c r="X1316" s="18"/>
      <c r="Y1316" s="18"/>
      <c r="Z1316" s="210"/>
      <c r="AA1316" s="15"/>
      <c r="AB1316" s="210"/>
      <c r="AC1316" s="15"/>
      <c r="AD1316" s="15"/>
      <c r="AE1316" s="15"/>
      <c r="AF1316" s="244"/>
      <c r="AG1316" s="15"/>
      <c r="AH1316" s="15">
        <f t="shared" si="193"/>
        <v>0</v>
      </c>
      <c r="AI1316" s="22">
        <f t="shared" si="194"/>
        <v>0</v>
      </c>
      <c r="AJ1316" s="22">
        <f t="shared" si="195"/>
        <v>0</v>
      </c>
      <c r="AK1316" s="13"/>
    </row>
    <row r="1317" spans="1:37" s="165" customFormat="1" hidden="1">
      <c r="A1317" s="165" t="s">
        <v>1734</v>
      </c>
      <c r="B1317" s="13">
        <v>43470</v>
      </c>
      <c r="C1317" s="13" t="s">
        <v>1622</v>
      </c>
      <c r="D1317" s="165" t="s">
        <v>1141</v>
      </c>
      <c r="E1317" s="165" t="s">
        <v>1142</v>
      </c>
      <c r="F1317" s="165" t="str">
        <f t="shared" si="191"/>
        <v>ROBI_18.20_150_NL2018</v>
      </c>
      <c r="G1317" s="165" t="s">
        <v>61</v>
      </c>
      <c r="H1317" s="12"/>
      <c r="I1317" s="12" t="s">
        <v>27</v>
      </c>
      <c r="J1317" s="14">
        <v>150</v>
      </c>
      <c r="K1317" s="15" t="s">
        <v>28</v>
      </c>
      <c r="L1317" s="15"/>
      <c r="M1317" s="16">
        <f t="shared" si="192"/>
        <v>34</v>
      </c>
      <c r="N1317" s="15">
        <v>5100</v>
      </c>
      <c r="O1317" s="15">
        <v>6300</v>
      </c>
      <c r="P1317" s="15">
        <f t="shared" si="197"/>
        <v>32130000</v>
      </c>
      <c r="Q1317" s="15" t="str">
        <f t="shared" si="198"/>
        <v>Done</v>
      </c>
      <c r="R1317" s="18" t="s">
        <v>44</v>
      </c>
      <c r="S1317" s="212">
        <v>43480</v>
      </c>
      <c r="T1317" s="20">
        <f>IFERROR(VLOOKUP(S1317,'Date Converter'!$A$4:$C$368,3,0),"")</f>
        <v>43515</v>
      </c>
      <c r="U1317" s="21">
        <f t="shared" si="196"/>
        <v>43515</v>
      </c>
      <c r="V1317" s="20" t="s">
        <v>45</v>
      </c>
      <c r="W1317" s="18"/>
      <c r="X1317" s="18"/>
      <c r="Y1317" s="18"/>
      <c r="Z1317" s="210">
        <v>43529</v>
      </c>
      <c r="AA1317" s="15">
        <v>5100</v>
      </c>
      <c r="AB1317" s="210"/>
      <c r="AC1317" s="15"/>
      <c r="AD1317" s="15"/>
      <c r="AE1317" s="15"/>
      <c r="AF1317" s="244"/>
      <c r="AG1317" s="15"/>
      <c r="AH1317" s="15">
        <f t="shared" si="193"/>
        <v>5100</v>
      </c>
      <c r="AI1317" s="22">
        <f t="shared" si="194"/>
        <v>0</v>
      </c>
      <c r="AJ1317" s="22">
        <f t="shared" si="195"/>
        <v>0</v>
      </c>
      <c r="AK1317" s="13">
        <v>43872</v>
      </c>
    </row>
    <row r="1318" spans="1:37" s="165" customFormat="1" hidden="1">
      <c r="A1318" s="165" t="s">
        <v>1734</v>
      </c>
      <c r="B1318" s="13">
        <v>43470</v>
      </c>
      <c r="C1318" s="13" t="s">
        <v>1622</v>
      </c>
      <c r="D1318" s="165" t="s">
        <v>1141</v>
      </c>
      <c r="E1318" s="165" t="s">
        <v>1142</v>
      </c>
      <c r="F1318" s="165" t="str">
        <f t="shared" si="191"/>
        <v>ROBI_18.20_150_NL2018</v>
      </c>
      <c r="G1318" s="165" t="s">
        <v>61</v>
      </c>
      <c r="H1318" s="12"/>
      <c r="I1318" s="12" t="s">
        <v>27</v>
      </c>
      <c r="J1318" s="14">
        <v>150</v>
      </c>
      <c r="K1318" s="15" t="s">
        <v>28</v>
      </c>
      <c r="L1318" s="15"/>
      <c r="M1318" s="16">
        <f t="shared" si="192"/>
        <v>40</v>
      </c>
      <c r="N1318" s="15">
        <v>6000</v>
      </c>
      <c r="O1318" s="15">
        <v>6300</v>
      </c>
      <c r="P1318" s="15">
        <f t="shared" si="197"/>
        <v>37800000</v>
      </c>
      <c r="Q1318" s="15" t="str">
        <f t="shared" si="198"/>
        <v>Done</v>
      </c>
      <c r="R1318" s="18" t="s">
        <v>44</v>
      </c>
      <c r="S1318" s="117">
        <v>43511</v>
      </c>
      <c r="T1318" s="20">
        <f>IFERROR(VLOOKUP(S1318,'Date Converter'!$A$4:$C$368,3,0),"")</f>
        <v>43544</v>
      </c>
      <c r="U1318" s="21">
        <f t="shared" si="196"/>
        <v>43544</v>
      </c>
      <c r="V1318" s="12" t="s">
        <v>1735</v>
      </c>
      <c r="W1318" s="18" t="s">
        <v>41</v>
      </c>
      <c r="X1318" s="18"/>
      <c r="Y1318" s="18"/>
      <c r="Z1318" s="210">
        <v>43549</v>
      </c>
      <c r="AA1318" s="15">
        <v>6000</v>
      </c>
      <c r="AB1318" s="210"/>
      <c r="AC1318" s="15"/>
      <c r="AD1318" s="15"/>
      <c r="AE1318" s="15"/>
      <c r="AF1318" s="244"/>
      <c r="AG1318" s="15"/>
      <c r="AH1318" s="15">
        <f t="shared" si="193"/>
        <v>6000</v>
      </c>
      <c r="AI1318" s="22">
        <f t="shared" si="194"/>
        <v>0</v>
      </c>
      <c r="AJ1318" s="22">
        <f t="shared" si="195"/>
        <v>0</v>
      </c>
      <c r="AK1318" s="13">
        <v>43872</v>
      </c>
    </row>
    <row r="1319" spans="1:37" s="165" customFormat="1" hidden="1">
      <c r="A1319" s="165" t="s">
        <v>1734</v>
      </c>
      <c r="B1319" s="13">
        <v>43623</v>
      </c>
      <c r="C1319" s="13" t="s">
        <v>1622</v>
      </c>
      <c r="D1319" s="165" t="s">
        <v>1141</v>
      </c>
      <c r="E1319" s="165" t="s">
        <v>1142</v>
      </c>
      <c r="F1319" s="165" t="str">
        <f t="shared" si="191"/>
        <v>ROBI_16.18_200_NL2018</v>
      </c>
      <c r="G1319" s="165" t="s">
        <v>61</v>
      </c>
      <c r="H1319" s="12"/>
      <c r="I1319" s="12" t="s">
        <v>35</v>
      </c>
      <c r="J1319" s="14">
        <v>200</v>
      </c>
      <c r="K1319" s="15" t="s">
        <v>28</v>
      </c>
      <c r="L1319" s="15"/>
      <c r="M1319" s="16">
        <f t="shared" si="192"/>
        <v>60</v>
      </c>
      <c r="N1319" s="15">
        <f>15000-3000</f>
        <v>12000</v>
      </c>
      <c r="O1319" s="15">
        <v>5500</v>
      </c>
      <c r="P1319" s="15">
        <f t="shared" si="197"/>
        <v>66000000</v>
      </c>
      <c r="Q1319" s="15" t="str">
        <f t="shared" si="198"/>
        <v/>
      </c>
      <c r="R1319" s="18" t="s">
        <v>63</v>
      </c>
      <c r="S1319" s="117">
        <v>43590</v>
      </c>
      <c r="T1319" s="20">
        <f>IFERROR(VLOOKUP(S1319,'Date Converter'!$A$4:$C$368,3,0),"")</f>
        <v>43623</v>
      </c>
      <c r="U1319" s="21">
        <f t="shared" si="196"/>
        <v>43623</v>
      </c>
      <c r="V1319" s="12"/>
      <c r="W1319" s="18"/>
      <c r="X1319" s="18"/>
      <c r="Y1319" s="18"/>
      <c r="Z1319" s="210"/>
      <c r="AA1319" s="15"/>
      <c r="AB1319" s="210"/>
      <c r="AC1319" s="15"/>
      <c r="AD1319" s="15"/>
      <c r="AE1319" s="15"/>
      <c r="AF1319" s="244"/>
      <c r="AG1319" s="15"/>
      <c r="AH1319" s="15">
        <f t="shared" si="193"/>
        <v>0</v>
      </c>
      <c r="AI1319" s="22">
        <f t="shared" si="194"/>
        <v>12000</v>
      </c>
      <c r="AJ1319" s="22">
        <f t="shared" si="195"/>
        <v>66000000</v>
      </c>
      <c r="AK1319" s="13"/>
    </row>
    <row r="1320" spans="1:37" s="165" customFormat="1" hidden="1">
      <c r="A1320" s="165" t="s">
        <v>1734</v>
      </c>
      <c r="B1320" s="13">
        <v>43470</v>
      </c>
      <c r="C1320" s="13" t="s">
        <v>1622</v>
      </c>
      <c r="D1320" s="165" t="s">
        <v>1141</v>
      </c>
      <c r="E1320" s="165" t="s">
        <v>1142</v>
      </c>
      <c r="F1320" s="165" t="str">
        <f t="shared" si="191"/>
        <v>ROBI_16.18_200_NL2018</v>
      </c>
      <c r="G1320" s="165" t="s">
        <v>61</v>
      </c>
      <c r="H1320" s="12"/>
      <c r="I1320" s="12" t="s">
        <v>35</v>
      </c>
      <c r="J1320" s="14">
        <v>200</v>
      </c>
      <c r="K1320" s="15" t="s">
        <v>28</v>
      </c>
      <c r="L1320" s="15"/>
      <c r="M1320" s="16">
        <f t="shared" si="192"/>
        <v>45</v>
      </c>
      <c r="N1320" s="15">
        <f>10000-1000</f>
        <v>9000</v>
      </c>
      <c r="O1320" s="15">
        <v>5100</v>
      </c>
      <c r="P1320" s="15">
        <f t="shared" si="197"/>
        <v>45900000</v>
      </c>
      <c r="Q1320" s="15" t="str">
        <f t="shared" si="198"/>
        <v>Done</v>
      </c>
      <c r="R1320" s="18" t="s">
        <v>44</v>
      </c>
      <c r="S1320" s="117">
        <v>43570</v>
      </c>
      <c r="T1320" s="20">
        <f>IFERROR(VLOOKUP(S1320,'Date Converter'!$A$4:$C$368,3,0),"")</f>
        <v>43604</v>
      </c>
      <c r="U1320" s="21">
        <f t="shared" si="196"/>
        <v>43604</v>
      </c>
      <c r="V1320" s="12" t="s">
        <v>87</v>
      </c>
      <c r="W1320" s="18"/>
      <c r="X1320" s="18"/>
      <c r="Y1320" s="18"/>
      <c r="Z1320" s="210">
        <v>43620</v>
      </c>
      <c r="AA1320" s="15">
        <v>9000</v>
      </c>
      <c r="AB1320" s="210"/>
      <c r="AC1320" s="15"/>
      <c r="AD1320" s="15"/>
      <c r="AE1320" s="15"/>
      <c r="AF1320" s="244"/>
      <c r="AG1320" s="15"/>
      <c r="AH1320" s="15">
        <f t="shared" si="193"/>
        <v>9000</v>
      </c>
      <c r="AI1320" s="22">
        <f t="shared" si="194"/>
        <v>0</v>
      </c>
      <c r="AJ1320" s="22">
        <f t="shared" si="195"/>
        <v>0</v>
      </c>
      <c r="AK1320" s="13">
        <v>43872</v>
      </c>
    </row>
    <row r="1321" spans="1:37" s="165" customFormat="1" hidden="1">
      <c r="A1321" s="165" t="s">
        <v>1737</v>
      </c>
      <c r="B1321" s="13">
        <v>43470</v>
      </c>
      <c r="C1321" s="267" t="s">
        <v>1622</v>
      </c>
      <c r="D1321" s="258" t="s">
        <v>1141</v>
      </c>
      <c r="E1321" s="165" t="s">
        <v>1142</v>
      </c>
      <c r="F1321" s="165" t="str">
        <f t="shared" si="191"/>
        <v>ROBI_20.22_125_NL2018</v>
      </c>
      <c r="G1321" s="165" t="s">
        <v>61</v>
      </c>
      <c r="H1321" s="12"/>
      <c r="I1321" s="12" t="s">
        <v>74</v>
      </c>
      <c r="J1321" s="14">
        <v>125</v>
      </c>
      <c r="K1321" s="15" t="s">
        <v>28</v>
      </c>
      <c r="L1321" s="15"/>
      <c r="M1321" s="16">
        <f t="shared" si="192"/>
        <v>160</v>
      </c>
      <c r="N1321" s="15">
        <v>20000</v>
      </c>
      <c r="O1321" s="15">
        <v>10700</v>
      </c>
      <c r="P1321" s="15">
        <f t="shared" si="197"/>
        <v>214000000</v>
      </c>
      <c r="Q1321" s="15" t="str">
        <f t="shared" si="198"/>
        <v/>
      </c>
      <c r="R1321" s="18" t="s">
        <v>29</v>
      </c>
      <c r="S1321" s="117">
        <v>43709</v>
      </c>
      <c r="T1321" s="20">
        <f>IFERROR(VLOOKUP(S1321,'Date Converter'!$A$4:$C$368,3,0),"")</f>
        <v>43737</v>
      </c>
      <c r="U1321" s="21">
        <f t="shared" si="196"/>
        <v>43737</v>
      </c>
      <c r="V1321" s="15" t="s">
        <v>51</v>
      </c>
      <c r="W1321" s="18"/>
      <c r="X1321" s="18"/>
      <c r="Y1321" s="18"/>
      <c r="Z1321" s="210"/>
      <c r="AA1321" s="15"/>
      <c r="AB1321" s="210"/>
      <c r="AC1321" s="15"/>
      <c r="AD1321" s="15"/>
      <c r="AE1321" s="15"/>
      <c r="AF1321" s="244"/>
      <c r="AG1321" s="15"/>
      <c r="AH1321" s="15">
        <f t="shared" si="193"/>
        <v>0</v>
      </c>
      <c r="AI1321" s="22">
        <f t="shared" si="194"/>
        <v>20000</v>
      </c>
      <c r="AJ1321" s="22">
        <f t="shared" si="195"/>
        <v>214000000</v>
      </c>
      <c r="AK1321" s="13"/>
    </row>
    <row r="1322" spans="1:37" s="165" customFormat="1" hidden="1">
      <c r="A1322" s="165" t="s">
        <v>1734</v>
      </c>
      <c r="B1322" s="13">
        <v>43470</v>
      </c>
      <c r="C1322" s="13" t="s">
        <v>1622</v>
      </c>
      <c r="D1322" s="165" t="s">
        <v>1141</v>
      </c>
      <c r="E1322" s="165" t="s">
        <v>1142</v>
      </c>
      <c r="F1322" s="165" t="str">
        <f t="shared" si="191"/>
        <v>MARE_16.18_200_NL2018</v>
      </c>
      <c r="G1322" s="165" t="s">
        <v>52</v>
      </c>
      <c r="H1322" s="12"/>
      <c r="I1322" s="12" t="s">
        <v>35</v>
      </c>
      <c r="J1322" s="14">
        <v>200</v>
      </c>
      <c r="K1322" s="15" t="s">
        <v>28</v>
      </c>
      <c r="L1322" s="15"/>
      <c r="M1322" s="16">
        <f t="shared" si="192"/>
        <v>50</v>
      </c>
      <c r="N1322" s="15">
        <v>10000</v>
      </c>
      <c r="O1322" s="15">
        <v>6000</v>
      </c>
      <c r="P1322" s="15">
        <f t="shared" si="197"/>
        <v>60000000</v>
      </c>
      <c r="Q1322" s="15" t="str">
        <f t="shared" si="198"/>
        <v>Done</v>
      </c>
      <c r="R1322" s="18" t="s">
        <v>44</v>
      </c>
      <c r="S1322" s="117" t="s">
        <v>151</v>
      </c>
      <c r="T1322" s="20">
        <f>IFERROR(VLOOKUP(S1322,'Date Converter'!$A$4:$C$368,3,0),"")</f>
        <v>43558</v>
      </c>
      <c r="U1322" s="21">
        <f t="shared" si="196"/>
        <v>43558</v>
      </c>
      <c r="V1322" s="12" t="s">
        <v>81</v>
      </c>
      <c r="W1322" s="18" t="s">
        <v>55</v>
      </c>
      <c r="X1322" s="18"/>
      <c r="Y1322" s="18"/>
      <c r="Z1322" s="210">
        <v>43573</v>
      </c>
      <c r="AA1322" s="15">
        <v>7000</v>
      </c>
      <c r="AB1322" s="210">
        <v>43581</v>
      </c>
      <c r="AC1322" s="15">
        <v>3000</v>
      </c>
      <c r="AD1322" s="15"/>
      <c r="AE1322" s="15"/>
      <c r="AF1322" s="244"/>
      <c r="AG1322" s="15"/>
      <c r="AH1322" s="15">
        <f t="shared" si="193"/>
        <v>10000</v>
      </c>
      <c r="AI1322" s="22">
        <f t="shared" si="194"/>
        <v>0</v>
      </c>
      <c r="AJ1322" s="22">
        <f t="shared" si="195"/>
        <v>0</v>
      </c>
      <c r="AK1322" s="13">
        <v>43872</v>
      </c>
    </row>
    <row r="1323" spans="1:37" s="165" customFormat="1" hidden="1">
      <c r="A1323" s="165" t="s">
        <v>1737</v>
      </c>
      <c r="B1323" s="13">
        <v>43470</v>
      </c>
      <c r="C1323" s="267" t="s">
        <v>1622</v>
      </c>
      <c r="D1323" s="258" t="s">
        <v>1141</v>
      </c>
      <c r="E1323" s="165" t="s">
        <v>1142</v>
      </c>
      <c r="F1323" s="165" t="str">
        <f t="shared" si="191"/>
        <v>LODI_18.20_150_NL2018</v>
      </c>
      <c r="G1323" s="165" t="s">
        <v>1367</v>
      </c>
      <c r="H1323" s="12"/>
      <c r="I1323" s="12" t="s">
        <v>27</v>
      </c>
      <c r="J1323" s="14">
        <v>150</v>
      </c>
      <c r="K1323" s="15" t="s">
        <v>28</v>
      </c>
      <c r="L1323" s="15"/>
      <c r="M1323" s="16">
        <f t="shared" si="192"/>
        <v>34</v>
      </c>
      <c r="N1323" s="15">
        <v>5100</v>
      </c>
      <c r="O1323" s="15">
        <v>9200</v>
      </c>
      <c r="P1323" s="15">
        <f t="shared" si="197"/>
        <v>46920000</v>
      </c>
      <c r="Q1323" s="15" t="str">
        <f t="shared" si="198"/>
        <v/>
      </c>
      <c r="R1323" s="18" t="s">
        <v>29</v>
      </c>
      <c r="S1323" s="117">
        <v>43709</v>
      </c>
      <c r="T1323" s="20">
        <f>IFERROR(VLOOKUP(S1323,'Date Converter'!$A$4:$C$368,3,0),"")</f>
        <v>43737</v>
      </c>
      <c r="U1323" s="21">
        <f t="shared" si="196"/>
        <v>43737</v>
      </c>
      <c r="V1323" s="15" t="s">
        <v>51</v>
      </c>
      <c r="W1323" s="18"/>
      <c r="X1323" s="18"/>
      <c r="Y1323" s="18"/>
      <c r="Z1323" s="210"/>
      <c r="AA1323" s="15">
        <v>0</v>
      </c>
      <c r="AB1323" s="210"/>
      <c r="AC1323" s="15"/>
      <c r="AD1323" s="15"/>
      <c r="AE1323" s="15"/>
      <c r="AF1323" s="244"/>
      <c r="AG1323" s="15"/>
      <c r="AH1323" s="15">
        <f t="shared" si="193"/>
        <v>0</v>
      </c>
      <c r="AI1323" s="22">
        <f t="shared" si="194"/>
        <v>5100</v>
      </c>
      <c r="AJ1323" s="22">
        <f t="shared" si="195"/>
        <v>46920000</v>
      </c>
      <c r="AK1323" s="13">
        <v>43872</v>
      </c>
    </row>
    <row r="1324" spans="1:37" s="165" customFormat="1" hidden="1">
      <c r="A1324" s="165" t="s">
        <v>1734</v>
      </c>
      <c r="B1324" s="13">
        <v>43470</v>
      </c>
      <c r="C1324" s="13" t="s">
        <v>1622</v>
      </c>
      <c r="D1324" s="165" t="s">
        <v>1141</v>
      </c>
      <c r="E1324" s="165" t="s">
        <v>1142</v>
      </c>
      <c r="F1324" s="165" t="str">
        <f t="shared" si="191"/>
        <v>DALI_14.16_300_NL2018</v>
      </c>
      <c r="G1324" s="165" t="s">
        <v>46</v>
      </c>
      <c r="H1324" s="12"/>
      <c r="I1324" s="12" t="s">
        <v>47</v>
      </c>
      <c r="J1324" s="14">
        <v>300</v>
      </c>
      <c r="K1324" s="15" t="s">
        <v>28</v>
      </c>
      <c r="L1324" s="15"/>
      <c r="M1324" s="16">
        <f t="shared" si="192"/>
        <v>34</v>
      </c>
      <c r="N1324" s="15">
        <f>10200</f>
        <v>10200</v>
      </c>
      <c r="O1324" s="15">
        <v>5350</v>
      </c>
      <c r="P1324" s="15">
        <f t="shared" si="197"/>
        <v>54570000</v>
      </c>
      <c r="Q1324" s="15" t="str">
        <f t="shared" si="198"/>
        <v/>
      </c>
      <c r="R1324" s="18" t="s">
        <v>63</v>
      </c>
      <c r="S1324" s="117">
        <v>43570</v>
      </c>
      <c r="T1324" s="20">
        <f>IFERROR(VLOOKUP(S1324,'Date Converter'!$A$4:$C$368,3,0),"")</f>
        <v>43604</v>
      </c>
      <c r="U1324" s="21">
        <f t="shared" si="196"/>
        <v>43604</v>
      </c>
      <c r="V1324" s="12" t="s">
        <v>87</v>
      </c>
      <c r="W1324" s="18"/>
      <c r="X1324" s="18"/>
      <c r="Y1324" s="18"/>
      <c r="Z1324" s="244">
        <v>43634</v>
      </c>
      <c r="AA1324" s="15">
        <v>6000</v>
      </c>
      <c r="AB1324" s="210"/>
      <c r="AC1324" s="15"/>
      <c r="AD1324" s="15"/>
      <c r="AE1324" s="15"/>
      <c r="AF1324" s="244"/>
      <c r="AG1324" s="15"/>
      <c r="AH1324" s="15">
        <f t="shared" si="193"/>
        <v>6000</v>
      </c>
      <c r="AI1324" s="22">
        <f t="shared" si="194"/>
        <v>4200</v>
      </c>
      <c r="AJ1324" s="22">
        <f t="shared" si="195"/>
        <v>22470000</v>
      </c>
      <c r="AK1324" s="13">
        <v>43872</v>
      </c>
    </row>
    <row r="1325" spans="1:37" s="165" customFormat="1" hidden="1">
      <c r="A1325" s="165" t="s">
        <v>1734</v>
      </c>
      <c r="B1325" s="13">
        <v>43633</v>
      </c>
      <c r="C1325" s="13" t="s">
        <v>1622</v>
      </c>
      <c r="D1325" s="165" t="s">
        <v>1141</v>
      </c>
      <c r="E1325" s="165" t="s">
        <v>1142</v>
      </c>
      <c r="F1325" s="165" t="str">
        <f t="shared" si="191"/>
        <v>DALI_14.16_300_NL2018</v>
      </c>
      <c r="G1325" s="165" t="s">
        <v>46</v>
      </c>
      <c r="H1325" s="12"/>
      <c r="I1325" s="12" t="s">
        <v>47</v>
      </c>
      <c r="J1325" s="31" t="s">
        <v>124</v>
      </c>
      <c r="K1325" s="15" t="s">
        <v>28</v>
      </c>
      <c r="L1325" s="15"/>
      <c r="M1325" s="16">
        <f t="shared" si="192"/>
        <v>34</v>
      </c>
      <c r="N1325" s="15">
        <v>10200</v>
      </c>
      <c r="O1325" s="15">
        <v>5500</v>
      </c>
      <c r="P1325" s="15">
        <f t="shared" si="197"/>
        <v>56100000</v>
      </c>
      <c r="Q1325" s="15" t="str">
        <f t="shared" si="198"/>
        <v/>
      </c>
      <c r="R1325" s="18" t="s">
        <v>31</v>
      </c>
      <c r="S1325" s="117">
        <v>43631</v>
      </c>
      <c r="T1325" s="20">
        <f>IFERROR(VLOOKUP(S1325,'Date Converter'!$A$4:$C$368,3,0),"")</f>
        <v>43663</v>
      </c>
      <c r="U1325" s="21">
        <f t="shared" si="196"/>
        <v>43663</v>
      </c>
      <c r="V1325" s="12"/>
      <c r="W1325" s="18"/>
      <c r="X1325" s="18"/>
      <c r="Y1325" s="18"/>
      <c r="Z1325" s="210"/>
      <c r="AA1325" s="15"/>
      <c r="AB1325" s="210"/>
      <c r="AC1325" s="15"/>
      <c r="AD1325" s="15"/>
      <c r="AE1325" s="15"/>
      <c r="AF1325" s="244"/>
      <c r="AG1325" s="15"/>
      <c r="AH1325" s="15">
        <f t="shared" si="193"/>
        <v>0</v>
      </c>
      <c r="AI1325" s="22">
        <f t="shared" si="194"/>
        <v>10200</v>
      </c>
      <c r="AJ1325" s="22">
        <f t="shared" si="195"/>
        <v>56100000</v>
      </c>
      <c r="AK1325" s="13"/>
    </row>
    <row r="1326" spans="1:37" s="165" customFormat="1" hidden="1">
      <c r="A1326" s="165" t="s">
        <v>1734</v>
      </c>
      <c r="B1326" s="13">
        <v>43633</v>
      </c>
      <c r="C1326" s="13" t="s">
        <v>1622</v>
      </c>
      <c r="D1326" s="165" t="s">
        <v>1141</v>
      </c>
      <c r="E1326" s="165" t="s">
        <v>1142</v>
      </c>
      <c r="F1326" s="165" t="str">
        <f t="shared" si="191"/>
        <v>DALI_14.16_300_NL2018</v>
      </c>
      <c r="G1326" s="165" t="s">
        <v>46</v>
      </c>
      <c r="H1326" s="12"/>
      <c r="I1326" s="12" t="s">
        <v>47</v>
      </c>
      <c r="J1326" s="31" t="s">
        <v>124</v>
      </c>
      <c r="K1326" s="15" t="s">
        <v>28</v>
      </c>
      <c r="L1326" s="15"/>
      <c r="M1326" s="16">
        <f t="shared" si="192"/>
        <v>34</v>
      </c>
      <c r="N1326" s="15">
        <v>10200</v>
      </c>
      <c r="O1326" s="15">
        <v>5500</v>
      </c>
      <c r="P1326" s="15">
        <f t="shared" si="197"/>
        <v>56100000</v>
      </c>
      <c r="Q1326" s="15" t="str">
        <f t="shared" si="198"/>
        <v/>
      </c>
      <c r="R1326" s="18" t="s">
        <v>29</v>
      </c>
      <c r="S1326" s="117">
        <v>43641</v>
      </c>
      <c r="T1326" s="20">
        <f>IFERROR(VLOOKUP(S1326,'Date Converter'!$A$4:$C$368,3,0),"")</f>
        <v>43673</v>
      </c>
      <c r="U1326" s="21">
        <f t="shared" si="196"/>
        <v>43673</v>
      </c>
      <c r="V1326" s="12"/>
      <c r="W1326" s="18"/>
      <c r="X1326" s="18"/>
      <c r="Y1326" s="18"/>
      <c r="Z1326" s="210"/>
      <c r="AA1326" s="15"/>
      <c r="AB1326" s="210"/>
      <c r="AC1326" s="15"/>
      <c r="AD1326" s="15"/>
      <c r="AE1326" s="15"/>
      <c r="AF1326" s="244"/>
      <c r="AG1326" s="15"/>
      <c r="AH1326" s="15">
        <f t="shared" si="193"/>
        <v>0</v>
      </c>
      <c r="AI1326" s="22">
        <f t="shared" si="194"/>
        <v>10200</v>
      </c>
      <c r="AJ1326" s="22">
        <f t="shared" si="195"/>
        <v>56100000</v>
      </c>
      <c r="AK1326" s="13"/>
    </row>
    <row r="1327" spans="1:37" s="165" customFormat="1" hidden="1">
      <c r="A1327" s="165" t="s">
        <v>1734</v>
      </c>
      <c r="B1327" s="13">
        <v>43470</v>
      </c>
      <c r="C1327" s="13" t="s">
        <v>1622</v>
      </c>
      <c r="D1327" s="165" t="s">
        <v>1141</v>
      </c>
      <c r="E1327" s="165" t="s">
        <v>1142</v>
      </c>
      <c r="F1327" s="165" t="str">
        <f t="shared" si="191"/>
        <v>DALI_14.16_300_NL2018</v>
      </c>
      <c r="G1327" s="165" t="s">
        <v>46</v>
      </c>
      <c r="H1327" s="12"/>
      <c r="I1327" s="12" t="s">
        <v>47</v>
      </c>
      <c r="J1327" s="14">
        <v>300</v>
      </c>
      <c r="K1327" s="15" t="s">
        <v>28</v>
      </c>
      <c r="L1327" s="15"/>
      <c r="M1327" s="16">
        <f t="shared" si="192"/>
        <v>17</v>
      </c>
      <c r="N1327" s="15">
        <v>5100</v>
      </c>
      <c r="O1327" s="15">
        <v>5300</v>
      </c>
      <c r="P1327" s="15">
        <f t="shared" si="197"/>
        <v>27030000</v>
      </c>
      <c r="Q1327" s="15" t="str">
        <f t="shared" si="198"/>
        <v>Done</v>
      </c>
      <c r="R1327" s="18" t="s">
        <v>44</v>
      </c>
      <c r="S1327" s="117" t="s">
        <v>151</v>
      </c>
      <c r="T1327" s="20">
        <f>IFERROR(VLOOKUP(S1327,'Date Converter'!$A$4:$C$368,3,0),"")</f>
        <v>43558</v>
      </c>
      <c r="U1327" s="21">
        <f t="shared" si="196"/>
        <v>43558</v>
      </c>
      <c r="V1327" s="12" t="s">
        <v>81</v>
      </c>
      <c r="W1327" s="18" t="s">
        <v>55</v>
      </c>
      <c r="X1327" s="18"/>
      <c r="Y1327" s="18"/>
      <c r="Z1327" s="210">
        <v>43573</v>
      </c>
      <c r="AA1327" s="15">
        <v>5100</v>
      </c>
      <c r="AB1327" s="210"/>
      <c r="AC1327" s="15"/>
      <c r="AD1327" s="15"/>
      <c r="AE1327" s="15"/>
      <c r="AF1327" s="244"/>
      <c r="AG1327" s="15"/>
      <c r="AH1327" s="15">
        <f t="shared" si="193"/>
        <v>5100</v>
      </c>
      <c r="AI1327" s="22">
        <f t="shared" si="194"/>
        <v>0</v>
      </c>
      <c r="AJ1327" s="22">
        <f t="shared" si="195"/>
        <v>0</v>
      </c>
      <c r="AK1327" s="13">
        <v>43872</v>
      </c>
    </row>
    <row r="1328" spans="1:37" s="165" customFormat="1" ht="13.5" hidden="1" customHeight="1">
      <c r="A1328" s="165" t="s">
        <v>1734</v>
      </c>
      <c r="B1328" s="13">
        <v>43470</v>
      </c>
      <c r="C1328" s="13" t="s">
        <v>1622</v>
      </c>
      <c r="D1328" s="165" t="s">
        <v>1141</v>
      </c>
      <c r="E1328" s="165" t="s">
        <v>1142</v>
      </c>
      <c r="F1328" s="165" t="str">
        <f t="shared" si="191"/>
        <v>CONC_16.18_200_NL2018</v>
      </c>
      <c r="G1328" s="165" t="s">
        <v>43</v>
      </c>
      <c r="H1328" s="12"/>
      <c r="I1328" s="12" t="s">
        <v>35</v>
      </c>
      <c r="J1328" s="14">
        <v>200</v>
      </c>
      <c r="K1328" s="15" t="s">
        <v>28</v>
      </c>
      <c r="L1328" s="15"/>
      <c r="M1328" s="16">
        <f t="shared" si="192"/>
        <v>50</v>
      </c>
      <c r="N1328" s="15">
        <v>10000</v>
      </c>
      <c r="O1328" s="15">
        <v>4700</v>
      </c>
      <c r="P1328" s="15">
        <f t="shared" si="197"/>
        <v>47000000</v>
      </c>
      <c r="Q1328" s="15" t="str">
        <f t="shared" si="198"/>
        <v>Done</v>
      </c>
      <c r="R1328" s="18" t="s">
        <v>44</v>
      </c>
      <c r="S1328" s="117">
        <v>43480</v>
      </c>
      <c r="T1328" s="20">
        <f>IFERROR(VLOOKUP(S1328,'Date Converter'!$A$4:$C$368,3,0),"")</f>
        <v>43515</v>
      </c>
      <c r="U1328" s="21">
        <f t="shared" si="196"/>
        <v>43515</v>
      </c>
      <c r="V1328" s="12" t="s">
        <v>45</v>
      </c>
      <c r="W1328" s="18"/>
      <c r="X1328" s="18"/>
      <c r="Y1328" s="18"/>
      <c r="Z1328" s="210">
        <v>43515</v>
      </c>
      <c r="AA1328" s="15">
        <v>10000</v>
      </c>
      <c r="AB1328" s="210"/>
      <c r="AC1328" s="15"/>
      <c r="AD1328" s="15"/>
      <c r="AE1328" s="15"/>
      <c r="AF1328" s="244"/>
      <c r="AG1328" s="15"/>
      <c r="AH1328" s="15">
        <f t="shared" si="193"/>
        <v>10000</v>
      </c>
      <c r="AI1328" s="22">
        <f t="shared" si="194"/>
        <v>0</v>
      </c>
      <c r="AJ1328" s="22">
        <f t="shared" si="195"/>
        <v>0</v>
      </c>
      <c r="AK1328" s="13">
        <v>43872</v>
      </c>
    </row>
    <row r="1329" spans="1:37" s="165" customFormat="1" hidden="1">
      <c r="A1329" s="165" t="s">
        <v>1734</v>
      </c>
      <c r="B1329" s="13">
        <v>43470</v>
      </c>
      <c r="C1329" s="13" t="s">
        <v>1622</v>
      </c>
      <c r="D1329" s="165" t="s">
        <v>1141</v>
      </c>
      <c r="E1329" s="165" t="s">
        <v>1142</v>
      </c>
      <c r="F1329" s="165" t="str">
        <f t="shared" si="191"/>
        <v>CONC_16.18_200_NL2018</v>
      </c>
      <c r="G1329" s="165" t="s">
        <v>40</v>
      </c>
      <c r="H1329" s="12"/>
      <c r="I1329" s="12" t="s">
        <v>35</v>
      </c>
      <c r="J1329" s="14">
        <v>200</v>
      </c>
      <c r="K1329" s="15" t="s">
        <v>28</v>
      </c>
      <c r="L1329" s="15"/>
      <c r="M1329" s="16">
        <f t="shared" si="192"/>
        <v>50</v>
      </c>
      <c r="N1329" s="15">
        <f>10000+5000-5000</f>
        <v>10000</v>
      </c>
      <c r="O1329" s="15">
        <v>5000</v>
      </c>
      <c r="P1329" s="15">
        <f t="shared" si="197"/>
        <v>50000000</v>
      </c>
      <c r="Q1329" s="15" t="str">
        <f t="shared" si="198"/>
        <v>Done</v>
      </c>
      <c r="R1329" s="18" t="s">
        <v>44</v>
      </c>
      <c r="S1329" s="117">
        <v>43539</v>
      </c>
      <c r="T1329" s="20">
        <f>IFERROR(VLOOKUP(S1329,'Date Converter'!$A$4:$C$368,3,0),"")</f>
        <v>43574</v>
      </c>
      <c r="U1329" s="21">
        <f t="shared" si="196"/>
        <v>43574</v>
      </c>
      <c r="V1329" s="12" t="s">
        <v>57</v>
      </c>
      <c r="W1329" s="18" t="s">
        <v>108</v>
      </c>
      <c r="X1329" s="18"/>
      <c r="Y1329" s="18"/>
      <c r="Z1329" s="210">
        <v>43606</v>
      </c>
      <c r="AA1329" s="15">
        <v>10000</v>
      </c>
      <c r="AB1329" s="210"/>
      <c r="AC1329" s="15"/>
      <c r="AD1329" s="15"/>
      <c r="AE1329" s="15"/>
      <c r="AF1329" s="244"/>
      <c r="AG1329" s="15"/>
      <c r="AH1329" s="15">
        <f t="shared" si="193"/>
        <v>10000</v>
      </c>
      <c r="AI1329" s="22">
        <f t="shared" si="194"/>
        <v>0</v>
      </c>
      <c r="AJ1329" s="22">
        <f t="shared" si="195"/>
        <v>0</v>
      </c>
      <c r="AK1329" s="13">
        <v>43872</v>
      </c>
    </row>
    <row r="1330" spans="1:37" s="165" customFormat="1" hidden="1">
      <c r="A1330" s="165" t="s">
        <v>1734</v>
      </c>
      <c r="B1330" s="13">
        <v>43470</v>
      </c>
      <c r="C1330" s="13" t="s">
        <v>1622</v>
      </c>
      <c r="D1330" s="165" t="s">
        <v>1141</v>
      </c>
      <c r="E1330" s="165" t="s">
        <v>1142</v>
      </c>
      <c r="F1330" s="165" t="str">
        <f t="shared" si="191"/>
        <v>CONC_16.18_200_NL2018</v>
      </c>
      <c r="G1330" s="165" t="s">
        <v>40</v>
      </c>
      <c r="H1330" s="12"/>
      <c r="I1330" s="12" t="s">
        <v>35</v>
      </c>
      <c r="J1330" s="14">
        <v>200</v>
      </c>
      <c r="K1330" s="15" t="s">
        <v>28</v>
      </c>
      <c r="L1330" s="15"/>
      <c r="M1330" s="16">
        <f t="shared" si="192"/>
        <v>25</v>
      </c>
      <c r="N1330" s="15">
        <v>5000</v>
      </c>
      <c r="O1330" s="15">
        <v>5000</v>
      </c>
      <c r="P1330" s="15">
        <f t="shared" si="197"/>
        <v>25000000</v>
      </c>
      <c r="Q1330" s="15" t="str">
        <f t="shared" si="198"/>
        <v>Done</v>
      </c>
      <c r="R1330" s="18" t="s">
        <v>44</v>
      </c>
      <c r="S1330" s="117">
        <v>43572</v>
      </c>
      <c r="T1330" s="20">
        <f>IFERROR(VLOOKUP(S1330,'Date Converter'!$A$4:$C$368,3,0),"")</f>
        <v>43606</v>
      </c>
      <c r="U1330" s="21">
        <f t="shared" si="196"/>
        <v>43606</v>
      </c>
      <c r="V1330" s="12"/>
      <c r="W1330" s="18"/>
      <c r="X1330" s="18"/>
      <c r="Y1330" s="18"/>
      <c r="Z1330" s="210">
        <v>43620</v>
      </c>
      <c r="AA1330" s="15">
        <v>5000</v>
      </c>
      <c r="AB1330" s="210"/>
      <c r="AC1330" s="15"/>
      <c r="AD1330" s="15"/>
      <c r="AE1330" s="15"/>
      <c r="AF1330" s="244"/>
      <c r="AG1330" s="15"/>
      <c r="AH1330" s="15">
        <f t="shared" si="193"/>
        <v>5000</v>
      </c>
      <c r="AI1330" s="22">
        <f t="shared" si="194"/>
        <v>0</v>
      </c>
      <c r="AJ1330" s="22">
        <f t="shared" si="195"/>
        <v>0</v>
      </c>
      <c r="AK1330" s="13"/>
    </row>
    <row r="1331" spans="1:37" s="165" customFormat="1" hidden="1">
      <c r="A1331" s="165" t="s">
        <v>1737</v>
      </c>
      <c r="B1331" s="13">
        <v>43470</v>
      </c>
      <c r="C1331" s="267" t="s">
        <v>1622</v>
      </c>
      <c r="D1331" s="258" t="s">
        <v>1141</v>
      </c>
      <c r="E1331" s="165" t="s">
        <v>1142</v>
      </c>
      <c r="F1331" s="165" t="str">
        <f t="shared" si="191"/>
        <v>CONC_20.22_125_NL2018</v>
      </c>
      <c r="G1331" s="165" t="s">
        <v>40</v>
      </c>
      <c r="H1331" s="12"/>
      <c r="I1331" s="12" t="s">
        <v>74</v>
      </c>
      <c r="J1331" s="14">
        <v>125</v>
      </c>
      <c r="K1331" s="15" t="s">
        <v>28</v>
      </c>
      <c r="L1331" s="15"/>
      <c r="M1331" s="16">
        <f t="shared" si="192"/>
        <v>160</v>
      </c>
      <c r="N1331" s="15">
        <v>20000</v>
      </c>
      <c r="O1331" s="15">
        <v>10500</v>
      </c>
      <c r="P1331" s="15">
        <f t="shared" si="197"/>
        <v>210000000</v>
      </c>
      <c r="Q1331" s="15" t="str">
        <f t="shared" si="198"/>
        <v/>
      </c>
      <c r="R1331" s="18" t="s">
        <v>29</v>
      </c>
      <c r="S1331" s="117">
        <v>43709</v>
      </c>
      <c r="T1331" s="20">
        <f>IFERROR(VLOOKUP(S1331,'Date Converter'!$A$4:$C$368,3,0),"")</f>
        <v>43737</v>
      </c>
      <c r="U1331" s="21">
        <f t="shared" si="196"/>
        <v>43737</v>
      </c>
      <c r="V1331" s="15" t="s">
        <v>51</v>
      </c>
      <c r="W1331" s="18"/>
      <c r="X1331" s="18"/>
      <c r="Y1331" s="18"/>
      <c r="Z1331" s="210"/>
      <c r="AA1331" s="15">
        <v>0</v>
      </c>
      <c r="AB1331" s="210"/>
      <c r="AC1331" s="15"/>
      <c r="AD1331" s="15"/>
      <c r="AE1331" s="15"/>
      <c r="AF1331" s="244"/>
      <c r="AG1331" s="15"/>
      <c r="AH1331" s="15">
        <f t="shared" si="193"/>
        <v>0</v>
      </c>
      <c r="AI1331" s="22">
        <f t="shared" si="194"/>
        <v>20000</v>
      </c>
      <c r="AJ1331" s="22">
        <f t="shared" si="195"/>
        <v>210000000</v>
      </c>
      <c r="AK1331" s="13">
        <v>43872</v>
      </c>
    </row>
    <row r="1332" spans="1:37" s="165" customFormat="1" hidden="1">
      <c r="A1332" s="165" t="s">
        <v>1734</v>
      </c>
      <c r="B1332" s="13">
        <v>43470</v>
      </c>
      <c r="C1332" s="13" t="s">
        <v>1622</v>
      </c>
      <c r="D1332" s="165" t="s">
        <v>1141</v>
      </c>
      <c r="E1332" s="165" t="s">
        <v>1142</v>
      </c>
      <c r="F1332" s="165" t="str">
        <f t="shared" si="191"/>
        <v>BACA_15.16_300_NL2018</v>
      </c>
      <c r="G1332" s="165" t="s">
        <v>67</v>
      </c>
      <c r="H1332" s="12"/>
      <c r="I1332" s="12" t="s">
        <v>77</v>
      </c>
      <c r="J1332" s="14">
        <v>300</v>
      </c>
      <c r="K1332" s="15" t="s">
        <v>28</v>
      </c>
      <c r="L1332" s="15"/>
      <c r="M1332" s="16">
        <f t="shared" si="192"/>
        <v>17</v>
      </c>
      <c r="N1332" s="15">
        <v>5100</v>
      </c>
      <c r="O1332" s="15">
        <v>4500</v>
      </c>
      <c r="P1332" s="15">
        <f t="shared" si="197"/>
        <v>22950000</v>
      </c>
      <c r="Q1332" s="15" t="str">
        <f t="shared" si="198"/>
        <v>Done</v>
      </c>
      <c r="R1332" s="18" t="s">
        <v>44</v>
      </c>
      <c r="S1332" s="212">
        <v>43480</v>
      </c>
      <c r="T1332" s="20">
        <f>IFERROR(VLOOKUP(S1332,'Date Converter'!$A$4:$C$368,3,0),"")</f>
        <v>43515</v>
      </c>
      <c r="U1332" s="21">
        <f t="shared" si="196"/>
        <v>43515</v>
      </c>
      <c r="V1332" s="20" t="s">
        <v>45</v>
      </c>
      <c r="W1332" s="18"/>
      <c r="X1332" s="18"/>
      <c r="Y1332" s="18"/>
      <c r="Z1332" s="210">
        <v>43529</v>
      </c>
      <c r="AA1332" s="15">
        <v>5100</v>
      </c>
      <c r="AB1332" s="210"/>
      <c r="AC1332" s="15"/>
      <c r="AD1332" s="15"/>
      <c r="AE1332" s="15"/>
      <c r="AF1332" s="244"/>
      <c r="AG1332" s="15"/>
      <c r="AH1332" s="15">
        <f t="shared" si="193"/>
        <v>5100</v>
      </c>
      <c r="AI1332" s="22">
        <f t="shared" si="194"/>
        <v>0</v>
      </c>
      <c r="AJ1332" s="22">
        <f t="shared" si="195"/>
        <v>0</v>
      </c>
      <c r="AK1332" s="13">
        <v>43872</v>
      </c>
    </row>
    <row r="1333" spans="1:37" s="165" customFormat="1" hidden="1">
      <c r="A1333" s="165" t="s">
        <v>1734</v>
      </c>
      <c r="B1333" s="13">
        <v>43470</v>
      </c>
      <c r="C1333" s="13" t="s">
        <v>1622</v>
      </c>
      <c r="D1333" s="165" t="s">
        <v>1141</v>
      </c>
      <c r="E1333" s="165" t="s">
        <v>1142</v>
      </c>
      <c r="F1333" s="165" t="str">
        <f t="shared" ref="F1333:F1395" si="199">SUBSTITUTE(LEFT(G1333,4)&amp;"_"&amp;H1333&amp;"_"&amp;I1333&amp;"_"&amp;J1333&amp;"_"&amp;K1333,"__","_")</f>
        <v>BACA_16.18_200_NL2018</v>
      </c>
      <c r="G1333" s="165" t="s">
        <v>67</v>
      </c>
      <c r="H1333" s="12"/>
      <c r="I1333" s="12" t="s">
        <v>35</v>
      </c>
      <c r="J1333" s="14">
        <v>200</v>
      </c>
      <c r="K1333" s="15" t="s">
        <v>28</v>
      </c>
      <c r="L1333" s="15"/>
      <c r="M1333" s="16">
        <f t="shared" ref="M1333:M1395" si="200">+N1333/J1333</f>
        <v>25</v>
      </c>
      <c r="N1333" s="15">
        <v>5000</v>
      </c>
      <c r="O1333" s="15">
        <v>6300</v>
      </c>
      <c r="P1333" s="15">
        <f t="shared" si="197"/>
        <v>31500000</v>
      </c>
      <c r="Q1333" s="15" t="str">
        <f t="shared" si="198"/>
        <v>Done</v>
      </c>
      <c r="R1333" s="18" t="s">
        <v>44</v>
      </c>
      <c r="S1333" s="212">
        <v>43480</v>
      </c>
      <c r="T1333" s="20">
        <f>IFERROR(VLOOKUP(S1333,'Date Converter'!$A$4:$C$368,3,0),"")</f>
        <v>43515</v>
      </c>
      <c r="U1333" s="21">
        <f t="shared" si="196"/>
        <v>43515</v>
      </c>
      <c r="V1333" s="20" t="s">
        <v>45</v>
      </c>
      <c r="W1333" s="18"/>
      <c r="X1333" s="18"/>
      <c r="Y1333" s="18"/>
      <c r="Z1333" s="210">
        <v>43529</v>
      </c>
      <c r="AA1333" s="15">
        <v>5000</v>
      </c>
      <c r="AB1333" s="210"/>
      <c r="AC1333" s="15"/>
      <c r="AD1333" s="15"/>
      <c r="AE1333" s="15"/>
      <c r="AF1333" s="244"/>
      <c r="AG1333" s="15"/>
      <c r="AH1333" s="15">
        <f t="shared" ref="AH1333:AH1395" si="201">+AA1333+AC1333+AE1333+AG1333</f>
        <v>5000</v>
      </c>
      <c r="AI1333" s="22">
        <f t="shared" ref="AI1333:AI1395" si="202">+N1333-AH1333</f>
        <v>0</v>
      </c>
      <c r="AJ1333" s="22">
        <f t="shared" ref="AJ1333:AJ1395" si="203">+AI1333*O1333</f>
        <v>0</v>
      </c>
      <c r="AK1333" s="13">
        <v>43872</v>
      </c>
    </row>
    <row r="1334" spans="1:37" s="165" customFormat="1" hidden="1">
      <c r="A1334" s="165" t="s">
        <v>1734</v>
      </c>
      <c r="B1334" s="13">
        <v>43470</v>
      </c>
      <c r="C1334" s="13" t="s">
        <v>1622</v>
      </c>
      <c r="D1334" s="165" t="s">
        <v>1141</v>
      </c>
      <c r="E1334" s="165" t="s">
        <v>1142</v>
      </c>
      <c r="F1334" s="165" t="str">
        <f t="shared" si="199"/>
        <v>ARVA_16.18_200_NL2018</v>
      </c>
      <c r="G1334" s="165" t="s">
        <v>85</v>
      </c>
      <c r="H1334" s="12"/>
      <c r="I1334" s="12" t="s">
        <v>35</v>
      </c>
      <c r="J1334" s="14">
        <v>200</v>
      </c>
      <c r="K1334" s="15" t="s">
        <v>28</v>
      </c>
      <c r="L1334" s="15"/>
      <c r="M1334" s="16">
        <f t="shared" si="200"/>
        <v>145</v>
      </c>
      <c r="N1334" s="15">
        <f>30000-1000</f>
        <v>29000</v>
      </c>
      <c r="O1334" s="15">
        <v>5500</v>
      </c>
      <c r="P1334" s="15">
        <f t="shared" si="197"/>
        <v>159500000</v>
      </c>
      <c r="Q1334" s="15" t="str">
        <f t="shared" si="198"/>
        <v/>
      </c>
      <c r="R1334" s="18" t="s">
        <v>63</v>
      </c>
      <c r="S1334" s="117">
        <v>43539</v>
      </c>
      <c r="T1334" s="20">
        <f>IFERROR(VLOOKUP(S1334,'Date Converter'!$A$4:$C$368,3,0),"")</f>
        <v>43574</v>
      </c>
      <c r="U1334" s="21">
        <f t="shared" si="196"/>
        <v>43574</v>
      </c>
      <c r="V1334" s="12" t="s">
        <v>57</v>
      </c>
      <c r="W1334" s="18" t="s">
        <v>86</v>
      </c>
      <c r="X1334" s="18"/>
      <c r="Y1334" s="18"/>
      <c r="Z1334" s="210">
        <v>43581</v>
      </c>
      <c r="AA1334" s="15">
        <v>7000</v>
      </c>
      <c r="AB1334" s="210">
        <v>43606</v>
      </c>
      <c r="AC1334" s="15">
        <v>6000</v>
      </c>
      <c r="AD1334" s="210">
        <v>43621</v>
      </c>
      <c r="AE1334" s="15">
        <v>5000</v>
      </c>
      <c r="AF1334" s="244">
        <v>43634</v>
      </c>
      <c r="AG1334" s="15">
        <v>6000</v>
      </c>
      <c r="AH1334" s="15">
        <f t="shared" si="201"/>
        <v>24000</v>
      </c>
      <c r="AI1334" s="22">
        <f t="shared" si="202"/>
        <v>5000</v>
      </c>
      <c r="AJ1334" s="22">
        <f t="shared" si="203"/>
        <v>27500000</v>
      </c>
      <c r="AK1334" s="13">
        <v>43872</v>
      </c>
    </row>
    <row r="1335" spans="1:37" s="165" customFormat="1" hidden="1">
      <c r="A1335" s="165" t="s">
        <v>1734</v>
      </c>
      <c r="B1335" s="13">
        <v>43470</v>
      </c>
      <c r="C1335" s="13" t="s">
        <v>1622</v>
      </c>
      <c r="D1335" s="165" t="s">
        <v>1141</v>
      </c>
      <c r="E1335" s="165" t="s">
        <v>1142</v>
      </c>
      <c r="F1335" s="165" t="str">
        <f t="shared" si="199"/>
        <v>ARVA_16.18_200_NL2018</v>
      </c>
      <c r="G1335" s="165" t="s">
        <v>85</v>
      </c>
      <c r="H1335" s="12"/>
      <c r="I1335" s="12" t="s">
        <v>35</v>
      </c>
      <c r="J1335" s="14">
        <v>200</v>
      </c>
      <c r="K1335" s="15" t="s">
        <v>28</v>
      </c>
      <c r="L1335" s="15"/>
      <c r="M1335" s="16">
        <f t="shared" si="200"/>
        <v>0</v>
      </c>
      <c r="N1335" s="15">
        <f>15000-15000</f>
        <v>0</v>
      </c>
      <c r="O1335" s="15">
        <v>5600</v>
      </c>
      <c r="P1335" s="15">
        <f t="shared" si="197"/>
        <v>0</v>
      </c>
      <c r="Q1335" s="15" t="str">
        <f t="shared" si="198"/>
        <v>Canceled</v>
      </c>
      <c r="R1335" s="18" t="s">
        <v>71</v>
      </c>
      <c r="S1335" s="117">
        <v>43570</v>
      </c>
      <c r="T1335" s="20">
        <f>IFERROR(VLOOKUP(S1335,'Date Converter'!$A$4:$C$368,3,0),"")</f>
        <v>43604</v>
      </c>
      <c r="U1335" s="21">
        <f t="shared" si="196"/>
        <v>43604</v>
      </c>
      <c r="V1335" s="12" t="s">
        <v>87</v>
      </c>
      <c r="W1335" s="18"/>
      <c r="X1335" s="18"/>
      <c r="Y1335" s="18"/>
      <c r="Z1335" s="210"/>
      <c r="AA1335" s="15">
        <v>0</v>
      </c>
      <c r="AB1335" s="210"/>
      <c r="AC1335" s="15"/>
      <c r="AD1335" s="15"/>
      <c r="AE1335" s="15"/>
      <c r="AF1335" s="244"/>
      <c r="AG1335" s="15"/>
      <c r="AH1335" s="15">
        <f t="shared" si="201"/>
        <v>0</v>
      </c>
      <c r="AI1335" s="22">
        <f t="shared" si="202"/>
        <v>0</v>
      </c>
      <c r="AJ1335" s="22">
        <f t="shared" si="203"/>
        <v>0</v>
      </c>
      <c r="AK1335" s="13">
        <v>43872</v>
      </c>
    </row>
    <row r="1336" spans="1:37" s="165" customFormat="1" hidden="1">
      <c r="A1336" s="165" t="s">
        <v>1737</v>
      </c>
      <c r="B1336" s="13">
        <v>43470</v>
      </c>
      <c r="C1336" s="267" t="s">
        <v>1622</v>
      </c>
      <c r="D1336" s="258" t="s">
        <v>1141</v>
      </c>
      <c r="E1336" s="165" t="s">
        <v>1142</v>
      </c>
      <c r="F1336" s="165" t="str">
        <f t="shared" si="199"/>
        <v>ARVA_18.20_150_NL2018</v>
      </c>
      <c r="G1336" s="165" t="s">
        <v>85</v>
      </c>
      <c r="H1336" s="12"/>
      <c r="I1336" s="12" t="s">
        <v>27</v>
      </c>
      <c r="J1336" s="14">
        <v>150</v>
      </c>
      <c r="K1336" s="15" t="s">
        <v>28</v>
      </c>
      <c r="L1336" s="15"/>
      <c r="M1336" s="16">
        <f t="shared" si="200"/>
        <v>68</v>
      </c>
      <c r="N1336" s="15">
        <v>10200</v>
      </c>
      <c r="O1336" s="15">
        <v>8500</v>
      </c>
      <c r="P1336" s="15">
        <f t="shared" si="197"/>
        <v>86700000</v>
      </c>
      <c r="Q1336" s="15" t="str">
        <f t="shared" si="198"/>
        <v/>
      </c>
      <c r="R1336" s="18" t="s">
        <v>29</v>
      </c>
      <c r="S1336" s="117">
        <v>43709</v>
      </c>
      <c r="T1336" s="20">
        <f>IFERROR(VLOOKUP(S1336,'Date Converter'!$A$4:$C$368,3,0),"")</f>
        <v>43737</v>
      </c>
      <c r="U1336" s="21">
        <f t="shared" si="196"/>
        <v>43737</v>
      </c>
      <c r="V1336" s="15" t="s">
        <v>51</v>
      </c>
      <c r="W1336" s="18"/>
      <c r="X1336" s="18"/>
      <c r="Y1336" s="18"/>
      <c r="Z1336" s="210"/>
      <c r="AA1336" s="15">
        <v>0</v>
      </c>
      <c r="AB1336" s="210"/>
      <c r="AC1336" s="15"/>
      <c r="AD1336" s="15"/>
      <c r="AE1336" s="15"/>
      <c r="AF1336" s="244"/>
      <c r="AG1336" s="15"/>
      <c r="AH1336" s="15">
        <f t="shared" si="201"/>
        <v>0</v>
      </c>
      <c r="AI1336" s="22">
        <f t="shared" si="202"/>
        <v>10200</v>
      </c>
      <c r="AJ1336" s="22">
        <f t="shared" si="203"/>
        <v>86700000</v>
      </c>
      <c r="AK1336" s="13">
        <v>43872</v>
      </c>
    </row>
    <row r="1337" spans="1:37" s="165" customFormat="1" hidden="1">
      <c r="A1337" s="165" t="s">
        <v>1862</v>
      </c>
      <c r="B1337" s="13">
        <v>43626</v>
      </c>
      <c r="C1337" s="266" t="s">
        <v>23</v>
      </c>
      <c r="D1337" s="258" t="s">
        <v>1863</v>
      </c>
      <c r="E1337" s="13" t="s">
        <v>1864</v>
      </c>
      <c r="F1337" s="165" t="str">
        <f t="shared" si="199"/>
        <v>TEBA_16.18_200_NL2018</v>
      </c>
      <c r="G1337" s="13" t="s">
        <v>127</v>
      </c>
      <c r="H1337" s="12"/>
      <c r="I1337" s="12" t="s">
        <v>35</v>
      </c>
      <c r="J1337" s="31" t="s">
        <v>121</v>
      </c>
      <c r="K1337" s="15" t="s">
        <v>28</v>
      </c>
      <c r="L1337" s="15"/>
      <c r="M1337" s="16">
        <f t="shared" si="200"/>
        <v>6</v>
      </c>
      <c r="N1337" s="15">
        <v>1200</v>
      </c>
      <c r="O1337" s="15">
        <v>6200</v>
      </c>
      <c r="P1337" s="15">
        <f t="shared" si="197"/>
        <v>7440000</v>
      </c>
      <c r="Q1337" s="15" t="str">
        <f t="shared" si="198"/>
        <v/>
      </c>
      <c r="R1337" s="18" t="s">
        <v>29</v>
      </c>
      <c r="S1337" s="23">
        <v>43709</v>
      </c>
      <c r="T1337" s="20">
        <f>IFERROR(VLOOKUP(S1337,'Date Converter'!$A$4:$C$368,3,0),"")</f>
        <v>43737</v>
      </c>
      <c r="U1337" s="21">
        <f t="shared" si="196"/>
        <v>43737</v>
      </c>
      <c r="V1337" s="20" t="s">
        <v>51</v>
      </c>
      <c r="W1337" s="18"/>
      <c r="X1337" s="18"/>
      <c r="Y1337" s="12"/>
      <c r="Z1337" s="206"/>
      <c r="AA1337" s="15"/>
      <c r="AB1337" s="206"/>
      <c r="AC1337" s="12"/>
      <c r="AD1337" s="206"/>
      <c r="AE1337" s="12"/>
      <c r="AF1337" s="245"/>
      <c r="AG1337" s="12"/>
      <c r="AH1337" s="15">
        <f t="shared" si="201"/>
        <v>0</v>
      </c>
      <c r="AI1337" s="22">
        <f t="shared" si="202"/>
        <v>1200</v>
      </c>
      <c r="AJ1337" s="22">
        <f t="shared" si="203"/>
        <v>7440000</v>
      </c>
    </row>
    <row r="1338" spans="1:37" s="165" customFormat="1" hidden="1">
      <c r="A1338" s="165" t="s">
        <v>1862</v>
      </c>
      <c r="B1338" s="13">
        <v>43634</v>
      </c>
      <c r="C1338" s="266" t="s">
        <v>23</v>
      </c>
      <c r="D1338" s="258" t="s">
        <v>1863</v>
      </c>
      <c r="E1338" s="13" t="s">
        <v>1864</v>
      </c>
      <c r="F1338" s="165" t="str">
        <f t="shared" si="199"/>
        <v>TEBA_16.18_200_NL2018</v>
      </c>
      <c r="G1338" s="13" t="s">
        <v>127</v>
      </c>
      <c r="H1338" s="12"/>
      <c r="I1338" s="12" t="s">
        <v>35</v>
      </c>
      <c r="J1338" s="31" t="s">
        <v>121</v>
      </c>
      <c r="K1338" s="15" t="s">
        <v>28</v>
      </c>
      <c r="L1338" s="15"/>
      <c r="M1338" s="16">
        <f t="shared" si="200"/>
        <v>2</v>
      </c>
      <c r="N1338" s="15">
        <v>400</v>
      </c>
      <c r="O1338" s="15">
        <v>6200</v>
      </c>
      <c r="P1338" s="15">
        <f t="shared" si="197"/>
        <v>2480000</v>
      </c>
      <c r="Q1338" s="15" t="str">
        <f t="shared" si="198"/>
        <v/>
      </c>
      <c r="R1338" s="18" t="s">
        <v>29</v>
      </c>
      <c r="S1338" s="23">
        <v>43709</v>
      </c>
      <c r="T1338" s="20">
        <f>IFERROR(VLOOKUP(S1338,'Date Converter'!$A$4:$C$368,3,0),"")</f>
        <v>43737</v>
      </c>
      <c r="U1338" s="21">
        <f t="shared" ref="U1338:U1401" si="204">+T1338</f>
        <v>43737</v>
      </c>
      <c r="V1338" s="20" t="s">
        <v>51</v>
      </c>
      <c r="W1338" s="18"/>
      <c r="X1338" s="18"/>
      <c r="Y1338" s="12"/>
      <c r="Z1338" s="206"/>
      <c r="AA1338" s="15"/>
      <c r="AB1338" s="206"/>
      <c r="AC1338" s="12"/>
      <c r="AD1338" s="206"/>
      <c r="AE1338" s="12"/>
      <c r="AF1338" s="245"/>
      <c r="AG1338" s="12"/>
      <c r="AH1338" s="15">
        <f t="shared" si="201"/>
        <v>0</v>
      </c>
      <c r="AI1338" s="22">
        <f t="shared" si="202"/>
        <v>400</v>
      </c>
      <c r="AJ1338" s="22">
        <f t="shared" si="203"/>
        <v>2480000</v>
      </c>
    </row>
    <row r="1339" spans="1:37" s="165" customFormat="1" hidden="1">
      <c r="A1339" s="165" t="s">
        <v>1862</v>
      </c>
      <c r="B1339" s="13">
        <v>43626</v>
      </c>
      <c r="C1339" s="266" t="s">
        <v>23</v>
      </c>
      <c r="D1339" s="258" t="s">
        <v>1863</v>
      </c>
      <c r="E1339" s="13" t="s">
        <v>1864</v>
      </c>
      <c r="F1339" s="165" t="str">
        <f t="shared" si="199"/>
        <v>CONC_18.20_150_NZ2019</v>
      </c>
      <c r="G1339" s="13" t="s">
        <v>1509</v>
      </c>
      <c r="H1339" s="12"/>
      <c r="I1339" s="12" t="s">
        <v>27</v>
      </c>
      <c r="J1339" s="31" t="s">
        <v>126</v>
      </c>
      <c r="K1339" s="15" t="s">
        <v>1507</v>
      </c>
      <c r="L1339" s="15"/>
      <c r="M1339" s="16">
        <f t="shared" si="200"/>
        <v>4</v>
      </c>
      <c r="N1339" s="15">
        <v>600</v>
      </c>
      <c r="O1339" s="15">
        <v>9600</v>
      </c>
      <c r="P1339" s="15">
        <f t="shared" si="197"/>
        <v>5760000</v>
      </c>
      <c r="Q1339" s="15" t="str">
        <f t="shared" si="198"/>
        <v/>
      </c>
      <c r="R1339" s="18" t="s">
        <v>29</v>
      </c>
      <c r="S1339" s="23">
        <v>43709</v>
      </c>
      <c r="T1339" s="20">
        <f>IFERROR(VLOOKUP(S1339,'Date Converter'!$A$4:$C$368,3,0),"")</f>
        <v>43737</v>
      </c>
      <c r="U1339" s="21">
        <f t="shared" si="204"/>
        <v>43737</v>
      </c>
      <c r="V1339" s="20" t="s">
        <v>51</v>
      </c>
      <c r="W1339" s="18"/>
      <c r="X1339" s="18"/>
      <c r="Y1339" s="12"/>
      <c r="Z1339" s="206"/>
      <c r="AA1339" s="15"/>
      <c r="AB1339" s="206"/>
      <c r="AC1339" s="12"/>
      <c r="AD1339" s="206"/>
      <c r="AE1339" s="12"/>
      <c r="AF1339" s="245"/>
      <c r="AG1339" s="12"/>
      <c r="AH1339" s="15">
        <f t="shared" si="201"/>
        <v>0</v>
      </c>
      <c r="AI1339" s="22">
        <f t="shared" si="202"/>
        <v>600</v>
      </c>
      <c r="AJ1339" s="22">
        <f t="shared" si="203"/>
        <v>5760000</v>
      </c>
    </row>
    <row r="1340" spans="1:37" s="165" customFormat="1" hidden="1">
      <c r="A1340" s="165" t="s">
        <v>1862</v>
      </c>
      <c r="B1340" s="13">
        <v>43634</v>
      </c>
      <c r="C1340" s="266" t="s">
        <v>23</v>
      </c>
      <c r="D1340" s="258" t="s">
        <v>1863</v>
      </c>
      <c r="E1340" s="13" t="s">
        <v>1864</v>
      </c>
      <c r="F1340" s="165" t="str">
        <f t="shared" si="199"/>
        <v>CONC_18.20_150_NZ2019</v>
      </c>
      <c r="G1340" s="13" t="s">
        <v>1509</v>
      </c>
      <c r="H1340" s="12"/>
      <c r="I1340" s="12" t="s">
        <v>27</v>
      </c>
      <c r="J1340" s="31" t="s">
        <v>126</v>
      </c>
      <c r="K1340" s="15" t="s">
        <v>1507</v>
      </c>
      <c r="L1340" s="15"/>
      <c r="M1340" s="16">
        <f t="shared" si="200"/>
        <v>4</v>
      </c>
      <c r="N1340" s="15">
        <v>600</v>
      </c>
      <c r="O1340" s="15">
        <v>9600</v>
      </c>
      <c r="P1340" s="15">
        <f t="shared" si="197"/>
        <v>5760000</v>
      </c>
      <c r="Q1340" s="15" t="str">
        <f t="shared" si="198"/>
        <v/>
      </c>
      <c r="R1340" s="18" t="s">
        <v>29</v>
      </c>
      <c r="S1340" s="23">
        <v>43709</v>
      </c>
      <c r="T1340" s="20">
        <f>IFERROR(VLOOKUP(S1340,'Date Converter'!$A$4:$C$368,3,0),"")</f>
        <v>43737</v>
      </c>
      <c r="U1340" s="21">
        <f t="shared" si="204"/>
        <v>43737</v>
      </c>
      <c r="V1340" s="20" t="s">
        <v>51</v>
      </c>
      <c r="W1340" s="18"/>
      <c r="X1340" s="18"/>
      <c r="Y1340" s="12"/>
      <c r="Z1340" s="206"/>
      <c r="AA1340" s="15"/>
      <c r="AB1340" s="206"/>
      <c r="AC1340" s="12"/>
      <c r="AD1340" s="206"/>
      <c r="AE1340" s="12"/>
      <c r="AF1340" s="245"/>
      <c r="AG1340" s="12"/>
      <c r="AH1340" s="15">
        <f t="shared" si="201"/>
        <v>0</v>
      </c>
      <c r="AI1340" s="22">
        <f t="shared" si="202"/>
        <v>600</v>
      </c>
      <c r="AJ1340" s="22">
        <f t="shared" si="203"/>
        <v>5760000</v>
      </c>
    </row>
    <row r="1341" spans="1:37" s="165" customFormat="1" hidden="1">
      <c r="A1341" s="165" t="s">
        <v>1738</v>
      </c>
      <c r="B1341" s="13">
        <v>43500</v>
      </c>
      <c r="C1341" s="13" t="s">
        <v>1622</v>
      </c>
      <c r="D1341" s="165" t="s">
        <v>1154</v>
      </c>
      <c r="E1341" s="165" t="s">
        <v>1155</v>
      </c>
      <c r="F1341" s="165" t="str">
        <f t="shared" si="199"/>
        <v>TARR_14.16_300_NL2018</v>
      </c>
      <c r="G1341" s="165" t="s">
        <v>62</v>
      </c>
      <c r="H1341" s="12"/>
      <c r="I1341" s="12" t="s">
        <v>47</v>
      </c>
      <c r="J1341" s="14">
        <v>300</v>
      </c>
      <c r="K1341" s="15" t="s">
        <v>28</v>
      </c>
      <c r="L1341" s="15"/>
      <c r="M1341" s="16">
        <f t="shared" si="200"/>
        <v>34</v>
      </c>
      <c r="N1341" s="15">
        <v>10200</v>
      </c>
      <c r="O1341" s="15">
        <v>4385</v>
      </c>
      <c r="P1341" s="15">
        <f t="shared" si="197"/>
        <v>44727000</v>
      </c>
      <c r="Q1341" s="15" t="str">
        <f t="shared" si="198"/>
        <v>Done</v>
      </c>
      <c r="R1341" s="18" t="s">
        <v>44</v>
      </c>
      <c r="S1341" s="117">
        <v>43480</v>
      </c>
      <c r="T1341" s="20">
        <f>IFERROR(VLOOKUP(S1341,'Date Converter'!$A$4:$C$368,3,0),"")</f>
        <v>43515</v>
      </c>
      <c r="U1341" s="21">
        <f t="shared" si="204"/>
        <v>43515</v>
      </c>
      <c r="V1341" s="12" t="s">
        <v>45</v>
      </c>
      <c r="W1341" s="18"/>
      <c r="X1341" s="18"/>
      <c r="Y1341" s="18"/>
      <c r="Z1341" s="210">
        <v>43516</v>
      </c>
      <c r="AA1341" s="15">
        <v>10200</v>
      </c>
      <c r="AB1341" s="210"/>
      <c r="AC1341" s="15"/>
      <c r="AD1341" s="15"/>
      <c r="AE1341" s="15"/>
      <c r="AF1341" s="244"/>
      <c r="AG1341" s="15"/>
      <c r="AH1341" s="15">
        <f t="shared" si="201"/>
        <v>10200</v>
      </c>
      <c r="AI1341" s="22">
        <f t="shared" si="202"/>
        <v>0</v>
      </c>
      <c r="AJ1341" s="22">
        <f t="shared" si="203"/>
        <v>0</v>
      </c>
      <c r="AK1341" s="13">
        <v>43864</v>
      </c>
    </row>
    <row r="1342" spans="1:37" s="165" customFormat="1" hidden="1">
      <c r="A1342" s="165" t="s">
        <v>1739</v>
      </c>
      <c r="B1342" s="13">
        <v>43543</v>
      </c>
      <c r="C1342" s="13" t="s">
        <v>1622</v>
      </c>
      <c r="D1342" s="165" t="s">
        <v>1154</v>
      </c>
      <c r="E1342" s="165" t="s">
        <v>1155</v>
      </c>
      <c r="F1342" s="165" t="str">
        <f t="shared" si="199"/>
        <v>SERA_14.16_300_NL2018</v>
      </c>
      <c r="G1342" s="165" t="s">
        <v>227</v>
      </c>
      <c r="H1342" s="12"/>
      <c r="I1342" s="12" t="s">
        <v>47</v>
      </c>
      <c r="J1342" s="14">
        <v>300</v>
      </c>
      <c r="K1342" s="15" t="s">
        <v>28</v>
      </c>
      <c r="L1342" s="15"/>
      <c r="M1342" s="16">
        <f t="shared" si="200"/>
        <v>10</v>
      </c>
      <c r="N1342" s="15">
        <v>3000</v>
      </c>
      <c r="O1342" s="15">
        <v>3600</v>
      </c>
      <c r="P1342" s="15">
        <f t="shared" si="197"/>
        <v>10800000</v>
      </c>
      <c r="Q1342" s="15" t="str">
        <f t="shared" si="198"/>
        <v>Done</v>
      </c>
      <c r="R1342" s="18" t="s">
        <v>44</v>
      </c>
      <c r="S1342" s="117">
        <v>43511</v>
      </c>
      <c r="T1342" s="20">
        <f>IFERROR(VLOOKUP(S1342,'Date Converter'!$A$4:$C$368,3,0),"")</f>
        <v>43544</v>
      </c>
      <c r="U1342" s="21">
        <f t="shared" si="204"/>
        <v>43544</v>
      </c>
      <c r="V1342" s="12" t="s">
        <v>32</v>
      </c>
      <c r="W1342" s="18" t="s">
        <v>48</v>
      </c>
      <c r="X1342" s="18"/>
      <c r="Y1342" s="18"/>
      <c r="Z1342" s="210">
        <v>43543</v>
      </c>
      <c r="AA1342" s="15">
        <v>3000</v>
      </c>
      <c r="AB1342" s="210"/>
      <c r="AC1342" s="15"/>
      <c r="AD1342" s="15"/>
      <c r="AE1342" s="15"/>
      <c r="AF1342" s="244"/>
      <c r="AG1342" s="15"/>
      <c r="AH1342" s="15">
        <f t="shared" si="201"/>
        <v>3000</v>
      </c>
      <c r="AI1342" s="22">
        <f t="shared" si="202"/>
        <v>0</v>
      </c>
      <c r="AJ1342" s="22">
        <f t="shared" si="203"/>
        <v>0</v>
      </c>
      <c r="AK1342" s="13">
        <v>43864</v>
      </c>
    </row>
    <row r="1343" spans="1:37" s="165" customFormat="1" hidden="1">
      <c r="A1343" s="165" t="s">
        <v>1738</v>
      </c>
      <c r="B1343" s="13">
        <v>43500</v>
      </c>
      <c r="C1343" s="13" t="s">
        <v>1622</v>
      </c>
      <c r="D1343" s="165" t="s">
        <v>1154</v>
      </c>
      <c r="E1343" s="165" t="s">
        <v>1155</v>
      </c>
      <c r="F1343" s="165" t="str">
        <f t="shared" si="199"/>
        <v>ROBI_16.18_200_NL2018</v>
      </c>
      <c r="G1343" s="165" t="s">
        <v>61</v>
      </c>
      <c r="H1343" s="12"/>
      <c r="I1343" s="12" t="s">
        <v>35</v>
      </c>
      <c r="J1343" s="14">
        <v>200</v>
      </c>
      <c r="K1343" s="15" t="s">
        <v>28</v>
      </c>
      <c r="L1343" s="15"/>
      <c r="M1343" s="16">
        <f t="shared" si="200"/>
        <v>50</v>
      </c>
      <c r="N1343" s="15">
        <v>10000</v>
      </c>
      <c r="O1343" s="15">
        <v>4800</v>
      </c>
      <c r="P1343" s="15">
        <f t="shared" si="197"/>
        <v>48000000</v>
      </c>
      <c r="Q1343" s="15" t="str">
        <f t="shared" si="198"/>
        <v>Done</v>
      </c>
      <c r="R1343" s="18" t="s">
        <v>44</v>
      </c>
      <c r="S1343" s="117">
        <v>43480</v>
      </c>
      <c r="T1343" s="20">
        <f>IFERROR(VLOOKUP(S1343,'Date Converter'!$A$4:$C$368,3,0),"")</f>
        <v>43515</v>
      </c>
      <c r="U1343" s="21">
        <f t="shared" si="204"/>
        <v>43515</v>
      </c>
      <c r="V1343" s="12" t="s">
        <v>45</v>
      </c>
      <c r="W1343" s="18"/>
      <c r="X1343" s="18"/>
      <c r="Y1343" s="18"/>
      <c r="Z1343" s="210">
        <v>43517</v>
      </c>
      <c r="AA1343" s="15">
        <v>10000</v>
      </c>
      <c r="AB1343" s="210"/>
      <c r="AC1343" s="15"/>
      <c r="AD1343" s="15"/>
      <c r="AE1343" s="15"/>
      <c r="AF1343" s="244"/>
      <c r="AG1343" s="15"/>
      <c r="AH1343" s="15">
        <f t="shared" si="201"/>
        <v>10000</v>
      </c>
      <c r="AI1343" s="22">
        <f t="shared" si="202"/>
        <v>0</v>
      </c>
      <c r="AJ1343" s="22">
        <f t="shared" si="203"/>
        <v>0</v>
      </c>
      <c r="AK1343" s="13">
        <v>43872</v>
      </c>
    </row>
    <row r="1344" spans="1:37" s="165" customFormat="1" hidden="1">
      <c r="A1344" s="165" t="s">
        <v>1738</v>
      </c>
      <c r="B1344" s="13">
        <v>43500</v>
      </c>
      <c r="C1344" s="13" t="s">
        <v>1622</v>
      </c>
      <c r="D1344" s="165" t="s">
        <v>1154</v>
      </c>
      <c r="E1344" s="165" t="s">
        <v>1155</v>
      </c>
      <c r="F1344" s="165" t="str">
        <f t="shared" si="199"/>
        <v>ROBI_16.18_200_NL2018</v>
      </c>
      <c r="G1344" s="165" t="s">
        <v>61</v>
      </c>
      <c r="H1344" s="12"/>
      <c r="I1344" s="12" t="s">
        <v>35</v>
      </c>
      <c r="J1344" s="14">
        <v>200</v>
      </c>
      <c r="K1344" s="15" t="s">
        <v>28</v>
      </c>
      <c r="L1344" s="15"/>
      <c r="M1344" s="16">
        <f t="shared" si="200"/>
        <v>100</v>
      </c>
      <c r="N1344" s="15">
        <v>20000</v>
      </c>
      <c r="O1344" s="15">
        <v>4800</v>
      </c>
      <c r="P1344" s="15">
        <f t="shared" si="197"/>
        <v>96000000</v>
      </c>
      <c r="Q1344" s="15" t="str">
        <f t="shared" si="198"/>
        <v>Done</v>
      </c>
      <c r="R1344" s="18" t="s">
        <v>44</v>
      </c>
      <c r="S1344" s="117">
        <v>43511</v>
      </c>
      <c r="T1344" s="20">
        <f>IFERROR(VLOOKUP(S1344,'Date Converter'!$A$4:$C$368,3,0),"")</f>
        <v>43544</v>
      </c>
      <c r="U1344" s="21">
        <f t="shared" si="204"/>
        <v>43544</v>
      </c>
      <c r="V1344" s="12" t="s">
        <v>32</v>
      </c>
      <c r="W1344" s="18" t="s">
        <v>48</v>
      </c>
      <c r="X1344" s="18"/>
      <c r="Y1344" s="18"/>
      <c r="Z1344" s="210">
        <v>43543</v>
      </c>
      <c r="AA1344" s="15">
        <v>20000</v>
      </c>
      <c r="AB1344" s="210"/>
      <c r="AC1344" s="15"/>
      <c r="AD1344" s="15"/>
      <c r="AE1344" s="15"/>
      <c r="AF1344" s="244"/>
      <c r="AG1344" s="15"/>
      <c r="AH1344" s="15">
        <f t="shared" si="201"/>
        <v>20000</v>
      </c>
      <c r="AI1344" s="22">
        <f t="shared" si="202"/>
        <v>0</v>
      </c>
      <c r="AJ1344" s="22">
        <f t="shared" si="203"/>
        <v>0</v>
      </c>
      <c r="AK1344" s="13">
        <v>43864</v>
      </c>
    </row>
    <row r="1345" spans="1:37" s="165" customFormat="1" hidden="1">
      <c r="A1345" s="165" t="s">
        <v>1740</v>
      </c>
      <c r="B1345" s="13">
        <v>43543</v>
      </c>
      <c r="C1345" s="13" t="s">
        <v>1622</v>
      </c>
      <c r="D1345" s="165" t="s">
        <v>1154</v>
      </c>
      <c r="E1345" s="165" t="s">
        <v>1155</v>
      </c>
      <c r="F1345" s="165" t="str">
        <f t="shared" si="199"/>
        <v>ROBI_16.18_200_NL2018</v>
      </c>
      <c r="G1345" s="165" t="s">
        <v>61</v>
      </c>
      <c r="H1345" s="12"/>
      <c r="I1345" s="12" t="s">
        <v>35</v>
      </c>
      <c r="J1345" s="14">
        <v>200</v>
      </c>
      <c r="K1345" s="15" t="s">
        <v>28</v>
      </c>
      <c r="L1345" s="15"/>
      <c r="M1345" s="16">
        <f t="shared" si="200"/>
        <v>50</v>
      </c>
      <c r="N1345" s="15">
        <v>10000</v>
      </c>
      <c r="O1345" s="15">
        <f>5000+100</f>
        <v>5100</v>
      </c>
      <c r="P1345" s="15">
        <f t="shared" si="197"/>
        <v>51000000</v>
      </c>
      <c r="Q1345" s="15" t="str">
        <f t="shared" si="198"/>
        <v>Done</v>
      </c>
      <c r="R1345" s="18" t="s">
        <v>44</v>
      </c>
      <c r="S1345" s="117">
        <v>43554</v>
      </c>
      <c r="T1345" s="20">
        <f>IFERROR(VLOOKUP(S1345,'Date Converter'!$A$4:$C$368,3,0),"")</f>
        <v>43589</v>
      </c>
      <c r="U1345" s="21">
        <f t="shared" si="204"/>
        <v>43589</v>
      </c>
      <c r="V1345" s="12" t="s">
        <v>36</v>
      </c>
      <c r="W1345" s="18"/>
      <c r="X1345" s="18"/>
      <c r="Y1345" s="18"/>
      <c r="Z1345" s="210">
        <v>43620</v>
      </c>
      <c r="AA1345" s="15">
        <v>10000</v>
      </c>
      <c r="AB1345" s="210"/>
      <c r="AC1345" s="15"/>
      <c r="AD1345" s="15"/>
      <c r="AE1345" s="15"/>
      <c r="AF1345" s="244"/>
      <c r="AG1345" s="15"/>
      <c r="AH1345" s="15">
        <f t="shared" si="201"/>
        <v>10000</v>
      </c>
      <c r="AI1345" s="22">
        <f t="shared" si="202"/>
        <v>0</v>
      </c>
      <c r="AJ1345" s="22">
        <f t="shared" si="203"/>
        <v>0</v>
      </c>
      <c r="AK1345" s="13"/>
    </row>
    <row r="1346" spans="1:37" s="165" customFormat="1" hidden="1">
      <c r="A1346" s="165" t="s">
        <v>1738</v>
      </c>
      <c r="B1346" s="13">
        <v>43500</v>
      </c>
      <c r="C1346" s="13" t="s">
        <v>1622</v>
      </c>
      <c r="D1346" s="165" t="s">
        <v>1154</v>
      </c>
      <c r="E1346" s="165" t="s">
        <v>1155</v>
      </c>
      <c r="F1346" s="165" t="str">
        <f t="shared" si="199"/>
        <v>ARVA_16.18_200_NL2018</v>
      </c>
      <c r="G1346" s="225" t="s">
        <v>85</v>
      </c>
      <c r="H1346" s="12"/>
      <c r="I1346" s="12" t="s">
        <v>35</v>
      </c>
      <c r="J1346" s="14">
        <v>200</v>
      </c>
      <c r="K1346" s="15" t="s">
        <v>28</v>
      </c>
      <c r="L1346" s="15"/>
      <c r="M1346" s="16">
        <f t="shared" si="200"/>
        <v>50</v>
      </c>
      <c r="N1346" s="15">
        <v>10000</v>
      </c>
      <c r="O1346" s="15">
        <v>5000</v>
      </c>
      <c r="P1346" s="15">
        <f t="shared" si="197"/>
        <v>50000000</v>
      </c>
      <c r="Q1346" s="15" t="str">
        <f t="shared" si="198"/>
        <v>Done</v>
      </c>
      <c r="R1346" s="18" t="s">
        <v>44</v>
      </c>
      <c r="S1346" s="117">
        <v>43539</v>
      </c>
      <c r="T1346" s="20">
        <f>IFERROR(VLOOKUP(S1346,'Date Converter'!$A$4:$C$368,3,0),"")</f>
        <v>43574</v>
      </c>
      <c r="U1346" s="21">
        <f t="shared" si="204"/>
        <v>43574</v>
      </c>
      <c r="V1346" s="12" t="s">
        <v>57</v>
      </c>
      <c r="W1346" s="18" t="s">
        <v>108</v>
      </c>
      <c r="X1346" s="18"/>
      <c r="Y1346" s="18"/>
      <c r="Z1346" s="210">
        <v>43588</v>
      </c>
      <c r="AA1346" s="15">
        <v>10000</v>
      </c>
      <c r="AB1346" s="210"/>
      <c r="AC1346" s="15"/>
      <c r="AD1346" s="15"/>
      <c r="AE1346" s="15"/>
      <c r="AF1346" s="244"/>
      <c r="AG1346" s="15"/>
      <c r="AH1346" s="15">
        <f t="shared" si="201"/>
        <v>10000</v>
      </c>
      <c r="AI1346" s="22">
        <f t="shared" si="202"/>
        <v>0</v>
      </c>
      <c r="AJ1346" s="22">
        <f t="shared" si="203"/>
        <v>0</v>
      </c>
      <c r="AK1346" s="13">
        <v>43864</v>
      </c>
    </row>
    <row r="1347" spans="1:37" s="165" customFormat="1" hidden="1">
      <c r="A1347" s="165" t="s">
        <v>1740</v>
      </c>
      <c r="B1347" s="13">
        <v>43543</v>
      </c>
      <c r="C1347" s="13" t="s">
        <v>1622</v>
      </c>
      <c r="D1347" s="165" t="s">
        <v>1154</v>
      </c>
      <c r="E1347" s="165" t="s">
        <v>1155</v>
      </c>
      <c r="F1347" s="165" t="str">
        <f t="shared" si="199"/>
        <v>ARVA_16.18_200_NL2018</v>
      </c>
      <c r="G1347" s="165" t="s">
        <v>85</v>
      </c>
      <c r="H1347" s="12"/>
      <c r="I1347" s="12" t="s">
        <v>35</v>
      </c>
      <c r="J1347" s="14">
        <v>200</v>
      </c>
      <c r="K1347" s="15" t="s">
        <v>28</v>
      </c>
      <c r="L1347" s="15"/>
      <c r="M1347" s="16">
        <f t="shared" si="200"/>
        <v>0</v>
      </c>
      <c r="N1347" s="15">
        <f>10000-10000</f>
        <v>0</v>
      </c>
      <c r="O1347" s="15">
        <v>5500</v>
      </c>
      <c r="P1347" s="15">
        <f t="shared" ref="P1347:P1382" si="205">+O1347*N1347</f>
        <v>0</v>
      </c>
      <c r="Q1347" s="15" t="str">
        <f t="shared" ref="Q1347:Q1410" si="206">IF(AND(N1347=0,AI1347=0),"Canceled",IF(AND(N1347&gt;0,AI1347=0),"Done",""))</f>
        <v>Canceled</v>
      </c>
      <c r="R1347" s="18" t="s">
        <v>71</v>
      </c>
      <c r="S1347" s="117">
        <v>43554</v>
      </c>
      <c r="T1347" s="20">
        <f>IFERROR(VLOOKUP(S1347,'Date Converter'!$A$4:$C$368,3,0),"")</f>
        <v>43589</v>
      </c>
      <c r="U1347" s="21">
        <f t="shared" si="204"/>
        <v>43589</v>
      </c>
      <c r="V1347" s="12" t="s">
        <v>36</v>
      </c>
      <c r="W1347" s="18"/>
      <c r="X1347" s="18"/>
      <c r="Y1347" s="18"/>
      <c r="Z1347" s="210"/>
      <c r="AA1347" s="15"/>
      <c r="AB1347" s="210"/>
      <c r="AC1347" s="15"/>
      <c r="AD1347" s="15"/>
      <c r="AE1347" s="15"/>
      <c r="AF1347" s="244"/>
      <c r="AG1347" s="15"/>
      <c r="AH1347" s="15">
        <f t="shared" si="201"/>
        <v>0</v>
      </c>
      <c r="AI1347" s="22">
        <f t="shared" si="202"/>
        <v>0</v>
      </c>
      <c r="AJ1347" s="22">
        <f t="shared" si="203"/>
        <v>0</v>
      </c>
      <c r="AK1347" s="13"/>
    </row>
    <row r="1348" spans="1:37" s="165" customFormat="1" hidden="1">
      <c r="A1348" s="165" t="s">
        <v>335</v>
      </c>
      <c r="B1348" s="13">
        <v>43518</v>
      </c>
      <c r="C1348" s="13" t="s">
        <v>23</v>
      </c>
      <c r="D1348" s="165" t="s">
        <v>238</v>
      </c>
      <c r="E1348" s="165" t="s">
        <v>239</v>
      </c>
      <c r="F1348" s="165" t="str">
        <f t="shared" si="199"/>
        <v>YELL_14.16_300_NL2018</v>
      </c>
      <c r="G1348" s="165" t="s">
        <v>89</v>
      </c>
      <c r="H1348" s="12"/>
      <c r="I1348" s="12" t="s">
        <v>47</v>
      </c>
      <c r="J1348" s="14">
        <v>300</v>
      </c>
      <c r="K1348" s="15" t="s">
        <v>28</v>
      </c>
      <c r="L1348" s="15"/>
      <c r="M1348" s="16">
        <f t="shared" si="200"/>
        <v>17</v>
      </c>
      <c r="N1348" s="15">
        <f>4200+2700-1800</f>
        <v>5100</v>
      </c>
      <c r="O1348" s="15">
        <v>3800</v>
      </c>
      <c r="P1348" s="15">
        <f t="shared" si="205"/>
        <v>19380000</v>
      </c>
      <c r="Q1348" s="15" t="str">
        <f t="shared" si="206"/>
        <v>Done</v>
      </c>
      <c r="R1348" s="18" t="s">
        <v>44</v>
      </c>
      <c r="S1348" s="23">
        <v>43539</v>
      </c>
      <c r="T1348" s="20">
        <f>IFERROR(VLOOKUP(S1348,'Date Converter'!$A$4:$C$368,3,0),"")</f>
        <v>43574</v>
      </c>
      <c r="U1348" s="21">
        <f t="shared" si="204"/>
        <v>43574</v>
      </c>
      <c r="V1348" s="20" t="s">
        <v>57</v>
      </c>
      <c r="W1348" s="18"/>
      <c r="X1348" s="18"/>
      <c r="Y1348" s="15"/>
      <c r="Z1348" s="206">
        <v>43560</v>
      </c>
      <c r="AA1348" s="15">
        <v>5100</v>
      </c>
      <c r="AB1348" s="206"/>
      <c r="AC1348" s="15"/>
      <c r="AD1348" s="206"/>
      <c r="AE1348" s="15"/>
      <c r="AF1348" s="244"/>
      <c r="AG1348" s="15"/>
      <c r="AH1348" s="15">
        <f t="shared" si="201"/>
        <v>5100</v>
      </c>
      <c r="AI1348" s="22">
        <f t="shared" si="202"/>
        <v>0</v>
      </c>
      <c r="AJ1348" s="22">
        <f t="shared" si="203"/>
        <v>0</v>
      </c>
    </row>
    <row r="1349" spans="1:37" s="165" customFormat="1" hidden="1">
      <c r="A1349" s="165" t="s">
        <v>335</v>
      </c>
      <c r="B1349" s="13">
        <v>43518</v>
      </c>
      <c r="C1349" s="13" t="s">
        <v>23</v>
      </c>
      <c r="D1349" s="165" t="s">
        <v>238</v>
      </c>
      <c r="E1349" s="198" t="s">
        <v>239</v>
      </c>
      <c r="F1349" s="165" t="str">
        <f t="shared" si="199"/>
        <v>YELL_12.14_400_NL2018</v>
      </c>
      <c r="G1349" s="165" t="s">
        <v>89</v>
      </c>
      <c r="H1349" s="12"/>
      <c r="I1349" s="12" t="s">
        <v>113</v>
      </c>
      <c r="J1349" s="14">
        <v>400</v>
      </c>
      <c r="K1349" s="15" t="s">
        <v>28</v>
      </c>
      <c r="L1349" s="15"/>
      <c r="M1349" s="16">
        <f t="shared" si="200"/>
        <v>38</v>
      </c>
      <c r="N1349" s="15">
        <f>20000-5200+400</f>
        <v>15200</v>
      </c>
      <c r="O1349" s="15">
        <v>2700</v>
      </c>
      <c r="P1349" s="15">
        <f t="shared" si="205"/>
        <v>41040000</v>
      </c>
      <c r="Q1349" s="15" t="str">
        <f t="shared" si="206"/>
        <v>Done</v>
      </c>
      <c r="R1349" s="18" t="s">
        <v>44</v>
      </c>
      <c r="S1349" s="23">
        <v>43572</v>
      </c>
      <c r="T1349" s="20">
        <f>IFERROR(VLOOKUP(S1349,'Date Converter'!$A$4:$C$368,3,0),"")</f>
        <v>43606</v>
      </c>
      <c r="U1349" s="21">
        <f t="shared" si="204"/>
        <v>43606</v>
      </c>
      <c r="V1349" s="20" t="s">
        <v>479</v>
      </c>
      <c r="W1349" s="18"/>
      <c r="X1349" s="18"/>
      <c r="Y1349" s="15"/>
      <c r="Z1349" s="206">
        <v>43620</v>
      </c>
      <c r="AA1349" s="15">
        <v>10000</v>
      </c>
      <c r="AB1349" s="206">
        <v>43637</v>
      </c>
      <c r="AC1349" s="15">
        <f>4800+400</f>
        <v>5200</v>
      </c>
      <c r="AD1349" s="206"/>
      <c r="AE1349" s="15"/>
      <c r="AF1349" s="244"/>
      <c r="AG1349" s="15"/>
      <c r="AH1349" s="15">
        <f t="shared" si="201"/>
        <v>15200</v>
      </c>
      <c r="AI1349" s="22">
        <f t="shared" si="202"/>
        <v>0</v>
      </c>
      <c r="AJ1349" s="22">
        <f t="shared" si="203"/>
        <v>0</v>
      </c>
    </row>
    <row r="1350" spans="1:37" s="165" customFormat="1" hidden="1">
      <c r="A1350" s="165" t="s">
        <v>335</v>
      </c>
      <c r="B1350" s="13">
        <v>43633</v>
      </c>
      <c r="C1350" s="13" t="s">
        <v>23</v>
      </c>
      <c r="D1350" s="165" t="s">
        <v>238</v>
      </c>
      <c r="E1350" s="198" t="s">
        <v>239</v>
      </c>
      <c r="F1350" s="165" t="str">
        <f t="shared" si="199"/>
        <v>YELL_14.16_300_NL2018</v>
      </c>
      <c r="G1350" s="165" t="s">
        <v>89</v>
      </c>
      <c r="H1350" s="12"/>
      <c r="I1350" s="12" t="s">
        <v>47</v>
      </c>
      <c r="J1350" s="14">
        <v>300</v>
      </c>
      <c r="K1350" s="15" t="s">
        <v>28</v>
      </c>
      <c r="L1350" s="15"/>
      <c r="M1350" s="16">
        <f t="shared" si="200"/>
        <v>14</v>
      </c>
      <c r="N1350" s="15">
        <f>5100-900</f>
        <v>4200</v>
      </c>
      <c r="O1350" s="15">
        <v>4000</v>
      </c>
      <c r="P1350" s="15">
        <f t="shared" si="205"/>
        <v>16800000</v>
      </c>
      <c r="Q1350" s="15" t="str">
        <f t="shared" si="206"/>
        <v/>
      </c>
      <c r="R1350" s="18" t="s">
        <v>31</v>
      </c>
      <c r="S1350" s="23">
        <v>43631</v>
      </c>
      <c r="T1350" s="20">
        <f>IFERROR(VLOOKUP(S1350,'Date Converter'!$A$4:$C$368,3,0),"")</f>
        <v>43663</v>
      </c>
      <c r="U1350" s="21">
        <f t="shared" si="204"/>
        <v>43663</v>
      </c>
      <c r="V1350" s="20" t="s">
        <v>1888</v>
      </c>
      <c r="W1350" s="18"/>
      <c r="X1350" s="18"/>
      <c r="Y1350" s="15"/>
      <c r="Z1350" s="206"/>
      <c r="AA1350" s="15"/>
      <c r="AB1350" s="206"/>
      <c r="AC1350" s="15"/>
      <c r="AD1350" s="206"/>
      <c r="AE1350" s="15"/>
      <c r="AF1350" s="244"/>
      <c r="AG1350" s="15"/>
      <c r="AH1350" s="15">
        <f t="shared" si="201"/>
        <v>0</v>
      </c>
      <c r="AI1350" s="22">
        <f t="shared" si="202"/>
        <v>4200</v>
      </c>
      <c r="AJ1350" s="22">
        <f t="shared" si="203"/>
        <v>16800000</v>
      </c>
    </row>
    <row r="1351" spans="1:37" s="165" customFormat="1" hidden="1">
      <c r="A1351" s="165" t="s">
        <v>335</v>
      </c>
      <c r="B1351" s="13">
        <v>43637</v>
      </c>
      <c r="C1351" s="13" t="s">
        <v>23</v>
      </c>
      <c r="D1351" s="165" t="s">
        <v>238</v>
      </c>
      <c r="E1351" s="198" t="s">
        <v>239</v>
      </c>
      <c r="F1351" s="165" t="str">
        <f t="shared" si="199"/>
        <v>YELL_DN_16.18_200_NL2018</v>
      </c>
      <c r="G1351" s="165" t="s">
        <v>89</v>
      </c>
      <c r="H1351" s="12" t="s">
        <v>480</v>
      </c>
      <c r="I1351" s="12" t="s">
        <v>35</v>
      </c>
      <c r="J1351" s="14">
        <v>200</v>
      </c>
      <c r="K1351" s="15" t="s">
        <v>28</v>
      </c>
      <c r="L1351" s="15"/>
      <c r="M1351" s="16">
        <f t="shared" si="200"/>
        <v>0</v>
      </c>
      <c r="N1351" s="15">
        <f>15000-15000</f>
        <v>0</v>
      </c>
      <c r="O1351" s="15">
        <v>6000</v>
      </c>
      <c r="P1351" s="15">
        <f t="shared" si="205"/>
        <v>0</v>
      </c>
      <c r="Q1351" s="15" t="str">
        <f t="shared" si="206"/>
        <v>Canceled</v>
      </c>
      <c r="R1351" s="18" t="s">
        <v>71</v>
      </c>
      <c r="S1351" s="23">
        <v>43645</v>
      </c>
      <c r="T1351" s="20">
        <f>IFERROR(VLOOKUP(S1351,'Date Converter'!$A$4:$C$368,3,0),"")</f>
        <v>43677</v>
      </c>
      <c r="U1351" s="21">
        <f t="shared" si="204"/>
        <v>43677</v>
      </c>
      <c r="V1351" s="20"/>
      <c r="W1351" s="18"/>
      <c r="X1351" s="18"/>
      <c r="Y1351" s="15"/>
      <c r="Z1351" s="206"/>
      <c r="AA1351" s="15"/>
      <c r="AB1351" s="206"/>
      <c r="AC1351" s="15"/>
      <c r="AD1351" s="206"/>
      <c r="AE1351" s="15"/>
      <c r="AF1351" s="244"/>
      <c r="AG1351" s="15"/>
      <c r="AH1351" s="15">
        <f t="shared" si="201"/>
        <v>0</v>
      </c>
      <c r="AI1351" s="22">
        <f t="shared" si="202"/>
        <v>0</v>
      </c>
      <c r="AJ1351" s="22">
        <f t="shared" si="203"/>
        <v>0</v>
      </c>
    </row>
    <row r="1352" spans="1:37" s="165" customFormat="1" hidden="1">
      <c r="A1352" s="165" t="s">
        <v>335</v>
      </c>
      <c r="B1352" s="13">
        <v>43518</v>
      </c>
      <c r="C1352" s="13" t="s">
        <v>23</v>
      </c>
      <c r="D1352" s="165" t="s">
        <v>238</v>
      </c>
      <c r="E1352" s="165" t="s">
        <v>239</v>
      </c>
      <c r="F1352" s="165" t="str">
        <f t="shared" si="199"/>
        <v>YELL_12.14_400_NL2018</v>
      </c>
      <c r="G1352" s="165" t="s">
        <v>89</v>
      </c>
      <c r="H1352" s="12"/>
      <c r="I1352" s="12" t="s">
        <v>113</v>
      </c>
      <c r="J1352" s="14">
        <v>400</v>
      </c>
      <c r="K1352" s="15" t="s">
        <v>28</v>
      </c>
      <c r="L1352" s="15"/>
      <c r="M1352" s="16">
        <f t="shared" si="200"/>
        <v>25</v>
      </c>
      <c r="N1352" s="15">
        <v>10000</v>
      </c>
      <c r="O1352" s="15">
        <v>2600</v>
      </c>
      <c r="P1352" s="15">
        <f t="shared" si="205"/>
        <v>26000000</v>
      </c>
      <c r="Q1352" s="15" t="str">
        <f t="shared" si="206"/>
        <v>Done</v>
      </c>
      <c r="R1352" s="18" t="s">
        <v>44</v>
      </c>
      <c r="S1352" s="23" t="s">
        <v>53</v>
      </c>
      <c r="T1352" s="20">
        <f>IFERROR(VLOOKUP(S1352,'Date Converter'!$A$4:$C$368,3,0),"")</f>
        <v>43559</v>
      </c>
      <c r="U1352" s="21">
        <f t="shared" si="204"/>
        <v>43559</v>
      </c>
      <c r="V1352" s="20" t="s">
        <v>54</v>
      </c>
      <c r="W1352" s="18" t="s">
        <v>72</v>
      </c>
      <c r="X1352" s="18">
        <v>43555</v>
      </c>
      <c r="Y1352" s="15" t="s">
        <v>59</v>
      </c>
      <c r="Z1352" s="206">
        <v>43560</v>
      </c>
      <c r="AA1352" s="15">
        <v>5200</v>
      </c>
      <c r="AB1352" s="206">
        <v>43579</v>
      </c>
      <c r="AC1352" s="15">
        <v>4800</v>
      </c>
      <c r="AD1352" s="206"/>
      <c r="AE1352" s="15"/>
      <c r="AF1352" s="244"/>
      <c r="AG1352" s="15"/>
      <c r="AH1352" s="15">
        <f t="shared" si="201"/>
        <v>10000</v>
      </c>
      <c r="AI1352" s="22">
        <f t="shared" si="202"/>
        <v>0</v>
      </c>
      <c r="AJ1352" s="22">
        <f t="shared" si="203"/>
        <v>0</v>
      </c>
    </row>
    <row r="1353" spans="1:37" s="165" customFormat="1" hidden="1">
      <c r="A1353" s="165" t="s">
        <v>335</v>
      </c>
      <c r="B1353" s="13">
        <v>43518</v>
      </c>
      <c r="C1353" s="13" t="s">
        <v>23</v>
      </c>
      <c r="D1353" s="165" t="s">
        <v>238</v>
      </c>
      <c r="E1353" s="165" t="s">
        <v>239</v>
      </c>
      <c r="F1353" s="165" t="str">
        <f t="shared" si="199"/>
        <v>YELL_14.16_300_NL2018</v>
      </c>
      <c r="G1353" s="165" t="s">
        <v>89</v>
      </c>
      <c r="H1353" s="12"/>
      <c r="I1353" s="12" t="s">
        <v>47</v>
      </c>
      <c r="J1353" s="14">
        <v>300</v>
      </c>
      <c r="K1353" s="15" t="s">
        <v>28</v>
      </c>
      <c r="L1353" s="15"/>
      <c r="M1353" s="16">
        <f t="shared" si="200"/>
        <v>10</v>
      </c>
      <c r="N1353" s="15">
        <v>3000</v>
      </c>
      <c r="O1353" s="15">
        <v>3800</v>
      </c>
      <c r="P1353" s="15">
        <f t="shared" si="205"/>
        <v>11400000</v>
      </c>
      <c r="Q1353" s="15" t="str">
        <f t="shared" si="206"/>
        <v>Done</v>
      </c>
      <c r="R1353" s="18" t="s">
        <v>44</v>
      </c>
      <c r="S1353" s="23" t="s">
        <v>53</v>
      </c>
      <c r="T1353" s="20">
        <f>IFERROR(VLOOKUP(S1353,'Date Converter'!$A$4:$C$368,3,0),"")</f>
        <v>43559</v>
      </c>
      <c r="U1353" s="21">
        <f t="shared" si="204"/>
        <v>43559</v>
      </c>
      <c r="V1353" s="20" t="s">
        <v>54</v>
      </c>
      <c r="W1353" s="18" t="s">
        <v>101</v>
      </c>
      <c r="X1353" s="18">
        <v>43555</v>
      </c>
      <c r="Y1353" s="15"/>
      <c r="Z1353" s="206">
        <v>43579</v>
      </c>
      <c r="AA1353" s="15">
        <v>3000</v>
      </c>
      <c r="AB1353" s="206"/>
      <c r="AC1353" s="15"/>
      <c r="AD1353" s="206"/>
      <c r="AE1353" s="15"/>
      <c r="AF1353" s="244"/>
      <c r="AG1353" s="15"/>
      <c r="AH1353" s="15">
        <f t="shared" si="201"/>
        <v>3000</v>
      </c>
      <c r="AI1353" s="22">
        <f t="shared" si="202"/>
        <v>0</v>
      </c>
      <c r="AJ1353" s="22">
        <f t="shared" si="203"/>
        <v>0</v>
      </c>
      <c r="AK1353" s="165" t="s">
        <v>240</v>
      </c>
    </row>
    <row r="1354" spans="1:37" s="165" customFormat="1" hidden="1">
      <c r="A1354" s="165" t="s">
        <v>335</v>
      </c>
      <c r="B1354" s="13">
        <v>43518</v>
      </c>
      <c r="C1354" s="13" t="s">
        <v>23</v>
      </c>
      <c r="D1354" s="165" t="s">
        <v>238</v>
      </c>
      <c r="E1354" s="165" t="s">
        <v>239</v>
      </c>
      <c r="F1354" s="165" t="str">
        <f t="shared" si="199"/>
        <v>YELL_14.16_300_NL2018</v>
      </c>
      <c r="G1354" s="165" t="s">
        <v>89</v>
      </c>
      <c r="H1354" s="12"/>
      <c r="I1354" s="12" t="s">
        <v>47</v>
      </c>
      <c r="J1354" s="14">
        <v>300</v>
      </c>
      <c r="K1354" s="15" t="s">
        <v>28</v>
      </c>
      <c r="L1354" s="15"/>
      <c r="M1354" s="16">
        <f t="shared" si="200"/>
        <v>8</v>
      </c>
      <c r="N1354" s="15">
        <v>2400</v>
      </c>
      <c r="O1354" s="15">
        <v>3800</v>
      </c>
      <c r="P1354" s="15">
        <f t="shared" si="205"/>
        <v>9120000</v>
      </c>
      <c r="Q1354" s="15" t="str">
        <f t="shared" si="206"/>
        <v>Done</v>
      </c>
      <c r="R1354" s="18" t="s">
        <v>44</v>
      </c>
      <c r="S1354" s="23" t="s">
        <v>53</v>
      </c>
      <c r="T1354" s="20">
        <f>IFERROR(VLOOKUP(S1354,'Date Converter'!$A$4:$C$368,3,0),"")</f>
        <v>43559</v>
      </c>
      <c r="U1354" s="21">
        <f t="shared" si="204"/>
        <v>43559</v>
      </c>
      <c r="V1354" s="20" t="s">
        <v>54</v>
      </c>
      <c r="W1354" s="18" t="s">
        <v>72</v>
      </c>
      <c r="X1354" s="18">
        <v>43555</v>
      </c>
      <c r="Y1354" s="15" t="s">
        <v>59</v>
      </c>
      <c r="Z1354" s="206">
        <v>43579</v>
      </c>
      <c r="AA1354" s="15">
        <v>2400</v>
      </c>
      <c r="AB1354" s="206"/>
      <c r="AC1354" s="15"/>
      <c r="AD1354" s="206"/>
      <c r="AE1354" s="15"/>
      <c r="AF1354" s="244"/>
      <c r="AG1354" s="15"/>
      <c r="AH1354" s="15">
        <f t="shared" si="201"/>
        <v>2400</v>
      </c>
      <c r="AI1354" s="22">
        <f t="shared" si="202"/>
        <v>0</v>
      </c>
      <c r="AJ1354" s="22">
        <f t="shared" si="203"/>
        <v>0</v>
      </c>
      <c r="AK1354" s="165" t="s">
        <v>241</v>
      </c>
    </row>
    <row r="1355" spans="1:37" s="165" customFormat="1" hidden="1">
      <c r="A1355" s="165" t="s">
        <v>335</v>
      </c>
      <c r="B1355" s="13">
        <v>43518</v>
      </c>
      <c r="C1355" s="13" t="s">
        <v>23</v>
      </c>
      <c r="D1355" s="165" t="s">
        <v>238</v>
      </c>
      <c r="E1355" s="165" t="s">
        <v>239</v>
      </c>
      <c r="F1355" s="165" t="str">
        <f t="shared" si="199"/>
        <v>SERA_14.16_300_NL2018</v>
      </c>
      <c r="G1355" s="165" t="s">
        <v>227</v>
      </c>
      <c r="H1355" s="12"/>
      <c r="I1355" s="12" t="s">
        <v>47</v>
      </c>
      <c r="J1355" s="14">
        <v>300</v>
      </c>
      <c r="K1355" s="15" t="s">
        <v>28</v>
      </c>
      <c r="L1355" s="15"/>
      <c r="M1355" s="16">
        <f t="shared" si="200"/>
        <v>31</v>
      </c>
      <c r="N1355" s="15">
        <v>9300</v>
      </c>
      <c r="O1355" s="15">
        <v>3500</v>
      </c>
      <c r="P1355" s="15">
        <f t="shared" si="205"/>
        <v>32550000</v>
      </c>
      <c r="Q1355" s="15" t="str">
        <f t="shared" si="206"/>
        <v>Done</v>
      </c>
      <c r="R1355" s="18" t="s">
        <v>44</v>
      </c>
      <c r="S1355" s="23" t="s">
        <v>53</v>
      </c>
      <c r="T1355" s="20">
        <f>IFERROR(VLOOKUP(S1355,'Date Converter'!$A$4:$C$368,3,0),"")</f>
        <v>43559</v>
      </c>
      <c r="U1355" s="21">
        <f t="shared" si="204"/>
        <v>43559</v>
      </c>
      <c r="V1355" s="20" t="s">
        <v>54</v>
      </c>
      <c r="W1355" s="18" t="s">
        <v>55</v>
      </c>
      <c r="X1355" s="18">
        <v>43555</v>
      </c>
      <c r="Y1355" s="15" t="s">
        <v>59</v>
      </c>
      <c r="Z1355" s="206">
        <v>43560</v>
      </c>
      <c r="AA1355" s="15">
        <v>9300</v>
      </c>
      <c r="AB1355" s="206"/>
      <c r="AC1355" s="15"/>
      <c r="AD1355" s="206"/>
      <c r="AE1355" s="15"/>
      <c r="AF1355" s="244"/>
      <c r="AG1355" s="15"/>
      <c r="AH1355" s="15">
        <f t="shared" si="201"/>
        <v>9300</v>
      </c>
      <c r="AI1355" s="22">
        <f t="shared" si="202"/>
        <v>0</v>
      </c>
      <c r="AJ1355" s="22">
        <f t="shared" si="203"/>
        <v>0</v>
      </c>
    </row>
    <row r="1356" spans="1:37" s="165" customFormat="1" hidden="1">
      <c r="A1356" s="165" t="s">
        <v>335</v>
      </c>
      <c r="B1356" s="13">
        <v>43637</v>
      </c>
      <c r="C1356" s="13" t="s">
        <v>23</v>
      </c>
      <c r="D1356" s="165" t="s">
        <v>238</v>
      </c>
      <c r="E1356" s="198" t="s">
        <v>239</v>
      </c>
      <c r="F1356" s="165" t="str">
        <f t="shared" si="199"/>
        <v>ROBI_14.16_300_NL2018</v>
      </c>
      <c r="G1356" s="165" t="s">
        <v>61</v>
      </c>
      <c r="H1356" s="12"/>
      <c r="I1356" s="12" t="s">
        <v>47</v>
      </c>
      <c r="J1356" s="14">
        <v>300</v>
      </c>
      <c r="K1356" s="15" t="s">
        <v>28</v>
      </c>
      <c r="L1356" s="15"/>
      <c r="M1356" s="16">
        <f t="shared" si="200"/>
        <v>17</v>
      </c>
      <c r="N1356" s="15">
        <v>5100</v>
      </c>
      <c r="O1356" s="15">
        <v>3800</v>
      </c>
      <c r="P1356" s="15">
        <f t="shared" si="205"/>
        <v>19380000</v>
      </c>
      <c r="Q1356" s="15" t="str">
        <f t="shared" si="206"/>
        <v/>
      </c>
      <c r="R1356" s="18" t="s">
        <v>31</v>
      </c>
      <c r="S1356" s="23">
        <v>43631</v>
      </c>
      <c r="T1356" s="20">
        <f>IFERROR(VLOOKUP(S1356,'Date Converter'!$A$4:$C$368,3,0),"")</f>
        <v>43663</v>
      </c>
      <c r="U1356" s="21">
        <f t="shared" si="204"/>
        <v>43663</v>
      </c>
      <c r="V1356" s="20"/>
      <c r="W1356" s="18"/>
      <c r="X1356" s="18"/>
      <c r="Y1356" s="15"/>
      <c r="Z1356" s="206"/>
      <c r="AA1356" s="15"/>
      <c r="AB1356" s="206"/>
      <c r="AC1356" s="15"/>
      <c r="AD1356" s="206"/>
      <c r="AE1356" s="15"/>
      <c r="AF1356" s="244"/>
      <c r="AG1356" s="15"/>
      <c r="AH1356" s="15">
        <f t="shared" si="201"/>
        <v>0</v>
      </c>
      <c r="AI1356" s="22">
        <f t="shared" si="202"/>
        <v>5100</v>
      </c>
      <c r="AJ1356" s="22">
        <f t="shared" si="203"/>
        <v>19380000</v>
      </c>
    </row>
    <row r="1357" spans="1:37" s="165" customFormat="1" hidden="1">
      <c r="A1357" s="165" t="s">
        <v>335</v>
      </c>
      <c r="B1357" s="13">
        <v>43518</v>
      </c>
      <c r="C1357" s="13" t="s">
        <v>23</v>
      </c>
      <c r="D1357" s="165" t="s">
        <v>238</v>
      </c>
      <c r="E1357" s="165" t="s">
        <v>239</v>
      </c>
      <c r="F1357" s="165" t="str">
        <f t="shared" si="199"/>
        <v>ROBI_16.18_200_NL2018</v>
      </c>
      <c r="G1357" s="165" t="s">
        <v>61</v>
      </c>
      <c r="H1357" s="12"/>
      <c r="I1357" s="12" t="s">
        <v>35</v>
      </c>
      <c r="J1357" s="14">
        <v>200</v>
      </c>
      <c r="K1357" s="15" t="s">
        <v>28</v>
      </c>
      <c r="L1357" s="15"/>
      <c r="M1357" s="16">
        <f t="shared" si="200"/>
        <v>50</v>
      </c>
      <c r="N1357" s="15">
        <v>10000</v>
      </c>
      <c r="O1357" s="15">
        <v>4800</v>
      </c>
      <c r="P1357" s="15">
        <f t="shared" si="205"/>
        <v>48000000</v>
      </c>
      <c r="Q1357" s="15" t="str">
        <f t="shared" si="206"/>
        <v>Done</v>
      </c>
      <c r="R1357" s="18" t="s">
        <v>44</v>
      </c>
      <c r="S1357" s="23" t="s">
        <v>53</v>
      </c>
      <c r="T1357" s="20">
        <f>IFERROR(VLOOKUP(S1357,'Date Converter'!$A$4:$C$368,3,0),"")</f>
        <v>43559</v>
      </c>
      <c r="U1357" s="21">
        <f t="shared" si="204"/>
        <v>43559</v>
      </c>
      <c r="V1357" s="20" t="s">
        <v>54</v>
      </c>
      <c r="W1357" s="18" t="s">
        <v>72</v>
      </c>
      <c r="X1357" s="18">
        <v>43555</v>
      </c>
      <c r="Y1357" s="15" t="s">
        <v>59</v>
      </c>
      <c r="Z1357" s="206">
        <v>43560</v>
      </c>
      <c r="AA1357" s="15">
        <v>10000</v>
      </c>
      <c r="AB1357" s="206"/>
      <c r="AC1357" s="15"/>
      <c r="AD1357" s="206"/>
      <c r="AE1357" s="15"/>
      <c r="AF1357" s="244"/>
      <c r="AG1357" s="15"/>
      <c r="AH1357" s="15">
        <f t="shared" si="201"/>
        <v>10000</v>
      </c>
      <c r="AI1357" s="22">
        <f t="shared" si="202"/>
        <v>0</v>
      </c>
      <c r="AJ1357" s="22">
        <f t="shared" si="203"/>
        <v>0</v>
      </c>
    </row>
    <row r="1358" spans="1:37" s="165" customFormat="1" hidden="1">
      <c r="A1358" s="165" t="s">
        <v>335</v>
      </c>
      <c r="B1358" s="13">
        <v>43591</v>
      </c>
      <c r="C1358" s="13" t="s">
        <v>23</v>
      </c>
      <c r="D1358" s="165" t="s">
        <v>238</v>
      </c>
      <c r="E1358" s="198" t="s">
        <v>239</v>
      </c>
      <c r="F1358" s="165" t="str">
        <f t="shared" si="199"/>
        <v>ROBI_14.16_300_NL2018</v>
      </c>
      <c r="G1358" s="165" t="s">
        <v>61</v>
      </c>
      <c r="H1358" s="12"/>
      <c r="I1358" s="12" t="s">
        <v>47</v>
      </c>
      <c r="J1358" s="14">
        <v>300</v>
      </c>
      <c r="K1358" s="15" t="s">
        <v>28</v>
      </c>
      <c r="L1358" s="15"/>
      <c r="M1358" s="16">
        <f t="shared" si="200"/>
        <v>33</v>
      </c>
      <c r="N1358" s="15">
        <f>10200-300</f>
        <v>9900</v>
      </c>
      <c r="O1358" s="15">
        <v>3600</v>
      </c>
      <c r="P1358" s="15">
        <f t="shared" si="205"/>
        <v>35640000</v>
      </c>
      <c r="Q1358" s="15" t="str">
        <f t="shared" si="206"/>
        <v>Done</v>
      </c>
      <c r="R1358" s="18" t="s">
        <v>44</v>
      </c>
      <c r="S1358" s="23">
        <v>43590</v>
      </c>
      <c r="T1358" s="20">
        <f>IFERROR(VLOOKUP(S1358,'Date Converter'!$A$4:$C$368,3,0),"")</f>
        <v>43623</v>
      </c>
      <c r="U1358" s="21">
        <f t="shared" si="204"/>
        <v>43623</v>
      </c>
      <c r="V1358" s="20" t="s">
        <v>1505</v>
      </c>
      <c r="W1358" s="18"/>
      <c r="X1358" s="18"/>
      <c r="Y1358" s="15"/>
      <c r="Z1358" s="206">
        <v>43637</v>
      </c>
      <c r="AA1358" s="15">
        <v>9900</v>
      </c>
      <c r="AB1358" s="206"/>
      <c r="AC1358" s="15"/>
      <c r="AD1358" s="206"/>
      <c r="AE1358" s="15"/>
      <c r="AF1358" s="244"/>
      <c r="AG1358" s="15"/>
      <c r="AH1358" s="15">
        <f t="shared" si="201"/>
        <v>9900</v>
      </c>
      <c r="AI1358" s="22">
        <f t="shared" si="202"/>
        <v>0</v>
      </c>
      <c r="AJ1358" s="22">
        <f t="shared" si="203"/>
        <v>0</v>
      </c>
    </row>
    <row r="1359" spans="1:37" s="165" customFormat="1" hidden="1">
      <c r="A1359" s="165" t="s">
        <v>1852</v>
      </c>
      <c r="B1359" s="13">
        <v>43619</v>
      </c>
      <c r="C1359" s="13" t="s">
        <v>23</v>
      </c>
      <c r="D1359" s="258" t="s">
        <v>238</v>
      </c>
      <c r="E1359" s="198" t="s">
        <v>239</v>
      </c>
      <c r="F1359" s="165" t="str">
        <f t="shared" si="199"/>
        <v>ROBI_18.20_150_NL2018</v>
      </c>
      <c r="G1359" s="165" t="s">
        <v>61</v>
      </c>
      <c r="H1359" s="12"/>
      <c r="I1359" s="12" t="s">
        <v>27</v>
      </c>
      <c r="J1359" s="14">
        <v>150</v>
      </c>
      <c r="K1359" s="15" t="s">
        <v>28</v>
      </c>
      <c r="L1359" s="15"/>
      <c r="M1359" s="16">
        <f t="shared" si="200"/>
        <v>34</v>
      </c>
      <c r="N1359" s="15">
        <v>5100</v>
      </c>
      <c r="O1359" s="15">
        <v>8500</v>
      </c>
      <c r="P1359" s="15">
        <f t="shared" si="205"/>
        <v>43350000</v>
      </c>
      <c r="Q1359" s="15" t="str">
        <f t="shared" si="206"/>
        <v/>
      </c>
      <c r="R1359" s="18" t="s">
        <v>29</v>
      </c>
      <c r="S1359" s="23">
        <v>43709</v>
      </c>
      <c r="T1359" s="20">
        <f>IFERROR(VLOOKUP(S1359,'Date Converter'!$A$4:$C$368,3,0),"")</f>
        <v>43737</v>
      </c>
      <c r="U1359" s="21">
        <f t="shared" si="204"/>
        <v>43737</v>
      </c>
      <c r="V1359" s="20"/>
      <c r="W1359" s="18"/>
      <c r="X1359" s="18"/>
      <c r="Y1359" s="15"/>
      <c r="Z1359" s="206"/>
      <c r="AA1359" s="15"/>
      <c r="AB1359" s="206"/>
      <c r="AC1359" s="15"/>
      <c r="AD1359" s="206"/>
      <c r="AE1359" s="15"/>
      <c r="AF1359" s="244"/>
      <c r="AG1359" s="15"/>
      <c r="AH1359" s="15">
        <f t="shared" si="201"/>
        <v>0</v>
      </c>
      <c r="AI1359" s="22">
        <f t="shared" si="202"/>
        <v>5100</v>
      </c>
      <c r="AJ1359" s="22">
        <f t="shared" si="203"/>
        <v>43350000</v>
      </c>
    </row>
    <row r="1360" spans="1:37" s="165" customFormat="1" hidden="1">
      <c r="A1360" s="165" t="s">
        <v>335</v>
      </c>
      <c r="B1360" s="13">
        <v>43591</v>
      </c>
      <c r="C1360" s="13" t="s">
        <v>23</v>
      </c>
      <c r="D1360" s="165" t="s">
        <v>238</v>
      </c>
      <c r="E1360" s="198" t="s">
        <v>239</v>
      </c>
      <c r="F1360" s="165" t="str">
        <f t="shared" si="199"/>
        <v>PROF_14.16_275_NL2018</v>
      </c>
      <c r="G1360" s="165" t="s">
        <v>56</v>
      </c>
      <c r="H1360" s="12"/>
      <c r="I1360" s="12">
        <v>14.16</v>
      </c>
      <c r="J1360" s="14">
        <v>275</v>
      </c>
      <c r="K1360" s="15" t="s">
        <v>28</v>
      </c>
      <c r="L1360" s="15"/>
      <c r="M1360" s="16">
        <f t="shared" si="200"/>
        <v>37</v>
      </c>
      <c r="N1360" s="15">
        <v>10175</v>
      </c>
      <c r="O1360" s="15">
        <v>5000</v>
      </c>
      <c r="P1360" s="15">
        <f t="shared" si="205"/>
        <v>50875000</v>
      </c>
      <c r="Q1360" s="15" t="str">
        <f t="shared" si="206"/>
        <v>Done</v>
      </c>
      <c r="R1360" s="18" t="s">
        <v>44</v>
      </c>
      <c r="S1360" s="23">
        <v>43554</v>
      </c>
      <c r="T1360" s="20">
        <f>IFERROR(VLOOKUP(S1360,'Date Converter'!$A$4:$C$368,3,0),"")</f>
        <v>43589</v>
      </c>
      <c r="U1360" s="21">
        <f t="shared" si="204"/>
        <v>43589</v>
      </c>
      <c r="V1360" s="20" t="s">
        <v>36</v>
      </c>
      <c r="W1360" s="18"/>
      <c r="X1360" s="18"/>
      <c r="Y1360" s="15"/>
      <c r="Z1360" s="206">
        <v>43599</v>
      </c>
      <c r="AA1360" s="15">
        <v>10175</v>
      </c>
      <c r="AB1360" s="206"/>
      <c r="AC1360" s="15"/>
      <c r="AD1360" s="206"/>
      <c r="AE1360" s="15"/>
      <c r="AF1360" s="244"/>
      <c r="AG1360" s="15"/>
      <c r="AH1360" s="15">
        <f t="shared" si="201"/>
        <v>10175</v>
      </c>
      <c r="AI1360" s="22">
        <f t="shared" si="202"/>
        <v>0</v>
      </c>
      <c r="AJ1360" s="22">
        <f t="shared" si="203"/>
        <v>0</v>
      </c>
    </row>
    <row r="1361" spans="1:37" s="165" customFormat="1" hidden="1">
      <c r="A1361" s="165" t="s">
        <v>335</v>
      </c>
      <c r="B1361" s="13">
        <v>43602</v>
      </c>
      <c r="C1361" s="13" t="s">
        <v>23</v>
      </c>
      <c r="D1361" s="165" t="s">
        <v>238</v>
      </c>
      <c r="E1361" s="198" t="s">
        <v>239</v>
      </c>
      <c r="F1361" s="165" t="str">
        <f t="shared" si="199"/>
        <v>MALD_14.16_300_NL2018</v>
      </c>
      <c r="G1361" s="165" t="s">
        <v>478</v>
      </c>
      <c r="H1361" s="12"/>
      <c r="I1361" s="12" t="s">
        <v>47</v>
      </c>
      <c r="J1361" s="14">
        <v>300</v>
      </c>
      <c r="K1361" s="15" t="s">
        <v>28</v>
      </c>
      <c r="L1361" s="15"/>
      <c r="M1361" s="16">
        <f t="shared" si="200"/>
        <v>0</v>
      </c>
      <c r="N1361" s="15">
        <f>10200-10200</f>
        <v>0</v>
      </c>
      <c r="O1361" s="15">
        <v>4000</v>
      </c>
      <c r="P1361" s="15">
        <f t="shared" si="205"/>
        <v>0</v>
      </c>
      <c r="Q1361" s="15" t="str">
        <f t="shared" si="206"/>
        <v>Canceled</v>
      </c>
      <c r="R1361" s="18" t="s">
        <v>71</v>
      </c>
      <c r="S1361" s="23">
        <v>43590</v>
      </c>
      <c r="T1361" s="20">
        <f>IFERROR(VLOOKUP(S1361,'Date Converter'!$A$4:$C$368,3,0),"")</f>
        <v>43623</v>
      </c>
      <c r="U1361" s="21">
        <f t="shared" si="204"/>
        <v>43623</v>
      </c>
      <c r="V1361" s="20"/>
      <c r="W1361" s="18"/>
      <c r="X1361" s="18"/>
      <c r="Y1361" s="15"/>
      <c r="Z1361" s="206"/>
      <c r="AA1361" s="256"/>
      <c r="AB1361" s="206"/>
      <c r="AC1361" s="15"/>
      <c r="AD1361" s="206"/>
      <c r="AE1361" s="15"/>
      <c r="AF1361" s="244"/>
      <c r="AG1361" s="15"/>
      <c r="AH1361" s="15">
        <f t="shared" si="201"/>
        <v>0</v>
      </c>
      <c r="AI1361" s="22">
        <f t="shared" si="202"/>
        <v>0</v>
      </c>
      <c r="AJ1361" s="22">
        <f t="shared" si="203"/>
        <v>0</v>
      </c>
    </row>
    <row r="1362" spans="1:37" s="165" customFormat="1" hidden="1">
      <c r="A1362" s="165" t="s">
        <v>1852</v>
      </c>
      <c r="B1362" s="13">
        <v>43619</v>
      </c>
      <c r="C1362" s="13" t="s">
        <v>23</v>
      </c>
      <c r="D1362" s="258" t="s">
        <v>238</v>
      </c>
      <c r="E1362" s="198" t="s">
        <v>239</v>
      </c>
      <c r="F1362" s="165" t="str">
        <f t="shared" si="199"/>
        <v>CONC_18.20_150_NL2018</v>
      </c>
      <c r="G1362" s="165" t="s">
        <v>40</v>
      </c>
      <c r="H1362" s="12"/>
      <c r="I1362" s="12" t="s">
        <v>27</v>
      </c>
      <c r="J1362" s="14">
        <v>150</v>
      </c>
      <c r="K1362" s="15" t="s">
        <v>28</v>
      </c>
      <c r="L1362" s="15"/>
      <c r="M1362" s="16">
        <f t="shared" si="200"/>
        <v>34</v>
      </c>
      <c r="N1362" s="15">
        <v>5100</v>
      </c>
      <c r="O1362" s="15">
        <v>8000</v>
      </c>
      <c r="P1362" s="15">
        <f t="shared" si="205"/>
        <v>40800000</v>
      </c>
      <c r="Q1362" s="15" t="str">
        <f t="shared" si="206"/>
        <v/>
      </c>
      <c r="R1362" s="18" t="s">
        <v>29</v>
      </c>
      <c r="S1362" s="23">
        <v>43709</v>
      </c>
      <c r="T1362" s="20">
        <f>IFERROR(VLOOKUP(S1362,'Date Converter'!$A$4:$C$368,3,0),"")</f>
        <v>43737</v>
      </c>
      <c r="U1362" s="21">
        <f t="shared" si="204"/>
        <v>43737</v>
      </c>
      <c r="V1362" s="20"/>
      <c r="W1362" s="18"/>
      <c r="X1362" s="18"/>
      <c r="Y1362" s="15"/>
      <c r="Z1362" s="206"/>
      <c r="AA1362" s="15"/>
      <c r="AB1362" s="206"/>
      <c r="AC1362" s="15"/>
      <c r="AD1362" s="206"/>
      <c r="AE1362" s="15"/>
      <c r="AF1362" s="244"/>
      <c r="AG1362" s="15"/>
      <c r="AH1362" s="15">
        <f t="shared" si="201"/>
        <v>0</v>
      </c>
      <c r="AI1362" s="22">
        <f t="shared" si="202"/>
        <v>5100</v>
      </c>
      <c r="AJ1362" s="22">
        <f t="shared" si="203"/>
        <v>40800000</v>
      </c>
    </row>
    <row r="1363" spans="1:37" s="165" customFormat="1" hidden="1">
      <c r="A1363" s="165" t="s">
        <v>1741</v>
      </c>
      <c r="B1363" s="13">
        <v>43507</v>
      </c>
      <c r="C1363" s="13" t="s">
        <v>1622</v>
      </c>
      <c r="D1363" s="165" t="s">
        <v>1208</v>
      </c>
      <c r="E1363" s="165" t="s">
        <v>1209</v>
      </c>
      <c r="F1363" s="165" t="str">
        <f t="shared" si="199"/>
        <v>YELL_12.14_400_NL2018</v>
      </c>
      <c r="G1363" s="165" t="s">
        <v>89</v>
      </c>
      <c r="H1363" s="12"/>
      <c r="I1363" s="12" t="s">
        <v>113</v>
      </c>
      <c r="J1363" s="14">
        <v>400</v>
      </c>
      <c r="K1363" s="15" t="s">
        <v>28</v>
      </c>
      <c r="L1363" s="15"/>
      <c r="M1363" s="16">
        <f t="shared" si="200"/>
        <v>65</v>
      </c>
      <c r="N1363" s="15">
        <v>26000</v>
      </c>
      <c r="O1363" s="15">
        <v>2600</v>
      </c>
      <c r="P1363" s="15">
        <f t="shared" si="205"/>
        <v>67600000</v>
      </c>
      <c r="Q1363" s="15" t="str">
        <f t="shared" si="206"/>
        <v>Done</v>
      </c>
      <c r="R1363" s="18" t="s">
        <v>44</v>
      </c>
      <c r="S1363" s="117">
        <v>43480</v>
      </c>
      <c r="T1363" s="20">
        <f>IFERROR(VLOOKUP(S1363,'Date Converter'!$A$4:$C$368,3,0),"")</f>
        <v>43515</v>
      </c>
      <c r="U1363" s="21">
        <f t="shared" si="204"/>
        <v>43515</v>
      </c>
      <c r="V1363" s="12" t="s">
        <v>45</v>
      </c>
      <c r="W1363" s="18"/>
      <c r="X1363" s="18"/>
      <c r="Y1363" s="18"/>
      <c r="Z1363" s="210">
        <v>43522</v>
      </c>
      <c r="AA1363" s="15">
        <v>26000</v>
      </c>
      <c r="AB1363" s="210"/>
      <c r="AC1363" s="15"/>
      <c r="AD1363" s="15"/>
      <c r="AE1363" s="15"/>
      <c r="AF1363" s="244"/>
      <c r="AG1363" s="15"/>
      <c r="AH1363" s="15">
        <f t="shared" si="201"/>
        <v>26000</v>
      </c>
      <c r="AI1363" s="22">
        <f t="shared" si="202"/>
        <v>0</v>
      </c>
      <c r="AJ1363" s="22">
        <f t="shared" si="203"/>
        <v>0</v>
      </c>
      <c r="AK1363" s="13">
        <v>43873</v>
      </c>
    </row>
    <row r="1364" spans="1:37" s="165" customFormat="1" hidden="1">
      <c r="A1364" s="165" t="s">
        <v>1741</v>
      </c>
      <c r="B1364" s="13">
        <v>43507</v>
      </c>
      <c r="C1364" s="13" t="s">
        <v>1622</v>
      </c>
      <c r="D1364" s="165" t="s">
        <v>1208</v>
      </c>
      <c r="E1364" s="165" t="s">
        <v>1209</v>
      </c>
      <c r="F1364" s="165" t="str">
        <f t="shared" si="199"/>
        <v>YELL_12.14_400_NL2018</v>
      </c>
      <c r="G1364" s="165" t="s">
        <v>89</v>
      </c>
      <c r="H1364" s="12"/>
      <c r="I1364" s="12" t="s">
        <v>113</v>
      </c>
      <c r="J1364" s="14">
        <v>400</v>
      </c>
      <c r="K1364" s="15" t="s">
        <v>28</v>
      </c>
      <c r="L1364" s="15"/>
      <c r="M1364" s="16">
        <f t="shared" si="200"/>
        <v>50</v>
      </c>
      <c r="N1364" s="15">
        <v>20000</v>
      </c>
      <c r="O1364" s="15">
        <v>2600</v>
      </c>
      <c r="P1364" s="15">
        <f t="shared" si="205"/>
        <v>52000000</v>
      </c>
      <c r="Q1364" s="15" t="str">
        <f t="shared" si="206"/>
        <v>Done</v>
      </c>
      <c r="R1364" s="18" t="s">
        <v>44</v>
      </c>
      <c r="S1364" s="117">
        <v>43539</v>
      </c>
      <c r="T1364" s="20">
        <f>IFERROR(VLOOKUP(S1364,'Date Converter'!$A$4:$C$368,3,0),"")</f>
        <v>43574</v>
      </c>
      <c r="U1364" s="21">
        <f t="shared" si="204"/>
        <v>43574</v>
      </c>
      <c r="V1364" s="12" t="s">
        <v>57</v>
      </c>
      <c r="W1364" s="18" t="s">
        <v>141</v>
      </c>
      <c r="X1364" s="18"/>
      <c r="Y1364" s="18"/>
      <c r="Z1364" s="210">
        <v>43580</v>
      </c>
      <c r="AA1364" s="15">
        <v>20000</v>
      </c>
      <c r="AB1364" s="210"/>
      <c r="AC1364" s="15"/>
      <c r="AD1364" s="15"/>
      <c r="AE1364" s="15"/>
      <c r="AF1364" s="244"/>
      <c r="AG1364" s="15"/>
      <c r="AH1364" s="15">
        <f t="shared" si="201"/>
        <v>20000</v>
      </c>
      <c r="AI1364" s="22">
        <f t="shared" si="202"/>
        <v>0</v>
      </c>
      <c r="AJ1364" s="22">
        <f t="shared" si="203"/>
        <v>0</v>
      </c>
      <c r="AK1364" s="13">
        <v>43874</v>
      </c>
    </row>
    <row r="1365" spans="1:37" s="165" customFormat="1" hidden="1">
      <c r="A1365" s="165" t="s">
        <v>1741</v>
      </c>
      <c r="B1365" s="13">
        <v>43507</v>
      </c>
      <c r="C1365" s="13" t="s">
        <v>1622</v>
      </c>
      <c r="D1365" s="165" t="s">
        <v>1208</v>
      </c>
      <c r="E1365" s="165" t="s">
        <v>1209</v>
      </c>
      <c r="F1365" s="165" t="str">
        <f t="shared" si="199"/>
        <v>YELL_14.16_300_NL2018</v>
      </c>
      <c r="G1365" s="165" t="s">
        <v>89</v>
      </c>
      <c r="H1365" s="12"/>
      <c r="I1365" s="12" t="s">
        <v>47</v>
      </c>
      <c r="J1365" s="14">
        <v>300</v>
      </c>
      <c r="K1365" s="15" t="s">
        <v>28</v>
      </c>
      <c r="L1365" s="15"/>
      <c r="M1365" s="16">
        <f t="shared" si="200"/>
        <v>67</v>
      </c>
      <c r="N1365" s="15">
        <v>20100</v>
      </c>
      <c r="O1365" s="15">
        <v>3600</v>
      </c>
      <c r="P1365" s="15">
        <f t="shared" si="205"/>
        <v>72360000</v>
      </c>
      <c r="Q1365" s="15" t="str">
        <f t="shared" si="206"/>
        <v>Done</v>
      </c>
      <c r="R1365" s="18" t="s">
        <v>44</v>
      </c>
      <c r="S1365" s="117">
        <v>43539</v>
      </c>
      <c r="T1365" s="20">
        <f>IFERROR(VLOOKUP(S1365,'Date Converter'!$A$4:$C$368,3,0),"")</f>
        <v>43574</v>
      </c>
      <c r="U1365" s="21">
        <f t="shared" si="204"/>
        <v>43574</v>
      </c>
      <c r="V1365" s="12" t="s">
        <v>57</v>
      </c>
      <c r="W1365" s="18" t="s">
        <v>79</v>
      </c>
      <c r="X1365" s="18"/>
      <c r="Y1365" s="18"/>
      <c r="Z1365" s="210">
        <v>43580</v>
      </c>
      <c r="AA1365" s="15">
        <v>20100</v>
      </c>
      <c r="AB1365" s="210"/>
      <c r="AC1365" s="15"/>
      <c r="AD1365" s="15"/>
      <c r="AE1365" s="15"/>
      <c r="AF1365" s="244"/>
      <c r="AG1365" s="15"/>
      <c r="AH1365" s="15">
        <f t="shared" si="201"/>
        <v>20100</v>
      </c>
      <c r="AI1365" s="22">
        <f t="shared" si="202"/>
        <v>0</v>
      </c>
      <c r="AJ1365" s="22">
        <f t="shared" si="203"/>
        <v>0</v>
      </c>
      <c r="AK1365" s="13">
        <v>43874</v>
      </c>
    </row>
    <row r="1366" spans="1:37" s="165" customFormat="1" hidden="1">
      <c r="A1366" s="165" t="s">
        <v>1741</v>
      </c>
      <c r="B1366" s="13">
        <v>43616</v>
      </c>
      <c r="C1366" s="13" t="s">
        <v>1622</v>
      </c>
      <c r="D1366" s="165" t="s">
        <v>1208</v>
      </c>
      <c r="E1366" s="165" t="s">
        <v>1209</v>
      </c>
      <c r="F1366" s="165" t="str">
        <f t="shared" si="199"/>
        <v>YELL_14.16_300_NL2018</v>
      </c>
      <c r="G1366" s="165" t="s">
        <v>89</v>
      </c>
      <c r="H1366" s="12"/>
      <c r="I1366" s="12" t="s">
        <v>47</v>
      </c>
      <c r="J1366" s="14">
        <v>300</v>
      </c>
      <c r="K1366" s="15" t="s">
        <v>28</v>
      </c>
      <c r="L1366" s="15"/>
      <c r="M1366" s="16">
        <f t="shared" si="200"/>
        <v>100</v>
      </c>
      <c r="N1366" s="15">
        <v>30000</v>
      </c>
      <c r="O1366" s="15">
        <v>3900</v>
      </c>
      <c r="P1366" s="15">
        <f t="shared" si="205"/>
        <v>117000000</v>
      </c>
      <c r="Q1366" s="15" t="str">
        <f t="shared" si="206"/>
        <v/>
      </c>
      <c r="R1366" s="18" t="s">
        <v>31</v>
      </c>
      <c r="S1366" s="117">
        <v>43615</v>
      </c>
      <c r="T1366" s="20">
        <f>IFERROR(VLOOKUP(S1366,'Date Converter'!$A$4:$C$368,3,0),"")</f>
        <v>43648</v>
      </c>
      <c r="U1366" s="21">
        <f t="shared" si="204"/>
        <v>43648</v>
      </c>
      <c r="V1366" s="12"/>
      <c r="W1366" s="18"/>
      <c r="X1366" s="18"/>
      <c r="Y1366" s="18"/>
      <c r="Z1366" s="210"/>
      <c r="AA1366" s="15"/>
      <c r="AB1366" s="210"/>
      <c r="AC1366" s="15"/>
      <c r="AD1366" s="15"/>
      <c r="AE1366" s="15"/>
      <c r="AF1366" s="244"/>
      <c r="AG1366" s="15"/>
      <c r="AH1366" s="15">
        <f t="shared" si="201"/>
        <v>0</v>
      </c>
      <c r="AI1366" s="22">
        <f t="shared" si="202"/>
        <v>30000</v>
      </c>
      <c r="AJ1366" s="22">
        <f t="shared" si="203"/>
        <v>117000000</v>
      </c>
      <c r="AK1366" s="13"/>
    </row>
    <row r="1367" spans="1:37" s="165" customFormat="1" hidden="1">
      <c r="A1367" s="165" t="s">
        <v>1741</v>
      </c>
      <c r="B1367" s="13">
        <v>43507</v>
      </c>
      <c r="C1367" s="13" t="s">
        <v>1622</v>
      </c>
      <c r="D1367" s="165" t="s">
        <v>1208</v>
      </c>
      <c r="E1367" s="165" t="s">
        <v>1209</v>
      </c>
      <c r="F1367" s="165" t="str">
        <f t="shared" si="199"/>
        <v>TEBA_12.14_400_NL2018</v>
      </c>
      <c r="G1367" s="165" t="s">
        <v>127</v>
      </c>
      <c r="H1367" s="12"/>
      <c r="I1367" s="12" t="s">
        <v>113</v>
      </c>
      <c r="J1367" s="14">
        <v>400</v>
      </c>
      <c r="K1367" s="15" t="s">
        <v>28</v>
      </c>
      <c r="L1367" s="15"/>
      <c r="M1367" s="16">
        <f t="shared" si="200"/>
        <v>25</v>
      </c>
      <c r="N1367" s="15">
        <v>10000</v>
      </c>
      <c r="O1367" s="15">
        <v>2800</v>
      </c>
      <c r="P1367" s="15">
        <f t="shared" si="205"/>
        <v>28000000</v>
      </c>
      <c r="Q1367" s="15" t="str">
        <f t="shared" si="206"/>
        <v>Done</v>
      </c>
      <c r="R1367" s="18" t="s">
        <v>44</v>
      </c>
      <c r="S1367" s="117" t="s">
        <v>151</v>
      </c>
      <c r="T1367" s="20">
        <f>IFERROR(VLOOKUP(S1367,'Date Converter'!$A$4:$C$368,3,0),"")</f>
        <v>43558</v>
      </c>
      <c r="U1367" s="21">
        <f t="shared" si="204"/>
        <v>43558</v>
      </c>
      <c r="V1367" s="12" t="s">
        <v>54</v>
      </c>
      <c r="W1367" s="18" t="s">
        <v>82</v>
      </c>
      <c r="X1367" s="18"/>
      <c r="Y1367" s="18"/>
      <c r="Z1367" s="210">
        <v>43557</v>
      </c>
      <c r="AA1367" s="15">
        <v>10000</v>
      </c>
      <c r="AB1367" s="210"/>
      <c r="AC1367" s="15"/>
      <c r="AD1367" s="15"/>
      <c r="AE1367" s="15"/>
      <c r="AF1367" s="244"/>
      <c r="AG1367" s="15"/>
      <c r="AH1367" s="15">
        <f t="shared" si="201"/>
        <v>10000</v>
      </c>
      <c r="AI1367" s="22">
        <f t="shared" si="202"/>
        <v>0</v>
      </c>
      <c r="AJ1367" s="22">
        <f t="shared" si="203"/>
        <v>0</v>
      </c>
      <c r="AK1367" s="13">
        <v>43874</v>
      </c>
    </row>
    <row r="1368" spans="1:37" s="165" customFormat="1" hidden="1">
      <c r="A1368" s="165" t="s">
        <v>1741</v>
      </c>
      <c r="B1368" s="13">
        <v>43507</v>
      </c>
      <c r="C1368" s="13" t="s">
        <v>1622</v>
      </c>
      <c r="D1368" s="165" t="s">
        <v>1208</v>
      </c>
      <c r="E1368" s="165" t="s">
        <v>1209</v>
      </c>
      <c r="F1368" s="165" t="str">
        <f t="shared" si="199"/>
        <v>LARG_16.18_200_NL2018</v>
      </c>
      <c r="G1368" s="165" t="s">
        <v>70</v>
      </c>
      <c r="H1368" s="12"/>
      <c r="I1368" s="12" t="s">
        <v>35</v>
      </c>
      <c r="J1368" s="14">
        <v>200</v>
      </c>
      <c r="K1368" s="15" t="s">
        <v>28</v>
      </c>
      <c r="L1368" s="15"/>
      <c r="M1368" s="16">
        <f t="shared" si="200"/>
        <v>147</v>
      </c>
      <c r="N1368" s="15">
        <f>19600-200+10000</f>
        <v>29400</v>
      </c>
      <c r="O1368" s="15">
        <v>5500</v>
      </c>
      <c r="P1368" s="15">
        <f t="shared" si="205"/>
        <v>161700000</v>
      </c>
      <c r="Q1368" s="15" t="str">
        <f t="shared" si="206"/>
        <v>Done</v>
      </c>
      <c r="R1368" s="18" t="s">
        <v>44</v>
      </c>
      <c r="S1368" s="117">
        <v>43539</v>
      </c>
      <c r="T1368" s="20">
        <f>IFERROR(VLOOKUP(S1368,'Date Converter'!$A$4:$C$368,3,0),"")</f>
        <v>43574</v>
      </c>
      <c r="U1368" s="21">
        <f t="shared" si="204"/>
        <v>43574</v>
      </c>
      <c r="V1368" s="12" t="s">
        <v>57</v>
      </c>
      <c r="W1368" s="18" t="s">
        <v>79</v>
      </c>
      <c r="X1368" s="18"/>
      <c r="Y1368" s="18"/>
      <c r="Z1368" s="210">
        <v>43588</v>
      </c>
      <c r="AA1368" s="15">
        <v>29400</v>
      </c>
      <c r="AB1368" s="210"/>
      <c r="AC1368" s="15"/>
      <c r="AD1368" s="15"/>
      <c r="AE1368" s="15"/>
      <c r="AF1368" s="244"/>
      <c r="AG1368" s="15"/>
      <c r="AH1368" s="15">
        <f t="shared" si="201"/>
        <v>29400</v>
      </c>
      <c r="AI1368" s="22">
        <f t="shared" si="202"/>
        <v>0</v>
      </c>
      <c r="AJ1368" s="22">
        <f t="shared" si="203"/>
        <v>0</v>
      </c>
      <c r="AK1368" s="13">
        <v>43874</v>
      </c>
    </row>
    <row r="1369" spans="1:37" s="165" customFormat="1" hidden="1">
      <c r="A1369" s="165" t="s">
        <v>1742</v>
      </c>
      <c r="B1369" s="13">
        <v>43578</v>
      </c>
      <c r="C1369" s="267" t="s">
        <v>1622</v>
      </c>
      <c r="D1369" s="258" t="s">
        <v>1208</v>
      </c>
      <c r="E1369" s="165" t="s">
        <v>1209</v>
      </c>
      <c r="F1369" s="165" t="str">
        <f t="shared" si="199"/>
        <v>LARG_22.24_100_NL2018</v>
      </c>
      <c r="G1369" s="165" t="s">
        <v>70</v>
      </c>
      <c r="H1369" s="12"/>
      <c r="I1369" s="12" t="s">
        <v>78</v>
      </c>
      <c r="J1369" s="14">
        <v>100</v>
      </c>
      <c r="K1369" s="15" t="s">
        <v>28</v>
      </c>
      <c r="L1369" s="15"/>
      <c r="M1369" s="16">
        <f t="shared" si="200"/>
        <v>200</v>
      </c>
      <c r="N1369" s="15">
        <v>20000</v>
      </c>
      <c r="O1369" s="15">
        <v>11400</v>
      </c>
      <c r="P1369" s="15">
        <f t="shared" si="205"/>
        <v>228000000</v>
      </c>
      <c r="Q1369" s="15" t="str">
        <f t="shared" si="206"/>
        <v/>
      </c>
      <c r="R1369" s="18" t="s">
        <v>29</v>
      </c>
      <c r="S1369" s="117">
        <v>43709</v>
      </c>
      <c r="T1369" s="20">
        <f>IFERROR(VLOOKUP(S1369,'Date Converter'!$A$4:$C$368,3,0),"")</f>
        <v>43737</v>
      </c>
      <c r="U1369" s="21">
        <f t="shared" si="204"/>
        <v>43737</v>
      </c>
      <c r="V1369" s="12" t="s">
        <v>51</v>
      </c>
      <c r="W1369" s="18"/>
      <c r="X1369" s="18"/>
      <c r="Y1369" s="18"/>
      <c r="Z1369" s="210"/>
      <c r="AA1369" s="15">
        <v>0</v>
      </c>
      <c r="AB1369" s="210"/>
      <c r="AC1369" s="15"/>
      <c r="AD1369" s="15"/>
      <c r="AE1369" s="15"/>
      <c r="AF1369" s="244"/>
      <c r="AG1369" s="15"/>
      <c r="AH1369" s="15">
        <f t="shared" si="201"/>
        <v>0</v>
      </c>
      <c r="AI1369" s="22">
        <f t="shared" si="202"/>
        <v>20000</v>
      </c>
      <c r="AJ1369" s="22">
        <f t="shared" si="203"/>
        <v>228000000</v>
      </c>
      <c r="AK1369" s="13">
        <v>43874</v>
      </c>
    </row>
    <row r="1370" spans="1:37" s="165" customFormat="1" hidden="1">
      <c r="A1370" s="165" t="s">
        <v>2003</v>
      </c>
      <c r="B1370" s="13">
        <v>43630</v>
      </c>
      <c r="C1370" s="13" t="s">
        <v>23</v>
      </c>
      <c r="D1370" s="165" t="s">
        <v>1999</v>
      </c>
      <c r="E1370" s="13" t="s">
        <v>2000</v>
      </c>
      <c r="F1370" s="165" t="str">
        <f t="shared" si="199"/>
        <v>ARVA_16.18_200_NL2018</v>
      </c>
      <c r="G1370" s="13" t="s">
        <v>85</v>
      </c>
      <c r="H1370" s="12"/>
      <c r="I1370" s="12" t="s">
        <v>35</v>
      </c>
      <c r="J1370" s="31" t="s">
        <v>121</v>
      </c>
      <c r="K1370" s="15" t="s">
        <v>28</v>
      </c>
      <c r="L1370" s="15"/>
      <c r="M1370" s="16">
        <f t="shared" si="200"/>
        <v>75</v>
      </c>
      <c r="N1370" s="15">
        <v>15000</v>
      </c>
      <c r="O1370" s="15">
        <v>5500</v>
      </c>
      <c r="P1370" s="15">
        <f t="shared" si="205"/>
        <v>82500000</v>
      </c>
      <c r="Q1370" s="15" t="str">
        <f t="shared" si="206"/>
        <v>Done</v>
      </c>
      <c r="R1370" s="18" t="s">
        <v>44</v>
      </c>
      <c r="S1370" s="23">
        <v>43600</v>
      </c>
      <c r="T1370" s="20">
        <f>IFERROR(VLOOKUP(S1370,'Date Converter'!$A$4:$C$368,3,0),"")</f>
        <v>43633</v>
      </c>
      <c r="U1370" s="21">
        <f t="shared" si="204"/>
        <v>43633</v>
      </c>
      <c r="V1370" s="20"/>
      <c r="W1370" s="18"/>
      <c r="X1370" s="18"/>
      <c r="Y1370" s="12"/>
      <c r="Z1370" s="206">
        <v>43633</v>
      </c>
      <c r="AA1370" s="15">
        <v>15000</v>
      </c>
      <c r="AB1370" s="206"/>
      <c r="AC1370" s="12"/>
      <c r="AD1370" s="206"/>
      <c r="AE1370" s="12"/>
      <c r="AF1370" s="245"/>
      <c r="AG1370" s="12"/>
      <c r="AH1370" s="15">
        <f t="shared" si="201"/>
        <v>15000</v>
      </c>
      <c r="AI1370" s="22">
        <f t="shared" si="202"/>
        <v>0</v>
      </c>
      <c r="AJ1370" s="22">
        <f t="shared" si="203"/>
        <v>0</v>
      </c>
    </row>
    <row r="1371" spans="1:37" s="165" customFormat="1" hidden="1">
      <c r="A1371" s="165" t="s">
        <v>2375</v>
      </c>
      <c r="B1371" s="13">
        <v>43638</v>
      </c>
      <c r="C1371" s="266" t="s">
        <v>23</v>
      </c>
      <c r="D1371" s="258" t="s">
        <v>2376</v>
      </c>
      <c r="E1371" s="13" t="s">
        <v>2377</v>
      </c>
      <c r="F1371" s="165" t="str">
        <f t="shared" si="199"/>
        <v>ROBI_20.22_125_NL2018</v>
      </c>
      <c r="G1371" s="13" t="s">
        <v>61</v>
      </c>
      <c r="H1371" s="12"/>
      <c r="I1371" s="24" t="s">
        <v>74</v>
      </c>
      <c r="J1371" s="14">
        <v>125</v>
      </c>
      <c r="K1371" s="15" t="s">
        <v>28</v>
      </c>
      <c r="L1371" s="15"/>
      <c r="M1371" s="16">
        <f t="shared" si="200"/>
        <v>40</v>
      </c>
      <c r="N1371" s="15">
        <v>5000</v>
      </c>
      <c r="O1371" s="15">
        <v>10700</v>
      </c>
      <c r="P1371" s="15">
        <f t="shared" si="205"/>
        <v>53500000</v>
      </c>
      <c r="Q1371" s="15" t="str">
        <f t="shared" si="206"/>
        <v/>
      </c>
      <c r="R1371" s="18" t="s">
        <v>29</v>
      </c>
      <c r="S1371" s="117">
        <v>43709</v>
      </c>
      <c r="T1371" s="20">
        <f>IFERROR(VLOOKUP(S1371,'Date Converter'!$A$4:$C$368,3,0),"")</f>
        <v>43737</v>
      </c>
      <c r="U1371" s="21">
        <f t="shared" si="204"/>
        <v>43737</v>
      </c>
      <c r="V1371" s="12"/>
      <c r="W1371" s="18"/>
      <c r="X1371" s="18"/>
      <c r="Y1371" s="18"/>
      <c r="Z1371" s="210"/>
      <c r="AA1371" s="15"/>
      <c r="AB1371" s="210"/>
      <c r="AC1371" s="15"/>
      <c r="AD1371" s="15"/>
      <c r="AE1371" s="15"/>
      <c r="AF1371" s="244"/>
      <c r="AG1371" s="15"/>
      <c r="AH1371" s="15">
        <f t="shared" si="201"/>
        <v>0</v>
      </c>
      <c r="AI1371" s="22">
        <f t="shared" si="202"/>
        <v>5000</v>
      </c>
      <c r="AJ1371" s="22">
        <f t="shared" si="203"/>
        <v>53500000</v>
      </c>
      <c r="AK1371" s="13"/>
    </row>
    <row r="1372" spans="1:37" s="165" customFormat="1" hidden="1">
      <c r="A1372" s="165" t="s">
        <v>2375</v>
      </c>
      <c r="B1372" s="13">
        <v>43638</v>
      </c>
      <c r="C1372" s="266" t="s">
        <v>23</v>
      </c>
      <c r="D1372" s="258" t="s">
        <v>2376</v>
      </c>
      <c r="E1372" s="13" t="s">
        <v>2377</v>
      </c>
      <c r="F1372" s="165" t="str">
        <f t="shared" si="199"/>
        <v>CONC_20.22_125_NL2018</v>
      </c>
      <c r="G1372" s="13" t="s">
        <v>40</v>
      </c>
      <c r="H1372" s="12"/>
      <c r="I1372" s="24" t="s">
        <v>74</v>
      </c>
      <c r="J1372" s="14">
        <v>125</v>
      </c>
      <c r="K1372" s="15" t="s">
        <v>28</v>
      </c>
      <c r="L1372" s="15"/>
      <c r="M1372" s="16">
        <f t="shared" si="200"/>
        <v>40</v>
      </c>
      <c r="N1372" s="15">
        <v>5000</v>
      </c>
      <c r="O1372" s="15">
        <v>10600</v>
      </c>
      <c r="P1372" s="15">
        <f t="shared" si="205"/>
        <v>53000000</v>
      </c>
      <c r="Q1372" s="15" t="str">
        <f t="shared" si="206"/>
        <v/>
      </c>
      <c r="R1372" s="18" t="s">
        <v>29</v>
      </c>
      <c r="S1372" s="117">
        <v>43709</v>
      </c>
      <c r="T1372" s="20">
        <f>IFERROR(VLOOKUP(S1372,'Date Converter'!$A$4:$C$368,3,0),"")</f>
        <v>43737</v>
      </c>
      <c r="U1372" s="21">
        <f t="shared" si="204"/>
        <v>43737</v>
      </c>
      <c r="V1372" s="12"/>
      <c r="W1372" s="18"/>
      <c r="X1372" s="18"/>
      <c r="Y1372" s="18"/>
      <c r="Z1372" s="210"/>
      <c r="AA1372" s="15"/>
      <c r="AB1372" s="210"/>
      <c r="AC1372" s="15"/>
      <c r="AD1372" s="15"/>
      <c r="AE1372" s="15"/>
      <c r="AF1372" s="244"/>
      <c r="AG1372" s="15"/>
      <c r="AH1372" s="15">
        <f t="shared" si="201"/>
        <v>0</v>
      </c>
      <c r="AI1372" s="22">
        <f t="shared" si="202"/>
        <v>5000</v>
      </c>
      <c r="AJ1372" s="22">
        <f t="shared" si="203"/>
        <v>53000000</v>
      </c>
      <c r="AK1372" s="13"/>
    </row>
    <row r="1373" spans="1:37" s="165" customFormat="1" hidden="1">
      <c r="A1373" s="165" t="s">
        <v>347</v>
      </c>
      <c r="B1373" s="13">
        <v>43628</v>
      </c>
      <c r="C1373" s="165" t="s">
        <v>23</v>
      </c>
      <c r="D1373" s="165" t="s">
        <v>277</v>
      </c>
      <c r="E1373" s="119" t="s">
        <v>278</v>
      </c>
      <c r="F1373" s="165" t="str">
        <f t="shared" si="199"/>
        <v>YELL_14.16_300_NL2018</v>
      </c>
      <c r="G1373" s="13" t="s">
        <v>89</v>
      </c>
      <c r="H1373" s="12"/>
      <c r="I1373" s="12" t="s">
        <v>47</v>
      </c>
      <c r="J1373" s="14">
        <v>300</v>
      </c>
      <c r="K1373" s="15" t="s">
        <v>28</v>
      </c>
      <c r="L1373" s="15"/>
      <c r="M1373" s="16">
        <f t="shared" si="200"/>
        <v>34</v>
      </c>
      <c r="N1373" s="15">
        <v>10200</v>
      </c>
      <c r="O1373" s="15">
        <v>4000</v>
      </c>
      <c r="P1373" s="15">
        <f t="shared" si="205"/>
        <v>40800000</v>
      </c>
      <c r="Q1373" s="15" t="str">
        <f t="shared" si="206"/>
        <v/>
      </c>
      <c r="R1373" s="18" t="s">
        <v>29</v>
      </c>
      <c r="S1373" s="203">
        <v>43647</v>
      </c>
      <c r="T1373" s="20">
        <f>IFERROR(VLOOKUP(S1373,'Date Converter'!$A$4:$C$368,3,0),"")</f>
        <v>43678</v>
      </c>
      <c r="U1373" s="21">
        <f t="shared" si="204"/>
        <v>43678</v>
      </c>
      <c r="V1373" s="30"/>
      <c r="W1373" s="18"/>
      <c r="X1373" s="18"/>
      <c r="Y1373" s="12"/>
      <c r="Z1373" s="206"/>
      <c r="AA1373" s="15"/>
      <c r="AB1373" s="206"/>
      <c r="AC1373" s="12"/>
      <c r="AD1373" s="206"/>
      <c r="AE1373" s="12"/>
      <c r="AF1373" s="245"/>
      <c r="AG1373" s="12"/>
      <c r="AH1373" s="15">
        <f t="shared" si="201"/>
        <v>0</v>
      </c>
      <c r="AI1373" s="22">
        <f t="shared" si="202"/>
        <v>10200</v>
      </c>
      <c r="AJ1373" s="22">
        <f t="shared" si="203"/>
        <v>40800000</v>
      </c>
    </row>
    <row r="1374" spans="1:37" s="165" customFormat="1" hidden="1">
      <c r="A1374" s="165" t="s">
        <v>347</v>
      </c>
      <c r="B1374" s="13">
        <v>43628</v>
      </c>
      <c r="C1374" s="165" t="s">
        <v>23</v>
      </c>
      <c r="D1374" s="165" t="s">
        <v>277</v>
      </c>
      <c r="E1374" s="119" t="s">
        <v>278</v>
      </c>
      <c r="F1374" s="165" t="str">
        <f t="shared" si="199"/>
        <v>YELL_14.16_300_NL2018</v>
      </c>
      <c r="G1374" s="13" t="s">
        <v>89</v>
      </c>
      <c r="H1374" s="12"/>
      <c r="I1374" s="12" t="s">
        <v>47</v>
      </c>
      <c r="J1374" s="14">
        <v>300</v>
      </c>
      <c r="K1374" s="15" t="s">
        <v>28</v>
      </c>
      <c r="L1374" s="15"/>
      <c r="M1374" s="16">
        <f t="shared" si="200"/>
        <v>34</v>
      </c>
      <c r="N1374" s="15">
        <v>10200</v>
      </c>
      <c r="O1374" s="15">
        <v>4100</v>
      </c>
      <c r="P1374" s="15">
        <f t="shared" si="205"/>
        <v>41820000</v>
      </c>
      <c r="Q1374" s="15" t="str">
        <f t="shared" si="206"/>
        <v/>
      </c>
      <c r="R1374" s="18" t="s">
        <v>29</v>
      </c>
      <c r="S1374" s="203">
        <v>43678</v>
      </c>
      <c r="T1374" s="20">
        <f>IFERROR(VLOOKUP(S1374,'Date Converter'!$A$4:$C$368,3,0),"")</f>
        <v>43707</v>
      </c>
      <c r="U1374" s="21">
        <f t="shared" si="204"/>
        <v>43707</v>
      </c>
      <c r="V1374" s="12"/>
      <c r="W1374" s="18"/>
      <c r="X1374" s="18"/>
      <c r="Y1374" s="12"/>
      <c r="Z1374" s="206"/>
      <c r="AA1374" s="15"/>
      <c r="AB1374" s="206"/>
      <c r="AC1374" s="12"/>
      <c r="AD1374" s="206"/>
      <c r="AE1374" s="12"/>
      <c r="AF1374" s="245"/>
      <c r="AG1374" s="12"/>
      <c r="AH1374" s="15">
        <f t="shared" si="201"/>
        <v>0</v>
      </c>
      <c r="AI1374" s="22">
        <f t="shared" si="202"/>
        <v>10200</v>
      </c>
      <c r="AJ1374" s="22">
        <f t="shared" si="203"/>
        <v>41820000</v>
      </c>
    </row>
    <row r="1375" spans="1:37" s="165" customFormat="1" hidden="1">
      <c r="A1375" s="165" t="s">
        <v>347</v>
      </c>
      <c r="B1375" s="13">
        <v>43531</v>
      </c>
      <c r="C1375" s="165" t="s">
        <v>23</v>
      </c>
      <c r="D1375" s="165" t="s">
        <v>277</v>
      </c>
      <c r="E1375" s="13" t="s">
        <v>278</v>
      </c>
      <c r="F1375" s="165" t="str">
        <f t="shared" si="199"/>
        <v>TARR_16.18_200_NL2018</v>
      </c>
      <c r="G1375" s="13" t="s">
        <v>62</v>
      </c>
      <c r="H1375" s="12"/>
      <c r="I1375" s="12" t="s">
        <v>35</v>
      </c>
      <c r="J1375" s="14">
        <v>200</v>
      </c>
      <c r="K1375" s="15" t="s">
        <v>28</v>
      </c>
      <c r="L1375" s="15"/>
      <c r="M1375" s="16">
        <f t="shared" si="200"/>
        <v>0</v>
      </c>
      <c r="N1375" s="15">
        <f>10000-10000</f>
        <v>0</v>
      </c>
      <c r="O1375" s="15">
        <v>5500</v>
      </c>
      <c r="P1375" s="15">
        <f t="shared" si="205"/>
        <v>0</v>
      </c>
      <c r="Q1375" s="15" t="str">
        <f t="shared" si="206"/>
        <v>Canceled</v>
      </c>
      <c r="R1375" s="18" t="s">
        <v>71</v>
      </c>
      <c r="S1375" s="23">
        <v>43572</v>
      </c>
      <c r="T1375" s="20">
        <f>IFERROR(VLOOKUP(S1375,'Date Converter'!$A$4:$C$368,3,0),"")</f>
        <v>43606</v>
      </c>
      <c r="U1375" s="21">
        <f t="shared" si="204"/>
        <v>43606</v>
      </c>
      <c r="V1375" s="30" t="s">
        <v>1416</v>
      </c>
      <c r="W1375" s="18"/>
      <c r="X1375" s="18"/>
      <c r="Y1375" s="12"/>
      <c r="Z1375" s="206"/>
      <c r="AA1375" s="15">
        <v>0</v>
      </c>
      <c r="AB1375" s="206"/>
      <c r="AC1375" s="12"/>
      <c r="AD1375" s="206"/>
      <c r="AE1375" s="12"/>
      <c r="AF1375" s="245"/>
      <c r="AG1375" s="12"/>
      <c r="AH1375" s="15">
        <f t="shared" si="201"/>
        <v>0</v>
      </c>
      <c r="AI1375" s="22">
        <f t="shared" si="202"/>
        <v>0</v>
      </c>
      <c r="AJ1375" s="22">
        <f t="shared" si="203"/>
        <v>0</v>
      </c>
    </row>
    <row r="1376" spans="1:37" s="165" customFormat="1" hidden="1">
      <c r="A1376" s="165" t="s">
        <v>347</v>
      </c>
      <c r="B1376" s="13">
        <v>43531</v>
      </c>
      <c r="C1376" s="165" t="s">
        <v>23</v>
      </c>
      <c r="D1376" s="165" t="s">
        <v>277</v>
      </c>
      <c r="E1376" s="119" t="s">
        <v>278</v>
      </c>
      <c r="F1376" s="165" t="str">
        <f t="shared" si="199"/>
        <v>TARR_16.18_200_NL2018</v>
      </c>
      <c r="G1376" s="13" t="s">
        <v>62</v>
      </c>
      <c r="H1376" s="12"/>
      <c r="I1376" s="12" t="s">
        <v>35</v>
      </c>
      <c r="J1376" s="14">
        <v>200</v>
      </c>
      <c r="K1376" s="15" t="s">
        <v>28</v>
      </c>
      <c r="L1376" s="15"/>
      <c r="M1376" s="16">
        <f t="shared" si="200"/>
        <v>50</v>
      </c>
      <c r="N1376" s="15">
        <v>10000</v>
      </c>
      <c r="O1376" s="15">
        <v>5500</v>
      </c>
      <c r="P1376" s="15">
        <f t="shared" si="205"/>
        <v>55000000</v>
      </c>
      <c r="Q1376" s="15" t="str">
        <f t="shared" si="206"/>
        <v>Done</v>
      </c>
      <c r="R1376" s="18" t="s">
        <v>44</v>
      </c>
      <c r="S1376" s="23">
        <v>43539</v>
      </c>
      <c r="T1376" s="20">
        <f>IFERROR(VLOOKUP(S1376,'Date Converter'!$A$4:$C$368,3,0),"")</f>
        <v>43574</v>
      </c>
      <c r="U1376" s="21">
        <f t="shared" si="204"/>
        <v>43574</v>
      </c>
      <c r="V1376" s="12" t="s">
        <v>57</v>
      </c>
      <c r="W1376" s="18" t="s">
        <v>141</v>
      </c>
      <c r="X1376" s="18">
        <v>43569</v>
      </c>
      <c r="Y1376" s="12"/>
      <c r="Z1376" s="206">
        <v>43578</v>
      </c>
      <c r="AA1376" s="15">
        <v>9000</v>
      </c>
      <c r="AB1376" s="206">
        <v>43598</v>
      </c>
      <c r="AC1376" s="12" t="s">
        <v>1609</v>
      </c>
      <c r="AD1376" s="206"/>
      <c r="AE1376" s="12"/>
      <c r="AF1376" s="245"/>
      <c r="AG1376" s="12"/>
      <c r="AH1376" s="15">
        <f t="shared" si="201"/>
        <v>10000</v>
      </c>
      <c r="AI1376" s="22">
        <f t="shared" si="202"/>
        <v>0</v>
      </c>
      <c r="AJ1376" s="22">
        <f t="shared" si="203"/>
        <v>0</v>
      </c>
    </row>
    <row r="1377" spans="1:37" s="165" customFormat="1" hidden="1">
      <c r="A1377" s="165" t="s">
        <v>347</v>
      </c>
      <c r="B1377" s="13">
        <v>43531</v>
      </c>
      <c r="C1377" s="165" t="s">
        <v>23</v>
      </c>
      <c r="D1377" s="165" t="s">
        <v>277</v>
      </c>
      <c r="E1377" s="119" t="s">
        <v>278</v>
      </c>
      <c r="F1377" s="165" t="str">
        <f t="shared" si="199"/>
        <v>TARR_16.18_200_NL2018</v>
      </c>
      <c r="G1377" s="13" t="s">
        <v>62</v>
      </c>
      <c r="H1377" s="12"/>
      <c r="I1377" s="12" t="s">
        <v>35</v>
      </c>
      <c r="J1377" s="14">
        <v>200</v>
      </c>
      <c r="K1377" s="15" t="s">
        <v>28</v>
      </c>
      <c r="L1377" s="15"/>
      <c r="M1377" s="16">
        <f t="shared" si="200"/>
        <v>40</v>
      </c>
      <c r="N1377" s="15">
        <v>8000</v>
      </c>
      <c r="O1377" s="15">
        <v>5500</v>
      </c>
      <c r="P1377" s="15">
        <f t="shared" si="205"/>
        <v>44000000</v>
      </c>
      <c r="Q1377" s="15" t="str">
        <f t="shared" si="206"/>
        <v>Done</v>
      </c>
      <c r="R1377" s="18" t="s">
        <v>44</v>
      </c>
      <c r="S1377" s="23">
        <v>43539</v>
      </c>
      <c r="T1377" s="20">
        <f>IFERROR(VLOOKUP(S1377,'Date Converter'!$A$4:$C$368,3,0),"")</f>
        <v>43574</v>
      </c>
      <c r="U1377" s="21">
        <f t="shared" si="204"/>
        <v>43574</v>
      </c>
      <c r="V1377" s="12" t="s">
        <v>57</v>
      </c>
      <c r="W1377" s="18" t="s">
        <v>141</v>
      </c>
      <c r="X1377" s="18">
        <v>43569</v>
      </c>
      <c r="Y1377" s="12"/>
      <c r="Z1377" s="206">
        <v>43598</v>
      </c>
      <c r="AA1377" s="15">
        <v>8000</v>
      </c>
      <c r="AB1377" s="206"/>
      <c r="AC1377" s="12"/>
      <c r="AD1377" s="206"/>
      <c r="AE1377" s="12"/>
      <c r="AF1377" s="245"/>
      <c r="AG1377" s="12"/>
      <c r="AH1377" s="15">
        <f t="shared" si="201"/>
        <v>8000</v>
      </c>
      <c r="AI1377" s="22">
        <f t="shared" si="202"/>
        <v>0</v>
      </c>
      <c r="AJ1377" s="22">
        <f t="shared" si="203"/>
        <v>0</v>
      </c>
      <c r="AK1377" s="165" t="s">
        <v>180</v>
      </c>
    </row>
    <row r="1378" spans="1:37" s="165" customFormat="1" hidden="1">
      <c r="A1378" s="165" t="s">
        <v>1501</v>
      </c>
      <c r="B1378" s="13">
        <v>43587</v>
      </c>
      <c r="C1378" s="165" t="s">
        <v>23</v>
      </c>
      <c r="D1378" s="165" t="s">
        <v>277</v>
      </c>
      <c r="E1378" s="119" t="s">
        <v>278</v>
      </c>
      <c r="F1378" s="165" t="str">
        <f t="shared" si="199"/>
        <v>ROBI_16.18_200_NL2018</v>
      </c>
      <c r="G1378" s="13" t="s">
        <v>61</v>
      </c>
      <c r="H1378" s="12"/>
      <c r="I1378" s="12" t="s">
        <v>35</v>
      </c>
      <c r="J1378" s="14">
        <v>200</v>
      </c>
      <c r="K1378" s="15" t="s">
        <v>28</v>
      </c>
      <c r="L1378" s="15"/>
      <c r="M1378" s="16">
        <f t="shared" si="200"/>
        <v>39</v>
      </c>
      <c r="N1378" s="15">
        <v>7800</v>
      </c>
      <c r="O1378" s="15">
        <v>5300</v>
      </c>
      <c r="P1378" s="15">
        <f t="shared" si="205"/>
        <v>41340000</v>
      </c>
      <c r="Q1378" s="15" t="str">
        <f t="shared" si="206"/>
        <v>Done</v>
      </c>
      <c r="R1378" s="18" t="s">
        <v>44</v>
      </c>
      <c r="S1378" s="23">
        <v>43539</v>
      </c>
      <c r="T1378" s="20">
        <f>IFERROR(VLOOKUP(S1378,'Date Converter'!$A$4:$C$368,3,0),"")</f>
        <v>43574</v>
      </c>
      <c r="U1378" s="21">
        <f t="shared" si="204"/>
        <v>43574</v>
      </c>
      <c r="V1378" s="30" t="s">
        <v>57</v>
      </c>
      <c r="W1378" s="18"/>
      <c r="X1378" s="18"/>
      <c r="Y1378" s="12"/>
      <c r="Z1378" s="206">
        <v>43605</v>
      </c>
      <c r="AA1378" s="15">
        <v>7800</v>
      </c>
      <c r="AB1378" s="206"/>
      <c r="AC1378" s="12"/>
      <c r="AD1378" s="206"/>
      <c r="AE1378" s="12"/>
      <c r="AF1378" s="245"/>
      <c r="AG1378" s="12"/>
      <c r="AH1378" s="15">
        <f t="shared" si="201"/>
        <v>7800</v>
      </c>
      <c r="AI1378" s="22">
        <f t="shared" si="202"/>
        <v>0</v>
      </c>
      <c r="AJ1378" s="22">
        <f t="shared" si="203"/>
        <v>0</v>
      </c>
    </row>
    <row r="1379" spans="1:37" s="165" customFormat="1" hidden="1">
      <c r="A1379" s="165" t="s">
        <v>347</v>
      </c>
      <c r="B1379" s="13">
        <v>43587</v>
      </c>
      <c r="C1379" s="165" t="s">
        <v>23</v>
      </c>
      <c r="D1379" s="165" t="s">
        <v>277</v>
      </c>
      <c r="E1379" s="119" t="s">
        <v>278</v>
      </c>
      <c r="F1379" s="165" t="str">
        <f t="shared" si="199"/>
        <v>ROBI_16.18_200_NL2018</v>
      </c>
      <c r="G1379" s="13" t="s">
        <v>61</v>
      </c>
      <c r="H1379" s="12"/>
      <c r="I1379" s="12" t="s">
        <v>35</v>
      </c>
      <c r="J1379" s="14">
        <v>200</v>
      </c>
      <c r="K1379" s="15" t="s">
        <v>28</v>
      </c>
      <c r="L1379" s="15"/>
      <c r="M1379" s="16">
        <f t="shared" si="200"/>
        <v>0</v>
      </c>
      <c r="N1379" s="15">
        <f>20000-10000-10000</f>
        <v>0</v>
      </c>
      <c r="O1379" s="15">
        <v>5500</v>
      </c>
      <c r="P1379" s="15">
        <f t="shared" si="205"/>
        <v>0</v>
      </c>
      <c r="Q1379" s="15" t="str">
        <f t="shared" si="206"/>
        <v>Canceled</v>
      </c>
      <c r="R1379" s="18" t="s">
        <v>71</v>
      </c>
      <c r="S1379" s="23">
        <v>43603</v>
      </c>
      <c r="T1379" s="20">
        <f>IFERROR(VLOOKUP(S1379,'Date Converter'!$A$4:$C$368,3,0),"")</f>
        <v>43636</v>
      </c>
      <c r="U1379" s="21">
        <f t="shared" si="204"/>
        <v>43636</v>
      </c>
      <c r="V1379" s="30"/>
      <c r="W1379" s="18"/>
      <c r="X1379" s="18"/>
      <c r="Y1379" s="12"/>
      <c r="Z1379" s="206"/>
      <c r="AA1379" s="15"/>
      <c r="AB1379" s="206"/>
      <c r="AC1379" s="12"/>
      <c r="AD1379" s="206"/>
      <c r="AE1379" s="12"/>
      <c r="AF1379" s="245"/>
      <c r="AG1379" s="12"/>
      <c r="AH1379" s="15">
        <f t="shared" si="201"/>
        <v>0</v>
      </c>
      <c r="AI1379" s="22">
        <f t="shared" si="202"/>
        <v>0</v>
      </c>
      <c r="AJ1379" s="22">
        <f t="shared" si="203"/>
        <v>0</v>
      </c>
    </row>
    <row r="1380" spans="1:37" s="165" customFormat="1" hidden="1">
      <c r="A1380" s="165" t="s">
        <v>347</v>
      </c>
      <c r="B1380" s="13">
        <v>43636</v>
      </c>
      <c r="C1380" s="165" t="s">
        <v>23</v>
      </c>
      <c r="D1380" s="165" t="s">
        <v>277</v>
      </c>
      <c r="E1380" s="119" t="s">
        <v>278</v>
      </c>
      <c r="F1380" s="165" t="str">
        <f t="shared" si="199"/>
        <v>ROBI_16.18_200_NL2018</v>
      </c>
      <c r="G1380" s="13" t="s">
        <v>61</v>
      </c>
      <c r="H1380" s="12"/>
      <c r="I1380" s="12" t="s">
        <v>35</v>
      </c>
      <c r="J1380" s="14">
        <v>200</v>
      </c>
      <c r="K1380" s="15" t="s">
        <v>28</v>
      </c>
      <c r="L1380" s="15"/>
      <c r="M1380" s="16">
        <f t="shared" si="200"/>
        <v>50</v>
      </c>
      <c r="N1380" s="15">
        <v>10000</v>
      </c>
      <c r="O1380" s="15">
        <v>5600</v>
      </c>
      <c r="P1380" s="15">
        <f t="shared" si="205"/>
        <v>56000000</v>
      </c>
      <c r="Q1380" s="15" t="str">
        <f t="shared" si="206"/>
        <v/>
      </c>
      <c r="R1380" s="18" t="s">
        <v>31</v>
      </c>
      <c r="S1380" s="23">
        <v>43631</v>
      </c>
      <c r="T1380" s="20">
        <f>IFERROR(VLOOKUP(S1380,'Date Converter'!$A$4:$C$368,3,0),"")</f>
        <v>43663</v>
      </c>
      <c r="U1380" s="21">
        <f t="shared" si="204"/>
        <v>43663</v>
      </c>
      <c r="V1380" s="30"/>
      <c r="W1380" s="18"/>
      <c r="X1380" s="18"/>
      <c r="Y1380" s="12"/>
      <c r="Z1380" s="206"/>
      <c r="AA1380" s="15"/>
      <c r="AB1380" s="206"/>
      <c r="AC1380" s="12"/>
      <c r="AD1380" s="206"/>
      <c r="AE1380" s="12"/>
      <c r="AF1380" s="245"/>
      <c r="AG1380" s="12"/>
      <c r="AH1380" s="15">
        <f t="shared" si="201"/>
        <v>0</v>
      </c>
      <c r="AI1380" s="22">
        <f t="shared" si="202"/>
        <v>10000</v>
      </c>
      <c r="AJ1380" s="22">
        <f t="shared" si="203"/>
        <v>56000000</v>
      </c>
    </row>
    <row r="1381" spans="1:37" s="165" customFormat="1" hidden="1">
      <c r="A1381" s="165" t="s">
        <v>347</v>
      </c>
      <c r="B1381" s="13">
        <v>43624</v>
      </c>
      <c r="C1381" s="165" t="s">
        <v>23</v>
      </c>
      <c r="D1381" s="165" t="s">
        <v>277</v>
      </c>
      <c r="E1381" s="119" t="s">
        <v>278</v>
      </c>
      <c r="F1381" s="165" t="str">
        <f t="shared" si="199"/>
        <v>ROBI_16.18_200_NL2018</v>
      </c>
      <c r="G1381" s="13" t="s">
        <v>61</v>
      </c>
      <c r="H1381" s="12"/>
      <c r="I1381" s="12" t="s">
        <v>35</v>
      </c>
      <c r="J1381" s="14">
        <v>200</v>
      </c>
      <c r="K1381" s="15" t="s">
        <v>28</v>
      </c>
      <c r="L1381" s="15"/>
      <c r="M1381" s="16">
        <f t="shared" si="200"/>
        <v>50</v>
      </c>
      <c r="N1381" s="15">
        <v>10000</v>
      </c>
      <c r="O1381" s="15">
        <v>5700</v>
      </c>
      <c r="P1381" s="15">
        <f t="shared" si="205"/>
        <v>57000000</v>
      </c>
      <c r="Q1381" s="15" t="str">
        <f t="shared" si="206"/>
        <v/>
      </c>
      <c r="R1381" s="18" t="s">
        <v>29</v>
      </c>
      <c r="S1381" s="203">
        <v>43647</v>
      </c>
      <c r="T1381" s="20">
        <f>IFERROR(VLOOKUP(S1381,'Date Converter'!$A$4:$C$368,3,0),"")</f>
        <v>43678</v>
      </c>
      <c r="U1381" s="21">
        <f t="shared" si="204"/>
        <v>43678</v>
      </c>
      <c r="V1381" s="12"/>
      <c r="W1381" s="18"/>
      <c r="X1381" s="18"/>
      <c r="Y1381" s="12"/>
      <c r="Z1381" s="206"/>
      <c r="AA1381" s="15"/>
      <c r="AB1381" s="206"/>
      <c r="AC1381" s="12"/>
      <c r="AD1381" s="206"/>
      <c r="AE1381" s="12"/>
      <c r="AF1381" s="245"/>
      <c r="AG1381" s="12"/>
      <c r="AH1381" s="15">
        <f t="shared" si="201"/>
        <v>0</v>
      </c>
      <c r="AI1381" s="22">
        <f t="shared" si="202"/>
        <v>10000</v>
      </c>
      <c r="AJ1381" s="22">
        <f t="shared" si="203"/>
        <v>57000000</v>
      </c>
    </row>
    <row r="1382" spans="1:37" s="165" customFormat="1" hidden="1">
      <c r="A1382" s="165" t="s">
        <v>347</v>
      </c>
      <c r="B1382" s="13">
        <v>43624</v>
      </c>
      <c r="C1382" s="165" t="s">
        <v>23</v>
      </c>
      <c r="D1382" s="165" t="s">
        <v>277</v>
      </c>
      <c r="E1382" s="119" t="s">
        <v>278</v>
      </c>
      <c r="F1382" s="165" t="str">
        <f t="shared" si="199"/>
        <v>ROBI_16.18_200_NL2018</v>
      </c>
      <c r="G1382" s="13" t="s">
        <v>61</v>
      </c>
      <c r="H1382" s="12"/>
      <c r="I1382" s="12" t="s">
        <v>35</v>
      </c>
      <c r="J1382" s="14">
        <v>200</v>
      </c>
      <c r="K1382" s="15" t="s">
        <v>28</v>
      </c>
      <c r="L1382" s="15"/>
      <c r="M1382" s="16">
        <f t="shared" si="200"/>
        <v>50</v>
      </c>
      <c r="N1382" s="15">
        <f>20000-10000</f>
        <v>10000</v>
      </c>
      <c r="O1382" s="15">
        <v>5800</v>
      </c>
      <c r="P1382" s="15">
        <f t="shared" si="205"/>
        <v>58000000</v>
      </c>
      <c r="Q1382" s="15" t="str">
        <f t="shared" si="206"/>
        <v/>
      </c>
      <c r="R1382" s="18" t="s">
        <v>29</v>
      </c>
      <c r="S1382" s="203">
        <v>43678</v>
      </c>
      <c r="T1382" s="20">
        <f>IFERROR(VLOOKUP(S1382,'Date Converter'!$A$4:$C$368,3,0),"")</f>
        <v>43707</v>
      </c>
      <c r="U1382" s="21">
        <f t="shared" si="204"/>
        <v>43707</v>
      </c>
      <c r="V1382" s="12"/>
      <c r="W1382" s="18"/>
      <c r="X1382" s="18"/>
      <c r="Y1382" s="12"/>
      <c r="Z1382" s="206"/>
      <c r="AA1382" s="15"/>
      <c r="AB1382" s="206"/>
      <c r="AC1382" s="12"/>
      <c r="AD1382" s="206"/>
      <c r="AE1382" s="12"/>
      <c r="AF1382" s="245"/>
      <c r="AG1382" s="12"/>
      <c r="AH1382" s="15">
        <f t="shared" si="201"/>
        <v>0</v>
      </c>
      <c r="AI1382" s="22">
        <f t="shared" si="202"/>
        <v>10000</v>
      </c>
      <c r="AJ1382" s="22">
        <f t="shared" si="203"/>
        <v>58000000</v>
      </c>
    </row>
    <row r="1383" spans="1:37" s="165" customFormat="1" hidden="1">
      <c r="A1383" s="165" t="s">
        <v>1501</v>
      </c>
      <c r="B1383" s="13">
        <v>43587</v>
      </c>
      <c r="C1383" s="165" t="s">
        <v>23</v>
      </c>
      <c r="D1383" s="165" t="s">
        <v>277</v>
      </c>
      <c r="E1383" s="119" t="s">
        <v>278</v>
      </c>
      <c r="F1383" s="165" t="str">
        <f t="shared" si="199"/>
        <v>ROBI_16.18_200_NL2018</v>
      </c>
      <c r="G1383" s="13" t="s">
        <v>61</v>
      </c>
      <c r="H1383" s="12"/>
      <c r="I1383" s="12" t="s">
        <v>35</v>
      </c>
      <c r="J1383" s="14">
        <v>200</v>
      </c>
      <c r="K1383" s="15" t="s">
        <v>28</v>
      </c>
      <c r="L1383" s="15"/>
      <c r="M1383" s="16">
        <f t="shared" si="200"/>
        <v>0</v>
      </c>
      <c r="N1383" s="15">
        <f>80000-10000-20000-50000</f>
        <v>0</v>
      </c>
      <c r="O1383" s="15"/>
      <c r="P1383" s="15"/>
      <c r="Q1383" s="15" t="str">
        <f t="shared" si="206"/>
        <v>Canceled</v>
      </c>
      <c r="R1383" s="18" t="s">
        <v>71</v>
      </c>
      <c r="S1383" s="23"/>
      <c r="T1383" s="20" t="str">
        <f>IFERROR(VLOOKUP(S1383,'Date Converter'!$A$4:$C$368,3,0),"")</f>
        <v/>
      </c>
      <c r="U1383" s="21" t="str">
        <f t="shared" si="204"/>
        <v/>
      </c>
      <c r="V1383" s="30"/>
      <c r="W1383" s="18"/>
      <c r="X1383" s="18"/>
      <c r="Y1383" s="12"/>
      <c r="Z1383" s="206"/>
      <c r="AA1383" s="15"/>
      <c r="AB1383" s="206"/>
      <c r="AC1383" s="12"/>
      <c r="AD1383" s="206"/>
      <c r="AE1383" s="12"/>
      <c r="AF1383" s="245"/>
      <c r="AG1383" s="12"/>
      <c r="AH1383" s="15">
        <f t="shared" si="201"/>
        <v>0</v>
      </c>
      <c r="AI1383" s="22">
        <f t="shared" si="202"/>
        <v>0</v>
      </c>
      <c r="AJ1383" s="22">
        <f t="shared" si="203"/>
        <v>0</v>
      </c>
    </row>
    <row r="1384" spans="1:37" s="165" customFormat="1" hidden="1">
      <c r="A1384" s="165" t="s">
        <v>347</v>
      </c>
      <c r="B1384" s="13">
        <v>43612</v>
      </c>
      <c r="C1384" s="165" t="s">
        <v>23</v>
      </c>
      <c r="D1384" s="165" t="s">
        <v>277</v>
      </c>
      <c r="E1384" s="119" t="s">
        <v>278</v>
      </c>
      <c r="F1384" s="165" t="str">
        <f t="shared" si="199"/>
        <v>CONC_16.18_200_NL2018</v>
      </c>
      <c r="G1384" s="13" t="s">
        <v>40</v>
      </c>
      <c r="H1384" s="12"/>
      <c r="I1384" s="12" t="s">
        <v>35</v>
      </c>
      <c r="J1384" s="14">
        <v>200</v>
      </c>
      <c r="K1384" s="15" t="s">
        <v>28</v>
      </c>
      <c r="L1384" s="15"/>
      <c r="M1384" s="16">
        <f t="shared" si="200"/>
        <v>32</v>
      </c>
      <c r="N1384" s="15">
        <v>6400</v>
      </c>
      <c r="O1384" s="15">
        <v>6400</v>
      </c>
      <c r="P1384" s="15">
        <f>+O1384*N1384</f>
        <v>40960000</v>
      </c>
      <c r="Q1384" s="15" t="str">
        <f t="shared" si="206"/>
        <v>Done</v>
      </c>
      <c r="R1384" s="18" t="s">
        <v>44</v>
      </c>
      <c r="S1384" s="23">
        <v>43572</v>
      </c>
      <c r="T1384" s="20">
        <f>IFERROR(VLOOKUP(S1384,'Date Converter'!$A$4:$C$368,3,0),"")</f>
        <v>43606</v>
      </c>
      <c r="U1384" s="21">
        <f t="shared" si="204"/>
        <v>43606</v>
      </c>
      <c r="V1384" s="30"/>
      <c r="W1384" s="18"/>
      <c r="X1384" s="18"/>
      <c r="Y1384" s="12"/>
      <c r="Z1384" s="206">
        <v>43626</v>
      </c>
      <c r="AA1384" s="15">
        <v>6400</v>
      </c>
      <c r="AB1384" s="206"/>
      <c r="AC1384" s="12"/>
      <c r="AD1384" s="206"/>
      <c r="AE1384" s="12"/>
      <c r="AF1384" s="245"/>
      <c r="AG1384" s="12"/>
      <c r="AH1384" s="15">
        <f t="shared" si="201"/>
        <v>6400</v>
      </c>
      <c r="AI1384" s="22">
        <f t="shared" si="202"/>
        <v>0</v>
      </c>
      <c r="AJ1384" s="22">
        <f t="shared" si="203"/>
        <v>0</v>
      </c>
    </row>
    <row r="1385" spans="1:37" s="165" customFormat="1" hidden="1">
      <c r="A1385" s="165" t="s">
        <v>347</v>
      </c>
      <c r="B1385" s="13">
        <v>43587</v>
      </c>
      <c r="C1385" s="165" t="s">
        <v>23</v>
      </c>
      <c r="D1385" s="165" t="s">
        <v>277</v>
      </c>
      <c r="E1385" s="119" t="s">
        <v>278</v>
      </c>
      <c r="F1385" s="165" t="str">
        <f t="shared" si="199"/>
        <v>CONC_18.20_150_NL2018</v>
      </c>
      <c r="G1385" s="13" t="s">
        <v>40</v>
      </c>
      <c r="H1385" s="12"/>
      <c r="I1385" s="12" t="s">
        <v>27</v>
      </c>
      <c r="J1385" s="14">
        <v>150</v>
      </c>
      <c r="K1385" s="15" t="s">
        <v>28</v>
      </c>
      <c r="L1385" s="15"/>
      <c r="M1385" s="16">
        <f t="shared" si="200"/>
        <v>67</v>
      </c>
      <c r="N1385" s="15">
        <v>10050</v>
      </c>
      <c r="O1385" s="15">
        <f>7500+100</f>
        <v>7600</v>
      </c>
      <c r="P1385" s="15">
        <f>+O1385*N1385</f>
        <v>76380000</v>
      </c>
      <c r="Q1385" s="15" t="str">
        <f t="shared" si="206"/>
        <v/>
      </c>
      <c r="R1385" s="18" t="s">
        <v>31</v>
      </c>
      <c r="S1385" s="203">
        <v>43631</v>
      </c>
      <c r="T1385" s="20">
        <f>IFERROR(VLOOKUP(S1385,'Date Converter'!$A$4:$C$368,3,0),"")</f>
        <v>43663</v>
      </c>
      <c r="U1385" s="21">
        <f t="shared" si="204"/>
        <v>43663</v>
      </c>
      <c r="V1385" s="30"/>
      <c r="W1385" s="18"/>
      <c r="X1385" s="18"/>
      <c r="Y1385" s="12"/>
      <c r="Z1385" s="206"/>
      <c r="AA1385" s="15"/>
      <c r="AB1385" s="206"/>
      <c r="AC1385" s="12"/>
      <c r="AD1385" s="206"/>
      <c r="AE1385" s="12"/>
      <c r="AF1385" s="245"/>
      <c r="AG1385" s="12"/>
      <c r="AH1385" s="15">
        <f t="shared" si="201"/>
        <v>0</v>
      </c>
      <c r="AI1385" s="22">
        <f t="shared" si="202"/>
        <v>10050</v>
      </c>
      <c r="AJ1385" s="22">
        <f t="shared" si="203"/>
        <v>76380000</v>
      </c>
    </row>
    <row r="1386" spans="1:37" s="165" customFormat="1" hidden="1">
      <c r="A1386" s="165" t="s">
        <v>1501</v>
      </c>
      <c r="B1386" s="13">
        <v>43587</v>
      </c>
      <c r="C1386" s="165" t="s">
        <v>23</v>
      </c>
      <c r="D1386" s="165" t="s">
        <v>277</v>
      </c>
      <c r="E1386" s="119" t="s">
        <v>278</v>
      </c>
      <c r="F1386" s="165" t="str">
        <f t="shared" si="199"/>
        <v>CONC_18.20_150_NL2018</v>
      </c>
      <c r="G1386" s="13" t="s">
        <v>40</v>
      </c>
      <c r="H1386" s="12"/>
      <c r="I1386" s="12" t="s">
        <v>27</v>
      </c>
      <c r="J1386" s="14">
        <v>150</v>
      </c>
      <c r="K1386" s="15" t="s">
        <v>28</v>
      </c>
      <c r="L1386" s="15"/>
      <c r="M1386" s="16">
        <f t="shared" si="200"/>
        <v>0</v>
      </c>
      <c r="N1386" s="15">
        <f>10050-10050</f>
        <v>0</v>
      </c>
      <c r="O1386" s="15">
        <f>7500+200</f>
        <v>7700</v>
      </c>
      <c r="P1386" s="15">
        <f>+O1386*N1386</f>
        <v>0</v>
      </c>
      <c r="Q1386" s="15" t="str">
        <f t="shared" si="206"/>
        <v>Canceled</v>
      </c>
      <c r="R1386" s="18" t="s">
        <v>71</v>
      </c>
      <c r="S1386" s="203">
        <v>43647</v>
      </c>
      <c r="T1386" s="20">
        <f>IFERROR(VLOOKUP(S1386,'Date Converter'!$A$4:$C$368,3,0),"")</f>
        <v>43678</v>
      </c>
      <c r="U1386" s="21">
        <f t="shared" si="204"/>
        <v>43678</v>
      </c>
      <c r="V1386" s="30"/>
      <c r="W1386" s="18"/>
      <c r="X1386" s="18"/>
      <c r="Y1386" s="12"/>
      <c r="Z1386" s="206"/>
      <c r="AA1386" s="15"/>
      <c r="AB1386" s="206"/>
      <c r="AC1386" s="12"/>
      <c r="AD1386" s="206"/>
      <c r="AE1386" s="12"/>
      <c r="AF1386" s="245"/>
      <c r="AG1386" s="12"/>
      <c r="AH1386" s="15">
        <f t="shared" si="201"/>
        <v>0</v>
      </c>
      <c r="AI1386" s="22">
        <f t="shared" si="202"/>
        <v>0</v>
      </c>
      <c r="AJ1386" s="22">
        <f t="shared" si="203"/>
        <v>0</v>
      </c>
    </row>
    <row r="1387" spans="1:37" s="165" customFormat="1" hidden="1">
      <c r="A1387" s="165" t="s">
        <v>1501</v>
      </c>
      <c r="B1387" s="13">
        <v>43633</v>
      </c>
      <c r="C1387" s="165" t="s">
        <v>23</v>
      </c>
      <c r="D1387" s="258" t="s">
        <v>277</v>
      </c>
      <c r="E1387" s="119" t="s">
        <v>278</v>
      </c>
      <c r="F1387" s="165" t="str">
        <f t="shared" si="199"/>
        <v>CONC_20.22_125_NL2018</v>
      </c>
      <c r="G1387" s="13" t="s">
        <v>40</v>
      </c>
      <c r="H1387" s="12"/>
      <c r="I1387" s="24" t="s">
        <v>74</v>
      </c>
      <c r="J1387" s="31" t="s">
        <v>122</v>
      </c>
      <c r="K1387" s="15" t="s">
        <v>28</v>
      </c>
      <c r="L1387" s="15"/>
      <c r="M1387" s="16">
        <f t="shared" si="200"/>
        <v>80</v>
      </c>
      <c r="N1387" s="15">
        <v>10000</v>
      </c>
      <c r="O1387" s="15">
        <v>10600</v>
      </c>
      <c r="P1387" s="15">
        <f>+O1387*N1387</f>
        <v>106000000</v>
      </c>
      <c r="Q1387" s="15" t="str">
        <f t="shared" si="206"/>
        <v/>
      </c>
      <c r="R1387" s="18" t="s">
        <v>29</v>
      </c>
      <c r="S1387" s="203">
        <v>43709</v>
      </c>
      <c r="T1387" s="20">
        <f>IFERROR(VLOOKUP(S1387,'Date Converter'!$A$4:$C$368,3,0),"")</f>
        <v>43737</v>
      </c>
      <c r="U1387" s="21">
        <f t="shared" si="204"/>
        <v>43737</v>
      </c>
      <c r="V1387" s="12"/>
      <c r="W1387" s="18"/>
      <c r="X1387" s="18"/>
      <c r="Y1387" s="12"/>
      <c r="Z1387" s="206"/>
      <c r="AA1387" s="15"/>
      <c r="AB1387" s="206"/>
      <c r="AC1387" s="12"/>
      <c r="AD1387" s="206"/>
      <c r="AE1387" s="12"/>
      <c r="AF1387" s="245"/>
      <c r="AG1387" s="12"/>
      <c r="AH1387" s="15">
        <f t="shared" si="201"/>
        <v>0</v>
      </c>
      <c r="AI1387" s="22">
        <f t="shared" si="202"/>
        <v>10000</v>
      </c>
      <c r="AJ1387" s="22">
        <f t="shared" si="203"/>
        <v>106000000</v>
      </c>
    </row>
    <row r="1388" spans="1:37" s="165" customFormat="1" hidden="1">
      <c r="A1388" s="165" t="s">
        <v>1501</v>
      </c>
      <c r="B1388" s="13">
        <v>43587</v>
      </c>
      <c r="C1388" s="165" t="s">
        <v>23</v>
      </c>
      <c r="D1388" s="165" t="s">
        <v>277</v>
      </c>
      <c r="E1388" s="119" t="s">
        <v>278</v>
      </c>
      <c r="F1388" s="165" t="str">
        <f t="shared" si="199"/>
        <v>CONC_18.20_150_NL2018</v>
      </c>
      <c r="G1388" s="13" t="s">
        <v>40</v>
      </c>
      <c r="H1388" s="12"/>
      <c r="I1388" s="12" t="s">
        <v>27</v>
      </c>
      <c r="J1388" s="14">
        <v>150</v>
      </c>
      <c r="K1388" s="15" t="s">
        <v>28</v>
      </c>
      <c r="L1388" s="15"/>
      <c r="M1388" s="16">
        <f t="shared" si="200"/>
        <v>0</v>
      </c>
      <c r="N1388" s="15"/>
      <c r="O1388" s="15" t="s">
        <v>1502</v>
      </c>
      <c r="P1388" s="15"/>
      <c r="Q1388" s="15" t="str">
        <f t="shared" si="206"/>
        <v>Canceled</v>
      </c>
      <c r="R1388" s="18" t="s">
        <v>71</v>
      </c>
      <c r="S1388" s="23"/>
      <c r="T1388" s="20" t="str">
        <f>IFERROR(VLOOKUP(S1388,'Date Converter'!$A$4:$C$368,3,0),"")</f>
        <v/>
      </c>
      <c r="U1388" s="21" t="str">
        <f t="shared" si="204"/>
        <v/>
      </c>
      <c r="V1388" s="30"/>
      <c r="W1388" s="18"/>
      <c r="X1388" s="18"/>
      <c r="Y1388" s="12"/>
      <c r="Z1388" s="206"/>
      <c r="AA1388" s="15"/>
      <c r="AB1388" s="206"/>
      <c r="AC1388" s="12"/>
      <c r="AD1388" s="206"/>
      <c r="AE1388" s="12"/>
      <c r="AF1388" s="245"/>
      <c r="AG1388" s="12"/>
      <c r="AH1388" s="15">
        <f t="shared" si="201"/>
        <v>0</v>
      </c>
      <c r="AI1388" s="22">
        <f t="shared" si="202"/>
        <v>0</v>
      </c>
      <c r="AJ1388" s="22" t="e">
        <f t="shared" si="203"/>
        <v>#VALUE!</v>
      </c>
    </row>
    <row r="1389" spans="1:37" s="165" customFormat="1" hidden="1">
      <c r="A1389" s="165" t="s">
        <v>347</v>
      </c>
      <c r="B1389" s="13">
        <v>43531</v>
      </c>
      <c r="C1389" s="165" t="s">
        <v>23</v>
      </c>
      <c r="D1389" s="165" t="s">
        <v>277</v>
      </c>
      <c r="E1389" s="119" t="s">
        <v>278</v>
      </c>
      <c r="F1389" s="165" t="str">
        <f t="shared" si="199"/>
        <v>COMP_16.18_200_NL2018</v>
      </c>
      <c r="G1389" s="13" t="s">
        <v>38</v>
      </c>
      <c r="H1389" s="12"/>
      <c r="I1389" s="12" t="s">
        <v>35</v>
      </c>
      <c r="J1389" s="14">
        <v>200</v>
      </c>
      <c r="K1389" s="15" t="s">
        <v>28</v>
      </c>
      <c r="L1389" s="15"/>
      <c r="M1389" s="16">
        <f t="shared" si="200"/>
        <v>50</v>
      </c>
      <c r="N1389" s="15">
        <v>10000</v>
      </c>
      <c r="O1389" s="15">
        <v>6800</v>
      </c>
      <c r="P1389" s="15">
        <f t="shared" ref="P1389:P1450" si="207">+O1389*N1389</f>
        <v>68000000</v>
      </c>
      <c r="Q1389" s="15" t="str">
        <f t="shared" si="206"/>
        <v>Done</v>
      </c>
      <c r="R1389" s="18" t="s">
        <v>44</v>
      </c>
      <c r="S1389" s="23">
        <v>43539</v>
      </c>
      <c r="T1389" s="20">
        <f>IFERROR(VLOOKUP(S1389,'Date Converter'!$A$4:$C$368,3,0),"")</f>
        <v>43574</v>
      </c>
      <c r="U1389" s="21">
        <f t="shared" si="204"/>
        <v>43574</v>
      </c>
      <c r="V1389" s="12" t="s">
        <v>57</v>
      </c>
      <c r="W1389" s="18"/>
      <c r="X1389" s="18"/>
      <c r="Y1389" s="12"/>
      <c r="Z1389" s="206">
        <v>43578</v>
      </c>
      <c r="AA1389" s="15">
        <v>5000</v>
      </c>
      <c r="AB1389" s="206">
        <v>43605</v>
      </c>
      <c r="AC1389" s="15" t="s">
        <v>1608</v>
      </c>
      <c r="AD1389" s="15"/>
      <c r="AE1389" s="12"/>
      <c r="AF1389" s="245"/>
      <c r="AG1389" s="12"/>
      <c r="AH1389" s="15">
        <f t="shared" si="201"/>
        <v>10000</v>
      </c>
      <c r="AI1389" s="22">
        <f t="shared" si="202"/>
        <v>0</v>
      </c>
      <c r="AJ1389" s="22">
        <f t="shared" si="203"/>
        <v>0</v>
      </c>
    </row>
    <row r="1390" spans="1:37" s="165" customFormat="1" hidden="1">
      <c r="A1390" s="165" t="s">
        <v>347</v>
      </c>
      <c r="B1390" s="13">
        <v>43531</v>
      </c>
      <c r="C1390" s="165" t="s">
        <v>23</v>
      </c>
      <c r="D1390" s="165" t="s">
        <v>277</v>
      </c>
      <c r="E1390" s="119" t="s">
        <v>278</v>
      </c>
      <c r="F1390" s="165" t="str">
        <f t="shared" si="199"/>
        <v>COMP_16.18_200_NL2018</v>
      </c>
      <c r="G1390" s="13" t="s">
        <v>38</v>
      </c>
      <c r="H1390" s="12"/>
      <c r="I1390" s="12" t="s">
        <v>35</v>
      </c>
      <c r="J1390" s="14">
        <v>200</v>
      </c>
      <c r="K1390" s="15" t="s">
        <v>28</v>
      </c>
      <c r="L1390" s="15"/>
      <c r="M1390" s="16">
        <f t="shared" si="200"/>
        <v>50</v>
      </c>
      <c r="N1390" s="15">
        <v>10000</v>
      </c>
      <c r="O1390" s="15">
        <f>6800+85</f>
        <v>6885</v>
      </c>
      <c r="P1390" s="15">
        <f t="shared" si="207"/>
        <v>68850000</v>
      </c>
      <c r="Q1390" s="15" t="str">
        <f t="shared" si="206"/>
        <v>Done</v>
      </c>
      <c r="R1390" s="18" t="s">
        <v>44</v>
      </c>
      <c r="S1390" s="23">
        <v>43590</v>
      </c>
      <c r="T1390" s="20">
        <f>IFERROR(VLOOKUP(S1390,'Date Converter'!$A$4:$C$368,3,0),"")</f>
        <v>43623</v>
      </c>
      <c r="U1390" s="21">
        <f t="shared" si="204"/>
        <v>43623</v>
      </c>
      <c r="V1390" s="30" t="s">
        <v>1465</v>
      </c>
      <c r="W1390" s="18" t="s">
        <v>132</v>
      </c>
      <c r="X1390" s="18">
        <v>43569</v>
      </c>
      <c r="Y1390" s="12"/>
      <c r="Z1390" s="206">
        <v>43626</v>
      </c>
      <c r="AA1390" s="15">
        <v>10000</v>
      </c>
      <c r="AB1390" s="206"/>
      <c r="AC1390" s="12"/>
      <c r="AD1390" s="206"/>
      <c r="AE1390" s="12"/>
      <c r="AF1390" s="245"/>
      <c r="AG1390" s="12"/>
      <c r="AH1390" s="15">
        <f t="shared" si="201"/>
        <v>10000</v>
      </c>
      <c r="AI1390" s="22">
        <f t="shared" si="202"/>
        <v>0</v>
      </c>
      <c r="AJ1390" s="22">
        <f t="shared" si="203"/>
        <v>0</v>
      </c>
    </row>
    <row r="1391" spans="1:37" s="165" customFormat="1" hidden="1">
      <c r="A1391" s="165" t="s">
        <v>347</v>
      </c>
      <c r="B1391" s="13">
        <v>43531</v>
      </c>
      <c r="C1391" s="165" t="s">
        <v>23</v>
      </c>
      <c r="D1391" s="165" t="s">
        <v>277</v>
      </c>
      <c r="E1391" s="119" t="s">
        <v>278</v>
      </c>
      <c r="F1391" s="165" t="str">
        <f t="shared" si="199"/>
        <v>COMP_16.18_200_NL2018</v>
      </c>
      <c r="G1391" s="13" t="s">
        <v>38</v>
      </c>
      <c r="H1391" s="12"/>
      <c r="I1391" s="12" t="s">
        <v>35</v>
      </c>
      <c r="J1391" s="14">
        <v>200</v>
      </c>
      <c r="K1391" s="15" t="s">
        <v>28</v>
      </c>
      <c r="L1391" s="15"/>
      <c r="M1391" s="16">
        <f t="shared" si="200"/>
        <v>50</v>
      </c>
      <c r="N1391" s="15">
        <v>10000</v>
      </c>
      <c r="O1391" s="15">
        <f>6800+85</f>
        <v>6885</v>
      </c>
      <c r="P1391" s="15">
        <f t="shared" si="207"/>
        <v>68850000</v>
      </c>
      <c r="Q1391" s="15" t="str">
        <f t="shared" si="206"/>
        <v>Done</v>
      </c>
      <c r="R1391" s="18" t="s">
        <v>44</v>
      </c>
      <c r="S1391" s="23">
        <v>43590</v>
      </c>
      <c r="T1391" s="20">
        <f>IFERROR(VLOOKUP(S1391,'Date Converter'!$A$4:$C$368,3,0),"")</f>
        <v>43623</v>
      </c>
      <c r="U1391" s="21">
        <f t="shared" si="204"/>
        <v>43623</v>
      </c>
      <c r="V1391" s="30" t="s">
        <v>1416</v>
      </c>
      <c r="W1391" s="18"/>
      <c r="X1391" s="18"/>
      <c r="Y1391" s="12"/>
      <c r="Z1391" s="206">
        <v>43633</v>
      </c>
      <c r="AA1391" s="15">
        <v>10000</v>
      </c>
      <c r="AB1391" s="206"/>
      <c r="AC1391" s="12"/>
      <c r="AD1391" s="206"/>
      <c r="AE1391" s="12"/>
      <c r="AF1391" s="245"/>
      <c r="AG1391" s="12"/>
      <c r="AH1391" s="15">
        <f t="shared" si="201"/>
        <v>10000</v>
      </c>
      <c r="AI1391" s="22">
        <f t="shared" si="202"/>
        <v>0</v>
      </c>
      <c r="AJ1391" s="22">
        <f t="shared" si="203"/>
        <v>0</v>
      </c>
    </row>
    <row r="1392" spans="1:37" s="165" customFormat="1" hidden="1">
      <c r="A1392" s="165" t="s">
        <v>1884</v>
      </c>
      <c r="B1392" s="13">
        <v>43630</v>
      </c>
      <c r="C1392" s="13" t="s">
        <v>23</v>
      </c>
      <c r="D1392" s="258" t="s">
        <v>1885</v>
      </c>
      <c r="E1392" s="249" t="s">
        <v>1886</v>
      </c>
      <c r="F1392" s="165" t="str">
        <f t="shared" si="199"/>
        <v>ROBI_20.22_125_NL2018</v>
      </c>
      <c r="G1392" s="13" t="s">
        <v>61</v>
      </c>
      <c r="H1392" s="12"/>
      <c r="I1392" s="24" t="s">
        <v>74</v>
      </c>
      <c r="J1392" s="31" t="s">
        <v>122</v>
      </c>
      <c r="K1392" s="15" t="s">
        <v>28</v>
      </c>
      <c r="L1392" s="15"/>
      <c r="M1392" s="16">
        <f t="shared" si="200"/>
        <v>28</v>
      </c>
      <c r="N1392" s="15">
        <v>3500</v>
      </c>
      <c r="O1392" s="15">
        <v>10700</v>
      </c>
      <c r="P1392" s="15">
        <f t="shared" si="207"/>
        <v>37450000</v>
      </c>
      <c r="Q1392" s="15" t="str">
        <f t="shared" si="206"/>
        <v/>
      </c>
      <c r="R1392" s="18" t="s">
        <v>29</v>
      </c>
      <c r="S1392" s="23">
        <v>43709</v>
      </c>
      <c r="T1392" s="20">
        <f>IFERROR(VLOOKUP(S1392,'Date Converter'!$A$4:$C$368,3,0),"")</f>
        <v>43737</v>
      </c>
      <c r="U1392" s="21">
        <f t="shared" si="204"/>
        <v>43737</v>
      </c>
      <c r="V1392" s="20"/>
      <c r="W1392" s="18"/>
      <c r="X1392" s="18"/>
      <c r="Y1392" s="12"/>
      <c r="Z1392" s="206"/>
      <c r="AA1392" s="15"/>
      <c r="AB1392" s="206"/>
      <c r="AC1392" s="12"/>
      <c r="AD1392" s="206"/>
      <c r="AE1392" s="12"/>
      <c r="AF1392" s="245"/>
      <c r="AG1392" s="12"/>
      <c r="AH1392" s="15">
        <f t="shared" si="201"/>
        <v>0</v>
      </c>
      <c r="AI1392" s="22">
        <f t="shared" si="202"/>
        <v>3500</v>
      </c>
      <c r="AJ1392" s="22">
        <f t="shared" si="203"/>
        <v>37450000</v>
      </c>
    </row>
    <row r="1393" spans="1:36" s="165" customFormat="1" hidden="1">
      <c r="A1393" s="165" t="s">
        <v>1884</v>
      </c>
      <c r="B1393" s="13">
        <v>43630</v>
      </c>
      <c r="C1393" s="13" t="s">
        <v>23</v>
      </c>
      <c r="D1393" s="258" t="s">
        <v>1885</v>
      </c>
      <c r="E1393" s="249" t="s">
        <v>1886</v>
      </c>
      <c r="F1393" s="165" t="str">
        <f t="shared" si="199"/>
        <v>CONC_20.22_125_NL2018</v>
      </c>
      <c r="G1393" s="165" t="s">
        <v>40</v>
      </c>
      <c r="H1393" s="12"/>
      <c r="I1393" s="24" t="s">
        <v>74</v>
      </c>
      <c r="J1393" s="31" t="s">
        <v>122</v>
      </c>
      <c r="K1393" s="15" t="s">
        <v>28</v>
      </c>
      <c r="L1393" s="15"/>
      <c r="M1393" s="16">
        <f t="shared" si="200"/>
        <v>12</v>
      </c>
      <c r="N1393" s="15">
        <v>1500</v>
      </c>
      <c r="O1393" s="15">
        <v>10600</v>
      </c>
      <c r="P1393" s="15">
        <f t="shared" si="207"/>
        <v>15900000</v>
      </c>
      <c r="Q1393" s="15" t="str">
        <f t="shared" si="206"/>
        <v/>
      </c>
      <c r="R1393" s="18" t="s">
        <v>29</v>
      </c>
      <c r="S1393" s="23">
        <v>43709</v>
      </c>
      <c r="T1393" s="20">
        <f>IFERROR(VLOOKUP(S1393,'Date Converter'!$A$4:$C$368,3,0),"")</f>
        <v>43737</v>
      </c>
      <c r="U1393" s="21">
        <f t="shared" si="204"/>
        <v>43737</v>
      </c>
      <c r="V1393" s="20"/>
      <c r="W1393" s="18"/>
      <c r="X1393" s="18"/>
      <c r="Y1393" s="12"/>
      <c r="Z1393" s="206"/>
      <c r="AA1393" s="15"/>
      <c r="AB1393" s="206"/>
      <c r="AC1393" s="12"/>
      <c r="AD1393" s="206"/>
      <c r="AE1393" s="12"/>
      <c r="AF1393" s="245"/>
      <c r="AG1393" s="12"/>
      <c r="AH1393" s="15">
        <f t="shared" si="201"/>
        <v>0</v>
      </c>
      <c r="AI1393" s="22">
        <f t="shared" si="202"/>
        <v>1500</v>
      </c>
      <c r="AJ1393" s="22">
        <f t="shared" si="203"/>
        <v>15900000</v>
      </c>
    </row>
    <row r="1394" spans="1:36" s="165" customFormat="1" hidden="1">
      <c r="A1394" s="165" t="s">
        <v>1743</v>
      </c>
      <c r="B1394" s="13">
        <v>43536</v>
      </c>
      <c r="C1394" s="13" t="s">
        <v>1622</v>
      </c>
      <c r="D1394" s="258" t="s">
        <v>645</v>
      </c>
      <c r="E1394" s="13" t="s">
        <v>646</v>
      </c>
      <c r="F1394" s="165" t="str">
        <f t="shared" si="199"/>
        <v>ZIVA_RL_POT_12.14_400_NL2018</v>
      </c>
      <c r="G1394" s="165" t="s">
        <v>1744</v>
      </c>
      <c r="H1394" s="12" t="s">
        <v>1745</v>
      </c>
      <c r="I1394" s="12" t="s">
        <v>113</v>
      </c>
      <c r="J1394" s="14">
        <v>400</v>
      </c>
      <c r="K1394" s="15" t="s">
        <v>28</v>
      </c>
      <c r="L1394" s="15"/>
      <c r="M1394" s="16">
        <f t="shared" si="200"/>
        <v>3</v>
      </c>
      <c r="N1394" s="15">
        <v>1200</v>
      </c>
      <c r="O1394" s="15">
        <v>8255</v>
      </c>
      <c r="P1394" s="15">
        <f t="shared" si="207"/>
        <v>9906000</v>
      </c>
      <c r="Q1394" s="15" t="str">
        <f t="shared" si="206"/>
        <v/>
      </c>
      <c r="R1394" s="18" t="s">
        <v>29</v>
      </c>
      <c r="S1394" s="117">
        <v>43709</v>
      </c>
      <c r="T1394" s="20">
        <f>IFERROR(VLOOKUP(S1394,'Date Converter'!$A$4:$C$368,3,0),"")</f>
        <v>43737</v>
      </c>
      <c r="U1394" s="21">
        <f t="shared" si="204"/>
        <v>43737</v>
      </c>
      <c r="V1394" s="12" t="s">
        <v>51</v>
      </c>
      <c r="W1394" s="18"/>
      <c r="X1394" s="18"/>
      <c r="Y1394" s="18"/>
      <c r="Z1394" s="206"/>
      <c r="AA1394" s="15">
        <v>0</v>
      </c>
      <c r="AB1394" s="206"/>
      <c r="AC1394" s="12"/>
      <c r="AD1394" s="12"/>
      <c r="AE1394" s="12"/>
      <c r="AF1394" s="245"/>
      <c r="AG1394" s="12"/>
      <c r="AH1394" s="15">
        <f t="shared" si="201"/>
        <v>0</v>
      </c>
      <c r="AI1394" s="22">
        <f t="shared" si="202"/>
        <v>1200</v>
      </c>
      <c r="AJ1394" s="22">
        <f t="shared" si="203"/>
        <v>9906000</v>
      </c>
    </row>
    <row r="1395" spans="1:36" s="165" customFormat="1" hidden="1">
      <c r="A1395" s="165" t="s">
        <v>1743</v>
      </c>
      <c r="B1395" s="13">
        <v>43536</v>
      </c>
      <c r="C1395" s="13" t="s">
        <v>1622</v>
      </c>
      <c r="D1395" s="258" t="s">
        <v>645</v>
      </c>
      <c r="E1395" s="13" t="s">
        <v>646</v>
      </c>
      <c r="F1395" s="165" t="str">
        <f t="shared" si="199"/>
        <v>ZIVA_RL_POT_14.16_300_NL2018</v>
      </c>
      <c r="G1395" s="165" t="s">
        <v>1744</v>
      </c>
      <c r="H1395" s="12" t="s">
        <v>1745</v>
      </c>
      <c r="I1395" s="12" t="s">
        <v>47</v>
      </c>
      <c r="J1395" s="14">
        <v>300</v>
      </c>
      <c r="K1395" s="15" t="s">
        <v>28</v>
      </c>
      <c r="L1395" s="15"/>
      <c r="M1395" s="16">
        <f t="shared" si="200"/>
        <v>2</v>
      </c>
      <c r="N1395" s="15">
        <v>600</v>
      </c>
      <c r="O1395" s="15">
        <v>11900</v>
      </c>
      <c r="P1395" s="15">
        <f t="shared" si="207"/>
        <v>7140000</v>
      </c>
      <c r="Q1395" s="15" t="str">
        <f t="shared" si="206"/>
        <v/>
      </c>
      <c r="R1395" s="18" t="s">
        <v>29</v>
      </c>
      <c r="S1395" s="117">
        <v>43709</v>
      </c>
      <c r="T1395" s="20">
        <f>IFERROR(VLOOKUP(S1395,'Date Converter'!$A$4:$C$368,3,0),"")</f>
        <v>43737</v>
      </c>
      <c r="U1395" s="21">
        <f t="shared" si="204"/>
        <v>43737</v>
      </c>
      <c r="V1395" s="12" t="s">
        <v>51</v>
      </c>
      <c r="W1395" s="18"/>
      <c r="X1395" s="18"/>
      <c r="Y1395" s="18"/>
      <c r="Z1395" s="206"/>
      <c r="AA1395" s="15">
        <v>0</v>
      </c>
      <c r="AB1395" s="206"/>
      <c r="AC1395" s="12"/>
      <c r="AD1395" s="12"/>
      <c r="AE1395" s="12"/>
      <c r="AF1395" s="245"/>
      <c r="AG1395" s="12"/>
      <c r="AH1395" s="15">
        <f t="shared" si="201"/>
        <v>0</v>
      </c>
      <c r="AI1395" s="22">
        <f t="shared" si="202"/>
        <v>600</v>
      </c>
      <c r="AJ1395" s="22">
        <f t="shared" si="203"/>
        <v>7140000</v>
      </c>
    </row>
    <row r="1396" spans="1:36" s="165" customFormat="1" hidden="1">
      <c r="A1396" s="165" t="s">
        <v>1743</v>
      </c>
      <c r="B1396" s="13">
        <v>43536</v>
      </c>
      <c r="C1396" s="13" t="s">
        <v>1622</v>
      </c>
      <c r="D1396" s="258" t="s">
        <v>645</v>
      </c>
      <c r="E1396" s="13" t="s">
        <v>646</v>
      </c>
      <c r="F1396" s="165" t="str">
        <f t="shared" ref="F1396:F1457" si="208">SUBSTITUTE(LEFT(G1396,4)&amp;"_"&amp;H1396&amp;"_"&amp;I1396&amp;"_"&amp;J1396&amp;"_"&amp;K1396,"__","_")</f>
        <v>CONC_18.20_150_NL2018</v>
      </c>
      <c r="G1396" s="165" t="s">
        <v>40</v>
      </c>
      <c r="H1396" s="12"/>
      <c r="I1396" s="12" t="s">
        <v>27</v>
      </c>
      <c r="J1396" s="14" t="s">
        <v>126</v>
      </c>
      <c r="K1396" s="15" t="s">
        <v>28</v>
      </c>
      <c r="L1396" s="15"/>
      <c r="M1396" s="16">
        <f t="shared" ref="M1396:M1457" si="209">+N1396/J1396</f>
        <v>40</v>
      </c>
      <c r="N1396" s="15">
        <v>6000</v>
      </c>
      <c r="O1396" s="15">
        <v>7200</v>
      </c>
      <c r="P1396" s="15">
        <f t="shared" si="207"/>
        <v>43200000</v>
      </c>
      <c r="Q1396" s="15" t="str">
        <f t="shared" si="206"/>
        <v/>
      </c>
      <c r="R1396" s="18" t="s">
        <v>29</v>
      </c>
      <c r="S1396" s="117">
        <v>43709</v>
      </c>
      <c r="T1396" s="20">
        <f>IFERROR(VLOOKUP(S1396,'Date Converter'!$A$4:$C$368,3,0),"")</f>
        <v>43737</v>
      </c>
      <c r="U1396" s="21">
        <f t="shared" si="204"/>
        <v>43737</v>
      </c>
      <c r="V1396" s="12" t="s">
        <v>51</v>
      </c>
      <c r="W1396" s="18"/>
      <c r="X1396" s="18"/>
      <c r="Y1396" s="18"/>
      <c r="Z1396" s="206"/>
      <c r="AA1396" s="15">
        <v>0</v>
      </c>
      <c r="AB1396" s="206"/>
      <c r="AC1396" s="12"/>
      <c r="AD1396" s="12"/>
      <c r="AE1396" s="12"/>
      <c r="AF1396" s="245"/>
      <c r="AG1396" s="12"/>
      <c r="AH1396" s="15">
        <f t="shared" ref="AH1396:AH1457" si="210">+AA1396+AC1396+AE1396+AG1396</f>
        <v>0</v>
      </c>
      <c r="AI1396" s="22">
        <f t="shared" ref="AI1396:AI1457" si="211">+N1396-AH1396</f>
        <v>6000</v>
      </c>
      <c r="AJ1396" s="22">
        <f t="shared" ref="AJ1396:AJ1457" si="212">+AI1396*O1396</f>
        <v>43200000</v>
      </c>
    </row>
    <row r="1397" spans="1:36" s="165" customFormat="1" hidden="1">
      <c r="A1397" s="165" t="s">
        <v>1743</v>
      </c>
      <c r="B1397" s="13">
        <v>43642</v>
      </c>
      <c r="C1397" s="13" t="s">
        <v>1622</v>
      </c>
      <c r="D1397" s="258" t="s">
        <v>645</v>
      </c>
      <c r="E1397" s="13" t="s">
        <v>646</v>
      </c>
      <c r="F1397" s="165" t="str">
        <f t="shared" si="208"/>
        <v>ROBI_18.20_150_NL2018</v>
      </c>
      <c r="G1397" s="13" t="s">
        <v>1469</v>
      </c>
      <c r="H1397" s="12"/>
      <c r="I1397" s="12" t="s">
        <v>27</v>
      </c>
      <c r="J1397" s="14" t="s">
        <v>126</v>
      </c>
      <c r="K1397" s="15" t="s">
        <v>28</v>
      </c>
      <c r="L1397" s="15"/>
      <c r="M1397" s="16">
        <f t="shared" si="209"/>
        <v>20</v>
      </c>
      <c r="N1397" s="15">
        <v>3000</v>
      </c>
      <c r="O1397" s="15">
        <v>9500</v>
      </c>
      <c r="P1397" s="15">
        <f t="shared" si="207"/>
        <v>28500000</v>
      </c>
      <c r="Q1397" s="15" t="str">
        <f t="shared" si="206"/>
        <v/>
      </c>
      <c r="R1397" s="18" t="s">
        <v>29</v>
      </c>
      <c r="S1397" s="117">
        <v>43709</v>
      </c>
      <c r="T1397" s="20">
        <f>IFERROR(VLOOKUP(S1397,'Date Converter'!$A$4:$C$368,3,0),"")</f>
        <v>43737</v>
      </c>
      <c r="U1397" s="21">
        <f t="shared" ref="U1397" si="213">+T1397</f>
        <v>43737</v>
      </c>
      <c r="V1397" s="12"/>
      <c r="W1397" s="18"/>
      <c r="X1397" s="18"/>
      <c r="Y1397" s="18"/>
      <c r="Z1397" s="206"/>
      <c r="AA1397" s="15"/>
      <c r="AB1397" s="206"/>
      <c r="AC1397" s="12"/>
      <c r="AD1397" s="12"/>
      <c r="AE1397" s="12"/>
      <c r="AF1397" s="245"/>
      <c r="AG1397" s="12"/>
      <c r="AH1397" s="15">
        <f t="shared" ref="AH1397" si="214">+AA1397+AC1397+AE1397+AG1397</f>
        <v>0</v>
      </c>
      <c r="AI1397" s="22">
        <f t="shared" ref="AI1397" si="215">+N1397-AH1397</f>
        <v>3000</v>
      </c>
      <c r="AJ1397" s="22">
        <f t="shared" ref="AJ1397" si="216">+AI1397*O1397</f>
        <v>28500000</v>
      </c>
    </row>
    <row r="1398" spans="1:36" s="165" customFormat="1" hidden="1">
      <c r="A1398" s="165" t="s">
        <v>1612</v>
      </c>
      <c r="B1398" s="13">
        <v>43612</v>
      </c>
      <c r="C1398" s="13" t="s">
        <v>23</v>
      </c>
      <c r="D1398" s="165" t="s">
        <v>1617</v>
      </c>
      <c r="E1398" s="13" t="s">
        <v>1613</v>
      </c>
      <c r="F1398" s="165" t="str">
        <f t="shared" si="208"/>
        <v>YELL_12.14_400_NL2018</v>
      </c>
      <c r="G1398" s="165" t="s">
        <v>89</v>
      </c>
      <c r="H1398" s="12"/>
      <c r="I1398" s="12" t="s">
        <v>113</v>
      </c>
      <c r="J1398" s="31" t="s">
        <v>128</v>
      </c>
      <c r="K1398" s="15" t="s">
        <v>28</v>
      </c>
      <c r="L1398" s="15"/>
      <c r="M1398" s="16">
        <f t="shared" si="209"/>
        <v>9</v>
      </c>
      <c r="N1398" s="15">
        <v>3600</v>
      </c>
      <c r="O1398" s="15">
        <v>2700</v>
      </c>
      <c r="P1398" s="15">
        <f t="shared" si="207"/>
        <v>9720000</v>
      </c>
      <c r="Q1398" s="15" t="str">
        <f t="shared" si="206"/>
        <v>Done</v>
      </c>
      <c r="R1398" s="18" t="s">
        <v>44</v>
      </c>
      <c r="S1398" s="23">
        <v>43539</v>
      </c>
      <c r="T1398" s="20">
        <f>IFERROR(VLOOKUP(S1398,'Date Converter'!$A$4:$C$368,3,0),"")</f>
        <v>43574</v>
      </c>
      <c r="U1398" s="21">
        <f t="shared" si="204"/>
        <v>43574</v>
      </c>
      <c r="V1398" s="12"/>
      <c r="W1398" s="18"/>
      <c r="X1398" s="18"/>
      <c r="Y1398" s="12"/>
      <c r="Z1398" s="206">
        <v>43612</v>
      </c>
      <c r="AA1398" s="15">
        <v>3600</v>
      </c>
      <c r="AB1398" s="12"/>
      <c r="AC1398" s="12"/>
      <c r="AD1398" s="12"/>
      <c r="AE1398" s="12"/>
      <c r="AF1398" s="245"/>
      <c r="AG1398" s="12"/>
      <c r="AH1398" s="15">
        <f t="shared" si="210"/>
        <v>3600</v>
      </c>
      <c r="AI1398" s="22">
        <f t="shared" si="211"/>
        <v>0</v>
      </c>
      <c r="AJ1398" s="22">
        <f t="shared" si="212"/>
        <v>0</v>
      </c>
    </row>
    <row r="1399" spans="1:36" s="165" customFormat="1" hidden="1">
      <c r="A1399" s="165" t="s">
        <v>1616</v>
      </c>
      <c r="B1399" s="13">
        <v>43614</v>
      </c>
      <c r="C1399" s="13" t="s">
        <v>23</v>
      </c>
      <c r="D1399" s="165" t="s">
        <v>1807</v>
      </c>
      <c r="E1399" s="13" t="s">
        <v>1880</v>
      </c>
      <c r="F1399" s="165" t="str">
        <f t="shared" si="208"/>
        <v>YELL_12.14_400_NL2018</v>
      </c>
      <c r="G1399" s="165" t="s">
        <v>89</v>
      </c>
      <c r="H1399" s="12"/>
      <c r="I1399" s="12" t="s">
        <v>113</v>
      </c>
      <c r="J1399" s="31" t="s">
        <v>128</v>
      </c>
      <c r="K1399" s="15" t="s">
        <v>28</v>
      </c>
      <c r="L1399" s="15"/>
      <c r="M1399" s="16">
        <f t="shared" si="209"/>
        <v>25</v>
      </c>
      <c r="N1399" s="15">
        <v>10000</v>
      </c>
      <c r="O1399" s="15">
        <v>2800</v>
      </c>
      <c r="P1399" s="15">
        <f t="shared" si="207"/>
        <v>28000000</v>
      </c>
      <c r="Q1399" s="15" t="str">
        <f t="shared" si="206"/>
        <v>Done</v>
      </c>
      <c r="R1399" s="18" t="s">
        <v>44</v>
      </c>
      <c r="S1399" s="23">
        <v>43572</v>
      </c>
      <c r="T1399" s="20">
        <f>IFERROR(VLOOKUP(S1399,'Date Converter'!$A$4:$C$368,3,0),"")</f>
        <v>43606</v>
      </c>
      <c r="U1399" s="21">
        <f t="shared" si="204"/>
        <v>43606</v>
      </c>
      <c r="V1399" s="12"/>
      <c r="W1399" s="18"/>
      <c r="X1399" s="18"/>
      <c r="Y1399" s="12"/>
      <c r="Z1399" s="206">
        <v>43616</v>
      </c>
      <c r="AA1399" s="15">
        <v>10000</v>
      </c>
      <c r="AB1399" s="12"/>
      <c r="AC1399" s="12"/>
      <c r="AD1399" s="12"/>
      <c r="AE1399" s="12"/>
      <c r="AF1399" s="245"/>
      <c r="AG1399" s="12"/>
      <c r="AH1399" s="15">
        <f t="shared" si="210"/>
        <v>10000</v>
      </c>
      <c r="AI1399" s="22">
        <f t="shared" si="211"/>
        <v>0</v>
      </c>
      <c r="AJ1399" s="22">
        <f t="shared" si="212"/>
        <v>0</v>
      </c>
    </row>
    <row r="1400" spans="1:36" s="165" customFormat="1" hidden="1">
      <c r="A1400" s="165" t="s">
        <v>1616</v>
      </c>
      <c r="B1400" s="13">
        <v>43616</v>
      </c>
      <c r="C1400" s="13" t="s">
        <v>23</v>
      </c>
      <c r="D1400" s="165" t="s">
        <v>1807</v>
      </c>
      <c r="E1400" s="13" t="s">
        <v>1880</v>
      </c>
      <c r="F1400" s="165" t="str">
        <f t="shared" si="208"/>
        <v>YELL_12.14_400_NL2018</v>
      </c>
      <c r="G1400" s="165" t="s">
        <v>89</v>
      </c>
      <c r="H1400" s="12"/>
      <c r="I1400" s="12" t="s">
        <v>113</v>
      </c>
      <c r="J1400" s="31" t="s">
        <v>128</v>
      </c>
      <c r="K1400" s="15" t="s">
        <v>28</v>
      </c>
      <c r="L1400" s="15"/>
      <c r="M1400" s="16">
        <f t="shared" si="209"/>
        <v>0</v>
      </c>
      <c r="N1400" s="15">
        <f>8400-8400</f>
        <v>0</v>
      </c>
      <c r="O1400" s="15">
        <v>2800</v>
      </c>
      <c r="P1400" s="15">
        <f t="shared" si="207"/>
        <v>0</v>
      </c>
      <c r="Q1400" s="15" t="str">
        <f t="shared" si="206"/>
        <v>Canceled</v>
      </c>
      <c r="R1400" s="18" t="s">
        <v>71</v>
      </c>
      <c r="S1400" s="23">
        <v>43572</v>
      </c>
      <c r="T1400" s="20">
        <f>IFERROR(VLOOKUP(S1400,'Date Converter'!$A$4:$C$368,3,0),"")</f>
        <v>43606</v>
      </c>
      <c r="U1400" s="21">
        <f t="shared" si="204"/>
        <v>43606</v>
      </c>
      <c r="V1400" s="12"/>
      <c r="W1400" s="18"/>
      <c r="X1400" s="18"/>
      <c r="Y1400" s="12"/>
      <c r="Z1400" s="206"/>
      <c r="AA1400" s="15"/>
      <c r="AB1400" s="12"/>
      <c r="AC1400" s="12"/>
      <c r="AD1400" s="12"/>
      <c r="AE1400" s="12"/>
      <c r="AF1400" s="245"/>
      <c r="AG1400" s="12"/>
      <c r="AH1400" s="15">
        <f t="shared" si="210"/>
        <v>0</v>
      </c>
      <c r="AI1400" s="22">
        <f t="shared" si="211"/>
        <v>0</v>
      </c>
      <c r="AJ1400" s="22">
        <f t="shared" si="212"/>
        <v>0</v>
      </c>
    </row>
    <row r="1401" spans="1:36" s="165" customFormat="1" hidden="1">
      <c r="A1401" s="165" t="s">
        <v>1616</v>
      </c>
      <c r="B1401" s="13">
        <v>43616</v>
      </c>
      <c r="C1401" s="13" t="s">
        <v>23</v>
      </c>
      <c r="D1401" s="165" t="s">
        <v>1807</v>
      </c>
      <c r="E1401" s="13" t="s">
        <v>1880</v>
      </c>
      <c r="F1401" s="165" t="str">
        <f t="shared" si="208"/>
        <v>MALD_14.16_300_NL2018</v>
      </c>
      <c r="G1401" s="13" t="s">
        <v>478</v>
      </c>
      <c r="H1401" s="12"/>
      <c r="I1401" s="12" t="s">
        <v>47</v>
      </c>
      <c r="J1401" s="31" t="s">
        <v>124</v>
      </c>
      <c r="K1401" s="15" t="s">
        <v>28</v>
      </c>
      <c r="L1401" s="15"/>
      <c r="M1401" s="16">
        <f t="shared" si="209"/>
        <v>17</v>
      </c>
      <c r="N1401" s="15">
        <v>5100</v>
      </c>
      <c r="O1401" s="15">
        <v>4000</v>
      </c>
      <c r="P1401" s="15">
        <f t="shared" si="207"/>
        <v>20400000</v>
      </c>
      <c r="Q1401" s="15" t="str">
        <f t="shared" si="206"/>
        <v>Done</v>
      </c>
      <c r="R1401" s="18" t="s">
        <v>44</v>
      </c>
      <c r="S1401" s="23">
        <v>43590</v>
      </c>
      <c r="T1401" s="20">
        <f>IFERROR(VLOOKUP(S1401,'Date Converter'!$A$4:$C$368,3,0),"")</f>
        <v>43623</v>
      </c>
      <c r="U1401" s="21">
        <f t="shared" si="204"/>
        <v>43623</v>
      </c>
      <c r="V1401" s="12"/>
      <c r="W1401" s="18"/>
      <c r="X1401" s="18"/>
      <c r="Y1401" s="12"/>
      <c r="Z1401" s="206">
        <v>43629</v>
      </c>
      <c r="AA1401" s="256">
        <v>5100</v>
      </c>
      <c r="AB1401" s="12"/>
      <c r="AC1401" s="12"/>
      <c r="AD1401" s="12"/>
      <c r="AE1401" s="12"/>
      <c r="AF1401" s="245"/>
      <c r="AG1401" s="12"/>
      <c r="AH1401" s="15">
        <f t="shared" si="210"/>
        <v>5100</v>
      </c>
      <c r="AI1401" s="22">
        <f t="shared" si="211"/>
        <v>0</v>
      </c>
      <c r="AJ1401" s="22">
        <f t="shared" si="212"/>
        <v>0</v>
      </c>
    </row>
    <row r="1402" spans="1:36" s="165" customFormat="1" hidden="1">
      <c r="A1402" s="165" t="s">
        <v>1373</v>
      </c>
      <c r="B1402" s="13">
        <v>43564</v>
      </c>
      <c r="C1402" s="13" t="s">
        <v>23</v>
      </c>
      <c r="D1402" s="165" t="s">
        <v>192</v>
      </c>
      <c r="E1402" s="119" t="s">
        <v>193</v>
      </c>
      <c r="F1402" s="165" t="str">
        <f t="shared" si="208"/>
        <v>YELL_14.16_300_NL2018</v>
      </c>
      <c r="G1402" s="165" t="s">
        <v>89</v>
      </c>
      <c r="H1402" s="12"/>
      <c r="I1402" s="24" t="s">
        <v>47</v>
      </c>
      <c r="J1402" s="31" t="s">
        <v>124</v>
      </c>
      <c r="K1402" s="15" t="s">
        <v>28</v>
      </c>
      <c r="L1402" s="15"/>
      <c r="M1402" s="16">
        <f t="shared" si="209"/>
        <v>0</v>
      </c>
      <c r="N1402" s="15">
        <f>5100-5100</f>
        <v>0</v>
      </c>
      <c r="O1402" s="15">
        <v>4000</v>
      </c>
      <c r="P1402" s="15">
        <f t="shared" si="207"/>
        <v>0</v>
      </c>
      <c r="Q1402" s="15" t="str">
        <f t="shared" si="206"/>
        <v>Canceled</v>
      </c>
      <c r="R1402" s="18" t="s">
        <v>71</v>
      </c>
      <c r="S1402" s="23">
        <v>43590</v>
      </c>
      <c r="T1402" s="20">
        <f>IFERROR(VLOOKUP(S1402,'Date Converter'!$A$4:$C$368,3,0),"")</f>
        <v>43623</v>
      </c>
      <c r="U1402" s="21">
        <f t="shared" ref="U1402:U1459" si="217">+T1402</f>
        <v>43623</v>
      </c>
      <c r="V1402" s="12" t="s">
        <v>479</v>
      </c>
      <c r="W1402" s="18"/>
      <c r="X1402" s="18"/>
      <c r="Y1402" s="12"/>
      <c r="Z1402" s="206"/>
      <c r="AA1402" s="15"/>
      <c r="AB1402" s="206"/>
      <c r="AC1402" s="12"/>
      <c r="AD1402" s="206"/>
      <c r="AE1402" s="12"/>
      <c r="AF1402" s="245"/>
      <c r="AG1402" s="12"/>
      <c r="AH1402" s="15">
        <f t="shared" si="210"/>
        <v>0</v>
      </c>
      <c r="AI1402" s="22">
        <f t="shared" si="211"/>
        <v>0</v>
      </c>
      <c r="AJ1402" s="22">
        <f t="shared" si="212"/>
        <v>0</v>
      </c>
    </row>
    <row r="1403" spans="1:36" s="165" customFormat="1" hidden="1">
      <c r="A1403" s="165" t="s">
        <v>1373</v>
      </c>
      <c r="B1403" s="13">
        <v>43616</v>
      </c>
      <c r="C1403" s="13" t="s">
        <v>23</v>
      </c>
      <c r="D1403" s="165" t="s">
        <v>192</v>
      </c>
      <c r="E1403" s="119" t="s">
        <v>193</v>
      </c>
      <c r="F1403" s="165" t="str">
        <f t="shared" si="208"/>
        <v>YELL_14.16_300_NL2018</v>
      </c>
      <c r="G1403" s="165" t="s">
        <v>89</v>
      </c>
      <c r="H1403" s="12"/>
      <c r="I1403" s="24" t="s">
        <v>47</v>
      </c>
      <c r="J1403" s="31" t="s">
        <v>124</v>
      </c>
      <c r="K1403" s="15" t="s">
        <v>28</v>
      </c>
      <c r="L1403" s="15"/>
      <c r="M1403" s="16">
        <f t="shared" si="209"/>
        <v>17</v>
      </c>
      <c r="N1403" s="15">
        <v>5100</v>
      </c>
      <c r="O1403" s="15">
        <v>3900</v>
      </c>
      <c r="P1403" s="15">
        <f t="shared" si="207"/>
        <v>19890000</v>
      </c>
      <c r="Q1403" s="15" t="str">
        <f t="shared" si="206"/>
        <v>Done</v>
      </c>
      <c r="R1403" s="18" t="s">
        <v>44</v>
      </c>
      <c r="S1403" s="23">
        <v>43572</v>
      </c>
      <c r="T1403" s="20">
        <f>IFERROR(VLOOKUP(S1403,'Date Converter'!$A$4:$C$368,3,0),"")</f>
        <v>43606</v>
      </c>
      <c r="U1403" s="21">
        <f t="shared" si="217"/>
        <v>43606</v>
      </c>
      <c r="V1403" s="12"/>
      <c r="W1403" s="18"/>
      <c r="X1403" s="18"/>
      <c r="Y1403" s="12"/>
      <c r="Z1403" s="206">
        <v>43624</v>
      </c>
      <c r="AA1403" s="15">
        <v>5100</v>
      </c>
      <c r="AB1403" s="206"/>
      <c r="AC1403" s="12"/>
      <c r="AD1403" s="206"/>
      <c r="AE1403" s="12"/>
      <c r="AF1403" s="245"/>
      <c r="AG1403" s="12"/>
      <c r="AH1403" s="15">
        <f t="shared" si="210"/>
        <v>5100</v>
      </c>
      <c r="AI1403" s="22">
        <f t="shared" si="211"/>
        <v>0</v>
      </c>
      <c r="AJ1403" s="22">
        <f t="shared" si="212"/>
        <v>0</v>
      </c>
    </row>
    <row r="1404" spans="1:36" s="165" customFormat="1" hidden="1">
      <c r="A1404" s="165" t="s">
        <v>1373</v>
      </c>
      <c r="B1404" s="13">
        <v>43622</v>
      </c>
      <c r="C1404" s="13" t="s">
        <v>23</v>
      </c>
      <c r="D1404" s="165" t="s">
        <v>192</v>
      </c>
      <c r="E1404" s="119" t="s">
        <v>193</v>
      </c>
      <c r="F1404" s="165" t="str">
        <f t="shared" si="208"/>
        <v>YELL_DN_16.18_200_NL2018</v>
      </c>
      <c r="G1404" s="165" t="s">
        <v>89</v>
      </c>
      <c r="H1404" s="12" t="s">
        <v>480</v>
      </c>
      <c r="I1404" s="24" t="s">
        <v>35</v>
      </c>
      <c r="J1404" s="31" t="s">
        <v>121</v>
      </c>
      <c r="K1404" s="15" t="s">
        <v>28</v>
      </c>
      <c r="L1404" s="15"/>
      <c r="M1404" s="16">
        <f t="shared" si="209"/>
        <v>0</v>
      </c>
      <c r="N1404" s="15">
        <f>200-200</f>
        <v>0</v>
      </c>
      <c r="O1404" s="15">
        <v>6000</v>
      </c>
      <c r="P1404" s="15">
        <f t="shared" si="207"/>
        <v>0</v>
      </c>
      <c r="Q1404" s="15" t="str">
        <f t="shared" si="206"/>
        <v>Canceled</v>
      </c>
      <c r="R1404" s="18" t="s">
        <v>71</v>
      </c>
      <c r="S1404" s="23">
        <v>43572</v>
      </c>
      <c r="T1404" s="20">
        <f>IFERROR(VLOOKUP(S1404,'Date Converter'!$A$4:$C$368,3,0),"")</f>
        <v>43606</v>
      </c>
      <c r="U1404" s="21">
        <f t="shared" si="217"/>
        <v>43606</v>
      </c>
      <c r="V1404" s="12"/>
      <c r="W1404" s="18"/>
      <c r="X1404" s="18"/>
      <c r="Y1404" s="12"/>
      <c r="Z1404" s="206"/>
      <c r="AA1404" s="15"/>
      <c r="AB1404" s="206"/>
      <c r="AC1404" s="12"/>
      <c r="AD1404" s="206"/>
      <c r="AE1404" s="12"/>
      <c r="AF1404" s="245"/>
      <c r="AG1404" s="12"/>
      <c r="AH1404" s="15">
        <f t="shared" si="210"/>
        <v>0</v>
      </c>
      <c r="AI1404" s="22">
        <f t="shared" si="211"/>
        <v>0</v>
      </c>
      <c r="AJ1404" s="22">
        <f t="shared" si="212"/>
        <v>0</v>
      </c>
    </row>
    <row r="1405" spans="1:36" s="165" customFormat="1" hidden="1">
      <c r="A1405" s="165" t="s">
        <v>1373</v>
      </c>
      <c r="B1405" s="13">
        <v>43616</v>
      </c>
      <c r="C1405" s="13" t="s">
        <v>23</v>
      </c>
      <c r="D1405" s="165" t="s">
        <v>192</v>
      </c>
      <c r="E1405" s="119" t="s">
        <v>193</v>
      </c>
      <c r="F1405" s="165" t="str">
        <f t="shared" si="208"/>
        <v>YELL_16.18_200_NL2018</v>
      </c>
      <c r="G1405" s="165" t="s">
        <v>89</v>
      </c>
      <c r="H1405" s="12"/>
      <c r="I1405" s="24" t="s">
        <v>35</v>
      </c>
      <c r="J1405" s="31" t="s">
        <v>121</v>
      </c>
      <c r="K1405" s="15" t="s">
        <v>28</v>
      </c>
      <c r="L1405" s="15"/>
      <c r="M1405" s="16">
        <f t="shared" si="209"/>
        <v>24</v>
      </c>
      <c r="N1405" s="15">
        <v>4800</v>
      </c>
      <c r="O1405" s="15">
        <v>5300</v>
      </c>
      <c r="P1405" s="15">
        <f t="shared" si="207"/>
        <v>25440000</v>
      </c>
      <c r="Q1405" s="15" t="str">
        <f t="shared" si="206"/>
        <v/>
      </c>
      <c r="R1405" s="18" t="s">
        <v>31</v>
      </c>
      <c r="S1405" s="23">
        <v>43626</v>
      </c>
      <c r="T1405" s="20">
        <f>IFERROR(VLOOKUP(S1405,'Date Converter'!$A$4:$C$368,3,0),"")</f>
        <v>43658</v>
      </c>
      <c r="U1405" s="21">
        <f t="shared" si="217"/>
        <v>43658</v>
      </c>
      <c r="V1405" s="12" t="s">
        <v>1374</v>
      </c>
      <c r="W1405" s="18"/>
      <c r="X1405" s="18"/>
      <c r="Y1405" s="12"/>
      <c r="Z1405" s="206"/>
      <c r="AA1405" s="15"/>
      <c r="AB1405" s="206"/>
      <c r="AC1405" s="12"/>
      <c r="AD1405" s="206"/>
      <c r="AE1405" s="12"/>
      <c r="AF1405" s="245"/>
      <c r="AG1405" s="12"/>
      <c r="AH1405" s="15">
        <f t="shared" si="210"/>
        <v>0</v>
      </c>
      <c r="AI1405" s="22">
        <f t="shared" si="211"/>
        <v>4800</v>
      </c>
      <c r="AJ1405" s="22">
        <f t="shared" si="212"/>
        <v>25440000</v>
      </c>
    </row>
    <row r="1406" spans="1:36" s="165" customFormat="1" hidden="1">
      <c r="A1406" s="165" t="s">
        <v>459</v>
      </c>
      <c r="B1406" s="13">
        <v>43528</v>
      </c>
      <c r="C1406" s="13" t="s">
        <v>23</v>
      </c>
      <c r="D1406" s="165" t="s">
        <v>192</v>
      </c>
      <c r="E1406" s="13" t="s">
        <v>193</v>
      </c>
      <c r="F1406" s="165" t="str">
        <f t="shared" si="208"/>
        <v>YELL_14.16_300_NL2018</v>
      </c>
      <c r="G1406" s="165" t="s">
        <v>89</v>
      </c>
      <c r="H1406" s="12"/>
      <c r="I1406" s="24" t="s">
        <v>47</v>
      </c>
      <c r="J1406" s="31" t="s">
        <v>124</v>
      </c>
      <c r="K1406" s="15" t="s">
        <v>28</v>
      </c>
      <c r="L1406" s="15"/>
      <c r="M1406" s="16">
        <f t="shared" si="209"/>
        <v>16</v>
      </c>
      <c r="N1406" s="15">
        <f>4200+600</f>
        <v>4800</v>
      </c>
      <c r="O1406" s="15">
        <v>3800</v>
      </c>
      <c r="P1406" s="15">
        <f t="shared" si="207"/>
        <v>18240000</v>
      </c>
      <c r="Q1406" s="15" t="str">
        <f t="shared" si="206"/>
        <v>Done</v>
      </c>
      <c r="R1406" s="18" t="s">
        <v>44</v>
      </c>
      <c r="S1406" s="23">
        <v>43511</v>
      </c>
      <c r="T1406" s="20">
        <f>IFERROR(VLOOKUP(S1406,'Date Converter'!$A$4:$C$368,3,0),"")</f>
        <v>43544</v>
      </c>
      <c r="U1406" s="21">
        <f t="shared" si="217"/>
        <v>43544</v>
      </c>
      <c r="V1406" s="12" t="s">
        <v>32</v>
      </c>
      <c r="W1406" s="18" t="s">
        <v>72</v>
      </c>
      <c r="X1406" s="18">
        <v>43555</v>
      </c>
      <c r="Y1406" s="12"/>
      <c r="Z1406" s="206">
        <v>43556</v>
      </c>
      <c r="AA1406" s="15">
        <v>4800</v>
      </c>
      <c r="AB1406" s="206"/>
      <c r="AC1406" s="12"/>
      <c r="AD1406" s="206"/>
      <c r="AE1406" s="12"/>
      <c r="AF1406" s="245"/>
      <c r="AG1406" s="12"/>
      <c r="AH1406" s="15">
        <f t="shared" si="210"/>
        <v>4800</v>
      </c>
      <c r="AI1406" s="22">
        <f t="shared" si="211"/>
        <v>0</v>
      </c>
      <c r="AJ1406" s="22">
        <f t="shared" si="212"/>
        <v>0</v>
      </c>
    </row>
    <row r="1407" spans="1:36" s="165" customFormat="1" hidden="1">
      <c r="A1407" s="165" t="s">
        <v>1373</v>
      </c>
      <c r="B1407" s="13">
        <v>43595</v>
      </c>
      <c r="C1407" s="13" t="s">
        <v>23</v>
      </c>
      <c r="D1407" s="165" t="s">
        <v>192</v>
      </c>
      <c r="E1407" s="119" t="s">
        <v>193</v>
      </c>
      <c r="F1407" s="165" t="str">
        <f t="shared" si="208"/>
        <v>MANI_16.18_200_NL2018</v>
      </c>
      <c r="G1407" s="13" t="s">
        <v>105</v>
      </c>
      <c r="H1407" s="12"/>
      <c r="I1407" s="24" t="s">
        <v>35</v>
      </c>
      <c r="J1407" s="31" t="s">
        <v>121</v>
      </c>
      <c r="K1407" s="15" t="s">
        <v>28</v>
      </c>
      <c r="L1407" s="15"/>
      <c r="M1407" s="16">
        <f t="shared" si="209"/>
        <v>18</v>
      </c>
      <c r="N1407" s="15">
        <f>5000-1400</f>
        <v>3600</v>
      </c>
      <c r="O1407" s="15">
        <v>7000</v>
      </c>
      <c r="P1407" s="15">
        <f t="shared" si="207"/>
        <v>25200000</v>
      </c>
      <c r="Q1407" s="15" t="str">
        <f t="shared" si="206"/>
        <v/>
      </c>
      <c r="R1407" s="18" t="s">
        <v>63</v>
      </c>
      <c r="S1407" s="23">
        <v>43590</v>
      </c>
      <c r="T1407" s="20">
        <f>IFERROR(VLOOKUP(S1407,'Date Converter'!$A$4:$C$368,3,0),"")</f>
        <v>43623</v>
      </c>
      <c r="U1407" s="21">
        <f t="shared" si="217"/>
        <v>43623</v>
      </c>
      <c r="V1407" s="12" t="s">
        <v>479</v>
      </c>
      <c r="W1407" s="18"/>
      <c r="X1407" s="18"/>
      <c r="Y1407" s="12"/>
      <c r="Z1407" s="206"/>
      <c r="AA1407" s="15"/>
      <c r="AB1407" s="206"/>
      <c r="AC1407" s="12"/>
      <c r="AD1407" s="206"/>
      <c r="AE1407" s="12"/>
      <c r="AF1407" s="245"/>
      <c r="AG1407" s="12"/>
      <c r="AH1407" s="15">
        <f t="shared" si="210"/>
        <v>0</v>
      </c>
      <c r="AI1407" s="22">
        <f t="shared" si="211"/>
        <v>3600</v>
      </c>
      <c r="AJ1407" s="22">
        <f t="shared" si="212"/>
        <v>25200000</v>
      </c>
    </row>
    <row r="1408" spans="1:36" s="165" customFormat="1" hidden="1">
      <c r="A1408" s="165" t="s">
        <v>1373</v>
      </c>
      <c r="B1408" s="13">
        <v>43595</v>
      </c>
      <c r="C1408" s="13" t="s">
        <v>23</v>
      </c>
      <c r="D1408" s="165" t="s">
        <v>192</v>
      </c>
      <c r="E1408" s="119" t="s">
        <v>193</v>
      </c>
      <c r="F1408" s="165" t="str">
        <f t="shared" si="208"/>
        <v>MANI_16.18_200_NL2018</v>
      </c>
      <c r="G1408" s="13" t="s">
        <v>105</v>
      </c>
      <c r="H1408" s="12"/>
      <c r="I1408" s="24" t="s">
        <v>35</v>
      </c>
      <c r="J1408" s="31" t="s">
        <v>121</v>
      </c>
      <c r="K1408" s="15" t="s">
        <v>28</v>
      </c>
      <c r="L1408" s="15"/>
      <c r="M1408" s="16">
        <f t="shared" si="209"/>
        <v>25</v>
      </c>
      <c r="N1408" s="15">
        <v>5000</v>
      </c>
      <c r="O1408" s="15">
        <v>7000</v>
      </c>
      <c r="P1408" s="15">
        <f t="shared" si="207"/>
        <v>35000000</v>
      </c>
      <c r="Q1408" s="15" t="str">
        <f t="shared" si="206"/>
        <v/>
      </c>
      <c r="R1408" s="18" t="s">
        <v>63</v>
      </c>
      <c r="S1408" s="23">
        <v>43603</v>
      </c>
      <c r="T1408" s="20">
        <f>IFERROR(VLOOKUP(S1408,'Date Converter'!$A$4:$C$368,3,0),"")</f>
        <v>43636</v>
      </c>
      <c r="U1408" s="21">
        <f t="shared" si="217"/>
        <v>43636</v>
      </c>
      <c r="V1408" s="12" t="s">
        <v>479</v>
      </c>
      <c r="W1408" s="18"/>
      <c r="X1408" s="18"/>
      <c r="Y1408" s="12"/>
      <c r="Z1408" s="206"/>
      <c r="AA1408" s="15"/>
      <c r="AB1408" s="206"/>
      <c r="AC1408" s="12"/>
      <c r="AD1408" s="206"/>
      <c r="AE1408" s="12"/>
      <c r="AF1408" s="245"/>
      <c r="AG1408" s="12"/>
      <c r="AH1408" s="15">
        <f t="shared" si="210"/>
        <v>0</v>
      </c>
      <c r="AI1408" s="22">
        <f t="shared" si="211"/>
        <v>5000</v>
      </c>
      <c r="AJ1408" s="22">
        <f t="shared" si="212"/>
        <v>35000000</v>
      </c>
    </row>
    <row r="1409" spans="1:37" s="165" customFormat="1" hidden="1">
      <c r="A1409" s="165" t="s">
        <v>1373</v>
      </c>
      <c r="B1409" s="13">
        <v>43642</v>
      </c>
      <c r="C1409" s="13" t="s">
        <v>23</v>
      </c>
      <c r="D1409" s="165" t="s">
        <v>192</v>
      </c>
      <c r="E1409" s="119" t="s">
        <v>193</v>
      </c>
      <c r="F1409" s="165" t="str">
        <f t="shared" ref="F1409" si="218">SUBSTITUTE(LEFT(G1409,4)&amp;"_"&amp;H1409&amp;"_"&amp;I1409&amp;"_"&amp;J1409&amp;"_"&amp;K1409,"__","_")</f>
        <v>YELL_16.18_200_NL2018</v>
      </c>
      <c r="G1409" s="165" t="s">
        <v>89</v>
      </c>
      <c r="H1409" s="12"/>
      <c r="I1409" s="24" t="s">
        <v>35</v>
      </c>
      <c r="J1409" s="31" t="s">
        <v>121</v>
      </c>
      <c r="K1409" s="15" t="s">
        <v>28</v>
      </c>
      <c r="L1409" s="15"/>
      <c r="M1409" s="16">
        <f t="shared" si="209"/>
        <v>25</v>
      </c>
      <c r="N1409" s="15">
        <v>5000</v>
      </c>
      <c r="O1409" s="15">
        <v>5400</v>
      </c>
      <c r="P1409" s="15">
        <f t="shared" si="207"/>
        <v>27000000</v>
      </c>
      <c r="Q1409" s="15" t="str">
        <f t="shared" si="206"/>
        <v/>
      </c>
      <c r="R1409" s="18" t="s">
        <v>29</v>
      </c>
      <c r="S1409" s="23">
        <v>43661</v>
      </c>
      <c r="T1409" s="20">
        <f>IFERROR(VLOOKUP(S1409,'Date Converter'!$A$4:$C$368,3,0),"")</f>
        <v>43692</v>
      </c>
      <c r="U1409" s="21">
        <f t="shared" ref="U1409" si="219">+T1409</f>
        <v>43692</v>
      </c>
      <c r="V1409" s="12"/>
      <c r="W1409" s="18"/>
      <c r="X1409" s="18"/>
      <c r="Y1409" s="12"/>
      <c r="Z1409" s="206"/>
      <c r="AA1409" s="15"/>
      <c r="AB1409" s="206"/>
      <c r="AC1409" s="12"/>
      <c r="AD1409" s="206"/>
      <c r="AE1409" s="12"/>
      <c r="AF1409" s="245"/>
      <c r="AG1409" s="12"/>
      <c r="AH1409" s="15">
        <f t="shared" ref="AH1409" si="220">+AA1409+AC1409+AE1409+AG1409</f>
        <v>0</v>
      </c>
      <c r="AI1409" s="22">
        <f t="shared" ref="AI1409" si="221">+N1409-AH1409</f>
        <v>5000</v>
      </c>
      <c r="AJ1409" s="22">
        <f t="shared" ref="AJ1409" si="222">+AI1409*O1409</f>
        <v>27000000</v>
      </c>
    </row>
    <row r="1410" spans="1:37" s="165" customFormat="1" hidden="1">
      <c r="A1410" s="165" t="s">
        <v>321</v>
      </c>
      <c r="B1410" s="13">
        <v>43535</v>
      </c>
      <c r="C1410" s="13" t="s">
        <v>23</v>
      </c>
      <c r="D1410" s="165" t="s">
        <v>194</v>
      </c>
      <c r="E1410" s="13" t="s">
        <v>195</v>
      </c>
      <c r="F1410" s="165" t="str">
        <f t="shared" si="208"/>
        <v>ROBI_16.18_200_NL2018</v>
      </c>
      <c r="G1410" s="165" t="s">
        <v>61</v>
      </c>
      <c r="H1410" s="12"/>
      <c r="I1410" s="12">
        <v>16.18</v>
      </c>
      <c r="J1410" s="31" t="s">
        <v>121</v>
      </c>
      <c r="K1410" s="15" t="s">
        <v>28</v>
      </c>
      <c r="L1410" s="15"/>
      <c r="M1410" s="16">
        <f t="shared" si="209"/>
        <v>25</v>
      </c>
      <c r="N1410" s="15">
        <v>5000</v>
      </c>
      <c r="O1410" s="15">
        <v>4900</v>
      </c>
      <c r="P1410" s="15">
        <f t="shared" si="207"/>
        <v>24500000</v>
      </c>
      <c r="Q1410" s="15" t="str">
        <f t="shared" si="206"/>
        <v>Done</v>
      </c>
      <c r="R1410" s="18" t="s">
        <v>44</v>
      </c>
      <c r="S1410" s="23">
        <v>43539</v>
      </c>
      <c r="T1410" s="20">
        <f>IFERROR(VLOOKUP(S1410,'Date Converter'!$A$4:$C$368,3,0),"")</f>
        <v>43574</v>
      </c>
      <c r="U1410" s="21">
        <f t="shared" si="217"/>
        <v>43574</v>
      </c>
      <c r="V1410" s="12" t="s">
        <v>57</v>
      </c>
      <c r="W1410" s="18" t="s">
        <v>118</v>
      </c>
      <c r="X1410" s="18">
        <v>43569</v>
      </c>
      <c r="Y1410" s="12"/>
      <c r="Z1410" s="206">
        <v>43572</v>
      </c>
      <c r="AA1410" s="15">
        <v>5000</v>
      </c>
      <c r="AB1410" s="206"/>
      <c r="AC1410" s="12"/>
      <c r="AD1410" s="206"/>
      <c r="AE1410" s="12"/>
      <c r="AF1410" s="245"/>
      <c r="AG1410" s="12"/>
      <c r="AH1410" s="15">
        <f t="shared" si="210"/>
        <v>5000</v>
      </c>
      <c r="AI1410" s="22">
        <f t="shared" si="211"/>
        <v>0</v>
      </c>
      <c r="AJ1410" s="22">
        <f t="shared" si="212"/>
        <v>0</v>
      </c>
    </row>
    <row r="1411" spans="1:37" s="165" customFormat="1" hidden="1">
      <c r="A1411" s="165" t="s">
        <v>1457</v>
      </c>
      <c r="B1411" s="13">
        <v>43574</v>
      </c>
      <c r="C1411" s="13" t="s">
        <v>23</v>
      </c>
      <c r="D1411" s="258" t="s">
        <v>194</v>
      </c>
      <c r="E1411" s="119" t="s">
        <v>195</v>
      </c>
      <c r="F1411" s="165" t="str">
        <f t="shared" si="208"/>
        <v>PROF_18.20_150_CL2019</v>
      </c>
      <c r="G1411" s="188" t="s">
        <v>1382</v>
      </c>
      <c r="H1411" s="184"/>
      <c r="I1411" s="184" t="s">
        <v>27</v>
      </c>
      <c r="J1411" s="192" t="s">
        <v>126</v>
      </c>
      <c r="K1411" s="185" t="s">
        <v>1423</v>
      </c>
      <c r="L1411" s="185"/>
      <c r="M1411" s="187">
        <f t="shared" si="209"/>
        <v>34</v>
      </c>
      <c r="N1411" s="15">
        <v>5100</v>
      </c>
      <c r="O1411" s="15">
        <v>11500</v>
      </c>
      <c r="P1411" s="15">
        <f t="shared" si="207"/>
        <v>58650000</v>
      </c>
      <c r="Q1411" s="15" t="str">
        <f t="shared" ref="Q1411:Q1474" si="223">IF(AND(N1411=0,AI1411=0),"Canceled",IF(AND(N1411&gt;0,AI1411=0),"Done",""))</f>
        <v/>
      </c>
      <c r="R1411" s="18" t="s">
        <v>29</v>
      </c>
      <c r="S1411" s="23">
        <v>43709</v>
      </c>
      <c r="T1411" s="20">
        <f>IFERROR(VLOOKUP(S1411,'Date Converter'!$A$4:$C$368,3,0),"")</f>
        <v>43737</v>
      </c>
      <c r="U1411" s="21">
        <f t="shared" si="217"/>
        <v>43737</v>
      </c>
      <c r="V1411" s="12" t="s">
        <v>51</v>
      </c>
      <c r="W1411" s="18"/>
      <c r="X1411" s="18"/>
      <c r="Y1411" s="12"/>
      <c r="Z1411" s="206"/>
      <c r="AA1411" s="15"/>
      <c r="AB1411" s="206"/>
      <c r="AC1411" s="12"/>
      <c r="AD1411" s="206"/>
      <c r="AE1411" s="12"/>
      <c r="AF1411" s="245"/>
      <c r="AG1411" s="12"/>
      <c r="AH1411" s="15">
        <f t="shared" si="210"/>
        <v>0</v>
      </c>
      <c r="AI1411" s="22">
        <f t="shared" si="211"/>
        <v>5100</v>
      </c>
      <c r="AJ1411" s="22">
        <f t="shared" si="212"/>
        <v>58650000</v>
      </c>
    </row>
    <row r="1412" spans="1:37" s="165" customFormat="1" hidden="1">
      <c r="A1412" s="165" t="s">
        <v>321</v>
      </c>
      <c r="B1412" s="13">
        <v>43598</v>
      </c>
      <c r="C1412" s="13" t="s">
        <v>23</v>
      </c>
      <c r="D1412" s="165" t="s">
        <v>194</v>
      </c>
      <c r="E1412" s="119" t="s">
        <v>195</v>
      </c>
      <c r="F1412" s="165" t="str">
        <f t="shared" si="208"/>
        <v>PROF_14.16_300_NL2018</v>
      </c>
      <c r="G1412" s="13" t="s">
        <v>56</v>
      </c>
      <c r="H1412" s="12"/>
      <c r="I1412" s="12" t="s">
        <v>47</v>
      </c>
      <c r="J1412" s="31" t="s">
        <v>124</v>
      </c>
      <c r="K1412" s="15" t="s">
        <v>28</v>
      </c>
      <c r="L1412" s="15"/>
      <c r="M1412" s="16">
        <f t="shared" si="209"/>
        <v>30</v>
      </c>
      <c r="N1412" s="15">
        <f>15000-6050+50</f>
        <v>9000</v>
      </c>
      <c r="O1412" s="15">
        <v>5000</v>
      </c>
      <c r="P1412" s="15">
        <f t="shared" si="207"/>
        <v>45000000</v>
      </c>
      <c r="Q1412" s="15" t="str">
        <f t="shared" si="223"/>
        <v>Done</v>
      </c>
      <c r="R1412" s="18" t="s">
        <v>44</v>
      </c>
      <c r="S1412" s="23">
        <v>43590</v>
      </c>
      <c r="T1412" s="20">
        <f>IFERROR(VLOOKUP(S1412,'Date Converter'!$A$4:$C$368,3,0),"")</f>
        <v>43623</v>
      </c>
      <c r="U1412" s="21">
        <f t="shared" si="217"/>
        <v>43623</v>
      </c>
      <c r="V1412" s="12"/>
      <c r="W1412" s="18"/>
      <c r="X1412" s="18"/>
      <c r="Y1412" s="12"/>
      <c r="Z1412" s="206">
        <v>43633</v>
      </c>
      <c r="AA1412" s="15">
        <v>6000</v>
      </c>
      <c r="AB1412" s="206">
        <v>43640</v>
      </c>
      <c r="AC1412" s="12" t="s">
        <v>1674</v>
      </c>
      <c r="AD1412" s="206"/>
      <c r="AE1412" s="12"/>
      <c r="AF1412" s="245"/>
      <c r="AG1412" s="12"/>
      <c r="AH1412" s="15">
        <f t="shared" si="210"/>
        <v>9000</v>
      </c>
      <c r="AI1412" s="22">
        <f t="shared" si="211"/>
        <v>0</v>
      </c>
      <c r="AJ1412" s="22">
        <f t="shared" si="212"/>
        <v>0</v>
      </c>
    </row>
    <row r="1413" spans="1:37" s="165" customFormat="1" hidden="1">
      <c r="A1413" s="165" t="s">
        <v>321</v>
      </c>
      <c r="B1413" s="13">
        <v>43598</v>
      </c>
      <c r="C1413" s="13" t="s">
        <v>23</v>
      </c>
      <c r="D1413" s="165" t="s">
        <v>194</v>
      </c>
      <c r="E1413" s="119" t="s">
        <v>195</v>
      </c>
      <c r="F1413" s="165" t="str">
        <f t="shared" si="208"/>
        <v>PROF_14.16_275_NL2018</v>
      </c>
      <c r="G1413" s="13" t="s">
        <v>56</v>
      </c>
      <c r="H1413" s="12"/>
      <c r="I1413" s="12" t="s">
        <v>47</v>
      </c>
      <c r="J1413" s="31" t="s">
        <v>1427</v>
      </c>
      <c r="K1413" s="15" t="s">
        <v>28</v>
      </c>
      <c r="L1413" s="15"/>
      <c r="M1413" s="16">
        <f t="shared" si="209"/>
        <v>22</v>
      </c>
      <c r="N1413" s="15">
        <v>6050</v>
      </c>
      <c r="O1413" s="15">
        <v>5000</v>
      </c>
      <c r="P1413" s="15">
        <f t="shared" si="207"/>
        <v>30250000</v>
      </c>
      <c r="Q1413" s="15" t="str">
        <f t="shared" si="223"/>
        <v>Done</v>
      </c>
      <c r="R1413" s="18" t="s">
        <v>44</v>
      </c>
      <c r="S1413" s="23">
        <v>43590</v>
      </c>
      <c r="T1413" s="20">
        <f>IFERROR(VLOOKUP(S1413,'Date Converter'!$A$4:$C$368,3,0),"")</f>
        <v>43623</v>
      </c>
      <c r="U1413" s="21">
        <f t="shared" si="217"/>
        <v>43623</v>
      </c>
      <c r="V1413" s="12"/>
      <c r="W1413" s="18"/>
      <c r="X1413" s="18"/>
      <c r="Y1413" s="12"/>
      <c r="Z1413" s="206">
        <v>43640</v>
      </c>
      <c r="AA1413" s="15">
        <v>6050</v>
      </c>
      <c r="AB1413" s="206"/>
      <c r="AC1413" s="12"/>
      <c r="AD1413" s="206"/>
      <c r="AE1413" s="12"/>
      <c r="AF1413" s="245"/>
      <c r="AG1413" s="12"/>
      <c r="AH1413" s="15">
        <f t="shared" si="210"/>
        <v>6050</v>
      </c>
      <c r="AI1413" s="22">
        <f t="shared" si="211"/>
        <v>0</v>
      </c>
      <c r="AJ1413" s="22">
        <f t="shared" si="212"/>
        <v>0</v>
      </c>
    </row>
    <row r="1414" spans="1:37" s="165" customFormat="1" hidden="1">
      <c r="A1414" s="165" t="s">
        <v>321</v>
      </c>
      <c r="B1414" s="13">
        <v>43535</v>
      </c>
      <c r="C1414" s="13" t="s">
        <v>23</v>
      </c>
      <c r="D1414" s="165" t="s">
        <v>194</v>
      </c>
      <c r="E1414" s="119" t="s">
        <v>195</v>
      </c>
      <c r="F1414" s="165" t="str">
        <f t="shared" si="208"/>
        <v>LAKE_16.18_200_NL2018</v>
      </c>
      <c r="G1414" s="13" t="s">
        <v>50</v>
      </c>
      <c r="H1414" s="12"/>
      <c r="I1414" s="12">
        <v>16.18</v>
      </c>
      <c r="J1414" s="31" t="s">
        <v>121</v>
      </c>
      <c r="K1414" s="15" t="s">
        <v>28</v>
      </c>
      <c r="L1414" s="15"/>
      <c r="M1414" s="16">
        <f t="shared" si="209"/>
        <v>100</v>
      </c>
      <c r="N1414" s="15">
        <v>20000</v>
      </c>
      <c r="O1414" s="15">
        <v>5600</v>
      </c>
      <c r="P1414" s="15">
        <f t="shared" si="207"/>
        <v>112000000</v>
      </c>
      <c r="Q1414" s="15" t="str">
        <f t="shared" si="223"/>
        <v>Done</v>
      </c>
      <c r="R1414" s="18" t="s">
        <v>44</v>
      </c>
      <c r="S1414" s="23">
        <v>43572</v>
      </c>
      <c r="T1414" s="20">
        <f>IFERROR(VLOOKUP(S1414,'Date Converter'!$A$4:$C$368,3,0),"")</f>
        <v>43606</v>
      </c>
      <c r="U1414" s="21">
        <f t="shared" si="217"/>
        <v>43606</v>
      </c>
      <c r="V1414" s="12" t="s">
        <v>87</v>
      </c>
      <c r="W1414" s="18"/>
      <c r="X1414" s="18"/>
      <c r="Y1414" s="12"/>
      <c r="Z1414" s="206">
        <v>43612</v>
      </c>
      <c r="AA1414" s="15">
        <v>5000</v>
      </c>
      <c r="AB1414" s="206">
        <v>43620</v>
      </c>
      <c r="AC1414" s="12" t="s">
        <v>1674</v>
      </c>
      <c r="AD1414" s="206">
        <v>43626</v>
      </c>
      <c r="AE1414" s="12" t="s">
        <v>1867</v>
      </c>
      <c r="AF1414" s="245"/>
      <c r="AG1414" s="12"/>
      <c r="AH1414" s="15">
        <f t="shared" si="210"/>
        <v>20000</v>
      </c>
      <c r="AI1414" s="22">
        <f t="shared" si="211"/>
        <v>0</v>
      </c>
      <c r="AJ1414" s="22">
        <f t="shared" si="212"/>
        <v>0</v>
      </c>
    </row>
    <row r="1415" spans="1:37" s="165" customFormat="1" hidden="1">
      <c r="A1415" s="165" t="s">
        <v>1457</v>
      </c>
      <c r="B1415" s="13">
        <v>43574</v>
      </c>
      <c r="C1415" s="13" t="s">
        <v>23</v>
      </c>
      <c r="D1415" s="258" t="s">
        <v>194</v>
      </c>
      <c r="E1415" s="119" t="s">
        <v>195</v>
      </c>
      <c r="F1415" s="165" t="str">
        <f t="shared" si="208"/>
        <v>CONC_18.20_150_NZ2019</v>
      </c>
      <c r="G1415" s="13" t="s">
        <v>1509</v>
      </c>
      <c r="H1415" s="12"/>
      <c r="I1415" s="12" t="s">
        <v>27</v>
      </c>
      <c r="J1415" s="31" t="s">
        <v>126</v>
      </c>
      <c r="K1415" s="15" t="s">
        <v>1507</v>
      </c>
      <c r="L1415" s="15"/>
      <c r="M1415" s="16">
        <f t="shared" si="209"/>
        <v>54</v>
      </c>
      <c r="N1415" s="15">
        <v>8100</v>
      </c>
      <c r="O1415" s="15">
        <v>9600</v>
      </c>
      <c r="P1415" s="15">
        <f t="shared" si="207"/>
        <v>77760000</v>
      </c>
      <c r="Q1415" s="15" t="str">
        <f t="shared" si="223"/>
        <v/>
      </c>
      <c r="R1415" s="18" t="s">
        <v>29</v>
      </c>
      <c r="S1415" s="23">
        <v>43709</v>
      </c>
      <c r="T1415" s="20">
        <f>IFERROR(VLOOKUP(S1415,'Date Converter'!$A$4:$C$368,3,0),"")</f>
        <v>43737</v>
      </c>
      <c r="U1415" s="21">
        <f t="shared" si="217"/>
        <v>43737</v>
      </c>
      <c r="V1415" s="12" t="s">
        <v>51</v>
      </c>
      <c r="W1415" s="18"/>
      <c r="X1415" s="18"/>
      <c r="Y1415" s="12"/>
      <c r="Z1415" s="206"/>
      <c r="AA1415" s="15"/>
      <c r="AB1415" s="206"/>
      <c r="AC1415" s="12"/>
      <c r="AD1415" s="206"/>
      <c r="AE1415" s="12"/>
      <c r="AF1415" s="245"/>
      <c r="AG1415" s="12"/>
      <c r="AH1415" s="15">
        <f t="shared" si="210"/>
        <v>0</v>
      </c>
      <c r="AI1415" s="22">
        <f t="shared" si="211"/>
        <v>8100</v>
      </c>
      <c r="AJ1415" s="22">
        <f t="shared" si="212"/>
        <v>77760000</v>
      </c>
    </row>
    <row r="1416" spans="1:37" s="165" customFormat="1" hidden="1">
      <c r="A1416" s="165" t="s">
        <v>321</v>
      </c>
      <c r="B1416" s="13">
        <v>43535</v>
      </c>
      <c r="C1416" s="13" t="s">
        <v>23</v>
      </c>
      <c r="D1416" s="165" t="s">
        <v>194</v>
      </c>
      <c r="E1416" s="119" t="s">
        <v>195</v>
      </c>
      <c r="F1416" s="198" t="str">
        <f t="shared" si="208"/>
        <v>CARB_16.18_200_NL2018</v>
      </c>
      <c r="G1416" s="13" t="s">
        <v>34</v>
      </c>
      <c r="H1416" s="12"/>
      <c r="I1416" s="12">
        <v>16.18</v>
      </c>
      <c r="J1416" s="31" t="s">
        <v>121</v>
      </c>
      <c r="K1416" s="15" t="s">
        <v>28</v>
      </c>
      <c r="L1416" s="15"/>
      <c r="M1416" s="16">
        <f t="shared" si="209"/>
        <v>50</v>
      </c>
      <c r="N1416" s="15">
        <v>10000</v>
      </c>
      <c r="O1416" s="15">
        <v>6000</v>
      </c>
      <c r="P1416" s="15">
        <f t="shared" si="207"/>
        <v>60000000</v>
      </c>
      <c r="Q1416" s="15" t="str">
        <f t="shared" si="223"/>
        <v>Done</v>
      </c>
      <c r="R1416" s="18" t="s">
        <v>44</v>
      </c>
      <c r="S1416" s="23">
        <v>43572</v>
      </c>
      <c r="T1416" s="20">
        <f>IFERROR(VLOOKUP(S1416,'Date Converter'!$A$4:$C$368,3,0),"")</f>
        <v>43606</v>
      </c>
      <c r="U1416" s="21">
        <f t="shared" si="217"/>
        <v>43606</v>
      </c>
      <c r="V1416" s="12" t="s">
        <v>36</v>
      </c>
      <c r="W1416" s="18"/>
      <c r="X1416" s="18"/>
      <c r="Y1416" s="12"/>
      <c r="Z1416" s="206">
        <v>43612</v>
      </c>
      <c r="AA1416" s="15">
        <v>10000</v>
      </c>
      <c r="AB1416" s="206"/>
      <c r="AC1416" s="12"/>
      <c r="AD1416" s="206"/>
      <c r="AE1416" s="12"/>
      <c r="AF1416" s="245"/>
      <c r="AG1416" s="12"/>
      <c r="AH1416" s="15">
        <f t="shared" si="210"/>
        <v>10000</v>
      </c>
      <c r="AI1416" s="22">
        <f t="shared" si="211"/>
        <v>0</v>
      </c>
      <c r="AJ1416" s="22">
        <f t="shared" si="212"/>
        <v>0</v>
      </c>
    </row>
    <row r="1417" spans="1:37" s="165" customFormat="1" hidden="1">
      <c r="A1417" s="165" t="s">
        <v>321</v>
      </c>
      <c r="B1417" s="13">
        <v>43573</v>
      </c>
      <c r="C1417" s="13" t="s">
        <v>23</v>
      </c>
      <c r="D1417" s="165" t="s">
        <v>194</v>
      </c>
      <c r="E1417" s="13" t="s">
        <v>195</v>
      </c>
      <c r="F1417" s="165" t="str">
        <f t="shared" si="208"/>
        <v>BACA_15.16_250_NL2018</v>
      </c>
      <c r="G1417" s="13" t="s">
        <v>67</v>
      </c>
      <c r="H1417" s="12"/>
      <c r="I1417" s="12" t="s">
        <v>77</v>
      </c>
      <c r="J1417" s="31" t="s">
        <v>1434</v>
      </c>
      <c r="K1417" s="15" t="s">
        <v>28</v>
      </c>
      <c r="L1417" s="15"/>
      <c r="M1417" s="16">
        <f t="shared" si="209"/>
        <v>48</v>
      </c>
      <c r="N1417" s="15">
        <v>12000</v>
      </c>
      <c r="O1417" s="15">
        <v>4500</v>
      </c>
      <c r="P1417" s="15">
        <f t="shared" si="207"/>
        <v>54000000</v>
      </c>
      <c r="Q1417" s="15" t="str">
        <f t="shared" si="223"/>
        <v>Done</v>
      </c>
      <c r="R1417" s="18" t="s">
        <v>44</v>
      </c>
      <c r="S1417" s="23">
        <v>43539</v>
      </c>
      <c r="T1417" s="20">
        <f>IFERROR(VLOOKUP(S1417,'Date Converter'!$A$4:$C$368,3,0),"")</f>
        <v>43574</v>
      </c>
      <c r="U1417" s="21">
        <f t="shared" si="217"/>
        <v>43574</v>
      </c>
      <c r="V1417" s="12" t="s">
        <v>57</v>
      </c>
      <c r="W1417" s="18"/>
      <c r="X1417" s="18"/>
      <c r="Y1417" s="12"/>
      <c r="Z1417" s="206">
        <v>43579</v>
      </c>
      <c r="AA1417" s="15">
        <v>12000</v>
      </c>
      <c r="AB1417" s="206"/>
      <c r="AC1417" s="12"/>
      <c r="AD1417" s="206"/>
      <c r="AE1417" s="12"/>
      <c r="AF1417" s="245"/>
      <c r="AG1417" s="12"/>
      <c r="AH1417" s="15">
        <f t="shared" si="210"/>
        <v>12000</v>
      </c>
      <c r="AI1417" s="22">
        <f t="shared" si="211"/>
        <v>0</v>
      </c>
      <c r="AJ1417" s="22">
        <f t="shared" si="212"/>
        <v>0</v>
      </c>
    </row>
    <row r="1418" spans="1:37" s="165" customFormat="1" hidden="1">
      <c r="A1418" s="165" t="s">
        <v>321</v>
      </c>
      <c r="B1418" s="13">
        <v>43630</v>
      </c>
      <c r="C1418" s="13" t="s">
        <v>23</v>
      </c>
      <c r="D1418" s="165" t="s">
        <v>194</v>
      </c>
      <c r="E1418" s="119" t="s">
        <v>195</v>
      </c>
      <c r="F1418" s="165" t="str">
        <f t="shared" si="208"/>
        <v>ARVA_16.18_200_NL2018</v>
      </c>
      <c r="G1418" s="188" t="s">
        <v>85</v>
      </c>
      <c r="H1418" s="184"/>
      <c r="I1418" s="12">
        <v>16.18</v>
      </c>
      <c r="J1418" s="31" t="s">
        <v>121</v>
      </c>
      <c r="K1418" s="15" t="s">
        <v>28</v>
      </c>
      <c r="L1418" s="185"/>
      <c r="M1418" s="187">
        <f t="shared" si="209"/>
        <v>20</v>
      </c>
      <c r="N1418" s="15">
        <f>8000-4000</f>
        <v>4000</v>
      </c>
      <c r="O1418" s="15">
        <v>5400</v>
      </c>
      <c r="P1418" s="15">
        <f t="shared" si="207"/>
        <v>21600000</v>
      </c>
      <c r="Q1418" s="15" t="str">
        <f t="shared" si="223"/>
        <v>Done</v>
      </c>
      <c r="R1418" s="18" t="s">
        <v>44</v>
      </c>
      <c r="S1418" s="23">
        <v>43605</v>
      </c>
      <c r="T1418" s="20">
        <f>IFERROR(VLOOKUP(S1418,'Date Converter'!$A$4:$C$368,3,0),"")</f>
        <v>43638</v>
      </c>
      <c r="U1418" s="21">
        <f t="shared" si="217"/>
        <v>43638</v>
      </c>
      <c r="V1418" s="12"/>
      <c r="W1418" s="18"/>
      <c r="X1418" s="18"/>
      <c r="Y1418" s="12"/>
      <c r="Z1418" s="206">
        <v>43640</v>
      </c>
      <c r="AA1418" s="15">
        <v>4000</v>
      </c>
      <c r="AB1418" s="206"/>
      <c r="AC1418" s="12"/>
      <c r="AD1418" s="206"/>
      <c r="AE1418" s="12"/>
      <c r="AF1418" s="245"/>
      <c r="AG1418" s="12"/>
      <c r="AH1418" s="15">
        <f t="shared" si="210"/>
        <v>4000</v>
      </c>
      <c r="AI1418" s="22">
        <f t="shared" si="211"/>
        <v>0</v>
      </c>
      <c r="AJ1418" s="22">
        <f t="shared" si="212"/>
        <v>0</v>
      </c>
    </row>
    <row r="1419" spans="1:37" s="165" customFormat="1" hidden="1">
      <c r="A1419" s="165" t="s">
        <v>1747</v>
      </c>
      <c r="B1419" s="13">
        <v>43606</v>
      </c>
      <c r="C1419" s="13" t="s">
        <v>1622</v>
      </c>
      <c r="D1419" s="165" t="s">
        <v>1187</v>
      </c>
      <c r="E1419" s="183" t="s">
        <v>1188</v>
      </c>
      <c r="F1419" s="183" t="str">
        <f t="shared" si="208"/>
        <v>YELL_14.16_300_NL2018</v>
      </c>
      <c r="G1419" s="183" t="s">
        <v>89</v>
      </c>
      <c r="H1419" s="184"/>
      <c r="I1419" s="184" t="s">
        <v>47</v>
      </c>
      <c r="J1419" s="186">
        <v>300</v>
      </c>
      <c r="K1419" s="185" t="s">
        <v>28</v>
      </c>
      <c r="L1419" s="185"/>
      <c r="M1419" s="187">
        <f t="shared" si="209"/>
        <v>10</v>
      </c>
      <c r="N1419" s="185">
        <v>3000</v>
      </c>
      <c r="O1419" s="185">
        <v>3900</v>
      </c>
      <c r="P1419" s="185">
        <f t="shared" si="207"/>
        <v>11700000</v>
      </c>
      <c r="Q1419" s="15" t="str">
        <f t="shared" si="223"/>
        <v/>
      </c>
      <c r="R1419" s="189" t="s">
        <v>63</v>
      </c>
      <c r="S1419" s="117">
        <v>43603</v>
      </c>
      <c r="T1419" s="20">
        <f>IFERROR(VLOOKUP(S1419,'Date Converter'!$A$4:$C$368,3,0),"")</f>
        <v>43636</v>
      </c>
      <c r="U1419" s="21">
        <f t="shared" si="217"/>
        <v>43636</v>
      </c>
      <c r="V1419" s="12"/>
      <c r="W1419" s="18"/>
      <c r="X1419" s="18"/>
      <c r="Y1419" s="18"/>
      <c r="Z1419" s="210"/>
      <c r="AA1419" s="15"/>
      <c r="AB1419" s="210"/>
      <c r="AC1419" s="15"/>
      <c r="AD1419" s="15"/>
      <c r="AE1419" s="15"/>
      <c r="AF1419" s="244"/>
      <c r="AG1419" s="15"/>
      <c r="AH1419" s="15">
        <f t="shared" si="210"/>
        <v>0</v>
      </c>
      <c r="AI1419" s="22">
        <f t="shared" si="211"/>
        <v>3000</v>
      </c>
      <c r="AJ1419" s="22">
        <f t="shared" si="212"/>
        <v>11700000</v>
      </c>
      <c r="AK1419" s="13"/>
    </row>
    <row r="1420" spans="1:37" s="165" customFormat="1" hidden="1">
      <c r="A1420" s="165" t="s">
        <v>1747</v>
      </c>
      <c r="B1420" s="13">
        <v>43606</v>
      </c>
      <c r="C1420" s="13" t="s">
        <v>1622</v>
      </c>
      <c r="D1420" s="165" t="s">
        <v>1187</v>
      </c>
      <c r="E1420" s="165" t="s">
        <v>1188</v>
      </c>
      <c r="F1420" s="165" t="str">
        <f t="shared" si="208"/>
        <v>YELL_14.16_300_NL2018</v>
      </c>
      <c r="G1420" s="165" t="s">
        <v>89</v>
      </c>
      <c r="H1420" s="12"/>
      <c r="I1420" s="12" t="s">
        <v>47</v>
      </c>
      <c r="J1420" s="14">
        <v>300</v>
      </c>
      <c r="K1420" s="15" t="s">
        <v>28</v>
      </c>
      <c r="L1420" s="15"/>
      <c r="M1420" s="16">
        <f t="shared" si="209"/>
        <v>7</v>
      </c>
      <c r="N1420" s="15">
        <v>2100</v>
      </c>
      <c r="O1420" s="15">
        <v>3900</v>
      </c>
      <c r="P1420" s="15">
        <f t="shared" si="207"/>
        <v>8190000</v>
      </c>
      <c r="Q1420" s="15" t="str">
        <f t="shared" si="223"/>
        <v/>
      </c>
      <c r="R1420" s="18" t="s">
        <v>31</v>
      </c>
      <c r="S1420" s="117">
        <v>43631</v>
      </c>
      <c r="T1420" s="20">
        <f>IFERROR(VLOOKUP(S1420,'Date Converter'!$A$4:$C$368,3,0),"")</f>
        <v>43663</v>
      </c>
      <c r="U1420" s="21">
        <f t="shared" si="217"/>
        <v>43663</v>
      </c>
      <c r="V1420" s="12"/>
      <c r="W1420" s="18"/>
      <c r="X1420" s="18"/>
      <c r="Y1420" s="18"/>
      <c r="Z1420" s="210"/>
      <c r="AA1420" s="15"/>
      <c r="AB1420" s="210"/>
      <c r="AC1420" s="15"/>
      <c r="AD1420" s="15"/>
      <c r="AE1420" s="15"/>
      <c r="AF1420" s="244"/>
      <c r="AG1420" s="15"/>
      <c r="AH1420" s="15">
        <f t="shared" si="210"/>
        <v>0</v>
      </c>
      <c r="AI1420" s="22">
        <f t="shared" si="211"/>
        <v>2100</v>
      </c>
      <c r="AJ1420" s="22">
        <f t="shared" si="212"/>
        <v>8190000</v>
      </c>
      <c r="AK1420" s="13"/>
    </row>
    <row r="1421" spans="1:37" s="165" customFormat="1" hidden="1">
      <c r="A1421" s="165" t="s">
        <v>1747</v>
      </c>
      <c r="B1421" s="13">
        <v>43606</v>
      </c>
      <c r="C1421" s="13" t="s">
        <v>1622</v>
      </c>
      <c r="D1421" s="165" t="s">
        <v>1187</v>
      </c>
      <c r="E1421" s="165" t="s">
        <v>1188</v>
      </c>
      <c r="F1421" s="165" t="str">
        <f t="shared" si="208"/>
        <v>YELL_14.16_300_NL2018</v>
      </c>
      <c r="G1421" s="165" t="s">
        <v>89</v>
      </c>
      <c r="H1421" s="12"/>
      <c r="I1421" s="12" t="s">
        <v>47</v>
      </c>
      <c r="J1421" s="14">
        <v>300</v>
      </c>
      <c r="K1421" s="15" t="s">
        <v>28</v>
      </c>
      <c r="L1421" s="15"/>
      <c r="M1421" s="16">
        <f t="shared" si="209"/>
        <v>7</v>
      </c>
      <c r="N1421" s="15">
        <v>2100</v>
      </c>
      <c r="O1421" s="15">
        <v>4000</v>
      </c>
      <c r="P1421" s="15">
        <f t="shared" si="207"/>
        <v>8400000</v>
      </c>
      <c r="Q1421" s="15" t="str">
        <f t="shared" si="223"/>
        <v/>
      </c>
      <c r="R1421" s="18" t="s">
        <v>29</v>
      </c>
      <c r="S1421" s="117">
        <v>43647</v>
      </c>
      <c r="T1421" s="20">
        <f>IFERROR(VLOOKUP(S1421,'Date Converter'!$A$4:$C$368,3,0),"")</f>
        <v>43678</v>
      </c>
      <c r="U1421" s="21">
        <f t="shared" si="217"/>
        <v>43678</v>
      </c>
      <c r="V1421" s="12"/>
      <c r="W1421" s="18"/>
      <c r="X1421" s="18"/>
      <c r="Y1421" s="18"/>
      <c r="Z1421" s="210"/>
      <c r="AA1421" s="15"/>
      <c r="AB1421" s="210"/>
      <c r="AC1421" s="15"/>
      <c r="AD1421" s="15"/>
      <c r="AE1421" s="15"/>
      <c r="AF1421" s="244"/>
      <c r="AG1421" s="15"/>
      <c r="AH1421" s="15">
        <f t="shared" si="210"/>
        <v>0</v>
      </c>
      <c r="AI1421" s="22">
        <f t="shared" si="211"/>
        <v>2100</v>
      </c>
      <c r="AJ1421" s="22">
        <f t="shared" si="212"/>
        <v>8400000</v>
      </c>
      <c r="AK1421" s="13"/>
    </row>
    <row r="1422" spans="1:37" s="165" customFormat="1" hidden="1">
      <c r="A1422" s="165" t="s">
        <v>1747</v>
      </c>
      <c r="B1422" s="13">
        <v>43606</v>
      </c>
      <c r="C1422" s="13" t="s">
        <v>1622</v>
      </c>
      <c r="D1422" s="165" t="s">
        <v>1187</v>
      </c>
      <c r="E1422" s="165" t="s">
        <v>1188</v>
      </c>
      <c r="F1422" s="165" t="str">
        <f t="shared" si="208"/>
        <v>YELL_14.16_300_NL2018</v>
      </c>
      <c r="G1422" s="165" t="s">
        <v>89</v>
      </c>
      <c r="H1422" s="12"/>
      <c r="I1422" s="12" t="s">
        <v>47</v>
      </c>
      <c r="J1422" s="14">
        <v>300</v>
      </c>
      <c r="K1422" s="15" t="s">
        <v>28</v>
      </c>
      <c r="L1422" s="15"/>
      <c r="M1422" s="16">
        <f t="shared" si="209"/>
        <v>7</v>
      </c>
      <c r="N1422" s="15">
        <v>2100</v>
      </c>
      <c r="O1422" s="15">
        <v>4000</v>
      </c>
      <c r="P1422" s="15">
        <f t="shared" si="207"/>
        <v>8400000</v>
      </c>
      <c r="Q1422" s="15" t="str">
        <f t="shared" si="223"/>
        <v/>
      </c>
      <c r="R1422" s="18" t="s">
        <v>29</v>
      </c>
      <c r="S1422" s="117">
        <v>43666</v>
      </c>
      <c r="T1422" s="20">
        <f>IFERROR(VLOOKUP(S1422,'Date Converter'!$A$4:$C$368,3,0),"")</f>
        <v>43697</v>
      </c>
      <c r="U1422" s="21">
        <f t="shared" si="217"/>
        <v>43697</v>
      </c>
      <c r="V1422" s="12"/>
      <c r="W1422" s="18"/>
      <c r="X1422" s="18"/>
      <c r="Y1422" s="18"/>
      <c r="Z1422" s="210"/>
      <c r="AA1422" s="15"/>
      <c r="AB1422" s="210"/>
      <c r="AC1422" s="15"/>
      <c r="AD1422" s="15"/>
      <c r="AE1422" s="15"/>
      <c r="AF1422" s="244"/>
      <c r="AG1422" s="15"/>
      <c r="AH1422" s="15">
        <f t="shared" si="210"/>
        <v>0</v>
      </c>
      <c r="AI1422" s="22">
        <f t="shared" si="211"/>
        <v>2100</v>
      </c>
      <c r="AJ1422" s="22">
        <f t="shared" si="212"/>
        <v>8400000</v>
      </c>
      <c r="AK1422" s="13"/>
    </row>
    <row r="1423" spans="1:37" s="165" customFormat="1" hidden="1">
      <c r="A1423" s="165" t="s">
        <v>1747</v>
      </c>
      <c r="B1423" s="13">
        <v>43606</v>
      </c>
      <c r="C1423" s="13" t="s">
        <v>1622</v>
      </c>
      <c r="D1423" s="165" t="s">
        <v>1187</v>
      </c>
      <c r="E1423" s="165" t="s">
        <v>1188</v>
      </c>
      <c r="F1423" s="165" t="str">
        <f t="shared" si="208"/>
        <v>YELL_14.16_300_NL2018</v>
      </c>
      <c r="G1423" s="165" t="s">
        <v>89</v>
      </c>
      <c r="H1423" s="12"/>
      <c r="I1423" s="12" t="s">
        <v>47</v>
      </c>
      <c r="J1423" s="14">
        <v>300</v>
      </c>
      <c r="K1423" s="15" t="s">
        <v>28</v>
      </c>
      <c r="L1423" s="15"/>
      <c r="M1423" s="16">
        <f t="shared" si="209"/>
        <v>7</v>
      </c>
      <c r="N1423" s="15">
        <v>2100</v>
      </c>
      <c r="O1423" s="15">
        <v>4100</v>
      </c>
      <c r="P1423" s="15">
        <f t="shared" si="207"/>
        <v>8610000</v>
      </c>
      <c r="Q1423" s="15" t="str">
        <f t="shared" si="223"/>
        <v/>
      </c>
      <c r="R1423" s="18" t="s">
        <v>29</v>
      </c>
      <c r="S1423" s="117">
        <v>43678</v>
      </c>
      <c r="T1423" s="20">
        <f>IFERROR(VLOOKUP(S1423,'Date Converter'!$A$4:$C$368,3,0),"")</f>
        <v>43707</v>
      </c>
      <c r="U1423" s="21">
        <f t="shared" si="217"/>
        <v>43707</v>
      </c>
      <c r="V1423" s="12"/>
      <c r="W1423" s="18"/>
      <c r="X1423" s="18"/>
      <c r="Y1423" s="18"/>
      <c r="Z1423" s="210"/>
      <c r="AA1423" s="15"/>
      <c r="AB1423" s="210"/>
      <c r="AC1423" s="15"/>
      <c r="AD1423" s="15"/>
      <c r="AE1423" s="15"/>
      <c r="AF1423" s="244"/>
      <c r="AG1423" s="15"/>
      <c r="AH1423" s="15">
        <f t="shared" si="210"/>
        <v>0</v>
      </c>
      <c r="AI1423" s="22">
        <f t="shared" si="211"/>
        <v>2100</v>
      </c>
      <c r="AJ1423" s="22">
        <f t="shared" si="212"/>
        <v>8610000</v>
      </c>
      <c r="AK1423" s="13"/>
    </row>
    <row r="1424" spans="1:37" s="165" customFormat="1" hidden="1">
      <c r="A1424" s="165" t="s">
        <v>1746</v>
      </c>
      <c r="B1424" s="13">
        <v>43517</v>
      </c>
      <c r="C1424" s="13" t="s">
        <v>1622</v>
      </c>
      <c r="D1424" s="165" t="s">
        <v>1187</v>
      </c>
      <c r="E1424" s="165" t="s">
        <v>1188</v>
      </c>
      <c r="F1424" s="165" t="str">
        <f t="shared" si="208"/>
        <v>TEBA_14.16_300_NL2018</v>
      </c>
      <c r="G1424" s="165" t="s">
        <v>127</v>
      </c>
      <c r="H1424" s="12"/>
      <c r="I1424" s="12" t="s">
        <v>47</v>
      </c>
      <c r="J1424" s="14">
        <v>300</v>
      </c>
      <c r="K1424" s="15" t="s">
        <v>28</v>
      </c>
      <c r="L1424" s="15"/>
      <c r="M1424" s="16">
        <f t="shared" si="209"/>
        <v>0</v>
      </c>
      <c r="N1424" s="15">
        <f>2100-2100</f>
        <v>0</v>
      </c>
      <c r="O1424" s="15">
        <f>4100+60</f>
        <v>4160</v>
      </c>
      <c r="P1424" s="15">
        <f t="shared" si="207"/>
        <v>0</v>
      </c>
      <c r="Q1424" s="15" t="str">
        <f t="shared" si="223"/>
        <v>Canceled</v>
      </c>
      <c r="R1424" s="18" t="s">
        <v>71</v>
      </c>
      <c r="S1424" s="117">
        <v>43572</v>
      </c>
      <c r="T1424" s="20">
        <f>IFERROR(VLOOKUP(S1424,'Date Converter'!$A$4:$C$368,3,0),"")</f>
        <v>43606</v>
      </c>
      <c r="U1424" s="21">
        <f t="shared" si="217"/>
        <v>43606</v>
      </c>
      <c r="V1424" s="12" t="s">
        <v>57</v>
      </c>
      <c r="W1424" s="18" t="s">
        <v>143</v>
      </c>
      <c r="X1424" s="18"/>
      <c r="Y1424" s="18"/>
      <c r="Z1424" s="210"/>
      <c r="AA1424" s="15">
        <v>0</v>
      </c>
      <c r="AB1424" s="210"/>
      <c r="AC1424" s="15"/>
      <c r="AD1424" s="15"/>
      <c r="AE1424" s="15"/>
      <c r="AF1424" s="244"/>
      <c r="AG1424" s="15"/>
      <c r="AH1424" s="15">
        <f t="shared" si="210"/>
        <v>0</v>
      </c>
      <c r="AI1424" s="22">
        <f t="shared" si="211"/>
        <v>0</v>
      </c>
      <c r="AJ1424" s="22">
        <f t="shared" si="212"/>
        <v>0</v>
      </c>
      <c r="AK1424" s="13">
        <v>43874</v>
      </c>
    </row>
    <row r="1425" spans="1:37" s="165" customFormat="1" hidden="1">
      <c r="A1425" s="165" t="s">
        <v>1746</v>
      </c>
      <c r="B1425" s="13">
        <v>43626</v>
      </c>
      <c r="C1425" s="13" t="s">
        <v>1622</v>
      </c>
      <c r="D1425" s="165" t="s">
        <v>1187</v>
      </c>
      <c r="E1425" s="183" t="s">
        <v>1188</v>
      </c>
      <c r="F1425" s="183" t="str">
        <f t="shared" si="208"/>
        <v>TEBA_14.16_300_NL2018</v>
      </c>
      <c r="G1425" s="183" t="s">
        <v>127</v>
      </c>
      <c r="H1425" s="184"/>
      <c r="I1425" s="184" t="s">
        <v>47</v>
      </c>
      <c r="J1425" s="186">
        <v>300</v>
      </c>
      <c r="K1425" s="185" t="s">
        <v>28</v>
      </c>
      <c r="L1425" s="185"/>
      <c r="M1425" s="187">
        <f t="shared" si="209"/>
        <v>7</v>
      </c>
      <c r="N1425" s="185">
        <v>2100</v>
      </c>
      <c r="O1425" s="185">
        <v>4300</v>
      </c>
      <c r="P1425" s="185">
        <f t="shared" si="207"/>
        <v>9030000</v>
      </c>
      <c r="Q1425" s="15" t="str">
        <f t="shared" si="223"/>
        <v>Done</v>
      </c>
      <c r="R1425" s="189" t="s">
        <v>44</v>
      </c>
      <c r="S1425" s="117">
        <v>43590</v>
      </c>
      <c r="T1425" s="20">
        <f>IFERROR(VLOOKUP(S1425,'Date Converter'!$A$4:$C$368,3,0),"")</f>
        <v>43623</v>
      </c>
      <c r="U1425" s="21">
        <f t="shared" si="217"/>
        <v>43623</v>
      </c>
      <c r="V1425" s="12"/>
      <c r="W1425" s="18"/>
      <c r="X1425" s="18"/>
      <c r="Y1425" s="18"/>
      <c r="Z1425" s="210">
        <v>43627</v>
      </c>
      <c r="AA1425" s="15">
        <v>2100</v>
      </c>
      <c r="AB1425" s="210"/>
      <c r="AC1425" s="15"/>
      <c r="AD1425" s="15"/>
      <c r="AE1425" s="15"/>
      <c r="AF1425" s="244"/>
      <c r="AG1425" s="15"/>
      <c r="AH1425" s="15">
        <f t="shared" si="210"/>
        <v>2100</v>
      </c>
      <c r="AI1425" s="22">
        <f t="shared" si="211"/>
        <v>0</v>
      </c>
      <c r="AJ1425" s="22">
        <f t="shared" si="212"/>
        <v>0</v>
      </c>
      <c r="AK1425" s="13"/>
    </row>
    <row r="1426" spans="1:37" s="165" customFormat="1" hidden="1">
      <c r="A1426" s="165" t="s">
        <v>1747</v>
      </c>
      <c r="B1426" s="13">
        <v>43606</v>
      </c>
      <c r="C1426" s="13" t="s">
        <v>1622</v>
      </c>
      <c r="D1426" s="165" t="s">
        <v>1187</v>
      </c>
      <c r="E1426" s="165" t="s">
        <v>1188</v>
      </c>
      <c r="F1426" s="165" t="str">
        <f t="shared" si="208"/>
        <v>TEBA_16.18_200_NL2018</v>
      </c>
      <c r="G1426" s="165" t="s">
        <v>127</v>
      </c>
      <c r="H1426" s="12"/>
      <c r="I1426" s="12" t="s">
        <v>35</v>
      </c>
      <c r="J1426" s="14">
        <v>200</v>
      </c>
      <c r="K1426" s="15" t="s">
        <v>28</v>
      </c>
      <c r="L1426" s="15"/>
      <c r="M1426" s="16">
        <f t="shared" si="209"/>
        <v>10</v>
      </c>
      <c r="N1426" s="15">
        <v>2000</v>
      </c>
      <c r="O1426" s="15">
        <v>5900</v>
      </c>
      <c r="P1426" s="15">
        <f t="shared" si="207"/>
        <v>11800000</v>
      </c>
      <c r="Q1426" s="15" t="str">
        <f t="shared" si="223"/>
        <v/>
      </c>
      <c r="R1426" s="18" t="s">
        <v>31</v>
      </c>
      <c r="S1426" s="117">
        <v>43631</v>
      </c>
      <c r="T1426" s="20">
        <f>IFERROR(VLOOKUP(S1426,'Date Converter'!$A$4:$C$368,3,0),"")</f>
        <v>43663</v>
      </c>
      <c r="U1426" s="21">
        <f t="shared" si="217"/>
        <v>43663</v>
      </c>
      <c r="V1426" s="12"/>
      <c r="W1426" s="18"/>
      <c r="X1426" s="18"/>
      <c r="Y1426" s="18"/>
      <c r="Z1426" s="210"/>
      <c r="AA1426" s="15"/>
      <c r="AB1426" s="210"/>
      <c r="AC1426" s="15"/>
      <c r="AD1426" s="15"/>
      <c r="AE1426" s="15"/>
      <c r="AF1426" s="244"/>
      <c r="AG1426" s="15"/>
      <c r="AH1426" s="15">
        <f t="shared" si="210"/>
        <v>0</v>
      </c>
      <c r="AI1426" s="22">
        <f t="shared" si="211"/>
        <v>2000</v>
      </c>
      <c r="AJ1426" s="22">
        <f t="shared" si="212"/>
        <v>11800000</v>
      </c>
      <c r="AK1426" s="13"/>
    </row>
    <row r="1427" spans="1:37" s="165" customFormat="1" hidden="1">
      <c r="A1427" s="165" t="s">
        <v>1747</v>
      </c>
      <c r="B1427" s="13">
        <v>43606</v>
      </c>
      <c r="C1427" s="13" t="s">
        <v>1622</v>
      </c>
      <c r="D1427" s="165" t="s">
        <v>1187</v>
      </c>
      <c r="E1427" s="165" t="s">
        <v>1188</v>
      </c>
      <c r="F1427" s="165" t="str">
        <f t="shared" si="208"/>
        <v>TEBA_16.18_200_NL2018</v>
      </c>
      <c r="G1427" s="165" t="s">
        <v>127</v>
      </c>
      <c r="H1427" s="12"/>
      <c r="I1427" s="12" t="s">
        <v>35</v>
      </c>
      <c r="J1427" s="14">
        <v>200</v>
      </c>
      <c r="K1427" s="15" t="s">
        <v>28</v>
      </c>
      <c r="L1427" s="15"/>
      <c r="M1427" s="16">
        <f t="shared" si="209"/>
        <v>10</v>
      </c>
      <c r="N1427" s="15">
        <v>2000</v>
      </c>
      <c r="O1427" s="15">
        <v>6100</v>
      </c>
      <c r="P1427" s="15">
        <f t="shared" si="207"/>
        <v>12200000</v>
      </c>
      <c r="Q1427" s="15" t="str">
        <f t="shared" si="223"/>
        <v/>
      </c>
      <c r="R1427" s="18" t="s">
        <v>29</v>
      </c>
      <c r="S1427" s="117">
        <v>43647</v>
      </c>
      <c r="T1427" s="20">
        <f>IFERROR(VLOOKUP(S1427,'Date Converter'!$A$4:$C$368,3,0),"")</f>
        <v>43678</v>
      </c>
      <c r="U1427" s="21">
        <f t="shared" si="217"/>
        <v>43678</v>
      </c>
      <c r="V1427" s="12"/>
      <c r="W1427" s="18"/>
      <c r="X1427" s="18"/>
      <c r="Y1427" s="18"/>
      <c r="Z1427" s="210"/>
      <c r="AA1427" s="15"/>
      <c r="AB1427" s="210"/>
      <c r="AC1427" s="15"/>
      <c r="AD1427" s="15"/>
      <c r="AE1427" s="15"/>
      <c r="AF1427" s="244"/>
      <c r="AG1427" s="15"/>
      <c r="AH1427" s="15">
        <f t="shared" si="210"/>
        <v>0</v>
      </c>
      <c r="AI1427" s="22">
        <f t="shared" si="211"/>
        <v>2000</v>
      </c>
      <c r="AJ1427" s="22">
        <f t="shared" si="212"/>
        <v>12200000</v>
      </c>
      <c r="AK1427" s="13"/>
    </row>
    <row r="1428" spans="1:37" s="165" customFormat="1" hidden="1">
      <c r="A1428" s="165" t="s">
        <v>1747</v>
      </c>
      <c r="B1428" s="13">
        <v>43606</v>
      </c>
      <c r="C1428" s="13" t="s">
        <v>1622</v>
      </c>
      <c r="D1428" s="165" t="s">
        <v>1187</v>
      </c>
      <c r="E1428" s="165" t="s">
        <v>1188</v>
      </c>
      <c r="F1428" s="165" t="str">
        <f t="shared" si="208"/>
        <v>TEBA_16.18_200_NL2018</v>
      </c>
      <c r="G1428" s="165" t="s">
        <v>127</v>
      </c>
      <c r="H1428" s="12"/>
      <c r="I1428" s="12" t="s">
        <v>35</v>
      </c>
      <c r="J1428" s="14">
        <v>200</v>
      </c>
      <c r="K1428" s="15" t="s">
        <v>28</v>
      </c>
      <c r="L1428" s="15"/>
      <c r="M1428" s="16">
        <f t="shared" si="209"/>
        <v>10</v>
      </c>
      <c r="N1428" s="15">
        <v>2000</v>
      </c>
      <c r="O1428" s="15">
        <v>6100</v>
      </c>
      <c r="P1428" s="15">
        <f t="shared" si="207"/>
        <v>12200000</v>
      </c>
      <c r="Q1428" s="15" t="str">
        <f t="shared" si="223"/>
        <v/>
      </c>
      <c r="R1428" s="18" t="s">
        <v>29</v>
      </c>
      <c r="S1428" s="117">
        <v>43666</v>
      </c>
      <c r="T1428" s="20">
        <f>IFERROR(VLOOKUP(S1428,'Date Converter'!$A$4:$C$368,3,0),"")</f>
        <v>43697</v>
      </c>
      <c r="U1428" s="21">
        <f t="shared" si="217"/>
        <v>43697</v>
      </c>
      <c r="V1428" s="12"/>
      <c r="W1428" s="18"/>
      <c r="X1428" s="18"/>
      <c r="Y1428" s="18"/>
      <c r="Z1428" s="210"/>
      <c r="AA1428" s="15"/>
      <c r="AB1428" s="210"/>
      <c r="AC1428" s="15"/>
      <c r="AD1428" s="15"/>
      <c r="AE1428" s="15"/>
      <c r="AF1428" s="244"/>
      <c r="AG1428" s="15"/>
      <c r="AH1428" s="15">
        <f t="shared" si="210"/>
        <v>0</v>
      </c>
      <c r="AI1428" s="22">
        <f t="shared" si="211"/>
        <v>2000</v>
      </c>
      <c r="AJ1428" s="22">
        <f t="shared" si="212"/>
        <v>12200000</v>
      </c>
      <c r="AK1428" s="13"/>
    </row>
    <row r="1429" spans="1:37" s="165" customFormat="1" hidden="1">
      <c r="A1429" s="165" t="s">
        <v>1747</v>
      </c>
      <c r="B1429" s="13">
        <v>43606</v>
      </c>
      <c r="C1429" s="13" t="s">
        <v>1622</v>
      </c>
      <c r="D1429" s="165" t="s">
        <v>1187</v>
      </c>
      <c r="E1429" s="165" t="s">
        <v>1188</v>
      </c>
      <c r="F1429" s="165" t="str">
        <f t="shared" si="208"/>
        <v>TEBA_16.18_200_NL2018</v>
      </c>
      <c r="G1429" s="165" t="s">
        <v>127</v>
      </c>
      <c r="H1429" s="12"/>
      <c r="I1429" s="12" t="s">
        <v>35</v>
      </c>
      <c r="J1429" s="14">
        <v>200</v>
      </c>
      <c r="K1429" s="15" t="s">
        <v>28</v>
      </c>
      <c r="L1429" s="15"/>
      <c r="M1429" s="16">
        <f t="shared" si="209"/>
        <v>10</v>
      </c>
      <c r="N1429" s="15">
        <v>2000</v>
      </c>
      <c r="O1429" s="15">
        <v>6200</v>
      </c>
      <c r="P1429" s="15">
        <f t="shared" si="207"/>
        <v>12400000</v>
      </c>
      <c r="Q1429" s="15" t="str">
        <f t="shared" si="223"/>
        <v/>
      </c>
      <c r="R1429" s="18" t="s">
        <v>29</v>
      </c>
      <c r="S1429" s="117">
        <v>43678</v>
      </c>
      <c r="T1429" s="20">
        <f>IFERROR(VLOOKUP(S1429,'Date Converter'!$A$4:$C$368,3,0),"")</f>
        <v>43707</v>
      </c>
      <c r="U1429" s="21">
        <f t="shared" si="217"/>
        <v>43707</v>
      </c>
      <c r="V1429" s="12"/>
      <c r="W1429" s="18"/>
      <c r="X1429" s="18"/>
      <c r="Y1429" s="18"/>
      <c r="Z1429" s="210"/>
      <c r="AA1429" s="15"/>
      <c r="AB1429" s="210"/>
      <c r="AC1429" s="15"/>
      <c r="AD1429" s="15"/>
      <c r="AE1429" s="15"/>
      <c r="AF1429" s="244"/>
      <c r="AG1429" s="15"/>
      <c r="AH1429" s="15">
        <f t="shared" si="210"/>
        <v>0</v>
      </c>
      <c r="AI1429" s="22">
        <f t="shared" si="211"/>
        <v>2000</v>
      </c>
      <c r="AJ1429" s="22">
        <f t="shared" si="212"/>
        <v>12400000</v>
      </c>
      <c r="AK1429" s="13"/>
    </row>
    <row r="1430" spans="1:37" s="165" customFormat="1" hidden="1">
      <c r="A1430" s="165" t="s">
        <v>1747</v>
      </c>
      <c r="B1430" s="13">
        <v>43606</v>
      </c>
      <c r="C1430" s="13" t="s">
        <v>1622</v>
      </c>
      <c r="D1430" s="165" t="s">
        <v>1187</v>
      </c>
      <c r="E1430" s="165" t="s">
        <v>1188</v>
      </c>
      <c r="F1430" s="165" t="str">
        <f t="shared" si="208"/>
        <v>TARR_18.20_150_NL2018</v>
      </c>
      <c r="G1430" s="165" t="s">
        <v>62</v>
      </c>
      <c r="H1430" s="12"/>
      <c r="I1430" s="12" t="s">
        <v>27</v>
      </c>
      <c r="J1430" s="14">
        <v>150</v>
      </c>
      <c r="K1430" s="15" t="s">
        <v>28</v>
      </c>
      <c r="L1430" s="15"/>
      <c r="M1430" s="16">
        <f t="shared" si="209"/>
        <v>20</v>
      </c>
      <c r="N1430" s="15">
        <v>3000</v>
      </c>
      <c r="O1430" s="15">
        <v>8900</v>
      </c>
      <c r="P1430" s="15">
        <f t="shared" si="207"/>
        <v>26700000</v>
      </c>
      <c r="Q1430" s="15" t="str">
        <f t="shared" si="223"/>
        <v/>
      </c>
      <c r="R1430" s="18" t="s">
        <v>31</v>
      </c>
      <c r="S1430" s="117">
        <v>43631</v>
      </c>
      <c r="T1430" s="20">
        <f>IFERROR(VLOOKUP(S1430,'Date Converter'!$A$4:$C$368,3,0),"")</f>
        <v>43663</v>
      </c>
      <c r="U1430" s="21">
        <f t="shared" si="217"/>
        <v>43663</v>
      </c>
      <c r="V1430" s="12"/>
      <c r="W1430" s="18"/>
      <c r="X1430" s="18"/>
      <c r="Y1430" s="18"/>
      <c r="Z1430" s="210"/>
      <c r="AA1430" s="15"/>
      <c r="AB1430" s="210"/>
      <c r="AC1430" s="15"/>
      <c r="AD1430" s="15"/>
      <c r="AE1430" s="15"/>
      <c r="AF1430" s="244"/>
      <c r="AG1430" s="15"/>
      <c r="AH1430" s="15">
        <f t="shared" si="210"/>
        <v>0</v>
      </c>
      <c r="AI1430" s="22">
        <f t="shared" si="211"/>
        <v>3000</v>
      </c>
      <c r="AJ1430" s="22">
        <f t="shared" si="212"/>
        <v>26700000</v>
      </c>
      <c r="AK1430" s="13"/>
    </row>
    <row r="1431" spans="1:37" s="165" customFormat="1" hidden="1">
      <c r="A1431" s="165" t="s">
        <v>1747</v>
      </c>
      <c r="B1431" s="13">
        <v>43606</v>
      </c>
      <c r="C1431" s="13" t="s">
        <v>1622</v>
      </c>
      <c r="D1431" s="165" t="s">
        <v>1187</v>
      </c>
      <c r="E1431" s="165" t="s">
        <v>1188</v>
      </c>
      <c r="F1431" s="165" t="str">
        <f t="shared" si="208"/>
        <v>TARR_18.20_150_NL2018</v>
      </c>
      <c r="G1431" s="165" t="s">
        <v>62</v>
      </c>
      <c r="H1431" s="12"/>
      <c r="I1431" s="12" t="s">
        <v>27</v>
      </c>
      <c r="J1431" s="14">
        <v>150</v>
      </c>
      <c r="K1431" s="15" t="s">
        <v>28</v>
      </c>
      <c r="L1431" s="15"/>
      <c r="M1431" s="16">
        <f t="shared" si="209"/>
        <v>20</v>
      </c>
      <c r="N1431" s="15">
        <v>3000</v>
      </c>
      <c r="O1431" s="15">
        <v>9100</v>
      </c>
      <c r="P1431" s="15">
        <f t="shared" si="207"/>
        <v>27300000</v>
      </c>
      <c r="Q1431" s="15" t="str">
        <f t="shared" si="223"/>
        <v/>
      </c>
      <c r="R1431" s="18" t="s">
        <v>29</v>
      </c>
      <c r="S1431" s="117">
        <v>43647</v>
      </c>
      <c r="T1431" s="20">
        <f>IFERROR(VLOOKUP(S1431,'Date Converter'!$A$4:$C$368,3,0),"")</f>
        <v>43678</v>
      </c>
      <c r="U1431" s="21">
        <f t="shared" si="217"/>
        <v>43678</v>
      </c>
      <c r="V1431" s="12"/>
      <c r="W1431" s="18"/>
      <c r="X1431" s="18"/>
      <c r="Y1431" s="18"/>
      <c r="Z1431" s="210"/>
      <c r="AA1431" s="15"/>
      <c r="AB1431" s="210"/>
      <c r="AC1431" s="15"/>
      <c r="AD1431" s="15"/>
      <c r="AE1431" s="15"/>
      <c r="AF1431" s="244"/>
      <c r="AG1431" s="15"/>
      <c r="AH1431" s="15">
        <f t="shared" si="210"/>
        <v>0</v>
      </c>
      <c r="AI1431" s="22">
        <f t="shared" si="211"/>
        <v>3000</v>
      </c>
      <c r="AJ1431" s="22">
        <f t="shared" si="212"/>
        <v>27300000</v>
      </c>
      <c r="AK1431" s="13"/>
    </row>
    <row r="1432" spans="1:37" s="165" customFormat="1" hidden="1">
      <c r="A1432" s="165" t="s">
        <v>1747</v>
      </c>
      <c r="B1432" s="13">
        <v>43606</v>
      </c>
      <c r="C1432" s="13" t="s">
        <v>1622</v>
      </c>
      <c r="D1432" s="165" t="s">
        <v>1187</v>
      </c>
      <c r="E1432" s="165" t="s">
        <v>1188</v>
      </c>
      <c r="F1432" s="165" t="str">
        <f t="shared" si="208"/>
        <v>TARR_18.20_150_NL2018</v>
      </c>
      <c r="G1432" s="165" t="s">
        <v>62</v>
      </c>
      <c r="H1432" s="12"/>
      <c r="I1432" s="12" t="s">
        <v>27</v>
      </c>
      <c r="J1432" s="14">
        <v>150</v>
      </c>
      <c r="K1432" s="15" t="s">
        <v>28</v>
      </c>
      <c r="L1432" s="15"/>
      <c r="M1432" s="16">
        <f t="shared" si="209"/>
        <v>20</v>
      </c>
      <c r="N1432" s="15">
        <v>3000</v>
      </c>
      <c r="O1432" s="15">
        <v>9100</v>
      </c>
      <c r="P1432" s="15">
        <f t="shared" si="207"/>
        <v>27300000</v>
      </c>
      <c r="Q1432" s="15" t="str">
        <f t="shared" si="223"/>
        <v/>
      </c>
      <c r="R1432" s="18" t="s">
        <v>29</v>
      </c>
      <c r="S1432" s="117">
        <v>43666</v>
      </c>
      <c r="T1432" s="20">
        <f>IFERROR(VLOOKUP(S1432,'Date Converter'!$A$4:$C$368,3,0),"")</f>
        <v>43697</v>
      </c>
      <c r="U1432" s="21">
        <f t="shared" si="217"/>
        <v>43697</v>
      </c>
      <c r="V1432" s="12"/>
      <c r="W1432" s="18"/>
      <c r="X1432" s="18"/>
      <c r="Y1432" s="18"/>
      <c r="Z1432" s="210"/>
      <c r="AA1432" s="15"/>
      <c r="AB1432" s="210"/>
      <c r="AC1432" s="15"/>
      <c r="AD1432" s="15"/>
      <c r="AE1432" s="15"/>
      <c r="AF1432" s="244"/>
      <c r="AG1432" s="15"/>
      <c r="AH1432" s="15">
        <f t="shared" si="210"/>
        <v>0</v>
      </c>
      <c r="AI1432" s="22">
        <f t="shared" si="211"/>
        <v>3000</v>
      </c>
      <c r="AJ1432" s="22">
        <f t="shared" si="212"/>
        <v>27300000</v>
      </c>
      <c r="AK1432" s="13"/>
    </row>
    <row r="1433" spans="1:37" s="165" customFormat="1" hidden="1">
      <c r="A1433" s="165" t="s">
        <v>1747</v>
      </c>
      <c r="B1433" s="13">
        <v>43606</v>
      </c>
      <c r="C1433" s="13" t="s">
        <v>1622</v>
      </c>
      <c r="D1433" s="165" t="s">
        <v>1187</v>
      </c>
      <c r="E1433" s="165" t="s">
        <v>1188</v>
      </c>
      <c r="F1433" s="165" t="str">
        <f t="shared" si="208"/>
        <v>TARR_18.20_150_NL2018</v>
      </c>
      <c r="G1433" s="165" t="s">
        <v>62</v>
      </c>
      <c r="H1433" s="12"/>
      <c r="I1433" s="12" t="s">
        <v>27</v>
      </c>
      <c r="J1433" s="14">
        <v>150</v>
      </c>
      <c r="K1433" s="15" t="s">
        <v>28</v>
      </c>
      <c r="L1433" s="15"/>
      <c r="M1433" s="16">
        <f t="shared" si="209"/>
        <v>20</v>
      </c>
      <c r="N1433" s="15">
        <v>3000</v>
      </c>
      <c r="O1433" s="15">
        <v>9200</v>
      </c>
      <c r="P1433" s="15">
        <f t="shared" si="207"/>
        <v>27600000</v>
      </c>
      <c r="Q1433" s="15" t="str">
        <f t="shared" si="223"/>
        <v/>
      </c>
      <c r="R1433" s="18" t="s">
        <v>29</v>
      </c>
      <c r="S1433" s="117">
        <v>43678</v>
      </c>
      <c r="T1433" s="20">
        <f>IFERROR(VLOOKUP(S1433,'Date Converter'!$A$4:$C$368,3,0),"")</f>
        <v>43707</v>
      </c>
      <c r="U1433" s="21">
        <f t="shared" si="217"/>
        <v>43707</v>
      </c>
      <c r="V1433" s="12"/>
      <c r="W1433" s="18"/>
      <c r="X1433" s="18"/>
      <c r="Y1433" s="18"/>
      <c r="Z1433" s="210"/>
      <c r="AA1433" s="15"/>
      <c r="AB1433" s="210"/>
      <c r="AC1433" s="15"/>
      <c r="AD1433" s="15"/>
      <c r="AE1433" s="15"/>
      <c r="AF1433" s="244"/>
      <c r="AG1433" s="15"/>
      <c r="AH1433" s="15">
        <f t="shared" si="210"/>
        <v>0</v>
      </c>
      <c r="AI1433" s="22">
        <f t="shared" si="211"/>
        <v>3000</v>
      </c>
      <c r="AJ1433" s="22">
        <f t="shared" si="212"/>
        <v>27600000</v>
      </c>
      <c r="AK1433" s="13"/>
    </row>
    <row r="1434" spans="1:37" s="165" customFormat="1" hidden="1">
      <c r="A1434" s="165" t="s">
        <v>1746</v>
      </c>
      <c r="B1434" s="13">
        <v>43517</v>
      </c>
      <c r="C1434" s="13" t="s">
        <v>1622</v>
      </c>
      <c r="D1434" s="165" t="s">
        <v>1187</v>
      </c>
      <c r="E1434" s="165" t="s">
        <v>1188</v>
      </c>
      <c r="F1434" s="165" t="str">
        <f t="shared" si="208"/>
        <v>TARR_16.18_200_NL2018</v>
      </c>
      <c r="G1434" s="165" t="s">
        <v>62</v>
      </c>
      <c r="H1434" s="12"/>
      <c r="I1434" s="12" t="s">
        <v>35</v>
      </c>
      <c r="J1434" s="14">
        <v>200</v>
      </c>
      <c r="K1434" s="15" t="s">
        <v>28</v>
      </c>
      <c r="L1434" s="15"/>
      <c r="M1434" s="16">
        <f t="shared" si="209"/>
        <v>20</v>
      </c>
      <c r="N1434" s="15">
        <v>4000</v>
      </c>
      <c r="O1434" s="15">
        <f>5500+90</f>
        <v>5590</v>
      </c>
      <c r="P1434" s="15">
        <f t="shared" si="207"/>
        <v>22360000</v>
      </c>
      <c r="Q1434" s="15" t="str">
        <f t="shared" si="223"/>
        <v>Done</v>
      </c>
      <c r="R1434" s="18" t="s">
        <v>44</v>
      </c>
      <c r="S1434" s="117">
        <v>43539</v>
      </c>
      <c r="T1434" s="20">
        <f>IFERROR(VLOOKUP(S1434,'Date Converter'!$A$4:$C$368,3,0),"")</f>
        <v>43574</v>
      </c>
      <c r="U1434" s="21">
        <f t="shared" si="217"/>
        <v>43574</v>
      </c>
      <c r="V1434" s="12" t="s">
        <v>57</v>
      </c>
      <c r="W1434" s="18" t="s">
        <v>141</v>
      </c>
      <c r="X1434" s="18"/>
      <c r="Y1434" s="18"/>
      <c r="Z1434" s="210">
        <v>43619</v>
      </c>
      <c r="AA1434" s="15">
        <v>3000</v>
      </c>
      <c r="AB1434" s="210">
        <v>43627</v>
      </c>
      <c r="AC1434" s="15">
        <v>1000</v>
      </c>
      <c r="AD1434" s="15"/>
      <c r="AE1434" s="15"/>
      <c r="AF1434" s="244"/>
      <c r="AG1434" s="15"/>
      <c r="AH1434" s="15">
        <f t="shared" si="210"/>
        <v>4000</v>
      </c>
      <c r="AI1434" s="22">
        <f t="shared" si="211"/>
        <v>0</v>
      </c>
      <c r="AJ1434" s="22">
        <f t="shared" si="212"/>
        <v>0</v>
      </c>
      <c r="AK1434" s="13">
        <v>43874</v>
      </c>
    </row>
    <row r="1435" spans="1:37" s="165" customFormat="1" hidden="1">
      <c r="A1435" s="165" t="s">
        <v>1749</v>
      </c>
      <c r="B1435" s="13">
        <v>43595</v>
      </c>
      <c r="C1435" s="13" t="s">
        <v>1622</v>
      </c>
      <c r="D1435" s="258" t="s">
        <v>1187</v>
      </c>
      <c r="E1435" s="165" t="s">
        <v>1188</v>
      </c>
      <c r="F1435" s="165" t="str">
        <f t="shared" si="208"/>
        <v>TARR_20.22_125_NL2018</v>
      </c>
      <c r="G1435" s="165" t="s">
        <v>62</v>
      </c>
      <c r="H1435" s="12"/>
      <c r="I1435" s="12" t="s">
        <v>74</v>
      </c>
      <c r="J1435" s="14">
        <v>125</v>
      </c>
      <c r="K1435" s="15" t="s">
        <v>28</v>
      </c>
      <c r="L1435" s="15"/>
      <c r="M1435" s="16">
        <f t="shared" si="209"/>
        <v>80</v>
      </c>
      <c r="N1435" s="15">
        <v>10000</v>
      </c>
      <c r="O1435" s="15">
        <v>11000</v>
      </c>
      <c r="P1435" s="15">
        <f t="shared" si="207"/>
        <v>110000000</v>
      </c>
      <c r="Q1435" s="15" t="str">
        <f t="shared" si="223"/>
        <v/>
      </c>
      <c r="R1435" s="18" t="s">
        <v>29</v>
      </c>
      <c r="S1435" s="117">
        <v>43709</v>
      </c>
      <c r="T1435" s="20">
        <f>IFERROR(VLOOKUP(S1435,'Date Converter'!$A$4:$C$368,3,0),"")</f>
        <v>43737</v>
      </c>
      <c r="U1435" s="21">
        <f t="shared" si="217"/>
        <v>43737</v>
      </c>
      <c r="V1435" s="12"/>
      <c r="W1435" s="18"/>
      <c r="X1435" s="18"/>
      <c r="Y1435" s="18"/>
      <c r="Z1435" s="210"/>
      <c r="AA1435" s="15"/>
      <c r="AB1435" s="210"/>
      <c r="AC1435" s="15"/>
      <c r="AD1435" s="15"/>
      <c r="AE1435" s="15"/>
      <c r="AF1435" s="244"/>
      <c r="AG1435" s="15"/>
      <c r="AH1435" s="15">
        <f t="shared" si="210"/>
        <v>0</v>
      </c>
      <c r="AI1435" s="22">
        <f t="shared" si="211"/>
        <v>10000</v>
      </c>
      <c r="AJ1435" s="22">
        <f t="shared" si="212"/>
        <v>110000000</v>
      </c>
      <c r="AK1435" s="13"/>
    </row>
    <row r="1436" spans="1:37" s="165" customFormat="1" hidden="1">
      <c r="A1436" s="165" t="s">
        <v>1747</v>
      </c>
      <c r="B1436" s="13">
        <v>43606</v>
      </c>
      <c r="C1436" s="13" t="s">
        <v>1622</v>
      </c>
      <c r="D1436" s="165" t="s">
        <v>1187</v>
      </c>
      <c r="E1436" s="201" t="s">
        <v>1188</v>
      </c>
      <c r="F1436" s="201" t="str">
        <f t="shared" si="208"/>
        <v>ROBI_14.16_300_NL2018</v>
      </c>
      <c r="G1436" s="201" t="s">
        <v>61</v>
      </c>
      <c r="H1436" s="240"/>
      <c r="I1436" s="240" t="s">
        <v>47</v>
      </c>
      <c r="J1436" s="241">
        <v>300</v>
      </c>
      <c r="K1436" s="196" t="s">
        <v>28</v>
      </c>
      <c r="L1436" s="196"/>
      <c r="M1436" s="187">
        <f t="shared" si="209"/>
        <v>10</v>
      </c>
      <c r="N1436" s="196">
        <v>3000</v>
      </c>
      <c r="O1436" s="196">
        <v>3800</v>
      </c>
      <c r="P1436" s="196">
        <f t="shared" si="207"/>
        <v>11400000</v>
      </c>
      <c r="Q1436" s="15" t="str">
        <f t="shared" si="223"/>
        <v/>
      </c>
      <c r="R1436" s="242" t="s">
        <v>63</v>
      </c>
      <c r="S1436" s="117">
        <v>43590</v>
      </c>
      <c r="T1436" s="20">
        <f>IFERROR(VLOOKUP(S1436,'Date Converter'!$A$4:$C$368,3,0),"")</f>
        <v>43623</v>
      </c>
      <c r="U1436" s="21">
        <f t="shared" si="217"/>
        <v>43623</v>
      </c>
      <c r="V1436" s="12"/>
      <c r="W1436" s="18"/>
      <c r="X1436" s="18"/>
      <c r="Y1436" s="18"/>
      <c r="Z1436" s="210"/>
      <c r="AA1436" s="15"/>
      <c r="AB1436" s="210"/>
      <c r="AC1436" s="15"/>
      <c r="AD1436" s="15"/>
      <c r="AE1436" s="15"/>
      <c r="AF1436" s="244"/>
      <c r="AG1436" s="15"/>
      <c r="AH1436" s="15">
        <f t="shared" si="210"/>
        <v>0</v>
      </c>
      <c r="AI1436" s="22">
        <f t="shared" si="211"/>
        <v>3000</v>
      </c>
      <c r="AJ1436" s="22">
        <f t="shared" si="212"/>
        <v>11400000</v>
      </c>
      <c r="AK1436" s="13"/>
    </row>
    <row r="1437" spans="1:37" s="165" customFormat="1" hidden="1">
      <c r="A1437" s="165" t="s">
        <v>1747</v>
      </c>
      <c r="B1437" s="13">
        <v>43606</v>
      </c>
      <c r="C1437" s="13" t="s">
        <v>1622</v>
      </c>
      <c r="D1437" s="165" t="s">
        <v>1187</v>
      </c>
      <c r="E1437" s="183" t="s">
        <v>1188</v>
      </c>
      <c r="F1437" s="183" t="str">
        <f t="shared" si="208"/>
        <v>ROBI_18.20_150_NL2018</v>
      </c>
      <c r="G1437" s="183" t="s">
        <v>61</v>
      </c>
      <c r="H1437" s="184"/>
      <c r="I1437" s="184" t="s">
        <v>27</v>
      </c>
      <c r="J1437" s="186">
        <v>150</v>
      </c>
      <c r="K1437" s="185" t="s">
        <v>28</v>
      </c>
      <c r="L1437" s="185"/>
      <c r="M1437" s="187">
        <f t="shared" si="209"/>
        <v>34</v>
      </c>
      <c r="N1437" s="185">
        <v>5100</v>
      </c>
      <c r="O1437" s="185">
        <v>8000</v>
      </c>
      <c r="P1437" s="185">
        <f t="shared" si="207"/>
        <v>40800000</v>
      </c>
      <c r="Q1437" s="15" t="str">
        <f t="shared" si="223"/>
        <v/>
      </c>
      <c r="R1437" s="189" t="s">
        <v>63</v>
      </c>
      <c r="S1437" s="117">
        <v>43603</v>
      </c>
      <c r="T1437" s="20">
        <f>IFERROR(VLOOKUP(S1437,'Date Converter'!$A$4:$C$368,3,0),"")</f>
        <v>43636</v>
      </c>
      <c r="U1437" s="21">
        <f t="shared" si="217"/>
        <v>43636</v>
      </c>
      <c r="V1437" s="12"/>
      <c r="W1437" s="18"/>
      <c r="X1437" s="18"/>
      <c r="Y1437" s="18"/>
      <c r="Z1437" s="210"/>
      <c r="AA1437" s="15"/>
      <c r="AB1437" s="210"/>
      <c r="AC1437" s="15"/>
      <c r="AD1437" s="15"/>
      <c r="AE1437" s="15"/>
      <c r="AF1437" s="244"/>
      <c r="AG1437" s="15"/>
      <c r="AH1437" s="15">
        <f t="shared" si="210"/>
        <v>0</v>
      </c>
      <c r="AI1437" s="22">
        <f t="shared" si="211"/>
        <v>5100</v>
      </c>
      <c r="AJ1437" s="22">
        <f t="shared" si="212"/>
        <v>40800000</v>
      </c>
      <c r="AK1437" s="13"/>
    </row>
    <row r="1438" spans="1:37" s="165" customFormat="1" hidden="1">
      <c r="A1438" s="165" t="s">
        <v>1747</v>
      </c>
      <c r="B1438" s="13">
        <v>43606</v>
      </c>
      <c r="C1438" s="13" t="s">
        <v>1622</v>
      </c>
      <c r="D1438" s="165" t="s">
        <v>1187</v>
      </c>
      <c r="E1438" s="165" t="s">
        <v>1188</v>
      </c>
      <c r="F1438" s="165" t="str">
        <f t="shared" si="208"/>
        <v>ROBI_18.20_150_NL2018</v>
      </c>
      <c r="G1438" s="165" t="s">
        <v>61</v>
      </c>
      <c r="H1438" s="12"/>
      <c r="I1438" s="12" t="s">
        <v>27</v>
      </c>
      <c r="J1438" s="14">
        <v>150</v>
      </c>
      <c r="K1438" s="15" t="s">
        <v>28</v>
      </c>
      <c r="L1438" s="15"/>
      <c r="M1438" s="16">
        <f t="shared" si="209"/>
        <v>20</v>
      </c>
      <c r="N1438" s="15">
        <v>3000</v>
      </c>
      <c r="O1438" s="15">
        <v>8000</v>
      </c>
      <c r="P1438" s="15">
        <f t="shared" si="207"/>
        <v>24000000</v>
      </c>
      <c r="Q1438" s="15" t="str">
        <f t="shared" si="223"/>
        <v/>
      </c>
      <c r="R1438" s="18" t="s">
        <v>31</v>
      </c>
      <c r="S1438" s="117">
        <v>43631</v>
      </c>
      <c r="T1438" s="20">
        <f>IFERROR(VLOOKUP(S1438,'Date Converter'!$A$4:$C$368,3,0),"")</f>
        <v>43663</v>
      </c>
      <c r="U1438" s="21">
        <f t="shared" si="217"/>
        <v>43663</v>
      </c>
      <c r="V1438" s="12"/>
      <c r="W1438" s="18"/>
      <c r="X1438" s="18"/>
      <c r="Y1438" s="18"/>
      <c r="Z1438" s="210"/>
      <c r="AA1438" s="15"/>
      <c r="AB1438" s="210"/>
      <c r="AC1438" s="15"/>
      <c r="AD1438" s="15"/>
      <c r="AE1438" s="15"/>
      <c r="AF1438" s="244"/>
      <c r="AG1438" s="15"/>
      <c r="AH1438" s="15">
        <f t="shared" si="210"/>
        <v>0</v>
      </c>
      <c r="AI1438" s="22">
        <f t="shared" si="211"/>
        <v>3000</v>
      </c>
      <c r="AJ1438" s="22">
        <f t="shared" si="212"/>
        <v>24000000</v>
      </c>
      <c r="AK1438" s="13"/>
    </row>
    <row r="1439" spans="1:37" s="165" customFormat="1" hidden="1">
      <c r="A1439" s="165" t="s">
        <v>1747</v>
      </c>
      <c r="B1439" s="13">
        <v>43606</v>
      </c>
      <c r="C1439" s="13" t="s">
        <v>1622</v>
      </c>
      <c r="D1439" s="165" t="s">
        <v>1187</v>
      </c>
      <c r="E1439" s="165" t="s">
        <v>1188</v>
      </c>
      <c r="F1439" s="165" t="str">
        <f t="shared" si="208"/>
        <v>ROBI_18.20_150_NL2018</v>
      </c>
      <c r="G1439" s="165" t="s">
        <v>61</v>
      </c>
      <c r="H1439" s="12"/>
      <c r="I1439" s="12" t="s">
        <v>27</v>
      </c>
      <c r="J1439" s="14">
        <v>150</v>
      </c>
      <c r="K1439" s="15" t="s">
        <v>28</v>
      </c>
      <c r="L1439" s="15"/>
      <c r="M1439" s="16">
        <f t="shared" si="209"/>
        <v>20</v>
      </c>
      <c r="N1439" s="15">
        <v>3000</v>
      </c>
      <c r="O1439" s="15">
        <v>8200</v>
      </c>
      <c r="P1439" s="15">
        <f t="shared" si="207"/>
        <v>24600000</v>
      </c>
      <c r="Q1439" s="15" t="str">
        <f t="shared" si="223"/>
        <v/>
      </c>
      <c r="R1439" s="18" t="s">
        <v>29</v>
      </c>
      <c r="S1439" s="117">
        <v>43647</v>
      </c>
      <c r="T1439" s="20">
        <f>IFERROR(VLOOKUP(S1439,'Date Converter'!$A$4:$C$368,3,0),"")</f>
        <v>43678</v>
      </c>
      <c r="U1439" s="21">
        <f t="shared" si="217"/>
        <v>43678</v>
      </c>
      <c r="V1439" s="12"/>
      <c r="W1439" s="18"/>
      <c r="X1439" s="18"/>
      <c r="Y1439" s="18"/>
      <c r="Z1439" s="210"/>
      <c r="AA1439" s="15"/>
      <c r="AB1439" s="210"/>
      <c r="AC1439" s="15"/>
      <c r="AD1439" s="15"/>
      <c r="AE1439" s="15"/>
      <c r="AF1439" s="244"/>
      <c r="AG1439" s="15"/>
      <c r="AH1439" s="15">
        <f t="shared" si="210"/>
        <v>0</v>
      </c>
      <c r="AI1439" s="22">
        <f t="shared" si="211"/>
        <v>3000</v>
      </c>
      <c r="AJ1439" s="22">
        <f t="shared" si="212"/>
        <v>24600000</v>
      </c>
      <c r="AK1439" s="13"/>
    </row>
    <row r="1440" spans="1:37" s="165" customFormat="1" hidden="1">
      <c r="A1440" s="165" t="s">
        <v>1747</v>
      </c>
      <c r="B1440" s="13">
        <v>43606</v>
      </c>
      <c r="C1440" s="13" t="s">
        <v>1622</v>
      </c>
      <c r="D1440" s="165" t="s">
        <v>1187</v>
      </c>
      <c r="E1440" s="165" t="s">
        <v>1188</v>
      </c>
      <c r="F1440" s="165" t="str">
        <f t="shared" si="208"/>
        <v>ROBI_18.20_150_NL2018</v>
      </c>
      <c r="G1440" s="165" t="s">
        <v>61</v>
      </c>
      <c r="H1440" s="12"/>
      <c r="I1440" s="12" t="s">
        <v>27</v>
      </c>
      <c r="J1440" s="14">
        <v>150</v>
      </c>
      <c r="K1440" s="15" t="s">
        <v>28</v>
      </c>
      <c r="L1440" s="15"/>
      <c r="M1440" s="16">
        <f t="shared" si="209"/>
        <v>20</v>
      </c>
      <c r="N1440" s="15">
        <v>3000</v>
      </c>
      <c r="O1440" s="15">
        <v>8200</v>
      </c>
      <c r="P1440" s="15">
        <f t="shared" si="207"/>
        <v>24600000</v>
      </c>
      <c r="Q1440" s="15" t="str">
        <f t="shared" si="223"/>
        <v/>
      </c>
      <c r="R1440" s="18" t="s">
        <v>29</v>
      </c>
      <c r="S1440" s="117">
        <v>43666</v>
      </c>
      <c r="T1440" s="20">
        <f>IFERROR(VLOOKUP(S1440,'Date Converter'!$A$4:$C$368,3,0),"")</f>
        <v>43697</v>
      </c>
      <c r="U1440" s="21">
        <f t="shared" si="217"/>
        <v>43697</v>
      </c>
      <c r="V1440" s="12"/>
      <c r="W1440" s="18"/>
      <c r="X1440" s="18"/>
      <c r="Y1440" s="18"/>
      <c r="Z1440" s="210"/>
      <c r="AA1440" s="15"/>
      <c r="AB1440" s="210"/>
      <c r="AC1440" s="15"/>
      <c r="AD1440" s="15"/>
      <c r="AE1440" s="15"/>
      <c r="AF1440" s="244"/>
      <c r="AG1440" s="15"/>
      <c r="AH1440" s="15">
        <f t="shared" si="210"/>
        <v>0</v>
      </c>
      <c r="AI1440" s="22">
        <f t="shared" si="211"/>
        <v>3000</v>
      </c>
      <c r="AJ1440" s="22">
        <f t="shared" si="212"/>
        <v>24600000</v>
      </c>
      <c r="AK1440" s="13"/>
    </row>
    <row r="1441" spans="1:37" s="165" customFormat="1" hidden="1">
      <c r="A1441" s="165" t="s">
        <v>1747</v>
      </c>
      <c r="B1441" s="13">
        <v>43606</v>
      </c>
      <c r="C1441" s="13" t="s">
        <v>1622</v>
      </c>
      <c r="D1441" s="165" t="s">
        <v>1187</v>
      </c>
      <c r="E1441" s="165" t="s">
        <v>1188</v>
      </c>
      <c r="F1441" s="165" t="str">
        <f t="shared" si="208"/>
        <v>ROBI_18.20_150_NL2018</v>
      </c>
      <c r="G1441" s="165" t="s">
        <v>61</v>
      </c>
      <c r="H1441" s="12"/>
      <c r="I1441" s="12" t="s">
        <v>27</v>
      </c>
      <c r="J1441" s="14">
        <v>150</v>
      </c>
      <c r="K1441" s="15" t="s">
        <v>28</v>
      </c>
      <c r="L1441" s="15"/>
      <c r="M1441" s="16">
        <f t="shared" si="209"/>
        <v>20</v>
      </c>
      <c r="N1441" s="15">
        <v>3000</v>
      </c>
      <c r="O1441" s="15">
        <v>8300</v>
      </c>
      <c r="P1441" s="15">
        <f t="shared" si="207"/>
        <v>24900000</v>
      </c>
      <c r="Q1441" s="15" t="str">
        <f t="shared" si="223"/>
        <v/>
      </c>
      <c r="R1441" s="18" t="s">
        <v>29</v>
      </c>
      <c r="S1441" s="117">
        <v>43678</v>
      </c>
      <c r="T1441" s="20">
        <f>IFERROR(VLOOKUP(S1441,'Date Converter'!$A$4:$C$368,3,0),"")</f>
        <v>43707</v>
      </c>
      <c r="U1441" s="21">
        <f t="shared" si="217"/>
        <v>43707</v>
      </c>
      <c r="V1441" s="12"/>
      <c r="W1441" s="18"/>
      <c r="X1441" s="18"/>
      <c r="Y1441" s="18"/>
      <c r="Z1441" s="210"/>
      <c r="AA1441" s="15"/>
      <c r="AB1441" s="210"/>
      <c r="AC1441" s="15"/>
      <c r="AD1441" s="15"/>
      <c r="AE1441" s="15"/>
      <c r="AF1441" s="244"/>
      <c r="AG1441" s="15"/>
      <c r="AH1441" s="15">
        <f t="shared" si="210"/>
        <v>0</v>
      </c>
      <c r="AI1441" s="22">
        <f t="shared" si="211"/>
        <v>3000</v>
      </c>
      <c r="AJ1441" s="22">
        <f t="shared" si="212"/>
        <v>24900000</v>
      </c>
      <c r="AK1441" s="13"/>
    </row>
    <row r="1442" spans="1:37" s="165" customFormat="1" hidden="1">
      <c r="A1442" s="165" t="s">
        <v>1749</v>
      </c>
      <c r="B1442" s="13">
        <v>43595</v>
      </c>
      <c r="C1442" s="13" t="s">
        <v>1622</v>
      </c>
      <c r="D1442" s="258" t="s">
        <v>1187</v>
      </c>
      <c r="E1442" s="165" t="s">
        <v>1188</v>
      </c>
      <c r="F1442" s="165" t="str">
        <f t="shared" si="208"/>
        <v>ROBI_20.22_125_NL2018</v>
      </c>
      <c r="G1442" s="165" t="s">
        <v>61</v>
      </c>
      <c r="H1442" s="12"/>
      <c r="I1442" s="12" t="s">
        <v>74</v>
      </c>
      <c r="J1442" s="14">
        <v>125</v>
      </c>
      <c r="K1442" s="15" t="s">
        <v>28</v>
      </c>
      <c r="L1442" s="15"/>
      <c r="M1442" s="16">
        <f t="shared" si="209"/>
        <v>64</v>
      </c>
      <c r="N1442" s="15">
        <v>8000</v>
      </c>
      <c r="O1442" s="15">
        <v>10700</v>
      </c>
      <c r="P1442" s="15">
        <f t="shared" si="207"/>
        <v>85600000</v>
      </c>
      <c r="Q1442" s="15" t="str">
        <f t="shared" si="223"/>
        <v/>
      </c>
      <c r="R1442" s="18" t="s">
        <v>29</v>
      </c>
      <c r="S1442" s="117">
        <v>43709</v>
      </c>
      <c r="T1442" s="20">
        <f>IFERROR(VLOOKUP(S1442,'Date Converter'!$A$4:$C$368,3,0),"")</f>
        <v>43737</v>
      </c>
      <c r="U1442" s="21">
        <f t="shared" si="217"/>
        <v>43737</v>
      </c>
      <c r="V1442" s="12"/>
      <c r="W1442" s="18"/>
      <c r="X1442" s="18"/>
      <c r="Y1442" s="18"/>
      <c r="Z1442" s="210"/>
      <c r="AA1442" s="15"/>
      <c r="AB1442" s="210"/>
      <c r="AC1442" s="15"/>
      <c r="AD1442" s="15"/>
      <c r="AE1442" s="15"/>
      <c r="AF1442" s="244"/>
      <c r="AG1442" s="15"/>
      <c r="AH1442" s="15">
        <f t="shared" si="210"/>
        <v>0</v>
      </c>
      <c r="AI1442" s="22">
        <f t="shared" si="211"/>
        <v>8000</v>
      </c>
      <c r="AJ1442" s="22">
        <f t="shared" si="212"/>
        <v>85600000</v>
      </c>
      <c r="AK1442" s="13"/>
    </row>
    <row r="1443" spans="1:37" s="165" customFormat="1" hidden="1">
      <c r="A1443" s="165" t="s">
        <v>1747</v>
      </c>
      <c r="B1443" s="13">
        <v>43606</v>
      </c>
      <c r="C1443" s="13" t="s">
        <v>1622</v>
      </c>
      <c r="D1443" s="165" t="s">
        <v>1187</v>
      </c>
      <c r="E1443" s="201" t="s">
        <v>1188</v>
      </c>
      <c r="F1443" s="201" t="str">
        <f t="shared" si="208"/>
        <v>PARA_16.18_175_NL2018</v>
      </c>
      <c r="G1443" s="201" t="s">
        <v>490</v>
      </c>
      <c r="H1443" s="240"/>
      <c r="I1443" s="240" t="s">
        <v>35</v>
      </c>
      <c r="J1443" s="241">
        <v>175</v>
      </c>
      <c r="K1443" s="196" t="s">
        <v>28</v>
      </c>
      <c r="L1443" s="196"/>
      <c r="M1443" s="187">
        <f t="shared" si="209"/>
        <v>23</v>
      </c>
      <c r="N1443" s="196">
        <v>4025</v>
      </c>
      <c r="O1443" s="196">
        <v>6200</v>
      </c>
      <c r="P1443" s="196">
        <f t="shared" si="207"/>
        <v>24955000</v>
      </c>
      <c r="Q1443" s="15" t="str">
        <f t="shared" si="223"/>
        <v/>
      </c>
      <c r="R1443" s="242" t="s">
        <v>63</v>
      </c>
      <c r="S1443" s="117">
        <v>43590</v>
      </c>
      <c r="T1443" s="20">
        <f>IFERROR(VLOOKUP(S1443,'Date Converter'!$A$4:$C$368,3,0),"")</f>
        <v>43623</v>
      </c>
      <c r="U1443" s="21">
        <f t="shared" si="217"/>
        <v>43623</v>
      </c>
      <c r="V1443" s="12"/>
      <c r="W1443" s="18"/>
      <c r="X1443" s="18"/>
      <c r="Y1443" s="18"/>
      <c r="Z1443" s="210"/>
      <c r="AA1443" s="15"/>
      <c r="AB1443" s="210"/>
      <c r="AC1443" s="15"/>
      <c r="AD1443" s="15"/>
      <c r="AE1443" s="15"/>
      <c r="AF1443" s="244"/>
      <c r="AG1443" s="15"/>
      <c r="AH1443" s="15">
        <f t="shared" si="210"/>
        <v>0</v>
      </c>
      <c r="AI1443" s="22">
        <f t="shared" si="211"/>
        <v>4025</v>
      </c>
      <c r="AJ1443" s="22">
        <f t="shared" si="212"/>
        <v>24955000</v>
      </c>
      <c r="AK1443" s="13"/>
    </row>
    <row r="1444" spans="1:37" s="165" customFormat="1" hidden="1">
      <c r="A1444" s="165" t="s">
        <v>1747</v>
      </c>
      <c r="B1444" s="13">
        <v>43606</v>
      </c>
      <c r="C1444" s="13" t="s">
        <v>1622</v>
      </c>
      <c r="D1444" s="165" t="s">
        <v>1187</v>
      </c>
      <c r="E1444" s="201" t="s">
        <v>1188</v>
      </c>
      <c r="F1444" s="201" t="str">
        <f t="shared" si="208"/>
        <v>OUTB_14.16_300_NL2018</v>
      </c>
      <c r="G1444" s="201" t="s">
        <v>1748</v>
      </c>
      <c r="H1444" s="240"/>
      <c r="I1444" s="240" t="s">
        <v>47</v>
      </c>
      <c r="J1444" s="241">
        <v>300</v>
      </c>
      <c r="K1444" s="196" t="s">
        <v>28</v>
      </c>
      <c r="L1444" s="196"/>
      <c r="M1444" s="187">
        <f t="shared" si="209"/>
        <v>10</v>
      </c>
      <c r="N1444" s="196">
        <v>3000</v>
      </c>
      <c r="O1444" s="196">
        <v>5400</v>
      </c>
      <c r="P1444" s="196">
        <f t="shared" si="207"/>
        <v>16200000</v>
      </c>
      <c r="Q1444" s="15" t="str">
        <f t="shared" si="223"/>
        <v/>
      </c>
      <c r="R1444" s="242" t="s">
        <v>63</v>
      </c>
      <c r="S1444" s="117">
        <v>43590</v>
      </c>
      <c r="T1444" s="20">
        <f>IFERROR(VLOOKUP(S1444,'Date Converter'!$A$4:$C$368,3,0),"")</f>
        <v>43623</v>
      </c>
      <c r="U1444" s="21">
        <f t="shared" si="217"/>
        <v>43623</v>
      </c>
      <c r="V1444" s="12"/>
      <c r="W1444" s="18"/>
      <c r="X1444" s="18"/>
      <c r="Y1444" s="18"/>
      <c r="Z1444" s="210"/>
      <c r="AA1444" s="15"/>
      <c r="AB1444" s="210"/>
      <c r="AC1444" s="15"/>
      <c r="AD1444" s="15"/>
      <c r="AE1444" s="15"/>
      <c r="AF1444" s="244"/>
      <c r="AG1444" s="15"/>
      <c r="AH1444" s="15">
        <f t="shared" si="210"/>
        <v>0</v>
      </c>
      <c r="AI1444" s="22">
        <f t="shared" si="211"/>
        <v>3000</v>
      </c>
      <c r="AJ1444" s="22">
        <f t="shared" si="212"/>
        <v>16200000</v>
      </c>
      <c r="AK1444" s="13"/>
    </row>
    <row r="1445" spans="1:37" s="165" customFormat="1" hidden="1">
      <c r="A1445" s="165" t="s">
        <v>1749</v>
      </c>
      <c r="B1445" s="13">
        <v>43595</v>
      </c>
      <c r="C1445" s="13" t="s">
        <v>1622</v>
      </c>
      <c r="D1445" s="258" t="s">
        <v>1187</v>
      </c>
      <c r="E1445" s="165" t="s">
        <v>1188</v>
      </c>
      <c r="F1445" s="165" t="str">
        <f t="shared" si="208"/>
        <v>MANI_20.22_125_NL2018</v>
      </c>
      <c r="G1445" s="165" t="s">
        <v>105</v>
      </c>
      <c r="H1445" s="12"/>
      <c r="I1445" s="12" t="s">
        <v>74</v>
      </c>
      <c r="J1445" s="14">
        <v>125</v>
      </c>
      <c r="K1445" s="15" t="s">
        <v>28</v>
      </c>
      <c r="L1445" s="15"/>
      <c r="M1445" s="16">
        <f t="shared" si="209"/>
        <v>64</v>
      </c>
      <c r="N1445" s="15">
        <v>8000</v>
      </c>
      <c r="O1445" s="15">
        <v>13600</v>
      </c>
      <c r="P1445" s="15">
        <f t="shared" si="207"/>
        <v>108800000</v>
      </c>
      <c r="Q1445" s="15" t="str">
        <f t="shared" si="223"/>
        <v/>
      </c>
      <c r="R1445" s="18" t="s">
        <v>29</v>
      </c>
      <c r="S1445" s="117">
        <v>43709</v>
      </c>
      <c r="T1445" s="20">
        <f>IFERROR(VLOOKUP(S1445,'Date Converter'!$A$4:$C$368,3,0),"")</f>
        <v>43737</v>
      </c>
      <c r="U1445" s="21">
        <f t="shared" si="217"/>
        <v>43737</v>
      </c>
      <c r="V1445" s="12"/>
      <c r="W1445" s="18"/>
      <c r="X1445" s="18"/>
      <c r="Y1445" s="18"/>
      <c r="Z1445" s="210"/>
      <c r="AA1445" s="15"/>
      <c r="AB1445" s="210"/>
      <c r="AC1445" s="15"/>
      <c r="AD1445" s="15"/>
      <c r="AE1445" s="15"/>
      <c r="AF1445" s="244"/>
      <c r="AG1445" s="15"/>
      <c r="AH1445" s="15">
        <f t="shared" si="210"/>
        <v>0</v>
      </c>
      <c r="AI1445" s="22">
        <f t="shared" si="211"/>
        <v>8000</v>
      </c>
      <c r="AJ1445" s="22">
        <f t="shared" si="212"/>
        <v>108800000</v>
      </c>
      <c r="AK1445" s="13"/>
    </row>
    <row r="1446" spans="1:37" s="165" customFormat="1" hidden="1">
      <c r="A1446" s="165" t="s">
        <v>1746</v>
      </c>
      <c r="B1446" s="13">
        <v>43517</v>
      </c>
      <c r="C1446" s="13" t="s">
        <v>1622</v>
      </c>
      <c r="D1446" s="165" t="s">
        <v>1187</v>
      </c>
      <c r="E1446" s="165" t="s">
        <v>1188</v>
      </c>
      <c r="F1446" s="165" t="str">
        <f t="shared" si="208"/>
        <v>CONC_16.18_200_NL2018</v>
      </c>
      <c r="G1446" s="165" t="s">
        <v>40</v>
      </c>
      <c r="H1446" s="12"/>
      <c r="I1446" s="12" t="s">
        <v>35</v>
      </c>
      <c r="J1446" s="14">
        <v>200</v>
      </c>
      <c r="K1446" s="15" t="s">
        <v>28</v>
      </c>
      <c r="L1446" s="15"/>
      <c r="M1446" s="16">
        <f t="shared" si="209"/>
        <v>15</v>
      </c>
      <c r="N1446" s="15">
        <v>3000</v>
      </c>
      <c r="O1446" s="15">
        <f>5000+90</f>
        <v>5090</v>
      </c>
      <c r="P1446" s="15">
        <f t="shared" si="207"/>
        <v>15270000</v>
      </c>
      <c r="Q1446" s="15" t="str">
        <f t="shared" si="223"/>
        <v>Done</v>
      </c>
      <c r="R1446" s="18" t="s">
        <v>44</v>
      </c>
      <c r="S1446" s="117">
        <v>43572</v>
      </c>
      <c r="T1446" s="20">
        <f>IFERROR(VLOOKUP(S1446,'Date Converter'!$A$4:$C$368,3,0),"")</f>
        <v>43606</v>
      </c>
      <c r="U1446" s="21">
        <f t="shared" si="217"/>
        <v>43606</v>
      </c>
      <c r="V1446" s="12" t="s">
        <v>57</v>
      </c>
      <c r="W1446" s="18" t="s">
        <v>86</v>
      </c>
      <c r="X1446" s="18"/>
      <c r="Y1446" s="18"/>
      <c r="Z1446" s="210">
        <v>43619</v>
      </c>
      <c r="AA1446" s="15">
        <v>3000</v>
      </c>
      <c r="AB1446" s="210"/>
      <c r="AC1446" s="15"/>
      <c r="AD1446" s="15"/>
      <c r="AE1446" s="15"/>
      <c r="AF1446" s="244"/>
      <c r="AG1446" s="15"/>
      <c r="AH1446" s="15">
        <f t="shared" si="210"/>
        <v>3000</v>
      </c>
      <c r="AI1446" s="22">
        <f t="shared" si="211"/>
        <v>0</v>
      </c>
      <c r="AJ1446" s="22">
        <f t="shared" si="212"/>
        <v>0</v>
      </c>
      <c r="AK1446" s="13">
        <v>43874</v>
      </c>
    </row>
    <row r="1447" spans="1:37" s="165" customFormat="1" hidden="1">
      <c r="A1447" s="165" t="s">
        <v>1747</v>
      </c>
      <c r="B1447" s="13">
        <v>43606</v>
      </c>
      <c r="C1447" s="13" t="s">
        <v>1622</v>
      </c>
      <c r="D1447" s="165" t="s">
        <v>1187</v>
      </c>
      <c r="E1447" s="183" t="s">
        <v>1188</v>
      </c>
      <c r="F1447" s="183" t="str">
        <f t="shared" si="208"/>
        <v>CONC_18.20_150_NL2018</v>
      </c>
      <c r="G1447" s="183" t="s">
        <v>40</v>
      </c>
      <c r="H1447" s="184"/>
      <c r="I1447" s="184" t="s">
        <v>27</v>
      </c>
      <c r="J1447" s="186">
        <v>150</v>
      </c>
      <c r="K1447" s="185" t="s">
        <v>28</v>
      </c>
      <c r="L1447" s="185"/>
      <c r="M1447" s="187">
        <f t="shared" si="209"/>
        <v>20</v>
      </c>
      <c r="N1447" s="185">
        <v>3000</v>
      </c>
      <c r="O1447" s="185">
        <v>7500</v>
      </c>
      <c r="P1447" s="185">
        <f t="shared" si="207"/>
        <v>22500000</v>
      </c>
      <c r="Q1447" s="15" t="str">
        <f t="shared" si="223"/>
        <v/>
      </c>
      <c r="R1447" s="189" t="s">
        <v>31</v>
      </c>
      <c r="S1447" s="117">
        <v>43631</v>
      </c>
      <c r="T1447" s="20">
        <f>IFERROR(VLOOKUP(S1447,'Date Converter'!$A$4:$C$368,3,0),"")</f>
        <v>43663</v>
      </c>
      <c r="U1447" s="21">
        <f t="shared" si="217"/>
        <v>43663</v>
      </c>
      <c r="V1447" s="12"/>
      <c r="W1447" s="18"/>
      <c r="X1447" s="18"/>
      <c r="Y1447" s="18"/>
      <c r="Z1447" s="210"/>
      <c r="AA1447" s="15"/>
      <c r="AB1447" s="210"/>
      <c r="AC1447" s="15"/>
      <c r="AD1447" s="15"/>
      <c r="AE1447" s="15"/>
      <c r="AF1447" s="244"/>
      <c r="AG1447" s="15"/>
      <c r="AH1447" s="15">
        <f t="shared" si="210"/>
        <v>0</v>
      </c>
      <c r="AI1447" s="22">
        <f t="shared" si="211"/>
        <v>3000</v>
      </c>
      <c r="AJ1447" s="22">
        <f t="shared" si="212"/>
        <v>22500000</v>
      </c>
      <c r="AK1447" s="13"/>
    </row>
    <row r="1448" spans="1:37" s="165" customFormat="1" hidden="1">
      <c r="A1448" s="165" t="s">
        <v>1747</v>
      </c>
      <c r="B1448" s="13">
        <v>43606</v>
      </c>
      <c r="C1448" s="13" t="s">
        <v>1622</v>
      </c>
      <c r="D1448" s="165" t="s">
        <v>1187</v>
      </c>
      <c r="E1448" s="165" t="s">
        <v>1188</v>
      </c>
      <c r="F1448" s="165" t="str">
        <f t="shared" si="208"/>
        <v>CONC_18.20_150_NL2018</v>
      </c>
      <c r="G1448" s="165" t="s">
        <v>40</v>
      </c>
      <c r="H1448" s="12"/>
      <c r="I1448" s="12" t="s">
        <v>27</v>
      </c>
      <c r="J1448" s="14">
        <v>150</v>
      </c>
      <c r="K1448" s="15" t="s">
        <v>28</v>
      </c>
      <c r="L1448" s="15"/>
      <c r="M1448" s="16">
        <f t="shared" si="209"/>
        <v>20</v>
      </c>
      <c r="N1448" s="15">
        <v>3000</v>
      </c>
      <c r="O1448" s="15">
        <v>7700</v>
      </c>
      <c r="P1448" s="15">
        <f t="shared" si="207"/>
        <v>23100000</v>
      </c>
      <c r="Q1448" s="15" t="str">
        <f t="shared" si="223"/>
        <v/>
      </c>
      <c r="R1448" s="18" t="s">
        <v>29</v>
      </c>
      <c r="S1448" s="117">
        <v>43647</v>
      </c>
      <c r="T1448" s="20">
        <f>IFERROR(VLOOKUP(S1448,'Date Converter'!$A$4:$C$368,3,0),"")</f>
        <v>43678</v>
      </c>
      <c r="U1448" s="21">
        <f t="shared" si="217"/>
        <v>43678</v>
      </c>
      <c r="V1448" s="12"/>
      <c r="W1448" s="18"/>
      <c r="X1448" s="18"/>
      <c r="Y1448" s="18"/>
      <c r="Z1448" s="210"/>
      <c r="AA1448" s="15"/>
      <c r="AB1448" s="210"/>
      <c r="AC1448" s="15"/>
      <c r="AD1448" s="15"/>
      <c r="AE1448" s="15"/>
      <c r="AF1448" s="244"/>
      <c r="AG1448" s="15"/>
      <c r="AH1448" s="15">
        <f t="shared" si="210"/>
        <v>0</v>
      </c>
      <c r="AI1448" s="22">
        <f t="shared" si="211"/>
        <v>3000</v>
      </c>
      <c r="AJ1448" s="22">
        <f t="shared" si="212"/>
        <v>23100000</v>
      </c>
      <c r="AK1448" s="13"/>
    </row>
    <row r="1449" spans="1:37" s="165" customFormat="1" hidden="1">
      <c r="A1449" s="165" t="s">
        <v>1747</v>
      </c>
      <c r="B1449" s="13">
        <v>43606</v>
      </c>
      <c r="C1449" s="13" t="s">
        <v>1622</v>
      </c>
      <c r="D1449" s="165" t="s">
        <v>1187</v>
      </c>
      <c r="E1449" s="165" t="s">
        <v>1188</v>
      </c>
      <c r="F1449" s="165" t="str">
        <f t="shared" si="208"/>
        <v>CONC_18.20_150_NL2018</v>
      </c>
      <c r="G1449" s="165" t="s">
        <v>40</v>
      </c>
      <c r="H1449" s="12"/>
      <c r="I1449" s="12" t="s">
        <v>27</v>
      </c>
      <c r="J1449" s="14">
        <v>150</v>
      </c>
      <c r="K1449" s="15" t="s">
        <v>28</v>
      </c>
      <c r="L1449" s="15"/>
      <c r="M1449" s="16">
        <f t="shared" si="209"/>
        <v>20</v>
      </c>
      <c r="N1449" s="15">
        <v>3000</v>
      </c>
      <c r="O1449" s="15">
        <v>7800</v>
      </c>
      <c r="P1449" s="15">
        <f t="shared" si="207"/>
        <v>23400000</v>
      </c>
      <c r="Q1449" s="15" t="str">
        <f t="shared" si="223"/>
        <v/>
      </c>
      <c r="R1449" s="18" t="s">
        <v>29</v>
      </c>
      <c r="S1449" s="117">
        <v>43678</v>
      </c>
      <c r="T1449" s="20">
        <f>IFERROR(VLOOKUP(S1449,'Date Converter'!$A$4:$C$368,3,0),"")</f>
        <v>43707</v>
      </c>
      <c r="U1449" s="21">
        <f t="shared" si="217"/>
        <v>43707</v>
      </c>
      <c r="V1449" s="12"/>
      <c r="W1449" s="18"/>
      <c r="X1449" s="18"/>
      <c r="Y1449" s="18"/>
      <c r="Z1449" s="210"/>
      <c r="AA1449" s="15"/>
      <c r="AB1449" s="210"/>
      <c r="AC1449" s="15"/>
      <c r="AD1449" s="15"/>
      <c r="AE1449" s="15"/>
      <c r="AF1449" s="244"/>
      <c r="AG1449" s="15"/>
      <c r="AH1449" s="15">
        <f t="shared" si="210"/>
        <v>0</v>
      </c>
      <c r="AI1449" s="22">
        <f t="shared" si="211"/>
        <v>3000</v>
      </c>
      <c r="AJ1449" s="22">
        <f t="shared" si="212"/>
        <v>23400000</v>
      </c>
      <c r="AK1449" s="13"/>
    </row>
    <row r="1450" spans="1:37" s="165" customFormat="1" hidden="1">
      <c r="A1450" s="165" t="s">
        <v>1746</v>
      </c>
      <c r="B1450" s="13">
        <v>43617</v>
      </c>
      <c r="C1450" s="13" t="s">
        <v>1622</v>
      </c>
      <c r="D1450" s="165" t="s">
        <v>1187</v>
      </c>
      <c r="E1450" s="165" t="s">
        <v>1188</v>
      </c>
      <c r="F1450" s="165" t="str">
        <f t="shared" si="208"/>
        <v>AMAT_14.16_275_NL2018</v>
      </c>
      <c r="G1450" s="165" t="s">
        <v>112</v>
      </c>
      <c r="H1450" s="12"/>
      <c r="I1450" s="12" t="s">
        <v>47</v>
      </c>
      <c r="J1450" s="14">
        <v>275</v>
      </c>
      <c r="K1450" s="15" t="s">
        <v>28</v>
      </c>
      <c r="L1450" s="15"/>
      <c r="M1450" s="16">
        <f t="shared" si="209"/>
        <v>0</v>
      </c>
      <c r="N1450" s="15">
        <f>1925-1925</f>
        <v>0</v>
      </c>
      <c r="O1450" s="15">
        <v>4500</v>
      </c>
      <c r="P1450" s="15">
        <f t="shared" si="207"/>
        <v>0</v>
      </c>
      <c r="Q1450" s="15" t="str">
        <f t="shared" si="223"/>
        <v>Canceled</v>
      </c>
      <c r="R1450" s="18" t="s">
        <v>71</v>
      </c>
      <c r="S1450" s="117">
        <v>43603</v>
      </c>
      <c r="T1450" s="20">
        <f>IFERROR(VLOOKUP(S1450,'Date Converter'!$A$4:$C$368,3,0),"")</f>
        <v>43636</v>
      </c>
      <c r="U1450" s="21">
        <f t="shared" si="217"/>
        <v>43636</v>
      </c>
      <c r="V1450" s="12"/>
      <c r="W1450" s="18"/>
      <c r="X1450" s="18"/>
      <c r="Y1450" s="18"/>
      <c r="Z1450" s="210"/>
      <c r="AA1450" s="15"/>
      <c r="AB1450" s="210"/>
      <c r="AC1450" s="15"/>
      <c r="AD1450" s="15"/>
      <c r="AE1450" s="15"/>
      <c r="AF1450" s="244"/>
      <c r="AG1450" s="15"/>
      <c r="AH1450" s="15">
        <f t="shared" si="210"/>
        <v>0</v>
      </c>
      <c r="AI1450" s="22">
        <f t="shared" si="211"/>
        <v>0</v>
      </c>
      <c r="AJ1450" s="22">
        <f t="shared" si="212"/>
        <v>0</v>
      </c>
      <c r="AK1450" s="13"/>
    </row>
    <row r="1451" spans="1:37" s="165" customFormat="1" hidden="1">
      <c r="A1451" s="165" t="s">
        <v>1750</v>
      </c>
      <c r="B1451" s="13">
        <v>43528</v>
      </c>
      <c r="C1451" s="13" t="s">
        <v>1622</v>
      </c>
      <c r="D1451" s="165" t="s">
        <v>841</v>
      </c>
      <c r="E1451" s="165" t="s">
        <v>842</v>
      </c>
      <c r="F1451" s="165" t="str">
        <f t="shared" si="208"/>
        <v>YELL_14.16_300_NL2018</v>
      </c>
      <c r="G1451" s="165" t="s">
        <v>89</v>
      </c>
      <c r="H1451" s="12"/>
      <c r="I1451" s="12" t="s">
        <v>47</v>
      </c>
      <c r="J1451" s="14">
        <v>300</v>
      </c>
      <c r="K1451" s="15" t="s">
        <v>28</v>
      </c>
      <c r="L1451" s="15"/>
      <c r="M1451" s="16">
        <f t="shared" si="209"/>
        <v>0</v>
      </c>
      <c r="N1451" s="15">
        <f>50100-50100</f>
        <v>0</v>
      </c>
      <c r="O1451" s="15">
        <v>3600</v>
      </c>
      <c r="P1451" s="15">
        <f t="shared" ref="P1451:P1518" si="224">+O1451*N1451</f>
        <v>0</v>
      </c>
      <c r="Q1451" s="15" t="str">
        <f t="shared" si="223"/>
        <v>Canceled</v>
      </c>
      <c r="R1451" s="18" t="s">
        <v>71</v>
      </c>
      <c r="S1451" s="117"/>
      <c r="T1451" s="20" t="str">
        <f>IFERROR(VLOOKUP(S1451,'Date Converter'!$A$4:$C$368,3,0),"")</f>
        <v/>
      </c>
      <c r="U1451" s="21" t="str">
        <f t="shared" si="217"/>
        <v/>
      </c>
      <c r="V1451" s="12" t="s">
        <v>1752</v>
      </c>
      <c r="W1451" s="18"/>
      <c r="X1451" s="18"/>
      <c r="Y1451" s="18"/>
      <c r="Z1451" s="210"/>
      <c r="AA1451" s="15">
        <v>0</v>
      </c>
      <c r="AB1451" s="210"/>
      <c r="AC1451" s="15"/>
      <c r="AD1451" s="15"/>
      <c r="AE1451" s="15"/>
      <c r="AF1451" s="244"/>
      <c r="AG1451" s="15"/>
      <c r="AH1451" s="15">
        <f t="shared" si="210"/>
        <v>0</v>
      </c>
      <c r="AI1451" s="22">
        <f t="shared" si="211"/>
        <v>0</v>
      </c>
      <c r="AJ1451" s="22">
        <f t="shared" si="212"/>
        <v>0</v>
      </c>
      <c r="AK1451" s="13">
        <v>43874</v>
      </c>
    </row>
    <row r="1452" spans="1:37" s="165" customFormat="1" hidden="1">
      <c r="A1452" s="165" t="s">
        <v>1753</v>
      </c>
      <c r="B1452" s="13">
        <v>43528</v>
      </c>
      <c r="C1452" s="267" t="s">
        <v>1622</v>
      </c>
      <c r="D1452" s="258" t="s">
        <v>841</v>
      </c>
      <c r="E1452" s="97" t="s">
        <v>842</v>
      </c>
      <c r="F1452" s="165" t="str">
        <f t="shared" si="208"/>
        <v>TARR_20.22_125_NL2018</v>
      </c>
      <c r="G1452" s="165" t="s">
        <v>62</v>
      </c>
      <c r="H1452" s="12"/>
      <c r="I1452" s="12" t="s">
        <v>74</v>
      </c>
      <c r="J1452" s="14">
        <v>125</v>
      </c>
      <c r="K1452" s="15" t="s">
        <v>28</v>
      </c>
      <c r="L1452" s="15"/>
      <c r="M1452" s="16">
        <f t="shared" si="209"/>
        <v>120</v>
      </c>
      <c r="N1452" s="15">
        <v>15000</v>
      </c>
      <c r="O1452" s="15">
        <v>11000</v>
      </c>
      <c r="P1452" s="15">
        <f t="shared" si="224"/>
        <v>165000000</v>
      </c>
      <c r="Q1452" s="15" t="str">
        <f t="shared" si="223"/>
        <v/>
      </c>
      <c r="R1452" s="18" t="s">
        <v>29</v>
      </c>
      <c r="S1452" s="117">
        <v>43709</v>
      </c>
      <c r="T1452" s="20">
        <f>IFERROR(VLOOKUP(S1452,'Date Converter'!$A$4:$C$368,3,0),"")</f>
        <v>43737</v>
      </c>
      <c r="U1452" s="21">
        <f t="shared" si="217"/>
        <v>43737</v>
      </c>
      <c r="V1452" s="12" t="s">
        <v>51</v>
      </c>
      <c r="W1452" s="18"/>
      <c r="X1452" s="18"/>
      <c r="Y1452" s="18"/>
      <c r="Z1452" s="210"/>
      <c r="AA1452" s="15"/>
      <c r="AB1452" s="210"/>
      <c r="AC1452" s="15"/>
      <c r="AD1452" s="15"/>
      <c r="AE1452" s="15"/>
      <c r="AF1452" s="244"/>
      <c r="AG1452" s="15"/>
      <c r="AH1452" s="15">
        <f t="shared" si="210"/>
        <v>0</v>
      </c>
      <c r="AI1452" s="22">
        <f t="shared" si="211"/>
        <v>15000</v>
      </c>
      <c r="AJ1452" s="22">
        <f t="shared" si="212"/>
        <v>165000000</v>
      </c>
      <c r="AK1452" s="13"/>
    </row>
    <row r="1453" spans="1:37" s="165" customFormat="1" hidden="1">
      <c r="A1453" s="165" t="s">
        <v>1753</v>
      </c>
      <c r="B1453" s="13">
        <v>43528</v>
      </c>
      <c r="C1453" s="267" t="s">
        <v>1622</v>
      </c>
      <c r="D1453" s="258" t="s">
        <v>841</v>
      </c>
      <c r="E1453" s="97" t="s">
        <v>842</v>
      </c>
      <c r="F1453" s="165" t="str">
        <f t="shared" si="208"/>
        <v>ROBI_24.26_80_NL2018</v>
      </c>
      <c r="G1453" s="165" t="s">
        <v>61</v>
      </c>
      <c r="H1453" s="12"/>
      <c r="I1453" s="12" t="s">
        <v>220</v>
      </c>
      <c r="J1453" s="14">
        <v>80</v>
      </c>
      <c r="K1453" s="15" t="s">
        <v>28</v>
      </c>
      <c r="L1453" s="15"/>
      <c r="M1453" s="16">
        <f t="shared" si="209"/>
        <v>188</v>
      </c>
      <c r="N1453" s="15">
        <v>15040</v>
      </c>
      <c r="O1453" s="15">
        <v>15400</v>
      </c>
      <c r="P1453" s="15">
        <f t="shared" si="224"/>
        <v>231616000</v>
      </c>
      <c r="Q1453" s="15" t="str">
        <f t="shared" si="223"/>
        <v/>
      </c>
      <c r="R1453" s="18" t="s">
        <v>29</v>
      </c>
      <c r="S1453" s="117">
        <v>43709</v>
      </c>
      <c r="T1453" s="20">
        <f>IFERROR(VLOOKUP(S1453,'Date Converter'!$A$4:$C$368,3,0),"")</f>
        <v>43737</v>
      </c>
      <c r="U1453" s="21">
        <f t="shared" si="217"/>
        <v>43737</v>
      </c>
      <c r="V1453" s="12" t="s">
        <v>51</v>
      </c>
      <c r="W1453" s="18"/>
      <c r="X1453" s="18"/>
      <c r="Y1453" s="18"/>
      <c r="Z1453" s="210"/>
      <c r="AA1453" s="15"/>
      <c r="AB1453" s="210"/>
      <c r="AC1453" s="15"/>
      <c r="AD1453" s="15"/>
      <c r="AE1453" s="15"/>
      <c r="AF1453" s="244"/>
      <c r="AG1453" s="15"/>
      <c r="AH1453" s="15">
        <f t="shared" si="210"/>
        <v>0</v>
      </c>
      <c r="AI1453" s="22">
        <f t="shared" si="211"/>
        <v>15040</v>
      </c>
      <c r="AJ1453" s="22">
        <f t="shared" si="212"/>
        <v>231616000</v>
      </c>
      <c r="AK1453" s="13"/>
    </row>
    <row r="1454" spans="1:37" s="165" customFormat="1" hidden="1">
      <c r="A1454" s="165" t="s">
        <v>1750</v>
      </c>
      <c r="B1454" s="13">
        <v>43528</v>
      </c>
      <c r="C1454" s="13" t="s">
        <v>1622</v>
      </c>
      <c r="D1454" s="165" t="s">
        <v>841</v>
      </c>
      <c r="E1454" s="165" t="s">
        <v>842</v>
      </c>
      <c r="F1454" s="165" t="str">
        <f t="shared" si="208"/>
        <v>MANI_16.18_200_NL2018</v>
      </c>
      <c r="G1454" s="165" t="s">
        <v>1854</v>
      </c>
      <c r="H1454" s="12"/>
      <c r="I1454" s="12" t="s">
        <v>35</v>
      </c>
      <c r="J1454" s="14">
        <v>200</v>
      </c>
      <c r="K1454" s="15" t="s">
        <v>28</v>
      </c>
      <c r="L1454" s="15"/>
      <c r="M1454" s="16">
        <f t="shared" si="209"/>
        <v>150</v>
      </c>
      <c r="N1454" s="15">
        <v>30000</v>
      </c>
      <c r="O1454" s="15">
        <v>6830</v>
      </c>
      <c r="P1454" s="15">
        <f t="shared" si="224"/>
        <v>204900000</v>
      </c>
      <c r="Q1454" s="15" t="str">
        <f t="shared" si="223"/>
        <v>Done</v>
      </c>
      <c r="R1454" s="18" t="s">
        <v>44</v>
      </c>
      <c r="S1454" s="117">
        <v>43584</v>
      </c>
      <c r="T1454" s="20">
        <f>IFERROR(VLOOKUP(S1454,'Date Converter'!$A$4:$C$368,3,0),"")</f>
        <v>43618</v>
      </c>
      <c r="U1454" s="21">
        <f t="shared" si="217"/>
        <v>43618</v>
      </c>
      <c r="V1454" s="12" t="s">
        <v>443</v>
      </c>
      <c r="W1454" s="18"/>
      <c r="X1454" s="18"/>
      <c r="Y1454" s="18"/>
      <c r="Z1454" s="210">
        <v>43626</v>
      </c>
      <c r="AA1454" s="15">
        <v>30000</v>
      </c>
      <c r="AB1454" s="210"/>
      <c r="AC1454" s="15"/>
      <c r="AD1454" s="15"/>
      <c r="AE1454" s="15"/>
      <c r="AF1454" s="244"/>
      <c r="AG1454" s="15"/>
      <c r="AH1454" s="15">
        <f t="shared" si="210"/>
        <v>30000</v>
      </c>
      <c r="AI1454" s="22">
        <f t="shared" si="211"/>
        <v>0</v>
      </c>
      <c r="AJ1454" s="22">
        <f t="shared" si="212"/>
        <v>0</v>
      </c>
      <c r="AK1454" s="13">
        <v>43874</v>
      </c>
    </row>
    <row r="1455" spans="1:37" s="165" customFormat="1" hidden="1">
      <c r="A1455" s="165" t="s">
        <v>1750</v>
      </c>
      <c r="B1455" s="13">
        <v>43528</v>
      </c>
      <c r="C1455" s="13" t="s">
        <v>1622</v>
      </c>
      <c r="D1455" s="165" t="s">
        <v>841</v>
      </c>
      <c r="E1455" s="165" t="s">
        <v>842</v>
      </c>
      <c r="F1455" s="165" t="str">
        <f t="shared" si="208"/>
        <v>MANI_16.18_200_NL2018</v>
      </c>
      <c r="G1455" s="165" t="s">
        <v>105</v>
      </c>
      <c r="H1455" s="12"/>
      <c r="I1455" s="12" t="s">
        <v>35</v>
      </c>
      <c r="J1455" s="14">
        <v>200</v>
      </c>
      <c r="K1455" s="15" t="s">
        <v>28</v>
      </c>
      <c r="L1455" s="15"/>
      <c r="M1455" s="16">
        <f t="shared" si="209"/>
        <v>70</v>
      </c>
      <c r="N1455" s="15">
        <v>14000</v>
      </c>
      <c r="O1455" s="15">
        <v>6700</v>
      </c>
      <c r="P1455" s="15">
        <f t="shared" si="224"/>
        <v>93800000</v>
      </c>
      <c r="Q1455" s="15" t="str">
        <f t="shared" si="223"/>
        <v>Done</v>
      </c>
      <c r="R1455" s="18" t="s">
        <v>44</v>
      </c>
      <c r="S1455" s="117" t="s">
        <v>151</v>
      </c>
      <c r="T1455" s="20">
        <f>IFERROR(VLOOKUP(S1455,'Date Converter'!$A$4:$C$368,3,0),"")</f>
        <v>43558</v>
      </c>
      <c r="U1455" s="21">
        <f t="shared" si="217"/>
        <v>43558</v>
      </c>
      <c r="V1455" s="12" t="s">
        <v>54</v>
      </c>
      <c r="W1455" s="18" t="s">
        <v>107</v>
      </c>
      <c r="X1455" s="18"/>
      <c r="Y1455" s="18"/>
      <c r="Z1455" s="210">
        <v>43557</v>
      </c>
      <c r="AA1455" s="15">
        <v>14000</v>
      </c>
      <c r="AB1455" s="210"/>
      <c r="AC1455" s="15"/>
      <c r="AD1455" s="15"/>
      <c r="AE1455" s="15"/>
      <c r="AF1455" s="244"/>
      <c r="AG1455" s="15"/>
      <c r="AH1455" s="15">
        <f t="shared" si="210"/>
        <v>14000</v>
      </c>
      <c r="AI1455" s="22">
        <f t="shared" si="211"/>
        <v>0</v>
      </c>
      <c r="AJ1455" s="22">
        <f t="shared" si="212"/>
        <v>0</v>
      </c>
      <c r="AK1455" s="13">
        <v>43874</v>
      </c>
    </row>
    <row r="1456" spans="1:37" s="165" customFormat="1" hidden="1">
      <c r="A1456" s="165" t="s">
        <v>1750</v>
      </c>
      <c r="B1456" s="13">
        <v>43528</v>
      </c>
      <c r="C1456" s="13" t="s">
        <v>1622</v>
      </c>
      <c r="D1456" s="165" t="s">
        <v>841</v>
      </c>
      <c r="E1456" s="165" t="s">
        <v>842</v>
      </c>
      <c r="F1456" s="165" t="str">
        <f t="shared" si="208"/>
        <v>MANI_PR_16.18_200_NL2018</v>
      </c>
      <c r="G1456" s="165" t="s">
        <v>105</v>
      </c>
      <c r="H1456" s="12" t="s">
        <v>106</v>
      </c>
      <c r="I1456" s="12" t="s">
        <v>35</v>
      </c>
      <c r="J1456" s="14">
        <v>200</v>
      </c>
      <c r="K1456" s="15" t="s">
        <v>28</v>
      </c>
      <c r="L1456" s="15"/>
      <c r="M1456" s="16">
        <f t="shared" si="209"/>
        <v>5</v>
      </c>
      <c r="N1456" s="15">
        <v>1000</v>
      </c>
      <c r="O1456" s="15">
        <v>6700</v>
      </c>
      <c r="P1456" s="15">
        <f t="shared" si="224"/>
        <v>6700000</v>
      </c>
      <c r="Q1456" s="15" t="str">
        <f t="shared" si="223"/>
        <v>Done</v>
      </c>
      <c r="R1456" s="18" t="s">
        <v>44</v>
      </c>
      <c r="S1456" s="117" t="s">
        <v>151</v>
      </c>
      <c r="T1456" s="20">
        <f>IFERROR(VLOOKUP(S1456,'Date Converter'!$A$4:$C$368,3,0),"")</f>
        <v>43558</v>
      </c>
      <c r="U1456" s="21">
        <f t="shared" si="217"/>
        <v>43558</v>
      </c>
      <c r="V1456" s="12" t="s">
        <v>54</v>
      </c>
      <c r="W1456" s="18"/>
      <c r="X1456" s="18"/>
      <c r="Y1456" s="18"/>
      <c r="Z1456" s="210">
        <v>43557</v>
      </c>
      <c r="AA1456" s="15">
        <v>1000</v>
      </c>
      <c r="AB1456" s="210"/>
      <c r="AC1456" s="15"/>
      <c r="AD1456" s="15"/>
      <c r="AE1456" s="15"/>
      <c r="AF1456" s="244"/>
      <c r="AG1456" s="15"/>
      <c r="AH1456" s="15">
        <f t="shared" si="210"/>
        <v>1000</v>
      </c>
      <c r="AI1456" s="22">
        <f t="shared" si="211"/>
        <v>0</v>
      </c>
      <c r="AJ1456" s="22">
        <f t="shared" si="212"/>
        <v>0</v>
      </c>
      <c r="AK1456" s="13"/>
    </row>
    <row r="1457" spans="1:38" s="165" customFormat="1" hidden="1">
      <c r="A1457" s="165" t="s">
        <v>1750</v>
      </c>
      <c r="B1457" s="13">
        <v>43528</v>
      </c>
      <c r="C1457" s="13" t="s">
        <v>1622</v>
      </c>
      <c r="D1457" s="165" t="s">
        <v>841</v>
      </c>
      <c r="E1457" s="165" t="s">
        <v>842</v>
      </c>
      <c r="F1457" s="165" t="str">
        <f t="shared" si="208"/>
        <v>MANI_16.18_200_NL2018</v>
      </c>
      <c r="G1457" s="165" t="s">
        <v>105</v>
      </c>
      <c r="H1457" s="12"/>
      <c r="I1457" s="12" t="s">
        <v>35</v>
      </c>
      <c r="J1457" s="14">
        <v>200</v>
      </c>
      <c r="K1457" s="15" t="s">
        <v>28</v>
      </c>
      <c r="L1457" s="15" t="s">
        <v>1751</v>
      </c>
      <c r="M1457" s="16">
        <f t="shared" si="209"/>
        <v>50</v>
      </c>
      <c r="N1457" s="15">
        <f>40000-30000</f>
        <v>10000</v>
      </c>
      <c r="O1457" s="15">
        <v>6785</v>
      </c>
      <c r="P1457" s="15">
        <f t="shared" si="224"/>
        <v>67850000</v>
      </c>
      <c r="Q1457" s="15" t="str">
        <f t="shared" si="223"/>
        <v>Done</v>
      </c>
      <c r="R1457" s="18" t="s">
        <v>44</v>
      </c>
      <c r="S1457" s="117">
        <v>43572</v>
      </c>
      <c r="T1457" s="20">
        <f>IFERROR(VLOOKUP(S1457,'Date Converter'!$A$4:$C$368,3,0),"")</f>
        <v>43606</v>
      </c>
      <c r="U1457" s="21">
        <f t="shared" si="217"/>
        <v>43606</v>
      </c>
      <c r="V1457" s="12" t="s">
        <v>1416</v>
      </c>
      <c r="W1457" s="18"/>
      <c r="X1457" s="18"/>
      <c r="Y1457" s="18"/>
      <c r="Z1457" s="210">
        <v>43605</v>
      </c>
      <c r="AA1457" s="15">
        <v>10000</v>
      </c>
      <c r="AB1457" s="210"/>
      <c r="AC1457" s="15"/>
      <c r="AD1457" s="15"/>
      <c r="AE1457" s="15"/>
      <c r="AF1457" s="244"/>
      <c r="AG1457" s="15"/>
      <c r="AH1457" s="15">
        <f t="shared" si="210"/>
        <v>10000</v>
      </c>
      <c r="AI1457" s="22">
        <f t="shared" si="211"/>
        <v>0</v>
      </c>
      <c r="AJ1457" s="22">
        <f t="shared" si="212"/>
        <v>0</v>
      </c>
      <c r="AK1457" s="13">
        <v>43874</v>
      </c>
      <c r="AL1457" s="165" t="s">
        <v>1695</v>
      </c>
    </row>
    <row r="1458" spans="1:38" s="165" customFormat="1" hidden="1">
      <c r="A1458" s="165" t="s">
        <v>1750</v>
      </c>
      <c r="B1458" s="13">
        <v>43528</v>
      </c>
      <c r="C1458" s="13" t="s">
        <v>1622</v>
      </c>
      <c r="D1458" s="165" t="s">
        <v>841</v>
      </c>
      <c r="E1458" s="165" t="s">
        <v>842</v>
      </c>
      <c r="F1458" s="165" t="str">
        <f t="shared" ref="F1458:F1525" si="225">SUBSTITUTE(LEFT(G1458,4)&amp;"_"&amp;H1458&amp;"_"&amp;I1458&amp;"_"&amp;J1458&amp;"_"&amp;K1458,"__","_")</f>
        <v>MANI_16.18_200_NL2018</v>
      </c>
      <c r="G1458" s="165" t="s">
        <v>105</v>
      </c>
      <c r="H1458" s="12"/>
      <c r="I1458" s="12" t="s">
        <v>35</v>
      </c>
      <c r="J1458" s="14">
        <v>200</v>
      </c>
      <c r="K1458" s="15" t="s">
        <v>28</v>
      </c>
      <c r="L1458" s="15"/>
      <c r="M1458" s="16">
        <f t="shared" ref="M1458:M1525" si="226">+N1458/J1458</f>
        <v>125</v>
      </c>
      <c r="N1458" s="15">
        <v>25000</v>
      </c>
      <c r="O1458" s="15">
        <v>6700</v>
      </c>
      <c r="P1458" s="15">
        <f t="shared" si="224"/>
        <v>167500000</v>
      </c>
      <c r="Q1458" s="15" t="str">
        <f t="shared" si="223"/>
        <v>Done</v>
      </c>
      <c r="R1458" s="18" t="s">
        <v>44</v>
      </c>
      <c r="S1458" s="117">
        <v>43539</v>
      </c>
      <c r="T1458" s="20">
        <f>IFERROR(VLOOKUP(S1458,'Date Converter'!$A$4:$C$368,3,0),"")</f>
        <v>43574</v>
      </c>
      <c r="U1458" s="21">
        <f t="shared" si="217"/>
        <v>43574</v>
      </c>
      <c r="V1458" s="12" t="s">
        <v>57</v>
      </c>
      <c r="W1458" s="18" t="s">
        <v>79</v>
      </c>
      <c r="X1458" s="18"/>
      <c r="Y1458" s="18"/>
      <c r="Z1458" s="210">
        <v>43578</v>
      </c>
      <c r="AA1458" s="15">
        <v>25000</v>
      </c>
      <c r="AB1458" s="210"/>
      <c r="AC1458" s="15"/>
      <c r="AD1458" s="15"/>
      <c r="AE1458" s="15"/>
      <c r="AF1458" s="244"/>
      <c r="AG1458" s="15"/>
      <c r="AH1458" s="15">
        <f t="shared" ref="AH1458:AH1525" si="227">+AA1458+AC1458+AE1458+AG1458</f>
        <v>25000</v>
      </c>
      <c r="AI1458" s="22">
        <f t="shared" ref="AI1458:AI1525" si="228">+N1458-AH1458</f>
        <v>0</v>
      </c>
      <c r="AJ1458" s="22">
        <f t="shared" ref="AJ1458:AJ1525" si="229">+AI1458*O1458</f>
        <v>0</v>
      </c>
      <c r="AK1458" s="13">
        <v>43874</v>
      </c>
    </row>
    <row r="1459" spans="1:38" s="165" customFormat="1" hidden="1">
      <c r="A1459" s="165" t="s">
        <v>1750</v>
      </c>
      <c r="B1459" s="13">
        <v>43528</v>
      </c>
      <c r="C1459" s="13" t="s">
        <v>1622</v>
      </c>
      <c r="D1459" s="165" t="s">
        <v>841</v>
      </c>
      <c r="E1459" s="165" t="s">
        <v>842</v>
      </c>
      <c r="F1459" s="165" t="str">
        <f t="shared" si="225"/>
        <v>MANI_16.18_200_NL2018</v>
      </c>
      <c r="G1459" s="165" t="s">
        <v>105</v>
      </c>
      <c r="H1459" s="12"/>
      <c r="I1459" s="12" t="s">
        <v>35</v>
      </c>
      <c r="J1459" s="14">
        <v>200</v>
      </c>
      <c r="K1459" s="15" t="s">
        <v>28</v>
      </c>
      <c r="L1459" s="15"/>
      <c r="M1459" s="16">
        <f t="shared" si="226"/>
        <v>100</v>
      </c>
      <c r="N1459" s="15">
        <v>20000</v>
      </c>
      <c r="O1459" s="15">
        <f>+O1458+85</f>
        <v>6785</v>
      </c>
      <c r="P1459" s="15">
        <f t="shared" si="224"/>
        <v>135700000</v>
      </c>
      <c r="Q1459" s="15" t="str">
        <f t="shared" si="223"/>
        <v/>
      </c>
      <c r="R1459" s="18" t="s">
        <v>31</v>
      </c>
      <c r="S1459" s="117">
        <v>43631</v>
      </c>
      <c r="T1459" s="20">
        <f>IFERROR(VLOOKUP(S1459,'Date Converter'!$A$4:$C$368,3,0),"")</f>
        <v>43663</v>
      </c>
      <c r="U1459" s="21">
        <f t="shared" si="217"/>
        <v>43663</v>
      </c>
      <c r="V1459" s="12" t="s">
        <v>1633</v>
      </c>
      <c r="W1459" s="18"/>
      <c r="X1459" s="18"/>
      <c r="Y1459" s="18"/>
      <c r="Z1459" s="210"/>
      <c r="AA1459" s="15">
        <v>0</v>
      </c>
      <c r="AB1459" s="210"/>
      <c r="AC1459" s="15"/>
      <c r="AD1459" s="15"/>
      <c r="AE1459" s="15"/>
      <c r="AF1459" s="244"/>
      <c r="AG1459" s="15"/>
      <c r="AH1459" s="15">
        <f t="shared" si="227"/>
        <v>0</v>
      </c>
      <c r="AI1459" s="22">
        <f t="shared" si="228"/>
        <v>20000</v>
      </c>
      <c r="AJ1459" s="22">
        <f t="shared" si="229"/>
        <v>135700000</v>
      </c>
      <c r="AK1459" s="13">
        <v>43874</v>
      </c>
    </row>
    <row r="1460" spans="1:38" s="165" customFormat="1" hidden="1">
      <c r="A1460" s="165" t="s">
        <v>1750</v>
      </c>
      <c r="B1460" s="13">
        <v>43627</v>
      </c>
      <c r="C1460" s="13" t="s">
        <v>1622</v>
      </c>
      <c r="D1460" s="165" t="s">
        <v>841</v>
      </c>
      <c r="E1460" s="165" t="s">
        <v>842</v>
      </c>
      <c r="F1460" s="165" t="str">
        <f t="shared" si="225"/>
        <v>MANI_16.18_200_NL2018</v>
      </c>
      <c r="G1460" s="165" t="s">
        <v>105</v>
      </c>
      <c r="H1460" s="12"/>
      <c r="I1460" s="12" t="s">
        <v>35</v>
      </c>
      <c r="J1460" s="14">
        <v>200</v>
      </c>
      <c r="K1460" s="15" t="s">
        <v>28</v>
      </c>
      <c r="L1460" s="15"/>
      <c r="M1460" s="16">
        <f t="shared" si="226"/>
        <v>200</v>
      </c>
      <c r="N1460" s="15">
        <v>40000</v>
      </c>
      <c r="O1460" s="15"/>
      <c r="P1460" s="15">
        <f t="shared" si="224"/>
        <v>0</v>
      </c>
      <c r="Q1460" s="15" t="str">
        <f t="shared" si="223"/>
        <v/>
      </c>
      <c r="R1460" s="18" t="s">
        <v>29</v>
      </c>
      <c r="S1460" s="117"/>
      <c r="T1460" s="20"/>
      <c r="U1460" s="21"/>
      <c r="V1460" s="12"/>
      <c r="W1460" s="18"/>
      <c r="X1460" s="18"/>
      <c r="Y1460" s="18"/>
      <c r="Z1460" s="210"/>
      <c r="AA1460" s="15"/>
      <c r="AB1460" s="210"/>
      <c r="AC1460" s="15"/>
      <c r="AD1460" s="15"/>
      <c r="AE1460" s="15"/>
      <c r="AF1460" s="244"/>
      <c r="AG1460" s="15"/>
      <c r="AH1460" s="15">
        <f t="shared" si="227"/>
        <v>0</v>
      </c>
      <c r="AI1460" s="22">
        <f t="shared" si="228"/>
        <v>40000</v>
      </c>
      <c r="AJ1460" s="22">
        <f t="shared" si="229"/>
        <v>0</v>
      </c>
      <c r="AK1460" s="13"/>
    </row>
    <row r="1461" spans="1:38" s="165" customFormat="1" hidden="1">
      <c r="A1461" s="165" t="s">
        <v>1753</v>
      </c>
      <c r="B1461" s="13">
        <v>43528</v>
      </c>
      <c r="C1461" s="267" t="s">
        <v>1622</v>
      </c>
      <c r="D1461" s="258" t="s">
        <v>841</v>
      </c>
      <c r="E1461" s="97" t="s">
        <v>842</v>
      </c>
      <c r="F1461" s="165" t="str">
        <f t="shared" si="225"/>
        <v>MANI_22.24_100_NL2018</v>
      </c>
      <c r="G1461" s="165" t="s">
        <v>105</v>
      </c>
      <c r="H1461" s="12"/>
      <c r="I1461" s="12" t="s">
        <v>78</v>
      </c>
      <c r="J1461" s="14">
        <v>100</v>
      </c>
      <c r="K1461" s="15" t="s">
        <v>28</v>
      </c>
      <c r="L1461" s="15"/>
      <c r="M1461" s="16">
        <f t="shared" si="226"/>
        <v>243</v>
      </c>
      <c r="N1461" s="15">
        <v>24300</v>
      </c>
      <c r="O1461" s="15">
        <v>15400</v>
      </c>
      <c r="P1461" s="15">
        <f t="shared" si="224"/>
        <v>374220000</v>
      </c>
      <c r="Q1461" s="15" t="str">
        <f t="shared" si="223"/>
        <v/>
      </c>
      <c r="R1461" s="18" t="s">
        <v>29</v>
      </c>
      <c r="S1461" s="117">
        <v>43709</v>
      </c>
      <c r="T1461" s="20">
        <f>IFERROR(VLOOKUP(S1461,'Date Converter'!$A$4:$C$368,3,0),"")</f>
        <v>43737</v>
      </c>
      <c r="U1461" s="21">
        <f t="shared" ref="U1461:U1489" si="230">+T1461</f>
        <v>43737</v>
      </c>
      <c r="V1461" s="12" t="s">
        <v>51</v>
      </c>
      <c r="W1461" s="18"/>
      <c r="X1461" s="18"/>
      <c r="Y1461" s="18"/>
      <c r="Z1461" s="210"/>
      <c r="AA1461" s="15"/>
      <c r="AB1461" s="210"/>
      <c r="AC1461" s="15"/>
      <c r="AD1461" s="15"/>
      <c r="AE1461" s="15"/>
      <c r="AF1461" s="244"/>
      <c r="AG1461" s="15"/>
      <c r="AH1461" s="15">
        <f t="shared" si="227"/>
        <v>0</v>
      </c>
      <c r="AI1461" s="22">
        <f t="shared" si="228"/>
        <v>24300</v>
      </c>
      <c r="AJ1461" s="22">
        <f t="shared" si="229"/>
        <v>374220000</v>
      </c>
      <c r="AK1461" s="13"/>
    </row>
    <row r="1462" spans="1:38" s="165" customFormat="1" hidden="1">
      <c r="A1462" s="165" t="s">
        <v>1753</v>
      </c>
      <c r="B1462" s="13">
        <v>43528</v>
      </c>
      <c r="C1462" s="267" t="s">
        <v>1622</v>
      </c>
      <c r="D1462" s="258" t="s">
        <v>841</v>
      </c>
      <c r="E1462" s="97" t="s">
        <v>842</v>
      </c>
      <c r="F1462" s="165" t="str">
        <f t="shared" si="225"/>
        <v>MANI_24+_75_NL2018</v>
      </c>
      <c r="G1462" s="165" t="s">
        <v>105</v>
      </c>
      <c r="H1462" s="12"/>
      <c r="I1462" s="12" t="s">
        <v>185</v>
      </c>
      <c r="J1462" s="14">
        <v>75</v>
      </c>
      <c r="K1462" s="15" t="s">
        <v>28</v>
      </c>
      <c r="L1462" s="15"/>
      <c r="M1462" s="16">
        <f t="shared" si="226"/>
        <v>208.46666666666667</v>
      </c>
      <c r="N1462" s="15">
        <v>15635</v>
      </c>
      <c r="O1462" s="15">
        <v>16200</v>
      </c>
      <c r="P1462" s="15">
        <f t="shared" si="224"/>
        <v>253287000</v>
      </c>
      <c r="Q1462" s="15" t="str">
        <f t="shared" si="223"/>
        <v/>
      </c>
      <c r="R1462" s="18" t="s">
        <v>29</v>
      </c>
      <c r="S1462" s="117">
        <v>43709</v>
      </c>
      <c r="T1462" s="20">
        <f>IFERROR(VLOOKUP(S1462,'Date Converter'!$A$4:$C$368,3,0),"")</f>
        <v>43737</v>
      </c>
      <c r="U1462" s="21">
        <f t="shared" si="230"/>
        <v>43737</v>
      </c>
      <c r="V1462" s="12" t="s">
        <v>51</v>
      </c>
      <c r="W1462" s="18"/>
      <c r="X1462" s="18"/>
      <c r="Y1462" s="18"/>
      <c r="Z1462" s="210"/>
      <c r="AA1462" s="15"/>
      <c r="AB1462" s="210"/>
      <c r="AC1462" s="15"/>
      <c r="AD1462" s="15"/>
      <c r="AE1462" s="15"/>
      <c r="AF1462" s="244"/>
      <c r="AG1462" s="15"/>
      <c r="AH1462" s="15">
        <f t="shared" si="227"/>
        <v>0</v>
      </c>
      <c r="AI1462" s="22">
        <f t="shared" si="228"/>
        <v>15635</v>
      </c>
      <c r="AJ1462" s="22">
        <f t="shared" si="229"/>
        <v>253287000</v>
      </c>
      <c r="AK1462" s="13"/>
    </row>
    <row r="1463" spans="1:38" s="165" customFormat="1" ht="15.75" hidden="1" customHeight="1">
      <c r="A1463" s="165" t="s">
        <v>1754</v>
      </c>
      <c r="B1463" s="13">
        <v>43558</v>
      </c>
      <c r="C1463" s="13" t="s">
        <v>1622</v>
      </c>
      <c r="D1463" s="165" t="s">
        <v>1244</v>
      </c>
      <c r="E1463" s="165" t="s">
        <v>1245</v>
      </c>
      <c r="F1463" s="165" t="str">
        <f t="shared" si="225"/>
        <v>YELL_12.14_400_NL2018</v>
      </c>
      <c r="G1463" s="165" t="s">
        <v>89</v>
      </c>
      <c r="H1463" s="12"/>
      <c r="I1463" s="12" t="s">
        <v>113</v>
      </c>
      <c r="J1463" s="14">
        <v>400</v>
      </c>
      <c r="K1463" s="15" t="s">
        <v>28</v>
      </c>
      <c r="L1463" s="15"/>
      <c r="M1463" s="16">
        <f t="shared" si="226"/>
        <v>26</v>
      </c>
      <c r="N1463" s="15">
        <v>10400</v>
      </c>
      <c r="O1463" s="15">
        <v>2700</v>
      </c>
      <c r="P1463" s="15">
        <f t="shared" si="224"/>
        <v>28080000</v>
      </c>
      <c r="Q1463" s="15" t="str">
        <f t="shared" si="223"/>
        <v>Done</v>
      </c>
      <c r="R1463" s="18" t="s">
        <v>44</v>
      </c>
      <c r="S1463" s="117">
        <v>43570</v>
      </c>
      <c r="T1463" s="20">
        <f>IFERROR(VLOOKUP(S1463,'Date Converter'!$A$4:$C$368,3,0),"")</f>
        <v>43604</v>
      </c>
      <c r="U1463" s="21">
        <f t="shared" si="230"/>
        <v>43604</v>
      </c>
      <c r="V1463" s="12" t="s">
        <v>87</v>
      </c>
      <c r="W1463" s="18"/>
      <c r="X1463" s="18"/>
      <c r="Y1463" s="18"/>
      <c r="Z1463" s="210">
        <v>43614</v>
      </c>
      <c r="AA1463" s="15">
        <v>6000</v>
      </c>
      <c r="AB1463" s="210">
        <v>43627</v>
      </c>
      <c r="AC1463" s="15">
        <v>4400</v>
      </c>
      <c r="AD1463" s="15"/>
      <c r="AE1463" s="15"/>
      <c r="AF1463" s="244"/>
      <c r="AG1463" s="15"/>
      <c r="AH1463" s="15">
        <f t="shared" si="227"/>
        <v>10400</v>
      </c>
      <c r="AI1463" s="22">
        <f t="shared" si="228"/>
        <v>0</v>
      </c>
      <c r="AJ1463" s="22">
        <f t="shared" si="229"/>
        <v>0</v>
      </c>
      <c r="AK1463" s="13"/>
    </row>
    <row r="1464" spans="1:38" s="165" customFormat="1" hidden="1">
      <c r="A1464" s="165" t="s">
        <v>1755</v>
      </c>
      <c r="B1464" s="13">
        <v>43507</v>
      </c>
      <c r="C1464" s="13" t="s">
        <v>1622</v>
      </c>
      <c r="D1464" s="165" t="s">
        <v>1244</v>
      </c>
      <c r="E1464" s="165" t="s">
        <v>1245</v>
      </c>
      <c r="F1464" s="165" t="str">
        <f t="shared" si="225"/>
        <v>YELL_12.14_400_NL2018</v>
      </c>
      <c r="G1464" s="165" t="s">
        <v>89</v>
      </c>
      <c r="H1464" s="12"/>
      <c r="I1464" s="12" t="s">
        <v>113</v>
      </c>
      <c r="J1464" s="14">
        <v>400</v>
      </c>
      <c r="K1464" s="15" t="s">
        <v>28</v>
      </c>
      <c r="L1464" s="15"/>
      <c r="M1464" s="16">
        <f t="shared" si="226"/>
        <v>36</v>
      </c>
      <c r="N1464" s="15">
        <v>14400</v>
      </c>
      <c r="O1464" s="15">
        <v>2600</v>
      </c>
      <c r="P1464" s="15">
        <f t="shared" si="224"/>
        <v>37440000</v>
      </c>
      <c r="Q1464" s="15" t="str">
        <f t="shared" si="223"/>
        <v>Done</v>
      </c>
      <c r="R1464" s="18" t="s">
        <v>44</v>
      </c>
      <c r="S1464" s="117">
        <v>43480</v>
      </c>
      <c r="T1464" s="20">
        <f>IFERROR(VLOOKUP(S1464,'Date Converter'!$A$4:$C$368,3,0),"")</f>
        <v>43515</v>
      </c>
      <c r="U1464" s="21">
        <f t="shared" si="230"/>
        <v>43515</v>
      </c>
      <c r="V1464" s="12" t="s">
        <v>45</v>
      </c>
      <c r="W1464" s="18"/>
      <c r="X1464" s="18"/>
      <c r="Y1464" s="18"/>
      <c r="Z1464" s="210">
        <v>43528</v>
      </c>
      <c r="AA1464" s="15">
        <v>14400</v>
      </c>
      <c r="AB1464" s="210"/>
      <c r="AC1464" s="15"/>
      <c r="AD1464" s="15"/>
      <c r="AE1464" s="15"/>
      <c r="AF1464" s="244"/>
      <c r="AG1464" s="15"/>
      <c r="AH1464" s="15">
        <f t="shared" si="227"/>
        <v>14400</v>
      </c>
      <c r="AI1464" s="22">
        <f t="shared" si="228"/>
        <v>0</v>
      </c>
      <c r="AJ1464" s="22">
        <f t="shared" si="229"/>
        <v>0</v>
      </c>
      <c r="AK1464" s="13">
        <v>43882</v>
      </c>
    </row>
    <row r="1465" spans="1:38" s="165" customFormat="1" hidden="1">
      <c r="A1465" s="165" t="s">
        <v>1755</v>
      </c>
      <c r="B1465" s="13">
        <v>43507</v>
      </c>
      <c r="C1465" s="13" t="s">
        <v>1622</v>
      </c>
      <c r="D1465" s="165" t="s">
        <v>1244</v>
      </c>
      <c r="E1465" s="165" t="s">
        <v>1245</v>
      </c>
      <c r="F1465" s="165" t="str">
        <f t="shared" si="225"/>
        <v>YELL_12.14_400_NL2018</v>
      </c>
      <c r="G1465" s="165" t="s">
        <v>89</v>
      </c>
      <c r="H1465" s="12"/>
      <c r="I1465" s="12" t="s">
        <v>113</v>
      </c>
      <c r="J1465" s="14">
        <v>400</v>
      </c>
      <c r="K1465" s="15" t="s">
        <v>28</v>
      </c>
      <c r="L1465" s="15"/>
      <c r="M1465" s="16">
        <f t="shared" si="226"/>
        <v>13</v>
      </c>
      <c r="N1465" s="15">
        <v>5200</v>
      </c>
      <c r="O1465" s="15">
        <v>2600</v>
      </c>
      <c r="P1465" s="15">
        <f t="shared" si="224"/>
        <v>13520000</v>
      </c>
      <c r="Q1465" s="15" t="str">
        <f t="shared" si="223"/>
        <v>Done</v>
      </c>
      <c r="R1465" s="18" t="s">
        <v>44</v>
      </c>
      <c r="S1465" s="117">
        <v>43511</v>
      </c>
      <c r="T1465" s="20">
        <f>IFERROR(VLOOKUP(S1465,'Date Converter'!$A$4:$C$368,3,0),"")</f>
        <v>43544</v>
      </c>
      <c r="U1465" s="21">
        <f t="shared" si="230"/>
        <v>43544</v>
      </c>
      <c r="V1465" s="12" t="s">
        <v>32</v>
      </c>
      <c r="W1465" s="18" t="s">
        <v>33</v>
      </c>
      <c r="X1465" s="18"/>
      <c r="Y1465" s="18"/>
      <c r="Z1465" s="210">
        <v>43544</v>
      </c>
      <c r="AA1465" s="15">
        <v>5200</v>
      </c>
      <c r="AB1465" s="210"/>
      <c r="AC1465" s="15"/>
      <c r="AD1465" s="15"/>
      <c r="AE1465" s="15"/>
      <c r="AF1465" s="244"/>
      <c r="AG1465" s="15"/>
      <c r="AH1465" s="15">
        <f t="shared" si="227"/>
        <v>5200</v>
      </c>
      <c r="AI1465" s="22">
        <f t="shared" si="228"/>
        <v>0</v>
      </c>
      <c r="AJ1465" s="22">
        <f t="shared" si="229"/>
        <v>0</v>
      </c>
      <c r="AK1465" s="13">
        <v>43882</v>
      </c>
    </row>
    <row r="1466" spans="1:38" s="165" customFormat="1" hidden="1">
      <c r="A1466" s="165" t="s">
        <v>1755</v>
      </c>
      <c r="B1466" s="13">
        <v>43507</v>
      </c>
      <c r="C1466" s="13" t="s">
        <v>1622</v>
      </c>
      <c r="D1466" s="165" t="s">
        <v>1244</v>
      </c>
      <c r="E1466" s="165" t="s">
        <v>1245</v>
      </c>
      <c r="F1466" s="165" t="str">
        <f t="shared" si="225"/>
        <v>YELL_12.14_400_NL2018</v>
      </c>
      <c r="G1466" s="165" t="s">
        <v>89</v>
      </c>
      <c r="H1466" s="12"/>
      <c r="I1466" s="12" t="s">
        <v>113</v>
      </c>
      <c r="J1466" s="14">
        <v>400</v>
      </c>
      <c r="K1466" s="15" t="s">
        <v>28</v>
      </c>
      <c r="L1466" s="15"/>
      <c r="M1466" s="16">
        <f t="shared" si="226"/>
        <v>13</v>
      </c>
      <c r="N1466" s="15">
        <v>5200</v>
      </c>
      <c r="O1466" s="15">
        <v>2600</v>
      </c>
      <c r="P1466" s="15">
        <f t="shared" si="224"/>
        <v>13520000</v>
      </c>
      <c r="Q1466" s="15" t="str">
        <f t="shared" si="223"/>
        <v>Done</v>
      </c>
      <c r="R1466" s="18" t="s">
        <v>44</v>
      </c>
      <c r="S1466" s="23" t="s">
        <v>151</v>
      </c>
      <c r="T1466" s="20">
        <f>IFERROR(VLOOKUP(S1466,'Date Converter'!$A$4:$C$368,3,0),"")</f>
        <v>43558</v>
      </c>
      <c r="U1466" s="21">
        <f t="shared" si="230"/>
        <v>43558</v>
      </c>
      <c r="V1466" s="220" t="s">
        <v>81</v>
      </c>
      <c r="W1466" s="18" t="s">
        <v>72</v>
      </c>
      <c r="X1466" s="18"/>
      <c r="Y1466" s="18"/>
      <c r="Z1466" s="210">
        <v>43558</v>
      </c>
      <c r="AA1466" s="15">
        <v>5200</v>
      </c>
      <c r="AB1466" s="210"/>
      <c r="AC1466" s="15"/>
      <c r="AD1466" s="210"/>
      <c r="AE1466" s="15"/>
      <c r="AF1466" s="244"/>
      <c r="AG1466" s="15"/>
      <c r="AH1466" s="15">
        <f t="shared" si="227"/>
        <v>5200</v>
      </c>
      <c r="AI1466" s="22">
        <f t="shared" si="228"/>
        <v>0</v>
      </c>
      <c r="AJ1466" s="22">
        <f t="shared" si="229"/>
        <v>0</v>
      </c>
      <c r="AK1466" s="13">
        <v>43882</v>
      </c>
    </row>
    <row r="1467" spans="1:38" s="165" customFormat="1" hidden="1">
      <c r="A1467" s="165" t="s">
        <v>1754</v>
      </c>
      <c r="B1467" s="13">
        <v>43558</v>
      </c>
      <c r="C1467" s="13" t="s">
        <v>1622</v>
      </c>
      <c r="D1467" s="165" t="s">
        <v>1244</v>
      </c>
      <c r="E1467" s="165" t="s">
        <v>1245</v>
      </c>
      <c r="F1467" s="165" t="str">
        <f t="shared" si="225"/>
        <v>YELL_12.14_400_NL2018</v>
      </c>
      <c r="G1467" s="165" t="s">
        <v>89</v>
      </c>
      <c r="H1467" s="12"/>
      <c r="I1467" s="12" t="s">
        <v>113</v>
      </c>
      <c r="J1467" s="14">
        <v>400</v>
      </c>
      <c r="K1467" s="15" t="s">
        <v>28</v>
      </c>
      <c r="L1467" s="15"/>
      <c r="M1467" s="16">
        <f t="shared" si="226"/>
        <v>41</v>
      </c>
      <c r="N1467" s="15">
        <f>10000+3200+3200</f>
        <v>16400</v>
      </c>
      <c r="O1467" s="15">
        <v>2600</v>
      </c>
      <c r="P1467" s="15">
        <f t="shared" si="224"/>
        <v>42640000</v>
      </c>
      <c r="Q1467" s="15" t="str">
        <f t="shared" si="223"/>
        <v>Done</v>
      </c>
      <c r="R1467" s="18" t="s">
        <v>44</v>
      </c>
      <c r="S1467" s="117">
        <v>43539</v>
      </c>
      <c r="T1467" s="20">
        <f>IFERROR(VLOOKUP(S1467,'Date Converter'!$A$4:$C$368,3,0),"")</f>
        <v>43574</v>
      </c>
      <c r="U1467" s="21">
        <f t="shared" si="230"/>
        <v>43574</v>
      </c>
      <c r="V1467" s="12" t="s">
        <v>57</v>
      </c>
      <c r="W1467" s="18" t="s">
        <v>143</v>
      </c>
      <c r="X1467" s="18"/>
      <c r="Y1467" s="18"/>
      <c r="Z1467" s="210">
        <v>43573</v>
      </c>
      <c r="AA1467" s="15">
        <v>8000</v>
      </c>
      <c r="AB1467" s="210">
        <v>43581</v>
      </c>
      <c r="AC1467" s="15">
        <v>2400</v>
      </c>
      <c r="AD1467" s="210">
        <v>43593</v>
      </c>
      <c r="AE1467" s="15">
        <v>6000</v>
      </c>
      <c r="AF1467" s="244"/>
      <c r="AG1467" s="15"/>
      <c r="AH1467" s="15">
        <f t="shared" si="227"/>
        <v>16400</v>
      </c>
      <c r="AI1467" s="22">
        <f t="shared" si="228"/>
        <v>0</v>
      </c>
      <c r="AJ1467" s="22">
        <f t="shared" si="229"/>
        <v>0</v>
      </c>
      <c r="AK1467" s="13">
        <v>43882</v>
      </c>
    </row>
    <row r="1468" spans="1:38" s="165" customFormat="1" hidden="1">
      <c r="A1468" s="165" t="s">
        <v>1754</v>
      </c>
      <c r="B1468" s="13">
        <v>43558</v>
      </c>
      <c r="C1468" s="13" t="s">
        <v>1622</v>
      </c>
      <c r="D1468" s="165" t="s">
        <v>1244</v>
      </c>
      <c r="E1468" s="165" t="s">
        <v>1245</v>
      </c>
      <c r="F1468" s="165" t="str">
        <f t="shared" si="225"/>
        <v>YELL_12.14_400_NL2018</v>
      </c>
      <c r="G1468" s="165" t="s">
        <v>89</v>
      </c>
      <c r="H1468" s="12"/>
      <c r="I1468" s="12" t="s">
        <v>113</v>
      </c>
      <c r="J1468" s="14">
        <v>400</v>
      </c>
      <c r="K1468" s="15" t="s">
        <v>28</v>
      </c>
      <c r="L1468" s="15"/>
      <c r="M1468" s="16">
        <f t="shared" si="226"/>
        <v>14</v>
      </c>
      <c r="N1468" s="15">
        <f>10000-2400-2000</f>
        <v>5600</v>
      </c>
      <c r="O1468" s="15">
        <v>2700</v>
      </c>
      <c r="P1468" s="15">
        <f t="shared" si="224"/>
        <v>15120000</v>
      </c>
      <c r="Q1468" s="15" t="str">
        <f t="shared" si="223"/>
        <v>Done</v>
      </c>
      <c r="R1468" s="18" t="s">
        <v>44</v>
      </c>
      <c r="S1468" s="212">
        <v>43572</v>
      </c>
      <c r="T1468" s="20">
        <f>IFERROR(VLOOKUP(S1468,'Date Converter'!$A$4:$C$368,3,0),"")</f>
        <v>43606</v>
      </c>
      <c r="U1468" s="21">
        <f t="shared" si="230"/>
        <v>43606</v>
      </c>
      <c r="V1468" s="20" t="s">
        <v>1762</v>
      </c>
      <c r="W1468" s="18"/>
      <c r="X1468" s="18"/>
      <c r="Y1468" s="18"/>
      <c r="Z1468" s="210">
        <v>43627</v>
      </c>
      <c r="AA1468" s="15">
        <v>5600</v>
      </c>
      <c r="AB1468" s="210"/>
      <c r="AC1468" s="15"/>
      <c r="AD1468" s="15"/>
      <c r="AE1468" s="15"/>
      <c r="AF1468" s="244"/>
      <c r="AG1468" s="15"/>
      <c r="AH1468" s="15">
        <f t="shared" si="227"/>
        <v>5600</v>
      </c>
      <c r="AI1468" s="22">
        <f t="shared" si="228"/>
        <v>0</v>
      </c>
      <c r="AJ1468" s="22">
        <f t="shared" si="229"/>
        <v>0</v>
      </c>
      <c r="AK1468" s="13">
        <v>43882</v>
      </c>
    </row>
    <row r="1469" spans="1:38" s="165" customFormat="1" hidden="1">
      <c r="A1469" s="165" t="s">
        <v>1754</v>
      </c>
      <c r="B1469" s="13">
        <v>43558</v>
      </c>
      <c r="C1469" s="13" t="s">
        <v>1622</v>
      </c>
      <c r="D1469" s="165" t="s">
        <v>1244</v>
      </c>
      <c r="E1469" s="165" t="s">
        <v>1245</v>
      </c>
      <c r="F1469" s="165" t="str">
        <f t="shared" si="225"/>
        <v>YELL_12.14_400_NL2018</v>
      </c>
      <c r="G1469" s="165" t="s">
        <v>89</v>
      </c>
      <c r="H1469" s="12"/>
      <c r="I1469" s="12" t="s">
        <v>113</v>
      </c>
      <c r="J1469" s="14">
        <v>400</v>
      </c>
      <c r="K1469" s="15" t="s">
        <v>28</v>
      </c>
      <c r="L1469" s="15"/>
      <c r="M1469" s="16">
        <f t="shared" si="226"/>
        <v>0</v>
      </c>
      <c r="N1469" s="15">
        <f>30000-10000-14000-6000</f>
        <v>0</v>
      </c>
      <c r="O1469" s="15">
        <v>2700</v>
      </c>
      <c r="P1469" s="15">
        <f t="shared" si="224"/>
        <v>0</v>
      </c>
      <c r="Q1469" s="15" t="str">
        <f t="shared" si="223"/>
        <v>Canceled</v>
      </c>
      <c r="R1469" s="18" t="s">
        <v>71</v>
      </c>
      <c r="S1469" s="212"/>
      <c r="T1469" s="20" t="str">
        <f>IFERROR(VLOOKUP(S1469,'Date Converter'!$A$4:$C$368,3,0),"")</f>
        <v/>
      </c>
      <c r="U1469" s="21" t="str">
        <f t="shared" si="230"/>
        <v/>
      </c>
      <c r="V1469" s="20" t="s">
        <v>1691</v>
      </c>
      <c r="W1469" s="18"/>
      <c r="X1469" s="18"/>
      <c r="Y1469" s="18"/>
      <c r="Z1469" s="210"/>
      <c r="AA1469" s="15">
        <v>0</v>
      </c>
      <c r="AB1469" s="210"/>
      <c r="AC1469" s="15"/>
      <c r="AD1469" s="15"/>
      <c r="AE1469" s="15"/>
      <c r="AF1469" s="244"/>
      <c r="AG1469" s="15"/>
      <c r="AH1469" s="15">
        <f t="shared" si="227"/>
        <v>0</v>
      </c>
      <c r="AI1469" s="22">
        <f t="shared" si="228"/>
        <v>0</v>
      </c>
      <c r="AJ1469" s="22">
        <f t="shared" si="229"/>
        <v>0</v>
      </c>
      <c r="AK1469" s="13">
        <v>43882</v>
      </c>
    </row>
    <row r="1470" spans="1:38" s="165" customFormat="1" hidden="1">
      <c r="A1470" s="165" t="s">
        <v>1754</v>
      </c>
      <c r="B1470" s="13">
        <v>43630</v>
      </c>
      <c r="C1470" s="13" t="s">
        <v>1622</v>
      </c>
      <c r="D1470" s="165" t="s">
        <v>1244</v>
      </c>
      <c r="E1470" s="165" t="s">
        <v>1245</v>
      </c>
      <c r="F1470" s="165" t="str">
        <f t="shared" si="225"/>
        <v>YELL_12.14_400_NL2018</v>
      </c>
      <c r="G1470" s="165" t="s">
        <v>89</v>
      </c>
      <c r="H1470" s="12"/>
      <c r="I1470" s="12" t="s">
        <v>113</v>
      </c>
      <c r="J1470" s="14">
        <v>400</v>
      </c>
      <c r="K1470" s="15" t="s">
        <v>28</v>
      </c>
      <c r="L1470" s="15"/>
      <c r="M1470" s="16">
        <f t="shared" si="226"/>
        <v>0</v>
      </c>
      <c r="N1470" s="15">
        <f>14000-14000</f>
        <v>0</v>
      </c>
      <c r="O1470" s="15">
        <v>2800</v>
      </c>
      <c r="P1470" s="15">
        <f t="shared" si="224"/>
        <v>0</v>
      </c>
      <c r="Q1470" s="15" t="str">
        <f t="shared" si="223"/>
        <v>Canceled</v>
      </c>
      <c r="R1470" s="18" t="s">
        <v>71</v>
      </c>
      <c r="S1470" s="212"/>
      <c r="T1470" s="20" t="str">
        <f>IFERROR(VLOOKUP(S1470,'Date Converter'!$A$4:$C$368,3,0),"")</f>
        <v/>
      </c>
      <c r="U1470" s="21" t="str">
        <f t="shared" si="230"/>
        <v/>
      </c>
      <c r="V1470" s="20"/>
      <c r="W1470" s="18"/>
      <c r="X1470" s="18"/>
      <c r="Y1470" s="18"/>
      <c r="Z1470" s="210"/>
      <c r="AA1470" s="15"/>
      <c r="AB1470" s="210"/>
      <c r="AC1470" s="15"/>
      <c r="AD1470" s="15"/>
      <c r="AE1470" s="15"/>
      <c r="AF1470" s="244"/>
      <c r="AG1470" s="15"/>
      <c r="AH1470" s="15">
        <f t="shared" si="227"/>
        <v>0</v>
      </c>
      <c r="AI1470" s="22">
        <f t="shared" si="228"/>
        <v>0</v>
      </c>
      <c r="AJ1470" s="22">
        <f t="shared" si="229"/>
        <v>0</v>
      </c>
      <c r="AK1470" s="13"/>
    </row>
    <row r="1471" spans="1:38" s="165" customFormat="1" hidden="1">
      <c r="A1471" s="165" t="s">
        <v>1755</v>
      </c>
      <c r="B1471" s="13">
        <v>43507</v>
      </c>
      <c r="C1471" s="13" t="s">
        <v>1622</v>
      </c>
      <c r="D1471" s="165" t="s">
        <v>1244</v>
      </c>
      <c r="E1471" s="165" t="s">
        <v>1245</v>
      </c>
      <c r="F1471" s="165" t="str">
        <f t="shared" si="225"/>
        <v>THAL_RL_12.14_400_NL2018</v>
      </c>
      <c r="G1471" s="165" t="s">
        <v>1473</v>
      </c>
      <c r="H1471" s="12" t="s">
        <v>219</v>
      </c>
      <c r="I1471" s="12" t="s">
        <v>113</v>
      </c>
      <c r="J1471" s="14">
        <v>400</v>
      </c>
      <c r="K1471" s="15" t="s">
        <v>28</v>
      </c>
      <c r="L1471" s="15"/>
      <c r="M1471" s="16">
        <f t="shared" si="226"/>
        <v>1</v>
      </c>
      <c r="N1471" s="15">
        <v>400</v>
      </c>
      <c r="O1471" s="15">
        <v>8000</v>
      </c>
      <c r="P1471" s="15">
        <f t="shared" si="224"/>
        <v>3200000</v>
      </c>
      <c r="Q1471" s="15" t="str">
        <f t="shared" si="223"/>
        <v>Done</v>
      </c>
      <c r="R1471" s="18" t="s">
        <v>44</v>
      </c>
      <c r="S1471" s="117">
        <v>43506</v>
      </c>
      <c r="T1471" s="20">
        <f>IFERROR(VLOOKUP(S1471,'Date Converter'!$A$4:$C$368,3,0),"")</f>
        <v>43539</v>
      </c>
      <c r="U1471" s="21">
        <f t="shared" si="230"/>
        <v>43539</v>
      </c>
      <c r="V1471" s="12" t="s">
        <v>69</v>
      </c>
      <c r="W1471" s="18"/>
      <c r="X1471" s="18"/>
      <c r="Y1471" s="18"/>
      <c r="Z1471" s="210">
        <v>43539</v>
      </c>
      <c r="AA1471" s="15">
        <v>400</v>
      </c>
      <c r="AB1471" s="210"/>
      <c r="AC1471" s="15"/>
      <c r="AD1471" s="15"/>
      <c r="AE1471" s="15"/>
      <c r="AF1471" s="244"/>
      <c r="AG1471" s="15"/>
      <c r="AH1471" s="15">
        <f t="shared" si="227"/>
        <v>400</v>
      </c>
      <c r="AI1471" s="22">
        <f t="shared" si="228"/>
        <v>0</v>
      </c>
      <c r="AJ1471" s="22">
        <f t="shared" si="229"/>
        <v>0</v>
      </c>
      <c r="AK1471" s="13"/>
    </row>
    <row r="1472" spans="1:38" s="165" customFormat="1" hidden="1">
      <c r="A1472" s="165" t="s">
        <v>1755</v>
      </c>
      <c r="B1472" s="13">
        <v>43507</v>
      </c>
      <c r="C1472" s="13" t="s">
        <v>1622</v>
      </c>
      <c r="D1472" s="165" t="s">
        <v>1244</v>
      </c>
      <c r="E1472" s="165" t="s">
        <v>1245</v>
      </c>
      <c r="F1472" s="165" t="str">
        <f t="shared" si="225"/>
        <v>THAL_RL_12.14_400_NL2018</v>
      </c>
      <c r="G1472" s="165" t="s">
        <v>1473</v>
      </c>
      <c r="H1472" s="12" t="s">
        <v>219</v>
      </c>
      <c r="I1472" s="12" t="s">
        <v>113</v>
      </c>
      <c r="J1472" s="14">
        <v>400</v>
      </c>
      <c r="K1472" s="15" t="s">
        <v>28</v>
      </c>
      <c r="L1472" s="15"/>
      <c r="M1472" s="16">
        <f t="shared" si="226"/>
        <v>5</v>
      </c>
      <c r="N1472" s="15">
        <v>2000</v>
      </c>
      <c r="O1472" s="15">
        <v>8000</v>
      </c>
      <c r="P1472" s="15">
        <f t="shared" si="224"/>
        <v>16000000</v>
      </c>
      <c r="Q1472" s="15" t="str">
        <f t="shared" si="223"/>
        <v>Done</v>
      </c>
      <c r="R1472" s="18" t="s">
        <v>44</v>
      </c>
      <c r="S1472" s="23" t="s">
        <v>151</v>
      </c>
      <c r="T1472" s="20">
        <f>IFERROR(VLOOKUP(S1472,'Date Converter'!$A$4:$C$368,3,0),"")</f>
        <v>43558</v>
      </c>
      <c r="U1472" s="21">
        <f t="shared" si="230"/>
        <v>43558</v>
      </c>
      <c r="V1472" s="220" t="s">
        <v>81</v>
      </c>
      <c r="W1472" s="18" t="s">
        <v>55</v>
      </c>
      <c r="X1472" s="18"/>
      <c r="Y1472" s="18"/>
      <c r="Z1472" s="210">
        <v>43558</v>
      </c>
      <c r="AA1472" s="15">
        <v>2000</v>
      </c>
      <c r="AB1472" s="210"/>
      <c r="AC1472" s="15"/>
      <c r="AD1472" s="15"/>
      <c r="AE1472" s="15"/>
      <c r="AF1472" s="244"/>
      <c r="AG1472" s="15"/>
      <c r="AH1472" s="15">
        <f t="shared" si="227"/>
        <v>2000</v>
      </c>
      <c r="AI1472" s="22">
        <f t="shared" si="228"/>
        <v>0</v>
      </c>
      <c r="AJ1472" s="22">
        <f t="shared" si="229"/>
        <v>0</v>
      </c>
      <c r="AK1472" s="13">
        <v>43882</v>
      </c>
    </row>
    <row r="1473" spans="1:37" s="165" customFormat="1" hidden="1">
      <c r="A1473" s="165" t="s">
        <v>1754</v>
      </c>
      <c r="B1473" s="13">
        <v>43558</v>
      </c>
      <c r="C1473" s="13" t="s">
        <v>1622</v>
      </c>
      <c r="D1473" s="165" t="s">
        <v>1244</v>
      </c>
      <c r="E1473" s="165" t="s">
        <v>1245</v>
      </c>
      <c r="F1473" s="165" t="str">
        <f t="shared" si="225"/>
        <v>THAL_RL_12.14_400_NL2018</v>
      </c>
      <c r="G1473" s="165" t="s">
        <v>1473</v>
      </c>
      <c r="H1473" s="12" t="s">
        <v>219</v>
      </c>
      <c r="I1473" s="12" t="s">
        <v>113</v>
      </c>
      <c r="J1473" s="14">
        <v>400</v>
      </c>
      <c r="K1473" s="15" t="s">
        <v>28</v>
      </c>
      <c r="L1473" s="15"/>
      <c r="M1473" s="16">
        <f t="shared" si="226"/>
        <v>4</v>
      </c>
      <c r="N1473" s="15">
        <v>1600</v>
      </c>
      <c r="O1473" s="15">
        <v>8063</v>
      </c>
      <c r="P1473" s="15">
        <f t="shared" si="224"/>
        <v>12900800</v>
      </c>
      <c r="Q1473" s="15" t="str">
        <f t="shared" si="223"/>
        <v>Done</v>
      </c>
      <c r="R1473" s="18" t="s">
        <v>44</v>
      </c>
      <c r="S1473" s="117"/>
      <c r="T1473" s="20" t="str">
        <f>IFERROR(VLOOKUP(S1473,'Date Converter'!$A$4:$C$368,3,0),"")</f>
        <v/>
      </c>
      <c r="U1473" s="21" t="str">
        <f t="shared" si="230"/>
        <v/>
      </c>
      <c r="V1473" s="12"/>
      <c r="W1473" s="18" t="s">
        <v>143</v>
      </c>
      <c r="X1473" s="18"/>
      <c r="Y1473" s="18"/>
      <c r="Z1473" s="210">
        <v>43593</v>
      </c>
      <c r="AA1473" s="15">
        <v>1600</v>
      </c>
      <c r="AB1473" s="210"/>
      <c r="AC1473" s="15"/>
      <c r="AD1473" s="210"/>
      <c r="AE1473" s="15"/>
      <c r="AF1473" s="244"/>
      <c r="AG1473" s="15"/>
      <c r="AH1473" s="15">
        <f t="shared" si="227"/>
        <v>1600</v>
      </c>
      <c r="AI1473" s="22">
        <f t="shared" si="228"/>
        <v>0</v>
      </c>
      <c r="AJ1473" s="22">
        <f t="shared" si="229"/>
        <v>0</v>
      </c>
      <c r="AK1473" s="13">
        <v>43882</v>
      </c>
    </row>
    <row r="1474" spans="1:37" s="165" customFormat="1" hidden="1">
      <c r="A1474" s="165" t="s">
        <v>1754</v>
      </c>
      <c r="B1474" s="13">
        <v>43622</v>
      </c>
      <c r="C1474" s="13" t="s">
        <v>1622</v>
      </c>
      <c r="D1474" s="165" t="s">
        <v>1244</v>
      </c>
      <c r="E1474" s="165" t="s">
        <v>1245</v>
      </c>
      <c r="F1474" s="165" t="str">
        <f t="shared" si="225"/>
        <v>THAL_RL_12.14_400_NL2018</v>
      </c>
      <c r="G1474" s="165" t="s">
        <v>1473</v>
      </c>
      <c r="H1474" s="12" t="s">
        <v>219</v>
      </c>
      <c r="I1474" s="12" t="s">
        <v>113</v>
      </c>
      <c r="J1474" s="14">
        <v>400</v>
      </c>
      <c r="K1474" s="15" t="s">
        <v>28</v>
      </c>
      <c r="L1474" s="15"/>
      <c r="M1474" s="16">
        <f t="shared" si="226"/>
        <v>3</v>
      </c>
      <c r="N1474" s="15">
        <v>1200</v>
      </c>
      <c r="O1474" s="15">
        <v>8088</v>
      </c>
      <c r="P1474" s="15">
        <f t="shared" si="224"/>
        <v>9705600</v>
      </c>
      <c r="Q1474" s="15" t="str">
        <f t="shared" si="223"/>
        <v>Done</v>
      </c>
      <c r="R1474" s="18" t="s">
        <v>44</v>
      </c>
      <c r="S1474" s="117">
        <v>43590</v>
      </c>
      <c r="T1474" s="20">
        <f>IFERROR(VLOOKUP(S1474,'Date Converter'!$A$4:$C$368,3,0),"")</f>
        <v>43623</v>
      </c>
      <c r="U1474" s="21">
        <f t="shared" si="230"/>
        <v>43623</v>
      </c>
      <c r="V1474" s="12"/>
      <c r="W1474" s="18"/>
      <c r="X1474" s="18"/>
      <c r="Y1474" s="18"/>
      <c r="Z1474" s="210">
        <v>43627</v>
      </c>
      <c r="AA1474" s="15">
        <v>1200</v>
      </c>
      <c r="AB1474" s="210"/>
      <c r="AC1474" s="15"/>
      <c r="AD1474" s="15"/>
      <c r="AE1474" s="15"/>
      <c r="AF1474" s="244"/>
      <c r="AG1474" s="15"/>
      <c r="AH1474" s="15">
        <f t="shared" si="227"/>
        <v>1200</v>
      </c>
      <c r="AI1474" s="22">
        <f t="shared" si="228"/>
        <v>0</v>
      </c>
      <c r="AJ1474" s="22">
        <f t="shared" si="229"/>
        <v>0</v>
      </c>
      <c r="AK1474" s="13"/>
    </row>
    <row r="1475" spans="1:37" s="165" customFormat="1" hidden="1">
      <c r="A1475" s="165" t="s">
        <v>1754</v>
      </c>
      <c r="B1475" s="13">
        <v>43630</v>
      </c>
      <c r="C1475" s="13" t="s">
        <v>1622</v>
      </c>
      <c r="D1475" s="165" t="s">
        <v>1244</v>
      </c>
      <c r="E1475" s="165" t="s">
        <v>1245</v>
      </c>
      <c r="F1475" s="165" t="str">
        <f t="shared" si="225"/>
        <v>THAL_RL_12.14_400_NL2018</v>
      </c>
      <c r="G1475" s="165" t="s">
        <v>1473</v>
      </c>
      <c r="H1475" s="12" t="s">
        <v>219</v>
      </c>
      <c r="I1475" s="12" t="s">
        <v>113</v>
      </c>
      <c r="J1475" s="14">
        <v>400</v>
      </c>
      <c r="K1475" s="15" t="s">
        <v>28</v>
      </c>
      <c r="L1475" s="15"/>
      <c r="M1475" s="16">
        <f t="shared" si="226"/>
        <v>10</v>
      </c>
      <c r="N1475" s="15">
        <v>4000</v>
      </c>
      <c r="O1475" s="15">
        <v>8200</v>
      </c>
      <c r="P1475" s="15">
        <f t="shared" si="224"/>
        <v>32800000</v>
      </c>
      <c r="Q1475" s="15" t="str">
        <f t="shared" ref="Q1475:Q1538" si="231">IF(AND(N1475=0,AI1475=0),"Canceled",IF(AND(N1475&gt;0,AI1475=0),"Done",""))</f>
        <v/>
      </c>
      <c r="R1475" s="18" t="s">
        <v>31</v>
      </c>
      <c r="S1475" s="212">
        <v>43631</v>
      </c>
      <c r="T1475" s="20">
        <f>IFERROR(VLOOKUP(S1475,'Date Converter'!$A$4:$C$368,3,0),"")</f>
        <v>43663</v>
      </c>
      <c r="U1475" s="21">
        <f t="shared" si="230"/>
        <v>43663</v>
      </c>
      <c r="V1475" s="20"/>
      <c r="W1475" s="18"/>
      <c r="X1475" s="18"/>
      <c r="Y1475" s="18"/>
      <c r="Z1475" s="210"/>
      <c r="AA1475" s="15"/>
      <c r="AB1475" s="210"/>
      <c r="AC1475" s="15"/>
      <c r="AD1475" s="15"/>
      <c r="AE1475" s="15"/>
      <c r="AF1475" s="244"/>
      <c r="AG1475" s="15"/>
      <c r="AH1475" s="15">
        <f t="shared" si="227"/>
        <v>0</v>
      </c>
      <c r="AI1475" s="22">
        <f t="shared" si="228"/>
        <v>4000</v>
      </c>
      <c r="AJ1475" s="22">
        <f t="shared" si="229"/>
        <v>32800000</v>
      </c>
      <c r="AK1475" s="13"/>
    </row>
    <row r="1476" spans="1:37" s="165" customFormat="1" hidden="1">
      <c r="A1476" s="165" t="s">
        <v>1754</v>
      </c>
      <c r="B1476" s="13">
        <v>43622</v>
      </c>
      <c r="C1476" s="13" t="s">
        <v>1622</v>
      </c>
      <c r="D1476" s="165" t="s">
        <v>1244</v>
      </c>
      <c r="E1476" s="165" t="s">
        <v>1245</v>
      </c>
      <c r="F1476" s="165" t="str">
        <f t="shared" si="225"/>
        <v>TATS_RL_12.14_350_NL2018</v>
      </c>
      <c r="G1476" s="183" t="s">
        <v>1474</v>
      </c>
      <c r="H1476" s="12" t="s">
        <v>219</v>
      </c>
      <c r="I1476" s="12" t="s">
        <v>113</v>
      </c>
      <c r="J1476" s="14">
        <v>350</v>
      </c>
      <c r="K1476" s="15" t="s">
        <v>28</v>
      </c>
      <c r="L1476" s="15"/>
      <c r="M1476" s="16">
        <f t="shared" si="226"/>
        <v>3</v>
      </c>
      <c r="N1476" s="15">
        <v>1050</v>
      </c>
      <c r="O1476" s="15">
        <v>8088</v>
      </c>
      <c r="P1476" s="15">
        <f t="shared" si="224"/>
        <v>8492400</v>
      </c>
      <c r="Q1476" s="15" t="str">
        <f t="shared" si="231"/>
        <v>Done</v>
      </c>
      <c r="R1476" s="18" t="s">
        <v>44</v>
      </c>
      <c r="S1476" s="117">
        <v>43590</v>
      </c>
      <c r="T1476" s="20">
        <f>IFERROR(VLOOKUP(S1476,'Date Converter'!$A$4:$C$368,3,0),"")</f>
        <v>43623</v>
      </c>
      <c r="U1476" s="21">
        <f t="shared" si="230"/>
        <v>43623</v>
      </c>
      <c r="V1476" s="12"/>
      <c r="W1476" s="18"/>
      <c r="X1476" s="18"/>
      <c r="Y1476" s="18"/>
      <c r="Z1476" s="210">
        <v>43629</v>
      </c>
      <c r="AA1476" s="15">
        <v>1050</v>
      </c>
      <c r="AB1476" s="210"/>
      <c r="AC1476" s="15"/>
      <c r="AD1476" s="15"/>
      <c r="AE1476" s="15"/>
      <c r="AF1476" s="244"/>
      <c r="AG1476" s="15"/>
      <c r="AH1476" s="15">
        <f t="shared" si="227"/>
        <v>1050</v>
      </c>
      <c r="AI1476" s="22">
        <f t="shared" si="228"/>
        <v>0</v>
      </c>
      <c r="AJ1476" s="22">
        <f t="shared" si="229"/>
        <v>0</v>
      </c>
      <c r="AK1476" s="13"/>
    </row>
    <row r="1477" spans="1:37" s="165" customFormat="1" hidden="1">
      <c r="A1477" s="165" t="s">
        <v>1763</v>
      </c>
      <c r="B1477" s="13">
        <v>43636</v>
      </c>
      <c r="C1477" s="267" t="s">
        <v>1622</v>
      </c>
      <c r="D1477" s="258" t="s">
        <v>1244</v>
      </c>
      <c r="E1477" s="165" t="s">
        <v>1245</v>
      </c>
      <c r="F1477" s="165" t="str">
        <f t="shared" si="225"/>
        <v>TATS_RL_14.16_300_NL2018</v>
      </c>
      <c r="G1477" s="165" t="s">
        <v>1474</v>
      </c>
      <c r="H1477" s="12" t="s">
        <v>219</v>
      </c>
      <c r="I1477" s="12" t="s">
        <v>47</v>
      </c>
      <c r="J1477" s="14">
        <v>300</v>
      </c>
      <c r="K1477" s="15" t="s">
        <v>28</v>
      </c>
      <c r="L1477" s="15"/>
      <c r="M1477" s="16">
        <f t="shared" si="226"/>
        <v>9.8333333333333339</v>
      </c>
      <c r="N1477" s="15">
        <v>2950</v>
      </c>
      <c r="O1477" s="15">
        <v>13900</v>
      </c>
      <c r="P1477" s="15">
        <f t="shared" si="224"/>
        <v>41005000</v>
      </c>
      <c r="Q1477" s="15" t="str">
        <f t="shared" si="231"/>
        <v/>
      </c>
      <c r="R1477" s="18" t="s">
        <v>29</v>
      </c>
      <c r="S1477" s="212">
        <v>43709</v>
      </c>
      <c r="T1477" s="20">
        <f>IFERROR(VLOOKUP(S1477,'Date Converter'!$A$4:$C$368,3,0),"")</f>
        <v>43737</v>
      </c>
      <c r="U1477" s="21">
        <f t="shared" si="230"/>
        <v>43737</v>
      </c>
      <c r="V1477" s="20"/>
      <c r="W1477" s="18"/>
      <c r="X1477" s="18"/>
      <c r="Y1477" s="18"/>
      <c r="Z1477" s="210"/>
      <c r="AA1477" s="15"/>
      <c r="AB1477" s="210"/>
      <c r="AC1477" s="15"/>
      <c r="AD1477" s="15"/>
      <c r="AE1477" s="15"/>
      <c r="AF1477" s="244"/>
      <c r="AG1477" s="15"/>
      <c r="AH1477" s="15">
        <f t="shared" si="227"/>
        <v>0</v>
      </c>
      <c r="AI1477" s="22">
        <f t="shared" si="228"/>
        <v>2950</v>
      </c>
      <c r="AJ1477" s="22">
        <f t="shared" si="229"/>
        <v>41005000</v>
      </c>
      <c r="AK1477" s="13"/>
    </row>
    <row r="1478" spans="1:37" s="165" customFormat="1" hidden="1">
      <c r="A1478" s="165" t="s">
        <v>1755</v>
      </c>
      <c r="B1478" s="13">
        <v>43507</v>
      </c>
      <c r="C1478" s="13" t="s">
        <v>1622</v>
      </c>
      <c r="D1478" s="165" t="s">
        <v>1244</v>
      </c>
      <c r="E1478" s="165" t="s">
        <v>1245</v>
      </c>
      <c r="F1478" s="165" t="str">
        <f t="shared" si="225"/>
        <v>TARR_14.16_300_NL2018</v>
      </c>
      <c r="G1478" s="165" t="s">
        <v>62</v>
      </c>
      <c r="H1478" s="12"/>
      <c r="I1478" s="12" t="s">
        <v>47</v>
      </c>
      <c r="J1478" s="14">
        <v>300</v>
      </c>
      <c r="K1478" s="15" t="s">
        <v>28</v>
      </c>
      <c r="L1478" s="15"/>
      <c r="M1478" s="16">
        <f t="shared" si="226"/>
        <v>17</v>
      </c>
      <c r="N1478" s="15">
        <v>5100</v>
      </c>
      <c r="O1478" s="15">
        <v>4600</v>
      </c>
      <c r="P1478" s="15">
        <f t="shared" si="224"/>
        <v>23460000</v>
      </c>
      <c r="Q1478" s="15" t="str">
        <f t="shared" si="231"/>
        <v>Done</v>
      </c>
      <c r="R1478" s="18" t="s">
        <v>44</v>
      </c>
      <c r="S1478" s="117">
        <v>43511</v>
      </c>
      <c r="T1478" s="20">
        <f>IFERROR(VLOOKUP(S1478,'Date Converter'!$A$4:$C$368,3,0),"")</f>
        <v>43544</v>
      </c>
      <c r="U1478" s="21">
        <f t="shared" si="230"/>
        <v>43544</v>
      </c>
      <c r="V1478" s="12" t="s">
        <v>32</v>
      </c>
      <c r="W1478" s="18" t="s">
        <v>41</v>
      </c>
      <c r="X1478" s="18"/>
      <c r="Y1478" s="18"/>
      <c r="Z1478" s="210">
        <v>43544</v>
      </c>
      <c r="AA1478" s="15">
        <v>5100</v>
      </c>
      <c r="AB1478" s="210"/>
      <c r="AC1478" s="15"/>
      <c r="AD1478" s="15"/>
      <c r="AE1478" s="15"/>
      <c r="AF1478" s="244"/>
      <c r="AG1478" s="15"/>
      <c r="AH1478" s="15">
        <f t="shared" si="227"/>
        <v>5100</v>
      </c>
      <c r="AI1478" s="22">
        <f t="shared" si="228"/>
        <v>0</v>
      </c>
      <c r="AJ1478" s="22">
        <f t="shared" si="229"/>
        <v>0</v>
      </c>
      <c r="AK1478" s="13">
        <v>43882</v>
      </c>
    </row>
    <row r="1479" spans="1:37" s="165" customFormat="1" hidden="1">
      <c r="A1479" s="165" t="s">
        <v>1755</v>
      </c>
      <c r="B1479" s="13">
        <v>43507</v>
      </c>
      <c r="C1479" s="13" t="s">
        <v>1622</v>
      </c>
      <c r="D1479" s="165" t="s">
        <v>1244</v>
      </c>
      <c r="E1479" s="165" t="s">
        <v>1245</v>
      </c>
      <c r="F1479" s="165" t="str">
        <f t="shared" si="225"/>
        <v>TARR_14.16_300_NL2018</v>
      </c>
      <c r="G1479" s="165" t="s">
        <v>62</v>
      </c>
      <c r="H1479" s="12"/>
      <c r="I1479" s="12" t="s">
        <v>47</v>
      </c>
      <c r="J1479" s="14">
        <v>300</v>
      </c>
      <c r="K1479" s="15" t="s">
        <v>28</v>
      </c>
      <c r="L1479" s="15"/>
      <c r="M1479" s="16">
        <f t="shared" si="226"/>
        <v>34</v>
      </c>
      <c r="N1479" s="15">
        <v>10200</v>
      </c>
      <c r="O1479" s="15">
        <v>4600</v>
      </c>
      <c r="P1479" s="15">
        <f t="shared" si="224"/>
        <v>46920000</v>
      </c>
      <c r="Q1479" s="15" t="str">
        <f t="shared" si="231"/>
        <v>Done</v>
      </c>
      <c r="R1479" s="18" t="s">
        <v>44</v>
      </c>
      <c r="S1479" s="23" t="s">
        <v>151</v>
      </c>
      <c r="T1479" s="20">
        <f>IFERROR(VLOOKUP(S1479,'Date Converter'!$A$4:$C$368,3,0),"")</f>
        <v>43558</v>
      </c>
      <c r="U1479" s="21">
        <f t="shared" si="230"/>
        <v>43558</v>
      </c>
      <c r="V1479" s="220" t="s">
        <v>81</v>
      </c>
      <c r="W1479" s="18" t="s">
        <v>55</v>
      </c>
      <c r="X1479" s="18"/>
      <c r="Y1479" s="18"/>
      <c r="Z1479" s="210">
        <v>43558</v>
      </c>
      <c r="AA1479" s="15">
        <v>10200</v>
      </c>
      <c r="AB1479" s="210"/>
      <c r="AC1479" s="15"/>
      <c r="AD1479" s="15"/>
      <c r="AE1479" s="15"/>
      <c r="AF1479" s="244"/>
      <c r="AG1479" s="15"/>
      <c r="AH1479" s="15">
        <f t="shared" si="227"/>
        <v>10200</v>
      </c>
      <c r="AI1479" s="22">
        <f t="shared" si="228"/>
        <v>0</v>
      </c>
      <c r="AJ1479" s="22">
        <f t="shared" si="229"/>
        <v>0</v>
      </c>
      <c r="AK1479" s="13">
        <v>43882</v>
      </c>
    </row>
    <row r="1480" spans="1:37" s="165" customFormat="1" hidden="1">
      <c r="A1480" s="165" t="s">
        <v>1754</v>
      </c>
      <c r="B1480" s="13">
        <v>43558</v>
      </c>
      <c r="C1480" s="13" t="s">
        <v>1622</v>
      </c>
      <c r="D1480" s="165" t="s">
        <v>1244</v>
      </c>
      <c r="E1480" s="165" t="s">
        <v>1245</v>
      </c>
      <c r="F1480" s="165" t="str">
        <f t="shared" si="225"/>
        <v>TARR_14.16_300_NL2018</v>
      </c>
      <c r="G1480" s="165" t="s">
        <v>62</v>
      </c>
      <c r="H1480" s="12"/>
      <c r="I1480" s="12" t="s">
        <v>47</v>
      </c>
      <c r="J1480" s="14">
        <v>300</v>
      </c>
      <c r="K1480" s="15" t="s">
        <v>28</v>
      </c>
      <c r="L1480" s="15"/>
      <c r="M1480" s="16">
        <f t="shared" si="226"/>
        <v>51</v>
      </c>
      <c r="N1480" s="15">
        <f>11100+4200</f>
        <v>15300</v>
      </c>
      <c r="O1480" s="15">
        <v>4600</v>
      </c>
      <c r="P1480" s="15">
        <f t="shared" si="224"/>
        <v>70380000</v>
      </c>
      <c r="Q1480" s="15" t="str">
        <f t="shared" si="231"/>
        <v>Done</v>
      </c>
      <c r="R1480" s="18" t="s">
        <v>44</v>
      </c>
      <c r="S1480" s="117">
        <v>43539</v>
      </c>
      <c r="T1480" s="20">
        <f>IFERROR(VLOOKUP(S1480,'Date Converter'!$A$4:$C$368,3,0),"")</f>
        <v>43574</v>
      </c>
      <c r="U1480" s="21">
        <f t="shared" si="230"/>
        <v>43574</v>
      </c>
      <c r="V1480" s="12" t="s">
        <v>57</v>
      </c>
      <c r="W1480" s="18" t="s">
        <v>108</v>
      </c>
      <c r="X1480" s="18"/>
      <c r="Y1480" s="18"/>
      <c r="Z1480" s="210">
        <v>43573</v>
      </c>
      <c r="AA1480" s="15">
        <v>8400</v>
      </c>
      <c r="AB1480" s="210">
        <v>43581</v>
      </c>
      <c r="AC1480" s="15">
        <v>2700</v>
      </c>
      <c r="AD1480" s="210">
        <v>43581</v>
      </c>
      <c r="AE1480" s="15">
        <v>4200</v>
      </c>
      <c r="AF1480" s="244"/>
      <c r="AG1480" s="15"/>
      <c r="AH1480" s="15">
        <f t="shared" si="227"/>
        <v>15300</v>
      </c>
      <c r="AI1480" s="22">
        <f t="shared" si="228"/>
        <v>0</v>
      </c>
      <c r="AJ1480" s="22">
        <f t="shared" si="229"/>
        <v>0</v>
      </c>
      <c r="AK1480" s="13">
        <v>43882</v>
      </c>
    </row>
    <row r="1481" spans="1:37" s="165" customFormat="1" hidden="1">
      <c r="A1481" s="165" t="s">
        <v>1754</v>
      </c>
      <c r="B1481" s="13">
        <v>43558</v>
      </c>
      <c r="C1481" s="13" t="s">
        <v>1622</v>
      </c>
      <c r="D1481" s="165" t="s">
        <v>1244</v>
      </c>
      <c r="E1481" s="165" t="s">
        <v>1245</v>
      </c>
      <c r="F1481" s="165" t="str">
        <f t="shared" si="225"/>
        <v>TARR_14.16_300_NL2018</v>
      </c>
      <c r="G1481" s="165" t="s">
        <v>62</v>
      </c>
      <c r="H1481" s="12"/>
      <c r="I1481" s="12" t="s">
        <v>47</v>
      </c>
      <c r="J1481" s="14">
        <v>300</v>
      </c>
      <c r="K1481" s="15" t="s">
        <v>28</v>
      </c>
      <c r="L1481" s="15"/>
      <c r="M1481" s="16">
        <f t="shared" si="226"/>
        <v>34</v>
      </c>
      <c r="N1481" s="15">
        <v>10200</v>
      </c>
      <c r="O1481" s="15">
        <v>4700</v>
      </c>
      <c r="P1481" s="15">
        <f t="shared" si="224"/>
        <v>47940000</v>
      </c>
      <c r="Q1481" s="15" t="str">
        <f t="shared" si="231"/>
        <v>Done</v>
      </c>
      <c r="R1481" s="18" t="s">
        <v>44</v>
      </c>
      <c r="S1481" s="117">
        <v>43570</v>
      </c>
      <c r="T1481" s="20">
        <f>IFERROR(VLOOKUP(S1481,'Date Converter'!$A$4:$C$368,3,0),"")</f>
        <v>43604</v>
      </c>
      <c r="U1481" s="21">
        <f t="shared" si="230"/>
        <v>43604</v>
      </c>
      <c r="V1481" s="12" t="s">
        <v>87</v>
      </c>
      <c r="W1481" s="18"/>
      <c r="X1481" s="18"/>
      <c r="Y1481" s="18"/>
      <c r="Z1481" s="210">
        <v>43604</v>
      </c>
      <c r="AA1481" s="15">
        <v>10200</v>
      </c>
      <c r="AB1481" s="210"/>
      <c r="AC1481" s="15"/>
      <c r="AD1481" s="15"/>
      <c r="AE1481" s="15"/>
      <c r="AF1481" s="244"/>
      <c r="AG1481" s="15"/>
      <c r="AH1481" s="15">
        <f t="shared" si="227"/>
        <v>10200</v>
      </c>
      <c r="AI1481" s="22">
        <f t="shared" si="228"/>
        <v>0</v>
      </c>
      <c r="AJ1481" s="22">
        <f t="shared" si="229"/>
        <v>0</v>
      </c>
      <c r="AK1481" s="13"/>
    </row>
    <row r="1482" spans="1:37" s="165" customFormat="1" hidden="1">
      <c r="A1482" s="165" t="s">
        <v>1754</v>
      </c>
      <c r="B1482" s="13">
        <v>43558</v>
      </c>
      <c r="C1482" s="13" t="s">
        <v>1622</v>
      </c>
      <c r="D1482" s="165" t="s">
        <v>1244</v>
      </c>
      <c r="E1482" s="165" t="s">
        <v>1245</v>
      </c>
      <c r="F1482" s="165" t="str">
        <f t="shared" si="225"/>
        <v>TARR_14.16_300_NL2018</v>
      </c>
      <c r="G1482" s="165" t="s">
        <v>62</v>
      </c>
      <c r="H1482" s="12"/>
      <c r="I1482" s="12" t="s">
        <v>47</v>
      </c>
      <c r="J1482" s="14">
        <v>300</v>
      </c>
      <c r="K1482" s="15" t="s">
        <v>28</v>
      </c>
      <c r="L1482" s="15"/>
      <c r="M1482" s="16">
        <f t="shared" si="226"/>
        <v>0</v>
      </c>
      <c r="N1482" s="15">
        <f>9900-9900</f>
        <v>0</v>
      </c>
      <c r="O1482" s="15">
        <v>4800</v>
      </c>
      <c r="P1482" s="15">
        <f t="shared" si="224"/>
        <v>0</v>
      </c>
      <c r="Q1482" s="15" t="str">
        <f t="shared" si="231"/>
        <v>Canceled</v>
      </c>
      <c r="R1482" s="18" t="s">
        <v>71</v>
      </c>
      <c r="S1482" s="212">
        <v>43587</v>
      </c>
      <c r="T1482" s="20">
        <f>IFERROR(VLOOKUP(S1482,'Date Converter'!$A$4:$C$368,3,0),"")</f>
        <v>43620</v>
      </c>
      <c r="U1482" s="21">
        <f t="shared" si="230"/>
        <v>43620</v>
      </c>
      <c r="V1482" s="20" t="s">
        <v>1632</v>
      </c>
      <c r="W1482" s="18"/>
      <c r="X1482" s="18"/>
      <c r="Y1482" s="18"/>
      <c r="Z1482" s="210"/>
      <c r="AA1482" s="15">
        <v>0</v>
      </c>
      <c r="AB1482" s="210"/>
      <c r="AC1482" s="15"/>
      <c r="AD1482" s="15"/>
      <c r="AE1482" s="15"/>
      <c r="AF1482" s="244"/>
      <c r="AG1482" s="15"/>
      <c r="AH1482" s="15">
        <f t="shared" si="227"/>
        <v>0</v>
      </c>
      <c r="AI1482" s="22">
        <f t="shared" si="228"/>
        <v>0</v>
      </c>
      <c r="AJ1482" s="22">
        <f t="shared" si="229"/>
        <v>0</v>
      </c>
      <c r="AK1482" s="13">
        <v>43882</v>
      </c>
    </row>
    <row r="1483" spans="1:37" s="165" customFormat="1" hidden="1">
      <c r="A1483" s="165" t="s">
        <v>1754</v>
      </c>
      <c r="B1483" s="13">
        <v>43558</v>
      </c>
      <c r="C1483" s="13" t="s">
        <v>1622</v>
      </c>
      <c r="D1483" s="165" t="s">
        <v>1244</v>
      </c>
      <c r="E1483" s="165" t="s">
        <v>1245</v>
      </c>
      <c r="F1483" s="165" t="str">
        <f t="shared" si="225"/>
        <v>TARR_14.16_300_NL2018</v>
      </c>
      <c r="G1483" s="165" t="s">
        <v>62</v>
      </c>
      <c r="H1483" s="12"/>
      <c r="I1483" s="12" t="s">
        <v>47</v>
      </c>
      <c r="J1483" s="14">
        <v>300</v>
      </c>
      <c r="K1483" s="15" t="s">
        <v>28</v>
      </c>
      <c r="L1483" s="15"/>
      <c r="M1483" s="16">
        <f t="shared" si="226"/>
        <v>67</v>
      </c>
      <c r="N1483" s="15">
        <f>9900+10200</f>
        <v>20100</v>
      </c>
      <c r="O1483" s="15">
        <v>4800</v>
      </c>
      <c r="P1483" s="15">
        <f t="shared" si="224"/>
        <v>96480000</v>
      </c>
      <c r="Q1483" s="15" t="str">
        <f t="shared" si="231"/>
        <v/>
      </c>
      <c r="R1483" s="18" t="s">
        <v>31</v>
      </c>
      <c r="S1483" s="212">
        <v>43631</v>
      </c>
      <c r="T1483" s="20">
        <f>IFERROR(VLOOKUP(S1483,'Date Converter'!$A$4:$C$368,3,0),"")</f>
        <v>43663</v>
      </c>
      <c r="U1483" s="21">
        <f t="shared" si="230"/>
        <v>43663</v>
      </c>
      <c r="V1483" s="20"/>
      <c r="W1483" s="18"/>
      <c r="X1483" s="18"/>
      <c r="Y1483" s="18"/>
      <c r="Z1483" s="210"/>
      <c r="AA1483" s="15"/>
      <c r="AB1483" s="210"/>
      <c r="AC1483" s="15"/>
      <c r="AD1483" s="15"/>
      <c r="AE1483" s="15"/>
      <c r="AF1483" s="244"/>
      <c r="AG1483" s="15"/>
      <c r="AH1483" s="15">
        <f t="shared" si="227"/>
        <v>0</v>
      </c>
      <c r="AI1483" s="22">
        <f t="shared" si="228"/>
        <v>20100</v>
      </c>
      <c r="AJ1483" s="22">
        <f t="shared" si="229"/>
        <v>96480000</v>
      </c>
      <c r="AK1483" s="13"/>
    </row>
    <row r="1484" spans="1:37" s="165" customFormat="1" hidden="1">
      <c r="A1484" s="165" t="s">
        <v>1754</v>
      </c>
      <c r="B1484" s="13">
        <v>43558</v>
      </c>
      <c r="C1484" s="13" t="s">
        <v>1622</v>
      </c>
      <c r="D1484" s="165" t="s">
        <v>1244</v>
      </c>
      <c r="E1484" s="165" t="s">
        <v>1245</v>
      </c>
      <c r="F1484" s="165" t="str">
        <f t="shared" si="225"/>
        <v>TARR_14.16_300_NL2018</v>
      </c>
      <c r="G1484" s="165" t="s">
        <v>62</v>
      </c>
      <c r="H1484" s="12"/>
      <c r="I1484" s="12" t="s">
        <v>47</v>
      </c>
      <c r="J1484" s="14">
        <v>300</v>
      </c>
      <c r="K1484" s="15" t="s">
        <v>28</v>
      </c>
      <c r="L1484" s="15"/>
      <c r="M1484" s="16">
        <f t="shared" si="226"/>
        <v>0</v>
      </c>
      <c r="N1484" s="15">
        <f>30000-30000</f>
        <v>0</v>
      </c>
      <c r="O1484" s="15">
        <v>5000</v>
      </c>
      <c r="P1484" s="15">
        <f t="shared" si="224"/>
        <v>0</v>
      </c>
      <c r="Q1484" s="15" t="str">
        <f t="shared" si="231"/>
        <v>Canceled</v>
      </c>
      <c r="R1484" s="18" t="s">
        <v>71</v>
      </c>
      <c r="S1484" s="212"/>
      <c r="T1484" s="20" t="str">
        <f>IFERROR(VLOOKUP(S1484,'Date Converter'!$A$4:$C$368,3,0),"")</f>
        <v/>
      </c>
      <c r="U1484" s="21" t="str">
        <f t="shared" si="230"/>
        <v/>
      </c>
      <c r="V1484" s="20" t="s">
        <v>1691</v>
      </c>
      <c r="W1484" s="18"/>
      <c r="X1484" s="18"/>
      <c r="Y1484" s="18"/>
      <c r="Z1484" s="210"/>
      <c r="AA1484" s="15">
        <v>0</v>
      </c>
      <c r="AB1484" s="210"/>
      <c r="AC1484" s="15"/>
      <c r="AD1484" s="15"/>
      <c r="AE1484" s="15"/>
      <c r="AF1484" s="244"/>
      <c r="AG1484" s="15"/>
      <c r="AH1484" s="15">
        <f t="shared" si="227"/>
        <v>0</v>
      </c>
      <c r="AI1484" s="22">
        <f t="shared" si="228"/>
        <v>0</v>
      </c>
      <c r="AJ1484" s="22">
        <f t="shared" si="229"/>
        <v>0</v>
      </c>
      <c r="AK1484" s="13">
        <v>43882</v>
      </c>
    </row>
    <row r="1485" spans="1:37" s="165" customFormat="1" hidden="1">
      <c r="A1485" s="165" t="s">
        <v>1763</v>
      </c>
      <c r="B1485" s="13">
        <v>43575</v>
      </c>
      <c r="C1485" s="267" t="s">
        <v>1622</v>
      </c>
      <c r="D1485" s="258" t="s">
        <v>1244</v>
      </c>
      <c r="E1485" s="165" t="s">
        <v>1245</v>
      </c>
      <c r="F1485" s="165" t="str">
        <f t="shared" si="225"/>
        <v>TARR_16.18_200_CL2019</v>
      </c>
      <c r="G1485" s="165" t="s">
        <v>62</v>
      </c>
      <c r="H1485" s="12"/>
      <c r="I1485" s="12" t="s">
        <v>35</v>
      </c>
      <c r="J1485" s="14">
        <v>200</v>
      </c>
      <c r="K1485" s="15" t="s">
        <v>1423</v>
      </c>
      <c r="L1485" s="15"/>
      <c r="M1485" s="16">
        <f t="shared" si="226"/>
        <v>100</v>
      </c>
      <c r="N1485" s="15">
        <v>20000</v>
      </c>
      <c r="O1485" s="15">
        <v>9200</v>
      </c>
      <c r="P1485" s="15">
        <f t="shared" si="224"/>
        <v>184000000</v>
      </c>
      <c r="Q1485" s="15" t="str">
        <f t="shared" si="231"/>
        <v/>
      </c>
      <c r="R1485" s="18" t="s">
        <v>29</v>
      </c>
      <c r="S1485" s="117">
        <v>43709</v>
      </c>
      <c r="T1485" s="20">
        <f>IFERROR(VLOOKUP(S1485,'Date Converter'!$A$4:$C$368,3,0),"")</f>
        <v>43737</v>
      </c>
      <c r="U1485" s="21">
        <f t="shared" si="230"/>
        <v>43737</v>
      </c>
      <c r="V1485" s="12" t="s">
        <v>51</v>
      </c>
      <c r="W1485" s="18"/>
      <c r="X1485" s="18"/>
      <c r="Y1485" s="18"/>
      <c r="Z1485" s="210"/>
      <c r="AA1485" s="15"/>
      <c r="AB1485" s="210"/>
      <c r="AC1485" s="15"/>
      <c r="AD1485" s="15"/>
      <c r="AE1485" s="15"/>
      <c r="AF1485" s="244"/>
      <c r="AG1485" s="15"/>
      <c r="AH1485" s="15">
        <f t="shared" si="227"/>
        <v>0</v>
      </c>
      <c r="AI1485" s="22">
        <f t="shared" si="228"/>
        <v>20000</v>
      </c>
      <c r="AJ1485" s="22">
        <f t="shared" si="229"/>
        <v>184000000</v>
      </c>
      <c r="AK1485" s="13"/>
    </row>
    <row r="1486" spans="1:37" s="165" customFormat="1" hidden="1">
      <c r="A1486" s="165" t="s">
        <v>1754</v>
      </c>
      <c r="B1486" s="13">
        <v>43638</v>
      </c>
      <c r="C1486" s="13" t="s">
        <v>1622</v>
      </c>
      <c r="D1486" s="165" t="s">
        <v>1244</v>
      </c>
      <c r="E1486" s="165" t="s">
        <v>1245</v>
      </c>
      <c r="F1486" s="165" t="str">
        <f t="shared" si="225"/>
        <v>SNOW_RL_20.22_125_NL2018</v>
      </c>
      <c r="G1486" s="165" t="s">
        <v>2373</v>
      </c>
      <c r="H1486" s="12" t="s">
        <v>219</v>
      </c>
      <c r="I1486" s="24" t="s">
        <v>74</v>
      </c>
      <c r="J1486" s="14">
        <v>125</v>
      </c>
      <c r="K1486" s="15" t="s">
        <v>28</v>
      </c>
      <c r="L1486" s="15"/>
      <c r="M1486" s="16">
        <f t="shared" si="226"/>
        <v>18</v>
      </c>
      <c r="N1486" s="15">
        <v>2250</v>
      </c>
      <c r="O1486" s="15">
        <v>10500</v>
      </c>
      <c r="P1486" s="15">
        <f t="shared" si="224"/>
        <v>23625000</v>
      </c>
      <c r="Q1486" s="15" t="str">
        <f t="shared" si="231"/>
        <v/>
      </c>
      <c r="R1486" s="18" t="s">
        <v>29</v>
      </c>
      <c r="S1486" s="212">
        <v>43646</v>
      </c>
      <c r="T1486" s="20" t="str">
        <f>IFERROR(VLOOKUP(S1486,'Date Converter'!$A$4:$C$368,3,0),"")</f>
        <v/>
      </c>
      <c r="U1486" s="21" t="str">
        <f t="shared" si="230"/>
        <v/>
      </c>
      <c r="V1486" s="20"/>
      <c r="W1486" s="18"/>
      <c r="X1486" s="18"/>
      <c r="Y1486" s="18"/>
      <c r="Z1486" s="210"/>
      <c r="AA1486" s="15"/>
      <c r="AB1486" s="210"/>
      <c r="AC1486" s="15"/>
      <c r="AD1486" s="15"/>
      <c r="AE1486" s="15"/>
      <c r="AF1486" s="244"/>
      <c r="AG1486" s="15"/>
      <c r="AH1486" s="15">
        <f t="shared" si="227"/>
        <v>0</v>
      </c>
      <c r="AI1486" s="22">
        <f t="shared" si="228"/>
        <v>2250</v>
      </c>
      <c r="AJ1486" s="22">
        <f t="shared" si="229"/>
        <v>23625000</v>
      </c>
      <c r="AK1486" s="13"/>
    </row>
    <row r="1487" spans="1:37" s="165" customFormat="1" hidden="1">
      <c r="A1487" s="165" t="s">
        <v>1754</v>
      </c>
      <c r="B1487" s="13">
        <v>43558</v>
      </c>
      <c r="C1487" s="13" t="s">
        <v>1622</v>
      </c>
      <c r="D1487" s="165" t="s">
        <v>1244</v>
      </c>
      <c r="E1487" s="165" t="s">
        <v>1245</v>
      </c>
      <c r="F1487" s="165" t="str">
        <f t="shared" si="225"/>
        <v>SEDO_18.20_150_NL2018</v>
      </c>
      <c r="G1487" s="165" t="s">
        <v>1585</v>
      </c>
      <c r="H1487" s="12"/>
      <c r="I1487" s="12" t="s">
        <v>27</v>
      </c>
      <c r="J1487" s="14">
        <v>150</v>
      </c>
      <c r="K1487" s="15" t="s">
        <v>28</v>
      </c>
      <c r="L1487" s="15"/>
      <c r="M1487" s="16">
        <f t="shared" si="226"/>
        <v>4</v>
      </c>
      <c r="N1487" s="15">
        <v>600</v>
      </c>
      <c r="O1487" s="15">
        <v>7200</v>
      </c>
      <c r="P1487" s="15">
        <f t="shared" si="224"/>
        <v>4320000</v>
      </c>
      <c r="Q1487" s="15" t="str">
        <f t="shared" si="231"/>
        <v>Done</v>
      </c>
      <c r="R1487" s="18" t="s">
        <v>44</v>
      </c>
      <c r="S1487" s="117">
        <v>43587</v>
      </c>
      <c r="T1487" s="20">
        <f>IFERROR(VLOOKUP(S1487,'Date Converter'!$A$4:$C$368,3,0),"")</f>
        <v>43620</v>
      </c>
      <c r="U1487" s="21">
        <f t="shared" si="230"/>
        <v>43620</v>
      </c>
      <c r="V1487" s="20" t="s">
        <v>1632</v>
      </c>
      <c r="W1487" s="18"/>
      <c r="X1487" s="18"/>
      <c r="Y1487" s="18"/>
      <c r="Z1487" s="210">
        <v>43640</v>
      </c>
      <c r="AA1487" s="15">
        <v>600</v>
      </c>
      <c r="AB1487" s="210"/>
      <c r="AC1487" s="15"/>
      <c r="AD1487" s="15"/>
      <c r="AE1487" s="15"/>
      <c r="AF1487" s="244"/>
      <c r="AG1487" s="15"/>
      <c r="AH1487" s="15">
        <f t="shared" si="227"/>
        <v>600</v>
      </c>
      <c r="AI1487" s="22">
        <f t="shared" si="228"/>
        <v>0</v>
      </c>
      <c r="AJ1487" s="22">
        <f t="shared" si="229"/>
        <v>0</v>
      </c>
      <c r="AK1487" s="13"/>
    </row>
    <row r="1488" spans="1:37" s="165" customFormat="1" hidden="1">
      <c r="A1488" s="165" t="s">
        <v>1763</v>
      </c>
      <c r="B1488" s="13">
        <v>43575</v>
      </c>
      <c r="C1488" s="267" t="s">
        <v>1622</v>
      </c>
      <c r="D1488" s="258" t="s">
        <v>1244</v>
      </c>
      <c r="E1488" s="165" t="s">
        <v>1245</v>
      </c>
      <c r="F1488" s="165" t="str">
        <f t="shared" si="225"/>
        <v>SEDO_20.22_125_NL2018</v>
      </c>
      <c r="G1488" s="165" t="s">
        <v>1585</v>
      </c>
      <c r="H1488" s="12"/>
      <c r="I1488" s="12" t="s">
        <v>74</v>
      </c>
      <c r="J1488" s="14">
        <v>125</v>
      </c>
      <c r="K1488" s="15" t="s">
        <v>28</v>
      </c>
      <c r="L1488" s="15"/>
      <c r="M1488" s="16">
        <f t="shared" si="226"/>
        <v>80</v>
      </c>
      <c r="N1488" s="15">
        <v>10000</v>
      </c>
      <c r="O1488" s="15">
        <v>10900</v>
      </c>
      <c r="P1488" s="15">
        <f t="shared" si="224"/>
        <v>109000000</v>
      </c>
      <c r="Q1488" s="15" t="str">
        <f t="shared" si="231"/>
        <v/>
      </c>
      <c r="R1488" s="18" t="s">
        <v>29</v>
      </c>
      <c r="S1488" s="117">
        <v>43709</v>
      </c>
      <c r="T1488" s="20">
        <f>IFERROR(VLOOKUP(S1488,'Date Converter'!$A$4:$C$368,3,0),"")</f>
        <v>43737</v>
      </c>
      <c r="U1488" s="21">
        <f t="shared" si="230"/>
        <v>43737</v>
      </c>
      <c r="V1488" s="12" t="s">
        <v>51</v>
      </c>
      <c r="W1488" s="18"/>
      <c r="X1488" s="18"/>
      <c r="Y1488" s="18"/>
      <c r="Z1488" s="210"/>
      <c r="AA1488" s="15"/>
      <c r="AB1488" s="210"/>
      <c r="AC1488" s="15"/>
      <c r="AD1488" s="15"/>
      <c r="AE1488" s="15"/>
      <c r="AF1488" s="244"/>
      <c r="AG1488" s="15"/>
      <c r="AH1488" s="15">
        <f t="shared" si="227"/>
        <v>0</v>
      </c>
      <c r="AI1488" s="22">
        <f t="shared" si="228"/>
        <v>10000</v>
      </c>
      <c r="AJ1488" s="22">
        <f t="shared" si="229"/>
        <v>109000000</v>
      </c>
      <c r="AK1488" s="13"/>
    </row>
    <row r="1489" spans="1:37" s="165" customFormat="1" hidden="1">
      <c r="A1489" s="165" t="s">
        <v>1754</v>
      </c>
      <c r="B1489" s="13">
        <v>43558</v>
      </c>
      <c r="C1489" s="13" t="s">
        <v>1622</v>
      </c>
      <c r="D1489" s="165" t="s">
        <v>1244</v>
      </c>
      <c r="E1489" s="165" t="s">
        <v>1245</v>
      </c>
      <c r="F1489" s="165" t="str">
        <f t="shared" si="225"/>
        <v>PETE_14.16_300_NL2018</v>
      </c>
      <c r="G1489" s="165" t="s">
        <v>1760</v>
      </c>
      <c r="H1489" s="12"/>
      <c r="I1489" s="12" t="s">
        <v>47</v>
      </c>
      <c r="J1489" s="14">
        <v>300</v>
      </c>
      <c r="K1489" s="15" t="s">
        <v>28</v>
      </c>
      <c r="L1489" s="15"/>
      <c r="M1489" s="16">
        <f t="shared" si="226"/>
        <v>6</v>
      </c>
      <c r="N1489" s="15">
        <v>1800</v>
      </c>
      <c r="O1489" s="15">
        <v>4100</v>
      </c>
      <c r="P1489" s="15">
        <f t="shared" si="224"/>
        <v>7380000</v>
      </c>
      <c r="Q1489" s="15" t="str">
        <f t="shared" si="231"/>
        <v>Done</v>
      </c>
      <c r="R1489" s="18" t="s">
        <v>63</v>
      </c>
      <c r="S1489" s="117">
        <v>43587</v>
      </c>
      <c r="T1489" s="20">
        <f>IFERROR(VLOOKUP(S1489,'Date Converter'!$A$4:$C$368,3,0),"")</f>
        <v>43620</v>
      </c>
      <c r="U1489" s="21">
        <f t="shared" si="230"/>
        <v>43620</v>
      </c>
      <c r="V1489" s="20" t="s">
        <v>1632</v>
      </c>
      <c r="W1489" s="18"/>
      <c r="X1489" s="18"/>
      <c r="Y1489" s="18"/>
      <c r="Z1489" s="210">
        <v>43640</v>
      </c>
      <c r="AA1489" s="15">
        <v>1800</v>
      </c>
      <c r="AB1489" s="210"/>
      <c r="AC1489" s="15"/>
      <c r="AD1489" s="15"/>
      <c r="AE1489" s="15"/>
      <c r="AF1489" s="244"/>
      <c r="AG1489" s="15"/>
      <c r="AH1489" s="15">
        <f t="shared" si="227"/>
        <v>1800</v>
      </c>
      <c r="AI1489" s="22">
        <f t="shared" si="228"/>
        <v>0</v>
      </c>
      <c r="AJ1489" s="22">
        <f t="shared" si="229"/>
        <v>0</v>
      </c>
      <c r="AK1489" s="13"/>
    </row>
    <row r="1490" spans="1:37" s="165" customFormat="1" hidden="1">
      <c r="A1490" s="165" t="s">
        <v>1754</v>
      </c>
      <c r="B1490" s="13">
        <v>43558</v>
      </c>
      <c r="C1490" s="13" t="s">
        <v>1622</v>
      </c>
      <c r="D1490" s="165" t="s">
        <v>1244</v>
      </c>
      <c r="E1490" s="165" t="s">
        <v>1245</v>
      </c>
      <c r="F1490" s="165" t="str">
        <f t="shared" si="225"/>
        <v>PATR_RL_12.14_400_NL2018</v>
      </c>
      <c r="G1490" s="165" t="s">
        <v>1472</v>
      </c>
      <c r="H1490" s="12" t="s">
        <v>219</v>
      </c>
      <c r="I1490" s="12" t="s">
        <v>113</v>
      </c>
      <c r="J1490" s="14">
        <v>400</v>
      </c>
      <c r="K1490" s="15" t="s">
        <v>28</v>
      </c>
      <c r="L1490" s="15"/>
      <c r="M1490" s="16">
        <f t="shared" si="226"/>
        <v>5</v>
      </c>
      <c r="N1490" s="15">
        <v>2000</v>
      </c>
      <c r="O1490" s="15">
        <v>8063</v>
      </c>
      <c r="P1490" s="15">
        <f t="shared" si="224"/>
        <v>16126000</v>
      </c>
      <c r="Q1490" s="15" t="str">
        <f t="shared" si="231"/>
        <v>Done</v>
      </c>
      <c r="R1490" s="18" t="s">
        <v>44</v>
      </c>
      <c r="S1490" s="117">
        <v>43570</v>
      </c>
      <c r="T1490" s="20">
        <f>IFERROR(VLOOKUP(S1490,'Date Converter'!$A$4:$C$368,3,0),"")</f>
        <v>43604</v>
      </c>
      <c r="U1490" s="21">
        <f t="shared" ref="U1490:U1528" si="232">+T1490</f>
        <v>43604</v>
      </c>
      <c r="V1490" s="12" t="s">
        <v>87</v>
      </c>
      <c r="W1490" s="18"/>
      <c r="X1490" s="18"/>
      <c r="Y1490" s="18"/>
      <c r="Z1490" s="210">
        <v>43604</v>
      </c>
      <c r="AA1490" s="15">
        <v>2000</v>
      </c>
      <c r="AB1490" s="210"/>
      <c r="AC1490" s="15"/>
      <c r="AD1490" s="15"/>
      <c r="AE1490" s="15"/>
      <c r="AF1490" s="244"/>
      <c r="AG1490" s="15"/>
      <c r="AH1490" s="15">
        <f t="shared" si="227"/>
        <v>2000</v>
      </c>
      <c r="AI1490" s="22">
        <f t="shared" si="228"/>
        <v>0</v>
      </c>
      <c r="AJ1490" s="22">
        <f t="shared" si="229"/>
        <v>0</v>
      </c>
      <c r="AK1490" s="13"/>
    </row>
    <row r="1491" spans="1:37" s="165" customFormat="1" hidden="1">
      <c r="A1491" s="165" t="s">
        <v>1754</v>
      </c>
      <c r="B1491" s="13">
        <v>43630</v>
      </c>
      <c r="C1491" s="13" t="s">
        <v>1622</v>
      </c>
      <c r="D1491" s="165" t="s">
        <v>1244</v>
      </c>
      <c r="E1491" s="165" t="s">
        <v>1245</v>
      </c>
      <c r="F1491" s="165" t="str">
        <f t="shared" si="225"/>
        <v>PATR_RL_12.14_400_NL2018</v>
      </c>
      <c r="G1491" s="165" t="s">
        <v>1472</v>
      </c>
      <c r="H1491" s="12" t="s">
        <v>219</v>
      </c>
      <c r="I1491" s="12" t="s">
        <v>113</v>
      </c>
      <c r="J1491" s="14">
        <v>400</v>
      </c>
      <c r="K1491" s="15" t="s">
        <v>28</v>
      </c>
      <c r="L1491" s="15"/>
      <c r="M1491" s="16">
        <f t="shared" si="226"/>
        <v>10</v>
      </c>
      <c r="N1491" s="15">
        <v>4000</v>
      </c>
      <c r="O1491" s="15">
        <v>8200</v>
      </c>
      <c r="P1491" s="15">
        <f t="shared" si="224"/>
        <v>32800000</v>
      </c>
      <c r="Q1491" s="15" t="str">
        <f t="shared" si="231"/>
        <v/>
      </c>
      <c r="R1491" s="18" t="s">
        <v>31</v>
      </c>
      <c r="S1491" s="212">
        <v>43631</v>
      </c>
      <c r="T1491" s="20">
        <f>IFERROR(VLOOKUP(S1491,'Date Converter'!$A$4:$C$368,3,0),"")</f>
        <v>43663</v>
      </c>
      <c r="U1491" s="21">
        <f t="shared" si="232"/>
        <v>43663</v>
      </c>
      <c r="V1491" s="20"/>
      <c r="W1491" s="18"/>
      <c r="X1491" s="18"/>
      <c r="Y1491" s="18"/>
      <c r="Z1491" s="210"/>
      <c r="AA1491" s="15"/>
      <c r="AB1491" s="210"/>
      <c r="AC1491" s="15"/>
      <c r="AD1491" s="15"/>
      <c r="AE1491" s="15"/>
      <c r="AF1491" s="244"/>
      <c r="AG1491" s="15"/>
      <c r="AH1491" s="15">
        <f t="shared" si="227"/>
        <v>0</v>
      </c>
      <c r="AI1491" s="22">
        <f t="shared" si="228"/>
        <v>4000</v>
      </c>
      <c r="AJ1491" s="22">
        <f t="shared" si="229"/>
        <v>32800000</v>
      </c>
      <c r="AK1491" s="13"/>
    </row>
    <row r="1492" spans="1:37" s="165" customFormat="1" hidden="1">
      <c r="A1492" s="165" t="s">
        <v>1755</v>
      </c>
      <c r="B1492" s="13">
        <v>43507</v>
      </c>
      <c r="C1492" s="13" t="s">
        <v>1622</v>
      </c>
      <c r="D1492" s="165" t="s">
        <v>1244</v>
      </c>
      <c r="E1492" s="165" t="s">
        <v>1245</v>
      </c>
      <c r="F1492" s="165" t="str">
        <f t="shared" si="225"/>
        <v>NATA_RL_12.14_400_NL2018</v>
      </c>
      <c r="G1492" s="165" t="s">
        <v>222</v>
      </c>
      <c r="H1492" s="12" t="s">
        <v>219</v>
      </c>
      <c r="I1492" s="12" t="s">
        <v>113</v>
      </c>
      <c r="J1492" s="14">
        <v>400</v>
      </c>
      <c r="K1492" s="15" t="s">
        <v>28</v>
      </c>
      <c r="L1492" s="15"/>
      <c r="M1492" s="16">
        <f t="shared" si="226"/>
        <v>8</v>
      </c>
      <c r="N1492" s="15">
        <v>3200</v>
      </c>
      <c r="O1492" s="15">
        <v>8000</v>
      </c>
      <c r="P1492" s="15">
        <f t="shared" si="224"/>
        <v>25600000</v>
      </c>
      <c r="Q1492" s="15" t="str">
        <f t="shared" si="231"/>
        <v>Done</v>
      </c>
      <c r="R1492" s="18" t="s">
        <v>44</v>
      </c>
      <c r="S1492" s="23" t="s">
        <v>151</v>
      </c>
      <c r="T1492" s="20">
        <f>IFERROR(VLOOKUP(S1492,'Date Converter'!$A$4:$C$368,3,0),"")</f>
        <v>43558</v>
      </c>
      <c r="U1492" s="21">
        <f t="shared" si="232"/>
        <v>43558</v>
      </c>
      <c r="V1492" s="220" t="s">
        <v>81</v>
      </c>
      <c r="W1492" s="18" t="s">
        <v>55</v>
      </c>
      <c r="X1492" s="18"/>
      <c r="Y1492" s="18"/>
      <c r="Z1492" s="210">
        <v>43558</v>
      </c>
      <c r="AA1492" s="15">
        <v>3200</v>
      </c>
      <c r="AB1492" s="210"/>
      <c r="AC1492" s="15"/>
      <c r="AD1492" s="15"/>
      <c r="AE1492" s="15"/>
      <c r="AF1492" s="244"/>
      <c r="AG1492" s="15"/>
      <c r="AH1492" s="15">
        <f t="shared" si="227"/>
        <v>3200</v>
      </c>
      <c r="AI1492" s="22">
        <f t="shared" si="228"/>
        <v>0</v>
      </c>
      <c r="AJ1492" s="22">
        <f t="shared" si="229"/>
        <v>0</v>
      </c>
      <c r="AK1492" s="13">
        <v>43882</v>
      </c>
    </row>
    <row r="1493" spans="1:37" s="165" customFormat="1" hidden="1">
      <c r="A1493" s="165" t="s">
        <v>1754</v>
      </c>
      <c r="B1493" s="13">
        <v>43558</v>
      </c>
      <c r="C1493" s="13" t="s">
        <v>1622</v>
      </c>
      <c r="D1493" s="165" t="s">
        <v>1244</v>
      </c>
      <c r="E1493" s="165" t="s">
        <v>1245</v>
      </c>
      <c r="F1493" s="165" t="str">
        <f t="shared" si="225"/>
        <v>NATA_RL_12.14_400_NL2018</v>
      </c>
      <c r="G1493" s="165" t="s">
        <v>222</v>
      </c>
      <c r="H1493" s="12" t="s">
        <v>219</v>
      </c>
      <c r="I1493" s="12" t="s">
        <v>113</v>
      </c>
      <c r="J1493" s="14">
        <v>400</v>
      </c>
      <c r="K1493" s="15" t="s">
        <v>28</v>
      </c>
      <c r="L1493" s="15"/>
      <c r="M1493" s="16">
        <f t="shared" si="226"/>
        <v>8</v>
      </c>
      <c r="N1493" s="15">
        <v>3200</v>
      </c>
      <c r="O1493" s="15">
        <v>8063</v>
      </c>
      <c r="P1493" s="15">
        <f t="shared" si="224"/>
        <v>25801600</v>
      </c>
      <c r="Q1493" s="15" t="str">
        <f t="shared" si="231"/>
        <v>Done</v>
      </c>
      <c r="R1493" s="18" t="s">
        <v>44</v>
      </c>
      <c r="S1493" s="117">
        <v>43570</v>
      </c>
      <c r="T1493" s="20">
        <f>IFERROR(VLOOKUP(S1493,'Date Converter'!$A$4:$C$368,3,0),"")</f>
        <v>43604</v>
      </c>
      <c r="U1493" s="21">
        <f t="shared" si="232"/>
        <v>43604</v>
      </c>
      <c r="V1493" s="12" t="s">
        <v>87</v>
      </c>
      <c r="W1493" s="18"/>
      <c r="X1493" s="18"/>
      <c r="Y1493" s="18"/>
      <c r="Z1493" s="210">
        <v>43604</v>
      </c>
      <c r="AA1493" s="15">
        <v>3200</v>
      </c>
      <c r="AB1493" s="210"/>
      <c r="AC1493" s="15"/>
      <c r="AD1493" s="15"/>
      <c r="AE1493" s="15"/>
      <c r="AF1493" s="244"/>
      <c r="AG1493" s="15"/>
      <c r="AH1493" s="15">
        <f t="shared" si="227"/>
        <v>3200</v>
      </c>
      <c r="AI1493" s="22">
        <f t="shared" si="228"/>
        <v>0</v>
      </c>
      <c r="AJ1493" s="22">
        <f t="shared" si="229"/>
        <v>0</v>
      </c>
      <c r="AK1493" s="13"/>
    </row>
    <row r="1494" spans="1:37" s="165" customFormat="1" hidden="1">
      <c r="A1494" s="165" t="s">
        <v>1754</v>
      </c>
      <c r="B1494" s="13">
        <v>43558</v>
      </c>
      <c r="C1494" s="13" t="s">
        <v>1622</v>
      </c>
      <c r="D1494" s="165" t="s">
        <v>1244</v>
      </c>
      <c r="E1494" s="165" t="s">
        <v>1245</v>
      </c>
      <c r="F1494" s="165" t="str">
        <f t="shared" si="225"/>
        <v>NATA_RL_12.14_400_NL2018</v>
      </c>
      <c r="G1494" s="165" t="s">
        <v>222</v>
      </c>
      <c r="H1494" s="12" t="s">
        <v>219</v>
      </c>
      <c r="I1494" s="12" t="s">
        <v>113</v>
      </c>
      <c r="J1494" s="14">
        <v>400</v>
      </c>
      <c r="K1494" s="15" t="s">
        <v>28</v>
      </c>
      <c r="L1494" s="15"/>
      <c r="M1494" s="16">
        <f t="shared" si="226"/>
        <v>3</v>
      </c>
      <c r="N1494" s="15">
        <f>1200</f>
        <v>1200</v>
      </c>
      <c r="O1494" s="15">
        <v>8088</v>
      </c>
      <c r="P1494" s="15">
        <f t="shared" si="224"/>
        <v>9705600</v>
      </c>
      <c r="Q1494" s="15" t="str">
        <f t="shared" si="231"/>
        <v>Done</v>
      </c>
      <c r="R1494" s="18" t="s">
        <v>44</v>
      </c>
      <c r="S1494" s="117">
        <v>43587</v>
      </c>
      <c r="T1494" s="20">
        <f>IFERROR(VLOOKUP(S1494,'Date Converter'!$A$4:$C$368,3,0),"")</f>
        <v>43620</v>
      </c>
      <c r="U1494" s="21">
        <f t="shared" si="232"/>
        <v>43620</v>
      </c>
      <c r="V1494" s="20" t="s">
        <v>1632</v>
      </c>
      <c r="W1494" s="18"/>
      <c r="X1494" s="18"/>
      <c r="Y1494" s="18"/>
      <c r="Z1494" s="210">
        <v>43627</v>
      </c>
      <c r="AA1494" s="15">
        <v>1200</v>
      </c>
      <c r="AB1494" s="210"/>
      <c r="AC1494" s="15"/>
      <c r="AD1494" s="15"/>
      <c r="AE1494" s="15"/>
      <c r="AF1494" s="244"/>
      <c r="AG1494" s="15"/>
      <c r="AH1494" s="15">
        <f t="shared" si="227"/>
        <v>1200</v>
      </c>
      <c r="AI1494" s="22">
        <f t="shared" si="228"/>
        <v>0</v>
      </c>
      <c r="AJ1494" s="22">
        <f t="shared" si="229"/>
        <v>0</v>
      </c>
      <c r="AK1494" s="13"/>
    </row>
    <row r="1495" spans="1:37" s="165" customFormat="1" hidden="1">
      <c r="A1495" s="165" t="s">
        <v>1754</v>
      </c>
      <c r="B1495" s="13">
        <v>43630</v>
      </c>
      <c r="C1495" s="13" t="s">
        <v>1622</v>
      </c>
      <c r="D1495" s="165" t="s">
        <v>1244</v>
      </c>
      <c r="E1495" s="165" t="s">
        <v>1245</v>
      </c>
      <c r="F1495" s="165" t="str">
        <f t="shared" si="225"/>
        <v>NATA_RL_12.14_400_NL2018</v>
      </c>
      <c r="G1495" s="165" t="s">
        <v>222</v>
      </c>
      <c r="H1495" s="12" t="s">
        <v>219</v>
      </c>
      <c r="I1495" s="12" t="s">
        <v>113</v>
      </c>
      <c r="J1495" s="14">
        <v>400</v>
      </c>
      <c r="K1495" s="15" t="s">
        <v>28</v>
      </c>
      <c r="L1495" s="15"/>
      <c r="M1495" s="16">
        <f t="shared" si="226"/>
        <v>7</v>
      </c>
      <c r="N1495" s="15">
        <v>2800</v>
      </c>
      <c r="O1495" s="15">
        <v>8088</v>
      </c>
      <c r="P1495" s="15">
        <f t="shared" si="224"/>
        <v>22646400</v>
      </c>
      <c r="Q1495" s="15" t="str">
        <f t="shared" si="231"/>
        <v/>
      </c>
      <c r="R1495" s="18" t="s">
        <v>63</v>
      </c>
      <c r="S1495" s="212">
        <v>43603</v>
      </c>
      <c r="T1495" s="20">
        <f>IFERROR(VLOOKUP(S1495,'Date Converter'!$A$4:$C$368,3,0),"")</f>
        <v>43636</v>
      </c>
      <c r="U1495" s="21">
        <f t="shared" si="232"/>
        <v>43636</v>
      </c>
      <c r="V1495" s="20"/>
      <c r="W1495" s="18"/>
      <c r="X1495" s="18"/>
      <c r="Y1495" s="18"/>
      <c r="Z1495" s="210"/>
      <c r="AA1495" s="15"/>
      <c r="AB1495" s="210"/>
      <c r="AC1495" s="15"/>
      <c r="AD1495" s="15"/>
      <c r="AE1495" s="15"/>
      <c r="AF1495" s="244"/>
      <c r="AG1495" s="15"/>
      <c r="AH1495" s="15">
        <f t="shared" si="227"/>
        <v>0</v>
      </c>
      <c r="AI1495" s="22">
        <f t="shared" si="228"/>
        <v>2800</v>
      </c>
      <c r="AJ1495" s="22">
        <f t="shared" si="229"/>
        <v>22646400</v>
      </c>
      <c r="AK1495" s="13"/>
    </row>
    <row r="1496" spans="1:37" s="165" customFormat="1" hidden="1">
      <c r="A1496" s="165" t="s">
        <v>1754</v>
      </c>
      <c r="B1496" s="13">
        <v>43636</v>
      </c>
      <c r="C1496" s="13" t="s">
        <v>1622</v>
      </c>
      <c r="D1496" s="165" t="s">
        <v>1244</v>
      </c>
      <c r="E1496" s="165" t="s">
        <v>1245</v>
      </c>
      <c r="F1496" s="165" t="str">
        <f t="shared" si="225"/>
        <v>NATA_RL_12.14_400_NL2018</v>
      </c>
      <c r="G1496" s="165" t="s">
        <v>222</v>
      </c>
      <c r="H1496" s="12" t="s">
        <v>219</v>
      </c>
      <c r="I1496" s="12" t="s">
        <v>113</v>
      </c>
      <c r="J1496" s="14">
        <v>400</v>
      </c>
      <c r="K1496" s="15" t="s">
        <v>28</v>
      </c>
      <c r="L1496" s="15"/>
      <c r="M1496" s="16">
        <f t="shared" si="226"/>
        <v>7</v>
      </c>
      <c r="N1496" s="15">
        <f>3200-400</f>
        <v>2800</v>
      </c>
      <c r="O1496" s="15">
        <v>8200</v>
      </c>
      <c r="P1496" s="15">
        <f t="shared" si="224"/>
        <v>22960000</v>
      </c>
      <c r="Q1496" s="15" t="str">
        <f t="shared" si="231"/>
        <v/>
      </c>
      <c r="R1496" s="18" t="s">
        <v>63</v>
      </c>
      <c r="S1496" s="212">
        <v>43603</v>
      </c>
      <c r="T1496" s="20">
        <f>IFERROR(VLOOKUP(S1496,'Date Converter'!$A$4:$C$368,3,0),"")</f>
        <v>43636</v>
      </c>
      <c r="U1496" s="21">
        <f t="shared" si="232"/>
        <v>43636</v>
      </c>
      <c r="V1496" s="20"/>
      <c r="W1496" s="18"/>
      <c r="X1496" s="18"/>
      <c r="Y1496" s="18"/>
      <c r="Z1496" s="210"/>
      <c r="AA1496" s="15"/>
      <c r="AB1496" s="210"/>
      <c r="AC1496" s="15"/>
      <c r="AD1496" s="15"/>
      <c r="AE1496" s="15"/>
      <c r="AF1496" s="244"/>
      <c r="AG1496" s="15"/>
      <c r="AH1496" s="15">
        <f t="shared" si="227"/>
        <v>0</v>
      </c>
      <c r="AI1496" s="22">
        <f t="shared" si="228"/>
        <v>2800</v>
      </c>
      <c r="AJ1496" s="22">
        <f t="shared" si="229"/>
        <v>22960000</v>
      </c>
      <c r="AK1496" s="13"/>
    </row>
    <row r="1497" spans="1:37" s="165" customFormat="1" hidden="1">
      <c r="A1497" s="165" t="s">
        <v>1754</v>
      </c>
      <c r="B1497" s="13">
        <v>43636</v>
      </c>
      <c r="C1497" s="13" t="s">
        <v>1622</v>
      </c>
      <c r="D1497" s="165" t="s">
        <v>1244</v>
      </c>
      <c r="E1497" s="165" t="s">
        <v>1245</v>
      </c>
      <c r="F1497" s="165" t="str">
        <f t="shared" si="225"/>
        <v>NATA_RL_12.14_400_NL2018</v>
      </c>
      <c r="G1497" s="165" t="s">
        <v>222</v>
      </c>
      <c r="H1497" s="12" t="s">
        <v>219</v>
      </c>
      <c r="I1497" s="12" t="s">
        <v>113</v>
      </c>
      <c r="J1497" s="14">
        <v>400</v>
      </c>
      <c r="K1497" s="15" t="s">
        <v>28</v>
      </c>
      <c r="L1497" s="15"/>
      <c r="M1497" s="16">
        <f t="shared" si="226"/>
        <v>4</v>
      </c>
      <c r="N1497" s="15">
        <v>1600</v>
      </c>
      <c r="O1497" s="15">
        <v>8300</v>
      </c>
      <c r="P1497" s="15">
        <f t="shared" si="224"/>
        <v>13280000</v>
      </c>
      <c r="Q1497" s="15" t="str">
        <f t="shared" si="231"/>
        <v/>
      </c>
      <c r="R1497" s="18" t="s">
        <v>29</v>
      </c>
      <c r="S1497" s="212">
        <v>43651</v>
      </c>
      <c r="T1497" s="20">
        <f>IFERROR(VLOOKUP(S1497,'Date Converter'!$A$4:$C$368,3,0),"")</f>
        <v>43682</v>
      </c>
      <c r="U1497" s="21">
        <f t="shared" si="232"/>
        <v>43682</v>
      </c>
      <c r="V1497" s="20"/>
      <c r="W1497" s="18"/>
      <c r="X1497" s="18"/>
      <c r="Y1497" s="18"/>
      <c r="Z1497" s="210"/>
      <c r="AA1497" s="15"/>
      <c r="AB1497" s="210"/>
      <c r="AC1497" s="15"/>
      <c r="AD1497" s="15"/>
      <c r="AE1497" s="15"/>
      <c r="AF1497" s="244"/>
      <c r="AG1497" s="15"/>
      <c r="AH1497" s="15">
        <f t="shared" si="227"/>
        <v>0</v>
      </c>
      <c r="AI1497" s="22">
        <f t="shared" si="228"/>
        <v>1600</v>
      </c>
      <c r="AJ1497" s="22">
        <f t="shared" si="229"/>
        <v>13280000</v>
      </c>
      <c r="AK1497" s="13"/>
    </row>
    <row r="1498" spans="1:37" s="165" customFormat="1" hidden="1">
      <c r="A1498" s="165" t="s">
        <v>1754</v>
      </c>
      <c r="B1498" s="13">
        <v>43630</v>
      </c>
      <c r="C1498" s="13" t="s">
        <v>1622</v>
      </c>
      <c r="D1498" s="165" t="s">
        <v>1244</v>
      </c>
      <c r="E1498" s="165" t="s">
        <v>1245</v>
      </c>
      <c r="F1498" s="165" t="str">
        <f t="shared" si="225"/>
        <v>NATA_RL_12.14_400_NL2018</v>
      </c>
      <c r="G1498" s="165" t="s">
        <v>222</v>
      </c>
      <c r="H1498" s="12" t="s">
        <v>219</v>
      </c>
      <c r="I1498" s="12" t="s">
        <v>113</v>
      </c>
      <c r="J1498" s="14">
        <v>400</v>
      </c>
      <c r="K1498" s="15" t="s">
        <v>28</v>
      </c>
      <c r="L1498" s="15"/>
      <c r="M1498" s="16">
        <f t="shared" si="226"/>
        <v>10</v>
      </c>
      <c r="N1498" s="15">
        <v>4000</v>
      </c>
      <c r="O1498" s="15">
        <v>8200</v>
      </c>
      <c r="P1498" s="15">
        <f t="shared" si="224"/>
        <v>32800000</v>
      </c>
      <c r="Q1498" s="15" t="str">
        <f t="shared" si="231"/>
        <v/>
      </c>
      <c r="R1498" s="18" t="s">
        <v>31</v>
      </c>
      <c r="S1498" s="212">
        <v>43631</v>
      </c>
      <c r="T1498" s="20">
        <f>IFERROR(VLOOKUP(S1498,'Date Converter'!$A$4:$C$368,3,0),"")</f>
        <v>43663</v>
      </c>
      <c r="U1498" s="21">
        <f t="shared" si="232"/>
        <v>43663</v>
      </c>
      <c r="V1498" s="20"/>
      <c r="W1498" s="18"/>
      <c r="X1498" s="18"/>
      <c r="Y1498" s="18"/>
      <c r="Z1498" s="210"/>
      <c r="AA1498" s="15"/>
      <c r="AB1498" s="210"/>
      <c r="AC1498" s="15"/>
      <c r="AD1498" s="15"/>
      <c r="AE1498" s="15"/>
      <c r="AF1498" s="244"/>
      <c r="AG1498" s="15"/>
      <c r="AH1498" s="15">
        <f t="shared" si="227"/>
        <v>0</v>
      </c>
      <c r="AI1498" s="22">
        <f t="shared" si="228"/>
        <v>4000</v>
      </c>
      <c r="AJ1498" s="22">
        <f t="shared" si="229"/>
        <v>32800000</v>
      </c>
      <c r="AK1498" s="13"/>
    </row>
    <row r="1499" spans="1:37" s="165" customFormat="1" hidden="1">
      <c r="A1499" s="165" t="s">
        <v>1754</v>
      </c>
      <c r="B1499" s="13">
        <v>43558</v>
      </c>
      <c r="C1499" s="13" t="s">
        <v>1622</v>
      </c>
      <c r="D1499" s="165" t="s">
        <v>1244</v>
      </c>
      <c r="E1499" s="165" t="s">
        <v>1245</v>
      </c>
      <c r="F1499" s="165" t="str">
        <f t="shared" si="225"/>
        <v>MALD_16.18_200_NL2018</v>
      </c>
      <c r="G1499" s="165" t="s">
        <v>478</v>
      </c>
      <c r="H1499" s="12"/>
      <c r="I1499" s="12" t="s">
        <v>35</v>
      </c>
      <c r="J1499" s="14">
        <v>200</v>
      </c>
      <c r="K1499" s="15" t="s">
        <v>28</v>
      </c>
      <c r="L1499" s="15"/>
      <c r="M1499" s="16">
        <f t="shared" si="226"/>
        <v>50</v>
      </c>
      <c r="N1499" s="25">
        <v>10000</v>
      </c>
      <c r="O1499" s="15">
        <v>5000</v>
      </c>
      <c r="P1499" s="15">
        <f t="shared" si="224"/>
        <v>50000000</v>
      </c>
      <c r="Q1499" s="15" t="str">
        <f t="shared" si="231"/>
        <v>Done</v>
      </c>
      <c r="R1499" s="18" t="s">
        <v>44</v>
      </c>
      <c r="S1499" s="117"/>
      <c r="T1499" s="20" t="str">
        <f>IFERROR(VLOOKUP(S1499,'Date Converter'!$A$4:$C$368,3,0),"")</f>
        <v/>
      </c>
      <c r="U1499" s="21" t="str">
        <f t="shared" si="232"/>
        <v/>
      </c>
      <c r="V1499" s="12"/>
      <c r="W1499" s="18" t="s">
        <v>143</v>
      </c>
      <c r="X1499" s="18"/>
      <c r="Y1499" s="18"/>
      <c r="Z1499" s="210">
        <v>43593</v>
      </c>
      <c r="AA1499" s="15">
        <v>10000</v>
      </c>
      <c r="AB1499" s="210"/>
      <c r="AC1499" s="15"/>
      <c r="AD1499" s="210"/>
      <c r="AE1499" s="15"/>
      <c r="AF1499" s="244"/>
      <c r="AG1499" s="15"/>
      <c r="AH1499" s="15">
        <f t="shared" si="227"/>
        <v>10000</v>
      </c>
      <c r="AI1499" s="22">
        <f t="shared" si="228"/>
        <v>0</v>
      </c>
      <c r="AJ1499" s="22">
        <f t="shared" si="229"/>
        <v>0</v>
      </c>
      <c r="AK1499" s="13">
        <v>43882</v>
      </c>
    </row>
    <row r="1500" spans="1:37" s="165" customFormat="1" hidden="1">
      <c r="A1500" s="165" t="s">
        <v>1754</v>
      </c>
      <c r="B1500" s="13">
        <v>43620</v>
      </c>
      <c r="C1500" s="13" t="s">
        <v>1622</v>
      </c>
      <c r="D1500" s="165" t="s">
        <v>1244</v>
      </c>
      <c r="E1500" s="165" t="s">
        <v>1245</v>
      </c>
      <c r="F1500" s="165" t="str">
        <f t="shared" si="225"/>
        <v>MALD_14.16_300_NL2018</v>
      </c>
      <c r="G1500" s="165" t="s">
        <v>478</v>
      </c>
      <c r="H1500" s="12"/>
      <c r="I1500" s="12" t="s">
        <v>47</v>
      </c>
      <c r="J1500" s="14">
        <v>300</v>
      </c>
      <c r="K1500" s="15" t="s">
        <v>28</v>
      </c>
      <c r="L1500" s="15"/>
      <c r="M1500" s="16">
        <f t="shared" si="226"/>
        <v>14</v>
      </c>
      <c r="N1500" s="15">
        <f>9900-5700</f>
        <v>4200</v>
      </c>
      <c r="O1500" s="15">
        <v>4000</v>
      </c>
      <c r="P1500" s="15">
        <f t="shared" si="224"/>
        <v>16800000</v>
      </c>
      <c r="Q1500" s="15" t="str">
        <f t="shared" si="231"/>
        <v>Done</v>
      </c>
      <c r="R1500" s="18" t="s">
        <v>44</v>
      </c>
      <c r="S1500" s="117">
        <v>43590</v>
      </c>
      <c r="T1500" s="20">
        <f>IFERROR(VLOOKUP(S1500,'Date Converter'!$A$4:$C$368,3,0),"")</f>
        <v>43623</v>
      </c>
      <c r="U1500" s="21">
        <f t="shared" si="232"/>
        <v>43623</v>
      </c>
      <c r="V1500" s="12"/>
      <c r="W1500" s="18"/>
      <c r="X1500" s="18"/>
      <c r="Y1500" s="18"/>
      <c r="Z1500" s="210">
        <v>43629</v>
      </c>
      <c r="AA1500" s="256">
        <v>4200</v>
      </c>
      <c r="AB1500" s="210"/>
      <c r="AC1500" s="15"/>
      <c r="AD1500" s="15"/>
      <c r="AE1500" s="15"/>
      <c r="AF1500" s="244"/>
      <c r="AG1500" s="15"/>
      <c r="AH1500" s="15">
        <f t="shared" si="227"/>
        <v>4200</v>
      </c>
      <c r="AI1500" s="22">
        <f t="shared" si="228"/>
        <v>0</v>
      </c>
      <c r="AJ1500" s="22">
        <f t="shared" si="229"/>
        <v>0</v>
      </c>
      <c r="AK1500" s="13"/>
    </row>
    <row r="1501" spans="1:37" s="165" customFormat="1" hidden="1">
      <c r="A1501" s="165" t="s">
        <v>1755</v>
      </c>
      <c r="B1501" s="13">
        <v>43507</v>
      </c>
      <c r="C1501" s="13" t="s">
        <v>1622</v>
      </c>
      <c r="D1501" s="165" t="s">
        <v>1244</v>
      </c>
      <c r="E1501" s="165" t="s">
        <v>1245</v>
      </c>
      <c r="F1501" s="165" t="str">
        <f t="shared" si="225"/>
        <v>INDI_14.16_300_NL2018</v>
      </c>
      <c r="G1501" s="165" t="s">
        <v>154</v>
      </c>
      <c r="H1501" s="12"/>
      <c r="I1501" s="12" t="s">
        <v>47</v>
      </c>
      <c r="J1501" s="14">
        <v>300</v>
      </c>
      <c r="K1501" s="15" t="s">
        <v>28</v>
      </c>
      <c r="L1501" s="15"/>
      <c r="M1501" s="16">
        <f t="shared" si="226"/>
        <v>17</v>
      </c>
      <c r="N1501" s="15">
        <v>5100</v>
      </c>
      <c r="O1501" s="15">
        <v>4700</v>
      </c>
      <c r="P1501" s="15">
        <f t="shared" si="224"/>
        <v>23970000</v>
      </c>
      <c r="Q1501" s="15" t="str">
        <f t="shared" si="231"/>
        <v>Done</v>
      </c>
      <c r="R1501" s="18" t="s">
        <v>44</v>
      </c>
      <c r="S1501" s="23" t="s">
        <v>151</v>
      </c>
      <c r="T1501" s="20">
        <f>IFERROR(VLOOKUP(S1501,'Date Converter'!$A$4:$C$368,3,0),"")</f>
        <v>43558</v>
      </c>
      <c r="U1501" s="21">
        <f t="shared" si="232"/>
        <v>43558</v>
      </c>
      <c r="V1501" s="220" t="s">
        <v>81</v>
      </c>
      <c r="W1501" s="18" t="s">
        <v>101</v>
      </c>
      <c r="X1501" s="18"/>
      <c r="Y1501" s="18"/>
      <c r="Z1501" s="210">
        <v>43558</v>
      </c>
      <c r="AA1501" s="15">
        <v>5100</v>
      </c>
      <c r="AB1501" s="210"/>
      <c r="AC1501" s="15"/>
      <c r="AD1501" s="210"/>
      <c r="AE1501" s="15"/>
      <c r="AF1501" s="244"/>
      <c r="AG1501" s="15"/>
      <c r="AH1501" s="15">
        <f t="shared" si="227"/>
        <v>5100</v>
      </c>
      <c r="AI1501" s="22">
        <f t="shared" si="228"/>
        <v>0</v>
      </c>
      <c r="AJ1501" s="22">
        <f t="shared" si="229"/>
        <v>0</v>
      </c>
      <c r="AK1501" s="13"/>
    </row>
    <row r="1502" spans="1:37" s="165" customFormat="1" hidden="1">
      <c r="A1502" s="165" t="s">
        <v>1754</v>
      </c>
      <c r="B1502" s="13">
        <v>43612</v>
      </c>
      <c r="C1502" s="13" t="s">
        <v>1622</v>
      </c>
      <c r="D1502" s="165" t="s">
        <v>1244</v>
      </c>
      <c r="E1502" s="165" t="s">
        <v>1245</v>
      </c>
      <c r="F1502" s="165" t="str">
        <f t="shared" si="225"/>
        <v>FERR_13.14_400_NL2018</v>
      </c>
      <c r="G1502" s="165" t="s">
        <v>1466</v>
      </c>
      <c r="H1502" s="12"/>
      <c r="I1502" s="12" t="s">
        <v>1467</v>
      </c>
      <c r="J1502" s="14">
        <v>400</v>
      </c>
      <c r="K1502" s="15" t="s">
        <v>28</v>
      </c>
      <c r="L1502" s="15"/>
      <c r="M1502" s="16">
        <f t="shared" si="226"/>
        <v>8</v>
      </c>
      <c r="N1502" s="15">
        <v>3200</v>
      </c>
      <c r="O1502" s="15">
        <v>4500</v>
      </c>
      <c r="P1502" s="15">
        <f t="shared" si="224"/>
        <v>14400000</v>
      </c>
      <c r="Q1502" s="15" t="str">
        <f t="shared" si="231"/>
        <v>Done</v>
      </c>
      <c r="R1502" s="18" t="s">
        <v>44</v>
      </c>
      <c r="S1502" s="117">
        <v>43590</v>
      </c>
      <c r="T1502" s="20">
        <f>IFERROR(VLOOKUP(S1502,'Date Converter'!$A$4:$C$368,3,0),"")</f>
        <v>43623</v>
      </c>
      <c r="U1502" s="21">
        <f t="shared" si="232"/>
        <v>43623</v>
      </c>
      <c r="V1502" s="12"/>
      <c r="W1502" s="18"/>
      <c r="X1502" s="18"/>
      <c r="Y1502" s="18"/>
      <c r="Z1502" s="210">
        <v>43640</v>
      </c>
      <c r="AA1502" s="15">
        <v>3200</v>
      </c>
      <c r="AB1502" s="210"/>
      <c r="AC1502" s="15"/>
      <c r="AD1502" s="15"/>
      <c r="AE1502" s="15"/>
      <c r="AF1502" s="244"/>
      <c r="AG1502" s="15"/>
      <c r="AH1502" s="15">
        <f t="shared" si="227"/>
        <v>3200</v>
      </c>
      <c r="AI1502" s="22">
        <f t="shared" si="228"/>
        <v>0</v>
      </c>
      <c r="AJ1502" s="22">
        <f t="shared" si="229"/>
        <v>0</v>
      </c>
      <c r="AK1502" s="13"/>
    </row>
    <row r="1503" spans="1:37" s="165" customFormat="1" hidden="1">
      <c r="A1503" s="165" t="s">
        <v>1754</v>
      </c>
      <c r="B1503" s="13">
        <v>43558</v>
      </c>
      <c r="C1503" s="13" t="s">
        <v>1622</v>
      </c>
      <c r="D1503" s="165" t="s">
        <v>1244</v>
      </c>
      <c r="E1503" s="165" t="s">
        <v>1245</v>
      </c>
      <c r="F1503" s="165" t="str">
        <f t="shared" si="225"/>
        <v>DORI_RL_12.14_400_NL2018</v>
      </c>
      <c r="G1503" s="165" t="s">
        <v>1759</v>
      </c>
      <c r="H1503" s="12" t="s">
        <v>219</v>
      </c>
      <c r="I1503" s="12" t="s">
        <v>113</v>
      </c>
      <c r="J1503" s="14">
        <v>400</v>
      </c>
      <c r="K1503" s="15" t="s">
        <v>28</v>
      </c>
      <c r="L1503" s="15"/>
      <c r="M1503" s="16">
        <f t="shared" si="226"/>
        <v>3</v>
      </c>
      <c r="N1503" s="15">
        <v>1200</v>
      </c>
      <c r="O1503" s="15">
        <v>8088</v>
      </c>
      <c r="P1503" s="15">
        <f t="shared" si="224"/>
        <v>9705600</v>
      </c>
      <c r="Q1503" s="15" t="str">
        <f t="shared" si="231"/>
        <v>Done</v>
      </c>
      <c r="R1503" s="18" t="s">
        <v>44</v>
      </c>
      <c r="S1503" s="117">
        <v>43587</v>
      </c>
      <c r="T1503" s="20">
        <f>IFERROR(VLOOKUP(S1503,'Date Converter'!$A$4:$C$368,3,0),"")</f>
        <v>43620</v>
      </c>
      <c r="U1503" s="21">
        <f t="shared" si="232"/>
        <v>43620</v>
      </c>
      <c r="V1503" s="20" t="s">
        <v>1632</v>
      </c>
      <c r="W1503" s="18"/>
      <c r="X1503" s="18"/>
      <c r="Y1503" s="18"/>
      <c r="Z1503" s="210">
        <v>43640</v>
      </c>
      <c r="AA1503" s="15">
        <v>1200</v>
      </c>
      <c r="AB1503" s="210"/>
      <c r="AC1503" s="15"/>
      <c r="AD1503" s="15"/>
      <c r="AE1503" s="15"/>
      <c r="AF1503" s="244"/>
      <c r="AG1503" s="15"/>
      <c r="AH1503" s="15">
        <f t="shared" si="227"/>
        <v>1200</v>
      </c>
      <c r="AI1503" s="22">
        <f t="shared" si="228"/>
        <v>0</v>
      </c>
      <c r="AJ1503" s="22">
        <f t="shared" si="229"/>
        <v>0</v>
      </c>
      <c r="AK1503" s="13"/>
    </row>
    <row r="1504" spans="1:37" s="165" customFormat="1" hidden="1">
      <c r="A1504" s="165" t="s">
        <v>1754</v>
      </c>
      <c r="B1504" s="13">
        <v>43558</v>
      </c>
      <c r="C1504" s="13" t="s">
        <v>1622</v>
      </c>
      <c r="D1504" s="165" t="s">
        <v>1244</v>
      </c>
      <c r="E1504" s="165" t="s">
        <v>1245</v>
      </c>
      <c r="F1504" s="165" t="str">
        <f t="shared" si="225"/>
        <v>CLAR_RL_12.14_400_NL2018</v>
      </c>
      <c r="G1504" s="165" t="s">
        <v>1758</v>
      </c>
      <c r="H1504" s="12" t="s">
        <v>219</v>
      </c>
      <c r="I1504" s="12" t="s">
        <v>113</v>
      </c>
      <c r="J1504" s="14">
        <v>400</v>
      </c>
      <c r="K1504" s="15" t="s">
        <v>28</v>
      </c>
      <c r="L1504" s="15"/>
      <c r="M1504" s="16">
        <f t="shared" si="226"/>
        <v>4</v>
      </c>
      <c r="N1504" s="15">
        <v>1600</v>
      </c>
      <c r="O1504" s="15">
        <f>8063+25</f>
        <v>8088</v>
      </c>
      <c r="P1504" s="15">
        <f t="shared" si="224"/>
        <v>12940800</v>
      </c>
      <c r="Q1504" s="15" t="str">
        <f t="shared" si="231"/>
        <v>Done</v>
      </c>
      <c r="R1504" s="18" t="s">
        <v>44</v>
      </c>
      <c r="S1504" s="117">
        <v>43587</v>
      </c>
      <c r="T1504" s="20">
        <f>IFERROR(VLOOKUP(S1504,'Date Converter'!$A$4:$C$368,3,0),"")</f>
        <v>43620</v>
      </c>
      <c r="U1504" s="21">
        <f t="shared" si="232"/>
        <v>43620</v>
      </c>
      <c r="V1504" s="20" t="s">
        <v>1632</v>
      </c>
      <c r="W1504" s="18"/>
      <c r="X1504" s="18"/>
      <c r="Y1504" s="18"/>
      <c r="Z1504" s="210">
        <v>43627</v>
      </c>
      <c r="AA1504" s="15">
        <v>800</v>
      </c>
      <c r="AB1504" s="210">
        <v>43641</v>
      </c>
      <c r="AC1504" s="15">
        <v>800</v>
      </c>
      <c r="AD1504" s="15"/>
      <c r="AE1504" s="15"/>
      <c r="AF1504" s="244"/>
      <c r="AG1504" s="15"/>
      <c r="AH1504" s="15">
        <f t="shared" si="227"/>
        <v>1600</v>
      </c>
      <c r="AI1504" s="22">
        <f t="shared" si="228"/>
        <v>0</v>
      </c>
      <c r="AJ1504" s="22">
        <f t="shared" si="229"/>
        <v>0</v>
      </c>
      <c r="AK1504" s="13"/>
    </row>
    <row r="1505" spans="1:37" s="165" customFormat="1" hidden="1">
      <c r="A1505" s="165" t="s">
        <v>1755</v>
      </c>
      <c r="B1505" s="13">
        <v>43507</v>
      </c>
      <c r="C1505" s="13" t="s">
        <v>1622</v>
      </c>
      <c r="D1505" s="165" t="s">
        <v>1244</v>
      </c>
      <c r="E1505" s="165" t="s">
        <v>1245</v>
      </c>
      <c r="F1505" s="165" t="str">
        <f t="shared" si="225"/>
        <v>CIAR_RL_12.14_350_NL2018</v>
      </c>
      <c r="G1505" s="165" t="s">
        <v>1703</v>
      </c>
      <c r="H1505" s="12" t="s">
        <v>219</v>
      </c>
      <c r="I1505" s="12" t="s">
        <v>113</v>
      </c>
      <c r="J1505" s="14">
        <v>350</v>
      </c>
      <c r="K1505" s="15" t="s">
        <v>28</v>
      </c>
      <c r="L1505" s="15"/>
      <c r="M1505" s="16">
        <f t="shared" si="226"/>
        <v>15</v>
      </c>
      <c r="N1505" s="15">
        <v>5250</v>
      </c>
      <c r="O1505" s="15">
        <v>8000</v>
      </c>
      <c r="P1505" s="15">
        <f t="shared" si="224"/>
        <v>42000000</v>
      </c>
      <c r="Q1505" s="15" t="str">
        <f t="shared" si="231"/>
        <v>Done</v>
      </c>
      <c r="R1505" s="18" t="s">
        <v>44</v>
      </c>
      <c r="S1505" s="117">
        <v>43480</v>
      </c>
      <c r="T1505" s="20">
        <f>IFERROR(VLOOKUP(S1505,'Date Converter'!$A$4:$C$368,3,0),"")</f>
        <v>43515</v>
      </c>
      <c r="U1505" s="21">
        <f t="shared" si="232"/>
        <v>43515</v>
      </c>
      <c r="V1505" s="12" t="s">
        <v>45</v>
      </c>
      <c r="W1505" s="18"/>
      <c r="X1505" s="18"/>
      <c r="Y1505" s="18"/>
      <c r="Z1505" s="210">
        <v>43528</v>
      </c>
      <c r="AA1505" s="15">
        <v>5250</v>
      </c>
      <c r="AB1505" s="210"/>
      <c r="AC1505" s="15"/>
      <c r="AD1505" s="15"/>
      <c r="AE1505" s="15"/>
      <c r="AF1505" s="244"/>
      <c r="AG1505" s="15"/>
      <c r="AH1505" s="15">
        <f t="shared" si="227"/>
        <v>5250</v>
      </c>
      <c r="AI1505" s="22">
        <f t="shared" si="228"/>
        <v>0</v>
      </c>
      <c r="AJ1505" s="22">
        <f t="shared" si="229"/>
        <v>0</v>
      </c>
      <c r="AK1505" s="13">
        <v>43882</v>
      </c>
    </row>
    <row r="1506" spans="1:37" s="165" customFormat="1" hidden="1">
      <c r="A1506" s="165" t="s">
        <v>1754</v>
      </c>
      <c r="B1506" s="13">
        <v>43558</v>
      </c>
      <c r="C1506" s="13" t="s">
        <v>1622</v>
      </c>
      <c r="D1506" s="165" t="s">
        <v>1244</v>
      </c>
      <c r="E1506" s="165" t="s">
        <v>1245</v>
      </c>
      <c r="F1506" s="165" t="str">
        <f t="shared" si="225"/>
        <v>CARB_16.18_200_NL2018</v>
      </c>
      <c r="G1506" s="165" t="s">
        <v>34</v>
      </c>
      <c r="H1506" s="12"/>
      <c r="I1506" s="12" t="s">
        <v>35</v>
      </c>
      <c r="J1506" s="14">
        <v>200</v>
      </c>
      <c r="K1506" s="15" t="s">
        <v>28</v>
      </c>
      <c r="L1506" s="15"/>
      <c r="M1506" s="16">
        <f t="shared" si="226"/>
        <v>100</v>
      </c>
      <c r="N1506" s="15">
        <v>20000</v>
      </c>
      <c r="O1506" s="15">
        <v>6300</v>
      </c>
      <c r="P1506" s="15">
        <f t="shared" si="224"/>
        <v>126000000</v>
      </c>
      <c r="Q1506" s="15" t="str">
        <f t="shared" si="231"/>
        <v>Done</v>
      </c>
      <c r="R1506" s="18" t="s">
        <v>44</v>
      </c>
      <c r="S1506" s="117">
        <v>43570</v>
      </c>
      <c r="T1506" s="20">
        <f>IFERROR(VLOOKUP(S1506,'Date Converter'!$A$4:$C$368,3,0),"")</f>
        <v>43604</v>
      </c>
      <c r="U1506" s="21">
        <f t="shared" si="232"/>
        <v>43604</v>
      </c>
      <c r="V1506" s="12" t="s">
        <v>87</v>
      </c>
      <c r="W1506" s="18"/>
      <c r="X1506" s="18"/>
      <c r="Y1506" s="18"/>
      <c r="Z1506" s="210">
        <v>43614</v>
      </c>
      <c r="AA1506" s="15">
        <v>12000</v>
      </c>
      <c r="AB1506" s="210">
        <v>43627</v>
      </c>
      <c r="AC1506" s="15">
        <v>8000</v>
      </c>
      <c r="AD1506" s="15"/>
      <c r="AE1506" s="15"/>
      <c r="AF1506" s="244"/>
      <c r="AG1506" s="15"/>
      <c r="AH1506" s="15">
        <f t="shared" si="227"/>
        <v>20000</v>
      </c>
      <c r="AI1506" s="22">
        <f t="shared" si="228"/>
        <v>0</v>
      </c>
      <c r="AJ1506" s="22">
        <f t="shared" si="229"/>
        <v>0</v>
      </c>
      <c r="AK1506" s="13"/>
    </row>
    <row r="1507" spans="1:37" s="165" customFormat="1" hidden="1">
      <c r="A1507" s="165" t="s">
        <v>1755</v>
      </c>
      <c r="B1507" s="13">
        <v>43507</v>
      </c>
      <c r="C1507" s="13" t="s">
        <v>1622</v>
      </c>
      <c r="D1507" s="165" t="s">
        <v>1244</v>
      </c>
      <c r="E1507" s="165" t="s">
        <v>1245</v>
      </c>
      <c r="F1507" s="165" t="str">
        <f t="shared" si="225"/>
        <v>BACA_16.18_200_NL2018</v>
      </c>
      <c r="G1507" s="165" t="s">
        <v>67</v>
      </c>
      <c r="H1507" s="12"/>
      <c r="I1507" s="12" t="s">
        <v>35</v>
      </c>
      <c r="J1507" s="14">
        <v>200</v>
      </c>
      <c r="K1507" s="15" t="s">
        <v>28</v>
      </c>
      <c r="L1507" s="15"/>
      <c r="M1507" s="16">
        <f t="shared" si="226"/>
        <v>20</v>
      </c>
      <c r="N1507" s="15">
        <v>4000</v>
      </c>
      <c r="O1507" s="15">
        <v>6300</v>
      </c>
      <c r="P1507" s="15">
        <f t="shared" si="224"/>
        <v>25200000</v>
      </c>
      <c r="Q1507" s="15" t="str">
        <f t="shared" si="231"/>
        <v>Done</v>
      </c>
      <c r="R1507" s="18" t="s">
        <v>44</v>
      </c>
      <c r="S1507" s="117">
        <v>43511</v>
      </c>
      <c r="T1507" s="20">
        <f>IFERROR(VLOOKUP(S1507,'Date Converter'!$A$4:$C$368,3,0),"")</f>
        <v>43544</v>
      </c>
      <c r="U1507" s="21">
        <f t="shared" si="232"/>
        <v>43544</v>
      </c>
      <c r="V1507" s="12" t="s">
        <v>32</v>
      </c>
      <c r="W1507" s="18" t="s">
        <v>48</v>
      </c>
      <c r="X1507" s="18"/>
      <c r="Y1507" s="18"/>
      <c r="Z1507" s="210">
        <v>43544</v>
      </c>
      <c r="AA1507" s="15">
        <v>4000</v>
      </c>
      <c r="AB1507" s="210"/>
      <c r="AC1507" s="15"/>
      <c r="AD1507" s="15"/>
      <c r="AE1507" s="15"/>
      <c r="AF1507" s="244"/>
      <c r="AG1507" s="15"/>
      <c r="AH1507" s="15">
        <f t="shared" si="227"/>
        <v>4000</v>
      </c>
      <c r="AI1507" s="22">
        <f t="shared" si="228"/>
        <v>0</v>
      </c>
      <c r="AJ1507" s="22">
        <f t="shared" si="229"/>
        <v>0</v>
      </c>
      <c r="AK1507" s="13">
        <v>43882</v>
      </c>
    </row>
    <row r="1508" spans="1:37" s="165" customFormat="1" hidden="1">
      <c r="A1508" s="165" t="s">
        <v>1755</v>
      </c>
      <c r="B1508" s="13">
        <v>43507</v>
      </c>
      <c r="C1508" s="13" t="s">
        <v>1622</v>
      </c>
      <c r="D1508" s="165" t="s">
        <v>1244</v>
      </c>
      <c r="E1508" s="165" t="s">
        <v>1245</v>
      </c>
      <c r="F1508" s="165" t="str">
        <f t="shared" si="225"/>
        <v>ARVA_16.18_200_NL2018</v>
      </c>
      <c r="G1508" s="165" t="s">
        <v>85</v>
      </c>
      <c r="H1508" s="12"/>
      <c r="I1508" s="12" t="s">
        <v>35</v>
      </c>
      <c r="J1508" s="14">
        <v>200</v>
      </c>
      <c r="K1508" s="15" t="s">
        <v>28</v>
      </c>
      <c r="L1508" s="15"/>
      <c r="M1508" s="16">
        <f t="shared" si="226"/>
        <v>50</v>
      </c>
      <c r="N1508" s="15">
        <v>10000</v>
      </c>
      <c r="O1508" s="15">
        <v>5300</v>
      </c>
      <c r="P1508" s="15">
        <f t="shared" si="224"/>
        <v>53000000</v>
      </c>
      <c r="Q1508" s="15" t="str">
        <f t="shared" si="231"/>
        <v>Done</v>
      </c>
      <c r="R1508" s="18" t="s">
        <v>44</v>
      </c>
      <c r="S1508" s="23" t="s">
        <v>151</v>
      </c>
      <c r="T1508" s="20">
        <f>IFERROR(VLOOKUP(S1508,'Date Converter'!$A$4:$C$368,3,0),"")</f>
        <v>43558</v>
      </c>
      <c r="U1508" s="21">
        <f t="shared" si="232"/>
        <v>43558</v>
      </c>
      <c r="V1508" s="220" t="s">
        <v>81</v>
      </c>
      <c r="W1508" s="18" t="s">
        <v>55</v>
      </c>
      <c r="X1508" s="18"/>
      <c r="Y1508" s="18"/>
      <c r="Z1508" s="210">
        <v>43558</v>
      </c>
      <c r="AA1508" s="15">
        <v>10000</v>
      </c>
      <c r="AB1508" s="210"/>
      <c r="AC1508" s="15"/>
      <c r="AD1508" s="15"/>
      <c r="AE1508" s="15"/>
      <c r="AF1508" s="244"/>
      <c r="AG1508" s="15"/>
      <c r="AH1508" s="15">
        <f t="shared" si="227"/>
        <v>10000</v>
      </c>
      <c r="AI1508" s="22">
        <f t="shared" si="228"/>
        <v>0</v>
      </c>
      <c r="AJ1508" s="22">
        <f t="shared" si="229"/>
        <v>0</v>
      </c>
      <c r="AK1508" s="13">
        <v>43882</v>
      </c>
    </row>
    <row r="1509" spans="1:37" s="165" customFormat="1" hidden="1">
      <c r="A1509" s="165" t="s">
        <v>1754</v>
      </c>
      <c r="B1509" s="13">
        <v>43558</v>
      </c>
      <c r="C1509" s="13" t="s">
        <v>1622</v>
      </c>
      <c r="D1509" s="165" t="s">
        <v>1244</v>
      </c>
      <c r="E1509" s="165" t="s">
        <v>1245</v>
      </c>
      <c r="F1509" s="165" t="str">
        <f t="shared" si="225"/>
        <v>ARVA_16.18_200_NL2018</v>
      </c>
      <c r="G1509" s="165" t="s">
        <v>85</v>
      </c>
      <c r="H1509" s="12"/>
      <c r="I1509" s="12" t="s">
        <v>35</v>
      </c>
      <c r="J1509" s="14">
        <v>200</v>
      </c>
      <c r="K1509" s="15" t="s">
        <v>28</v>
      </c>
      <c r="L1509" s="15"/>
      <c r="M1509" s="16">
        <f t="shared" si="226"/>
        <v>65</v>
      </c>
      <c r="N1509" s="15">
        <v>13000</v>
      </c>
      <c r="O1509" s="15">
        <v>5300</v>
      </c>
      <c r="P1509" s="15">
        <f t="shared" si="224"/>
        <v>68900000</v>
      </c>
      <c r="Q1509" s="15" t="str">
        <f t="shared" si="231"/>
        <v>Done</v>
      </c>
      <c r="R1509" s="18" t="s">
        <v>44</v>
      </c>
      <c r="S1509" s="117">
        <v>43539</v>
      </c>
      <c r="T1509" s="20">
        <f>IFERROR(VLOOKUP(S1509,'Date Converter'!$A$4:$C$368,3,0),"")</f>
        <v>43574</v>
      </c>
      <c r="U1509" s="21">
        <f t="shared" si="232"/>
        <v>43574</v>
      </c>
      <c r="V1509" s="12" t="s">
        <v>57</v>
      </c>
      <c r="W1509" s="18" t="s">
        <v>108</v>
      </c>
      <c r="X1509" s="18"/>
      <c r="Y1509" s="18"/>
      <c r="Z1509" s="210">
        <v>43573</v>
      </c>
      <c r="AA1509" s="15">
        <v>13000</v>
      </c>
      <c r="AB1509" s="210"/>
      <c r="AC1509" s="15"/>
      <c r="AD1509" s="210"/>
      <c r="AE1509" s="15"/>
      <c r="AF1509" s="244"/>
      <c r="AG1509" s="15"/>
      <c r="AH1509" s="15">
        <f t="shared" si="227"/>
        <v>13000</v>
      </c>
      <c r="AI1509" s="22">
        <f t="shared" si="228"/>
        <v>0</v>
      </c>
      <c r="AJ1509" s="22">
        <f t="shared" si="229"/>
        <v>0</v>
      </c>
      <c r="AK1509" s="13">
        <v>43882</v>
      </c>
    </row>
    <row r="1510" spans="1:37" s="165" customFormat="1" hidden="1">
      <c r="A1510" s="165" t="s">
        <v>1754</v>
      </c>
      <c r="B1510" s="13">
        <v>43558</v>
      </c>
      <c r="C1510" s="13" t="s">
        <v>1622</v>
      </c>
      <c r="D1510" s="165" t="s">
        <v>1244</v>
      </c>
      <c r="E1510" s="165" t="s">
        <v>1245</v>
      </c>
      <c r="F1510" s="165" t="str">
        <f t="shared" si="225"/>
        <v>ARVA_16.18_200_NL2018</v>
      </c>
      <c r="G1510" s="165" t="s">
        <v>85</v>
      </c>
      <c r="H1510" s="12"/>
      <c r="I1510" s="12" t="s">
        <v>35</v>
      </c>
      <c r="J1510" s="14">
        <v>200</v>
      </c>
      <c r="K1510" s="15" t="s">
        <v>28</v>
      </c>
      <c r="L1510" s="15"/>
      <c r="M1510" s="16">
        <f t="shared" si="226"/>
        <v>50</v>
      </c>
      <c r="N1510" s="15">
        <f>15000+10000-15000</f>
        <v>10000</v>
      </c>
      <c r="O1510" s="15">
        <v>5400</v>
      </c>
      <c r="P1510" s="15">
        <f t="shared" si="224"/>
        <v>54000000</v>
      </c>
      <c r="Q1510" s="15" t="str">
        <f t="shared" si="231"/>
        <v/>
      </c>
      <c r="R1510" s="18" t="s">
        <v>63</v>
      </c>
      <c r="S1510" s="117">
        <v>43570</v>
      </c>
      <c r="T1510" s="20">
        <f>IFERROR(VLOOKUP(S1510,'Date Converter'!$A$4:$C$368,3,0),"")</f>
        <v>43604</v>
      </c>
      <c r="U1510" s="21">
        <f t="shared" si="232"/>
        <v>43604</v>
      </c>
      <c r="V1510" s="12" t="s">
        <v>87</v>
      </c>
      <c r="W1510" s="18"/>
      <c r="X1510" s="18"/>
      <c r="Y1510" s="18"/>
      <c r="Z1510" s="210"/>
      <c r="AA1510" s="15"/>
      <c r="AB1510" s="210"/>
      <c r="AC1510" s="15"/>
      <c r="AD1510" s="15"/>
      <c r="AE1510" s="15"/>
      <c r="AF1510" s="244"/>
      <c r="AG1510" s="15"/>
      <c r="AH1510" s="15">
        <f t="shared" si="227"/>
        <v>0</v>
      </c>
      <c r="AI1510" s="22">
        <f t="shared" si="228"/>
        <v>10000</v>
      </c>
      <c r="AJ1510" s="22">
        <f t="shared" si="229"/>
        <v>54000000</v>
      </c>
      <c r="AK1510" s="13"/>
    </row>
    <row r="1511" spans="1:37" s="165" customFormat="1" hidden="1">
      <c r="A1511" s="165" t="s">
        <v>1754</v>
      </c>
      <c r="B1511" s="13">
        <v>43642</v>
      </c>
      <c r="C1511" s="13" t="s">
        <v>1622</v>
      </c>
      <c r="D1511" s="165" t="s">
        <v>1244</v>
      </c>
      <c r="E1511" s="165" t="s">
        <v>1245</v>
      </c>
      <c r="F1511" s="165" t="str">
        <f t="shared" ref="F1511" si="233">SUBSTITUTE(LEFT(G1511,4)&amp;"_"&amp;H1511&amp;"_"&amp;I1511&amp;"_"&amp;J1511&amp;"_"&amp;K1511,"__","_")</f>
        <v>ARVA_16.18_200_NL2018</v>
      </c>
      <c r="G1511" s="165" t="s">
        <v>85</v>
      </c>
      <c r="H1511" s="12"/>
      <c r="I1511" s="12" t="s">
        <v>35</v>
      </c>
      <c r="J1511" s="14">
        <v>200</v>
      </c>
      <c r="K1511" s="15" t="s">
        <v>28</v>
      </c>
      <c r="L1511" s="15"/>
      <c r="M1511" s="16">
        <f t="shared" si="226"/>
        <v>100</v>
      </c>
      <c r="N1511" s="15">
        <v>20000</v>
      </c>
      <c r="O1511" s="15">
        <v>5500</v>
      </c>
      <c r="P1511" s="15">
        <f t="shared" si="224"/>
        <v>110000000</v>
      </c>
      <c r="Q1511" s="15" t="str">
        <f t="shared" si="231"/>
        <v/>
      </c>
      <c r="R1511" s="18" t="s">
        <v>29</v>
      </c>
      <c r="S1511" s="117">
        <v>43645</v>
      </c>
      <c r="T1511" s="20">
        <f>IFERROR(VLOOKUP(S1511,'Date Converter'!$A$4:$C$368,3,0),"")</f>
        <v>43677</v>
      </c>
      <c r="U1511" s="21">
        <f t="shared" ref="U1511" si="234">+T1511</f>
        <v>43677</v>
      </c>
      <c r="V1511" s="12"/>
      <c r="W1511" s="18"/>
      <c r="X1511" s="18"/>
      <c r="Y1511" s="18"/>
      <c r="Z1511" s="210"/>
      <c r="AA1511" s="15"/>
      <c r="AB1511" s="210"/>
      <c r="AC1511" s="15"/>
      <c r="AD1511" s="15"/>
      <c r="AE1511" s="15"/>
      <c r="AF1511" s="244"/>
      <c r="AG1511" s="15"/>
      <c r="AH1511" s="15">
        <f t="shared" ref="AH1511" si="235">+AA1511+AC1511+AE1511+AG1511</f>
        <v>0</v>
      </c>
      <c r="AI1511" s="22">
        <f t="shared" ref="AI1511" si="236">+N1511-AH1511</f>
        <v>20000</v>
      </c>
      <c r="AJ1511" s="22">
        <f t="shared" ref="AJ1511" si="237">+AI1511*O1511</f>
        <v>110000000</v>
      </c>
      <c r="AK1511" s="13"/>
    </row>
    <row r="1512" spans="1:37" s="165" customFormat="1" hidden="1">
      <c r="A1512" s="165" t="s">
        <v>1754</v>
      </c>
      <c r="B1512" s="13">
        <v>43642</v>
      </c>
      <c r="C1512" s="13" t="s">
        <v>1622</v>
      </c>
      <c r="D1512" s="165" t="s">
        <v>1244</v>
      </c>
      <c r="E1512" s="165" t="s">
        <v>1245</v>
      </c>
      <c r="F1512" s="165" t="str">
        <f t="shared" ref="F1512" si="238">SUBSTITUTE(LEFT(G1512,4)&amp;"_"&amp;H1512&amp;"_"&amp;I1512&amp;"_"&amp;J1512&amp;"_"&amp;K1512,"__","_")</f>
        <v>YELL_14.16_300_NL2018</v>
      </c>
      <c r="G1512" s="165" t="s">
        <v>89</v>
      </c>
      <c r="H1512" s="12"/>
      <c r="I1512" s="24" t="s">
        <v>47</v>
      </c>
      <c r="J1512" s="14">
        <v>300</v>
      </c>
      <c r="K1512" s="15" t="s">
        <v>28</v>
      </c>
      <c r="L1512" s="15"/>
      <c r="M1512" s="16">
        <f t="shared" si="226"/>
        <v>67</v>
      </c>
      <c r="N1512" s="15">
        <v>20100</v>
      </c>
      <c r="O1512" s="15">
        <v>3890</v>
      </c>
      <c r="P1512" s="15">
        <f t="shared" si="224"/>
        <v>78189000</v>
      </c>
      <c r="Q1512" s="15" t="str">
        <f t="shared" si="231"/>
        <v/>
      </c>
      <c r="R1512" s="18" t="s">
        <v>29</v>
      </c>
      <c r="S1512" s="117">
        <v>43645</v>
      </c>
      <c r="T1512" s="20">
        <f>IFERROR(VLOOKUP(S1512,'Date Converter'!$A$4:$C$368,3,0),"")</f>
        <v>43677</v>
      </c>
      <c r="U1512" s="21">
        <f t="shared" ref="U1512" si="239">+T1512</f>
        <v>43677</v>
      </c>
      <c r="V1512" s="12"/>
      <c r="W1512" s="18"/>
      <c r="X1512" s="18"/>
      <c r="Y1512" s="18"/>
      <c r="Z1512" s="210"/>
      <c r="AA1512" s="15"/>
      <c r="AB1512" s="210"/>
      <c r="AC1512" s="15"/>
      <c r="AD1512" s="15"/>
      <c r="AE1512" s="15"/>
      <c r="AF1512" s="244"/>
      <c r="AG1512" s="15"/>
      <c r="AH1512" s="15">
        <f t="shared" ref="AH1512" si="240">+AA1512+AC1512+AE1512+AG1512</f>
        <v>0</v>
      </c>
      <c r="AI1512" s="22">
        <f t="shared" ref="AI1512" si="241">+N1512-AH1512</f>
        <v>20100</v>
      </c>
      <c r="AJ1512" s="22">
        <f t="shared" ref="AJ1512" si="242">+AI1512*O1512</f>
        <v>78189000</v>
      </c>
      <c r="AK1512" s="13"/>
    </row>
    <row r="1513" spans="1:37" s="165" customFormat="1" hidden="1">
      <c r="A1513" s="165" t="s">
        <v>1754</v>
      </c>
      <c r="B1513" s="13">
        <v>43642</v>
      </c>
      <c r="C1513" s="13" t="s">
        <v>1622</v>
      </c>
      <c r="D1513" s="165" t="s">
        <v>1244</v>
      </c>
      <c r="E1513" s="165" t="s">
        <v>1245</v>
      </c>
      <c r="F1513" s="165" t="str">
        <f t="shared" ref="F1513:F1516" si="243">SUBSTITUTE(LEFT(G1513,4)&amp;"_"&amp;H1513&amp;"_"&amp;I1513&amp;"_"&amp;J1513&amp;"_"&amp;K1513,"__","_")</f>
        <v>ARVA_16.18_200_NL2018</v>
      </c>
      <c r="G1513" s="165" t="s">
        <v>85</v>
      </c>
      <c r="H1513" s="12"/>
      <c r="I1513" s="12" t="s">
        <v>35</v>
      </c>
      <c r="J1513" s="14">
        <v>200</v>
      </c>
      <c r="K1513" s="15" t="s">
        <v>28</v>
      </c>
      <c r="L1513" s="15"/>
      <c r="M1513" s="16">
        <f t="shared" si="226"/>
        <v>100</v>
      </c>
      <c r="N1513" s="15">
        <v>20000</v>
      </c>
      <c r="O1513" s="15">
        <v>5540</v>
      </c>
      <c r="P1513" s="15">
        <f t="shared" si="224"/>
        <v>110800000</v>
      </c>
      <c r="Q1513" s="15" t="str">
        <f t="shared" si="231"/>
        <v/>
      </c>
      <c r="R1513" s="18" t="s">
        <v>29</v>
      </c>
      <c r="S1513" s="117">
        <v>43666</v>
      </c>
      <c r="T1513" s="20">
        <f>IFERROR(VLOOKUP(S1513,'Date Converter'!$A$4:$C$368,3,0),"")</f>
        <v>43697</v>
      </c>
      <c r="U1513" s="21">
        <f t="shared" ref="U1513:U1516" si="244">+T1513</f>
        <v>43697</v>
      </c>
      <c r="V1513" s="12"/>
      <c r="W1513" s="18"/>
      <c r="X1513" s="18"/>
      <c r="Y1513" s="18"/>
      <c r="Z1513" s="210"/>
      <c r="AA1513" s="15"/>
      <c r="AB1513" s="210"/>
      <c r="AC1513" s="15"/>
      <c r="AD1513" s="15"/>
      <c r="AE1513" s="15"/>
      <c r="AF1513" s="244"/>
      <c r="AG1513" s="15"/>
      <c r="AH1513" s="15">
        <f t="shared" ref="AH1513:AH1516" si="245">+AA1513+AC1513+AE1513+AG1513</f>
        <v>0</v>
      </c>
      <c r="AI1513" s="22">
        <f t="shared" ref="AI1513:AI1516" si="246">+N1513-AH1513</f>
        <v>20000</v>
      </c>
      <c r="AJ1513" s="22">
        <f t="shared" ref="AJ1513:AJ1516" si="247">+AI1513*O1513</f>
        <v>110800000</v>
      </c>
      <c r="AK1513" s="13"/>
    </row>
    <row r="1514" spans="1:37" s="165" customFormat="1" hidden="1">
      <c r="A1514" s="165" t="s">
        <v>1754</v>
      </c>
      <c r="B1514" s="13">
        <v>43642</v>
      </c>
      <c r="C1514" s="13" t="s">
        <v>1622</v>
      </c>
      <c r="D1514" s="165" t="s">
        <v>1244</v>
      </c>
      <c r="E1514" s="165" t="s">
        <v>1245</v>
      </c>
      <c r="F1514" s="165" t="str">
        <f t="shared" si="243"/>
        <v>YELL_14.16_300_NL2018</v>
      </c>
      <c r="G1514" s="165" t="s">
        <v>89</v>
      </c>
      <c r="H1514" s="12"/>
      <c r="I1514" s="24" t="s">
        <v>47</v>
      </c>
      <c r="J1514" s="14">
        <v>300</v>
      </c>
      <c r="K1514" s="15" t="s">
        <v>28</v>
      </c>
      <c r="L1514" s="15"/>
      <c r="M1514" s="16">
        <f t="shared" si="226"/>
        <v>67</v>
      </c>
      <c r="N1514" s="15">
        <v>20100</v>
      </c>
      <c r="O1514" s="15">
        <v>3920</v>
      </c>
      <c r="P1514" s="15">
        <f t="shared" si="224"/>
        <v>78792000</v>
      </c>
      <c r="Q1514" s="15" t="str">
        <f t="shared" si="231"/>
        <v/>
      </c>
      <c r="R1514" s="18" t="s">
        <v>29</v>
      </c>
      <c r="S1514" s="117">
        <v>43666</v>
      </c>
      <c r="T1514" s="20">
        <f>IFERROR(VLOOKUP(S1514,'Date Converter'!$A$4:$C$368,3,0),"")</f>
        <v>43697</v>
      </c>
      <c r="U1514" s="21">
        <f t="shared" ref="U1514:U1515" si="248">+T1514</f>
        <v>43697</v>
      </c>
      <c r="V1514" s="12"/>
      <c r="W1514" s="18"/>
      <c r="X1514" s="18"/>
      <c r="Y1514" s="18"/>
      <c r="Z1514" s="210"/>
      <c r="AA1514" s="15"/>
      <c r="AB1514" s="210"/>
      <c r="AC1514" s="15"/>
      <c r="AD1514" s="15"/>
      <c r="AE1514" s="15"/>
      <c r="AF1514" s="244"/>
      <c r="AG1514" s="15"/>
      <c r="AH1514" s="15">
        <f t="shared" ref="AH1514:AH1515" si="249">+AA1514+AC1514+AE1514+AG1514</f>
        <v>0</v>
      </c>
      <c r="AI1514" s="22">
        <f t="shared" ref="AI1514:AI1515" si="250">+N1514-AH1514</f>
        <v>20100</v>
      </c>
      <c r="AJ1514" s="22">
        <f t="shared" ref="AJ1514:AJ1515" si="251">+AI1514*O1514</f>
        <v>78792000</v>
      </c>
      <c r="AK1514" s="13"/>
    </row>
    <row r="1515" spans="1:37" s="165" customFormat="1" hidden="1">
      <c r="A1515" s="165" t="s">
        <v>1754</v>
      </c>
      <c r="B1515" s="13">
        <v>43642</v>
      </c>
      <c r="C1515" s="13" t="s">
        <v>1622</v>
      </c>
      <c r="D1515" s="165" t="s">
        <v>1244</v>
      </c>
      <c r="E1515" s="165" t="s">
        <v>1245</v>
      </c>
      <c r="F1515" s="165" t="str">
        <f t="shared" si="243"/>
        <v>YELL_14.16_300_NL2018</v>
      </c>
      <c r="G1515" s="165" t="s">
        <v>89</v>
      </c>
      <c r="H1515" s="12"/>
      <c r="I1515" s="24" t="s">
        <v>47</v>
      </c>
      <c r="J1515" s="14">
        <v>300</v>
      </c>
      <c r="K1515" s="15" t="s">
        <v>28</v>
      </c>
      <c r="L1515" s="15"/>
      <c r="M1515" s="16">
        <f t="shared" si="226"/>
        <v>67</v>
      </c>
      <c r="N1515" s="15">
        <v>20100</v>
      </c>
      <c r="O1515" s="15">
        <v>3980</v>
      </c>
      <c r="P1515" s="15">
        <f t="shared" si="224"/>
        <v>79998000</v>
      </c>
      <c r="Q1515" s="15" t="str">
        <f t="shared" si="231"/>
        <v/>
      </c>
      <c r="R1515" s="18" t="s">
        <v>29</v>
      </c>
      <c r="S1515" s="117">
        <v>43697</v>
      </c>
      <c r="T1515" s="20">
        <f>IFERROR(VLOOKUP(S1515,'Date Converter'!$A$4:$C$368,3,0),"")</f>
        <v>43726</v>
      </c>
      <c r="U1515" s="21">
        <f t="shared" si="248"/>
        <v>43726</v>
      </c>
      <c r="V1515" s="12"/>
      <c r="W1515" s="18"/>
      <c r="X1515" s="18"/>
      <c r="Y1515" s="18"/>
      <c r="Z1515" s="210"/>
      <c r="AA1515" s="15"/>
      <c r="AB1515" s="210"/>
      <c r="AC1515" s="15"/>
      <c r="AD1515" s="15"/>
      <c r="AE1515" s="15"/>
      <c r="AF1515" s="244"/>
      <c r="AG1515" s="15"/>
      <c r="AH1515" s="15">
        <f t="shared" si="249"/>
        <v>0</v>
      </c>
      <c r="AI1515" s="22">
        <f t="shared" si="250"/>
        <v>20100</v>
      </c>
      <c r="AJ1515" s="22">
        <f t="shared" si="251"/>
        <v>79998000</v>
      </c>
      <c r="AK1515" s="13"/>
    </row>
    <row r="1516" spans="1:37" s="165" customFormat="1" hidden="1">
      <c r="A1516" s="165" t="s">
        <v>1754</v>
      </c>
      <c r="B1516" s="13">
        <v>43642</v>
      </c>
      <c r="C1516" s="13" t="s">
        <v>1622</v>
      </c>
      <c r="D1516" s="165" t="s">
        <v>1244</v>
      </c>
      <c r="E1516" s="165" t="s">
        <v>1245</v>
      </c>
      <c r="F1516" s="165" t="str">
        <f t="shared" si="243"/>
        <v>ARVA_16.18_200_NL2018</v>
      </c>
      <c r="G1516" s="165" t="s">
        <v>85</v>
      </c>
      <c r="H1516" s="12"/>
      <c r="I1516" s="12" t="s">
        <v>35</v>
      </c>
      <c r="J1516" s="14">
        <v>200</v>
      </c>
      <c r="K1516" s="15" t="s">
        <v>28</v>
      </c>
      <c r="L1516" s="15"/>
      <c r="M1516" s="16">
        <f t="shared" si="226"/>
        <v>100</v>
      </c>
      <c r="N1516" s="15">
        <v>20000</v>
      </c>
      <c r="O1516" s="15">
        <v>5620</v>
      </c>
      <c r="P1516" s="15">
        <f t="shared" si="224"/>
        <v>112400000</v>
      </c>
      <c r="Q1516" s="15" t="str">
        <f t="shared" si="231"/>
        <v/>
      </c>
      <c r="R1516" s="18" t="s">
        <v>29</v>
      </c>
      <c r="S1516" s="117">
        <v>43697</v>
      </c>
      <c r="T1516" s="20">
        <f>IFERROR(VLOOKUP(S1516,'Date Converter'!$A$4:$C$368,3,0),"")</f>
        <v>43726</v>
      </c>
      <c r="U1516" s="21">
        <f t="shared" si="244"/>
        <v>43726</v>
      </c>
      <c r="V1516" s="12"/>
      <c r="W1516" s="18"/>
      <c r="X1516" s="18"/>
      <c r="Y1516" s="18"/>
      <c r="Z1516" s="210"/>
      <c r="AA1516" s="15"/>
      <c r="AB1516" s="210"/>
      <c r="AC1516" s="15"/>
      <c r="AD1516" s="15"/>
      <c r="AE1516" s="15"/>
      <c r="AF1516" s="244"/>
      <c r="AG1516" s="15"/>
      <c r="AH1516" s="15">
        <f t="shared" si="245"/>
        <v>0</v>
      </c>
      <c r="AI1516" s="22">
        <f t="shared" si="246"/>
        <v>20000</v>
      </c>
      <c r="AJ1516" s="22">
        <f t="shared" si="247"/>
        <v>112400000</v>
      </c>
      <c r="AK1516" s="13"/>
    </row>
    <row r="1517" spans="1:37" s="165" customFormat="1" hidden="1">
      <c r="A1517" s="165" t="s">
        <v>1754</v>
      </c>
      <c r="B1517" s="13">
        <v>43634</v>
      </c>
      <c r="C1517" s="13" t="s">
        <v>1622</v>
      </c>
      <c r="D1517" s="165" t="s">
        <v>1244</v>
      </c>
      <c r="E1517" s="165" t="s">
        <v>1245</v>
      </c>
      <c r="F1517" s="165" t="str">
        <f t="shared" si="225"/>
        <v>ARVA_16.18_200_NL2018</v>
      </c>
      <c r="G1517" s="165" t="s">
        <v>85</v>
      </c>
      <c r="H1517" s="12"/>
      <c r="I1517" s="12" t="s">
        <v>35</v>
      </c>
      <c r="J1517" s="14">
        <v>200</v>
      </c>
      <c r="K1517" s="15" t="s">
        <v>28</v>
      </c>
      <c r="L1517" s="15"/>
      <c r="M1517" s="16">
        <f t="shared" si="226"/>
        <v>10</v>
      </c>
      <c r="N1517" s="15">
        <f>4000-2000</f>
        <v>2000</v>
      </c>
      <c r="O1517" s="15">
        <v>5400</v>
      </c>
      <c r="P1517" s="15">
        <f t="shared" si="224"/>
        <v>10800000</v>
      </c>
      <c r="Q1517" s="15" t="str">
        <f t="shared" si="231"/>
        <v/>
      </c>
      <c r="R1517" s="18" t="s">
        <v>63</v>
      </c>
      <c r="S1517" s="117">
        <v>43587</v>
      </c>
      <c r="T1517" s="20">
        <f>IFERROR(VLOOKUP(S1517,'Date Converter'!$A$4:$C$368,3,0),"")</f>
        <v>43620</v>
      </c>
      <c r="U1517" s="21">
        <f t="shared" si="232"/>
        <v>43620</v>
      </c>
      <c r="V1517" s="20"/>
      <c r="W1517" s="18"/>
      <c r="X1517" s="18"/>
      <c r="Y1517" s="18"/>
      <c r="Z1517" s="210"/>
      <c r="AA1517" s="15"/>
      <c r="AB1517" s="210"/>
      <c r="AC1517" s="15"/>
      <c r="AD1517" s="15"/>
      <c r="AE1517" s="15"/>
      <c r="AF1517" s="244"/>
      <c r="AG1517" s="15"/>
      <c r="AH1517" s="15">
        <f t="shared" si="227"/>
        <v>0</v>
      </c>
      <c r="AI1517" s="22">
        <f t="shared" si="228"/>
        <v>2000</v>
      </c>
      <c r="AJ1517" s="22">
        <f t="shared" si="229"/>
        <v>10800000</v>
      </c>
      <c r="AK1517" s="13"/>
    </row>
    <row r="1518" spans="1:37" s="165" customFormat="1" hidden="1">
      <c r="A1518" s="165" t="s">
        <v>1754</v>
      </c>
      <c r="B1518" s="13">
        <v>43641</v>
      </c>
      <c r="C1518" s="13" t="s">
        <v>1622</v>
      </c>
      <c r="D1518" s="165" t="s">
        <v>1244</v>
      </c>
      <c r="E1518" s="165" t="s">
        <v>1245</v>
      </c>
      <c r="F1518" s="165" t="str">
        <f t="shared" si="225"/>
        <v>MALD_15.16_300_NL2018</v>
      </c>
      <c r="G1518" s="165" t="s">
        <v>478</v>
      </c>
      <c r="H1518" s="12"/>
      <c r="I1518" s="24" t="s">
        <v>77</v>
      </c>
      <c r="J1518" s="14">
        <v>300</v>
      </c>
      <c r="K1518" s="15" t="s">
        <v>28</v>
      </c>
      <c r="L1518" s="15"/>
      <c r="M1518" s="16">
        <f t="shared" si="226"/>
        <v>19</v>
      </c>
      <c r="N1518" s="15">
        <v>5700</v>
      </c>
      <c r="O1518" s="15">
        <v>4000</v>
      </c>
      <c r="P1518" s="15">
        <f t="shared" si="224"/>
        <v>22800000</v>
      </c>
      <c r="Q1518" s="15" t="str">
        <f t="shared" si="231"/>
        <v/>
      </c>
      <c r="R1518" s="18" t="s">
        <v>31</v>
      </c>
      <c r="S1518" s="117">
        <v>43631</v>
      </c>
      <c r="T1518" s="20">
        <f>IFERROR(VLOOKUP(S1518,'Date Converter'!$A$4:$C$368,3,0),"")</f>
        <v>43663</v>
      </c>
      <c r="U1518" s="21">
        <f t="shared" si="232"/>
        <v>43663</v>
      </c>
      <c r="V1518" s="20"/>
      <c r="W1518" s="18"/>
      <c r="X1518" s="18"/>
      <c r="Y1518" s="18"/>
      <c r="Z1518" s="210"/>
      <c r="AA1518" s="15"/>
      <c r="AB1518" s="210"/>
      <c r="AC1518" s="15"/>
      <c r="AD1518" s="15"/>
      <c r="AE1518" s="15"/>
      <c r="AF1518" s="244"/>
      <c r="AG1518" s="15"/>
      <c r="AH1518" s="15">
        <f t="shared" ref="AH1518" si="252">+AA1518+AC1518+AE1518+AG1518</f>
        <v>0</v>
      </c>
      <c r="AI1518" s="22">
        <f t="shared" ref="AI1518" si="253">+N1518-AH1518</f>
        <v>5700</v>
      </c>
      <c r="AJ1518" s="22">
        <f t="shared" ref="AJ1518" si="254">+AI1518*O1518</f>
        <v>22800000</v>
      </c>
      <c r="AK1518" s="13"/>
    </row>
    <row r="1519" spans="1:37" s="165" customFormat="1" hidden="1">
      <c r="A1519" s="165" t="s">
        <v>1754</v>
      </c>
      <c r="B1519" s="13">
        <v>43640</v>
      </c>
      <c r="C1519" s="13" t="s">
        <v>1622</v>
      </c>
      <c r="D1519" s="165" t="s">
        <v>1244</v>
      </c>
      <c r="E1519" s="165" t="s">
        <v>1245</v>
      </c>
      <c r="F1519" s="165" t="str">
        <f t="shared" si="225"/>
        <v>YELL_14.16_300_NL2018</v>
      </c>
      <c r="G1519" s="13" t="s">
        <v>89</v>
      </c>
      <c r="H1519" s="12"/>
      <c r="I1519" s="12" t="s">
        <v>47</v>
      </c>
      <c r="J1519" s="14">
        <v>300</v>
      </c>
      <c r="K1519" s="15" t="s">
        <v>28</v>
      </c>
      <c r="L1519" s="15"/>
      <c r="M1519" s="16">
        <f t="shared" si="226"/>
        <v>14</v>
      </c>
      <c r="N1519" s="15">
        <v>4200</v>
      </c>
      <c r="O1519" s="15">
        <v>3800</v>
      </c>
      <c r="P1519" s="15">
        <f t="shared" ref="P1519:P1578" si="255">+O1519*N1519</f>
        <v>15960000</v>
      </c>
      <c r="Q1519" s="15" t="str">
        <f t="shared" si="231"/>
        <v>Done</v>
      </c>
      <c r="R1519" s="18" t="s">
        <v>44</v>
      </c>
      <c r="S1519" s="117">
        <v>43640</v>
      </c>
      <c r="T1519" s="20">
        <f>IFERROR(VLOOKUP(S1519,'Date Converter'!$A$4:$C$368,3,0),"")</f>
        <v>43672</v>
      </c>
      <c r="U1519" s="21">
        <f t="shared" si="232"/>
        <v>43672</v>
      </c>
      <c r="V1519" s="20"/>
      <c r="W1519" s="18"/>
      <c r="X1519" s="18"/>
      <c r="Y1519" s="18"/>
      <c r="Z1519" s="210">
        <v>43640</v>
      </c>
      <c r="AA1519" s="15">
        <v>4200</v>
      </c>
      <c r="AB1519" s="210"/>
      <c r="AC1519" s="15"/>
      <c r="AD1519" s="15"/>
      <c r="AE1519" s="15"/>
      <c r="AF1519" s="244"/>
      <c r="AG1519" s="15"/>
      <c r="AH1519" s="15">
        <f t="shared" si="227"/>
        <v>4200</v>
      </c>
      <c r="AI1519" s="22">
        <f t="shared" si="228"/>
        <v>0</v>
      </c>
      <c r="AJ1519" s="22">
        <f t="shared" si="229"/>
        <v>0</v>
      </c>
      <c r="AK1519" s="13"/>
    </row>
    <row r="1520" spans="1:37" s="165" customFormat="1" hidden="1">
      <c r="A1520" s="165" t="s">
        <v>1754</v>
      </c>
      <c r="B1520" s="13">
        <v>43558</v>
      </c>
      <c r="C1520" s="13" t="s">
        <v>1622</v>
      </c>
      <c r="D1520" s="165" t="s">
        <v>1244</v>
      </c>
      <c r="E1520" s="165" t="s">
        <v>1245</v>
      </c>
      <c r="F1520" s="165" t="str">
        <f t="shared" si="225"/>
        <v>ARVA_16.18_200_NL2018</v>
      </c>
      <c r="G1520" s="165" t="s">
        <v>85</v>
      </c>
      <c r="H1520" s="12"/>
      <c r="I1520" s="12" t="s">
        <v>35</v>
      </c>
      <c r="J1520" s="14">
        <v>200</v>
      </c>
      <c r="K1520" s="15" t="s">
        <v>28</v>
      </c>
      <c r="L1520" s="15"/>
      <c r="M1520" s="16">
        <f t="shared" si="226"/>
        <v>0</v>
      </c>
      <c r="N1520" s="15">
        <f>20000-20000</f>
        <v>0</v>
      </c>
      <c r="O1520" s="15">
        <v>5300</v>
      </c>
      <c r="P1520" s="15">
        <f t="shared" si="255"/>
        <v>0</v>
      </c>
      <c r="Q1520" s="15" t="str">
        <f t="shared" si="231"/>
        <v>Canceled</v>
      </c>
      <c r="R1520" s="18" t="s">
        <v>71</v>
      </c>
      <c r="S1520" s="212">
        <v>43584</v>
      </c>
      <c r="T1520" s="20">
        <f>IFERROR(VLOOKUP(S1520,'Date Converter'!$A$4:$C$368,3,0),"")</f>
        <v>43618</v>
      </c>
      <c r="U1520" s="21">
        <f t="shared" si="232"/>
        <v>43618</v>
      </c>
      <c r="V1520" s="20" t="s">
        <v>1761</v>
      </c>
      <c r="W1520" s="18"/>
      <c r="X1520" s="18"/>
      <c r="Y1520" s="18"/>
      <c r="Z1520" s="210"/>
      <c r="AA1520" s="15">
        <v>0</v>
      </c>
      <c r="AB1520" s="210"/>
      <c r="AC1520" s="15"/>
      <c r="AD1520" s="15"/>
      <c r="AE1520" s="15"/>
      <c r="AF1520" s="244"/>
      <c r="AG1520" s="15"/>
      <c r="AH1520" s="15">
        <f t="shared" si="227"/>
        <v>0</v>
      </c>
      <c r="AI1520" s="22">
        <f t="shared" si="228"/>
        <v>0</v>
      </c>
      <c r="AJ1520" s="22">
        <f t="shared" si="229"/>
        <v>0</v>
      </c>
      <c r="AK1520" s="13">
        <v>43883</v>
      </c>
    </row>
    <row r="1521" spans="1:37" s="165" customFormat="1" hidden="1">
      <c r="A1521" s="165" t="s">
        <v>1754</v>
      </c>
      <c r="B1521" s="13">
        <v>43558</v>
      </c>
      <c r="C1521" s="13" t="s">
        <v>1622</v>
      </c>
      <c r="D1521" s="165" t="s">
        <v>1244</v>
      </c>
      <c r="E1521" s="165" t="s">
        <v>1245</v>
      </c>
      <c r="F1521" s="165" t="str">
        <f t="shared" si="225"/>
        <v>ARVA_16.18_200_NL2018</v>
      </c>
      <c r="G1521" s="165" t="s">
        <v>85</v>
      </c>
      <c r="H1521" s="12"/>
      <c r="I1521" s="12" t="s">
        <v>35</v>
      </c>
      <c r="J1521" s="14">
        <v>200</v>
      </c>
      <c r="K1521" s="15" t="s">
        <v>28</v>
      </c>
      <c r="L1521" s="15"/>
      <c r="M1521" s="16">
        <f t="shared" si="226"/>
        <v>0</v>
      </c>
      <c r="N1521" s="15">
        <f>80000-15000-20000-45000</f>
        <v>0</v>
      </c>
      <c r="O1521" s="15">
        <v>5300</v>
      </c>
      <c r="P1521" s="15">
        <f t="shared" si="255"/>
        <v>0</v>
      </c>
      <c r="Q1521" s="15" t="str">
        <f t="shared" si="231"/>
        <v>Canceled</v>
      </c>
      <c r="R1521" s="18" t="s">
        <v>71</v>
      </c>
      <c r="S1521" s="212"/>
      <c r="T1521" s="20" t="str">
        <f>IFERROR(VLOOKUP(S1521,'Date Converter'!$A$4:$C$368,3,0),"")</f>
        <v/>
      </c>
      <c r="U1521" s="21" t="str">
        <f t="shared" si="232"/>
        <v/>
      </c>
      <c r="V1521" s="20" t="s">
        <v>1691</v>
      </c>
      <c r="W1521" s="18"/>
      <c r="X1521" s="18"/>
      <c r="Y1521" s="18"/>
      <c r="Z1521" s="210"/>
      <c r="AA1521" s="15">
        <v>0</v>
      </c>
      <c r="AB1521" s="210"/>
      <c r="AC1521" s="15"/>
      <c r="AD1521" s="15"/>
      <c r="AE1521" s="15"/>
      <c r="AF1521" s="244"/>
      <c r="AG1521" s="15"/>
      <c r="AH1521" s="15">
        <f t="shared" si="227"/>
        <v>0</v>
      </c>
      <c r="AI1521" s="22">
        <f t="shared" si="228"/>
        <v>0</v>
      </c>
      <c r="AJ1521" s="22">
        <f t="shared" si="229"/>
        <v>0</v>
      </c>
      <c r="AK1521" s="13">
        <v>43883</v>
      </c>
    </row>
    <row r="1522" spans="1:37" s="165" customFormat="1" hidden="1">
      <c r="A1522" s="165" t="s">
        <v>1763</v>
      </c>
      <c r="B1522" s="13">
        <v>43575</v>
      </c>
      <c r="C1522" s="13" t="s">
        <v>1622</v>
      </c>
      <c r="D1522" s="165" t="s">
        <v>1244</v>
      </c>
      <c r="E1522" s="165" t="s">
        <v>1245</v>
      </c>
      <c r="F1522" s="165" t="str">
        <f t="shared" si="225"/>
        <v>ARVA_18.20_150_CL2019</v>
      </c>
      <c r="G1522" s="165" t="s">
        <v>85</v>
      </c>
      <c r="H1522" s="12"/>
      <c r="I1522" s="12" t="s">
        <v>27</v>
      </c>
      <c r="J1522" s="14">
        <v>150</v>
      </c>
      <c r="K1522" s="15" t="s">
        <v>1423</v>
      </c>
      <c r="L1522" s="15"/>
      <c r="M1522" s="16">
        <f t="shared" si="226"/>
        <v>0</v>
      </c>
      <c r="N1522" s="15">
        <f>20100-20100</f>
        <v>0</v>
      </c>
      <c r="O1522" s="15">
        <v>10500</v>
      </c>
      <c r="P1522" s="15">
        <f t="shared" si="255"/>
        <v>0</v>
      </c>
      <c r="Q1522" s="15" t="str">
        <f t="shared" si="231"/>
        <v>Canceled</v>
      </c>
      <c r="R1522" s="18" t="s">
        <v>71</v>
      </c>
      <c r="S1522" s="212"/>
      <c r="T1522" s="20" t="str">
        <f>IFERROR(VLOOKUP(S1522,'Date Converter'!$A$4:$C$368,3,0),"")</f>
        <v/>
      </c>
      <c r="U1522" s="21" t="str">
        <f t="shared" si="232"/>
        <v/>
      </c>
      <c r="V1522" s="20" t="s">
        <v>51</v>
      </c>
      <c r="W1522" s="18"/>
      <c r="X1522" s="18"/>
      <c r="Y1522" s="18"/>
      <c r="Z1522" s="210"/>
      <c r="AA1522" s="15"/>
      <c r="AB1522" s="210"/>
      <c r="AC1522" s="15"/>
      <c r="AD1522" s="15"/>
      <c r="AE1522" s="15"/>
      <c r="AF1522" s="244"/>
      <c r="AG1522" s="15"/>
      <c r="AH1522" s="15">
        <f t="shared" si="227"/>
        <v>0</v>
      </c>
      <c r="AI1522" s="22">
        <f t="shared" si="228"/>
        <v>0</v>
      </c>
      <c r="AJ1522" s="22">
        <f t="shared" si="229"/>
        <v>0</v>
      </c>
      <c r="AK1522" s="13"/>
    </row>
    <row r="1523" spans="1:37" s="165" customFormat="1" hidden="1">
      <c r="A1523" s="165" t="s">
        <v>1754</v>
      </c>
      <c r="B1523" s="13">
        <v>43623</v>
      </c>
      <c r="C1523" s="13" t="s">
        <v>1622</v>
      </c>
      <c r="D1523" s="165" t="s">
        <v>1244</v>
      </c>
      <c r="E1523" s="165" t="s">
        <v>1245</v>
      </c>
      <c r="F1523" s="165" t="str">
        <f t="shared" si="225"/>
        <v>ANGE_RL_12.14_400_NL2018</v>
      </c>
      <c r="G1523" s="165" t="s">
        <v>1757</v>
      </c>
      <c r="H1523" s="12" t="s">
        <v>219</v>
      </c>
      <c r="I1523" s="12" t="s">
        <v>113</v>
      </c>
      <c r="J1523" s="14">
        <v>400</v>
      </c>
      <c r="K1523" s="15" t="s">
        <v>28</v>
      </c>
      <c r="L1523" s="15"/>
      <c r="M1523" s="16">
        <f t="shared" si="226"/>
        <v>6</v>
      </c>
      <c r="N1523" s="15">
        <v>2400</v>
      </c>
      <c r="O1523" s="15">
        <v>8088</v>
      </c>
      <c r="P1523" s="15">
        <f t="shared" si="255"/>
        <v>19411200</v>
      </c>
      <c r="Q1523" s="15" t="str">
        <f t="shared" si="231"/>
        <v>Done</v>
      </c>
      <c r="R1523" s="18" t="s">
        <v>44</v>
      </c>
      <c r="S1523" s="117">
        <v>43572</v>
      </c>
      <c r="T1523" s="20">
        <f>IFERROR(VLOOKUP(S1523,'Date Converter'!$A$4:$C$368,3,0),"")</f>
        <v>43606</v>
      </c>
      <c r="U1523" s="21">
        <f t="shared" si="232"/>
        <v>43606</v>
      </c>
      <c r="V1523" s="12"/>
      <c r="W1523" s="18"/>
      <c r="X1523" s="18"/>
      <c r="Y1523" s="18"/>
      <c r="Z1523" s="210">
        <v>43627</v>
      </c>
      <c r="AA1523" s="15">
        <v>1200</v>
      </c>
      <c r="AB1523" s="210">
        <v>43640</v>
      </c>
      <c r="AC1523" s="15">
        <v>1200</v>
      </c>
      <c r="AD1523" s="15"/>
      <c r="AE1523" s="15"/>
      <c r="AF1523" s="244"/>
      <c r="AG1523" s="15"/>
      <c r="AH1523" s="15">
        <f t="shared" si="227"/>
        <v>2400</v>
      </c>
      <c r="AI1523" s="22">
        <f t="shared" si="228"/>
        <v>0</v>
      </c>
      <c r="AJ1523" s="22">
        <f t="shared" si="229"/>
        <v>0</v>
      </c>
      <c r="AK1523" s="13"/>
    </row>
    <row r="1524" spans="1:37" s="165" customFormat="1" hidden="1">
      <c r="A1524" s="165" t="s">
        <v>1754</v>
      </c>
      <c r="B1524" s="13">
        <v>43558</v>
      </c>
      <c r="C1524" s="13" t="s">
        <v>1622</v>
      </c>
      <c r="D1524" s="165" t="s">
        <v>1244</v>
      </c>
      <c r="E1524" s="165" t="s">
        <v>1245</v>
      </c>
      <c r="F1524" s="165" t="str">
        <f t="shared" si="225"/>
        <v>ANGE_RL_12.14_400_NL2018</v>
      </c>
      <c r="G1524" s="165" t="s">
        <v>1757</v>
      </c>
      <c r="H1524" s="12" t="s">
        <v>219</v>
      </c>
      <c r="I1524" s="12" t="s">
        <v>113</v>
      </c>
      <c r="J1524" s="14">
        <v>400</v>
      </c>
      <c r="K1524" s="15" t="s">
        <v>28</v>
      </c>
      <c r="L1524" s="15"/>
      <c r="M1524" s="16">
        <f t="shared" si="226"/>
        <v>3</v>
      </c>
      <c r="N1524" s="15">
        <v>1200</v>
      </c>
      <c r="O1524" s="15">
        <v>8063</v>
      </c>
      <c r="P1524" s="15">
        <f t="shared" si="255"/>
        <v>9675600</v>
      </c>
      <c r="Q1524" s="15" t="str">
        <f t="shared" si="231"/>
        <v>Done</v>
      </c>
      <c r="R1524" s="18" t="s">
        <v>44</v>
      </c>
      <c r="S1524" s="117">
        <v>43570</v>
      </c>
      <c r="T1524" s="20">
        <f>IFERROR(VLOOKUP(S1524,'Date Converter'!$A$4:$C$368,3,0),"")</f>
        <v>43604</v>
      </c>
      <c r="U1524" s="21">
        <f t="shared" si="232"/>
        <v>43604</v>
      </c>
      <c r="V1524" s="12" t="s">
        <v>87</v>
      </c>
      <c r="W1524" s="18"/>
      <c r="X1524" s="18"/>
      <c r="Y1524" s="18"/>
      <c r="Z1524" s="210">
        <v>43604</v>
      </c>
      <c r="AA1524" s="15">
        <v>1200</v>
      </c>
      <c r="AB1524" s="210"/>
      <c r="AC1524" s="15"/>
      <c r="AD1524" s="15"/>
      <c r="AE1524" s="15"/>
      <c r="AF1524" s="244"/>
      <c r="AG1524" s="15"/>
      <c r="AH1524" s="15">
        <f t="shared" si="227"/>
        <v>1200</v>
      </c>
      <c r="AI1524" s="22">
        <f t="shared" si="228"/>
        <v>0</v>
      </c>
      <c r="AJ1524" s="22">
        <f t="shared" si="229"/>
        <v>0</v>
      </c>
      <c r="AK1524" s="13"/>
    </row>
    <row r="1525" spans="1:37" s="165" customFormat="1" hidden="1">
      <c r="A1525" s="165" t="s">
        <v>505</v>
      </c>
      <c r="B1525" s="13">
        <v>43556</v>
      </c>
      <c r="C1525" s="13" t="s">
        <v>23</v>
      </c>
      <c r="D1525" s="165" t="s">
        <v>506</v>
      </c>
      <c r="E1525" s="119" t="s">
        <v>507</v>
      </c>
      <c r="F1525" s="165" t="str">
        <f t="shared" si="225"/>
        <v>YELL_14.16_300_NL2018</v>
      </c>
      <c r="G1525" s="13" t="s">
        <v>89</v>
      </c>
      <c r="H1525" s="12"/>
      <c r="I1525" s="12" t="s">
        <v>47</v>
      </c>
      <c r="J1525" s="31" t="s">
        <v>124</v>
      </c>
      <c r="K1525" s="15" t="s">
        <v>28</v>
      </c>
      <c r="L1525" s="15"/>
      <c r="M1525" s="33">
        <f t="shared" si="226"/>
        <v>30</v>
      </c>
      <c r="N1525" s="15">
        <v>9000</v>
      </c>
      <c r="O1525" s="15">
        <v>4000</v>
      </c>
      <c r="P1525" s="15">
        <f t="shared" si="255"/>
        <v>36000000</v>
      </c>
      <c r="Q1525" s="15" t="str">
        <f t="shared" si="231"/>
        <v>Done</v>
      </c>
      <c r="R1525" s="18" t="s">
        <v>44</v>
      </c>
      <c r="S1525" s="23">
        <v>43572</v>
      </c>
      <c r="T1525" s="20">
        <f>IFERROR(VLOOKUP(S1525,'Date Converter'!$A$4:$C$368,3,0),"")</f>
        <v>43606</v>
      </c>
      <c r="U1525" s="21">
        <f t="shared" si="232"/>
        <v>43606</v>
      </c>
      <c r="V1525" s="12" t="s">
        <v>479</v>
      </c>
      <c r="W1525" s="18"/>
      <c r="X1525" s="18"/>
      <c r="Y1525" s="12"/>
      <c r="Z1525" s="206">
        <v>43610</v>
      </c>
      <c r="AA1525" s="15">
        <v>9000</v>
      </c>
      <c r="AB1525" s="206"/>
      <c r="AC1525" s="12"/>
      <c r="AD1525" s="206"/>
      <c r="AE1525" s="12"/>
      <c r="AF1525" s="245"/>
      <c r="AG1525" s="12"/>
      <c r="AH1525" s="15">
        <f t="shared" si="227"/>
        <v>9000</v>
      </c>
      <c r="AI1525" s="22">
        <f t="shared" si="228"/>
        <v>0</v>
      </c>
      <c r="AJ1525" s="22">
        <f t="shared" si="229"/>
        <v>0</v>
      </c>
    </row>
    <row r="1526" spans="1:37" s="165" customFormat="1" hidden="1">
      <c r="A1526" s="165" t="s">
        <v>505</v>
      </c>
      <c r="B1526" s="13">
        <v>43556</v>
      </c>
      <c r="C1526" s="13" t="s">
        <v>23</v>
      </c>
      <c r="D1526" s="165" t="s">
        <v>506</v>
      </c>
      <c r="E1526" s="119" t="s">
        <v>507</v>
      </c>
      <c r="F1526" s="165" t="str">
        <f t="shared" ref="F1526:F1584" si="256">SUBSTITUTE(LEFT(G1526,4)&amp;"_"&amp;H1526&amp;"_"&amp;I1526&amp;"_"&amp;J1526&amp;"_"&amp;K1526,"__","_")</f>
        <v>TARR_14.16_300_NL2018</v>
      </c>
      <c r="G1526" s="13" t="s">
        <v>62</v>
      </c>
      <c r="H1526" s="12"/>
      <c r="I1526" s="12" t="s">
        <v>47</v>
      </c>
      <c r="J1526" s="31" t="s">
        <v>124</v>
      </c>
      <c r="K1526" s="15" t="s">
        <v>28</v>
      </c>
      <c r="L1526" s="15"/>
      <c r="M1526" s="33">
        <f t="shared" ref="M1526:M1584" si="257">+N1526/J1526</f>
        <v>7</v>
      </c>
      <c r="N1526" s="15">
        <v>2100</v>
      </c>
      <c r="O1526" s="15">
        <v>4800</v>
      </c>
      <c r="P1526" s="15">
        <f t="shared" si="255"/>
        <v>10080000</v>
      </c>
      <c r="Q1526" s="15" t="str">
        <f t="shared" si="231"/>
        <v>Done</v>
      </c>
      <c r="R1526" s="18" t="s">
        <v>44</v>
      </c>
      <c r="S1526" s="23">
        <v>43572</v>
      </c>
      <c r="T1526" s="20">
        <f>IFERROR(VLOOKUP(S1526,'Date Converter'!$A$4:$C$368,3,0),"")</f>
        <v>43606</v>
      </c>
      <c r="U1526" s="21">
        <f t="shared" si="232"/>
        <v>43606</v>
      </c>
      <c r="V1526" s="12" t="s">
        <v>479</v>
      </c>
      <c r="W1526" s="18"/>
      <c r="X1526" s="18"/>
      <c r="Y1526" s="12"/>
      <c r="Z1526" s="206">
        <v>43604</v>
      </c>
      <c r="AA1526" s="15">
        <v>2100</v>
      </c>
      <c r="AB1526" s="206"/>
      <c r="AC1526" s="12"/>
      <c r="AD1526" s="206"/>
      <c r="AE1526" s="12"/>
      <c r="AF1526" s="245"/>
      <c r="AG1526" s="12"/>
      <c r="AH1526" s="15">
        <f t="shared" ref="AH1526:AH1584" si="258">+AA1526+AC1526+AE1526+AG1526</f>
        <v>2100</v>
      </c>
      <c r="AI1526" s="22">
        <f t="shared" ref="AI1526:AI1584" si="259">+N1526-AH1526</f>
        <v>0</v>
      </c>
      <c r="AJ1526" s="22">
        <f t="shared" ref="AJ1526:AJ1584" si="260">+AI1526*O1526</f>
        <v>0</v>
      </c>
    </row>
    <row r="1527" spans="1:37" s="165" customFormat="1" hidden="1">
      <c r="A1527" s="165" t="s">
        <v>456</v>
      </c>
      <c r="B1527" s="13">
        <v>43536</v>
      </c>
      <c r="C1527" s="13" t="s">
        <v>23</v>
      </c>
      <c r="D1527" s="258" t="s">
        <v>275</v>
      </c>
      <c r="E1527" s="97" t="s">
        <v>276</v>
      </c>
      <c r="F1527" s="165" t="str">
        <f t="shared" si="256"/>
        <v>ROBI_22.24_100_NL2018</v>
      </c>
      <c r="G1527" s="165" t="s">
        <v>61</v>
      </c>
      <c r="H1527" s="12"/>
      <c r="I1527" s="12" t="s">
        <v>78</v>
      </c>
      <c r="J1527" s="14">
        <v>100</v>
      </c>
      <c r="K1527" s="15" t="s">
        <v>28</v>
      </c>
      <c r="L1527" s="15"/>
      <c r="M1527" s="16">
        <f t="shared" si="257"/>
        <v>60</v>
      </c>
      <c r="N1527" s="15">
        <v>6000</v>
      </c>
      <c r="O1527" s="15">
        <v>12500</v>
      </c>
      <c r="P1527" s="15">
        <f t="shared" si="255"/>
        <v>75000000</v>
      </c>
      <c r="Q1527" s="15" t="str">
        <f t="shared" si="231"/>
        <v/>
      </c>
      <c r="R1527" s="18" t="s">
        <v>29</v>
      </c>
      <c r="S1527" s="23">
        <v>43709</v>
      </c>
      <c r="T1527" s="20">
        <f>IFERROR(VLOOKUP(S1527,'Date Converter'!$A$4:$C$368,3,0),"")</f>
        <v>43737</v>
      </c>
      <c r="U1527" s="21">
        <f t="shared" si="232"/>
        <v>43737</v>
      </c>
      <c r="V1527" s="20" t="s">
        <v>51</v>
      </c>
      <c r="W1527" s="18"/>
      <c r="X1527" s="18"/>
      <c r="Y1527" s="15"/>
      <c r="Z1527" s="206"/>
      <c r="AA1527" s="15">
        <v>0</v>
      </c>
      <c r="AB1527" s="206"/>
      <c r="AC1527" s="15"/>
      <c r="AD1527" s="206"/>
      <c r="AE1527" s="15"/>
      <c r="AF1527" s="244"/>
      <c r="AG1527" s="15"/>
      <c r="AH1527" s="15">
        <f t="shared" si="258"/>
        <v>0</v>
      </c>
      <c r="AI1527" s="22">
        <f t="shared" si="259"/>
        <v>6000</v>
      </c>
      <c r="AJ1527" s="22">
        <f t="shared" si="260"/>
        <v>75000000</v>
      </c>
    </row>
    <row r="1528" spans="1:37" s="165" customFormat="1" hidden="1">
      <c r="A1528" s="165" t="s">
        <v>456</v>
      </c>
      <c r="B1528" s="13">
        <v>43536</v>
      </c>
      <c r="C1528" s="13" t="s">
        <v>23</v>
      </c>
      <c r="D1528" s="258" t="s">
        <v>275</v>
      </c>
      <c r="E1528" s="97" t="s">
        <v>276</v>
      </c>
      <c r="F1528" s="165" t="str">
        <f t="shared" si="256"/>
        <v>PROF_22.24_100_NL2018</v>
      </c>
      <c r="G1528" s="165" t="s">
        <v>56</v>
      </c>
      <c r="H1528" s="12"/>
      <c r="I1528" s="12" t="s">
        <v>78</v>
      </c>
      <c r="J1528" s="14">
        <v>100</v>
      </c>
      <c r="K1528" s="15" t="s">
        <v>28</v>
      </c>
      <c r="L1528" s="15"/>
      <c r="M1528" s="16">
        <f t="shared" si="257"/>
        <v>60</v>
      </c>
      <c r="N1528" s="15">
        <v>6000</v>
      </c>
      <c r="O1528" s="15">
        <v>14200</v>
      </c>
      <c r="P1528" s="15">
        <f t="shared" si="255"/>
        <v>85200000</v>
      </c>
      <c r="Q1528" s="15" t="str">
        <f t="shared" si="231"/>
        <v/>
      </c>
      <c r="R1528" s="18" t="s">
        <v>29</v>
      </c>
      <c r="S1528" s="23">
        <v>43709</v>
      </c>
      <c r="T1528" s="20">
        <f>IFERROR(VLOOKUP(S1528,'Date Converter'!$A$4:$C$368,3,0),"")</f>
        <v>43737</v>
      </c>
      <c r="U1528" s="21">
        <f t="shared" si="232"/>
        <v>43737</v>
      </c>
      <c r="V1528" s="20" t="s">
        <v>51</v>
      </c>
      <c r="W1528" s="18"/>
      <c r="X1528" s="18"/>
      <c r="Y1528" s="15"/>
      <c r="Z1528" s="206"/>
      <c r="AA1528" s="15">
        <v>0</v>
      </c>
      <c r="AB1528" s="206"/>
      <c r="AC1528" s="15"/>
      <c r="AD1528" s="206"/>
      <c r="AE1528" s="15"/>
      <c r="AF1528" s="244"/>
      <c r="AG1528" s="15"/>
      <c r="AH1528" s="15">
        <f t="shared" si="258"/>
        <v>0</v>
      </c>
      <c r="AI1528" s="22">
        <f t="shared" si="259"/>
        <v>6000</v>
      </c>
      <c r="AJ1528" s="22">
        <f t="shared" si="260"/>
        <v>85200000</v>
      </c>
    </row>
    <row r="1529" spans="1:37" s="165" customFormat="1" hidden="1">
      <c r="A1529" s="165" t="s">
        <v>456</v>
      </c>
      <c r="B1529" s="13">
        <v>43536</v>
      </c>
      <c r="C1529" s="13" t="s">
        <v>23</v>
      </c>
      <c r="D1529" s="165" t="s">
        <v>275</v>
      </c>
      <c r="E1529" s="165" t="s">
        <v>276</v>
      </c>
      <c r="F1529" s="165" t="str">
        <f t="shared" si="256"/>
        <v>CONC_16.18_200_NL2018</v>
      </c>
      <c r="G1529" s="165" t="s">
        <v>43</v>
      </c>
      <c r="H1529" s="12"/>
      <c r="I1529" s="12" t="s">
        <v>35</v>
      </c>
      <c r="J1529" s="14">
        <v>200</v>
      </c>
      <c r="K1529" s="15" t="s">
        <v>28</v>
      </c>
      <c r="L1529" s="15"/>
      <c r="M1529" s="16">
        <f t="shared" si="257"/>
        <v>77</v>
      </c>
      <c r="N1529" s="15">
        <v>15400</v>
      </c>
      <c r="O1529" s="15">
        <v>4600</v>
      </c>
      <c r="P1529" s="15">
        <f t="shared" si="255"/>
        <v>70840000</v>
      </c>
      <c r="Q1529" s="15" t="str">
        <f t="shared" si="231"/>
        <v>Done</v>
      </c>
      <c r="R1529" s="18" t="s">
        <v>44</v>
      </c>
      <c r="S1529" s="23">
        <v>43480</v>
      </c>
      <c r="T1529" s="20">
        <f>IFERROR(VLOOKUP(S1529,'Date Converter'!$A$4:$C$368,3,0),"")</f>
        <v>43515</v>
      </c>
      <c r="U1529" s="21">
        <f t="shared" ref="U1529:U1557" si="261">+T1529</f>
        <v>43515</v>
      </c>
      <c r="V1529" s="20" t="s">
        <v>45</v>
      </c>
      <c r="W1529" s="18"/>
      <c r="X1529" s="18"/>
      <c r="Y1529" s="15" t="s">
        <v>59</v>
      </c>
      <c r="Z1529" s="206">
        <v>43528</v>
      </c>
      <c r="AA1529" s="15">
        <v>9000</v>
      </c>
      <c r="AB1529" s="206">
        <v>43531</v>
      </c>
      <c r="AC1529" s="15">
        <v>6400</v>
      </c>
      <c r="AD1529" s="206"/>
      <c r="AE1529" s="15"/>
      <c r="AF1529" s="244"/>
      <c r="AG1529" s="15"/>
      <c r="AH1529" s="15">
        <f t="shared" si="258"/>
        <v>15400</v>
      </c>
      <c r="AI1529" s="22">
        <f t="shared" si="259"/>
        <v>0</v>
      </c>
      <c r="AJ1529" s="22">
        <f t="shared" si="260"/>
        <v>0</v>
      </c>
    </row>
    <row r="1530" spans="1:37" s="165" customFormat="1" hidden="1">
      <c r="A1530" s="165" t="s">
        <v>456</v>
      </c>
      <c r="B1530" s="13">
        <v>43536</v>
      </c>
      <c r="C1530" s="13" t="s">
        <v>23</v>
      </c>
      <c r="D1530" s="258" t="s">
        <v>275</v>
      </c>
      <c r="E1530" s="97" t="s">
        <v>276</v>
      </c>
      <c r="F1530" s="165" t="str">
        <f t="shared" si="256"/>
        <v>CONC_22.24_100_NL2018</v>
      </c>
      <c r="G1530" s="165" t="s">
        <v>40</v>
      </c>
      <c r="H1530" s="12"/>
      <c r="I1530" s="12" t="s">
        <v>78</v>
      </c>
      <c r="J1530" s="14">
        <v>100</v>
      </c>
      <c r="K1530" s="15" t="s">
        <v>28</v>
      </c>
      <c r="L1530" s="15"/>
      <c r="M1530" s="16">
        <f t="shared" si="257"/>
        <v>100</v>
      </c>
      <c r="N1530" s="15">
        <v>10000</v>
      </c>
      <c r="O1530" s="15">
        <v>12500</v>
      </c>
      <c r="P1530" s="15">
        <f t="shared" si="255"/>
        <v>125000000</v>
      </c>
      <c r="Q1530" s="15" t="str">
        <f t="shared" si="231"/>
        <v/>
      </c>
      <c r="R1530" s="18" t="s">
        <v>29</v>
      </c>
      <c r="S1530" s="23">
        <v>43709</v>
      </c>
      <c r="T1530" s="20">
        <f>IFERROR(VLOOKUP(S1530,'Date Converter'!$A$4:$C$368,3,0),"")</f>
        <v>43737</v>
      </c>
      <c r="U1530" s="21">
        <f t="shared" si="261"/>
        <v>43737</v>
      </c>
      <c r="V1530" s="20" t="s">
        <v>51</v>
      </c>
      <c r="W1530" s="18"/>
      <c r="X1530" s="18"/>
      <c r="Y1530" s="15"/>
      <c r="Z1530" s="206"/>
      <c r="AA1530" s="15">
        <v>0</v>
      </c>
      <c r="AB1530" s="206"/>
      <c r="AC1530" s="15"/>
      <c r="AD1530" s="206"/>
      <c r="AE1530" s="15"/>
      <c r="AF1530" s="244"/>
      <c r="AG1530" s="15"/>
      <c r="AH1530" s="15">
        <f t="shared" si="258"/>
        <v>0</v>
      </c>
      <c r="AI1530" s="22">
        <f t="shared" si="259"/>
        <v>10000</v>
      </c>
      <c r="AJ1530" s="22">
        <f t="shared" si="260"/>
        <v>125000000</v>
      </c>
    </row>
    <row r="1531" spans="1:37" s="165" customFormat="1" hidden="1">
      <c r="A1531" s="165" t="s">
        <v>299</v>
      </c>
      <c r="B1531" s="13">
        <v>43509</v>
      </c>
      <c r="C1531" s="13" t="s">
        <v>23</v>
      </c>
      <c r="D1531" s="165" t="s">
        <v>99</v>
      </c>
      <c r="E1531" s="198" t="s">
        <v>100</v>
      </c>
      <c r="F1531" s="165" t="str">
        <f t="shared" si="256"/>
        <v>YELL_14.16_300_NL2018</v>
      </c>
      <c r="G1531" s="165" t="s">
        <v>89</v>
      </c>
      <c r="H1531" s="12"/>
      <c r="I1531" s="12" t="s">
        <v>47</v>
      </c>
      <c r="J1531" s="14">
        <v>300</v>
      </c>
      <c r="K1531" s="15" t="s">
        <v>28</v>
      </c>
      <c r="L1531" s="15"/>
      <c r="M1531" s="16">
        <f t="shared" si="257"/>
        <v>45</v>
      </c>
      <c r="N1531" s="15">
        <f>10200+3300</f>
        <v>13500</v>
      </c>
      <c r="O1531" s="15">
        <v>3800</v>
      </c>
      <c r="P1531" s="15">
        <f t="shared" si="255"/>
        <v>51300000</v>
      </c>
      <c r="Q1531" s="15" t="str">
        <f t="shared" si="231"/>
        <v>Done</v>
      </c>
      <c r="R1531" s="18" t="s">
        <v>44</v>
      </c>
      <c r="S1531" s="23">
        <v>43539</v>
      </c>
      <c r="T1531" s="20">
        <f>IFERROR(VLOOKUP(S1531,'Date Converter'!$A$4:$C$368,3,0),"")</f>
        <v>43574</v>
      </c>
      <c r="U1531" s="21">
        <f t="shared" si="261"/>
        <v>43574</v>
      </c>
      <c r="V1531" s="12" t="s">
        <v>57</v>
      </c>
      <c r="W1531" s="18" t="s">
        <v>33</v>
      </c>
      <c r="X1531" s="18">
        <v>43541</v>
      </c>
      <c r="Y1531" s="15" t="s">
        <v>59</v>
      </c>
      <c r="Z1531" s="206">
        <v>43604</v>
      </c>
      <c r="AA1531" s="15">
        <v>3900</v>
      </c>
      <c r="AB1531" s="206">
        <v>43619</v>
      </c>
      <c r="AC1531" s="15">
        <v>9600</v>
      </c>
      <c r="AD1531" s="206"/>
      <c r="AE1531" s="15"/>
      <c r="AF1531" s="244"/>
      <c r="AG1531" s="15"/>
      <c r="AH1531" s="15">
        <f t="shared" si="258"/>
        <v>13500</v>
      </c>
      <c r="AI1531" s="22">
        <f t="shared" si="259"/>
        <v>0</v>
      </c>
      <c r="AJ1531" s="22">
        <f t="shared" si="260"/>
        <v>0</v>
      </c>
    </row>
    <row r="1532" spans="1:37" s="165" customFormat="1" hidden="1">
      <c r="A1532" s="165" t="s">
        <v>299</v>
      </c>
      <c r="B1532" s="13">
        <v>43631</v>
      </c>
      <c r="C1532" s="13" t="s">
        <v>23</v>
      </c>
      <c r="D1532" s="165" t="s">
        <v>99</v>
      </c>
      <c r="E1532" s="198" t="s">
        <v>100</v>
      </c>
      <c r="F1532" s="165" t="str">
        <f t="shared" si="256"/>
        <v>YELL_14.16_300_NL2018</v>
      </c>
      <c r="G1532" s="165" t="s">
        <v>89</v>
      </c>
      <c r="H1532" s="12"/>
      <c r="I1532" s="12" t="s">
        <v>47</v>
      </c>
      <c r="J1532" s="14">
        <v>300</v>
      </c>
      <c r="K1532" s="15" t="s">
        <v>28</v>
      </c>
      <c r="L1532" s="15"/>
      <c r="M1532" s="16">
        <f t="shared" si="257"/>
        <v>38</v>
      </c>
      <c r="N1532" s="15">
        <v>11400</v>
      </c>
      <c r="O1532" s="15">
        <v>4000</v>
      </c>
      <c r="P1532" s="15">
        <f t="shared" si="255"/>
        <v>45600000</v>
      </c>
      <c r="Q1532" s="15" t="str">
        <f t="shared" si="231"/>
        <v/>
      </c>
      <c r="R1532" s="18" t="s">
        <v>31</v>
      </c>
      <c r="S1532" s="23">
        <v>43631</v>
      </c>
      <c r="T1532" s="20">
        <f>IFERROR(VLOOKUP(S1532,'Date Converter'!$A$4:$C$368,3,0),"")</f>
        <v>43663</v>
      </c>
      <c r="U1532" s="21">
        <f t="shared" si="261"/>
        <v>43663</v>
      </c>
      <c r="V1532" s="12"/>
      <c r="W1532" s="18"/>
      <c r="X1532" s="18"/>
      <c r="Y1532" s="15"/>
      <c r="Z1532" s="206"/>
      <c r="AA1532" s="15"/>
      <c r="AB1532" s="206"/>
      <c r="AC1532" s="15"/>
      <c r="AD1532" s="206"/>
      <c r="AE1532" s="15"/>
      <c r="AF1532" s="244"/>
      <c r="AG1532" s="15"/>
      <c r="AH1532" s="15">
        <f t="shared" si="258"/>
        <v>0</v>
      </c>
      <c r="AI1532" s="22">
        <f t="shared" si="259"/>
        <v>11400</v>
      </c>
      <c r="AJ1532" s="22">
        <f t="shared" si="260"/>
        <v>45600000</v>
      </c>
    </row>
    <row r="1533" spans="1:37" s="165" customFormat="1" hidden="1">
      <c r="A1533" s="165" t="s">
        <v>299</v>
      </c>
      <c r="B1533" s="13">
        <v>43509</v>
      </c>
      <c r="C1533" s="13" t="s">
        <v>23</v>
      </c>
      <c r="D1533" s="165" t="s">
        <v>99</v>
      </c>
      <c r="E1533" s="165" t="s">
        <v>100</v>
      </c>
      <c r="F1533" s="165" t="str">
        <f t="shared" si="256"/>
        <v>YELL_14.16_300_NL2018</v>
      </c>
      <c r="G1533" s="165" t="s">
        <v>89</v>
      </c>
      <c r="H1533" s="12"/>
      <c r="I1533" s="12" t="s">
        <v>47</v>
      </c>
      <c r="J1533" s="14">
        <v>300</v>
      </c>
      <c r="K1533" s="15" t="s">
        <v>28</v>
      </c>
      <c r="L1533" s="15"/>
      <c r="M1533" s="16">
        <f t="shared" si="257"/>
        <v>33</v>
      </c>
      <c r="N1533" s="15">
        <v>9900</v>
      </c>
      <c r="O1533" s="15">
        <v>3800</v>
      </c>
      <c r="P1533" s="15">
        <f t="shared" si="255"/>
        <v>37620000</v>
      </c>
      <c r="Q1533" s="15" t="str">
        <f t="shared" si="231"/>
        <v>Done</v>
      </c>
      <c r="R1533" s="18" t="s">
        <v>44</v>
      </c>
      <c r="S1533" s="23" t="s">
        <v>53</v>
      </c>
      <c r="T1533" s="20">
        <f>IFERROR(VLOOKUP(S1533,'Date Converter'!$A$4:$C$368,3,0),"")</f>
        <v>43559</v>
      </c>
      <c r="U1533" s="21">
        <f t="shared" si="261"/>
        <v>43559</v>
      </c>
      <c r="V1533" s="30" t="s">
        <v>54</v>
      </c>
      <c r="W1533" s="18" t="s">
        <v>101</v>
      </c>
      <c r="X1533" s="18">
        <v>43555</v>
      </c>
      <c r="Y1533" s="15" t="s">
        <v>59</v>
      </c>
      <c r="Z1533" s="206">
        <v>43570</v>
      </c>
      <c r="AA1533" s="15">
        <v>9900</v>
      </c>
      <c r="AB1533" s="206"/>
      <c r="AC1533" s="15"/>
      <c r="AD1533" s="206"/>
      <c r="AE1533" s="15"/>
      <c r="AF1533" s="244"/>
      <c r="AG1533" s="15"/>
      <c r="AH1533" s="15">
        <f t="shared" si="258"/>
        <v>9900</v>
      </c>
      <c r="AI1533" s="22">
        <f t="shared" si="259"/>
        <v>0</v>
      </c>
      <c r="AJ1533" s="22">
        <f t="shared" si="260"/>
        <v>0</v>
      </c>
    </row>
    <row r="1534" spans="1:37" s="165" customFormat="1" hidden="1">
      <c r="A1534" s="165" t="s">
        <v>445</v>
      </c>
      <c r="B1534" s="13">
        <v>43509</v>
      </c>
      <c r="C1534" s="266" t="s">
        <v>23</v>
      </c>
      <c r="D1534" s="258" t="s">
        <v>99</v>
      </c>
      <c r="E1534" s="198" t="s">
        <v>100</v>
      </c>
      <c r="F1534" s="165" t="str">
        <f t="shared" si="256"/>
        <v>ROBI_20.22_125_NL2018</v>
      </c>
      <c r="G1534" s="165" t="s">
        <v>61</v>
      </c>
      <c r="H1534" s="12"/>
      <c r="I1534" s="12" t="s">
        <v>74</v>
      </c>
      <c r="J1534" s="14">
        <v>125</v>
      </c>
      <c r="K1534" s="15" t="s">
        <v>28</v>
      </c>
      <c r="L1534" s="15"/>
      <c r="M1534" s="16">
        <f t="shared" si="257"/>
        <v>120</v>
      </c>
      <c r="N1534" s="15">
        <v>15000</v>
      </c>
      <c r="O1534" s="15">
        <v>10500</v>
      </c>
      <c r="P1534" s="15">
        <f t="shared" si="255"/>
        <v>157500000</v>
      </c>
      <c r="Q1534" s="15" t="str">
        <f t="shared" si="231"/>
        <v/>
      </c>
      <c r="R1534" s="18" t="s">
        <v>29</v>
      </c>
      <c r="S1534" s="23">
        <v>43709</v>
      </c>
      <c r="T1534" s="20">
        <f>IFERROR(VLOOKUP(S1534,'Date Converter'!$A$4:$C$368,3,0),"")</f>
        <v>43737</v>
      </c>
      <c r="U1534" s="21">
        <f t="shared" si="261"/>
        <v>43737</v>
      </c>
      <c r="V1534" s="30" t="s">
        <v>51</v>
      </c>
      <c r="W1534" s="18"/>
      <c r="X1534" s="18"/>
      <c r="Y1534" s="15"/>
      <c r="Z1534" s="206"/>
      <c r="AA1534" s="15">
        <v>0</v>
      </c>
      <c r="AB1534" s="206"/>
      <c r="AC1534" s="15"/>
      <c r="AD1534" s="206"/>
      <c r="AE1534" s="15"/>
      <c r="AF1534" s="244"/>
      <c r="AG1534" s="15"/>
      <c r="AH1534" s="15">
        <f t="shared" si="258"/>
        <v>0</v>
      </c>
      <c r="AI1534" s="22">
        <f t="shared" si="259"/>
        <v>15000</v>
      </c>
      <c r="AJ1534" s="22">
        <f t="shared" si="260"/>
        <v>157500000</v>
      </c>
    </row>
    <row r="1535" spans="1:37" s="165" customFormat="1" hidden="1">
      <c r="A1535" s="165" t="s">
        <v>299</v>
      </c>
      <c r="B1535" s="13">
        <v>43509</v>
      </c>
      <c r="C1535" s="13" t="s">
        <v>23</v>
      </c>
      <c r="D1535" s="165" t="s">
        <v>99</v>
      </c>
      <c r="E1535" s="165" t="s">
        <v>100</v>
      </c>
      <c r="F1535" s="165" t="str">
        <f t="shared" si="256"/>
        <v>ROBI_18.20_150_NL2018</v>
      </c>
      <c r="G1535" s="165" t="s">
        <v>61</v>
      </c>
      <c r="H1535" s="12"/>
      <c r="I1535" s="12" t="s">
        <v>27</v>
      </c>
      <c r="J1535" s="14">
        <v>150</v>
      </c>
      <c r="K1535" s="15" t="s">
        <v>28</v>
      </c>
      <c r="L1535" s="15"/>
      <c r="M1535" s="16">
        <f t="shared" si="257"/>
        <v>67</v>
      </c>
      <c r="N1535" s="15">
        <f>13050-3000</f>
        <v>10050</v>
      </c>
      <c r="O1535" s="15">
        <v>6500</v>
      </c>
      <c r="P1535" s="15">
        <f t="shared" si="255"/>
        <v>65325000</v>
      </c>
      <c r="Q1535" s="15" t="str">
        <f t="shared" si="231"/>
        <v>Done</v>
      </c>
      <c r="R1535" s="18" t="s">
        <v>44</v>
      </c>
      <c r="S1535" s="23">
        <v>43539</v>
      </c>
      <c r="T1535" s="20">
        <f>IFERROR(VLOOKUP(S1535,'Date Converter'!$A$4:$C$368,3,0),"")</f>
        <v>43574</v>
      </c>
      <c r="U1535" s="21">
        <f t="shared" si="261"/>
        <v>43574</v>
      </c>
      <c r="V1535" s="12" t="s">
        <v>57</v>
      </c>
      <c r="W1535" s="18"/>
      <c r="X1535" s="18"/>
      <c r="Y1535" s="15"/>
      <c r="Z1535" s="206">
        <v>43578</v>
      </c>
      <c r="AA1535" s="15">
        <v>10050</v>
      </c>
      <c r="AB1535" s="206"/>
      <c r="AC1535" s="15"/>
      <c r="AD1535" s="206"/>
      <c r="AE1535" s="15"/>
      <c r="AF1535" s="244"/>
      <c r="AG1535" s="15"/>
      <c r="AH1535" s="15">
        <f t="shared" si="258"/>
        <v>10050</v>
      </c>
      <c r="AI1535" s="22">
        <f t="shared" si="259"/>
        <v>0</v>
      </c>
      <c r="AJ1535" s="22">
        <f t="shared" si="260"/>
        <v>0</v>
      </c>
    </row>
    <row r="1536" spans="1:37" s="165" customFormat="1" hidden="1">
      <c r="A1536" s="165" t="s">
        <v>299</v>
      </c>
      <c r="B1536" s="13">
        <v>43509</v>
      </c>
      <c r="C1536" s="13" t="s">
        <v>23</v>
      </c>
      <c r="D1536" s="165" t="s">
        <v>99</v>
      </c>
      <c r="E1536" s="165" t="s">
        <v>100</v>
      </c>
      <c r="F1536" s="165" t="str">
        <f t="shared" si="256"/>
        <v>ROBI_18.20_150_NL2018</v>
      </c>
      <c r="G1536" s="165" t="s">
        <v>61</v>
      </c>
      <c r="H1536" s="12"/>
      <c r="I1536" s="12" t="s">
        <v>27</v>
      </c>
      <c r="J1536" s="14">
        <v>150</v>
      </c>
      <c r="K1536" s="15" t="s">
        <v>28</v>
      </c>
      <c r="L1536" s="15"/>
      <c r="M1536" s="16">
        <f t="shared" si="257"/>
        <v>67</v>
      </c>
      <c r="N1536" s="15">
        <f>13050-3000</f>
        <v>10050</v>
      </c>
      <c r="O1536" s="15">
        <v>6500</v>
      </c>
      <c r="P1536" s="15">
        <f t="shared" si="255"/>
        <v>65325000</v>
      </c>
      <c r="Q1536" s="15" t="str">
        <f t="shared" si="231"/>
        <v>Done</v>
      </c>
      <c r="R1536" s="18" t="s">
        <v>44</v>
      </c>
      <c r="S1536" s="23">
        <v>43572</v>
      </c>
      <c r="T1536" s="20">
        <f>IFERROR(VLOOKUP(S1536,'Date Converter'!$A$4:$C$368,3,0),"")</f>
        <v>43606</v>
      </c>
      <c r="U1536" s="21">
        <f t="shared" si="261"/>
        <v>43606</v>
      </c>
      <c r="V1536" s="12"/>
      <c r="W1536" s="18"/>
      <c r="X1536" s="18"/>
      <c r="Y1536" s="15"/>
      <c r="Z1536" s="206">
        <v>43604</v>
      </c>
      <c r="AA1536" s="15">
        <v>10050</v>
      </c>
      <c r="AB1536" s="206"/>
      <c r="AC1536" s="15"/>
      <c r="AD1536" s="206"/>
      <c r="AE1536" s="15"/>
      <c r="AF1536" s="244"/>
      <c r="AG1536" s="15"/>
      <c r="AH1536" s="15">
        <f t="shared" si="258"/>
        <v>10050</v>
      </c>
      <c r="AI1536" s="22">
        <f t="shared" si="259"/>
        <v>0</v>
      </c>
      <c r="AJ1536" s="22">
        <f t="shared" si="260"/>
        <v>0</v>
      </c>
    </row>
    <row r="1537" spans="1:37" s="165" customFormat="1" hidden="1">
      <c r="A1537" s="165" t="s">
        <v>445</v>
      </c>
      <c r="B1537" s="13">
        <v>43509</v>
      </c>
      <c r="C1537" s="266" t="s">
        <v>23</v>
      </c>
      <c r="D1537" s="258" t="s">
        <v>99</v>
      </c>
      <c r="E1537" s="198" t="s">
        <v>100</v>
      </c>
      <c r="F1537" s="165" t="str">
        <f t="shared" si="256"/>
        <v>CONC_20.22_125_NL2018</v>
      </c>
      <c r="G1537" s="165" t="s">
        <v>40</v>
      </c>
      <c r="H1537" s="12"/>
      <c r="I1537" s="12" t="s">
        <v>74</v>
      </c>
      <c r="J1537" s="14">
        <v>125</v>
      </c>
      <c r="K1537" s="15" t="s">
        <v>28</v>
      </c>
      <c r="L1537" s="15"/>
      <c r="M1537" s="16">
        <f t="shared" si="257"/>
        <v>120</v>
      </c>
      <c r="N1537" s="15">
        <v>15000</v>
      </c>
      <c r="O1537" s="15">
        <v>10500</v>
      </c>
      <c r="P1537" s="15">
        <f t="shared" si="255"/>
        <v>157500000</v>
      </c>
      <c r="Q1537" s="15" t="str">
        <f t="shared" si="231"/>
        <v/>
      </c>
      <c r="R1537" s="18" t="s">
        <v>29</v>
      </c>
      <c r="S1537" s="23">
        <v>43709</v>
      </c>
      <c r="T1537" s="20">
        <f>IFERROR(VLOOKUP(S1537,'Date Converter'!$A$4:$C$368,3,0),"")</f>
        <v>43737</v>
      </c>
      <c r="U1537" s="21">
        <f t="shared" si="261"/>
        <v>43737</v>
      </c>
      <c r="V1537" s="30" t="s">
        <v>51</v>
      </c>
      <c r="W1537" s="18"/>
      <c r="X1537" s="18"/>
      <c r="Y1537" s="15"/>
      <c r="Z1537" s="206"/>
      <c r="AA1537" s="15">
        <v>0</v>
      </c>
      <c r="AB1537" s="206"/>
      <c r="AC1537" s="15"/>
      <c r="AD1537" s="206"/>
      <c r="AE1537" s="15"/>
      <c r="AF1537" s="244"/>
      <c r="AG1537" s="15"/>
      <c r="AH1537" s="15">
        <f t="shared" si="258"/>
        <v>0</v>
      </c>
      <c r="AI1537" s="22">
        <f t="shared" si="259"/>
        <v>15000</v>
      </c>
      <c r="AJ1537" s="22">
        <f t="shared" si="260"/>
        <v>157500000</v>
      </c>
    </row>
    <row r="1538" spans="1:37" s="165" customFormat="1" hidden="1">
      <c r="A1538" s="165" t="s">
        <v>299</v>
      </c>
      <c r="B1538" s="13">
        <v>43579</v>
      </c>
      <c r="C1538" s="13" t="s">
        <v>23</v>
      </c>
      <c r="D1538" s="165" t="s">
        <v>99</v>
      </c>
      <c r="E1538" s="165" t="s">
        <v>100</v>
      </c>
      <c r="F1538" s="165" t="str">
        <f t="shared" si="256"/>
        <v>CONC_16.18_200_NL2018</v>
      </c>
      <c r="G1538" s="165" t="s">
        <v>40</v>
      </c>
      <c r="H1538" s="12"/>
      <c r="I1538" s="12" t="s">
        <v>35</v>
      </c>
      <c r="J1538" s="14">
        <v>200</v>
      </c>
      <c r="K1538" s="15" t="s">
        <v>28</v>
      </c>
      <c r="L1538" s="15"/>
      <c r="M1538" s="16">
        <f t="shared" si="257"/>
        <v>1</v>
      </c>
      <c r="N1538" s="15">
        <v>200</v>
      </c>
      <c r="O1538" s="15">
        <v>6300</v>
      </c>
      <c r="P1538" s="15">
        <f t="shared" si="255"/>
        <v>1260000</v>
      </c>
      <c r="Q1538" s="15" t="str">
        <f t="shared" si="231"/>
        <v>Done</v>
      </c>
      <c r="R1538" s="18" t="s">
        <v>44</v>
      </c>
      <c r="S1538" s="23">
        <v>43539</v>
      </c>
      <c r="T1538" s="20">
        <f>IFERROR(VLOOKUP(S1538,'Date Converter'!$A$4:$C$368,3,0),"")</f>
        <v>43574</v>
      </c>
      <c r="U1538" s="21">
        <f t="shared" si="261"/>
        <v>43574</v>
      </c>
      <c r="V1538" s="12" t="s">
        <v>57</v>
      </c>
      <c r="W1538" s="18"/>
      <c r="X1538" s="18"/>
      <c r="Y1538" s="15"/>
      <c r="Z1538" s="206">
        <v>43579</v>
      </c>
      <c r="AA1538" s="15">
        <v>200</v>
      </c>
      <c r="AB1538" s="206"/>
      <c r="AC1538" s="15"/>
      <c r="AD1538" s="206"/>
      <c r="AE1538" s="15"/>
      <c r="AF1538" s="244"/>
      <c r="AG1538" s="15"/>
      <c r="AH1538" s="15">
        <f t="shared" si="258"/>
        <v>200</v>
      </c>
      <c r="AI1538" s="22">
        <f t="shared" si="259"/>
        <v>0</v>
      </c>
      <c r="AJ1538" s="22">
        <f t="shared" si="260"/>
        <v>0</v>
      </c>
    </row>
    <row r="1539" spans="1:37" s="165" customFormat="1" hidden="1">
      <c r="A1539" s="165" t="s">
        <v>299</v>
      </c>
      <c r="B1539" s="13">
        <v>43609</v>
      </c>
      <c r="C1539" s="13" t="s">
        <v>23</v>
      </c>
      <c r="D1539" s="165" t="s">
        <v>99</v>
      </c>
      <c r="E1539" s="198" t="s">
        <v>100</v>
      </c>
      <c r="F1539" s="165" t="str">
        <f t="shared" si="256"/>
        <v>BACA_15.16_300_NL2018</v>
      </c>
      <c r="G1539" s="165" t="s">
        <v>67</v>
      </c>
      <c r="H1539" s="12"/>
      <c r="I1539" s="12" t="s">
        <v>77</v>
      </c>
      <c r="J1539" s="14">
        <v>300</v>
      </c>
      <c r="K1539" s="15" t="s">
        <v>28</v>
      </c>
      <c r="L1539" s="15"/>
      <c r="M1539" s="16">
        <f t="shared" si="257"/>
        <v>30</v>
      </c>
      <c r="N1539" s="15">
        <v>9000</v>
      </c>
      <c r="O1539" s="15">
        <v>4500</v>
      </c>
      <c r="P1539" s="15">
        <f t="shared" si="255"/>
        <v>40500000</v>
      </c>
      <c r="Q1539" s="15" t="str">
        <f t="shared" ref="Q1539:Q1602" si="262">IF(AND(N1539=0,AI1539=0),"Canceled",IF(AND(N1539&gt;0,AI1539=0),"Done",""))</f>
        <v>Done</v>
      </c>
      <c r="R1539" s="18" t="s">
        <v>44</v>
      </c>
      <c r="S1539" s="23">
        <v>43539</v>
      </c>
      <c r="T1539" s="20">
        <f>IFERROR(VLOOKUP(S1539,'Date Converter'!$A$4:$C$368,3,0),"")</f>
        <v>43574</v>
      </c>
      <c r="U1539" s="21">
        <f t="shared" si="261"/>
        <v>43574</v>
      </c>
      <c r="V1539" s="12"/>
      <c r="W1539" s="18"/>
      <c r="X1539" s="18"/>
      <c r="Y1539" s="15"/>
      <c r="Z1539" s="206">
        <v>43633</v>
      </c>
      <c r="AA1539" s="15">
        <v>9000</v>
      </c>
      <c r="AB1539" s="206"/>
      <c r="AC1539" s="15"/>
      <c r="AD1539" s="206"/>
      <c r="AE1539" s="15"/>
      <c r="AF1539" s="244"/>
      <c r="AG1539" s="15"/>
      <c r="AH1539" s="15">
        <f t="shared" si="258"/>
        <v>9000</v>
      </c>
      <c r="AI1539" s="22">
        <f t="shared" si="259"/>
        <v>0</v>
      </c>
      <c r="AJ1539" s="22">
        <f t="shared" si="260"/>
        <v>0</v>
      </c>
    </row>
    <row r="1540" spans="1:37" s="165" customFormat="1" hidden="1">
      <c r="A1540" s="165" t="s">
        <v>318</v>
      </c>
      <c r="B1540" s="13">
        <v>43535</v>
      </c>
      <c r="C1540" s="13" t="s">
        <v>23</v>
      </c>
      <c r="D1540" s="165" t="s">
        <v>183</v>
      </c>
      <c r="E1540" s="198" t="s">
        <v>956</v>
      </c>
      <c r="F1540" s="165" t="str">
        <f t="shared" si="256"/>
        <v>YELL_14.16_300_NL2018</v>
      </c>
      <c r="G1540" s="165" t="s">
        <v>89</v>
      </c>
      <c r="H1540" s="12"/>
      <c r="I1540" s="12" t="s">
        <v>47</v>
      </c>
      <c r="J1540" s="14">
        <v>300</v>
      </c>
      <c r="K1540" s="15" t="s">
        <v>28</v>
      </c>
      <c r="L1540" s="15"/>
      <c r="M1540" s="16">
        <f t="shared" si="257"/>
        <v>0</v>
      </c>
      <c r="N1540" s="15">
        <f>3000-3000</f>
        <v>0</v>
      </c>
      <c r="O1540" s="15">
        <v>3800</v>
      </c>
      <c r="P1540" s="15">
        <f t="shared" si="255"/>
        <v>0</v>
      </c>
      <c r="Q1540" s="15" t="str">
        <f t="shared" si="262"/>
        <v>Canceled</v>
      </c>
      <c r="R1540" s="18" t="s">
        <v>71</v>
      </c>
      <c r="S1540" s="23">
        <v>43572</v>
      </c>
      <c r="T1540" s="20">
        <f>IFERROR(VLOOKUP(S1540,'Date Converter'!$A$4:$C$368,3,0),"")</f>
        <v>43606</v>
      </c>
      <c r="U1540" s="21">
        <f t="shared" si="261"/>
        <v>43606</v>
      </c>
      <c r="V1540" s="12" t="s">
        <v>186</v>
      </c>
      <c r="W1540" s="18"/>
      <c r="X1540" s="18"/>
      <c r="Y1540" s="15"/>
      <c r="Z1540" s="206"/>
      <c r="AA1540" s="15">
        <v>0</v>
      </c>
      <c r="AB1540" s="206"/>
      <c r="AC1540" s="15"/>
      <c r="AD1540" s="206"/>
      <c r="AE1540" s="15"/>
      <c r="AF1540" s="244"/>
      <c r="AG1540" s="15"/>
      <c r="AH1540" s="15">
        <f t="shared" si="258"/>
        <v>0</v>
      </c>
      <c r="AI1540" s="22">
        <f t="shared" si="259"/>
        <v>0</v>
      </c>
      <c r="AJ1540" s="22">
        <f t="shared" si="260"/>
        <v>0</v>
      </c>
    </row>
    <row r="1541" spans="1:37" s="165" customFormat="1" hidden="1">
      <c r="A1541" s="165" t="s">
        <v>317</v>
      </c>
      <c r="B1541" s="13">
        <v>43514</v>
      </c>
      <c r="C1541" s="13" t="s">
        <v>23</v>
      </c>
      <c r="D1541" s="165" t="s">
        <v>183</v>
      </c>
      <c r="E1541" s="198" t="s">
        <v>956</v>
      </c>
      <c r="F1541" s="165" t="str">
        <f t="shared" si="256"/>
        <v>YELL_16.18_200_NL2018</v>
      </c>
      <c r="G1541" s="165" t="s">
        <v>89</v>
      </c>
      <c r="H1541" s="12"/>
      <c r="I1541" s="12" t="s">
        <v>35</v>
      </c>
      <c r="J1541" s="14">
        <v>200</v>
      </c>
      <c r="K1541" s="15" t="s">
        <v>28</v>
      </c>
      <c r="L1541" s="15"/>
      <c r="M1541" s="16">
        <f t="shared" si="257"/>
        <v>25</v>
      </c>
      <c r="N1541" s="15">
        <v>5000</v>
      </c>
      <c r="O1541" s="15">
        <v>5000</v>
      </c>
      <c r="P1541" s="15">
        <f t="shared" si="255"/>
        <v>25000000</v>
      </c>
      <c r="Q1541" s="15" t="str">
        <f t="shared" si="262"/>
        <v>Done</v>
      </c>
      <c r="R1541" s="18" t="s">
        <v>44</v>
      </c>
      <c r="S1541" s="23">
        <v>43480</v>
      </c>
      <c r="T1541" s="20">
        <f>IFERROR(VLOOKUP(S1541,'Date Converter'!$A$4:$C$368,3,0),"")</f>
        <v>43515</v>
      </c>
      <c r="U1541" s="21">
        <f t="shared" si="261"/>
        <v>43515</v>
      </c>
      <c r="V1541" s="20" t="s">
        <v>45</v>
      </c>
      <c r="W1541" s="18"/>
      <c r="X1541" s="18"/>
      <c r="Y1541" s="15" t="s">
        <v>59</v>
      </c>
      <c r="Z1541" s="206">
        <v>43543</v>
      </c>
      <c r="AA1541" s="15">
        <v>5000</v>
      </c>
      <c r="AB1541" s="206"/>
      <c r="AC1541" s="15"/>
      <c r="AD1541" s="206"/>
      <c r="AE1541" s="15"/>
      <c r="AF1541" s="244"/>
      <c r="AG1541" s="15"/>
      <c r="AH1541" s="15">
        <f t="shared" si="258"/>
        <v>5000</v>
      </c>
      <c r="AI1541" s="22">
        <f t="shared" si="259"/>
        <v>0</v>
      </c>
      <c r="AJ1541" s="22">
        <f t="shared" si="260"/>
        <v>0</v>
      </c>
    </row>
    <row r="1542" spans="1:37" s="165" customFormat="1" hidden="1">
      <c r="A1542" s="165" t="s">
        <v>318</v>
      </c>
      <c r="B1542" s="13">
        <v>43535</v>
      </c>
      <c r="C1542" s="13" t="s">
        <v>23</v>
      </c>
      <c r="D1542" s="165" t="s">
        <v>183</v>
      </c>
      <c r="E1542" s="198" t="s">
        <v>956</v>
      </c>
      <c r="F1542" s="165" t="str">
        <f t="shared" si="256"/>
        <v>TEBA_14.16_300_NL2018</v>
      </c>
      <c r="G1542" s="165" t="s">
        <v>127</v>
      </c>
      <c r="H1542" s="12"/>
      <c r="I1542" s="12" t="s">
        <v>47</v>
      </c>
      <c r="J1542" s="14">
        <v>300</v>
      </c>
      <c r="K1542" s="15" t="s">
        <v>28</v>
      </c>
      <c r="L1542" s="15"/>
      <c r="M1542" s="16">
        <f t="shared" si="257"/>
        <v>0</v>
      </c>
      <c r="N1542" s="15">
        <f>3000-3000</f>
        <v>0</v>
      </c>
      <c r="O1542" s="15">
        <v>4200</v>
      </c>
      <c r="P1542" s="15">
        <f t="shared" si="255"/>
        <v>0</v>
      </c>
      <c r="Q1542" s="15" t="str">
        <f t="shared" si="262"/>
        <v>Canceled</v>
      </c>
      <c r="R1542" s="18" t="s">
        <v>71</v>
      </c>
      <c r="S1542" s="23">
        <v>43572</v>
      </c>
      <c r="T1542" s="20">
        <f>IFERROR(VLOOKUP(S1542,'Date Converter'!$A$4:$C$368,3,0),"")</f>
        <v>43606</v>
      </c>
      <c r="U1542" s="21">
        <f t="shared" si="261"/>
        <v>43606</v>
      </c>
      <c r="V1542" s="12" t="s">
        <v>186</v>
      </c>
      <c r="W1542" s="18"/>
      <c r="X1542" s="18"/>
      <c r="Y1542" s="15"/>
      <c r="Z1542" s="206"/>
      <c r="AA1542" s="15">
        <v>0</v>
      </c>
      <c r="AB1542" s="206"/>
      <c r="AC1542" s="15"/>
      <c r="AD1542" s="206"/>
      <c r="AE1542" s="15"/>
      <c r="AF1542" s="244"/>
      <c r="AG1542" s="15"/>
      <c r="AH1542" s="15">
        <f t="shared" si="258"/>
        <v>0</v>
      </c>
      <c r="AI1542" s="22">
        <f t="shared" si="259"/>
        <v>0</v>
      </c>
      <c r="AJ1542" s="22">
        <f t="shared" si="260"/>
        <v>0</v>
      </c>
    </row>
    <row r="1543" spans="1:37" s="165" customFormat="1" hidden="1">
      <c r="A1543" s="165" t="s">
        <v>316</v>
      </c>
      <c r="B1543" s="13">
        <v>43535</v>
      </c>
      <c r="C1543" s="266" t="s">
        <v>23</v>
      </c>
      <c r="D1543" s="258" t="s">
        <v>183</v>
      </c>
      <c r="E1543" s="198" t="s">
        <v>956</v>
      </c>
      <c r="F1543" s="165" t="str">
        <f t="shared" si="256"/>
        <v>MANI_24+_75_NL2018</v>
      </c>
      <c r="G1543" s="165" t="s">
        <v>105</v>
      </c>
      <c r="H1543" s="12"/>
      <c r="I1543" s="12" t="s">
        <v>185</v>
      </c>
      <c r="J1543" s="14">
        <v>75</v>
      </c>
      <c r="K1543" s="15" t="s">
        <v>28</v>
      </c>
      <c r="L1543" s="15"/>
      <c r="M1543" s="16">
        <f t="shared" si="257"/>
        <v>0</v>
      </c>
      <c r="N1543" s="15">
        <f>20025-5025-15000</f>
        <v>0</v>
      </c>
      <c r="O1543" s="15">
        <v>16000</v>
      </c>
      <c r="P1543" s="15">
        <f t="shared" si="255"/>
        <v>0</v>
      </c>
      <c r="Q1543" s="15" t="str">
        <f t="shared" si="262"/>
        <v>Canceled</v>
      </c>
      <c r="R1543" s="18" t="s">
        <v>71</v>
      </c>
      <c r="S1543" s="23">
        <v>43709</v>
      </c>
      <c r="T1543" s="20">
        <f>IFERROR(VLOOKUP(S1543,'Date Converter'!$A$4:$C$368,3,0),"")</f>
        <v>43737</v>
      </c>
      <c r="U1543" s="21">
        <f t="shared" si="261"/>
        <v>43737</v>
      </c>
      <c r="V1543" s="12" t="s">
        <v>51</v>
      </c>
      <c r="W1543" s="18"/>
      <c r="X1543" s="18"/>
      <c r="Y1543" s="15"/>
      <c r="Z1543" s="206"/>
      <c r="AA1543" s="15">
        <v>0</v>
      </c>
      <c r="AB1543" s="206"/>
      <c r="AC1543" s="15"/>
      <c r="AD1543" s="206"/>
      <c r="AE1543" s="15"/>
      <c r="AF1543" s="244"/>
      <c r="AG1543" s="15"/>
      <c r="AH1543" s="15">
        <f t="shared" si="258"/>
        <v>0</v>
      </c>
      <c r="AI1543" s="22">
        <f t="shared" si="259"/>
        <v>0</v>
      </c>
      <c r="AJ1543" s="22">
        <f t="shared" si="260"/>
        <v>0</v>
      </c>
    </row>
    <row r="1544" spans="1:37" s="165" customFormat="1" hidden="1">
      <c r="A1544" s="165" t="s">
        <v>316</v>
      </c>
      <c r="B1544" s="13">
        <v>43535</v>
      </c>
      <c r="C1544" s="266" t="s">
        <v>23</v>
      </c>
      <c r="D1544" s="258" t="s">
        <v>183</v>
      </c>
      <c r="E1544" s="198" t="s">
        <v>956</v>
      </c>
      <c r="F1544" s="165" t="str">
        <f t="shared" si="256"/>
        <v>DALI_20.22_125_NL2018</v>
      </c>
      <c r="G1544" s="165" t="s">
        <v>46</v>
      </c>
      <c r="H1544" s="12"/>
      <c r="I1544" s="12" t="s">
        <v>74</v>
      </c>
      <c r="J1544" s="14">
        <v>125</v>
      </c>
      <c r="K1544" s="15" t="s">
        <v>28</v>
      </c>
      <c r="L1544" s="15"/>
      <c r="M1544" s="16">
        <f t="shared" si="257"/>
        <v>0</v>
      </c>
      <c r="N1544" s="15">
        <f>10000-10000</f>
        <v>0</v>
      </c>
      <c r="O1544" s="15">
        <v>14200</v>
      </c>
      <c r="P1544" s="15">
        <f t="shared" si="255"/>
        <v>0</v>
      </c>
      <c r="Q1544" s="15" t="str">
        <f t="shared" si="262"/>
        <v>Canceled</v>
      </c>
      <c r="R1544" s="18" t="s">
        <v>71</v>
      </c>
      <c r="S1544" s="23">
        <v>43709</v>
      </c>
      <c r="T1544" s="20">
        <f>IFERROR(VLOOKUP(S1544,'Date Converter'!$A$4:$C$368,3,0),"")</f>
        <v>43737</v>
      </c>
      <c r="U1544" s="21">
        <f t="shared" si="261"/>
        <v>43737</v>
      </c>
      <c r="V1544" s="12" t="s">
        <v>51</v>
      </c>
      <c r="W1544" s="18"/>
      <c r="X1544" s="18"/>
      <c r="Y1544" s="15"/>
      <c r="Z1544" s="206"/>
      <c r="AA1544" s="15">
        <v>0</v>
      </c>
      <c r="AB1544" s="206"/>
      <c r="AC1544" s="15"/>
      <c r="AD1544" s="206"/>
      <c r="AE1544" s="15"/>
      <c r="AF1544" s="244"/>
      <c r="AG1544" s="15"/>
      <c r="AH1544" s="15">
        <f t="shared" si="258"/>
        <v>0</v>
      </c>
      <c r="AI1544" s="22">
        <f t="shared" si="259"/>
        <v>0</v>
      </c>
      <c r="AJ1544" s="22">
        <f t="shared" si="260"/>
        <v>0</v>
      </c>
    </row>
    <row r="1545" spans="1:37" s="165" customFormat="1" hidden="1">
      <c r="A1545" s="165" t="s">
        <v>316</v>
      </c>
      <c r="B1545" s="13">
        <v>43535</v>
      </c>
      <c r="C1545" s="266" t="s">
        <v>23</v>
      </c>
      <c r="D1545" s="258" t="s">
        <v>183</v>
      </c>
      <c r="E1545" s="198" t="s">
        <v>956</v>
      </c>
      <c r="F1545" s="165" t="str">
        <f t="shared" si="256"/>
        <v>CONC_20.22_125_NL2018</v>
      </c>
      <c r="G1545" s="165" t="s">
        <v>40</v>
      </c>
      <c r="H1545" s="12"/>
      <c r="I1545" s="12" t="s">
        <v>74</v>
      </c>
      <c r="J1545" s="14">
        <v>125</v>
      </c>
      <c r="K1545" s="15" t="s">
        <v>28</v>
      </c>
      <c r="L1545" s="15"/>
      <c r="M1545" s="16">
        <f t="shared" si="257"/>
        <v>0</v>
      </c>
      <c r="N1545" s="15">
        <f>5000-5000</f>
        <v>0</v>
      </c>
      <c r="O1545" s="15">
        <v>10500</v>
      </c>
      <c r="P1545" s="15">
        <f t="shared" si="255"/>
        <v>0</v>
      </c>
      <c r="Q1545" s="15" t="str">
        <f t="shared" si="262"/>
        <v>Canceled</v>
      </c>
      <c r="R1545" s="18" t="s">
        <v>71</v>
      </c>
      <c r="S1545" s="23">
        <v>43709</v>
      </c>
      <c r="T1545" s="20">
        <f>IFERROR(VLOOKUP(S1545,'Date Converter'!$A$4:$C$368,3,0),"")</f>
        <v>43737</v>
      </c>
      <c r="U1545" s="21">
        <f t="shared" si="261"/>
        <v>43737</v>
      </c>
      <c r="V1545" s="12" t="s">
        <v>51</v>
      </c>
      <c r="W1545" s="18"/>
      <c r="X1545" s="18"/>
      <c r="Y1545" s="15"/>
      <c r="Z1545" s="206"/>
      <c r="AA1545" s="15">
        <v>0</v>
      </c>
      <c r="AB1545" s="206"/>
      <c r="AC1545" s="15"/>
      <c r="AD1545" s="206"/>
      <c r="AE1545" s="15"/>
      <c r="AF1545" s="244"/>
      <c r="AG1545" s="15"/>
      <c r="AH1545" s="15">
        <f t="shared" si="258"/>
        <v>0</v>
      </c>
      <c r="AI1545" s="22">
        <f t="shared" si="259"/>
        <v>0</v>
      </c>
      <c r="AJ1545" s="22">
        <f t="shared" si="260"/>
        <v>0</v>
      </c>
    </row>
    <row r="1546" spans="1:37" s="165" customFormat="1" hidden="1">
      <c r="A1546" s="165" t="s">
        <v>481</v>
      </c>
      <c r="B1546" s="13">
        <v>43550</v>
      </c>
      <c r="C1546" s="266" t="s">
        <v>23</v>
      </c>
      <c r="D1546" s="258" t="s">
        <v>895</v>
      </c>
      <c r="E1546" s="249" t="s">
        <v>477</v>
      </c>
      <c r="F1546" s="165" t="str">
        <f t="shared" si="256"/>
        <v>ROBI_22.24_100_NL2018</v>
      </c>
      <c r="G1546" s="13" t="s">
        <v>61</v>
      </c>
      <c r="H1546" s="12"/>
      <c r="I1546" s="12" t="s">
        <v>78</v>
      </c>
      <c r="J1546" s="31" t="s">
        <v>206</v>
      </c>
      <c r="K1546" s="15" t="s">
        <v>28</v>
      </c>
      <c r="L1546" s="15"/>
      <c r="M1546" s="16">
        <f t="shared" si="257"/>
        <v>60</v>
      </c>
      <c r="N1546" s="15">
        <v>6000</v>
      </c>
      <c r="O1546" s="15">
        <v>12500</v>
      </c>
      <c r="P1546" s="15">
        <f t="shared" si="255"/>
        <v>75000000</v>
      </c>
      <c r="Q1546" s="15" t="str">
        <f t="shared" si="262"/>
        <v/>
      </c>
      <c r="R1546" s="18" t="s">
        <v>29</v>
      </c>
      <c r="S1546" s="23">
        <v>43709</v>
      </c>
      <c r="T1546" s="20">
        <f>IFERROR(VLOOKUP(S1546,'Date Converter'!$A$4:$C$368,3,0),"")</f>
        <v>43737</v>
      </c>
      <c r="U1546" s="21">
        <f t="shared" si="261"/>
        <v>43737</v>
      </c>
      <c r="V1546" s="12" t="s">
        <v>51</v>
      </c>
      <c r="W1546" s="18"/>
      <c r="X1546" s="18"/>
      <c r="Y1546" s="12"/>
      <c r="Z1546" s="206"/>
      <c r="AA1546" s="15"/>
      <c r="AB1546" s="206"/>
      <c r="AC1546" s="12"/>
      <c r="AD1546" s="206"/>
      <c r="AE1546" s="12"/>
      <c r="AF1546" s="245"/>
      <c r="AG1546" s="12"/>
      <c r="AH1546" s="15">
        <f t="shared" si="258"/>
        <v>0</v>
      </c>
      <c r="AI1546" s="22">
        <f t="shared" si="259"/>
        <v>6000</v>
      </c>
      <c r="AJ1546" s="22">
        <f t="shared" si="260"/>
        <v>75000000</v>
      </c>
    </row>
    <row r="1547" spans="1:37" s="165" customFormat="1" hidden="1">
      <c r="A1547" s="165" t="s">
        <v>481</v>
      </c>
      <c r="B1547" s="13">
        <v>43550</v>
      </c>
      <c r="C1547" s="266" t="s">
        <v>23</v>
      </c>
      <c r="D1547" s="258" t="s">
        <v>895</v>
      </c>
      <c r="E1547" s="249" t="s">
        <v>477</v>
      </c>
      <c r="F1547" s="165" t="str">
        <f t="shared" si="256"/>
        <v>CONC_18.20_150_NL2018</v>
      </c>
      <c r="G1547" s="13" t="s">
        <v>40</v>
      </c>
      <c r="H1547" s="12"/>
      <c r="I1547" s="12" t="s">
        <v>27</v>
      </c>
      <c r="J1547" s="31" t="s">
        <v>126</v>
      </c>
      <c r="K1547" s="15" t="s">
        <v>28</v>
      </c>
      <c r="L1547" s="15"/>
      <c r="M1547" s="16">
        <f t="shared" si="257"/>
        <v>14</v>
      </c>
      <c r="N1547" s="15">
        <v>2100</v>
      </c>
      <c r="O1547" s="15">
        <v>7200</v>
      </c>
      <c r="P1547" s="15">
        <f t="shared" si="255"/>
        <v>15120000</v>
      </c>
      <c r="Q1547" s="15" t="str">
        <f t="shared" si="262"/>
        <v/>
      </c>
      <c r="R1547" s="18" t="s">
        <v>29</v>
      </c>
      <c r="S1547" s="23">
        <v>43709</v>
      </c>
      <c r="T1547" s="20">
        <f>IFERROR(VLOOKUP(S1547,'Date Converter'!$A$4:$C$368,3,0),"")</f>
        <v>43737</v>
      </c>
      <c r="U1547" s="21">
        <f t="shared" si="261"/>
        <v>43737</v>
      </c>
      <c r="V1547" s="12" t="s">
        <v>51</v>
      </c>
      <c r="W1547" s="18"/>
      <c r="X1547" s="18"/>
      <c r="Y1547" s="12"/>
      <c r="Z1547" s="206"/>
      <c r="AA1547" s="15"/>
      <c r="AB1547" s="206"/>
      <c r="AC1547" s="12"/>
      <c r="AD1547" s="206"/>
      <c r="AE1547" s="12"/>
      <c r="AF1547" s="245"/>
      <c r="AG1547" s="12"/>
      <c r="AH1547" s="15">
        <f t="shared" si="258"/>
        <v>0</v>
      </c>
      <c r="AI1547" s="22">
        <f t="shared" si="259"/>
        <v>2100</v>
      </c>
      <c r="AJ1547" s="22">
        <f t="shared" si="260"/>
        <v>15120000</v>
      </c>
    </row>
    <row r="1548" spans="1:37" s="165" customFormat="1" hidden="1">
      <c r="A1548" s="165" t="s">
        <v>481</v>
      </c>
      <c r="B1548" s="13">
        <v>43550</v>
      </c>
      <c r="C1548" s="266" t="s">
        <v>23</v>
      </c>
      <c r="D1548" s="258" t="s">
        <v>895</v>
      </c>
      <c r="E1548" s="249" t="s">
        <v>477</v>
      </c>
      <c r="F1548" s="165" t="str">
        <f t="shared" si="256"/>
        <v>CONC_20.22_125_NL2018</v>
      </c>
      <c r="G1548" s="13" t="s">
        <v>40</v>
      </c>
      <c r="H1548" s="12"/>
      <c r="I1548" s="12" t="s">
        <v>74</v>
      </c>
      <c r="J1548" s="31" t="s">
        <v>122</v>
      </c>
      <c r="K1548" s="15" t="s">
        <v>28</v>
      </c>
      <c r="L1548" s="15"/>
      <c r="M1548" s="16">
        <f t="shared" si="257"/>
        <v>72</v>
      </c>
      <c r="N1548" s="15">
        <v>9000</v>
      </c>
      <c r="O1548" s="15">
        <v>10500</v>
      </c>
      <c r="P1548" s="15">
        <f t="shared" si="255"/>
        <v>94500000</v>
      </c>
      <c r="Q1548" s="15" t="str">
        <f t="shared" si="262"/>
        <v/>
      </c>
      <c r="R1548" s="18" t="s">
        <v>29</v>
      </c>
      <c r="S1548" s="23">
        <v>43709</v>
      </c>
      <c r="T1548" s="20">
        <f>IFERROR(VLOOKUP(S1548,'Date Converter'!$A$4:$C$368,3,0),"")</f>
        <v>43737</v>
      </c>
      <c r="U1548" s="21">
        <f t="shared" si="261"/>
        <v>43737</v>
      </c>
      <c r="V1548" s="12" t="s">
        <v>51</v>
      </c>
      <c r="W1548" s="18"/>
      <c r="X1548" s="18"/>
      <c r="Y1548" s="12"/>
      <c r="Z1548" s="206"/>
      <c r="AA1548" s="15"/>
      <c r="AB1548" s="206"/>
      <c r="AC1548" s="12"/>
      <c r="AD1548" s="206"/>
      <c r="AE1548" s="12"/>
      <c r="AF1548" s="245"/>
      <c r="AG1548" s="12"/>
      <c r="AH1548" s="15">
        <f t="shared" si="258"/>
        <v>0</v>
      </c>
      <c r="AI1548" s="22">
        <f t="shared" si="259"/>
        <v>9000</v>
      </c>
      <c r="AJ1548" s="22">
        <f t="shared" si="260"/>
        <v>94500000</v>
      </c>
    </row>
    <row r="1549" spans="1:37" s="165" customFormat="1" hidden="1">
      <c r="A1549" s="165" t="s">
        <v>330</v>
      </c>
      <c r="B1549" s="13">
        <v>43595</v>
      </c>
      <c r="C1549" s="13" t="s">
        <v>23</v>
      </c>
      <c r="D1549" s="165" t="s">
        <v>1185</v>
      </c>
      <c r="E1549" s="198" t="s">
        <v>216</v>
      </c>
      <c r="F1549" s="165" t="str">
        <f t="shared" si="256"/>
        <v>YELL_14.16_300_NL2018</v>
      </c>
      <c r="G1549" s="13" t="s">
        <v>89</v>
      </c>
      <c r="H1549" s="12"/>
      <c r="I1549" s="12" t="s">
        <v>47</v>
      </c>
      <c r="J1549" s="14">
        <v>300</v>
      </c>
      <c r="K1549" s="15" t="s">
        <v>28</v>
      </c>
      <c r="L1549" s="15"/>
      <c r="M1549" s="16">
        <f t="shared" si="257"/>
        <v>3</v>
      </c>
      <c r="N1549" s="15">
        <v>900</v>
      </c>
      <c r="O1549" s="15">
        <v>3800</v>
      </c>
      <c r="P1549" s="15">
        <f t="shared" si="255"/>
        <v>3420000</v>
      </c>
      <c r="Q1549" s="15" t="str">
        <f t="shared" si="262"/>
        <v>Done</v>
      </c>
      <c r="R1549" s="18" t="s">
        <v>44</v>
      </c>
      <c r="S1549" s="23">
        <v>43539</v>
      </c>
      <c r="T1549" s="20">
        <f>IFERROR(VLOOKUP(S1549,'Date Converter'!$A$4:$C$368,3,0),"")</f>
        <v>43574</v>
      </c>
      <c r="U1549" s="21">
        <f t="shared" si="261"/>
        <v>43574</v>
      </c>
      <c r="V1549" s="20" t="s">
        <v>1489</v>
      </c>
      <c r="W1549" s="18"/>
      <c r="X1549" s="18"/>
      <c r="Y1549" s="15"/>
      <c r="Z1549" s="206">
        <v>43601</v>
      </c>
      <c r="AA1549" s="15">
        <v>900</v>
      </c>
      <c r="AB1549" s="206"/>
      <c r="AC1549" s="15"/>
      <c r="AD1549" s="206"/>
      <c r="AE1549" s="15"/>
      <c r="AF1549" s="244"/>
      <c r="AG1549" s="15"/>
      <c r="AH1549" s="15">
        <f t="shared" si="258"/>
        <v>900</v>
      </c>
      <c r="AI1549" s="22">
        <f t="shared" si="259"/>
        <v>0</v>
      </c>
      <c r="AJ1549" s="22">
        <f t="shared" si="260"/>
        <v>0</v>
      </c>
    </row>
    <row r="1550" spans="1:37" s="165" customFormat="1" hidden="1">
      <c r="A1550" s="165" t="s">
        <v>330</v>
      </c>
      <c r="B1550" s="13">
        <v>43514</v>
      </c>
      <c r="C1550" s="13" t="s">
        <v>23</v>
      </c>
      <c r="D1550" s="165" t="s">
        <v>1185</v>
      </c>
      <c r="E1550" s="198" t="s">
        <v>216</v>
      </c>
      <c r="F1550" s="165" t="str">
        <f t="shared" si="256"/>
        <v>ROBI_16.18_200_NL2018</v>
      </c>
      <c r="G1550" s="165" t="s">
        <v>61</v>
      </c>
      <c r="H1550" s="12"/>
      <c r="I1550" s="12" t="s">
        <v>35</v>
      </c>
      <c r="J1550" s="14">
        <v>200</v>
      </c>
      <c r="K1550" s="15" t="s">
        <v>28</v>
      </c>
      <c r="L1550" s="15"/>
      <c r="M1550" s="16">
        <f t="shared" si="257"/>
        <v>40</v>
      </c>
      <c r="N1550" s="15">
        <v>8000</v>
      </c>
      <c r="O1550" s="15">
        <f>4800</f>
        <v>4800</v>
      </c>
      <c r="P1550" s="15">
        <f t="shared" si="255"/>
        <v>38400000</v>
      </c>
      <c r="Q1550" s="15" t="str">
        <f t="shared" si="262"/>
        <v>Done</v>
      </c>
      <c r="R1550" s="18" t="s">
        <v>44</v>
      </c>
      <c r="S1550" s="23">
        <v>43539</v>
      </c>
      <c r="T1550" s="20">
        <f>IFERROR(VLOOKUP(S1550,'Date Converter'!$A$4:$C$368,3,0),"")</f>
        <v>43574</v>
      </c>
      <c r="U1550" s="21">
        <f t="shared" si="261"/>
        <v>43574</v>
      </c>
      <c r="V1550" s="20" t="s">
        <v>1489</v>
      </c>
      <c r="W1550" s="18" t="s">
        <v>141</v>
      </c>
      <c r="X1550" s="18">
        <v>43569</v>
      </c>
      <c r="Y1550" s="15" t="s">
        <v>59</v>
      </c>
      <c r="Z1550" s="206">
        <v>43601</v>
      </c>
      <c r="AA1550" s="15">
        <v>8000</v>
      </c>
      <c r="AB1550" s="206"/>
      <c r="AC1550" s="15"/>
      <c r="AD1550" s="206"/>
      <c r="AE1550" s="15"/>
      <c r="AF1550" s="244"/>
      <c r="AG1550" s="15"/>
      <c r="AH1550" s="15">
        <f t="shared" si="258"/>
        <v>8000</v>
      </c>
      <c r="AI1550" s="22">
        <f t="shared" si="259"/>
        <v>0</v>
      </c>
      <c r="AJ1550" s="22">
        <f t="shared" si="260"/>
        <v>0</v>
      </c>
    </row>
    <row r="1551" spans="1:37" s="165" customFormat="1" hidden="1">
      <c r="A1551" s="165" t="s">
        <v>330</v>
      </c>
      <c r="B1551" s="13">
        <v>43514</v>
      </c>
      <c r="C1551" s="13" t="s">
        <v>23</v>
      </c>
      <c r="D1551" s="165" t="s">
        <v>1185</v>
      </c>
      <c r="E1551" s="198" t="s">
        <v>216</v>
      </c>
      <c r="F1551" s="165" t="str">
        <f t="shared" si="256"/>
        <v>ROBI_16.18_200_NL2018</v>
      </c>
      <c r="G1551" s="165" t="s">
        <v>61</v>
      </c>
      <c r="H1551" s="12"/>
      <c r="I1551" s="12" t="s">
        <v>35</v>
      </c>
      <c r="J1551" s="14">
        <v>200</v>
      </c>
      <c r="K1551" s="15" t="s">
        <v>28</v>
      </c>
      <c r="L1551" s="15"/>
      <c r="M1551" s="16">
        <f t="shared" si="257"/>
        <v>25</v>
      </c>
      <c r="N1551" s="262">
        <v>5000</v>
      </c>
      <c r="O1551" s="15">
        <f>4800+277</f>
        <v>5077</v>
      </c>
      <c r="P1551" s="15">
        <f t="shared" si="255"/>
        <v>25385000</v>
      </c>
      <c r="Q1551" s="15" t="str">
        <f t="shared" si="262"/>
        <v/>
      </c>
      <c r="R1551" s="18" t="s">
        <v>63</v>
      </c>
      <c r="S1551" s="19">
        <v>43603</v>
      </c>
      <c r="T1551" s="20">
        <f>IFERROR(VLOOKUP(S1551,'Date Converter'!$A$4:$C$368,3,0),"")</f>
        <v>43636</v>
      </c>
      <c r="U1551" s="21">
        <f t="shared" si="261"/>
        <v>43636</v>
      </c>
      <c r="V1551" s="20" t="s">
        <v>1381</v>
      </c>
      <c r="W1551" s="18"/>
      <c r="X1551" s="18"/>
      <c r="Y1551" s="15" t="s">
        <v>59</v>
      </c>
      <c r="Z1551" s="206"/>
      <c r="AA1551" s="15">
        <v>0</v>
      </c>
      <c r="AB1551" s="206"/>
      <c r="AC1551" s="15"/>
      <c r="AD1551" s="206"/>
      <c r="AE1551" s="15"/>
      <c r="AF1551" s="244"/>
      <c r="AG1551" s="15"/>
      <c r="AH1551" s="15">
        <f t="shared" si="258"/>
        <v>0</v>
      </c>
      <c r="AI1551" s="22">
        <f t="shared" si="259"/>
        <v>5000</v>
      </c>
      <c r="AJ1551" s="22">
        <f t="shared" si="260"/>
        <v>25385000</v>
      </c>
      <c r="AK1551" s="165" t="s">
        <v>1601</v>
      </c>
    </row>
    <row r="1552" spans="1:37" s="165" customFormat="1" hidden="1">
      <c r="A1552" s="165" t="s">
        <v>330</v>
      </c>
      <c r="B1552" s="13">
        <v>43514</v>
      </c>
      <c r="C1552" s="13" t="s">
        <v>23</v>
      </c>
      <c r="D1552" s="165" t="s">
        <v>1185</v>
      </c>
      <c r="E1552" s="198" t="s">
        <v>216</v>
      </c>
      <c r="F1552" s="165" t="str">
        <f t="shared" si="256"/>
        <v>ROBI_16.18_200_NL2018</v>
      </c>
      <c r="G1552" s="165" t="s">
        <v>61</v>
      </c>
      <c r="H1552" s="12"/>
      <c r="I1552" s="12" t="s">
        <v>35</v>
      </c>
      <c r="J1552" s="14">
        <v>200</v>
      </c>
      <c r="K1552" s="15" t="s">
        <v>28</v>
      </c>
      <c r="L1552" s="15"/>
      <c r="M1552" s="16">
        <f t="shared" si="257"/>
        <v>50</v>
      </c>
      <c r="N1552" s="17">
        <v>10000</v>
      </c>
      <c r="O1552" s="15">
        <f>4800+170</f>
        <v>4970</v>
      </c>
      <c r="P1552" s="15">
        <f t="shared" si="255"/>
        <v>49700000</v>
      </c>
      <c r="Q1552" s="15" t="str">
        <f t="shared" si="262"/>
        <v/>
      </c>
      <c r="R1552" s="18" t="s">
        <v>63</v>
      </c>
      <c r="S1552" s="23">
        <v>43572</v>
      </c>
      <c r="T1552" s="20">
        <f>IFERROR(VLOOKUP(S1552,'Date Converter'!$A$4:$C$368,3,0),"")</f>
        <v>43606</v>
      </c>
      <c r="U1552" s="21">
        <f t="shared" si="261"/>
        <v>43606</v>
      </c>
      <c r="V1552" s="20" t="s">
        <v>217</v>
      </c>
      <c r="W1552" s="18"/>
      <c r="X1552" s="18"/>
      <c r="Y1552" s="15" t="s">
        <v>59</v>
      </c>
      <c r="Z1552" s="206">
        <v>43619</v>
      </c>
      <c r="AA1552" s="15">
        <v>6000</v>
      </c>
      <c r="AB1552" s="206">
        <v>43635</v>
      </c>
      <c r="AC1552" s="15">
        <v>2000</v>
      </c>
      <c r="AD1552" s="206"/>
      <c r="AE1552" s="15"/>
      <c r="AF1552" s="244"/>
      <c r="AG1552" s="15"/>
      <c r="AH1552" s="15">
        <f t="shared" si="258"/>
        <v>8000</v>
      </c>
      <c r="AI1552" s="22">
        <f t="shared" si="259"/>
        <v>2000</v>
      </c>
      <c r="AJ1552" s="22">
        <f t="shared" si="260"/>
        <v>9940000</v>
      </c>
      <c r="AK1552" s="165" t="s">
        <v>1603</v>
      </c>
    </row>
    <row r="1553" spans="1:37" s="165" customFormat="1" hidden="1">
      <c r="A1553" s="165" t="s">
        <v>1600</v>
      </c>
      <c r="B1553" s="13">
        <v>43607</v>
      </c>
      <c r="C1553" s="13" t="s">
        <v>23</v>
      </c>
      <c r="D1553" s="165" t="s">
        <v>1185</v>
      </c>
      <c r="E1553" s="198" t="s">
        <v>216</v>
      </c>
      <c r="F1553" s="165" t="str">
        <f t="shared" si="256"/>
        <v>ROBI_16.18_200_NL2018</v>
      </c>
      <c r="G1553" s="165" t="s">
        <v>61</v>
      </c>
      <c r="H1553" s="12"/>
      <c r="I1553" s="12" t="s">
        <v>35</v>
      </c>
      <c r="J1553" s="14">
        <v>200</v>
      </c>
      <c r="K1553" s="15" t="s">
        <v>28</v>
      </c>
      <c r="L1553" s="15"/>
      <c r="M1553" s="16">
        <f t="shared" si="257"/>
        <v>30</v>
      </c>
      <c r="N1553" s="17">
        <v>6000</v>
      </c>
      <c r="O1553" s="15">
        <v>5400</v>
      </c>
      <c r="P1553" s="15">
        <f t="shared" si="255"/>
        <v>32400000</v>
      </c>
      <c r="Q1553" s="15" t="str">
        <f t="shared" si="262"/>
        <v>Done</v>
      </c>
      <c r="R1553" s="18" t="s">
        <v>44</v>
      </c>
      <c r="S1553" s="23">
        <v>43572</v>
      </c>
      <c r="T1553" s="20">
        <f>IFERROR(VLOOKUP(S1553,'Date Converter'!$A$4:$C$368,3,0),"")</f>
        <v>43606</v>
      </c>
      <c r="U1553" s="21">
        <f t="shared" si="261"/>
        <v>43606</v>
      </c>
      <c r="V1553" s="20" t="s">
        <v>217</v>
      </c>
      <c r="W1553" s="18"/>
      <c r="X1553" s="18"/>
      <c r="Y1553" s="15" t="s">
        <v>59</v>
      </c>
      <c r="Z1553" s="206"/>
      <c r="AA1553" s="15"/>
      <c r="AB1553" s="206">
        <v>43619</v>
      </c>
      <c r="AC1553" s="15">
        <v>6000</v>
      </c>
      <c r="AD1553" s="206"/>
      <c r="AE1553" s="15"/>
      <c r="AF1553" s="244"/>
      <c r="AG1553" s="15"/>
      <c r="AH1553" s="15">
        <f t="shared" si="258"/>
        <v>6000</v>
      </c>
      <c r="AI1553" s="22">
        <f t="shared" si="259"/>
        <v>0</v>
      </c>
      <c r="AJ1553" s="22">
        <f t="shared" si="260"/>
        <v>0</v>
      </c>
      <c r="AK1553" s="165" t="s">
        <v>1603</v>
      </c>
    </row>
    <row r="1554" spans="1:37" s="165" customFormat="1" hidden="1">
      <c r="A1554" s="165" t="s">
        <v>330</v>
      </c>
      <c r="B1554" s="13">
        <v>43514</v>
      </c>
      <c r="C1554" s="13" t="s">
        <v>23</v>
      </c>
      <c r="D1554" s="165" t="s">
        <v>1185</v>
      </c>
      <c r="E1554" s="165" t="s">
        <v>216</v>
      </c>
      <c r="F1554" s="165" t="str">
        <f t="shared" si="256"/>
        <v>ROBI_16.18_200_NL2018</v>
      </c>
      <c r="G1554" s="165" t="s">
        <v>61</v>
      </c>
      <c r="H1554" s="12"/>
      <c r="I1554" s="12" t="s">
        <v>35</v>
      </c>
      <c r="J1554" s="14">
        <v>200</v>
      </c>
      <c r="K1554" s="15" t="s">
        <v>28</v>
      </c>
      <c r="L1554" s="15"/>
      <c r="M1554" s="16">
        <f t="shared" si="257"/>
        <v>40</v>
      </c>
      <c r="N1554" s="15">
        <v>8000</v>
      </c>
      <c r="O1554" s="15">
        <v>4800</v>
      </c>
      <c r="P1554" s="15">
        <f t="shared" si="255"/>
        <v>38400000</v>
      </c>
      <c r="Q1554" s="15" t="str">
        <f t="shared" si="262"/>
        <v>Done</v>
      </c>
      <c r="R1554" s="18" t="s">
        <v>44</v>
      </c>
      <c r="S1554" s="23" t="s">
        <v>53</v>
      </c>
      <c r="T1554" s="20">
        <f>IFERROR(VLOOKUP(S1554,'Date Converter'!$A$4:$C$368,3,0),"")</f>
        <v>43559</v>
      </c>
      <c r="U1554" s="21">
        <f t="shared" si="261"/>
        <v>43559</v>
      </c>
      <c r="V1554" s="20" t="s">
        <v>54</v>
      </c>
      <c r="W1554" s="18" t="s">
        <v>82</v>
      </c>
      <c r="X1554" s="18">
        <v>43555</v>
      </c>
      <c r="Y1554" s="15" t="s">
        <v>59</v>
      </c>
      <c r="Z1554" s="206">
        <v>43567</v>
      </c>
      <c r="AA1554" s="15">
        <v>8000</v>
      </c>
      <c r="AB1554" s="206"/>
      <c r="AC1554" s="15"/>
      <c r="AD1554" s="206"/>
      <c r="AE1554" s="15"/>
      <c r="AF1554" s="244"/>
      <c r="AG1554" s="15"/>
      <c r="AH1554" s="15">
        <f t="shared" si="258"/>
        <v>8000</v>
      </c>
      <c r="AI1554" s="22">
        <f t="shared" si="259"/>
        <v>0</v>
      </c>
      <c r="AJ1554" s="22">
        <f t="shared" si="260"/>
        <v>0</v>
      </c>
    </row>
    <row r="1555" spans="1:37" s="165" customFormat="1" hidden="1">
      <c r="A1555" s="165" t="s">
        <v>484</v>
      </c>
      <c r="B1555" s="13">
        <v>43514</v>
      </c>
      <c r="C1555" s="13" t="s">
        <v>23</v>
      </c>
      <c r="D1555" s="165" t="s">
        <v>1185</v>
      </c>
      <c r="E1555" s="198" t="s">
        <v>216</v>
      </c>
      <c r="F1555" s="165" t="str">
        <f t="shared" si="256"/>
        <v>ROBI_18.20_150_NL2018</v>
      </c>
      <c r="G1555" s="165" t="s">
        <v>61</v>
      </c>
      <c r="H1555" s="12"/>
      <c r="I1555" s="12" t="s">
        <v>27</v>
      </c>
      <c r="J1555" s="14">
        <v>150</v>
      </c>
      <c r="K1555" s="15" t="s">
        <v>28</v>
      </c>
      <c r="L1555" s="15"/>
      <c r="M1555" s="16">
        <f t="shared" si="257"/>
        <v>0</v>
      </c>
      <c r="N1555" s="15">
        <f>5100-5100</f>
        <v>0</v>
      </c>
      <c r="O1555" s="15">
        <v>7200</v>
      </c>
      <c r="P1555" s="15">
        <f t="shared" si="255"/>
        <v>0</v>
      </c>
      <c r="Q1555" s="15" t="str">
        <f t="shared" si="262"/>
        <v>Canceled</v>
      </c>
      <c r="R1555" s="18" t="s">
        <v>71</v>
      </c>
      <c r="S1555" s="23">
        <v>43709</v>
      </c>
      <c r="T1555" s="20">
        <f>IFERROR(VLOOKUP(S1555,'Date Converter'!$A$4:$C$368,3,0),"")</f>
        <v>43737</v>
      </c>
      <c r="U1555" s="21">
        <f t="shared" si="261"/>
        <v>43737</v>
      </c>
      <c r="V1555" s="12" t="s">
        <v>51</v>
      </c>
      <c r="W1555" s="18"/>
      <c r="X1555" s="18"/>
      <c r="Y1555" s="15" t="s">
        <v>59</v>
      </c>
      <c r="Z1555" s="206"/>
      <c r="AA1555" s="15">
        <v>0</v>
      </c>
      <c r="AB1555" s="206"/>
      <c r="AC1555" s="15"/>
      <c r="AD1555" s="206"/>
      <c r="AE1555" s="15"/>
      <c r="AF1555" s="244"/>
      <c r="AG1555" s="15"/>
      <c r="AH1555" s="15">
        <f t="shared" si="258"/>
        <v>0</v>
      </c>
      <c r="AI1555" s="22">
        <f t="shared" si="259"/>
        <v>0</v>
      </c>
      <c r="AJ1555" s="22">
        <f t="shared" si="260"/>
        <v>0</v>
      </c>
    </row>
    <row r="1556" spans="1:37" s="165" customFormat="1" hidden="1">
      <c r="A1556" s="165" t="s">
        <v>484</v>
      </c>
      <c r="B1556" s="13">
        <v>43514</v>
      </c>
      <c r="C1556" s="13" t="s">
        <v>23</v>
      </c>
      <c r="D1556" s="258" t="s">
        <v>1185</v>
      </c>
      <c r="E1556" s="198" t="s">
        <v>216</v>
      </c>
      <c r="F1556" s="165" t="str">
        <f t="shared" si="256"/>
        <v>ROBI_22.24_100_NL2018</v>
      </c>
      <c r="G1556" s="165" t="s">
        <v>61</v>
      </c>
      <c r="H1556" s="12"/>
      <c r="I1556" s="12" t="s">
        <v>78</v>
      </c>
      <c r="J1556" s="14">
        <v>100</v>
      </c>
      <c r="K1556" s="15" t="s">
        <v>28</v>
      </c>
      <c r="L1556" s="15"/>
      <c r="M1556" s="16">
        <f t="shared" si="257"/>
        <v>50</v>
      </c>
      <c r="N1556" s="15">
        <v>5000</v>
      </c>
      <c r="O1556" s="15">
        <v>12500</v>
      </c>
      <c r="P1556" s="15">
        <f t="shared" si="255"/>
        <v>62500000</v>
      </c>
      <c r="Q1556" s="15" t="str">
        <f t="shared" si="262"/>
        <v/>
      </c>
      <c r="R1556" s="18" t="s">
        <v>29</v>
      </c>
      <c r="S1556" s="23">
        <v>43709</v>
      </c>
      <c r="T1556" s="20">
        <f>IFERROR(VLOOKUP(S1556,'Date Converter'!$A$4:$C$368,3,0),"")</f>
        <v>43737</v>
      </c>
      <c r="U1556" s="21">
        <f t="shared" si="261"/>
        <v>43737</v>
      </c>
      <c r="V1556" s="12" t="s">
        <v>51</v>
      </c>
      <c r="W1556" s="18"/>
      <c r="X1556" s="18"/>
      <c r="Y1556" s="15" t="s">
        <v>59</v>
      </c>
      <c r="Z1556" s="206"/>
      <c r="AA1556" s="15">
        <v>0</v>
      </c>
      <c r="AB1556" s="206"/>
      <c r="AC1556" s="15"/>
      <c r="AD1556" s="206"/>
      <c r="AE1556" s="15"/>
      <c r="AF1556" s="244"/>
      <c r="AG1556" s="15"/>
      <c r="AH1556" s="15">
        <f t="shared" si="258"/>
        <v>0</v>
      </c>
      <c r="AI1556" s="22">
        <f t="shared" si="259"/>
        <v>5000</v>
      </c>
      <c r="AJ1556" s="22">
        <f t="shared" si="260"/>
        <v>62500000</v>
      </c>
    </row>
    <row r="1557" spans="1:37" s="165" customFormat="1" hidden="1">
      <c r="A1557" s="165" t="s">
        <v>1380</v>
      </c>
      <c r="B1557" s="13">
        <v>43564</v>
      </c>
      <c r="C1557" s="13" t="s">
        <v>23</v>
      </c>
      <c r="D1557" s="165" t="s">
        <v>1185</v>
      </c>
      <c r="E1557" s="165" t="s">
        <v>216</v>
      </c>
      <c r="F1557" s="165" t="str">
        <f t="shared" si="256"/>
        <v>PROF_14.16_300_NL2018</v>
      </c>
      <c r="G1557" s="13" t="s">
        <v>56</v>
      </c>
      <c r="H1557" s="12"/>
      <c r="I1557" s="12" t="s">
        <v>47</v>
      </c>
      <c r="J1557" s="14">
        <v>300</v>
      </c>
      <c r="K1557" s="15" t="s">
        <v>28</v>
      </c>
      <c r="L1557" s="15"/>
      <c r="M1557" s="16">
        <f t="shared" si="257"/>
        <v>8</v>
      </c>
      <c r="N1557" s="15">
        <v>2400</v>
      </c>
      <c r="O1557" s="15">
        <v>5000</v>
      </c>
      <c r="P1557" s="15">
        <f t="shared" si="255"/>
        <v>12000000</v>
      </c>
      <c r="Q1557" s="15" t="str">
        <f t="shared" si="262"/>
        <v>Done</v>
      </c>
      <c r="R1557" s="18" t="s">
        <v>44</v>
      </c>
      <c r="S1557" s="23">
        <v>43539</v>
      </c>
      <c r="T1557" s="20">
        <f>IFERROR(VLOOKUP(S1557,'Date Converter'!$A$4:$C$368,3,0),"")</f>
        <v>43574</v>
      </c>
      <c r="U1557" s="21">
        <f t="shared" si="261"/>
        <v>43574</v>
      </c>
      <c r="V1557" s="20" t="s">
        <v>57</v>
      </c>
      <c r="W1557" s="18"/>
      <c r="X1557" s="18"/>
      <c r="Y1557" s="15"/>
      <c r="Z1557" s="206">
        <v>43581</v>
      </c>
      <c r="AA1557" s="15">
        <v>2400</v>
      </c>
      <c r="AB1557" s="206"/>
      <c r="AC1557" s="15"/>
      <c r="AD1557" s="206"/>
      <c r="AE1557" s="15"/>
      <c r="AF1557" s="244"/>
      <c r="AG1557" s="15"/>
      <c r="AH1557" s="15">
        <f t="shared" si="258"/>
        <v>2400</v>
      </c>
      <c r="AI1557" s="22">
        <f t="shared" si="259"/>
        <v>0</v>
      </c>
      <c r="AJ1557" s="22">
        <f t="shared" si="260"/>
        <v>0</v>
      </c>
    </row>
    <row r="1558" spans="1:37" s="165" customFormat="1" hidden="1">
      <c r="A1558" s="183" t="s">
        <v>330</v>
      </c>
      <c r="B1558" s="188">
        <v>43581</v>
      </c>
      <c r="C1558" s="188" t="s">
        <v>23</v>
      </c>
      <c r="D1558" s="183" t="s">
        <v>1185</v>
      </c>
      <c r="E1558" s="201" t="s">
        <v>216</v>
      </c>
      <c r="F1558" s="183" t="str">
        <f t="shared" si="256"/>
        <v>PROF_14.16_275_NL2018</v>
      </c>
      <c r="G1558" s="188" t="s">
        <v>56</v>
      </c>
      <c r="H1558" s="184"/>
      <c r="I1558" s="184" t="s">
        <v>47</v>
      </c>
      <c r="J1558" s="186">
        <v>275</v>
      </c>
      <c r="K1558" s="185" t="s">
        <v>28</v>
      </c>
      <c r="L1558" s="185"/>
      <c r="M1558" s="187">
        <f t="shared" si="257"/>
        <v>9</v>
      </c>
      <c r="N1558" s="185">
        <v>2475</v>
      </c>
      <c r="O1558" s="185">
        <v>5000</v>
      </c>
      <c r="P1558" s="185">
        <f t="shared" si="255"/>
        <v>12375000</v>
      </c>
      <c r="Q1558" s="15" t="str">
        <f t="shared" si="262"/>
        <v>Done</v>
      </c>
      <c r="R1558" s="189" t="s">
        <v>44</v>
      </c>
      <c r="S1558" s="190">
        <v>43554</v>
      </c>
      <c r="T1558" s="20">
        <f>IFERROR(VLOOKUP(S1558,'Date Converter'!$A$4:$C$368,3,0),"")</f>
        <v>43589</v>
      </c>
      <c r="U1558" s="21">
        <f t="shared" ref="U1558:U1587" si="263">+T1558</f>
        <v>43589</v>
      </c>
      <c r="V1558" s="191" t="s">
        <v>1489</v>
      </c>
      <c r="W1558" s="189"/>
      <c r="X1558" s="189"/>
      <c r="Y1558" s="185"/>
      <c r="Z1558" s="207">
        <v>43601</v>
      </c>
      <c r="AA1558" s="185">
        <v>2475</v>
      </c>
      <c r="AB1558" s="206"/>
      <c r="AC1558" s="185"/>
      <c r="AD1558" s="206"/>
      <c r="AE1558" s="185"/>
      <c r="AF1558" s="246"/>
      <c r="AG1558" s="185"/>
      <c r="AH1558" s="15">
        <f t="shared" si="258"/>
        <v>2475</v>
      </c>
      <c r="AI1558" s="22">
        <f t="shared" si="259"/>
        <v>0</v>
      </c>
      <c r="AJ1558" s="22">
        <f t="shared" si="260"/>
        <v>0</v>
      </c>
      <c r="AK1558" s="183"/>
    </row>
    <row r="1559" spans="1:37" s="165" customFormat="1" hidden="1">
      <c r="A1559" s="183" t="s">
        <v>330</v>
      </c>
      <c r="B1559" s="188">
        <v>43581</v>
      </c>
      <c r="C1559" s="188" t="s">
        <v>23</v>
      </c>
      <c r="D1559" s="183" t="s">
        <v>1185</v>
      </c>
      <c r="E1559" s="201" t="s">
        <v>216</v>
      </c>
      <c r="F1559" s="183" t="str">
        <f t="shared" si="256"/>
        <v>PROF_14.16_300_NL2018</v>
      </c>
      <c r="G1559" s="188" t="s">
        <v>56</v>
      </c>
      <c r="H1559" s="184"/>
      <c r="I1559" s="184" t="s">
        <v>47</v>
      </c>
      <c r="J1559" s="186">
        <v>300</v>
      </c>
      <c r="K1559" s="185" t="s">
        <v>28</v>
      </c>
      <c r="L1559" s="185"/>
      <c r="M1559" s="187">
        <f t="shared" si="257"/>
        <v>7</v>
      </c>
      <c r="N1559" s="185">
        <v>2100</v>
      </c>
      <c r="O1559" s="185">
        <v>5000</v>
      </c>
      <c r="P1559" s="185">
        <f t="shared" si="255"/>
        <v>10500000</v>
      </c>
      <c r="Q1559" s="15" t="str">
        <f t="shared" si="262"/>
        <v>Done</v>
      </c>
      <c r="R1559" s="189" t="s">
        <v>44</v>
      </c>
      <c r="S1559" s="190">
        <v>43554</v>
      </c>
      <c r="T1559" s="20">
        <f>IFERROR(VLOOKUP(S1559,'Date Converter'!$A$4:$C$368,3,0),"")</f>
        <v>43589</v>
      </c>
      <c r="U1559" s="21">
        <f t="shared" si="263"/>
        <v>43589</v>
      </c>
      <c r="V1559" s="191" t="s">
        <v>1489</v>
      </c>
      <c r="W1559" s="189"/>
      <c r="X1559" s="189"/>
      <c r="Y1559" s="185"/>
      <c r="Z1559" s="207">
        <v>43601</v>
      </c>
      <c r="AA1559" s="185">
        <v>2100</v>
      </c>
      <c r="AB1559" s="206"/>
      <c r="AC1559" s="185"/>
      <c r="AD1559" s="206"/>
      <c r="AE1559" s="185"/>
      <c r="AF1559" s="246"/>
      <c r="AG1559" s="185"/>
      <c r="AH1559" s="15">
        <f t="shared" si="258"/>
        <v>2100</v>
      </c>
      <c r="AI1559" s="22">
        <f t="shared" si="259"/>
        <v>0</v>
      </c>
      <c r="AJ1559" s="22">
        <f t="shared" si="260"/>
        <v>0</v>
      </c>
      <c r="AK1559" s="183"/>
    </row>
    <row r="1560" spans="1:37" s="165" customFormat="1" hidden="1">
      <c r="A1560" s="183" t="s">
        <v>330</v>
      </c>
      <c r="B1560" s="188">
        <v>43581</v>
      </c>
      <c r="C1560" s="188" t="s">
        <v>23</v>
      </c>
      <c r="D1560" s="183" t="s">
        <v>1185</v>
      </c>
      <c r="E1560" s="201" t="s">
        <v>216</v>
      </c>
      <c r="F1560" s="183" t="str">
        <f t="shared" si="256"/>
        <v>PROF_15.16_300_NL2018</v>
      </c>
      <c r="G1560" s="188" t="s">
        <v>56</v>
      </c>
      <c r="H1560" s="184"/>
      <c r="I1560" s="184" t="s">
        <v>77</v>
      </c>
      <c r="J1560" s="186">
        <v>300</v>
      </c>
      <c r="K1560" s="185" t="s">
        <v>28</v>
      </c>
      <c r="L1560" s="185"/>
      <c r="M1560" s="187">
        <f t="shared" si="257"/>
        <v>9</v>
      </c>
      <c r="N1560" s="185">
        <v>2700</v>
      </c>
      <c r="O1560" s="185">
        <v>5000</v>
      </c>
      <c r="P1560" s="185">
        <f t="shared" si="255"/>
        <v>13500000</v>
      </c>
      <c r="Q1560" s="15" t="str">
        <f t="shared" si="262"/>
        <v>Done</v>
      </c>
      <c r="R1560" s="189" t="s">
        <v>44</v>
      </c>
      <c r="S1560" s="190">
        <v>43554</v>
      </c>
      <c r="T1560" s="20">
        <f>IFERROR(VLOOKUP(S1560,'Date Converter'!$A$4:$C$368,3,0),"")</f>
        <v>43589</v>
      </c>
      <c r="U1560" s="21">
        <f t="shared" si="263"/>
        <v>43589</v>
      </c>
      <c r="V1560" s="191" t="s">
        <v>1489</v>
      </c>
      <c r="W1560" s="189"/>
      <c r="X1560" s="189"/>
      <c r="Y1560" s="185"/>
      <c r="Z1560" s="207">
        <v>43601</v>
      </c>
      <c r="AA1560" s="185">
        <v>2700</v>
      </c>
      <c r="AB1560" s="206"/>
      <c r="AC1560" s="185"/>
      <c r="AD1560" s="206"/>
      <c r="AE1560" s="185"/>
      <c r="AF1560" s="246"/>
      <c r="AG1560" s="185"/>
      <c r="AH1560" s="15">
        <f t="shared" si="258"/>
        <v>2700</v>
      </c>
      <c r="AI1560" s="22">
        <f t="shared" si="259"/>
        <v>0</v>
      </c>
      <c r="AJ1560" s="22">
        <f t="shared" si="260"/>
        <v>0</v>
      </c>
      <c r="AK1560" s="183"/>
    </row>
    <row r="1561" spans="1:37" s="165" customFormat="1" hidden="1">
      <c r="A1561" s="165" t="s">
        <v>484</v>
      </c>
      <c r="B1561" s="13">
        <v>43514</v>
      </c>
      <c r="C1561" s="13" t="s">
        <v>23</v>
      </c>
      <c r="D1561" s="258" t="s">
        <v>1185</v>
      </c>
      <c r="E1561" s="198" t="s">
        <v>216</v>
      </c>
      <c r="F1561" s="165" t="str">
        <f t="shared" si="256"/>
        <v>PROF_20.22_125_NL2018</v>
      </c>
      <c r="G1561" s="165" t="s">
        <v>56</v>
      </c>
      <c r="H1561" s="12"/>
      <c r="I1561" s="12" t="s">
        <v>74</v>
      </c>
      <c r="J1561" s="14">
        <v>125</v>
      </c>
      <c r="K1561" s="15" t="s">
        <v>28</v>
      </c>
      <c r="L1561" s="15"/>
      <c r="M1561" s="16">
        <f t="shared" si="257"/>
        <v>24</v>
      </c>
      <c r="N1561" s="15">
        <v>3000</v>
      </c>
      <c r="O1561" s="15">
        <v>13000</v>
      </c>
      <c r="P1561" s="15">
        <f t="shared" si="255"/>
        <v>39000000</v>
      </c>
      <c r="Q1561" s="15" t="str">
        <f t="shared" si="262"/>
        <v/>
      </c>
      <c r="R1561" s="18" t="s">
        <v>29</v>
      </c>
      <c r="S1561" s="23">
        <v>43709</v>
      </c>
      <c r="T1561" s="20">
        <f>IFERROR(VLOOKUP(S1561,'Date Converter'!$A$4:$C$368,3,0),"")</f>
        <v>43737</v>
      </c>
      <c r="U1561" s="21">
        <f t="shared" si="263"/>
        <v>43737</v>
      </c>
      <c r="V1561" s="12" t="s">
        <v>51</v>
      </c>
      <c r="W1561" s="18"/>
      <c r="X1561" s="18"/>
      <c r="Y1561" s="15" t="s">
        <v>59</v>
      </c>
      <c r="Z1561" s="206"/>
      <c r="AA1561" s="15">
        <v>0</v>
      </c>
      <c r="AB1561" s="206"/>
      <c r="AC1561" s="15"/>
      <c r="AD1561" s="206"/>
      <c r="AE1561" s="15"/>
      <c r="AF1561" s="244"/>
      <c r="AG1561" s="15"/>
      <c r="AH1561" s="15">
        <f t="shared" si="258"/>
        <v>0</v>
      </c>
      <c r="AI1561" s="22">
        <f t="shared" si="259"/>
        <v>3000</v>
      </c>
      <c r="AJ1561" s="22">
        <f t="shared" si="260"/>
        <v>39000000</v>
      </c>
    </row>
    <row r="1562" spans="1:37" s="165" customFormat="1" hidden="1">
      <c r="A1562" s="165" t="s">
        <v>330</v>
      </c>
      <c r="B1562" s="13">
        <v>43514</v>
      </c>
      <c r="C1562" s="13" t="s">
        <v>23</v>
      </c>
      <c r="D1562" s="165" t="s">
        <v>1185</v>
      </c>
      <c r="E1562" s="198" t="s">
        <v>216</v>
      </c>
      <c r="F1562" s="165" t="str">
        <f t="shared" si="256"/>
        <v>CONC_16.18_200_NL2018</v>
      </c>
      <c r="G1562" s="165" t="s">
        <v>43</v>
      </c>
      <c r="H1562" s="12"/>
      <c r="I1562" s="12" t="s">
        <v>35</v>
      </c>
      <c r="J1562" s="14">
        <v>200</v>
      </c>
      <c r="K1562" s="15" t="s">
        <v>28</v>
      </c>
      <c r="L1562" s="15"/>
      <c r="M1562" s="16">
        <f t="shared" si="257"/>
        <v>35</v>
      </c>
      <c r="N1562" s="15">
        <v>7000</v>
      </c>
      <c r="O1562" s="15">
        <f>5000</f>
        <v>5000</v>
      </c>
      <c r="P1562" s="15">
        <f t="shared" si="255"/>
        <v>35000000</v>
      </c>
      <c r="Q1562" s="15" t="str">
        <f t="shared" si="262"/>
        <v>Done</v>
      </c>
      <c r="R1562" s="18" t="s">
        <v>44</v>
      </c>
      <c r="S1562" s="23">
        <v>43539</v>
      </c>
      <c r="T1562" s="20">
        <f>IFERROR(VLOOKUP(S1562,'Date Converter'!$A$4:$C$368,3,0),"")</f>
        <v>43574</v>
      </c>
      <c r="U1562" s="21">
        <f t="shared" si="263"/>
        <v>43574</v>
      </c>
      <c r="V1562" s="20" t="s">
        <v>1489</v>
      </c>
      <c r="W1562" s="18" t="s">
        <v>108</v>
      </c>
      <c r="X1562" s="18">
        <v>43569</v>
      </c>
      <c r="Y1562" s="15" t="s">
        <v>59</v>
      </c>
      <c r="Z1562" s="206">
        <v>43601</v>
      </c>
      <c r="AA1562" s="15">
        <v>7000</v>
      </c>
      <c r="AB1562" s="206"/>
      <c r="AC1562" s="15"/>
      <c r="AD1562" s="206"/>
      <c r="AE1562" s="15"/>
      <c r="AF1562" s="244"/>
      <c r="AG1562" s="15"/>
      <c r="AH1562" s="15">
        <f t="shared" si="258"/>
        <v>7000</v>
      </c>
      <c r="AI1562" s="22">
        <f t="shared" si="259"/>
        <v>0</v>
      </c>
      <c r="AJ1562" s="22">
        <f t="shared" si="260"/>
        <v>0</v>
      </c>
    </row>
    <row r="1563" spans="1:37" s="165" customFormat="1" hidden="1">
      <c r="A1563" s="165" t="s">
        <v>330</v>
      </c>
      <c r="B1563" s="13">
        <v>43514</v>
      </c>
      <c r="C1563" s="13" t="s">
        <v>23</v>
      </c>
      <c r="D1563" s="165" t="s">
        <v>1185</v>
      </c>
      <c r="E1563" s="198" t="s">
        <v>216</v>
      </c>
      <c r="F1563" s="165" t="str">
        <f t="shared" si="256"/>
        <v>CONC_16.18_200_NL2018</v>
      </c>
      <c r="G1563" s="165" t="s">
        <v>43</v>
      </c>
      <c r="H1563" s="12"/>
      <c r="I1563" s="12" t="s">
        <v>35</v>
      </c>
      <c r="J1563" s="14">
        <v>200</v>
      </c>
      <c r="K1563" s="15" t="s">
        <v>28</v>
      </c>
      <c r="L1563" s="15"/>
      <c r="M1563" s="16">
        <f t="shared" si="257"/>
        <v>25</v>
      </c>
      <c r="N1563" s="15">
        <v>5000</v>
      </c>
      <c r="O1563" s="15">
        <v>5000</v>
      </c>
      <c r="P1563" s="15">
        <f t="shared" si="255"/>
        <v>25000000</v>
      </c>
      <c r="Q1563" s="15" t="str">
        <f t="shared" si="262"/>
        <v>Done</v>
      </c>
      <c r="R1563" s="18" t="s">
        <v>44</v>
      </c>
      <c r="S1563" s="19">
        <v>43572</v>
      </c>
      <c r="T1563" s="20">
        <f>IFERROR(VLOOKUP(S1563,'Date Converter'!$A$4:$C$368,3,0),"")</f>
        <v>43606</v>
      </c>
      <c r="U1563" s="21">
        <f t="shared" si="263"/>
        <v>43606</v>
      </c>
      <c r="V1563" s="20" t="s">
        <v>1381</v>
      </c>
      <c r="W1563" s="18"/>
      <c r="X1563" s="18"/>
      <c r="Y1563" s="15" t="s">
        <v>59</v>
      </c>
      <c r="Z1563" s="206"/>
      <c r="AA1563" s="15">
        <v>0</v>
      </c>
      <c r="AB1563" s="206">
        <v>43635</v>
      </c>
      <c r="AC1563" s="15">
        <v>5000</v>
      </c>
      <c r="AD1563" s="206"/>
      <c r="AE1563" s="15"/>
      <c r="AF1563" s="244"/>
      <c r="AG1563" s="15"/>
      <c r="AH1563" s="15">
        <f t="shared" si="258"/>
        <v>5000</v>
      </c>
      <c r="AI1563" s="22">
        <f t="shared" si="259"/>
        <v>0</v>
      </c>
      <c r="AJ1563" s="22">
        <f t="shared" si="260"/>
        <v>0</v>
      </c>
      <c r="AK1563" s="165" t="s">
        <v>1601</v>
      </c>
    </row>
    <row r="1564" spans="1:37" s="165" customFormat="1" hidden="1">
      <c r="A1564" s="165" t="s">
        <v>330</v>
      </c>
      <c r="B1564" s="13">
        <v>43514</v>
      </c>
      <c r="C1564" s="13" t="s">
        <v>23</v>
      </c>
      <c r="D1564" s="165" t="s">
        <v>1185</v>
      </c>
      <c r="E1564" s="198" t="s">
        <v>216</v>
      </c>
      <c r="F1564" s="165" t="str">
        <f t="shared" si="256"/>
        <v>CONC_16.18_200_NL2018</v>
      </c>
      <c r="G1564" s="165" t="s">
        <v>43</v>
      </c>
      <c r="H1564" s="12"/>
      <c r="I1564" s="12" t="s">
        <v>35</v>
      </c>
      <c r="J1564" s="14">
        <v>200</v>
      </c>
      <c r="K1564" s="15" t="s">
        <v>28</v>
      </c>
      <c r="L1564" s="15"/>
      <c r="M1564" s="16">
        <f t="shared" si="257"/>
        <v>50</v>
      </c>
      <c r="N1564" s="15">
        <v>10000</v>
      </c>
      <c r="O1564" s="15">
        <f>5000+170-170</f>
        <v>5000</v>
      </c>
      <c r="P1564" s="15">
        <f t="shared" si="255"/>
        <v>50000000</v>
      </c>
      <c r="Q1564" s="15" t="str">
        <f t="shared" si="262"/>
        <v>Done</v>
      </c>
      <c r="R1564" s="18" t="s">
        <v>44</v>
      </c>
      <c r="S1564" s="23">
        <v>43572</v>
      </c>
      <c r="T1564" s="20">
        <f>IFERROR(VLOOKUP(S1564,'Date Converter'!$A$4:$C$368,3,0),"")</f>
        <v>43606</v>
      </c>
      <c r="U1564" s="21">
        <f t="shared" si="263"/>
        <v>43606</v>
      </c>
      <c r="V1564" s="20" t="s">
        <v>217</v>
      </c>
      <c r="W1564" s="18"/>
      <c r="X1564" s="18"/>
      <c r="Y1564" s="15" t="s">
        <v>59</v>
      </c>
      <c r="Z1564" s="206">
        <v>43619</v>
      </c>
      <c r="AA1564" s="15">
        <v>6000</v>
      </c>
      <c r="AB1564" s="206">
        <v>43635</v>
      </c>
      <c r="AC1564" s="15">
        <v>4000</v>
      </c>
      <c r="AD1564" s="206"/>
      <c r="AE1564" s="15"/>
      <c r="AF1564" s="244"/>
      <c r="AG1564" s="15"/>
      <c r="AH1564" s="15">
        <f t="shared" si="258"/>
        <v>10000</v>
      </c>
      <c r="AI1564" s="22">
        <f t="shared" si="259"/>
        <v>0</v>
      </c>
      <c r="AJ1564" s="22">
        <f t="shared" si="260"/>
        <v>0</v>
      </c>
      <c r="AK1564" s="165" t="s">
        <v>1603</v>
      </c>
    </row>
    <row r="1565" spans="1:37" s="165" customFormat="1" hidden="1">
      <c r="A1565" s="165" t="s">
        <v>330</v>
      </c>
      <c r="B1565" s="13">
        <v>43635</v>
      </c>
      <c r="C1565" s="13" t="s">
        <v>23</v>
      </c>
      <c r="D1565" s="165" t="s">
        <v>1185</v>
      </c>
      <c r="E1565" s="198" t="s">
        <v>216</v>
      </c>
      <c r="F1565" s="165" t="str">
        <f t="shared" si="256"/>
        <v>CONC_16.18_200_NL2018</v>
      </c>
      <c r="G1565" s="165" t="s">
        <v>43</v>
      </c>
      <c r="H1565" s="12"/>
      <c r="I1565" s="12" t="s">
        <v>35</v>
      </c>
      <c r="J1565" s="14">
        <v>200</v>
      </c>
      <c r="K1565" s="15" t="s">
        <v>28</v>
      </c>
      <c r="L1565" s="15"/>
      <c r="M1565" s="16">
        <f t="shared" si="257"/>
        <v>5</v>
      </c>
      <c r="N1565" s="15">
        <v>1000</v>
      </c>
      <c r="O1565" s="15">
        <v>5000</v>
      </c>
      <c r="P1565" s="15">
        <f t="shared" si="255"/>
        <v>5000000</v>
      </c>
      <c r="Q1565" s="15" t="str">
        <f t="shared" si="262"/>
        <v>Done</v>
      </c>
      <c r="R1565" s="18" t="s">
        <v>44</v>
      </c>
      <c r="S1565" s="23">
        <v>43602</v>
      </c>
      <c r="T1565" s="20">
        <f>IFERROR(VLOOKUP(S1565,'Date Converter'!$A$4:$C$368,3,0),"")</f>
        <v>43635</v>
      </c>
      <c r="U1565" s="21">
        <f t="shared" si="263"/>
        <v>43635</v>
      </c>
      <c r="V1565" s="20"/>
      <c r="W1565" s="18"/>
      <c r="X1565" s="18"/>
      <c r="Y1565" s="15"/>
      <c r="Z1565" s="206">
        <v>43635</v>
      </c>
      <c r="AA1565" s="15">
        <v>1000</v>
      </c>
      <c r="AB1565" s="206"/>
      <c r="AC1565" s="15"/>
      <c r="AD1565" s="206"/>
      <c r="AE1565" s="15"/>
      <c r="AF1565" s="244"/>
      <c r="AG1565" s="15"/>
      <c r="AH1565" s="15">
        <f t="shared" si="258"/>
        <v>1000</v>
      </c>
      <c r="AI1565" s="22">
        <f t="shared" si="259"/>
        <v>0</v>
      </c>
      <c r="AJ1565" s="22">
        <f t="shared" si="260"/>
        <v>0</v>
      </c>
    </row>
    <row r="1566" spans="1:37" s="165" customFormat="1" hidden="1">
      <c r="A1566" s="165" t="s">
        <v>330</v>
      </c>
      <c r="B1566" s="13">
        <v>43514</v>
      </c>
      <c r="C1566" s="13" t="s">
        <v>23</v>
      </c>
      <c r="D1566" s="165" t="s">
        <v>1185</v>
      </c>
      <c r="E1566" s="165" t="s">
        <v>216</v>
      </c>
      <c r="F1566" s="165" t="str">
        <f t="shared" si="256"/>
        <v>CONC_16.18_200_NL2018</v>
      </c>
      <c r="G1566" s="165" t="s">
        <v>43</v>
      </c>
      <c r="H1566" s="12"/>
      <c r="I1566" s="12" t="s">
        <v>35</v>
      </c>
      <c r="J1566" s="14">
        <v>200</v>
      </c>
      <c r="K1566" s="15" t="s">
        <v>28</v>
      </c>
      <c r="L1566" s="15"/>
      <c r="M1566" s="16">
        <f t="shared" si="257"/>
        <v>35</v>
      </c>
      <c r="N1566" s="15">
        <v>7000</v>
      </c>
      <c r="O1566" s="15">
        <v>4700</v>
      </c>
      <c r="P1566" s="15">
        <f t="shared" si="255"/>
        <v>32900000</v>
      </c>
      <c r="Q1566" s="15" t="str">
        <f t="shared" si="262"/>
        <v>Done</v>
      </c>
      <c r="R1566" s="18" t="s">
        <v>44</v>
      </c>
      <c r="S1566" s="23" t="s">
        <v>53</v>
      </c>
      <c r="T1566" s="20">
        <f>IFERROR(VLOOKUP(S1566,'Date Converter'!$A$4:$C$368,3,0),"")</f>
        <v>43559</v>
      </c>
      <c r="U1566" s="21">
        <f t="shared" si="263"/>
        <v>43559</v>
      </c>
      <c r="V1566" s="12" t="s">
        <v>218</v>
      </c>
      <c r="W1566" s="18" t="s">
        <v>55</v>
      </c>
      <c r="X1566" s="18">
        <v>43555</v>
      </c>
      <c r="Y1566" s="15" t="s">
        <v>59</v>
      </c>
      <c r="Z1566" s="206">
        <v>43567</v>
      </c>
      <c r="AA1566" s="15">
        <v>7000</v>
      </c>
      <c r="AB1566" s="206"/>
      <c r="AC1566" s="15"/>
      <c r="AD1566" s="206"/>
      <c r="AE1566" s="15"/>
      <c r="AF1566" s="244"/>
      <c r="AG1566" s="15"/>
      <c r="AH1566" s="15">
        <f t="shared" si="258"/>
        <v>7000</v>
      </c>
      <c r="AI1566" s="22">
        <f t="shared" si="259"/>
        <v>0</v>
      </c>
      <c r="AJ1566" s="22">
        <f t="shared" si="260"/>
        <v>0</v>
      </c>
    </row>
    <row r="1567" spans="1:37" s="165" customFormat="1" hidden="1">
      <c r="A1567" s="165" t="s">
        <v>484</v>
      </c>
      <c r="B1567" s="13">
        <v>43514</v>
      </c>
      <c r="C1567" s="13" t="s">
        <v>23</v>
      </c>
      <c r="D1567" s="258" t="s">
        <v>1185</v>
      </c>
      <c r="E1567" s="198" t="s">
        <v>216</v>
      </c>
      <c r="F1567" s="165" t="str">
        <f t="shared" si="256"/>
        <v>CONC_18.20_150_NL2018</v>
      </c>
      <c r="G1567" s="165" t="s">
        <v>40</v>
      </c>
      <c r="H1567" s="12"/>
      <c r="I1567" s="12" t="s">
        <v>27</v>
      </c>
      <c r="J1567" s="14">
        <v>150</v>
      </c>
      <c r="K1567" s="15" t="s">
        <v>28</v>
      </c>
      <c r="L1567" s="15"/>
      <c r="M1567" s="16">
        <f t="shared" si="257"/>
        <v>34</v>
      </c>
      <c r="N1567" s="15">
        <v>5100</v>
      </c>
      <c r="O1567" s="15">
        <v>7200</v>
      </c>
      <c r="P1567" s="15">
        <f t="shared" si="255"/>
        <v>36720000</v>
      </c>
      <c r="Q1567" s="15" t="str">
        <f t="shared" si="262"/>
        <v/>
      </c>
      <c r="R1567" s="18" t="s">
        <v>29</v>
      </c>
      <c r="S1567" s="23">
        <v>43709</v>
      </c>
      <c r="T1567" s="20">
        <f>IFERROR(VLOOKUP(S1567,'Date Converter'!$A$4:$C$368,3,0),"")</f>
        <v>43737</v>
      </c>
      <c r="U1567" s="21">
        <f t="shared" si="263"/>
        <v>43737</v>
      </c>
      <c r="V1567" s="12" t="s">
        <v>51</v>
      </c>
      <c r="W1567" s="18"/>
      <c r="X1567" s="18"/>
      <c r="Y1567" s="15" t="s">
        <v>59</v>
      </c>
      <c r="Z1567" s="206"/>
      <c r="AA1567" s="15">
        <v>0</v>
      </c>
      <c r="AB1567" s="206"/>
      <c r="AC1567" s="15"/>
      <c r="AD1567" s="206"/>
      <c r="AE1567" s="15"/>
      <c r="AF1567" s="244"/>
      <c r="AG1567" s="15"/>
      <c r="AH1567" s="15">
        <f t="shared" si="258"/>
        <v>0</v>
      </c>
      <c r="AI1567" s="22">
        <f t="shared" si="259"/>
        <v>5100</v>
      </c>
      <c r="AJ1567" s="22">
        <f t="shared" si="260"/>
        <v>36720000</v>
      </c>
    </row>
    <row r="1568" spans="1:37" s="165" customFormat="1" hidden="1">
      <c r="A1568" s="165" t="s">
        <v>484</v>
      </c>
      <c r="B1568" s="13">
        <v>43514</v>
      </c>
      <c r="C1568" s="13" t="s">
        <v>23</v>
      </c>
      <c r="D1568" s="258" t="s">
        <v>1185</v>
      </c>
      <c r="E1568" s="198" t="s">
        <v>216</v>
      </c>
      <c r="F1568" s="165" t="str">
        <f t="shared" si="256"/>
        <v>CONC_20.22_125_NL2018</v>
      </c>
      <c r="G1568" s="165" t="s">
        <v>40</v>
      </c>
      <c r="H1568" s="12"/>
      <c r="I1568" s="12" t="s">
        <v>74</v>
      </c>
      <c r="J1568" s="14">
        <v>125</v>
      </c>
      <c r="K1568" s="15" t="s">
        <v>28</v>
      </c>
      <c r="L1568" s="15"/>
      <c r="M1568" s="16">
        <f t="shared" si="257"/>
        <v>80</v>
      </c>
      <c r="N1568" s="15">
        <f>8000+2000</f>
        <v>10000</v>
      </c>
      <c r="O1568" s="15">
        <v>10500</v>
      </c>
      <c r="P1568" s="15">
        <f t="shared" si="255"/>
        <v>105000000</v>
      </c>
      <c r="Q1568" s="15" t="str">
        <f t="shared" si="262"/>
        <v/>
      </c>
      <c r="R1568" s="18" t="s">
        <v>29</v>
      </c>
      <c r="S1568" s="23">
        <v>43709</v>
      </c>
      <c r="T1568" s="20">
        <f>IFERROR(VLOOKUP(S1568,'Date Converter'!$A$4:$C$368,3,0),"")</f>
        <v>43737</v>
      </c>
      <c r="U1568" s="21">
        <f t="shared" si="263"/>
        <v>43737</v>
      </c>
      <c r="V1568" s="12" t="s">
        <v>51</v>
      </c>
      <c r="W1568" s="18"/>
      <c r="X1568" s="18"/>
      <c r="Y1568" s="15" t="s">
        <v>59</v>
      </c>
      <c r="Z1568" s="206"/>
      <c r="AA1568" s="15">
        <v>0</v>
      </c>
      <c r="AB1568" s="206"/>
      <c r="AC1568" s="15"/>
      <c r="AD1568" s="206"/>
      <c r="AE1568" s="15"/>
      <c r="AF1568" s="244"/>
      <c r="AG1568" s="15"/>
      <c r="AH1568" s="15">
        <f t="shared" si="258"/>
        <v>0</v>
      </c>
      <c r="AI1568" s="22">
        <f t="shared" si="259"/>
        <v>10000</v>
      </c>
      <c r="AJ1568" s="22">
        <f t="shared" si="260"/>
        <v>105000000</v>
      </c>
    </row>
    <row r="1569" spans="1:37" s="165" customFormat="1" hidden="1">
      <c r="A1569" s="165" t="s">
        <v>484</v>
      </c>
      <c r="B1569" s="13">
        <v>43514</v>
      </c>
      <c r="C1569" s="13" t="s">
        <v>23</v>
      </c>
      <c r="D1569" s="258" t="s">
        <v>1185</v>
      </c>
      <c r="E1569" s="198" t="s">
        <v>216</v>
      </c>
      <c r="F1569" s="165" t="str">
        <f t="shared" si="256"/>
        <v>CONC_22.24_100_NL2018</v>
      </c>
      <c r="G1569" s="165" t="s">
        <v>40</v>
      </c>
      <c r="H1569" s="12"/>
      <c r="I1569" s="12" t="s">
        <v>78</v>
      </c>
      <c r="J1569" s="14">
        <v>100</v>
      </c>
      <c r="K1569" s="15" t="s">
        <v>28</v>
      </c>
      <c r="L1569" s="15"/>
      <c r="M1569" s="16">
        <f t="shared" si="257"/>
        <v>50</v>
      </c>
      <c r="N1569" s="15">
        <v>5000</v>
      </c>
      <c r="O1569" s="15">
        <v>12500</v>
      </c>
      <c r="P1569" s="15">
        <f t="shared" si="255"/>
        <v>62500000</v>
      </c>
      <c r="Q1569" s="15" t="str">
        <f t="shared" si="262"/>
        <v/>
      </c>
      <c r="R1569" s="18" t="s">
        <v>29</v>
      </c>
      <c r="S1569" s="23">
        <v>43709</v>
      </c>
      <c r="T1569" s="20">
        <f>IFERROR(VLOOKUP(S1569,'Date Converter'!$A$4:$C$368,3,0),"")</f>
        <v>43737</v>
      </c>
      <c r="U1569" s="21">
        <f t="shared" si="263"/>
        <v>43737</v>
      </c>
      <c r="V1569" s="12" t="s">
        <v>51</v>
      </c>
      <c r="W1569" s="18"/>
      <c r="X1569" s="18"/>
      <c r="Y1569" s="15" t="s">
        <v>59</v>
      </c>
      <c r="Z1569" s="206"/>
      <c r="AA1569" s="15">
        <v>0</v>
      </c>
      <c r="AB1569" s="206"/>
      <c r="AC1569" s="15"/>
      <c r="AD1569" s="206"/>
      <c r="AE1569" s="15"/>
      <c r="AF1569" s="244"/>
      <c r="AG1569" s="15"/>
      <c r="AH1569" s="15">
        <f t="shared" si="258"/>
        <v>0</v>
      </c>
      <c r="AI1569" s="22">
        <f t="shared" si="259"/>
        <v>5000</v>
      </c>
      <c r="AJ1569" s="22">
        <f t="shared" si="260"/>
        <v>62500000</v>
      </c>
    </row>
    <row r="1570" spans="1:37" s="165" customFormat="1" hidden="1">
      <c r="A1570" s="165" t="s">
        <v>1380</v>
      </c>
      <c r="B1570" s="13">
        <v>43564</v>
      </c>
      <c r="C1570" s="13" t="s">
        <v>23</v>
      </c>
      <c r="D1570" s="165" t="s">
        <v>1185</v>
      </c>
      <c r="E1570" s="165" t="s">
        <v>216</v>
      </c>
      <c r="F1570" s="165" t="str">
        <f t="shared" si="256"/>
        <v>ARVA_16.18_200_NL2018</v>
      </c>
      <c r="G1570" s="13" t="s">
        <v>85</v>
      </c>
      <c r="H1570" s="12"/>
      <c r="I1570" s="12" t="s">
        <v>35</v>
      </c>
      <c r="J1570" s="14">
        <v>200</v>
      </c>
      <c r="K1570" s="15" t="s">
        <v>28</v>
      </c>
      <c r="L1570" s="15"/>
      <c r="M1570" s="16">
        <f t="shared" si="257"/>
        <v>25</v>
      </c>
      <c r="N1570" s="15">
        <v>5000</v>
      </c>
      <c r="O1570" s="15">
        <v>5700</v>
      </c>
      <c r="P1570" s="15">
        <f t="shared" si="255"/>
        <v>28500000</v>
      </c>
      <c r="Q1570" s="15" t="str">
        <f t="shared" si="262"/>
        <v>Done</v>
      </c>
      <c r="R1570" s="18" t="s">
        <v>44</v>
      </c>
      <c r="S1570" s="23">
        <v>43539</v>
      </c>
      <c r="T1570" s="20">
        <f>IFERROR(VLOOKUP(S1570,'Date Converter'!$A$4:$C$368,3,0),"")</f>
        <v>43574</v>
      </c>
      <c r="U1570" s="21">
        <f t="shared" si="263"/>
        <v>43574</v>
      </c>
      <c r="V1570" s="20" t="s">
        <v>57</v>
      </c>
      <c r="W1570" s="18"/>
      <c r="X1570" s="18"/>
      <c r="Y1570" s="15"/>
      <c r="Z1570" s="206">
        <v>43581</v>
      </c>
      <c r="AA1570" s="15">
        <v>5000</v>
      </c>
      <c r="AB1570" s="206"/>
      <c r="AC1570" s="15"/>
      <c r="AD1570" s="206"/>
      <c r="AE1570" s="15"/>
      <c r="AF1570" s="244"/>
      <c r="AG1570" s="15"/>
      <c r="AH1570" s="15">
        <f t="shared" si="258"/>
        <v>5000</v>
      </c>
      <c r="AI1570" s="22">
        <f t="shared" si="259"/>
        <v>0</v>
      </c>
      <c r="AJ1570" s="22">
        <f t="shared" si="260"/>
        <v>0</v>
      </c>
    </row>
    <row r="1571" spans="1:37" s="165" customFormat="1" hidden="1">
      <c r="A1571" s="165" t="s">
        <v>1764</v>
      </c>
      <c r="B1571" s="13">
        <v>43470</v>
      </c>
      <c r="C1571" s="13" t="s">
        <v>1622</v>
      </c>
      <c r="D1571" s="165" t="s">
        <v>1162</v>
      </c>
      <c r="E1571" s="165" t="s">
        <v>1163</v>
      </c>
      <c r="F1571" s="165" t="str">
        <f t="shared" si="256"/>
        <v>TARR_16.18_200_NL2018</v>
      </c>
      <c r="G1571" s="165" t="s">
        <v>62</v>
      </c>
      <c r="H1571" s="12"/>
      <c r="I1571" s="12" t="s">
        <v>35</v>
      </c>
      <c r="J1571" s="14">
        <v>200</v>
      </c>
      <c r="K1571" s="15" t="s">
        <v>28</v>
      </c>
      <c r="L1571" s="15"/>
      <c r="M1571" s="16">
        <f t="shared" si="257"/>
        <v>150</v>
      </c>
      <c r="N1571" s="15">
        <v>30000</v>
      </c>
      <c r="O1571" s="15">
        <v>5500</v>
      </c>
      <c r="P1571" s="15">
        <f t="shared" si="255"/>
        <v>165000000</v>
      </c>
      <c r="Q1571" s="15" t="str">
        <f t="shared" si="262"/>
        <v/>
      </c>
      <c r="R1571" s="18" t="s">
        <v>63</v>
      </c>
      <c r="S1571" s="117">
        <v>43539</v>
      </c>
      <c r="T1571" s="20">
        <f>IFERROR(VLOOKUP(S1571,'Date Converter'!$A$4:$C$368,3,0),"")</f>
        <v>43574</v>
      </c>
      <c r="U1571" s="21">
        <f t="shared" si="263"/>
        <v>43574</v>
      </c>
      <c r="V1571" s="12" t="s">
        <v>57</v>
      </c>
      <c r="W1571" s="18" t="s">
        <v>143</v>
      </c>
      <c r="X1571" s="18"/>
      <c r="Y1571" s="18"/>
      <c r="Z1571" s="210">
        <v>43592</v>
      </c>
      <c r="AA1571" s="15">
        <v>20000</v>
      </c>
      <c r="AB1571" s="210"/>
      <c r="AC1571" s="15"/>
      <c r="AD1571" s="15"/>
      <c r="AE1571" s="15"/>
      <c r="AF1571" s="244"/>
      <c r="AG1571" s="15"/>
      <c r="AH1571" s="15">
        <f t="shared" si="258"/>
        <v>20000</v>
      </c>
      <c r="AI1571" s="22">
        <f t="shared" si="259"/>
        <v>10000</v>
      </c>
      <c r="AJ1571" s="22">
        <f t="shared" si="260"/>
        <v>55000000</v>
      </c>
      <c r="AK1571" s="13">
        <v>43884</v>
      </c>
    </row>
    <row r="1572" spans="1:37" s="165" customFormat="1" hidden="1">
      <c r="A1572" s="165" t="s">
        <v>1768</v>
      </c>
      <c r="B1572" s="13">
        <v>43470</v>
      </c>
      <c r="C1572" s="267" t="s">
        <v>1622</v>
      </c>
      <c r="D1572" s="258" t="s">
        <v>1162</v>
      </c>
      <c r="E1572" s="165" t="s">
        <v>1163</v>
      </c>
      <c r="F1572" s="165" t="str">
        <f t="shared" si="256"/>
        <v>ROBI_20.22_125_NL2018</v>
      </c>
      <c r="G1572" s="165" t="s">
        <v>61</v>
      </c>
      <c r="H1572" s="12"/>
      <c r="I1572" s="12" t="s">
        <v>74</v>
      </c>
      <c r="J1572" s="14">
        <v>125</v>
      </c>
      <c r="K1572" s="15" t="s">
        <v>28</v>
      </c>
      <c r="L1572" s="15"/>
      <c r="M1572" s="16">
        <f t="shared" si="257"/>
        <v>400</v>
      </c>
      <c r="N1572" s="15">
        <v>50000</v>
      </c>
      <c r="O1572" s="15">
        <v>10700</v>
      </c>
      <c r="P1572" s="15">
        <f t="shared" si="255"/>
        <v>535000000</v>
      </c>
      <c r="Q1572" s="15" t="str">
        <f t="shared" si="262"/>
        <v/>
      </c>
      <c r="R1572" s="18" t="s">
        <v>29</v>
      </c>
      <c r="S1572" s="117">
        <v>43709</v>
      </c>
      <c r="T1572" s="20">
        <f>IFERROR(VLOOKUP(S1572,'Date Converter'!$A$4:$C$368,3,0),"")</f>
        <v>43737</v>
      </c>
      <c r="U1572" s="21">
        <f t="shared" si="263"/>
        <v>43737</v>
      </c>
      <c r="V1572" s="15" t="s">
        <v>51</v>
      </c>
      <c r="W1572" s="18"/>
      <c r="X1572" s="18"/>
      <c r="Y1572" s="18"/>
      <c r="Z1572" s="210"/>
      <c r="AA1572" s="15">
        <v>0</v>
      </c>
      <c r="AB1572" s="210"/>
      <c r="AC1572" s="15"/>
      <c r="AD1572" s="15"/>
      <c r="AE1572" s="15"/>
      <c r="AF1572" s="244"/>
      <c r="AG1572" s="15"/>
      <c r="AH1572" s="15">
        <f t="shared" si="258"/>
        <v>0</v>
      </c>
      <c r="AI1572" s="22">
        <f t="shared" si="259"/>
        <v>50000</v>
      </c>
      <c r="AJ1572" s="22">
        <f t="shared" si="260"/>
        <v>535000000</v>
      </c>
      <c r="AK1572" s="13">
        <v>43884</v>
      </c>
    </row>
    <row r="1573" spans="1:37" s="165" customFormat="1" hidden="1">
      <c r="A1573" s="165" t="s">
        <v>1764</v>
      </c>
      <c r="B1573" s="13">
        <v>43470</v>
      </c>
      <c r="C1573" s="13" t="s">
        <v>1622</v>
      </c>
      <c r="D1573" s="165" t="s">
        <v>1162</v>
      </c>
      <c r="E1573" s="165" t="s">
        <v>1163</v>
      </c>
      <c r="F1573" s="165" t="str">
        <f t="shared" si="256"/>
        <v>PROF_14.16_300_NL2018</v>
      </c>
      <c r="G1573" s="165" t="s">
        <v>56</v>
      </c>
      <c r="H1573" s="12"/>
      <c r="I1573" s="12" t="s">
        <v>47</v>
      </c>
      <c r="J1573" s="14">
        <v>300</v>
      </c>
      <c r="K1573" s="15" t="s">
        <v>28</v>
      </c>
      <c r="L1573" s="15"/>
      <c r="M1573" s="16">
        <f t="shared" si="257"/>
        <v>0</v>
      </c>
      <c r="N1573" s="15">
        <f>2100-2100</f>
        <v>0</v>
      </c>
      <c r="O1573" s="15">
        <v>5200</v>
      </c>
      <c r="P1573" s="15">
        <f t="shared" si="255"/>
        <v>0</v>
      </c>
      <c r="Q1573" s="15" t="str">
        <f t="shared" si="262"/>
        <v>Canceled</v>
      </c>
      <c r="R1573" s="18" t="s">
        <v>71</v>
      </c>
      <c r="S1573" s="117" t="s">
        <v>151</v>
      </c>
      <c r="T1573" s="20">
        <f>IFERROR(VLOOKUP(S1573,'Date Converter'!$A$4:$C$368,3,0),"")</f>
        <v>43558</v>
      </c>
      <c r="U1573" s="21">
        <f t="shared" si="263"/>
        <v>43558</v>
      </c>
      <c r="V1573" s="12" t="s">
        <v>32</v>
      </c>
      <c r="W1573" s="18" t="s">
        <v>33</v>
      </c>
      <c r="X1573" s="18"/>
      <c r="Y1573" s="18"/>
      <c r="Z1573" s="210"/>
      <c r="AA1573" s="15">
        <v>0</v>
      </c>
      <c r="AB1573" s="210"/>
      <c r="AC1573" s="15"/>
      <c r="AD1573" s="15"/>
      <c r="AE1573" s="15"/>
      <c r="AF1573" s="244"/>
      <c r="AG1573" s="15"/>
      <c r="AH1573" s="15">
        <f t="shared" si="258"/>
        <v>0</v>
      </c>
      <c r="AI1573" s="22">
        <f t="shared" si="259"/>
        <v>0</v>
      </c>
      <c r="AJ1573" s="22">
        <f t="shared" si="260"/>
        <v>0</v>
      </c>
      <c r="AK1573" s="13"/>
    </row>
    <row r="1574" spans="1:37" s="165" customFormat="1" hidden="1">
      <c r="A1574" s="165" t="s">
        <v>1764</v>
      </c>
      <c r="B1574" s="13">
        <v>43470</v>
      </c>
      <c r="C1574" s="13" t="s">
        <v>1622</v>
      </c>
      <c r="D1574" s="165" t="s">
        <v>1162</v>
      </c>
      <c r="E1574" s="165" t="s">
        <v>1163</v>
      </c>
      <c r="F1574" s="165" t="str">
        <f t="shared" si="256"/>
        <v>PROF_14.16_300_NL2018</v>
      </c>
      <c r="G1574" s="165" t="s">
        <v>56</v>
      </c>
      <c r="H1574" s="12"/>
      <c r="I1574" s="12" t="s">
        <v>47</v>
      </c>
      <c r="J1574" s="14">
        <v>300</v>
      </c>
      <c r="K1574" s="15" t="s">
        <v>28</v>
      </c>
      <c r="L1574" s="15"/>
      <c r="M1574" s="16">
        <f t="shared" si="257"/>
        <v>0</v>
      </c>
      <c r="N1574" s="15">
        <f>2700-2700</f>
        <v>0</v>
      </c>
      <c r="O1574" s="15">
        <v>4800</v>
      </c>
      <c r="P1574" s="15">
        <f t="shared" si="255"/>
        <v>0</v>
      </c>
      <c r="Q1574" s="15" t="str">
        <f t="shared" si="262"/>
        <v>Canceled</v>
      </c>
      <c r="R1574" s="18" t="s">
        <v>71</v>
      </c>
      <c r="S1574" s="117" t="s">
        <v>151</v>
      </c>
      <c r="T1574" s="20">
        <f>IFERROR(VLOOKUP(S1574,'Date Converter'!$A$4:$C$368,3,0),"")</f>
        <v>43558</v>
      </c>
      <c r="U1574" s="21">
        <f t="shared" si="263"/>
        <v>43558</v>
      </c>
      <c r="V1574" s="12" t="s">
        <v>54</v>
      </c>
      <c r="W1574" s="18" t="s">
        <v>82</v>
      </c>
      <c r="X1574" s="18"/>
      <c r="Y1574" s="18"/>
      <c r="Z1574" s="210"/>
      <c r="AA1574" s="15">
        <v>0</v>
      </c>
      <c r="AB1574" s="210"/>
      <c r="AC1574" s="15"/>
      <c r="AD1574" s="15"/>
      <c r="AE1574" s="15"/>
      <c r="AF1574" s="244"/>
      <c r="AG1574" s="15"/>
      <c r="AH1574" s="15">
        <f t="shared" si="258"/>
        <v>0</v>
      </c>
      <c r="AI1574" s="22">
        <f t="shared" si="259"/>
        <v>0</v>
      </c>
      <c r="AJ1574" s="22">
        <f t="shared" si="260"/>
        <v>0</v>
      </c>
      <c r="AK1574" s="13"/>
    </row>
    <row r="1575" spans="1:37" s="165" customFormat="1" hidden="1">
      <c r="A1575" s="165" t="s">
        <v>1764</v>
      </c>
      <c r="B1575" s="13">
        <v>43470</v>
      </c>
      <c r="C1575" s="13" t="s">
        <v>1622</v>
      </c>
      <c r="D1575" s="165" t="s">
        <v>1162</v>
      </c>
      <c r="E1575" s="165" t="s">
        <v>1163</v>
      </c>
      <c r="F1575" s="165" t="str">
        <f t="shared" si="256"/>
        <v>PROF_16.18_200_NL2018</v>
      </c>
      <c r="G1575" s="165" t="s">
        <v>56</v>
      </c>
      <c r="H1575" s="12"/>
      <c r="I1575" s="12" t="s">
        <v>35</v>
      </c>
      <c r="J1575" s="14">
        <v>200</v>
      </c>
      <c r="K1575" s="15" t="s">
        <v>28</v>
      </c>
      <c r="L1575" s="15"/>
      <c r="M1575" s="16">
        <f t="shared" si="257"/>
        <v>0</v>
      </c>
      <c r="N1575" s="15">
        <f>5000-5000</f>
        <v>0</v>
      </c>
      <c r="O1575" s="15">
        <v>6700</v>
      </c>
      <c r="P1575" s="15">
        <f t="shared" si="255"/>
        <v>0</v>
      </c>
      <c r="Q1575" s="15" t="str">
        <f t="shared" si="262"/>
        <v>Canceled</v>
      </c>
      <c r="R1575" s="18" t="s">
        <v>71</v>
      </c>
      <c r="S1575" s="117" t="s">
        <v>151</v>
      </c>
      <c r="T1575" s="20">
        <f>IFERROR(VLOOKUP(S1575,'Date Converter'!$A$4:$C$368,3,0),"")</f>
        <v>43558</v>
      </c>
      <c r="U1575" s="21">
        <f t="shared" si="263"/>
        <v>43558</v>
      </c>
      <c r="V1575" s="12" t="s">
        <v>54</v>
      </c>
      <c r="W1575" s="18" t="s">
        <v>55</v>
      </c>
      <c r="X1575" s="18"/>
      <c r="Y1575" s="18"/>
      <c r="Z1575" s="210"/>
      <c r="AA1575" s="15">
        <v>0</v>
      </c>
      <c r="AB1575" s="210"/>
      <c r="AC1575" s="15"/>
      <c r="AD1575" s="15"/>
      <c r="AE1575" s="15"/>
      <c r="AF1575" s="244"/>
      <c r="AG1575" s="15"/>
      <c r="AH1575" s="15">
        <f t="shared" si="258"/>
        <v>0</v>
      </c>
      <c r="AI1575" s="22">
        <f t="shared" si="259"/>
        <v>0</v>
      </c>
      <c r="AJ1575" s="22">
        <f t="shared" si="260"/>
        <v>0</v>
      </c>
      <c r="AK1575" s="13"/>
    </row>
    <row r="1576" spans="1:37" s="165" customFormat="1" hidden="1">
      <c r="A1576" s="165" t="s">
        <v>1768</v>
      </c>
      <c r="B1576" s="13">
        <v>43470</v>
      </c>
      <c r="C1576" s="267" t="s">
        <v>1622</v>
      </c>
      <c r="D1576" s="258" t="s">
        <v>1162</v>
      </c>
      <c r="E1576" s="165" t="s">
        <v>1163</v>
      </c>
      <c r="F1576" s="165" t="str">
        <f t="shared" si="256"/>
        <v>MANI_20.22_125_NL2018</v>
      </c>
      <c r="G1576" s="165" t="s">
        <v>105</v>
      </c>
      <c r="H1576" s="12"/>
      <c r="I1576" s="12" t="s">
        <v>74</v>
      </c>
      <c r="J1576" s="14">
        <v>125</v>
      </c>
      <c r="K1576" s="15" t="s">
        <v>28</v>
      </c>
      <c r="L1576" s="15"/>
      <c r="M1576" s="16">
        <f t="shared" si="257"/>
        <v>320</v>
      </c>
      <c r="N1576" s="15">
        <v>40000</v>
      </c>
      <c r="O1576" s="15">
        <v>13500</v>
      </c>
      <c r="P1576" s="15">
        <f t="shared" si="255"/>
        <v>540000000</v>
      </c>
      <c r="Q1576" s="15" t="str">
        <f t="shared" si="262"/>
        <v/>
      </c>
      <c r="R1576" s="18" t="s">
        <v>29</v>
      </c>
      <c r="S1576" s="117">
        <v>43709</v>
      </c>
      <c r="T1576" s="20">
        <f>IFERROR(VLOOKUP(S1576,'Date Converter'!$A$4:$C$368,3,0),"")</f>
        <v>43737</v>
      </c>
      <c r="U1576" s="21">
        <f t="shared" si="263"/>
        <v>43737</v>
      </c>
      <c r="V1576" s="15" t="s">
        <v>51</v>
      </c>
      <c r="W1576" s="18"/>
      <c r="X1576" s="18"/>
      <c r="Y1576" s="18"/>
      <c r="Z1576" s="210"/>
      <c r="AA1576" s="15">
        <v>0</v>
      </c>
      <c r="AB1576" s="210"/>
      <c r="AC1576" s="15"/>
      <c r="AD1576" s="15"/>
      <c r="AE1576" s="15"/>
      <c r="AF1576" s="244"/>
      <c r="AG1576" s="15"/>
      <c r="AH1576" s="15">
        <f t="shared" si="258"/>
        <v>0</v>
      </c>
      <c r="AI1576" s="22">
        <f t="shared" si="259"/>
        <v>40000</v>
      </c>
      <c r="AJ1576" s="22">
        <f t="shared" si="260"/>
        <v>540000000</v>
      </c>
      <c r="AK1576" s="13">
        <v>43884</v>
      </c>
    </row>
    <row r="1577" spans="1:37" s="165" customFormat="1" hidden="1">
      <c r="A1577" s="165" t="s">
        <v>1769</v>
      </c>
      <c r="B1577" s="13">
        <v>43575</v>
      </c>
      <c r="C1577" s="13" t="s">
        <v>1622</v>
      </c>
      <c r="D1577" s="165" t="s">
        <v>1162</v>
      </c>
      <c r="E1577" s="165" t="s">
        <v>1163</v>
      </c>
      <c r="F1577" s="165" t="str">
        <f t="shared" si="256"/>
        <v>ELDI_14.16_300_NL2018</v>
      </c>
      <c r="G1577" s="165" t="s">
        <v>1480</v>
      </c>
      <c r="H1577" s="12"/>
      <c r="I1577" s="12" t="s">
        <v>47</v>
      </c>
      <c r="J1577" s="14">
        <v>300</v>
      </c>
      <c r="K1577" s="15" t="s">
        <v>28</v>
      </c>
      <c r="L1577" s="15"/>
      <c r="M1577" s="16">
        <f t="shared" si="257"/>
        <v>16</v>
      </c>
      <c r="N1577" s="15">
        <f>4500+300</f>
        <v>4800</v>
      </c>
      <c r="O1577" s="15">
        <v>8500</v>
      </c>
      <c r="P1577" s="15">
        <f t="shared" si="255"/>
        <v>40800000</v>
      </c>
      <c r="Q1577" s="15" t="str">
        <f t="shared" si="262"/>
        <v/>
      </c>
      <c r="R1577" s="18" t="s">
        <v>63</v>
      </c>
      <c r="S1577" s="117">
        <v>43584</v>
      </c>
      <c r="T1577" s="20">
        <f>IFERROR(VLOOKUP(S1577,'Date Converter'!$A$4:$C$368,3,0),"")</f>
        <v>43618</v>
      </c>
      <c r="U1577" s="21">
        <f t="shared" si="263"/>
        <v>43618</v>
      </c>
      <c r="V1577" s="12" t="s">
        <v>443</v>
      </c>
      <c r="W1577" s="18"/>
      <c r="X1577" s="18"/>
      <c r="Y1577" s="18"/>
      <c r="Z1577" s="210"/>
      <c r="AA1577" s="15"/>
      <c r="AB1577" s="210"/>
      <c r="AC1577" s="15"/>
      <c r="AD1577" s="15"/>
      <c r="AE1577" s="15"/>
      <c r="AF1577" s="244"/>
      <c r="AG1577" s="15"/>
      <c r="AH1577" s="15">
        <f t="shared" si="258"/>
        <v>0</v>
      </c>
      <c r="AI1577" s="22">
        <f t="shared" si="259"/>
        <v>4800</v>
      </c>
      <c r="AJ1577" s="22">
        <f t="shared" si="260"/>
        <v>40800000</v>
      </c>
      <c r="AK1577" s="13"/>
    </row>
    <row r="1578" spans="1:37" s="165" customFormat="1" hidden="1">
      <c r="A1578" s="165" t="s">
        <v>1768</v>
      </c>
      <c r="B1578" s="13">
        <v>43470</v>
      </c>
      <c r="C1578" s="267" t="s">
        <v>1622</v>
      </c>
      <c r="D1578" s="258" t="s">
        <v>1162</v>
      </c>
      <c r="E1578" s="165" t="s">
        <v>1163</v>
      </c>
      <c r="F1578" s="165" t="str">
        <f t="shared" si="256"/>
        <v>CONC_20.22_125_NL2018</v>
      </c>
      <c r="G1578" s="165" t="s">
        <v>40</v>
      </c>
      <c r="H1578" s="12"/>
      <c r="I1578" s="12" t="s">
        <v>74</v>
      </c>
      <c r="J1578" s="14">
        <v>125</v>
      </c>
      <c r="K1578" s="15" t="s">
        <v>28</v>
      </c>
      <c r="L1578" s="15"/>
      <c r="M1578" s="16">
        <f t="shared" si="257"/>
        <v>400</v>
      </c>
      <c r="N1578" s="15">
        <v>50000</v>
      </c>
      <c r="O1578" s="15">
        <v>10600</v>
      </c>
      <c r="P1578" s="15">
        <f t="shared" si="255"/>
        <v>530000000</v>
      </c>
      <c r="Q1578" s="15" t="str">
        <f t="shared" si="262"/>
        <v/>
      </c>
      <c r="R1578" s="18" t="s">
        <v>29</v>
      </c>
      <c r="S1578" s="117">
        <v>43709</v>
      </c>
      <c r="T1578" s="20">
        <f>IFERROR(VLOOKUP(S1578,'Date Converter'!$A$4:$C$368,3,0),"")</f>
        <v>43737</v>
      </c>
      <c r="U1578" s="21">
        <f t="shared" si="263"/>
        <v>43737</v>
      </c>
      <c r="V1578" s="15" t="s">
        <v>51</v>
      </c>
      <c r="W1578" s="18"/>
      <c r="X1578" s="18"/>
      <c r="Y1578" s="18"/>
      <c r="Z1578" s="210"/>
      <c r="AA1578" s="15">
        <v>0</v>
      </c>
      <c r="AB1578" s="210"/>
      <c r="AC1578" s="15"/>
      <c r="AD1578" s="15"/>
      <c r="AE1578" s="15"/>
      <c r="AF1578" s="244"/>
      <c r="AG1578" s="15"/>
      <c r="AH1578" s="15">
        <f t="shared" si="258"/>
        <v>0</v>
      </c>
      <c r="AI1578" s="22">
        <f t="shared" si="259"/>
        <v>50000</v>
      </c>
      <c r="AJ1578" s="22">
        <f t="shared" si="260"/>
        <v>530000000</v>
      </c>
      <c r="AK1578" s="13">
        <v>43884</v>
      </c>
    </row>
    <row r="1579" spans="1:37" s="165" customFormat="1" hidden="1">
      <c r="A1579" s="165" t="s">
        <v>1766</v>
      </c>
      <c r="B1579" s="13">
        <v>43543</v>
      </c>
      <c r="C1579" s="13" t="s">
        <v>1622</v>
      </c>
      <c r="D1579" s="165" t="s">
        <v>1162</v>
      </c>
      <c r="E1579" s="165" t="s">
        <v>1163</v>
      </c>
      <c r="F1579" s="165" t="str">
        <f t="shared" si="256"/>
        <v>BEAU_12.14_400_NL2018</v>
      </c>
      <c r="G1579" s="165" t="s">
        <v>1645</v>
      </c>
      <c r="H1579" s="12"/>
      <c r="I1579" s="12" t="s">
        <v>113</v>
      </c>
      <c r="J1579" s="14">
        <v>400</v>
      </c>
      <c r="K1579" s="15" t="s">
        <v>28</v>
      </c>
      <c r="L1579" s="15"/>
      <c r="M1579" s="16">
        <f t="shared" si="257"/>
        <v>75</v>
      </c>
      <c r="N1579" s="15">
        <v>30000</v>
      </c>
      <c r="O1579" s="15">
        <v>3000</v>
      </c>
      <c r="P1579" s="15">
        <f t="shared" ref="P1579:P1624" si="264">+O1579*N1579</f>
        <v>90000000</v>
      </c>
      <c r="Q1579" s="15" t="str">
        <f t="shared" si="262"/>
        <v/>
      </c>
      <c r="R1579" s="18" t="s">
        <v>63</v>
      </c>
      <c r="S1579" s="117">
        <v>43595</v>
      </c>
      <c r="T1579" s="20">
        <f>IFERROR(VLOOKUP(S1579,'Date Converter'!$A$4:$C$368,3,0),"")</f>
        <v>43628</v>
      </c>
      <c r="U1579" s="21">
        <f t="shared" si="263"/>
        <v>43628</v>
      </c>
      <c r="V1579" s="12" t="s">
        <v>1455</v>
      </c>
      <c r="W1579" s="18"/>
      <c r="X1579" s="18"/>
      <c r="Y1579" s="18"/>
      <c r="Z1579" s="210">
        <v>43643</v>
      </c>
      <c r="AA1579" s="15">
        <v>10000</v>
      </c>
      <c r="AB1579" s="210"/>
      <c r="AC1579" s="15"/>
      <c r="AD1579" s="15"/>
      <c r="AE1579" s="15"/>
      <c r="AF1579" s="244"/>
      <c r="AG1579" s="15"/>
      <c r="AH1579" s="15">
        <f t="shared" si="258"/>
        <v>10000</v>
      </c>
      <c r="AI1579" s="22">
        <f t="shared" si="259"/>
        <v>20000</v>
      </c>
      <c r="AJ1579" s="22">
        <f t="shared" si="260"/>
        <v>60000000</v>
      </c>
      <c r="AK1579" s="13"/>
    </row>
    <row r="1580" spans="1:37" s="165" customFormat="1" hidden="1">
      <c r="A1580" s="165" t="s">
        <v>1766</v>
      </c>
      <c r="B1580" s="13">
        <v>43543</v>
      </c>
      <c r="C1580" s="13" t="s">
        <v>1622</v>
      </c>
      <c r="D1580" s="165" t="s">
        <v>1162</v>
      </c>
      <c r="E1580" s="165" t="s">
        <v>1163</v>
      </c>
      <c r="F1580" s="165" t="str">
        <f t="shared" si="256"/>
        <v>BEAU_14.16_300_NL2018</v>
      </c>
      <c r="G1580" s="165" t="s">
        <v>1645</v>
      </c>
      <c r="H1580" s="12"/>
      <c r="I1580" s="12" t="s">
        <v>47</v>
      </c>
      <c r="J1580" s="14">
        <v>300</v>
      </c>
      <c r="K1580" s="15" t="s">
        <v>28</v>
      </c>
      <c r="L1580" s="15"/>
      <c r="M1580" s="16">
        <f t="shared" si="257"/>
        <v>67</v>
      </c>
      <c r="N1580" s="15">
        <v>20100</v>
      </c>
      <c r="O1580" s="15">
        <v>4500</v>
      </c>
      <c r="P1580" s="15">
        <f t="shared" si="264"/>
        <v>90450000</v>
      </c>
      <c r="Q1580" s="15" t="str">
        <f t="shared" si="262"/>
        <v/>
      </c>
      <c r="R1580" s="18" t="s">
        <v>63</v>
      </c>
      <c r="S1580" s="117">
        <v>43595</v>
      </c>
      <c r="T1580" s="20">
        <f>IFERROR(VLOOKUP(S1580,'Date Converter'!$A$4:$C$368,3,0),"")</f>
        <v>43628</v>
      </c>
      <c r="U1580" s="21">
        <f t="shared" si="263"/>
        <v>43628</v>
      </c>
      <c r="V1580" s="12" t="s">
        <v>1455</v>
      </c>
      <c r="W1580" s="18"/>
      <c r="X1580" s="18"/>
      <c r="Y1580" s="18"/>
      <c r="Z1580" s="210">
        <v>43643</v>
      </c>
      <c r="AA1580" s="15">
        <v>10200</v>
      </c>
      <c r="AB1580" s="210"/>
      <c r="AC1580" s="15"/>
      <c r="AD1580" s="15"/>
      <c r="AE1580" s="15"/>
      <c r="AF1580" s="244"/>
      <c r="AG1580" s="15"/>
      <c r="AH1580" s="15">
        <f t="shared" si="258"/>
        <v>10200</v>
      </c>
      <c r="AI1580" s="22">
        <f t="shared" si="259"/>
        <v>9900</v>
      </c>
      <c r="AJ1580" s="22">
        <f t="shared" si="260"/>
        <v>44550000</v>
      </c>
      <c r="AK1580" s="13"/>
    </row>
    <row r="1581" spans="1:37" s="165" customFormat="1" hidden="1">
      <c r="A1581" s="165" t="s">
        <v>1766</v>
      </c>
      <c r="B1581" s="13">
        <v>43539</v>
      </c>
      <c r="C1581" s="13" t="s">
        <v>1622</v>
      </c>
      <c r="D1581" s="165" t="s">
        <v>1162</v>
      </c>
      <c r="E1581" s="165" t="s">
        <v>1163</v>
      </c>
      <c r="F1581" s="165" t="str">
        <f t="shared" si="256"/>
        <v>ARVA_16.18_200_NL2018</v>
      </c>
      <c r="G1581" s="165" t="s">
        <v>85</v>
      </c>
      <c r="H1581" s="12"/>
      <c r="I1581" s="12" t="s">
        <v>35</v>
      </c>
      <c r="J1581" s="14">
        <v>200</v>
      </c>
      <c r="K1581" s="15" t="s">
        <v>28</v>
      </c>
      <c r="L1581" s="15"/>
      <c r="M1581" s="16">
        <f t="shared" si="257"/>
        <v>0</v>
      </c>
      <c r="N1581" s="15">
        <f>5000-5000</f>
        <v>0</v>
      </c>
      <c r="O1581" s="15">
        <v>5500</v>
      </c>
      <c r="P1581" s="15">
        <f t="shared" si="264"/>
        <v>0</v>
      </c>
      <c r="Q1581" s="15" t="str">
        <f t="shared" si="262"/>
        <v>Canceled</v>
      </c>
      <c r="R1581" s="18" t="s">
        <v>71</v>
      </c>
      <c r="S1581" s="117">
        <v>43539</v>
      </c>
      <c r="T1581" s="20">
        <f>IFERROR(VLOOKUP(S1581,'Date Converter'!$A$4:$C$368,3,0),"")</f>
        <v>43574</v>
      </c>
      <c r="U1581" s="21">
        <f t="shared" si="263"/>
        <v>43574</v>
      </c>
      <c r="V1581" s="12" t="s">
        <v>57</v>
      </c>
      <c r="W1581" s="18" t="s">
        <v>108</v>
      </c>
      <c r="X1581" s="18"/>
      <c r="Y1581" s="18"/>
      <c r="Z1581" s="210"/>
      <c r="AA1581" s="15">
        <v>0</v>
      </c>
      <c r="AB1581" s="210"/>
      <c r="AC1581" s="15"/>
      <c r="AD1581" s="15"/>
      <c r="AE1581" s="15"/>
      <c r="AF1581" s="244"/>
      <c r="AG1581" s="15"/>
      <c r="AH1581" s="15">
        <f t="shared" si="258"/>
        <v>0</v>
      </c>
      <c r="AI1581" s="22">
        <f t="shared" si="259"/>
        <v>0</v>
      </c>
      <c r="AJ1581" s="22">
        <f t="shared" si="260"/>
        <v>0</v>
      </c>
      <c r="AK1581" s="13"/>
    </row>
    <row r="1582" spans="1:37" s="165" customFormat="1" hidden="1">
      <c r="A1582" s="165" t="s">
        <v>1769</v>
      </c>
      <c r="B1582" s="13">
        <v>43575</v>
      </c>
      <c r="C1582" s="13" t="s">
        <v>1622</v>
      </c>
      <c r="D1582" s="165" t="s">
        <v>1162</v>
      </c>
      <c r="E1582" s="165" t="s">
        <v>1163</v>
      </c>
      <c r="F1582" s="165" t="str">
        <f t="shared" si="256"/>
        <v>ANGE_RL_12.14_400_NL2018</v>
      </c>
      <c r="G1582" s="165" t="s">
        <v>1757</v>
      </c>
      <c r="H1582" s="12" t="s">
        <v>219</v>
      </c>
      <c r="I1582" s="12" t="s">
        <v>113</v>
      </c>
      <c r="J1582" s="14">
        <v>400</v>
      </c>
      <c r="K1582" s="15" t="s">
        <v>28</v>
      </c>
      <c r="L1582" s="15"/>
      <c r="M1582" s="16">
        <f t="shared" si="257"/>
        <v>0</v>
      </c>
      <c r="N1582" s="15">
        <f>2400-2400</f>
        <v>0</v>
      </c>
      <c r="O1582" s="15">
        <v>8500</v>
      </c>
      <c r="P1582" s="15">
        <f t="shared" si="264"/>
        <v>0</v>
      </c>
      <c r="Q1582" s="15" t="str">
        <f t="shared" si="262"/>
        <v>Canceled</v>
      </c>
      <c r="R1582" s="18" t="s">
        <v>71</v>
      </c>
      <c r="S1582" s="117">
        <v>43572</v>
      </c>
      <c r="T1582" s="20">
        <f>IFERROR(VLOOKUP(S1582,'Date Converter'!$A$4:$C$368,3,0),"")</f>
        <v>43606</v>
      </c>
      <c r="U1582" s="21">
        <f t="shared" si="263"/>
        <v>43606</v>
      </c>
      <c r="V1582" s="12" t="s">
        <v>1416</v>
      </c>
      <c r="W1582" s="18"/>
      <c r="X1582" s="18"/>
      <c r="Y1582" s="18"/>
      <c r="Z1582" s="210"/>
      <c r="AA1582" s="15"/>
      <c r="AB1582" s="210"/>
      <c r="AC1582" s="15"/>
      <c r="AD1582" s="15"/>
      <c r="AE1582" s="15"/>
      <c r="AF1582" s="244"/>
      <c r="AG1582" s="15"/>
      <c r="AH1582" s="15">
        <f t="shared" si="258"/>
        <v>0</v>
      </c>
      <c r="AI1582" s="22">
        <f t="shared" si="259"/>
        <v>0</v>
      </c>
      <c r="AJ1582" s="22">
        <f t="shared" si="260"/>
        <v>0</v>
      </c>
      <c r="AK1582" s="13"/>
    </row>
    <row r="1583" spans="1:37" s="165" customFormat="1" hidden="1">
      <c r="A1583" s="165" t="s">
        <v>1770</v>
      </c>
      <c r="B1583" s="13">
        <v>43509</v>
      </c>
      <c r="C1583" s="13" t="s">
        <v>1622</v>
      </c>
      <c r="D1583" s="165" t="s">
        <v>1065</v>
      </c>
      <c r="E1583" s="165" t="s">
        <v>1066</v>
      </c>
      <c r="F1583" s="165" t="str">
        <f t="shared" si="256"/>
        <v>TARR_16.18_200_NL2018</v>
      </c>
      <c r="G1583" s="165" t="s">
        <v>62</v>
      </c>
      <c r="H1583" s="12"/>
      <c r="I1583" s="12" t="s">
        <v>35</v>
      </c>
      <c r="J1583" s="14">
        <v>200</v>
      </c>
      <c r="K1583" s="15" t="s">
        <v>28</v>
      </c>
      <c r="L1583" s="15"/>
      <c r="M1583" s="16">
        <f t="shared" si="257"/>
        <v>100</v>
      </c>
      <c r="N1583" s="15">
        <v>20000</v>
      </c>
      <c r="O1583" s="15">
        <v>5500</v>
      </c>
      <c r="P1583" s="15">
        <f t="shared" si="264"/>
        <v>110000000</v>
      </c>
      <c r="Q1583" s="15" t="str">
        <f t="shared" si="262"/>
        <v>Done</v>
      </c>
      <c r="R1583" s="18" t="s">
        <v>44</v>
      </c>
      <c r="S1583" s="117">
        <v>43480</v>
      </c>
      <c r="T1583" s="20">
        <f>IFERROR(VLOOKUP(S1583,'Date Converter'!$A$4:$C$368,3,0),"")</f>
        <v>43515</v>
      </c>
      <c r="U1583" s="21">
        <f t="shared" si="263"/>
        <v>43515</v>
      </c>
      <c r="V1583" s="12" t="s">
        <v>45</v>
      </c>
      <c r="W1583" s="18"/>
      <c r="X1583" s="18"/>
      <c r="Y1583" s="18"/>
      <c r="Z1583" s="210">
        <v>43515</v>
      </c>
      <c r="AA1583" s="15">
        <v>20000</v>
      </c>
      <c r="AB1583" s="210"/>
      <c r="AC1583" s="15"/>
      <c r="AD1583" s="15"/>
      <c r="AE1583" s="15"/>
      <c r="AF1583" s="244"/>
      <c r="AG1583" s="15"/>
      <c r="AH1583" s="15">
        <f t="shared" si="258"/>
        <v>20000</v>
      </c>
      <c r="AI1583" s="22">
        <f t="shared" si="259"/>
        <v>0</v>
      </c>
      <c r="AJ1583" s="22">
        <f t="shared" si="260"/>
        <v>0</v>
      </c>
      <c r="AK1583" s="13">
        <v>43886</v>
      </c>
    </row>
    <row r="1584" spans="1:37" s="165" customFormat="1" hidden="1">
      <c r="A1584" s="165" t="s">
        <v>2367</v>
      </c>
      <c r="B1584" s="13">
        <v>43637</v>
      </c>
      <c r="C1584" s="267" t="s">
        <v>1622</v>
      </c>
      <c r="D1584" s="258" t="s">
        <v>1065</v>
      </c>
      <c r="E1584" s="165" t="s">
        <v>1066</v>
      </c>
      <c r="F1584" s="165" t="str">
        <f t="shared" si="256"/>
        <v>TARR_20.22_125_NL2018</v>
      </c>
      <c r="G1584" s="165" t="s">
        <v>62</v>
      </c>
      <c r="H1584" s="12"/>
      <c r="I1584" s="12" t="s">
        <v>74</v>
      </c>
      <c r="J1584" s="14">
        <v>125</v>
      </c>
      <c r="K1584" s="15" t="s">
        <v>28</v>
      </c>
      <c r="L1584" s="15"/>
      <c r="M1584" s="16">
        <f t="shared" si="257"/>
        <v>80</v>
      </c>
      <c r="N1584" s="15">
        <v>10000</v>
      </c>
      <c r="O1584" s="15">
        <v>11000</v>
      </c>
      <c r="P1584" s="15">
        <f t="shared" si="264"/>
        <v>110000000</v>
      </c>
      <c r="Q1584" s="15" t="str">
        <f t="shared" si="262"/>
        <v/>
      </c>
      <c r="R1584" s="18" t="s">
        <v>29</v>
      </c>
      <c r="S1584" s="117">
        <v>43709</v>
      </c>
      <c r="T1584" s="20">
        <f>IFERROR(VLOOKUP(S1584,'Date Converter'!$A$4:$C$368,3,0),"")</f>
        <v>43737</v>
      </c>
      <c r="U1584" s="21">
        <f t="shared" si="263"/>
        <v>43737</v>
      </c>
      <c r="V1584" s="12" t="s">
        <v>51</v>
      </c>
      <c r="W1584" s="18"/>
      <c r="X1584" s="18"/>
      <c r="Y1584" s="18"/>
      <c r="Z1584" s="210"/>
      <c r="AA1584" s="15"/>
      <c r="AB1584" s="210"/>
      <c r="AC1584" s="15"/>
      <c r="AD1584" s="15"/>
      <c r="AE1584" s="15"/>
      <c r="AF1584" s="244"/>
      <c r="AG1584" s="15"/>
      <c r="AH1584" s="15">
        <f t="shared" si="258"/>
        <v>0</v>
      </c>
      <c r="AI1584" s="22">
        <f t="shared" si="259"/>
        <v>10000</v>
      </c>
      <c r="AJ1584" s="22">
        <f t="shared" si="260"/>
        <v>110000000</v>
      </c>
      <c r="AK1584" s="13"/>
    </row>
    <row r="1585" spans="1:38" s="165" customFormat="1" hidden="1">
      <c r="A1585" s="165" t="s">
        <v>1770</v>
      </c>
      <c r="B1585" s="13">
        <v>43509</v>
      </c>
      <c r="C1585" s="13" t="s">
        <v>1622</v>
      </c>
      <c r="D1585" s="165" t="s">
        <v>1065</v>
      </c>
      <c r="E1585" s="165" t="s">
        <v>1066</v>
      </c>
      <c r="F1585" s="165" t="str">
        <f t="shared" ref="F1585:F1642" si="265">SUBSTITUTE(LEFT(G1585,4)&amp;"_"&amp;H1585&amp;"_"&amp;I1585&amp;"_"&amp;J1585&amp;"_"&amp;K1585,"__","_")</f>
        <v>ROBI_18.20_150_NL2018</v>
      </c>
      <c r="G1585" s="165" t="s">
        <v>61</v>
      </c>
      <c r="H1585" s="12"/>
      <c r="I1585" s="12" t="s">
        <v>27</v>
      </c>
      <c r="J1585" s="14">
        <v>150</v>
      </c>
      <c r="K1585" s="15" t="s">
        <v>28</v>
      </c>
      <c r="L1585" s="15"/>
      <c r="M1585" s="16">
        <f t="shared" ref="M1585:M1642" si="266">+N1585/J1585</f>
        <v>67</v>
      </c>
      <c r="N1585" s="15">
        <v>10050</v>
      </c>
      <c r="O1585" s="15">
        <v>6300</v>
      </c>
      <c r="P1585" s="15">
        <f t="shared" si="264"/>
        <v>63315000</v>
      </c>
      <c r="Q1585" s="15" t="str">
        <f t="shared" si="262"/>
        <v>Done</v>
      </c>
      <c r="R1585" s="18" t="s">
        <v>44</v>
      </c>
      <c r="S1585" s="117">
        <v>43539</v>
      </c>
      <c r="T1585" s="20">
        <f>IFERROR(VLOOKUP(S1585,'Date Converter'!$A$4:$C$368,3,0),"")</f>
        <v>43574</v>
      </c>
      <c r="U1585" s="21">
        <f t="shared" si="263"/>
        <v>43574</v>
      </c>
      <c r="V1585" s="12" t="s">
        <v>57</v>
      </c>
      <c r="W1585" s="18" t="s">
        <v>118</v>
      </c>
      <c r="X1585" s="18"/>
      <c r="Y1585" s="18"/>
      <c r="Z1585" s="210">
        <v>43584</v>
      </c>
      <c r="AA1585" s="15">
        <v>10050</v>
      </c>
      <c r="AB1585" s="210"/>
      <c r="AC1585" s="15"/>
      <c r="AD1585" s="15"/>
      <c r="AE1585" s="15"/>
      <c r="AF1585" s="244"/>
      <c r="AG1585" s="15"/>
      <c r="AH1585" s="15">
        <f t="shared" ref="AH1585:AH1642" si="267">+AA1585+AC1585+AE1585+AG1585</f>
        <v>10050</v>
      </c>
      <c r="AI1585" s="22">
        <f t="shared" ref="AI1585:AI1642" si="268">+N1585-AH1585</f>
        <v>0</v>
      </c>
      <c r="AJ1585" s="22">
        <f t="shared" ref="AJ1585:AJ1642" si="269">+AI1585*O1585</f>
        <v>0</v>
      </c>
      <c r="AK1585" s="13">
        <v>43886</v>
      </c>
    </row>
    <row r="1586" spans="1:38" s="165" customFormat="1" hidden="1">
      <c r="A1586" s="165" t="s">
        <v>1770</v>
      </c>
      <c r="B1586" s="13">
        <v>43619</v>
      </c>
      <c r="C1586" s="13" t="s">
        <v>1622</v>
      </c>
      <c r="D1586" s="165" t="s">
        <v>1065</v>
      </c>
      <c r="E1586" s="165" t="s">
        <v>1066</v>
      </c>
      <c r="F1586" s="165" t="str">
        <f t="shared" si="265"/>
        <v>ROBI_14.16_300_NL2018</v>
      </c>
      <c r="G1586" s="165" t="s">
        <v>61</v>
      </c>
      <c r="H1586" s="12"/>
      <c r="I1586" s="12" t="s">
        <v>47</v>
      </c>
      <c r="J1586" s="14">
        <v>300</v>
      </c>
      <c r="K1586" s="15" t="s">
        <v>28</v>
      </c>
      <c r="L1586" s="15"/>
      <c r="M1586" s="16">
        <f t="shared" si="266"/>
        <v>10</v>
      </c>
      <c r="N1586" s="15">
        <f>1800+1200</f>
        <v>3000</v>
      </c>
      <c r="O1586" s="15">
        <v>3800</v>
      </c>
      <c r="P1586" s="15">
        <f t="shared" si="264"/>
        <v>11400000</v>
      </c>
      <c r="Q1586" s="15" t="str">
        <f t="shared" si="262"/>
        <v>Done</v>
      </c>
      <c r="R1586" s="18" t="s">
        <v>44</v>
      </c>
      <c r="S1586" s="117">
        <v>43590</v>
      </c>
      <c r="T1586" s="20">
        <f>IFERROR(VLOOKUP(S1586,'Date Converter'!$A$4:$C$368,3,0),"")</f>
        <v>43623</v>
      </c>
      <c r="U1586" s="21">
        <f t="shared" si="263"/>
        <v>43623</v>
      </c>
      <c r="V1586" s="12"/>
      <c r="W1586" s="18"/>
      <c r="X1586" s="18"/>
      <c r="Y1586" s="18"/>
      <c r="Z1586" s="210">
        <v>43633</v>
      </c>
      <c r="AA1586" s="15">
        <v>3000</v>
      </c>
      <c r="AB1586" s="210"/>
      <c r="AC1586" s="15"/>
      <c r="AD1586" s="15"/>
      <c r="AE1586" s="15"/>
      <c r="AF1586" s="244"/>
      <c r="AG1586" s="15"/>
      <c r="AH1586" s="15">
        <f t="shared" si="267"/>
        <v>3000</v>
      </c>
      <c r="AI1586" s="22">
        <f t="shared" si="268"/>
        <v>0</v>
      </c>
      <c r="AJ1586" s="22">
        <f t="shared" si="269"/>
        <v>0</v>
      </c>
      <c r="AK1586" s="13"/>
    </row>
    <row r="1587" spans="1:38" s="165" customFormat="1" hidden="1">
      <c r="A1587" s="165" t="s">
        <v>1770</v>
      </c>
      <c r="B1587" s="13">
        <v>43616</v>
      </c>
      <c r="C1587" s="13" t="s">
        <v>1622</v>
      </c>
      <c r="D1587" s="165" t="s">
        <v>1065</v>
      </c>
      <c r="E1587" s="165" t="s">
        <v>1066</v>
      </c>
      <c r="F1587" s="165" t="str">
        <f t="shared" si="265"/>
        <v>ROBI_14.16_300_NL2018</v>
      </c>
      <c r="G1587" s="165" t="s">
        <v>61</v>
      </c>
      <c r="H1587" s="12"/>
      <c r="I1587" s="12" t="s">
        <v>47</v>
      </c>
      <c r="J1587" s="14">
        <v>300</v>
      </c>
      <c r="K1587" s="15" t="s">
        <v>28</v>
      </c>
      <c r="L1587" s="15"/>
      <c r="M1587" s="16">
        <f t="shared" si="266"/>
        <v>0</v>
      </c>
      <c r="N1587" s="15">
        <f>5700-5700</f>
        <v>0</v>
      </c>
      <c r="O1587" s="15">
        <v>3800</v>
      </c>
      <c r="P1587" s="15">
        <f t="shared" si="264"/>
        <v>0</v>
      </c>
      <c r="Q1587" s="15" t="str">
        <f t="shared" si="262"/>
        <v>Canceled</v>
      </c>
      <c r="R1587" s="18" t="s">
        <v>71</v>
      </c>
      <c r="S1587" s="117">
        <v>43590</v>
      </c>
      <c r="T1587" s="20">
        <f>IFERROR(VLOOKUP(S1587,'Date Converter'!$A$4:$C$368,3,0),"")</f>
        <v>43623</v>
      </c>
      <c r="U1587" s="21">
        <f t="shared" si="263"/>
        <v>43623</v>
      </c>
      <c r="V1587" s="12"/>
      <c r="W1587" s="18"/>
      <c r="X1587" s="18"/>
      <c r="Y1587" s="18"/>
      <c r="Z1587" s="210"/>
      <c r="AA1587" s="15"/>
      <c r="AB1587" s="210"/>
      <c r="AC1587" s="15"/>
      <c r="AD1587" s="15"/>
      <c r="AE1587" s="15"/>
      <c r="AF1587" s="244"/>
      <c r="AG1587" s="15"/>
      <c r="AH1587" s="15">
        <f t="shared" si="267"/>
        <v>0</v>
      </c>
      <c r="AI1587" s="22">
        <f t="shared" si="268"/>
        <v>0</v>
      </c>
      <c r="AJ1587" s="22">
        <f t="shared" si="269"/>
        <v>0</v>
      </c>
      <c r="AK1587" s="13"/>
    </row>
    <row r="1588" spans="1:38" s="165" customFormat="1" hidden="1">
      <c r="A1588" s="165" t="s">
        <v>2367</v>
      </c>
      <c r="B1588" s="13">
        <v>43637</v>
      </c>
      <c r="C1588" s="267" t="s">
        <v>1622</v>
      </c>
      <c r="D1588" s="258" t="s">
        <v>1065</v>
      </c>
      <c r="E1588" s="165" t="s">
        <v>1066</v>
      </c>
      <c r="F1588" s="165" t="str">
        <f t="shared" si="265"/>
        <v>ROBI_24.26_80_NL2018</v>
      </c>
      <c r="G1588" s="165" t="s">
        <v>61</v>
      </c>
      <c r="H1588" s="12"/>
      <c r="I1588" s="12" t="s">
        <v>220</v>
      </c>
      <c r="J1588" s="14">
        <v>80</v>
      </c>
      <c r="K1588" s="15" t="s">
        <v>28</v>
      </c>
      <c r="L1588" s="15"/>
      <c r="M1588" s="16">
        <f t="shared" si="266"/>
        <v>63</v>
      </c>
      <c r="N1588" s="15">
        <f>10000-4960</f>
        <v>5040</v>
      </c>
      <c r="O1588" s="15">
        <v>15300</v>
      </c>
      <c r="P1588" s="15">
        <f t="shared" si="264"/>
        <v>77112000</v>
      </c>
      <c r="Q1588" s="15" t="str">
        <f t="shared" si="262"/>
        <v/>
      </c>
      <c r="R1588" s="18" t="s">
        <v>29</v>
      </c>
      <c r="S1588" s="117">
        <v>43709</v>
      </c>
      <c r="T1588" s="20">
        <f>IFERROR(VLOOKUP(S1588,'Date Converter'!$A$4:$C$368,3,0),"")</f>
        <v>43737</v>
      </c>
      <c r="U1588" s="21">
        <f t="shared" ref="U1588:U1616" si="270">+T1588</f>
        <v>43737</v>
      </c>
      <c r="V1588" s="12" t="s">
        <v>51</v>
      </c>
      <c r="W1588" s="18"/>
      <c r="X1588" s="18"/>
      <c r="Y1588" s="18"/>
      <c r="Z1588" s="210"/>
      <c r="AA1588" s="15"/>
      <c r="AB1588" s="210"/>
      <c r="AC1588" s="15"/>
      <c r="AD1588" s="15"/>
      <c r="AE1588" s="15"/>
      <c r="AF1588" s="244"/>
      <c r="AG1588" s="15"/>
      <c r="AH1588" s="15">
        <f t="shared" si="267"/>
        <v>0</v>
      </c>
      <c r="AI1588" s="22">
        <f t="shared" si="268"/>
        <v>5040</v>
      </c>
      <c r="AJ1588" s="22">
        <f t="shared" si="269"/>
        <v>77112000</v>
      </c>
      <c r="AK1588" s="13"/>
    </row>
    <row r="1589" spans="1:38" s="165" customFormat="1" hidden="1">
      <c r="A1589" s="165" t="s">
        <v>1770</v>
      </c>
      <c r="B1589" s="13">
        <v>43509</v>
      </c>
      <c r="C1589" s="13" t="s">
        <v>1622</v>
      </c>
      <c r="D1589" s="165" t="s">
        <v>1065</v>
      </c>
      <c r="E1589" s="165" t="s">
        <v>1066</v>
      </c>
      <c r="F1589" s="165" t="str">
        <f t="shared" si="265"/>
        <v>MARE_16.18_200_NL2018</v>
      </c>
      <c r="G1589" s="165" t="s">
        <v>52</v>
      </c>
      <c r="H1589" s="12"/>
      <c r="I1589" s="12" t="s">
        <v>35</v>
      </c>
      <c r="J1589" s="14">
        <v>200</v>
      </c>
      <c r="K1589" s="15" t="s">
        <v>28</v>
      </c>
      <c r="L1589" s="15"/>
      <c r="M1589" s="16">
        <f t="shared" si="266"/>
        <v>25</v>
      </c>
      <c r="N1589" s="15">
        <v>5000</v>
      </c>
      <c r="O1589" s="15">
        <v>6000</v>
      </c>
      <c r="P1589" s="15">
        <f t="shared" si="264"/>
        <v>30000000</v>
      </c>
      <c r="Q1589" s="15" t="str">
        <f t="shared" si="262"/>
        <v>Done</v>
      </c>
      <c r="R1589" s="18" t="s">
        <v>44</v>
      </c>
      <c r="S1589" s="117" t="s">
        <v>151</v>
      </c>
      <c r="T1589" s="20">
        <f>IFERROR(VLOOKUP(S1589,'Date Converter'!$A$4:$C$368,3,0),"")</f>
        <v>43558</v>
      </c>
      <c r="U1589" s="21">
        <f t="shared" si="270"/>
        <v>43558</v>
      </c>
      <c r="V1589" s="12" t="s">
        <v>1775</v>
      </c>
      <c r="W1589" s="18" t="s">
        <v>55</v>
      </c>
      <c r="X1589" s="18"/>
      <c r="Y1589" s="18"/>
      <c r="Z1589" s="210">
        <v>43584</v>
      </c>
      <c r="AA1589" s="15">
        <v>5000</v>
      </c>
      <c r="AB1589" s="210"/>
      <c r="AC1589" s="15"/>
      <c r="AD1589" s="15"/>
      <c r="AE1589" s="15"/>
      <c r="AF1589" s="244"/>
      <c r="AG1589" s="15"/>
      <c r="AH1589" s="15">
        <f t="shared" si="267"/>
        <v>5000</v>
      </c>
      <c r="AI1589" s="22">
        <f t="shared" si="268"/>
        <v>0</v>
      </c>
      <c r="AJ1589" s="22">
        <f t="shared" si="269"/>
        <v>0</v>
      </c>
      <c r="AK1589" s="13">
        <v>43886</v>
      </c>
    </row>
    <row r="1590" spans="1:38" s="165" customFormat="1" hidden="1">
      <c r="A1590" s="165" t="s">
        <v>1770</v>
      </c>
      <c r="B1590" s="13">
        <v>43509</v>
      </c>
      <c r="C1590" s="13" t="s">
        <v>1622</v>
      </c>
      <c r="D1590" s="165" t="s">
        <v>1065</v>
      </c>
      <c r="E1590" s="165" t="s">
        <v>1066</v>
      </c>
      <c r="F1590" s="165" t="str">
        <f t="shared" si="265"/>
        <v>DALI_14.16_300_NL2018</v>
      </c>
      <c r="G1590" s="165" t="s">
        <v>46</v>
      </c>
      <c r="H1590" s="12"/>
      <c r="I1590" s="12" t="s">
        <v>47</v>
      </c>
      <c r="J1590" s="14">
        <v>300</v>
      </c>
      <c r="K1590" s="15" t="s">
        <v>28</v>
      </c>
      <c r="L1590" s="15"/>
      <c r="M1590" s="16">
        <f t="shared" si="266"/>
        <v>34</v>
      </c>
      <c r="N1590" s="15">
        <v>10200</v>
      </c>
      <c r="O1590" s="15">
        <v>5300</v>
      </c>
      <c r="P1590" s="15">
        <f t="shared" si="264"/>
        <v>54060000</v>
      </c>
      <c r="Q1590" s="15" t="str">
        <f t="shared" si="262"/>
        <v>Done</v>
      </c>
      <c r="R1590" s="18" t="s">
        <v>44</v>
      </c>
      <c r="S1590" s="117">
        <v>43539</v>
      </c>
      <c r="T1590" s="20">
        <f>IFERROR(VLOOKUP(S1590,'Date Converter'!$A$4:$C$368,3,0),"")</f>
        <v>43574</v>
      </c>
      <c r="U1590" s="21">
        <f t="shared" si="270"/>
        <v>43574</v>
      </c>
      <c r="V1590" s="12" t="s">
        <v>57</v>
      </c>
      <c r="W1590" s="18" t="s">
        <v>58</v>
      </c>
      <c r="X1590" s="18"/>
      <c r="Y1590" s="18"/>
      <c r="Z1590" s="210">
        <v>43584</v>
      </c>
      <c r="AA1590" s="15">
        <v>10200</v>
      </c>
      <c r="AB1590" s="210"/>
      <c r="AC1590" s="15"/>
      <c r="AD1590" s="15"/>
      <c r="AE1590" s="15"/>
      <c r="AF1590" s="244"/>
      <c r="AG1590" s="15"/>
      <c r="AH1590" s="15">
        <f t="shared" si="267"/>
        <v>10200</v>
      </c>
      <c r="AI1590" s="22">
        <f t="shared" si="268"/>
        <v>0</v>
      </c>
      <c r="AJ1590" s="22">
        <f t="shared" si="269"/>
        <v>0</v>
      </c>
      <c r="AK1590" s="13">
        <v>43886</v>
      </c>
    </row>
    <row r="1591" spans="1:38" s="165" customFormat="1" hidden="1">
      <c r="A1591" s="165" t="s">
        <v>1770</v>
      </c>
      <c r="B1591" s="13">
        <v>43509</v>
      </c>
      <c r="C1591" s="13" t="s">
        <v>1622</v>
      </c>
      <c r="D1591" s="165" t="s">
        <v>1065</v>
      </c>
      <c r="E1591" s="165" t="s">
        <v>1066</v>
      </c>
      <c r="F1591" s="165" t="str">
        <f t="shared" si="265"/>
        <v>CONC_16.18_200_NL2018</v>
      </c>
      <c r="G1591" s="165" t="s">
        <v>43</v>
      </c>
      <c r="H1591" s="12"/>
      <c r="I1591" s="12" t="s">
        <v>35</v>
      </c>
      <c r="J1591" s="14">
        <v>200</v>
      </c>
      <c r="K1591" s="15" t="s">
        <v>28</v>
      </c>
      <c r="L1591" s="15"/>
      <c r="M1591" s="16">
        <f t="shared" si="266"/>
        <v>50</v>
      </c>
      <c r="N1591" s="15">
        <v>10000</v>
      </c>
      <c r="O1591" s="15">
        <v>4600</v>
      </c>
      <c r="P1591" s="15">
        <f t="shared" si="264"/>
        <v>46000000</v>
      </c>
      <c r="Q1591" s="15" t="str">
        <f t="shared" si="262"/>
        <v>Done</v>
      </c>
      <c r="R1591" s="18" t="s">
        <v>44</v>
      </c>
      <c r="S1591" s="117">
        <v>43480</v>
      </c>
      <c r="T1591" s="20">
        <f>IFERROR(VLOOKUP(S1591,'Date Converter'!$A$4:$C$368,3,0),"")</f>
        <v>43515</v>
      </c>
      <c r="U1591" s="21">
        <f t="shared" si="270"/>
        <v>43515</v>
      </c>
      <c r="V1591" s="12" t="s">
        <v>45</v>
      </c>
      <c r="W1591" s="18"/>
      <c r="X1591" s="18"/>
      <c r="Y1591" s="18"/>
      <c r="Z1591" s="210">
        <v>43515</v>
      </c>
      <c r="AA1591" s="15">
        <v>10000</v>
      </c>
      <c r="AB1591" s="210"/>
      <c r="AC1591" s="15"/>
      <c r="AD1591" s="15"/>
      <c r="AE1591" s="15"/>
      <c r="AF1591" s="244"/>
      <c r="AG1591" s="15"/>
      <c r="AH1591" s="15">
        <f t="shared" si="267"/>
        <v>10000</v>
      </c>
      <c r="AI1591" s="22">
        <f t="shared" si="268"/>
        <v>0</v>
      </c>
      <c r="AJ1591" s="22">
        <f t="shared" si="269"/>
        <v>0</v>
      </c>
      <c r="AK1591" s="13">
        <v>43884</v>
      </c>
    </row>
    <row r="1592" spans="1:38" s="165" customFormat="1" hidden="1">
      <c r="A1592" s="165" t="s">
        <v>1770</v>
      </c>
      <c r="B1592" s="13">
        <v>43509</v>
      </c>
      <c r="C1592" s="13" t="s">
        <v>1622</v>
      </c>
      <c r="D1592" s="165" t="s">
        <v>1065</v>
      </c>
      <c r="E1592" s="165" t="s">
        <v>1066</v>
      </c>
      <c r="F1592" s="165" t="str">
        <f t="shared" si="265"/>
        <v>CONC_16.18_200_NL2018</v>
      </c>
      <c r="G1592" s="165" t="s">
        <v>43</v>
      </c>
      <c r="H1592" s="12"/>
      <c r="I1592" s="12" t="s">
        <v>35</v>
      </c>
      <c r="J1592" s="14">
        <v>200</v>
      </c>
      <c r="K1592" s="15" t="s">
        <v>28</v>
      </c>
      <c r="L1592" s="15"/>
      <c r="M1592" s="16">
        <f t="shared" si="266"/>
        <v>0</v>
      </c>
      <c r="N1592" s="15">
        <f>10000-10000</f>
        <v>0</v>
      </c>
      <c r="O1592" s="15">
        <v>4700</v>
      </c>
      <c r="P1592" s="15">
        <f t="shared" si="264"/>
        <v>0</v>
      </c>
      <c r="Q1592" s="15" t="str">
        <f t="shared" si="262"/>
        <v>Canceled</v>
      </c>
      <c r="R1592" s="18" t="s">
        <v>71</v>
      </c>
      <c r="S1592" s="117">
        <v>43480</v>
      </c>
      <c r="T1592" s="20">
        <f>IFERROR(VLOOKUP(S1592,'Date Converter'!$A$4:$C$368,3,0),"")</f>
        <v>43515</v>
      </c>
      <c r="U1592" s="21">
        <f t="shared" si="270"/>
        <v>43515</v>
      </c>
      <c r="V1592" s="12" t="s">
        <v>45</v>
      </c>
      <c r="W1592" s="18"/>
      <c r="X1592" s="18"/>
      <c r="Y1592" s="18"/>
      <c r="Z1592" s="210"/>
      <c r="AA1592" s="15">
        <v>0</v>
      </c>
      <c r="AB1592" s="210"/>
      <c r="AC1592" s="15"/>
      <c r="AD1592" s="15"/>
      <c r="AE1592" s="15"/>
      <c r="AF1592" s="244"/>
      <c r="AG1592" s="15"/>
      <c r="AH1592" s="15">
        <f t="shared" si="267"/>
        <v>0</v>
      </c>
      <c r="AI1592" s="22">
        <f t="shared" si="268"/>
        <v>0</v>
      </c>
      <c r="AJ1592" s="22">
        <f t="shared" si="269"/>
        <v>0</v>
      </c>
      <c r="AK1592" s="13">
        <v>43884</v>
      </c>
    </row>
    <row r="1593" spans="1:38" s="165" customFormat="1" hidden="1">
      <c r="A1593" s="165" t="s">
        <v>2367</v>
      </c>
      <c r="B1593" s="13">
        <v>43637</v>
      </c>
      <c r="C1593" s="267" t="s">
        <v>1622</v>
      </c>
      <c r="D1593" s="258" t="s">
        <v>1065</v>
      </c>
      <c r="E1593" s="165" t="s">
        <v>1066</v>
      </c>
      <c r="F1593" s="165" t="str">
        <f t="shared" si="265"/>
        <v>CONC_20.22_125_NL2018</v>
      </c>
      <c r="G1593" s="165" t="s">
        <v>43</v>
      </c>
      <c r="H1593" s="12"/>
      <c r="I1593" s="12" t="s">
        <v>74</v>
      </c>
      <c r="J1593" s="14">
        <v>125</v>
      </c>
      <c r="K1593" s="15" t="s">
        <v>28</v>
      </c>
      <c r="L1593" s="15"/>
      <c r="M1593" s="16">
        <f t="shared" si="266"/>
        <v>80</v>
      </c>
      <c r="N1593" s="15">
        <v>10000</v>
      </c>
      <c r="O1593" s="15">
        <v>10600</v>
      </c>
      <c r="P1593" s="15">
        <f t="shared" si="264"/>
        <v>106000000</v>
      </c>
      <c r="Q1593" s="15" t="str">
        <f t="shared" si="262"/>
        <v/>
      </c>
      <c r="R1593" s="18" t="s">
        <v>29</v>
      </c>
      <c r="S1593" s="117">
        <v>43709</v>
      </c>
      <c r="T1593" s="20">
        <f>IFERROR(VLOOKUP(S1593,'Date Converter'!$A$4:$C$368,3,0),"")</f>
        <v>43737</v>
      </c>
      <c r="U1593" s="21">
        <f t="shared" si="270"/>
        <v>43737</v>
      </c>
      <c r="V1593" s="12" t="s">
        <v>51</v>
      </c>
      <c r="W1593" s="18"/>
      <c r="X1593" s="18"/>
      <c r="Y1593" s="18"/>
      <c r="Z1593" s="210"/>
      <c r="AA1593" s="15"/>
      <c r="AB1593" s="210"/>
      <c r="AC1593" s="15"/>
      <c r="AD1593" s="15"/>
      <c r="AE1593" s="15"/>
      <c r="AF1593" s="244"/>
      <c r="AG1593" s="15"/>
      <c r="AH1593" s="15">
        <f t="shared" si="267"/>
        <v>0</v>
      </c>
      <c r="AI1593" s="22">
        <f t="shared" si="268"/>
        <v>10000</v>
      </c>
      <c r="AJ1593" s="22">
        <f t="shared" si="269"/>
        <v>106000000</v>
      </c>
      <c r="AK1593" s="13"/>
    </row>
    <row r="1594" spans="1:38" s="165" customFormat="1" hidden="1">
      <c r="A1594" s="165" t="s">
        <v>394</v>
      </c>
      <c r="B1594" s="13">
        <v>43545</v>
      </c>
      <c r="C1594" s="13" t="s">
        <v>23</v>
      </c>
      <c r="D1594" s="165" t="s">
        <v>395</v>
      </c>
      <c r="E1594" s="119" t="s">
        <v>396</v>
      </c>
      <c r="F1594" s="165" t="str">
        <f t="shared" si="265"/>
        <v>TARR_14.16_300_NL2018</v>
      </c>
      <c r="G1594" s="13" t="s">
        <v>62</v>
      </c>
      <c r="H1594" s="12"/>
      <c r="I1594" s="12" t="s">
        <v>47</v>
      </c>
      <c r="J1594" s="31" t="s">
        <v>124</v>
      </c>
      <c r="K1594" s="15" t="s">
        <v>28</v>
      </c>
      <c r="L1594" s="15"/>
      <c r="M1594" s="16">
        <f t="shared" si="266"/>
        <v>0</v>
      </c>
      <c r="N1594" s="15">
        <f>10200-10200</f>
        <v>0</v>
      </c>
      <c r="O1594" s="15">
        <v>4600</v>
      </c>
      <c r="P1594" s="15">
        <f t="shared" si="264"/>
        <v>0</v>
      </c>
      <c r="Q1594" s="15" t="str">
        <f t="shared" si="262"/>
        <v>Canceled</v>
      </c>
      <c r="R1594" s="18" t="s">
        <v>71</v>
      </c>
      <c r="S1594" s="23">
        <v>43572</v>
      </c>
      <c r="T1594" s="20">
        <f>IFERROR(VLOOKUP(S1594,'Date Converter'!$A$4:$C$368,3,0),"")</f>
        <v>43606</v>
      </c>
      <c r="U1594" s="21">
        <f t="shared" si="270"/>
        <v>43606</v>
      </c>
      <c r="V1594" s="12" t="s">
        <v>397</v>
      </c>
      <c r="W1594" s="18"/>
      <c r="X1594" s="18"/>
      <c r="Y1594" s="12"/>
      <c r="Z1594" s="206"/>
      <c r="AA1594" s="15"/>
      <c r="AB1594" s="206"/>
      <c r="AC1594" s="12"/>
      <c r="AD1594" s="206"/>
      <c r="AE1594" s="12"/>
      <c r="AF1594" s="245"/>
      <c r="AG1594" s="12"/>
      <c r="AH1594" s="15">
        <f t="shared" si="267"/>
        <v>0</v>
      </c>
      <c r="AI1594" s="22">
        <f t="shared" si="268"/>
        <v>0</v>
      </c>
      <c r="AJ1594" s="22">
        <f t="shared" si="269"/>
        <v>0</v>
      </c>
      <c r="AL1594" s="165" t="s">
        <v>1736</v>
      </c>
    </row>
    <row r="1595" spans="1:38" s="165" customFormat="1" hidden="1">
      <c r="A1595" s="165" t="s">
        <v>394</v>
      </c>
      <c r="B1595" s="13">
        <v>43545</v>
      </c>
      <c r="C1595" s="13" t="s">
        <v>23</v>
      </c>
      <c r="D1595" s="165" t="s">
        <v>395</v>
      </c>
      <c r="E1595" s="119" t="s">
        <v>396</v>
      </c>
      <c r="F1595" s="165" t="str">
        <f t="shared" si="265"/>
        <v>TARR_16.18_200_NL2018</v>
      </c>
      <c r="G1595" s="13" t="s">
        <v>62</v>
      </c>
      <c r="H1595" s="12"/>
      <c r="I1595" s="12" t="s">
        <v>35</v>
      </c>
      <c r="J1595" s="31" t="s">
        <v>121</v>
      </c>
      <c r="K1595" s="15" t="s">
        <v>28</v>
      </c>
      <c r="L1595" s="15"/>
      <c r="M1595" s="16">
        <f t="shared" si="266"/>
        <v>50</v>
      </c>
      <c r="N1595" s="15">
        <v>10000</v>
      </c>
      <c r="O1595" s="15">
        <v>6900</v>
      </c>
      <c r="P1595" s="15">
        <f t="shared" si="264"/>
        <v>69000000</v>
      </c>
      <c r="Q1595" s="15" t="str">
        <f t="shared" si="262"/>
        <v>Done</v>
      </c>
      <c r="R1595" s="18" t="s">
        <v>44</v>
      </c>
      <c r="S1595" s="23">
        <v>43572</v>
      </c>
      <c r="T1595" s="20">
        <f>IFERROR(VLOOKUP(S1595,'Date Converter'!$A$4:$C$368,3,0),"")</f>
        <v>43606</v>
      </c>
      <c r="U1595" s="21">
        <f t="shared" si="270"/>
        <v>43606</v>
      </c>
      <c r="V1595" s="12"/>
      <c r="W1595" s="18"/>
      <c r="X1595" s="18"/>
      <c r="Y1595" s="12"/>
      <c r="Z1595" s="206">
        <v>43603</v>
      </c>
      <c r="AA1595" s="15">
        <v>10000</v>
      </c>
      <c r="AB1595" s="206"/>
      <c r="AC1595" s="12"/>
      <c r="AD1595" s="206"/>
      <c r="AE1595" s="12"/>
      <c r="AF1595" s="245"/>
      <c r="AG1595" s="12"/>
      <c r="AH1595" s="15">
        <f t="shared" si="267"/>
        <v>10000</v>
      </c>
      <c r="AI1595" s="22">
        <f t="shared" si="268"/>
        <v>0</v>
      </c>
      <c r="AJ1595" s="22">
        <f t="shared" si="269"/>
        <v>0</v>
      </c>
    </row>
    <row r="1596" spans="1:38" s="165" customFormat="1" hidden="1">
      <c r="A1596" s="165" t="s">
        <v>394</v>
      </c>
      <c r="B1596" s="13">
        <v>43602</v>
      </c>
      <c r="C1596" s="13" t="s">
        <v>23</v>
      </c>
      <c r="D1596" s="165" t="s">
        <v>395</v>
      </c>
      <c r="E1596" s="119" t="s">
        <v>396</v>
      </c>
      <c r="F1596" s="165" t="str">
        <f t="shared" si="265"/>
        <v>TARR_16.18_200_NL2018</v>
      </c>
      <c r="G1596" s="13" t="s">
        <v>62</v>
      </c>
      <c r="H1596" s="12"/>
      <c r="I1596" s="12" t="s">
        <v>35</v>
      </c>
      <c r="J1596" s="31" t="s">
        <v>121</v>
      </c>
      <c r="K1596" s="15" t="s">
        <v>28</v>
      </c>
      <c r="L1596" s="15"/>
      <c r="M1596" s="16">
        <f t="shared" si="266"/>
        <v>50</v>
      </c>
      <c r="N1596" s="15">
        <v>10000</v>
      </c>
      <c r="O1596" s="15">
        <v>7000</v>
      </c>
      <c r="P1596" s="15">
        <f t="shared" si="264"/>
        <v>70000000</v>
      </c>
      <c r="Q1596" s="15" t="str">
        <f t="shared" si="262"/>
        <v/>
      </c>
      <c r="R1596" s="18" t="s">
        <v>31</v>
      </c>
      <c r="S1596" s="23">
        <v>43615</v>
      </c>
      <c r="T1596" s="20">
        <f>IFERROR(VLOOKUP(S1596,'Date Converter'!$A$4:$C$368,3,0),"")</f>
        <v>43648</v>
      </c>
      <c r="U1596" s="21">
        <f t="shared" si="270"/>
        <v>43648</v>
      </c>
      <c r="V1596" s="12"/>
      <c r="W1596" s="18"/>
      <c r="X1596" s="18"/>
      <c r="Y1596" s="12"/>
      <c r="Z1596" s="206"/>
      <c r="AA1596" s="15"/>
      <c r="AB1596" s="206"/>
      <c r="AC1596" s="12"/>
      <c r="AD1596" s="206"/>
      <c r="AE1596" s="12"/>
      <c r="AF1596" s="245"/>
      <c r="AG1596" s="12"/>
      <c r="AH1596" s="15">
        <f t="shared" si="267"/>
        <v>0</v>
      </c>
      <c r="AI1596" s="22">
        <f t="shared" si="268"/>
        <v>10000</v>
      </c>
      <c r="AJ1596" s="22">
        <f t="shared" si="269"/>
        <v>70000000</v>
      </c>
    </row>
    <row r="1597" spans="1:38" s="165" customFormat="1" hidden="1">
      <c r="A1597" s="165" t="s">
        <v>2365</v>
      </c>
      <c r="B1597" s="13">
        <v>43599</v>
      </c>
      <c r="C1597" s="266" t="s">
        <v>23</v>
      </c>
      <c r="D1597" s="258" t="s">
        <v>395</v>
      </c>
      <c r="E1597" s="119" t="s">
        <v>396</v>
      </c>
      <c r="F1597" s="165" t="str">
        <f t="shared" si="265"/>
        <v>TARR_16.18_200_NL2018</v>
      </c>
      <c r="G1597" s="13" t="s">
        <v>62</v>
      </c>
      <c r="H1597" s="12"/>
      <c r="I1597" s="12" t="s">
        <v>35</v>
      </c>
      <c r="J1597" s="31" t="s">
        <v>121</v>
      </c>
      <c r="K1597" s="15" t="s">
        <v>28</v>
      </c>
      <c r="L1597" s="15"/>
      <c r="M1597" s="16">
        <f t="shared" si="266"/>
        <v>100</v>
      </c>
      <c r="N1597" s="15">
        <v>20000</v>
      </c>
      <c r="O1597" s="15">
        <v>7300</v>
      </c>
      <c r="P1597" s="15">
        <f t="shared" si="264"/>
        <v>146000000</v>
      </c>
      <c r="Q1597" s="15" t="str">
        <f t="shared" si="262"/>
        <v/>
      </c>
      <c r="R1597" s="18" t="s">
        <v>29</v>
      </c>
      <c r="S1597" s="23">
        <v>43709</v>
      </c>
      <c r="T1597" s="20">
        <f>IFERROR(VLOOKUP(S1597,'Date Converter'!$A$4:$C$368,3,0),"")</f>
        <v>43737</v>
      </c>
      <c r="U1597" s="21">
        <f t="shared" si="270"/>
        <v>43737</v>
      </c>
      <c r="V1597" s="12"/>
      <c r="W1597" s="18"/>
      <c r="X1597" s="18"/>
      <c r="Y1597" s="12"/>
      <c r="Z1597" s="206"/>
      <c r="AA1597" s="15"/>
      <c r="AB1597" s="206"/>
      <c r="AC1597" s="12"/>
      <c r="AD1597" s="206"/>
      <c r="AE1597" s="12"/>
      <c r="AF1597" s="245"/>
      <c r="AG1597" s="12"/>
      <c r="AH1597" s="15">
        <f t="shared" si="267"/>
        <v>0</v>
      </c>
      <c r="AI1597" s="22">
        <f t="shared" si="268"/>
        <v>20000</v>
      </c>
      <c r="AJ1597" s="22">
        <f t="shared" si="269"/>
        <v>146000000</v>
      </c>
    </row>
    <row r="1598" spans="1:38" s="165" customFormat="1" hidden="1">
      <c r="A1598" s="165" t="s">
        <v>464</v>
      </c>
      <c r="B1598" s="13">
        <v>43549</v>
      </c>
      <c r="C1598" s="13" t="s">
        <v>23</v>
      </c>
      <c r="D1598" s="165" t="s">
        <v>263</v>
      </c>
      <c r="E1598" s="119" t="s">
        <v>264</v>
      </c>
      <c r="F1598" s="165" t="str">
        <f t="shared" si="265"/>
        <v>TARR_14.16_300_NL2018</v>
      </c>
      <c r="G1598" s="165" t="s">
        <v>62</v>
      </c>
      <c r="H1598" s="12"/>
      <c r="I1598" s="12" t="s">
        <v>47</v>
      </c>
      <c r="J1598" s="31" t="s">
        <v>124</v>
      </c>
      <c r="K1598" s="15" t="s">
        <v>28</v>
      </c>
      <c r="L1598" s="15"/>
      <c r="M1598" s="16">
        <f t="shared" si="266"/>
        <v>100</v>
      </c>
      <c r="N1598" s="15">
        <v>30000</v>
      </c>
      <c r="O1598" s="15">
        <f>4600</f>
        <v>4600</v>
      </c>
      <c r="P1598" s="15">
        <f t="shared" si="264"/>
        <v>138000000</v>
      </c>
      <c r="Q1598" s="15" t="str">
        <f t="shared" si="262"/>
        <v>Done</v>
      </c>
      <c r="R1598" s="18" t="s">
        <v>44</v>
      </c>
      <c r="S1598" s="23">
        <v>43572</v>
      </c>
      <c r="T1598" s="20">
        <f>IFERROR(VLOOKUP(S1598,'Date Converter'!$A$4:$C$368,3,0),"")</f>
        <v>43606</v>
      </c>
      <c r="U1598" s="21">
        <f t="shared" si="270"/>
        <v>43606</v>
      </c>
      <c r="V1598" s="12" t="s">
        <v>36</v>
      </c>
      <c r="W1598" s="18"/>
      <c r="X1598" s="18">
        <v>43555</v>
      </c>
      <c r="Y1598" s="12"/>
      <c r="Z1598" s="206">
        <v>43604</v>
      </c>
      <c r="AA1598" s="15">
        <v>30000</v>
      </c>
      <c r="AB1598" s="206"/>
      <c r="AC1598" s="12"/>
      <c r="AD1598" s="206"/>
      <c r="AE1598" s="12"/>
      <c r="AF1598" s="245"/>
      <c r="AG1598" s="12"/>
      <c r="AH1598" s="15">
        <f t="shared" si="267"/>
        <v>30000</v>
      </c>
      <c r="AI1598" s="22">
        <f t="shared" si="268"/>
        <v>0</v>
      </c>
      <c r="AJ1598" s="22">
        <f t="shared" si="269"/>
        <v>0</v>
      </c>
    </row>
    <row r="1599" spans="1:38" s="165" customFormat="1" hidden="1">
      <c r="A1599" s="165" t="s">
        <v>464</v>
      </c>
      <c r="B1599" s="13">
        <v>43595</v>
      </c>
      <c r="C1599" s="13" t="s">
        <v>23</v>
      </c>
      <c r="D1599" s="165" t="s">
        <v>263</v>
      </c>
      <c r="E1599" s="119" t="s">
        <v>264</v>
      </c>
      <c r="F1599" s="165" t="str">
        <f t="shared" si="265"/>
        <v>TARR_14.16_300_NL2018</v>
      </c>
      <c r="G1599" s="165" t="s">
        <v>62</v>
      </c>
      <c r="H1599" s="12"/>
      <c r="I1599" s="12" t="s">
        <v>47</v>
      </c>
      <c r="J1599" s="31" t="s">
        <v>124</v>
      </c>
      <c r="K1599" s="15" t="s">
        <v>28</v>
      </c>
      <c r="L1599" s="15"/>
      <c r="M1599" s="16">
        <f t="shared" si="266"/>
        <v>134</v>
      </c>
      <c r="N1599" s="15">
        <v>40200</v>
      </c>
      <c r="O1599" s="15">
        <v>5000</v>
      </c>
      <c r="P1599" s="15">
        <f t="shared" si="264"/>
        <v>201000000</v>
      </c>
      <c r="Q1599" s="15" t="str">
        <f t="shared" si="262"/>
        <v/>
      </c>
      <c r="R1599" s="18" t="s">
        <v>29</v>
      </c>
      <c r="S1599" s="23">
        <v>43651</v>
      </c>
      <c r="T1599" s="20">
        <f>IFERROR(VLOOKUP(S1599,'Date Converter'!$A$4:$C$368,3,0),"")</f>
        <v>43682</v>
      </c>
      <c r="U1599" s="21">
        <f t="shared" si="270"/>
        <v>43682</v>
      </c>
      <c r="V1599" s="12"/>
      <c r="W1599" s="18"/>
      <c r="X1599" s="18"/>
      <c r="Y1599" s="12"/>
      <c r="Z1599" s="206"/>
      <c r="AA1599" s="15"/>
      <c r="AB1599" s="206"/>
      <c r="AC1599" s="12"/>
      <c r="AD1599" s="206"/>
      <c r="AE1599" s="12"/>
      <c r="AF1599" s="245"/>
      <c r="AG1599" s="12"/>
      <c r="AH1599" s="15">
        <f t="shared" si="267"/>
        <v>0</v>
      </c>
      <c r="AI1599" s="22">
        <f t="shared" si="268"/>
        <v>40200</v>
      </c>
      <c r="AJ1599" s="22">
        <f t="shared" si="269"/>
        <v>201000000</v>
      </c>
    </row>
    <row r="1600" spans="1:38" s="165" customFormat="1" hidden="1">
      <c r="A1600" s="165" t="s">
        <v>464</v>
      </c>
      <c r="B1600" s="13">
        <v>43549</v>
      </c>
      <c r="C1600" s="13" t="s">
        <v>23</v>
      </c>
      <c r="D1600" s="165" t="s">
        <v>263</v>
      </c>
      <c r="E1600" s="13" t="s">
        <v>264</v>
      </c>
      <c r="F1600" s="165" t="str">
        <f t="shared" si="265"/>
        <v>ROBI_16.18_200_NL2018</v>
      </c>
      <c r="G1600" s="165" t="s">
        <v>61</v>
      </c>
      <c r="H1600" s="12"/>
      <c r="I1600" s="12" t="s">
        <v>35</v>
      </c>
      <c r="J1600" s="31" t="s">
        <v>121</v>
      </c>
      <c r="K1600" s="15" t="s">
        <v>28</v>
      </c>
      <c r="L1600" s="15"/>
      <c r="M1600" s="16">
        <f t="shared" si="266"/>
        <v>150</v>
      </c>
      <c r="N1600" s="15">
        <v>30000</v>
      </c>
      <c r="O1600" s="15">
        <v>5000</v>
      </c>
      <c r="P1600" s="15">
        <f t="shared" si="264"/>
        <v>150000000</v>
      </c>
      <c r="Q1600" s="15" t="str">
        <f t="shared" si="262"/>
        <v>Done</v>
      </c>
      <c r="R1600" s="18" t="s">
        <v>44</v>
      </c>
      <c r="S1600" s="19" t="s">
        <v>151</v>
      </c>
      <c r="T1600" s="20">
        <f>IFERROR(VLOOKUP(S1600,'Date Converter'!$A$4:$C$368,3,0),"")</f>
        <v>43558</v>
      </c>
      <c r="U1600" s="21">
        <f t="shared" si="270"/>
        <v>43558</v>
      </c>
      <c r="V1600" s="12"/>
      <c r="W1600" s="18" t="s">
        <v>72</v>
      </c>
      <c r="X1600" s="18">
        <v>43555</v>
      </c>
      <c r="Y1600" s="12"/>
      <c r="Z1600" s="206">
        <v>43563</v>
      </c>
      <c r="AA1600" s="15">
        <v>30000</v>
      </c>
      <c r="AB1600" s="206"/>
      <c r="AC1600" s="12"/>
      <c r="AD1600" s="206"/>
      <c r="AE1600" s="12"/>
      <c r="AF1600" s="245"/>
      <c r="AG1600" s="12"/>
      <c r="AH1600" s="15">
        <f t="shared" si="267"/>
        <v>30000</v>
      </c>
      <c r="AI1600" s="22">
        <f t="shared" si="268"/>
        <v>0</v>
      </c>
      <c r="AJ1600" s="22">
        <f t="shared" si="269"/>
        <v>0</v>
      </c>
    </row>
    <row r="1601" spans="1:38" s="165" customFormat="1" hidden="1">
      <c r="A1601" s="165" t="s">
        <v>464</v>
      </c>
      <c r="B1601" s="13">
        <v>43549</v>
      </c>
      <c r="C1601" s="13" t="s">
        <v>23</v>
      </c>
      <c r="D1601" s="165" t="s">
        <v>263</v>
      </c>
      <c r="E1601" s="119" t="s">
        <v>264</v>
      </c>
      <c r="F1601" s="165" t="str">
        <f t="shared" si="265"/>
        <v>ROBI_16.18_200_NL2018</v>
      </c>
      <c r="G1601" s="165" t="s">
        <v>61</v>
      </c>
      <c r="H1601" s="12"/>
      <c r="I1601" s="12" t="s">
        <v>35</v>
      </c>
      <c r="J1601" s="31" t="s">
        <v>121</v>
      </c>
      <c r="K1601" s="15" t="s">
        <v>28</v>
      </c>
      <c r="L1601" s="15"/>
      <c r="M1601" s="16">
        <f t="shared" si="266"/>
        <v>150</v>
      </c>
      <c r="N1601" s="15">
        <v>30000</v>
      </c>
      <c r="O1601" s="15">
        <v>5100</v>
      </c>
      <c r="P1601" s="15">
        <f t="shared" si="264"/>
        <v>153000000</v>
      </c>
      <c r="Q1601" s="15" t="str">
        <f t="shared" si="262"/>
        <v>Done</v>
      </c>
      <c r="R1601" s="18" t="s">
        <v>1591</v>
      </c>
      <c r="S1601" s="23">
        <v>43572</v>
      </c>
      <c r="T1601" s="20">
        <f>IFERROR(VLOOKUP(S1601,'Date Converter'!$A$4:$C$368,3,0),"")</f>
        <v>43606</v>
      </c>
      <c r="U1601" s="21">
        <f t="shared" si="270"/>
        <v>43606</v>
      </c>
      <c r="V1601" s="12" t="s">
        <v>36</v>
      </c>
      <c r="W1601" s="18"/>
      <c r="X1601" s="18">
        <v>43555</v>
      </c>
      <c r="Y1601" s="12"/>
      <c r="Z1601" s="206">
        <v>43603</v>
      </c>
      <c r="AA1601" s="15">
        <v>30000</v>
      </c>
      <c r="AB1601" s="206"/>
      <c r="AC1601" s="12"/>
      <c r="AD1601" s="206"/>
      <c r="AE1601" s="12"/>
      <c r="AF1601" s="245"/>
      <c r="AG1601" s="12"/>
      <c r="AH1601" s="15">
        <f t="shared" si="267"/>
        <v>30000</v>
      </c>
      <c r="AI1601" s="22">
        <f t="shared" si="268"/>
        <v>0</v>
      </c>
      <c r="AJ1601" s="22">
        <f t="shared" si="269"/>
        <v>0</v>
      </c>
    </row>
    <row r="1602" spans="1:38" s="165" customFormat="1" hidden="1">
      <c r="A1602" s="165" t="s">
        <v>464</v>
      </c>
      <c r="B1602" s="13">
        <v>43595</v>
      </c>
      <c r="C1602" s="13" t="s">
        <v>23</v>
      </c>
      <c r="D1602" s="165" t="s">
        <v>263</v>
      </c>
      <c r="E1602" s="119" t="s">
        <v>264</v>
      </c>
      <c r="F1602" s="165" t="str">
        <f t="shared" si="265"/>
        <v>NATA_RL_12.14_400_NL2018</v>
      </c>
      <c r="G1602" s="165" t="s">
        <v>222</v>
      </c>
      <c r="H1602" s="12" t="s">
        <v>219</v>
      </c>
      <c r="I1602" s="12" t="s">
        <v>113</v>
      </c>
      <c r="J1602" s="31" t="s">
        <v>128</v>
      </c>
      <c r="K1602" s="15" t="s">
        <v>28</v>
      </c>
      <c r="L1602" s="15"/>
      <c r="M1602" s="16">
        <f t="shared" si="266"/>
        <v>0</v>
      </c>
      <c r="N1602" s="15">
        <f>1200-1200</f>
        <v>0</v>
      </c>
      <c r="O1602" s="15">
        <v>8600</v>
      </c>
      <c r="P1602" s="15">
        <f t="shared" si="264"/>
        <v>0</v>
      </c>
      <c r="Q1602" s="15" t="str">
        <f t="shared" si="262"/>
        <v>Canceled</v>
      </c>
      <c r="R1602" s="18" t="s">
        <v>71</v>
      </c>
      <c r="S1602" s="23">
        <v>43603</v>
      </c>
      <c r="T1602" s="20">
        <f>IFERROR(VLOOKUP(S1602,'Date Converter'!$A$4:$C$368,3,0),"")</f>
        <v>43636</v>
      </c>
      <c r="U1602" s="21">
        <f t="shared" si="270"/>
        <v>43636</v>
      </c>
      <c r="V1602" s="12"/>
      <c r="W1602" s="18"/>
      <c r="X1602" s="18"/>
      <c r="Y1602" s="12"/>
      <c r="Z1602" s="206"/>
      <c r="AA1602" s="15"/>
      <c r="AB1602" s="206"/>
      <c r="AC1602" s="12"/>
      <c r="AD1602" s="206"/>
      <c r="AE1602" s="12"/>
      <c r="AF1602" s="245"/>
      <c r="AG1602" s="12"/>
      <c r="AH1602" s="15">
        <f t="shared" si="267"/>
        <v>0</v>
      </c>
      <c r="AI1602" s="22">
        <f t="shared" si="268"/>
        <v>0</v>
      </c>
      <c r="AJ1602" s="22">
        <f t="shared" si="269"/>
        <v>0</v>
      </c>
    </row>
    <row r="1603" spans="1:38" s="165" customFormat="1" hidden="1">
      <c r="A1603" s="165" t="s">
        <v>1359</v>
      </c>
      <c r="B1603" s="13">
        <v>43560</v>
      </c>
      <c r="C1603" s="165" t="s">
        <v>23</v>
      </c>
      <c r="D1603" s="258" t="s">
        <v>267</v>
      </c>
      <c r="E1603" s="249" t="s">
        <v>268</v>
      </c>
      <c r="F1603" s="165" t="str">
        <f t="shared" si="265"/>
        <v>ROBI_20.22_125_NL2018</v>
      </c>
      <c r="G1603" s="165" t="s">
        <v>61</v>
      </c>
      <c r="H1603" s="12"/>
      <c r="I1603" s="12" t="s">
        <v>74</v>
      </c>
      <c r="J1603" s="14">
        <v>125</v>
      </c>
      <c r="K1603" s="15" t="s">
        <v>28</v>
      </c>
      <c r="L1603" s="15"/>
      <c r="M1603" s="16">
        <f t="shared" si="266"/>
        <v>56</v>
      </c>
      <c r="N1603" s="15">
        <v>7000</v>
      </c>
      <c r="O1603" s="15">
        <v>10700</v>
      </c>
      <c r="P1603" s="15">
        <f t="shared" si="264"/>
        <v>74900000</v>
      </c>
      <c r="Q1603" s="15" t="str">
        <f t="shared" ref="Q1603:Q1666" si="271">IF(AND(N1603=0,AI1603=0),"Canceled",IF(AND(N1603&gt;0,AI1603=0),"Done",""))</f>
        <v/>
      </c>
      <c r="R1603" s="18" t="s">
        <v>29</v>
      </c>
      <c r="S1603" s="23">
        <v>43709</v>
      </c>
      <c r="T1603" s="20">
        <f>IFERROR(VLOOKUP(S1603,'Date Converter'!$A$4:$C$368,3,0),"")</f>
        <v>43737</v>
      </c>
      <c r="U1603" s="21">
        <f t="shared" si="270"/>
        <v>43737</v>
      </c>
      <c r="V1603" s="12" t="s">
        <v>51</v>
      </c>
      <c r="W1603" s="18"/>
      <c r="X1603" s="18"/>
      <c r="Y1603" s="12"/>
      <c r="Z1603" s="206"/>
      <c r="AA1603" s="15"/>
      <c r="AB1603" s="206"/>
      <c r="AC1603" s="12"/>
      <c r="AD1603" s="206"/>
      <c r="AE1603" s="12"/>
      <c r="AF1603" s="245"/>
      <c r="AG1603" s="12"/>
      <c r="AH1603" s="15">
        <f t="shared" si="267"/>
        <v>0</v>
      </c>
      <c r="AI1603" s="22">
        <f t="shared" si="268"/>
        <v>7000</v>
      </c>
      <c r="AJ1603" s="22">
        <f t="shared" si="269"/>
        <v>74900000</v>
      </c>
    </row>
    <row r="1604" spans="1:38" s="165" customFormat="1" hidden="1">
      <c r="A1604" s="165" t="s">
        <v>344</v>
      </c>
      <c r="B1604" s="13">
        <v>43530</v>
      </c>
      <c r="C1604" s="165" t="s">
        <v>23</v>
      </c>
      <c r="D1604" s="165" t="s">
        <v>267</v>
      </c>
      <c r="E1604" s="119" t="s">
        <v>268</v>
      </c>
      <c r="F1604" s="165" t="str">
        <f t="shared" si="265"/>
        <v>ROBI_16.18_200_NL2018</v>
      </c>
      <c r="G1604" s="165" t="s">
        <v>61</v>
      </c>
      <c r="H1604" s="12"/>
      <c r="I1604" s="12" t="s">
        <v>35</v>
      </c>
      <c r="J1604" s="14">
        <v>200</v>
      </c>
      <c r="K1604" s="15" t="s">
        <v>28</v>
      </c>
      <c r="L1604" s="15"/>
      <c r="M1604" s="16">
        <f t="shared" si="266"/>
        <v>15</v>
      </c>
      <c r="N1604" s="15">
        <f>5000-2000</f>
        <v>3000</v>
      </c>
      <c r="O1604" s="15">
        <v>4900</v>
      </c>
      <c r="P1604" s="15">
        <f t="shared" si="264"/>
        <v>14700000</v>
      </c>
      <c r="Q1604" s="15" t="str">
        <f t="shared" si="271"/>
        <v>Done</v>
      </c>
      <c r="R1604" s="18" t="s">
        <v>44</v>
      </c>
      <c r="S1604" s="23">
        <v>43539</v>
      </c>
      <c r="T1604" s="20">
        <f>IFERROR(VLOOKUP(S1604,'Date Converter'!$A$4:$C$368,3,0),"")</f>
        <v>43574</v>
      </c>
      <c r="U1604" s="21">
        <f t="shared" si="270"/>
        <v>43574</v>
      </c>
      <c r="V1604" s="12" t="s">
        <v>57</v>
      </c>
      <c r="W1604" s="18" t="s">
        <v>141</v>
      </c>
      <c r="X1604" s="18">
        <v>43569</v>
      </c>
      <c r="Y1604" s="12" t="s">
        <v>59</v>
      </c>
      <c r="Z1604" s="206">
        <v>43574</v>
      </c>
      <c r="AA1604" s="15">
        <v>3000</v>
      </c>
      <c r="AB1604" s="206"/>
      <c r="AC1604" s="12"/>
      <c r="AD1604" s="206"/>
      <c r="AE1604" s="12"/>
      <c r="AF1604" s="245"/>
      <c r="AG1604" s="12"/>
      <c r="AH1604" s="15">
        <f t="shared" si="267"/>
        <v>3000</v>
      </c>
      <c r="AI1604" s="22">
        <f t="shared" si="268"/>
        <v>0</v>
      </c>
      <c r="AJ1604" s="22">
        <f t="shared" si="269"/>
        <v>0</v>
      </c>
    </row>
    <row r="1605" spans="1:38" s="198" customFormat="1" hidden="1">
      <c r="A1605" s="165" t="s">
        <v>344</v>
      </c>
      <c r="B1605" s="13">
        <v>43530</v>
      </c>
      <c r="C1605" s="165" t="s">
        <v>23</v>
      </c>
      <c r="D1605" s="165" t="s">
        <v>267</v>
      </c>
      <c r="E1605" s="119" t="s">
        <v>268</v>
      </c>
      <c r="F1605" s="165" t="str">
        <f t="shared" si="265"/>
        <v>ROBI_16.18_200_NL2018</v>
      </c>
      <c r="G1605" s="165" t="s">
        <v>61</v>
      </c>
      <c r="H1605" s="12"/>
      <c r="I1605" s="12" t="s">
        <v>35</v>
      </c>
      <c r="J1605" s="14">
        <v>200</v>
      </c>
      <c r="K1605" s="15" t="s">
        <v>28</v>
      </c>
      <c r="L1605" s="15"/>
      <c r="M1605" s="16">
        <f t="shared" si="266"/>
        <v>25</v>
      </c>
      <c r="N1605" s="15">
        <v>5000</v>
      </c>
      <c r="O1605" s="15">
        <v>4900</v>
      </c>
      <c r="P1605" s="15">
        <f t="shared" si="264"/>
        <v>24500000</v>
      </c>
      <c r="Q1605" s="15" t="str">
        <f t="shared" si="271"/>
        <v>Done</v>
      </c>
      <c r="R1605" s="18" t="s">
        <v>44</v>
      </c>
      <c r="S1605" s="23">
        <v>43539</v>
      </c>
      <c r="T1605" s="20">
        <f>IFERROR(VLOOKUP(S1605,'Date Converter'!$A$4:$C$368,3,0),"")</f>
        <v>43574</v>
      </c>
      <c r="U1605" s="21">
        <f t="shared" si="270"/>
        <v>43574</v>
      </c>
      <c r="V1605" s="12" t="s">
        <v>57</v>
      </c>
      <c r="W1605" s="18"/>
      <c r="X1605" s="18"/>
      <c r="Y1605" s="12" t="s">
        <v>59</v>
      </c>
      <c r="Z1605" s="206">
        <v>43599</v>
      </c>
      <c r="AA1605" s="15">
        <v>5000</v>
      </c>
      <c r="AB1605" s="206"/>
      <c r="AC1605" s="12"/>
      <c r="AD1605" s="206"/>
      <c r="AE1605" s="12"/>
      <c r="AF1605" s="245"/>
      <c r="AG1605" s="12"/>
      <c r="AH1605" s="15">
        <f t="shared" si="267"/>
        <v>5000</v>
      </c>
      <c r="AI1605" s="22">
        <f t="shared" si="268"/>
        <v>0</v>
      </c>
      <c r="AJ1605" s="22">
        <f t="shared" si="269"/>
        <v>0</v>
      </c>
      <c r="AK1605" s="165"/>
      <c r="AL1605" s="165"/>
    </row>
    <row r="1606" spans="1:38" s="198" customFormat="1" hidden="1">
      <c r="A1606" s="165" t="s">
        <v>344</v>
      </c>
      <c r="B1606" s="13">
        <v>43530</v>
      </c>
      <c r="C1606" s="165" t="s">
        <v>23</v>
      </c>
      <c r="D1606" s="165" t="s">
        <v>267</v>
      </c>
      <c r="E1606" s="119" t="s">
        <v>268</v>
      </c>
      <c r="F1606" s="165" t="str">
        <f t="shared" si="265"/>
        <v>ROBI_16.18_200_NL2018</v>
      </c>
      <c r="G1606" s="165" t="s">
        <v>61</v>
      </c>
      <c r="H1606" s="12"/>
      <c r="I1606" s="12" t="s">
        <v>35</v>
      </c>
      <c r="J1606" s="14">
        <v>200</v>
      </c>
      <c r="K1606" s="15" t="s">
        <v>28</v>
      </c>
      <c r="L1606" s="15"/>
      <c r="M1606" s="16">
        <f t="shared" si="266"/>
        <v>25</v>
      </c>
      <c r="N1606" s="15">
        <v>5000</v>
      </c>
      <c r="O1606" s="15">
        <f>4900+100</f>
        <v>5000</v>
      </c>
      <c r="P1606" s="15">
        <f t="shared" si="264"/>
        <v>25000000</v>
      </c>
      <c r="Q1606" s="15" t="str">
        <f t="shared" si="271"/>
        <v>Done</v>
      </c>
      <c r="R1606" s="18" t="s">
        <v>44</v>
      </c>
      <c r="S1606" s="23">
        <v>43572</v>
      </c>
      <c r="T1606" s="20">
        <f>IFERROR(VLOOKUP(S1606,'Date Converter'!$A$4:$C$368,3,0),"")</f>
        <v>43606</v>
      </c>
      <c r="U1606" s="21">
        <f t="shared" si="270"/>
        <v>43606</v>
      </c>
      <c r="V1606" s="12" t="s">
        <v>36</v>
      </c>
      <c r="W1606" s="18"/>
      <c r="X1606" s="18"/>
      <c r="Y1606" s="12" t="s">
        <v>59</v>
      </c>
      <c r="Z1606" s="206">
        <v>43613</v>
      </c>
      <c r="AA1606" s="15">
        <v>5000</v>
      </c>
      <c r="AB1606" s="206"/>
      <c r="AC1606" s="12"/>
      <c r="AD1606" s="206"/>
      <c r="AE1606" s="12"/>
      <c r="AF1606" s="245"/>
      <c r="AG1606" s="12"/>
      <c r="AH1606" s="15">
        <f t="shared" si="267"/>
        <v>5000</v>
      </c>
      <c r="AI1606" s="22">
        <f t="shared" si="268"/>
        <v>0</v>
      </c>
      <c r="AJ1606" s="22">
        <f t="shared" si="269"/>
        <v>0</v>
      </c>
      <c r="AK1606" s="165"/>
      <c r="AL1606" s="165"/>
    </row>
    <row r="1607" spans="1:38" s="198" customFormat="1" hidden="1">
      <c r="A1607" s="165" t="s">
        <v>344</v>
      </c>
      <c r="B1607" s="13">
        <v>43530</v>
      </c>
      <c r="C1607" s="165" t="s">
        <v>23</v>
      </c>
      <c r="D1607" s="165" t="s">
        <v>267</v>
      </c>
      <c r="E1607" s="119" t="s">
        <v>268</v>
      </c>
      <c r="F1607" s="165" t="str">
        <f t="shared" si="265"/>
        <v>ROBI_16.18_200_NL2018</v>
      </c>
      <c r="G1607" s="165" t="s">
        <v>61</v>
      </c>
      <c r="H1607" s="12"/>
      <c r="I1607" s="12" t="s">
        <v>35</v>
      </c>
      <c r="J1607" s="14">
        <v>200</v>
      </c>
      <c r="K1607" s="15" t="s">
        <v>28</v>
      </c>
      <c r="L1607" s="15"/>
      <c r="M1607" s="16">
        <f t="shared" si="266"/>
        <v>0</v>
      </c>
      <c r="N1607" s="15">
        <f>5000-5000</f>
        <v>0</v>
      </c>
      <c r="O1607" s="15">
        <v>4900</v>
      </c>
      <c r="P1607" s="15">
        <f t="shared" si="264"/>
        <v>0</v>
      </c>
      <c r="Q1607" s="15" t="str">
        <f t="shared" si="271"/>
        <v>Canceled</v>
      </c>
      <c r="R1607" s="18" t="s">
        <v>44</v>
      </c>
      <c r="S1607" s="23">
        <v>43572</v>
      </c>
      <c r="T1607" s="20">
        <f>IFERROR(VLOOKUP(S1607,'Date Converter'!$A$4:$C$368,3,0),"")</f>
        <v>43606</v>
      </c>
      <c r="U1607" s="21">
        <f t="shared" si="270"/>
        <v>43606</v>
      </c>
      <c r="V1607" s="12" t="s">
        <v>36</v>
      </c>
      <c r="W1607" s="18"/>
      <c r="X1607" s="18"/>
      <c r="Y1607" s="12" t="s">
        <v>59</v>
      </c>
      <c r="Z1607" s="206"/>
      <c r="AA1607" s="15">
        <v>0</v>
      </c>
      <c r="AB1607" s="206"/>
      <c r="AC1607" s="12"/>
      <c r="AD1607" s="206"/>
      <c r="AE1607" s="12"/>
      <c r="AF1607" s="245"/>
      <c r="AG1607" s="12"/>
      <c r="AH1607" s="15">
        <f t="shared" si="267"/>
        <v>0</v>
      </c>
      <c r="AI1607" s="22">
        <f t="shared" si="268"/>
        <v>0</v>
      </c>
      <c r="AJ1607" s="22">
        <f t="shared" si="269"/>
        <v>0</v>
      </c>
      <c r="AK1607" s="165"/>
      <c r="AL1607" s="165"/>
    </row>
    <row r="1608" spans="1:38" s="198" customFormat="1" hidden="1">
      <c r="A1608" s="165" t="s">
        <v>344</v>
      </c>
      <c r="B1608" s="13">
        <v>43623</v>
      </c>
      <c r="C1608" s="165" t="s">
        <v>23</v>
      </c>
      <c r="D1608" s="165" t="s">
        <v>267</v>
      </c>
      <c r="E1608" s="119" t="s">
        <v>268</v>
      </c>
      <c r="F1608" s="165" t="str">
        <f t="shared" si="265"/>
        <v>ROBI_16.18_200_NL2018</v>
      </c>
      <c r="G1608" s="165" t="s">
        <v>61</v>
      </c>
      <c r="H1608" s="12"/>
      <c r="I1608" s="12" t="s">
        <v>35</v>
      </c>
      <c r="J1608" s="14">
        <v>200</v>
      </c>
      <c r="K1608" s="15" t="s">
        <v>28</v>
      </c>
      <c r="L1608" s="15"/>
      <c r="M1608" s="16">
        <f t="shared" si="266"/>
        <v>35</v>
      </c>
      <c r="N1608" s="15">
        <v>7000</v>
      </c>
      <c r="O1608" s="15">
        <v>5600</v>
      </c>
      <c r="P1608" s="15">
        <f t="shared" si="264"/>
        <v>39200000</v>
      </c>
      <c r="Q1608" s="15" t="str">
        <f t="shared" si="271"/>
        <v/>
      </c>
      <c r="R1608" s="18" t="s">
        <v>31</v>
      </c>
      <c r="S1608" s="23">
        <v>43631</v>
      </c>
      <c r="T1608" s="20">
        <f>IFERROR(VLOOKUP(S1608,'Date Converter'!$A$4:$C$368,3,0),"")</f>
        <v>43663</v>
      </c>
      <c r="U1608" s="21">
        <f t="shared" si="270"/>
        <v>43663</v>
      </c>
      <c r="V1608" s="12"/>
      <c r="W1608" s="18"/>
      <c r="X1608" s="18"/>
      <c r="Y1608" s="12"/>
      <c r="Z1608" s="206"/>
      <c r="AA1608" s="15"/>
      <c r="AB1608" s="206"/>
      <c r="AC1608" s="12"/>
      <c r="AD1608" s="206"/>
      <c r="AE1608" s="12"/>
      <c r="AF1608" s="245"/>
      <c r="AG1608" s="12"/>
      <c r="AH1608" s="15">
        <f t="shared" si="267"/>
        <v>0</v>
      </c>
      <c r="AI1608" s="22">
        <f t="shared" si="268"/>
        <v>7000</v>
      </c>
      <c r="AJ1608" s="22">
        <f t="shared" si="269"/>
        <v>39200000</v>
      </c>
      <c r="AK1608" s="165"/>
      <c r="AL1608" s="165"/>
    </row>
    <row r="1609" spans="1:38" s="198" customFormat="1" hidden="1">
      <c r="A1609" s="165" t="s">
        <v>1359</v>
      </c>
      <c r="B1609" s="13">
        <v>43560</v>
      </c>
      <c r="C1609" s="165" t="s">
        <v>23</v>
      </c>
      <c r="D1609" s="258" t="s">
        <v>267</v>
      </c>
      <c r="E1609" s="249" t="s">
        <v>268</v>
      </c>
      <c r="F1609" s="165" t="str">
        <f t="shared" si="265"/>
        <v>CONC_20.22_125_NL2018</v>
      </c>
      <c r="G1609" s="165" t="s">
        <v>40</v>
      </c>
      <c r="H1609" s="12"/>
      <c r="I1609" s="12" t="s">
        <v>74</v>
      </c>
      <c r="J1609" s="14">
        <v>125</v>
      </c>
      <c r="K1609" s="15" t="s">
        <v>28</v>
      </c>
      <c r="L1609" s="15"/>
      <c r="M1609" s="16">
        <f t="shared" si="266"/>
        <v>136</v>
      </c>
      <c r="N1609" s="15">
        <v>17000</v>
      </c>
      <c r="O1609" s="15">
        <v>10600</v>
      </c>
      <c r="P1609" s="15">
        <f t="shared" si="264"/>
        <v>180200000</v>
      </c>
      <c r="Q1609" s="15" t="str">
        <f t="shared" si="271"/>
        <v/>
      </c>
      <c r="R1609" s="18" t="s">
        <v>29</v>
      </c>
      <c r="S1609" s="23">
        <v>43709</v>
      </c>
      <c r="T1609" s="20">
        <f>IFERROR(VLOOKUP(S1609,'Date Converter'!$A$4:$C$368,3,0),"")</f>
        <v>43737</v>
      </c>
      <c r="U1609" s="21">
        <f t="shared" si="270"/>
        <v>43737</v>
      </c>
      <c r="V1609" s="12" t="s">
        <v>51</v>
      </c>
      <c r="W1609" s="18"/>
      <c r="X1609" s="18"/>
      <c r="Y1609" s="12"/>
      <c r="Z1609" s="206"/>
      <c r="AA1609" s="15"/>
      <c r="AB1609" s="206"/>
      <c r="AC1609" s="12"/>
      <c r="AD1609" s="206"/>
      <c r="AE1609" s="12"/>
      <c r="AF1609" s="245"/>
      <c r="AG1609" s="12"/>
      <c r="AH1609" s="15">
        <f t="shared" si="267"/>
        <v>0</v>
      </c>
      <c r="AI1609" s="22">
        <f t="shared" si="268"/>
        <v>17000</v>
      </c>
      <c r="AJ1609" s="22">
        <f t="shared" si="269"/>
        <v>180200000</v>
      </c>
      <c r="AK1609" s="165"/>
      <c r="AL1609" s="165"/>
    </row>
    <row r="1610" spans="1:38" s="198" customFormat="1" hidden="1">
      <c r="A1610" s="165" t="s">
        <v>1776</v>
      </c>
      <c r="B1610" s="13">
        <v>43336</v>
      </c>
      <c r="C1610" s="13" t="s">
        <v>1622</v>
      </c>
      <c r="D1610" s="165" t="s">
        <v>1025</v>
      </c>
      <c r="E1610" s="165" t="s">
        <v>1026</v>
      </c>
      <c r="F1610" s="165" t="str">
        <f t="shared" si="265"/>
        <v>YELL_12.14_400_NL2018</v>
      </c>
      <c r="G1610" s="165" t="s">
        <v>89</v>
      </c>
      <c r="H1610" s="12"/>
      <c r="I1610" s="12" t="s">
        <v>113</v>
      </c>
      <c r="J1610" s="14">
        <v>400</v>
      </c>
      <c r="K1610" s="15" t="s">
        <v>28</v>
      </c>
      <c r="L1610" s="15"/>
      <c r="M1610" s="16">
        <f t="shared" si="266"/>
        <v>25</v>
      </c>
      <c r="N1610" s="15">
        <v>10000</v>
      </c>
      <c r="O1610" s="15">
        <v>2600</v>
      </c>
      <c r="P1610" s="15">
        <f t="shared" si="264"/>
        <v>26000000</v>
      </c>
      <c r="Q1610" s="15" t="str">
        <f t="shared" si="271"/>
        <v>Done</v>
      </c>
      <c r="R1610" s="18" t="s">
        <v>44</v>
      </c>
      <c r="S1610" s="117">
        <v>43480</v>
      </c>
      <c r="T1610" s="20">
        <f>IFERROR(VLOOKUP(S1610,'Date Converter'!$A$4:$C$368,3,0),"")</f>
        <v>43515</v>
      </c>
      <c r="U1610" s="21">
        <f t="shared" si="270"/>
        <v>43515</v>
      </c>
      <c r="V1610" s="12" t="s">
        <v>45</v>
      </c>
      <c r="W1610" s="18"/>
      <c r="X1610" s="18"/>
      <c r="Y1610" s="18"/>
      <c r="Z1610" s="210">
        <v>43515</v>
      </c>
      <c r="AA1610" s="15">
        <v>10000</v>
      </c>
      <c r="AB1610" s="210"/>
      <c r="AC1610" s="15"/>
      <c r="AD1610" s="15"/>
      <c r="AE1610" s="15"/>
      <c r="AF1610" s="244"/>
      <c r="AG1610" s="15"/>
      <c r="AH1610" s="15">
        <f t="shared" si="267"/>
        <v>10000</v>
      </c>
      <c r="AI1610" s="22">
        <f t="shared" si="268"/>
        <v>0</v>
      </c>
      <c r="AJ1610" s="22">
        <f t="shared" si="269"/>
        <v>0</v>
      </c>
      <c r="AK1610" s="13">
        <v>43886</v>
      </c>
      <c r="AL1610" s="165"/>
    </row>
    <row r="1611" spans="1:38" s="198" customFormat="1" hidden="1">
      <c r="A1611" s="165" t="s">
        <v>1776</v>
      </c>
      <c r="B1611" s="13">
        <v>43336</v>
      </c>
      <c r="C1611" s="13" t="s">
        <v>1622</v>
      </c>
      <c r="D1611" s="165" t="s">
        <v>1025</v>
      </c>
      <c r="E1611" s="165" t="s">
        <v>1026</v>
      </c>
      <c r="F1611" s="165" t="str">
        <f t="shared" si="265"/>
        <v>YELL_12.14_400_NL2018</v>
      </c>
      <c r="G1611" s="165" t="s">
        <v>89</v>
      </c>
      <c r="H1611" s="12"/>
      <c r="I1611" s="12" t="s">
        <v>113</v>
      </c>
      <c r="J1611" s="14">
        <v>400</v>
      </c>
      <c r="K1611" s="15" t="s">
        <v>28</v>
      </c>
      <c r="L1611" s="15"/>
      <c r="M1611" s="16">
        <f t="shared" si="266"/>
        <v>25</v>
      </c>
      <c r="N1611" s="15">
        <v>10000</v>
      </c>
      <c r="O1611" s="15">
        <v>2600</v>
      </c>
      <c r="P1611" s="15">
        <f t="shared" si="264"/>
        <v>26000000</v>
      </c>
      <c r="Q1611" s="15" t="str">
        <f t="shared" si="271"/>
        <v>Done</v>
      </c>
      <c r="R1611" s="18" t="s">
        <v>44</v>
      </c>
      <c r="S1611" s="117">
        <v>43511</v>
      </c>
      <c r="T1611" s="20">
        <f>IFERROR(VLOOKUP(S1611,'Date Converter'!$A$4:$C$368,3,0),"")</f>
        <v>43544</v>
      </c>
      <c r="U1611" s="21">
        <f t="shared" si="270"/>
        <v>43544</v>
      </c>
      <c r="V1611" s="12" t="s">
        <v>32</v>
      </c>
      <c r="W1611" s="18" t="s">
        <v>33</v>
      </c>
      <c r="X1611" s="18"/>
      <c r="Y1611" s="18"/>
      <c r="Z1611" s="210">
        <v>43515</v>
      </c>
      <c r="AA1611" s="15">
        <v>10000</v>
      </c>
      <c r="AB1611" s="210"/>
      <c r="AC1611" s="15"/>
      <c r="AD1611" s="15"/>
      <c r="AE1611" s="15"/>
      <c r="AF1611" s="244"/>
      <c r="AG1611" s="15"/>
      <c r="AH1611" s="15">
        <f t="shared" si="267"/>
        <v>10000</v>
      </c>
      <c r="AI1611" s="22">
        <f t="shared" si="268"/>
        <v>0</v>
      </c>
      <c r="AJ1611" s="22">
        <f t="shared" si="269"/>
        <v>0</v>
      </c>
      <c r="AK1611" s="13">
        <v>43886</v>
      </c>
      <c r="AL1611" s="165"/>
    </row>
    <row r="1612" spans="1:38" s="198" customFormat="1" hidden="1">
      <c r="A1612" s="165" t="s">
        <v>1776</v>
      </c>
      <c r="B1612" s="13">
        <v>43336</v>
      </c>
      <c r="C1612" s="13" t="s">
        <v>1622</v>
      </c>
      <c r="D1612" s="165" t="s">
        <v>1025</v>
      </c>
      <c r="E1612" s="165" t="s">
        <v>1026</v>
      </c>
      <c r="F1612" s="165" t="str">
        <f t="shared" si="265"/>
        <v>TARR_14.16_300_NL2018</v>
      </c>
      <c r="G1612" s="165" t="s">
        <v>62</v>
      </c>
      <c r="H1612" s="12"/>
      <c r="I1612" s="12" t="s">
        <v>47</v>
      </c>
      <c r="J1612" s="14">
        <v>300</v>
      </c>
      <c r="K1612" s="15" t="s">
        <v>28</v>
      </c>
      <c r="L1612" s="15"/>
      <c r="M1612" s="16">
        <f t="shared" si="266"/>
        <v>67</v>
      </c>
      <c r="N1612" s="15">
        <v>20100</v>
      </c>
      <c r="O1612" s="15">
        <v>4495</v>
      </c>
      <c r="P1612" s="15">
        <f t="shared" si="264"/>
        <v>90349500</v>
      </c>
      <c r="Q1612" s="15" t="str">
        <f t="shared" si="271"/>
        <v>Done</v>
      </c>
      <c r="R1612" s="18" t="s">
        <v>44</v>
      </c>
      <c r="S1612" s="117">
        <v>43480</v>
      </c>
      <c r="T1612" s="20">
        <f>IFERROR(VLOOKUP(S1612,'Date Converter'!$A$4:$C$368,3,0),"")</f>
        <v>43515</v>
      </c>
      <c r="U1612" s="21">
        <f t="shared" si="270"/>
        <v>43515</v>
      </c>
      <c r="V1612" s="12" t="s">
        <v>45</v>
      </c>
      <c r="W1612" s="18"/>
      <c r="X1612" s="18"/>
      <c r="Y1612" s="18"/>
      <c r="Z1612" s="210">
        <v>43515</v>
      </c>
      <c r="AA1612" s="15">
        <v>20100</v>
      </c>
      <c r="AB1612" s="210"/>
      <c r="AC1612" s="15"/>
      <c r="AD1612" s="15"/>
      <c r="AE1612" s="15"/>
      <c r="AF1612" s="244"/>
      <c r="AG1612" s="15"/>
      <c r="AH1612" s="15">
        <f t="shared" si="267"/>
        <v>20100</v>
      </c>
      <c r="AI1612" s="22">
        <f t="shared" si="268"/>
        <v>0</v>
      </c>
      <c r="AJ1612" s="22">
        <f t="shared" si="269"/>
        <v>0</v>
      </c>
      <c r="AK1612" s="13">
        <v>43886</v>
      </c>
      <c r="AL1612" s="165"/>
    </row>
    <row r="1613" spans="1:38" s="198" customFormat="1" hidden="1">
      <c r="A1613" s="165" t="s">
        <v>1776</v>
      </c>
      <c r="B1613" s="13">
        <v>43336</v>
      </c>
      <c r="C1613" s="13" t="s">
        <v>1622</v>
      </c>
      <c r="D1613" s="165" t="s">
        <v>1025</v>
      </c>
      <c r="E1613" s="165" t="s">
        <v>1026</v>
      </c>
      <c r="F1613" s="165" t="str">
        <f t="shared" si="265"/>
        <v>TARR_14.16_300_NL2018</v>
      </c>
      <c r="G1613" s="165" t="s">
        <v>62</v>
      </c>
      <c r="H1613" s="12"/>
      <c r="I1613" s="12" t="s">
        <v>47</v>
      </c>
      <c r="J1613" s="14">
        <v>300</v>
      </c>
      <c r="K1613" s="15" t="s">
        <v>28</v>
      </c>
      <c r="L1613" s="15"/>
      <c r="M1613" s="16">
        <f t="shared" si="266"/>
        <v>84</v>
      </c>
      <c r="N1613" s="15">
        <v>25200</v>
      </c>
      <c r="O1613" s="15">
        <v>4500</v>
      </c>
      <c r="P1613" s="15">
        <f t="shared" si="264"/>
        <v>113400000</v>
      </c>
      <c r="Q1613" s="15" t="str">
        <f t="shared" si="271"/>
        <v>Done</v>
      </c>
      <c r="R1613" s="18" t="s">
        <v>44</v>
      </c>
      <c r="S1613" s="117">
        <v>43511</v>
      </c>
      <c r="T1613" s="20">
        <f>IFERROR(VLOOKUP(S1613,'Date Converter'!$A$4:$C$368,3,0),"")</f>
        <v>43544</v>
      </c>
      <c r="U1613" s="21">
        <f t="shared" si="270"/>
        <v>43544</v>
      </c>
      <c r="V1613" s="12" t="s">
        <v>32</v>
      </c>
      <c r="W1613" s="18" t="s">
        <v>41</v>
      </c>
      <c r="X1613" s="18"/>
      <c r="Y1613" s="18"/>
      <c r="Z1613" s="210">
        <v>43543</v>
      </c>
      <c r="AA1613" s="15">
        <v>25200</v>
      </c>
      <c r="AB1613" s="210"/>
      <c r="AC1613" s="15"/>
      <c r="AD1613" s="15"/>
      <c r="AE1613" s="15"/>
      <c r="AF1613" s="244"/>
      <c r="AG1613" s="15"/>
      <c r="AH1613" s="15">
        <f t="shared" si="267"/>
        <v>25200</v>
      </c>
      <c r="AI1613" s="22">
        <f t="shared" si="268"/>
        <v>0</v>
      </c>
      <c r="AJ1613" s="22">
        <f t="shared" si="269"/>
        <v>0</v>
      </c>
      <c r="AK1613" s="13">
        <v>43886</v>
      </c>
      <c r="AL1613" s="165"/>
    </row>
    <row r="1614" spans="1:38" s="198" customFormat="1" hidden="1">
      <c r="A1614" s="165" t="s">
        <v>1776</v>
      </c>
      <c r="B1614" s="13">
        <v>43336</v>
      </c>
      <c r="C1614" s="13" t="s">
        <v>1622</v>
      </c>
      <c r="D1614" s="165" t="s">
        <v>1025</v>
      </c>
      <c r="E1614" s="165" t="s">
        <v>1026</v>
      </c>
      <c r="F1614" s="165" t="str">
        <f t="shared" si="265"/>
        <v>SEDO_16.18_200_NL2018</v>
      </c>
      <c r="G1614" s="165" t="s">
        <v>1585</v>
      </c>
      <c r="H1614" s="12"/>
      <c r="I1614" s="24" t="s">
        <v>35</v>
      </c>
      <c r="J1614" s="14">
        <v>200</v>
      </c>
      <c r="K1614" s="15" t="s">
        <v>28</v>
      </c>
      <c r="L1614" s="15"/>
      <c r="M1614" s="16">
        <f t="shared" si="266"/>
        <v>59</v>
      </c>
      <c r="N1614" s="15">
        <v>11800</v>
      </c>
      <c r="O1614" s="15">
        <v>5000</v>
      </c>
      <c r="P1614" s="15">
        <f t="shared" si="264"/>
        <v>59000000</v>
      </c>
      <c r="Q1614" s="15" t="str">
        <f t="shared" si="271"/>
        <v>Done</v>
      </c>
      <c r="R1614" s="18" t="s">
        <v>44</v>
      </c>
      <c r="S1614" s="117" t="s">
        <v>151</v>
      </c>
      <c r="T1614" s="20">
        <f>IFERROR(VLOOKUP(S1614,'Date Converter'!$A$4:$C$368,3,0),"")</f>
        <v>43558</v>
      </c>
      <c r="U1614" s="21">
        <f t="shared" si="270"/>
        <v>43558</v>
      </c>
      <c r="V1614" s="12" t="s">
        <v>54</v>
      </c>
      <c r="W1614" s="18" t="s">
        <v>101</v>
      </c>
      <c r="X1614" s="18"/>
      <c r="Y1614" s="18"/>
      <c r="Z1614" s="210">
        <v>43558</v>
      </c>
      <c r="AA1614" s="15">
        <v>11800</v>
      </c>
      <c r="AB1614" s="210"/>
      <c r="AC1614" s="15"/>
      <c r="AD1614" s="15"/>
      <c r="AE1614" s="15"/>
      <c r="AF1614" s="244"/>
      <c r="AG1614" s="15"/>
      <c r="AH1614" s="15">
        <f t="shared" si="267"/>
        <v>11800</v>
      </c>
      <c r="AI1614" s="22">
        <f t="shared" si="268"/>
        <v>0</v>
      </c>
      <c r="AJ1614" s="22">
        <f t="shared" si="269"/>
        <v>0</v>
      </c>
      <c r="AK1614" s="13">
        <v>43886</v>
      </c>
      <c r="AL1614" s="165"/>
    </row>
    <row r="1615" spans="1:38" s="198" customFormat="1" hidden="1">
      <c r="A1615" s="165" t="s">
        <v>1776</v>
      </c>
      <c r="B1615" s="13">
        <v>43336</v>
      </c>
      <c r="C1615" s="13" t="s">
        <v>1622</v>
      </c>
      <c r="D1615" s="165" t="s">
        <v>1025</v>
      </c>
      <c r="E1615" s="165" t="s">
        <v>1026</v>
      </c>
      <c r="F1615" s="165" t="str">
        <f t="shared" si="265"/>
        <v>SEDO_18.20_150_NL2018</v>
      </c>
      <c r="G1615" s="165" t="s">
        <v>1585</v>
      </c>
      <c r="H1615" s="12"/>
      <c r="I1615" s="12" t="s">
        <v>27</v>
      </c>
      <c r="J1615" s="14">
        <v>150</v>
      </c>
      <c r="K1615" s="15" t="s">
        <v>28</v>
      </c>
      <c r="L1615" s="15"/>
      <c r="M1615" s="16">
        <f t="shared" si="266"/>
        <v>134</v>
      </c>
      <c r="N1615" s="17">
        <v>20100</v>
      </c>
      <c r="O1615" s="15">
        <v>6600</v>
      </c>
      <c r="P1615" s="15">
        <f t="shared" si="264"/>
        <v>132660000</v>
      </c>
      <c r="Q1615" s="15" t="str">
        <f t="shared" si="271"/>
        <v/>
      </c>
      <c r="R1615" s="18" t="s">
        <v>29</v>
      </c>
      <c r="S1615" s="117">
        <v>43651</v>
      </c>
      <c r="T1615" s="20">
        <f>IFERROR(VLOOKUP(S1615,'Date Converter'!$A$4:$C$368,3,0),"")</f>
        <v>43682</v>
      </c>
      <c r="U1615" s="21">
        <f t="shared" si="270"/>
        <v>43682</v>
      </c>
      <c r="V1615" s="20" t="s">
        <v>1777</v>
      </c>
      <c r="W1615" s="18"/>
      <c r="X1615" s="18"/>
      <c r="Y1615" s="18"/>
      <c r="Z1615" s="210"/>
      <c r="AA1615" s="15">
        <v>0</v>
      </c>
      <c r="AB1615" s="210"/>
      <c r="AC1615" s="15"/>
      <c r="AD1615" s="15"/>
      <c r="AE1615" s="15"/>
      <c r="AF1615" s="244"/>
      <c r="AG1615" s="15"/>
      <c r="AH1615" s="15">
        <f t="shared" si="267"/>
        <v>0</v>
      </c>
      <c r="AI1615" s="22">
        <f t="shared" si="268"/>
        <v>20100</v>
      </c>
      <c r="AJ1615" s="22">
        <f t="shared" si="269"/>
        <v>132660000</v>
      </c>
      <c r="AK1615" s="13">
        <v>43886</v>
      </c>
      <c r="AL1615" s="165"/>
    </row>
    <row r="1616" spans="1:38" s="198" customFormat="1" hidden="1">
      <c r="A1616" s="165" t="s">
        <v>1776</v>
      </c>
      <c r="B1616" s="13">
        <v>43641</v>
      </c>
      <c r="C1616" s="13" t="s">
        <v>1622</v>
      </c>
      <c r="D1616" s="165" t="s">
        <v>1025</v>
      </c>
      <c r="E1616" s="165" t="s">
        <v>1026</v>
      </c>
      <c r="F1616" s="165" t="str">
        <f t="shared" si="265"/>
        <v>BACA_16.18_200_NL2018</v>
      </c>
      <c r="G1616" s="165" t="s">
        <v>67</v>
      </c>
      <c r="H1616" s="12"/>
      <c r="I1616" s="24" t="s">
        <v>35</v>
      </c>
      <c r="J1616" s="14">
        <v>200</v>
      </c>
      <c r="K1616" s="15" t="s">
        <v>28</v>
      </c>
      <c r="L1616" s="15"/>
      <c r="M1616" s="16">
        <f t="shared" si="266"/>
        <v>64</v>
      </c>
      <c r="N1616" s="17">
        <v>12800</v>
      </c>
      <c r="O1616" s="15">
        <v>7400</v>
      </c>
      <c r="P1616" s="15">
        <f t="shared" si="264"/>
        <v>94720000</v>
      </c>
      <c r="Q1616" s="15" t="str">
        <f t="shared" si="271"/>
        <v/>
      </c>
      <c r="R1616" s="18" t="s">
        <v>29</v>
      </c>
      <c r="S1616" s="117">
        <v>43678</v>
      </c>
      <c r="T1616" s="20">
        <f>IFERROR(VLOOKUP(S1616,'Date Converter'!$A$4:$C$368,3,0),"")</f>
        <v>43707</v>
      </c>
      <c r="U1616" s="21">
        <f t="shared" si="270"/>
        <v>43707</v>
      </c>
      <c r="V1616" s="20"/>
      <c r="W1616" s="18"/>
      <c r="X1616" s="18"/>
      <c r="Y1616" s="18"/>
      <c r="Z1616" s="210"/>
      <c r="AA1616" s="15"/>
      <c r="AB1616" s="210"/>
      <c r="AC1616" s="15"/>
      <c r="AD1616" s="15"/>
      <c r="AE1616" s="15"/>
      <c r="AF1616" s="244"/>
      <c r="AG1616" s="15"/>
      <c r="AH1616" s="15">
        <f t="shared" si="267"/>
        <v>0</v>
      </c>
      <c r="AI1616" s="22">
        <f t="shared" si="268"/>
        <v>12800</v>
      </c>
      <c r="AJ1616" s="22">
        <f t="shared" si="269"/>
        <v>94720000</v>
      </c>
      <c r="AK1616" s="13"/>
      <c r="AL1616" s="165"/>
    </row>
    <row r="1617" spans="1:38" s="198" customFormat="1" hidden="1">
      <c r="A1617" s="165" t="s">
        <v>1778</v>
      </c>
      <c r="B1617" s="13">
        <v>43336</v>
      </c>
      <c r="C1617" s="13" t="s">
        <v>1622</v>
      </c>
      <c r="D1617" s="258" t="s">
        <v>1025</v>
      </c>
      <c r="E1617" s="165" t="s">
        <v>1026</v>
      </c>
      <c r="F1617" s="165" t="str">
        <f t="shared" si="265"/>
        <v>SEDO_20.22_125_NL2018</v>
      </c>
      <c r="G1617" s="165" t="s">
        <v>1585</v>
      </c>
      <c r="H1617" s="12"/>
      <c r="I1617" s="12" t="s">
        <v>74</v>
      </c>
      <c r="J1617" s="14">
        <v>125</v>
      </c>
      <c r="K1617" s="15" t="s">
        <v>28</v>
      </c>
      <c r="L1617" s="15"/>
      <c r="M1617" s="16">
        <f t="shared" si="266"/>
        <v>40</v>
      </c>
      <c r="N1617" s="17">
        <v>5000</v>
      </c>
      <c r="O1617" s="15">
        <v>10600</v>
      </c>
      <c r="P1617" s="15">
        <f t="shared" si="264"/>
        <v>53000000</v>
      </c>
      <c r="Q1617" s="15" t="str">
        <f t="shared" si="271"/>
        <v/>
      </c>
      <c r="R1617" s="18" t="s">
        <v>29</v>
      </c>
      <c r="S1617" s="117">
        <v>43709</v>
      </c>
      <c r="T1617" s="20">
        <f>IFERROR(VLOOKUP(S1617,'Date Converter'!$A$4:$C$368,3,0),"")</f>
        <v>43737</v>
      </c>
      <c r="U1617" s="21">
        <f t="shared" ref="U1617:U1624" si="272">+T1617</f>
        <v>43737</v>
      </c>
      <c r="V1617" s="253" t="s">
        <v>51</v>
      </c>
      <c r="W1617" s="18"/>
      <c r="X1617" s="18"/>
      <c r="Y1617" s="18"/>
      <c r="Z1617" s="210"/>
      <c r="AA1617" s="15">
        <v>0</v>
      </c>
      <c r="AB1617" s="210"/>
      <c r="AC1617" s="15"/>
      <c r="AD1617" s="15"/>
      <c r="AE1617" s="15"/>
      <c r="AF1617" s="244"/>
      <c r="AG1617" s="15"/>
      <c r="AH1617" s="15">
        <f t="shared" si="267"/>
        <v>0</v>
      </c>
      <c r="AI1617" s="22">
        <f t="shared" si="268"/>
        <v>5000</v>
      </c>
      <c r="AJ1617" s="22">
        <f t="shared" si="269"/>
        <v>53000000</v>
      </c>
      <c r="AK1617" s="13">
        <v>43886</v>
      </c>
      <c r="AL1617" s="165"/>
    </row>
    <row r="1618" spans="1:38" s="198" customFormat="1" hidden="1">
      <c r="A1618" s="165" t="s">
        <v>1776</v>
      </c>
      <c r="B1618" s="13">
        <v>43336</v>
      </c>
      <c r="C1618" s="13" t="s">
        <v>1622</v>
      </c>
      <c r="D1618" s="165" t="s">
        <v>1025</v>
      </c>
      <c r="E1618" s="165" t="s">
        <v>1026</v>
      </c>
      <c r="F1618" s="165" t="str">
        <f t="shared" si="265"/>
        <v>MANI_PR_16.18_200_NL2018</v>
      </c>
      <c r="G1618" s="165" t="s">
        <v>105</v>
      </c>
      <c r="H1618" s="12" t="s">
        <v>106</v>
      </c>
      <c r="I1618" s="12" t="s">
        <v>35</v>
      </c>
      <c r="J1618" s="14">
        <v>200</v>
      </c>
      <c r="K1618" s="15" t="s">
        <v>28</v>
      </c>
      <c r="L1618" s="15"/>
      <c r="M1618" s="16">
        <f t="shared" si="266"/>
        <v>50</v>
      </c>
      <c r="N1618" s="17">
        <v>10000</v>
      </c>
      <c r="O1618" s="15">
        <v>6000</v>
      </c>
      <c r="P1618" s="15">
        <f t="shared" si="264"/>
        <v>60000000</v>
      </c>
      <c r="Q1618" s="15" t="str">
        <f t="shared" si="271"/>
        <v>Done</v>
      </c>
      <c r="R1618" s="18" t="s">
        <v>44</v>
      </c>
      <c r="S1618" s="117" t="s">
        <v>151</v>
      </c>
      <c r="T1618" s="20">
        <f>IFERROR(VLOOKUP(S1618,'Date Converter'!$A$4:$C$368,3,0),"")</f>
        <v>43558</v>
      </c>
      <c r="U1618" s="21">
        <f t="shared" si="272"/>
        <v>43558</v>
      </c>
      <c r="V1618" s="12" t="s">
        <v>54</v>
      </c>
      <c r="W1618" s="18" t="s">
        <v>107</v>
      </c>
      <c r="X1618" s="18"/>
      <c r="Y1618" s="18"/>
      <c r="Z1618" s="210">
        <v>43557</v>
      </c>
      <c r="AA1618" s="15">
        <v>10000</v>
      </c>
      <c r="AB1618" s="210"/>
      <c r="AC1618" s="15"/>
      <c r="AD1618" s="15"/>
      <c r="AE1618" s="15"/>
      <c r="AF1618" s="244"/>
      <c r="AG1618" s="15"/>
      <c r="AH1618" s="15">
        <f t="shared" si="267"/>
        <v>10000</v>
      </c>
      <c r="AI1618" s="22">
        <f t="shared" si="268"/>
        <v>0</v>
      </c>
      <c r="AJ1618" s="22">
        <f t="shared" si="269"/>
        <v>0</v>
      </c>
      <c r="AK1618" s="13">
        <v>43886</v>
      </c>
      <c r="AL1618" s="165"/>
    </row>
    <row r="1619" spans="1:38" s="198" customFormat="1" hidden="1">
      <c r="A1619" s="165" t="s">
        <v>1778</v>
      </c>
      <c r="B1619" s="13">
        <v>43336</v>
      </c>
      <c r="C1619" s="13" t="s">
        <v>1622</v>
      </c>
      <c r="D1619" s="258" t="s">
        <v>1025</v>
      </c>
      <c r="E1619" s="165" t="s">
        <v>1026</v>
      </c>
      <c r="F1619" s="165" t="str">
        <f t="shared" si="265"/>
        <v>MANI_20.22_125_NL2018</v>
      </c>
      <c r="G1619" s="165" t="s">
        <v>105</v>
      </c>
      <c r="H1619" s="12"/>
      <c r="I1619" s="12" t="s">
        <v>74</v>
      </c>
      <c r="J1619" s="14">
        <v>125</v>
      </c>
      <c r="K1619" s="15" t="s">
        <v>28</v>
      </c>
      <c r="L1619" s="15"/>
      <c r="M1619" s="16">
        <f t="shared" si="266"/>
        <v>40</v>
      </c>
      <c r="N1619" s="17">
        <v>5000</v>
      </c>
      <c r="O1619" s="15">
        <v>13500</v>
      </c>
      <c r="P1619" s="15">
        <f t="shared" si="264"/>
        <v>67500000</v>
      </c>
      <c r="Q1619" s="15" t="str">
        <f t="shared" si="271"/>
        <v/>
      </c>
      <c r="R1619" s="18" t="s">
        <v>29</v>
      </c>
      <c r="S1619" s="117">
        <v>43709</v>
      </c>
      <c r="T1619" s="20">
        <f>IFERROR(VLOOKUP(S1619,'Date Converter'!$A$4:$C$368,3,0),"")</f>
        <v>43737</v>
      </c>
      <c r="U1619" s="21">
        <f t="shared" si="272"/>
        <v>43737</v>
      </c>
      <c r="V1619" s="253" t="s">
        <v>51</v>
      </c>
      <c r="W1619" s="18"/>
      <c r="X1619" s="18"/>
      <c r="Y1619" s="18"/>
      <c r="Z1619" s="210"/>
      <c r="AA1619" s="15">
        <v>0</v>
      </c>
      <c r="AB1619" s="210"/>
      <c r="AC1619" s="15"/>
      <c r="AD1619" s="15"/>
      <c r="AE1619" s="15"/>
      <c r="AF1619" s="244"/>
      <c r="AG1619" s="15"/>
      <c r="AH1619" s="15">
        <f t="shared" si="267"/>
        <v>0</v>
      </c>
      <c r="AI1619" s="22">
        <f t="shared" si="268"/>
        <v>5000</v>
      </c>
      <c r="AJ1619" s="22">
        <f t="shared" si="269"/>
        <v>67500000</v>
      </c>
      <c r="AK1619" s="13">
        <v>43886</v>
      </c>
      <c r="AL1619" s="165"/>
    </row>
    <row r="1620" spans="1:38" s="198" customFormat="1" hidden="1">
      <c r="A1620" s="165" t="s">
        <v>1778</v>
      </c>
      <c r="B1620" s="13">
        <v>43336</v>
      </c>
      <c r="C1620" s="13" t="s">
        <v>1622</v>
      </c>
      <c r="D1620" s="258" t="s">
        <v>1025</v>
      </c>
      <c r="E1620" s="165" t="s">
        <v>1026</v>
      </c>
      <c r="F1620" s="165" t="str">
        <f t="shared" si="265"/>
        <v>MANI_22.24_100_NL2018</v>
      </c>
      <c r="G1620" s="165" t="s">
        <v>105</v>
      </c>
      <c r="H1620" s="12"/>
      <c r="I1620" s="12" t="s">
        <v>78</v>
      </c>
      <c r="J1620" s="14">
        <v>100</v>
      </c>
      <c r="K1620" s="15" t="s">
        <v>28</v>
      </c>
      <c r="L1620" s="15"/>
      <c r="M1620" s="16">
        <f t="shared" si="266"/>
        <v>100</v>
      </c>
      <c r="N1620" s="17">
        <v>10000</v>
      </c>
      <c r="O1620" s="15">
        <v>15200</v>
      </c>
      <c r="P1620" s="15">
        <f t="shared" si="264"/>
        <v>152000000</v>
      </c>
      <c r="Q1620" s="15" t="str">
        <f t="shared" si="271"/>
        <v/>
      </c>
      <c r="R1620" s="18" t="s">
        <v>29</v>
      </c>
      <c r="S1620" s="117">
        <v>43709</v>
      </c>
      <c r="T1620" s="20">
        <f>IFERROR(VLOOKUP(S1620,'Date Converter'!$A$4:$C$368,3,0),"")</f>
        <v>43737</v>
      </c>
      <c r="U1620" s="21">
        <f t="shared" si="272"/>
        <v>43737</v>
      </c>
      <c r="V1620" s="253" t="s">
        <v>51</v>
      </c>
      <c r="W1620" s="18"/>
      <c r="X1620" s="18"/>
      <c r="Y1620" s="18"/>
      <c r="Z1620" s="210"/>
      <c r="AA1620" s="15">
        <v>0</v>
      </c>
      <c r="AB1620" s="210"/>
      <c r="AC1620" s="15"/>
      <c r="AD1620" s="15"/>
      <c r="AE1620" s="15"/>
      <c r="AF1620" s="244"/>
      <c r="AG1620" s="15"/>
      <c r="AH1620" s="15">
        <f t="shared" si="267"/>
        <v>0</v>
      </c>
      <c r="AI1620" s="22">
        <f t="shared" si="268"/>
        <v>10000</v>
      </c>
      <c r="AJ1620" s="22">
        <f t="shared" si="269"/>
        <v>152000000</v>
      </c>
      <c r="AK1620" s="13">
        <v>43886</v>
      </c>
      <c r="AL1620" s="165"/>
    </row>
    <row r="1621" spans="1:38" s="165" customFormat="1" hidden="1">
      <c r="A1621" s="165" t="s">
        <v>1776</v>
      </c>
      <c r="B1621" s="13">
        <v>43336</v>
      </c>
      <c r="C1621" s="13" t="s">
        <v>1622</v>
      </c>
      <c r="D1621" s="165" t="s">
        <v>1025</v>
      </c>
      <c r="E1621" s="165" t="s">
        <v>1026</v>
      </c>
      <c r="F1621" s="165" t="str">
        <f t="shared" si="265"/>
        <v>CONC_16.18_200_NL2018</v>
      </c>
      <c r="G1621" s="165" t="s">
        <v>43</v>
      </c>
      <c r="H1621" s="12"/>
      <c r="I1621" s="12" t="s">
        <v>35</v>
      </c>
      <c r="J1621" s="14">
        <v>200</v>
      </c>
      <c r="K1621" s="15" t="s">
        <v>28</v>
      </c>
      <c r="L1621" s="15"/>
      <c r="M1621" s="16">
        <f t="shared" si="266"/>
        <v>50</v>
      </c>
      <c r="N1621" s="17">
        <v>10000</v>
      </c>
      <c r="O1621" s="15">
        <v>4600</v>
      </c>
      <c r="P1621" s="15">
        <f t="shared" si="264"/>
        <v>46000000</v>
      </c>
      <c r="Q1621" s="15" t="str">
        <f t="shared" si="271"/>
        <v>Done</v>
      </c>
      <c r="R1621" s="18" t="s">
        <v>44</v>
      </c>
      <c r="S1621" s="117">
        <v>43480</v>
      </c>
      <c r="T1621" s="20">
        <f>IFERROR(VLOOKUP(S1621,'Date Converter'!$A$4:$C$368,3,0),"")</f>
        <v>43515</v>
      </c>
      <c r="U1621" s="21">
        <f t="shared" si="272"/>
        <v>43515</v>
      </c>
      <c r="V1621" s="12" t="s">
        <v>45</v>
      </c>
      <c r="W1621" s="18"/>
      <c r="X1621" s="18"/>
      <c r="Y1621" s="18"/>
      <c r="Z1621" s="210">
        <v>43515</v>
      </c>
      <c r="AA1621" s="15">
        <v>10000</v>
      </c>
      <c r="AB1621" s="210"/>
      <c r="AC1621" s="15"/>
      <c r="AD1621" s="15"/>
      <c r="AE1621" s="15"/>
      <c r="AF1621" s="244"/>
      <c r="AG1621" s="15"/>
      <c r="AH1621" s="15">
        <f t="shared" si="267"/>
        <v>10000</v>
      </c>
      <c r="AI1621" s="22">
        <f t="shared" si="268"/>
        <v>0</v>
      </c>
      <c r="AJ1621" s="22">
        <f t="shared" si="269"/>
        <v>0</v>
      </c>
      <c r="AK1621" s="13">
        <v>43886</v>
      </c>
    </row>
    <row r="1622" spans="1:38" s="165" customFormat="1" hidden="1">
      <c r="A1622" s="165" t="s">
        <v>1776</v>
      </c>
      <c r="B1622" s="13">
        <v>43336</v>
      </c>
      <c r="C1622" s="13" t="s">
        <v>1622</v>
      </c>
      <c r="D1622" s="165" t="s">
        <v>1025</v>
      </c>
      <c r="E1622" s="165" t="s">
        <v>1026</v>
      </c>
      <c r="F1622" s="165" t="str">
        <f t="shared" si="265"/>
        <v>CONC_16.18_200_NL2018</v>
      </c>
      <c r="G1622" s="165" t="s">
        <v>43</v>
      </c>
      <c r="H1622" s="12"/>
      <c r="I1622" s="12" t="s">
        <v>35</v>
      </c>
      <c r="J1622" s="14">
        <v>200</v>
      </c>
      <c r="K1622" s="15" t="s">
        <v>28</v>
      </c>
      <c r="L1622" s="15"/>
      <c r="M1622" s="16">
        <f t="shared" si="266"/>
        <v>50</v>
      </c>
      <c r="N1622" s="17">
        <v>10000</v>
      </c>
      <c r="O1622" s="15">
        <v>4700</v>
      </c>
      <c r="P1622" s="15">
        <f t="shared" si="264"/>
        <v>47000000</v>
      </c>
      <c r="Q1622" s="15" t="str">
        <f t="shared" si="271"/>
        <v>Done</v>
      </c>
      <c r="R1622" s="18" t="s">
        <v>44</v>
      </c>
      <c r="S1622" s="117" t="s">
        <v>151</v>
      </c>
      <c r="T1622" s="20">
        <f>IFERROR(VLOOKUP(S1622,'Date Converter'!$A$4:$C$368,3,0),"")</f>
        <v>43558</v>
      </c>
      <c r="U1622" s="21">
        <f t="shared" si="272"/>
        <v>43558</v>
      </c>
      <c r="V1622" s="12" t="s">
        <v>54</v>
      </c>
      <c r="W1622" s="18" t="s">
        <v>55</v>
      </c>
      <c r="X1622" s="18"/>
      <c r="Y1622" s="18"/>
      <c r="Z1622" s="210">
        <v>43557</v>
      </c>
      <c r="AA1622" s="15">
        <v>10000</v>
      </c>
      <c r="AB1622" s="210"/>
      <c r="AC1622" s="15"/>
      <c r="AD1622" s="15"/>
      <c r="AE1622" s="15"/>
      <c r="AF1622" s="244"/>
      <c r="AG1622" s="15"/>
      <c r="AH1622" s="15">
        <f t="shared" si="267"/>
        <v>10000</v>
      </c>
      <c r="AI1622" s="22">
        <f t="shared" si="268"/>
        <v>0</v>
      </c>
      <c r="AJ1622" s="22">
        <f t="shared" si="269"/>
        <v>0</v>
      </c>
      <c r="AK1622" s="13">
        <v>43886</v>
      </c>
    </row>
    <row r="1623" spans="1:38" s="165" customFormat="1" hidden="1">
      <c r="A1623" s="165" t="s">
        <v>1776</v>
      </c>
      <c r="B1623" s="13">
        <v>43336</v>
      </c>
      <c r="C1623" s="13" t="s">
        <v>1622</v>
      </c>
      <c r="D1623" s="165" t="s">
        <v>1025</v>
      </c>
      <c r="E1623" s="165" t="s">
        <v>1026</v>
      </c>
      <c r="F1623" s="165" t="str">
        <f t="shared" si="265"/>
        <v>CONC_16.18_200_NL2018</v>
      </c>
      <c r="G1623" s="165" t="s">
        <v>43</v>
      </c>
      <c r="H1623" s="12"/>
      <c r="I1623" s="12" t="s">
        <v>35</v>
      </c>
      <c r="J1623" s="14">
        <v>200</v>
      </c>
      <c r="K1623" s="15" t="s">
        <v>28</v>
      </c>
      <c r="L1623" s="15"/>
      <c r="M1623" s="16">
        <f t="shared" si="266"/>
        <v>0</v>
      </c>
      <c r="N1623" s="17">
        <f>20000-20000</f>
        <v>0</v>
      </c>
      <c r="O1623" s="15">
        <v>4700</v>
      </c>
      <c r="P1623" s="15">
        <f t="shared" si="264"/>
        <v>0</v>
      </c>
      <c r="Q1623" s="15" t="str">
        <f t="shared" si="271"/>
        <v>Canceled</v>
      </c>
      <c r="R1623" s="18" t="s">
        <v>71</v>
      </c>
      <c r="S1623" s="212"/>
      <c r="T1623" s="20" t="str">
        <f>IFERROR(VLOOKUP(S1623,'Date Converter'!$A$4:$C$368,3,0),"")</f>
        <v/>
      </c>
      <c r="U1623" s="21" t="str">
        <f t="shared" si="272"/>
        <v/>
      </c>
      <c r="V1623" s="20"/>
      <c r="W1623" s="18"/>
      <c r="X1623" s="18"/>
      <c r="Y1623" s="18"/>
      <c r="Z1623" s="210"/>
      <c r="AA1623" s="15">
        <v>0</v>
      </c>
      <c r="AB1623" s="210"/>
      <c r="AC1623" s="15"/>
      <c r="AD1623" s="15"/>
      <c r="AE1623" s="15"/>
      <c r="AF1623" s="244"/>
      <c r="AG1623" s="15"/>
      <c r="AH1623" s="15">
        <f t="shared" si="267"/>
        <v>0</v>
      </c>
      <c r="AI1623" s="22">
        <f t="shared" si="268"/>
        <v>0</v>
      </c>
      <c r="AJ1623" s="22">
        <f t="shared" si="269"/>
        <v>0</v>
      </c>
      <c r="AK1623" s="13">
        <v>43887</v>
      </c>
    </row>
    <row r="1624" spans="1:38" s="165" customFormat="1" hidden="1">
      <c r="A1624" s="165" t="s">
        <v>1776</v>
      </c>
      <c r="B1624" s="13">
        <v>43336</v>
      </c>
      <c r="C1624" s="13" t="s">
        <v>1622</v>
      </c>
      <c r="D1624" s="165" t="s">
        <v>1025</v>
      </c>
      <c r="E1624" s="165" t="s">
        <v>1026</v>
      </c>
      <c r="F1624" s="165" t="str">
        <f t="shared" si="265"/>
        <v>BACA_16.18_200_NL2018</v>
      </c>
      <c r="G1624" s="165" t="s">
        <v>67</v>
      </c>
      <c r="H1624" s="12"/>
      <c r="I1624" s="12" t="s">
        <v>35</v>
      </c>
      <c r="J1624" s="14">
        <v>200</v>
      </c>
      <c r="K1624" s="15" t="s">
        <v>28</v>
      </c>
      <c r="L1624" s="15"/>
      <c r="M1624" s="16">
        <f t="shared" si="266"/>
        <v>50</v>
      </c>
      <c r="N1624" s="17">
        <v>10000</v>
      </c>
      <c r="O1624" s="15">
        <v>6300</v>
      </c>
      <c r="P1624" s="15">
        <f t="shared" si="264"/>
        <v>63000000</v>
      </c>
      <c r="Q1624" s="15" t="str">
        <f t="shared" si="271"/>
        <v>Done</v>
      </c>
      <c r="R1624" s="18" t="s">
        <v>44</v>
      </c>
      <c r="S1624" s="117">
        <v>43511</v>
      </c>
      <c r="T1624" s="20">
        <f>IFERROR(VLOOKUP(S1624,'Date Converter'!$A$4:$C$368,3,0),"")</f>
        <v>43544</v>
      </c>
      <c r="U1624" s="21">
        <f t="shared" si="272"/>
        <v>43544</v>
      </c>
      <c r="V1624" s="12" t="s">
        <v>32</v>
      </c>
      <c r="W1624" s="18" t="s">
        <v>48</v>
      </c>
      <c r="X1624" s="18"/>
      <c r="Y1624" s="18"/>
      <c r="Z1624" s="210">
        <v>43543</v>
      </c>
      <c r="AA1624" s="15">
        <v>10000</v>
      </c>
      <c r="AB1624" s="210"/>
      <c r="AC1624" s="15"/>
      <c r="AD1624" s="15"/>
      <c r="AE1624" s="15"/>
      <c r="AF1624" s="244"/>
      <c r="AG1624" s="15"/>
      <c r="AH1624" s="15">
        <f t="shared" si="267"/>
        <v>10000</v>
      </c>
      <c r="AI1624" s="22">
        <f t="shared" si="268"/>
        <v>0</v>
      </c>
      <c r="AJ1624" s="22">
        <f t="shared" si="269"/>
        <v>0</v>
      </c>
      <c r="AK1624" s="13">
        <v>43886</v>
      </c>
    </row>
    <row r="1625" spans="1:38" s="165" customFormat="1" hidden="1">
      <c r="B1625" s="12"/>
      <c r="E1625" s="13" t="s">
        <v>2362</v>
      </c>
      <c r="F1625" s="165" t="str">
        <f t="shared" si="265"/>
        <v>ROBI_18.20_150_NL2018</v>
      </c>
      <c r="G1625" s="165" t="s">
        <v>61</v>
      </c>
      <c r="H1625" s="12"/>
      <c r="I1625" s="12" t="s">
        <v>27</v>
      </c>
      <c r="J1625" s="31" t="s">
        <v>126</v>
      </c>
      <c r="K1625" s="15" t="s">
        <v>28</v>
      </c>
      <c r="L1625" s="15"/>
      <c r="M1625" s="33">
        <f t="shared" si="266"/>
        <v>9</v>
      </c>
      <c r="N1625" s="15">
        <v>1350</v>
      </c>
      <c r="O1625" s="15"/>
      <c r="P1625" s="15"/>
      <c r="Q1625" s="15" t="str">
        <f t="shared" si="271"/>
        <v/>
      </c>
      <c r="R1625" s="18" t="s">
        <v>63</v>
      </c>
      <c r="S1625" s="23"/>
      <c r="T1625" s="20"/>
      <c r="U1625" s="21"/>
      <c r="V1625" s="12"/>
      <c r="W1625" s="18"/>
      <c r="X1625" s="18"/>
      <c r="Y1625" s="12"/>
      <c r="Z1625" s="206"/>
      <c r="AA1625" s="12"/>
      <c r="AB1625" s="12"/>
      <c r="AC1625" s="12"/>
      <c r="AD1625" s="12"/>
      <c r="AE1625" s="12"/>
      <c r="AF1625" s="245"/>
      <c r="AG1625" s="12"/>
      <c r="AH1625" s="15">
        <f t="shared" si="267"/>
        <v>0</v>
      </c>
      <c r="AI1625" s="22">
        <f t="shared" si="268"/>
        <v>1350</v>
      </c>
      <c r="AJ1625" s="22">
        <f t="shared" si="269"/>
        <v>0</v>
      </c>
    </row>
    <row r="1626" spans="1:38" s="165" customFormat="1" hidden="1">
      <c r="B1626" s="12"/>
      <c r="E1626" s="13" t="s">
        <v>2362</v>
      </c>
      <c r="F1626" s="165" t="str">
        <f t="shared" si="265"/>
        <v>FERR_13.14_400_NL2018</v>
      </c>
      <c r="G1626" s="165" t="s">
        <v>1466</v>
      </c>
      <c r="H1626" s="12"/>
      <c r="I1626" s="12" t="s">
        <v>1467</v>
      </c>
      <c r="J1626" s="31" t="s">
        <v>128</v>
      </c>
      <c r="K1626" s="15" t="s">
        <v>28</v>
      </c>
      <c r="L1626" s="15"/>
      <c r="M1626" s="33">
        <f t="shared" si="266"/>
        <v>38</v>
      </c>
      <c r="N1626" s="15">
        <v>15200</v>
      </c>
      <c r="O1626" s="15"/>
      <c r="P1626" s="15"/>
      <c r="Q1626" s="15" t="str">
        <f t="shared" si="271"/>
        <v/>
      </c>
      <c r="R1626" s="18" t="s">
        <v>63</v>
      </c>
      <c r="S1626" s="23"/>
      <c r="T1626" s="20" t="str">
        <f>IFERROR(VLOOKUP(S1626,'Date Converter'!$A$4:$C$368,3,0),"")</f>
        <v/>
      </c>
      <c r="U1626" s="21" t="str">
        <f>+T1626</f>
        <v/>
      </c>
      <c r="V1626" s="12"/>
      <c r="W1626" s="18"/>
      <c r="X1626" s="18"/>
      <c r="Y1626" s="12"/>
      <c r="Z1626" s="206"/>
      <c r="AA1626" s="12"/>
      <c r="AB1626" s="12"/>
      <c r="AC1626" s="12"/>
      <c r="AD1626" s="12"/>
      <c r="AE1626" s="12"/>
      <c r="AF1626" s="245"/>
      <c r="AG1626" s="12"/>
      <c r="AH1626" s="15">
        <f t="shared" si="267"/>
        <v>0</v>
      </c>
      <c r="AI1626" s="22">
        <f t="shared" si="268"/>
        <v>15200</v>
      </c>
      <c r="AJ1626" s="22">
        <f t="shared" si="269"/>
        <v>0</v>
      </c>
    </row>
    <row r="1627" spans="1:38" s="165" customFormat="1" hidden="1">
      <c r="B1627" s="12"/>
      <c r="E1627" s="13" t="s">
        <v>2369</v>
      </c>
      <c r="F1627" s="165" t="str">
        <f t="shared" si="265"/>
        <v>NASH_14.16_300_NL2018</v>
      </c>
      <c r="G1627" s="165" t="s">
        <v>123</v>
      </c>
      <c r="H1627" s="12"/>
      <c r="I1627" s="12" t="s">
        <v>47</v>
      </c>
      <c r="J1627" s="31" t="s">
        <v>124</v>
      </c>
      <c r="K1627" s="15" t="s">
        <v>28</v>
      </c>
      <c r="L1627" s="15"/>
      <c r="M1627" s="33">
        <f t="shared" si="266"/>
        <v>78</v>
      </c>
      <c r="N1627" s="15">
        <v>23400</v>
      </c>
      <c r="O1627" s="15"/>
      <c r="P1627" s="15"/>
      <c r="Q1627" s="15" t="str">
        <f t="shared" si="271"/>
        <v/>
      </c>
      <c r="R1627" s="18" t="s">
        <v>31</v>
      </c>
      <c r="S1627" s="23"/>
      <c r="T1627" s="20" t="str">
        <f>IFERROR(VLOOKUP(S1627,'Date Converter'!$A$4:$C$368,3,0),"")</f>
        <v/>
      </c>
      <c r="U1627" s="21" t="str">
        <f>+T1627</f>
        <v/>
      </c>
      <c r="V1627" s="12"/>
      <c r="W1627" s="18"/>
      <c r="X1627" s="18"/>
      <c r="Y1627" s="12"/>
      <c r="Z1627" s="206"/>
      <c r="AA1627" s="12"/>
      <c r="AB1627" s="12"/>
      <c r="AC1627" s="12"/>
      <c r="AD1627" s="12"/>
      <c r="AE1627" s="12"/>
      <c r="AF1627" s="245"/>
      <c r="AG1627" s="12"/>
      <c r="AH1627" s="15">
        <f t="shared" si="267"/>
        <v>0</v>
      </c>
      <c r="AI1627" s="22">
        <f t="shared" si="268"/>
        <v>23400</v>
      </c>
      <c r="AJ1627" s="22">
        <f t="shared" si="269"/>
        <v>0</v>
      </c>
    </row>
    <row r="1628" spans="1:38" s="165" customFormat="1" hidden="1">
      <c r="B1628" s="12"/>
      <c r="E1628" s="13" t="s">
        <v>2369</v>
      </c>
      <c r="F1628" s="165" t="str">
        <f t="shared" si="265"/>
        <v>MANI_16.18_200_NL2018</v>
      </c>
      <c r="G1628" s="165" t="s">
        <v>105</v>
      </c>
      <c r="H1628" s="12"/>
      <c r="I1628" s="12" t="s">
        <v>35</v>
      </c>
      <c r="J1628" s="31" t="s">
        <v>121</v>
      </c>
      <c r="K1628" s="15" t="s">
        <v>28</v>
      </c>
      <c r="L1628" s="15"/>
      <c r="M1628" s="33">
        <f t="shared" si="266"/>
        <v>20</v>
      </c>
      <c r="N1628" s="15">
        <v>4000</v>
      </c>
      <c r="O1628" s="15"/>
      <c r="P1628" s="15"/>
      <c r="Q1628" s="15" t="str">
        <f t="shared" si="271"/>
        <v/>
      </c>
      <c r="R1628" s="18" t="s">
        <v>31</v>
      </c>
      <c r="S1628" s="23"/>
      <c r="T1628" s="20"/>
      <c r="U1628" s="21"/>
      <c r="V1628" s="12"/>
      <c r="W1628" s="18"/>
      <c r="X1628" s="18"/>
      <c r="Y1628" s="12"/>
      <c r="Z1628" s="206"/>
      <c r="AA1628" s="12"/>
      <c r="AB1628" s="12"/>
      <c r="AC1628" s="12"/>
      <c r="AD1628" s="12"/>
      <c r="AE1628" s="12"/>
      <c r="AF1628" s="245"/>
      <c r="AG1628" s="12"/>
      <c r="AH1628" s="15">
        <f t="shared" si="267"/>
        <v>0</v>
      </c>
      <c r="AI1628" s="22">
        <f t="shared" si="268"/>
        <v>4000</v>
      </c>
      <c r="AJ1628" s="22">
        <f t="shared" si="269"/>
        <v>0</v>
      </c>
    </row>
    <row r="1629" spans="1:38" s="165" customFormat="1" hidden="1">
      <c r="B1629" s="12"/>
      <c r="E1629" s="13" t="s">
        <v>2369</v>
      </c>
      <c r="F1629" s="165" t="str">
        <f t="shared" si="265"/>
        <v>FELI_16.18_200_NL2018</v>
      </c>
      <c r="G1629" s="165" t="s">
        <v>117</v>
      </c>
      <c r="H1629" s="12"/>
      <c r="I1629" s="12" t="s">
        <v>35</v>
      </c>
      <c r="J1629" s="31" t="s">
        <v>121</v>
      </c>
      <c r="K1629" s="15" t="s">
        <v>28</v>
      </c>
      <c r="L1629" s="15"/>
      <c r="M1629" s="33">
        <f t="shared" si="266"/>
        <v>15</v>
      </c>
      <c r="N1629" s="15">
        <v>3000</v>
      </c>
      <c r="O1629" s="15"/>
      <c r="P1629" s="15"/>
      <c r="Q1629" s="15" t="str">
        <f t="shared" si="271"/>
        <v/>
      </c>
      <c r="R1629" s="18" t="s">
        <v>31</v>
      </c>
      <c r="S1629" s="23"/>
      <c r="T1629" s="20"/>
      <c r="U1629" s="21"/>
      <c r="V1629" s="12"/>
      <c r="W1629" s="18"/>
      <c r="X1629" s="18"/>
      <c r="Y1629" s="12"/>
      <c r="Z1629" s="206"/>
      <c r="AA1629" s="12"/>
      <c r="AB1629" s="12"/>
      <c r="AC1629" s="12"/>
      <c r="AD1629" s="12"/>
      <c r="AE1629" s="12"/>
      <c r="AF1629" s="245"/>
      <c r="AG1629" s="12"/>
      <c r="AH1629" s="15">
        <f t="shared" si="267"/>
        <v>0</v>
      </c>
      <c r="AI1629" s="22">
        <f t="shared" si="268"/>
        <v>3000</v>
      </c>
      <c r="AJ1629" s="22">
        <f t="shared" si="269"/>
        <v>0</v>
      </c>
    </row>
    <row r="1630" spans="1:38" s="165" customFormat="1" hidden="1">
      <c r="B1630" s="12"/>
      <c r="E1630" s="13" t="s">
        <v>2369</v>
      </c>
      <c r="F1630" s="165" t="str">
        <f t="shared" si="265"/>
        <v>FERR_14.16_300_NL2018</v>
      </c>
      <c r="G1630" s="165" t="s">
        <v>1466</v>
      </c>
      <c r="H1630" s="12"/>
      <c r="I1630" s="12" t="s">
        <v>47</v>
      </c>
      <c r="J1630" s="31" t="s">
        <v>124</v>
      </c>
      <c r="K1630" s="15" t="s">
        <v>28</v>
      </c>
      <c r="L1630" s="15"/>
      <c r="M1630" s="33">
        <f t="shared" si="266"/>
        <v>10</v>
      </c>
      <c r="N1630" s="15">
        <v>3000</v>
      </c>
      <c r="O1630" s="15"/>
      <c r="P1630" s="15"/>
      <c r="Q1630" s="15" t="str">
        <f t="shared" si="271"/>
        <v/>
      </c>
      <c r="R1630" s="18" t="s">
        <v>31</v>
      </c>
      <c r="S1630" s="23"/>
      <c r="T1630" s="20"/>
      <c r="U1630" s="21"/>
      <c r="V1630" s="12"/>
      <c r="W1630" s="18"/>
      <c r="X1630" s="18"/>
      <c r="Y1630" s="12"/>
      <c r="Z1630" s="206"/>
      <c r="AA1630" s="12"/>
      <c r="AB1630" s="12"/>
      <c r="AC1630" s="12"/>
      <c r="AD1630" s="12"/>
      <c r="AE1630" s="12"/>
      <c r="AF1630" s="245"/>
      <c r="AG1630" s="12"/>
      <c r="AH1630" s="15">
        <f t="shared" si="267"/>
        <v>0</v>
      </c>
      <c r="AI1630" s="22">
        <f t="shared" si="268"/>
        <v>3000</v>
      </c>
      <c r="AJ1630" s="22">
        <f t="shared" si="269"/>
        <v>0</v>
      </c>
    </row>
    <row r="1631" spans="1:38" s="165" customFormat="1" hidden="1">
      <c r="B1631" s="12"/>
      <c r="E1631" s="13" t="s">
        <v>2369</v>
      </c>
      <c r="F1631" s="165" t="str">
        <f t="shared" si="265"/>
        <v>MALD_15.16_300_NL2018</v>
      </c>
      <c r="G1631" s="165" t="s">
        <v>478</v>
      </c>
      <c r="H1631" s="12"/>
      <c r="I1631" s="12" t="s">
        <v>77</v>
      </c>
      <c r="J1631" s="31" t="s">
        <v>124</v>
      </c>
      <c r="K1631" s="15" t="s">
        <v>28</v>
      </c>
      <c r="L1631" s="15"/>
      <c r="M1631" s="33">
        <f t="shared" si="266"/>
        <v>34</v>
      </c>
      <c r="N1631" s="15">
        <f>21000-5100-5700</f>
        <v>10200</v>
      </c>
      <c r="O1631" s="15"/>
      <c r="P1631" s="15"/>
      <c r="Q1631" s="15" t="str">
        <f t="shared" si="271"/>
        <v/>
      </c>
      <c r="R1631" s="18" t="s">
        <v>31</v>
      </c>
      <c r="S1631" s="23"/>
      <c r="T1631" s="20"/>
      <c r="U1631" s="21"/>
      <c r="V1631" s="12"/>
      <c r="W1631" s="18"/>
      <c r="X1631" s="18"/>
      <c r="Y1631" s="12"/>
      <c r="Z1631" s="206"/>
      <c r="AA1631" s="12"/>
      <c r="AB1631" s="12"/>
      <c r="AC1631" s="12"/>
      <c r="AD1631" s="12"/>
      <c r="AE1631" s="12"/>
      <c r="AF1631" s="245"/>
      <c r="AG1631" s="12"/>
      <c r="AH1631" s="15">
        <f t="shared" si="267"/>
        <v>0</v>
      </c>
      <c r="AI1631" s="22">
        <f t="shared" si="268"/>
        <v>10200</v>
      </c>
      <c r="AJ1631" s="22">
        <f t="shared" si="269"/>
        <v>0</v>
      </c>
    </row>
    <row r="1632" spans="1:38" s="165" customFormat="1" hidden="1">
      <c r="B1632" s="12"/>
      <c r="E1632" s="13" t="s">
        <v>2369</v>
      </c>
      <c r="F1632" s="165" t="str">
        <f t="shared" si="265"/>
        <v>NATA_RL_12.14_400_NL2018</v>
      </c>
      <c r="G1632" s="165" t="s">
        <v>222</v>
      </c>
      <c r="H1632" s="12" t="s">
        <v>219</v>
      </c>
      <c r="I1632" s="24" t="s">
        <v>113</v>
      </c>
      <c r="J1632" s="31" t="s">
        <v>128</v>
      </c>
      <c r="K1632" s="15" t="s">
        <v>28</v>
      </c>
      <c r="L1632" s="15"/>
      <c r="M1632" s="33">
        <f t="shared" si="266"/>
        <v>5</v>
      </c>
      <c r="N1632" s="15">
        <v>2000</v>
      </c>
      <c r="O1632" s="15"/>
      <c r="P1632" s="15"/>
      <c r="Q1632" s="15" t="str">
        <f t="shared" si="271"/>
        <v/>
      </c>
      <c r="R1632" s="18" t="s">
        <v>31</v>
      </c>
      <c r="S1632" s="23"/>
      <c r="T1632" s="20"/>
      <c r="U1632" s="21"/>
      <c r="V1632" s="12"/>
      <c r="W1632" s="18"/>
      <c r="X1632" s="18"/>
      <c r="Y1632" s="12"/>
      <c r="Z1632" s="206"/>
      <c r="AA1632" s="12"/>
      <c r="AB1632" s="12"/>
      <c r="AC1632" s="12"/>
      <c r="AD1632" s="12"/>
      <c r="AE1632" s="12"/>
      <c r="AF1632" s="245"/>
      <c r="AG1632" s="12"/>
      <c r="AH1632" s="15">
        <f t="shared" si="267"/>
        <v>0</v>
      </c>
      <c r="AI1632" s="22">
        <f t="shared" si="268"/>
        <v>2000</v>
      </c>
      <c r="AJ1632" s="22">
        <f t="shared" si="269"/>
        <v>0</v>
      </c>
    </row>
    <row r="1633" spans="1:37" s="165" customFormat="1" hidden="1">
      <c r="B1633" s="12"/>
      <c r="E1633" s="13" t="s">
        <v>2369</v>
      </c>
      <c r="F1633" s="165" t="str">
        <f t="shared" si="265"/>
        <v>ROBI_14.16_300_NL2018</v>
      </c>
      <c r="G1633" s="165" t="s">
        <v>61</v>
      </c>
      <c r="H1633" s="12"/>
      <c r="I1633" s="12" t="s">
        <v>47</v>
      </c>
      <c r="J1633" s="31" t="s">
        <v>124</v>
      </c>
      <c r="K1633" s="15" t="s">
        <v>28</v>
      </c>
      <c r="L1633" s="15"/>
      <c r="M1633" s="33">
        <f t="shared" si="266"/>
        <v>220</v>
      </c>
      <c r="N1633" s="15">
        <v>66000</v>
      </c>
      <c r="O1633" s="15"/>
      <c r="P1633" s="15"/>
      <c r="Q1633" s="15" t="str">
        <f t="shared" si="271"/>
        <v/>
      </c>
      <c r="R1633" s="18" t="s">
        <v>31</v>
      </c>
      <c r="S1633" s="23"/>
      <c r="T1633" s="20"/>
      <c r="U1633" s="21"/>
      <c r="V1633" s="12"/>
      <c r="W1633" s="18"/>
      <c r="X1633" s="18"/>
      <c r="Y1633" s="12"/>
      <c r="Z1633" s="206"/>
      <c r="AA1633" s="12"/>
      <c r="AB1633" s="12"/>
      <c r="AC1633" s="12"/>
      <c r="AD1633" s="12"/>
      <c r="AE1633" s="12"/>
      <c r="AF1633" s="245"/>
      <c r="AG1633" s="12"/>
      <c r="AH1633" s="15">
        <f t="shared" si="267"/>
        <v>0</v>
      </c>
      <c r="AI1633" s="22">
        <f t="shared" si="268"/>
        <v>66000</v>
      </c>
      <c r="AJ1633" s="22">
        <f t="shared" si="269"/>
        <v>0</v>
      </c>
    </row>
    <row r="1634" spans="1:37" s="165" customFormat="1" hidden="1">
      <c r="B1634" s="12"/>
      <c r="E1634" s="13" t="s">
        <v>2369</v>
      </c>
      <c r="F1634" s="165" t="str">
        <f t="shared" si="265"/>
        <v>ROBI_16.18_200_NL2018</v>
      </c>
      <c r="G1634" s="165" t="s">
        <v>61</v>
      </c>
      <c r="H1634" s="12"/>
      <c r="I1634" s="12" t="s">
        <v>35</v>
      </c>
      <c r="J1634" s="31" t="s">
        <v>121</v>
      </c>
      <c r="K1634" s="15" t="s">
        <v>28</v>
      </c>
      <c r="L1634" s="15"/>
      <c r="M1634" s="33">
        <f t="shared" si="266"/>
        <v>169.5</v>
      </c>
      <c r="N1634" s="15">
        <v>33900</v>
      </c>
      <c r="O1634" s="15"/>
      <c r="P1634" s="15"/>
      <c r="Q1634" s="15" t="str">
        <f t="shared" si="271"/>
        <v/>
      </c>
      <c r="R1634" s="18" t="s">
        <v>31</v>
      </c>
      <c r="S1634" s="23"/>
      <c r="T1634" s="20"/>
      <c r="U1634" s="21"/>
      <c r="V1634" s="12"/>
      <c r="W1634" s="18"/>
      <c r="X1634" s="18"/>
      <c r="Y1634" s="12"/>
      <c r="Z1634" s="206"/>
      <c r="AA1634" s="12"/>
      <c r="AB1634" s="12"/>
      <c r="AC1634" s="12"/>
      <c r="AD1634" s="12"/>
      <c r="AE1634" s="12"/>
      <c r="AF1634" s="245"/>
      <c r="AG1634" s="12"/>
      <c r="AH1634" s="15">
        <f t="shared" si="267"/>
        <v>0</v>
      </c>
      <c r="AI1634" s="22">
        <f t="shared" si="268"/>
        <v>33900</v>
      </c>
      <c r="AJ1634" s="22">
        <f t="shared" si="269"/>
        <v>0</v>
      </c>
    </row>
    <row r="1635" spans="1:37" s="165" customFormat="1" hidden="1">
      <c r="B1635" s="12"/>
      <c r="E1635" s="13" t="s">
        <v>2369</v>
      </c>
      <c r="F1635" s="165" t="str">
        <f t="shared" si="265"/>
        <v>TARR_14.16_300_NL2018</v>
      </c>
      <c r="G1635" s="13" t="s">
        <v>62</v>
      </c>
      <c r="H1635" s="12"/>
      <c r="I1635" s="12" t="s">
        <v>47</v>
      </c>
      <c r="J1635" s="31" t="s">
        <v>124</v>
      </c>
      <c r="K1635" s="15" t="s">
        <v>28</v>
      </c>
      <c r="L1635" s="15"/>
      <c r="M1635" s="33">
        <f t="shared" si="266"/>
        <v>1</v>
      </c>
      <c r="N1635" s="15">
        <v>300</v>
      </c>
      <c r="O1635" s="15"/>
      <c r="P1635" s="15"/>
      <c r="Q1635" s="15" t="str">
        <f t="shared" si="271"/>
        <v/>
      </c>
      <c r="R1635" s="18" t="s">
        <v>31</v>
      </c>
      <c r="S1635" s="23"/>
      <c r="T1635" s="20"/>
      <c r="U1635" s="21"/>
      <c r="V1635" s="12"/>
      <c r="W1635" s="18"/>
      <c r="X1635" s="18"/>
      <c r="Y1635" s="12"/>
      <c r="Z1635" s="206"/>
      <c r="AA1635" s="12"/>
      <c r="AB1635" s="12"/>
      <c r="AC1635" s="12"/>
      <c r="AD1635" s="12"/>
      <c r="AE1635" s="12"/>
      <c r="AF1635" s="245"/>
      <c r="AG1635" s="12"/>
      <c r="AH1635" s="15">
        <f t="shared" si="267"/>
        <v>0</v>
      </c>
      <c r="AI1635" s="22">
        <f t="shared" si="268"/>
        <v>300</v>
      </c>
      <c r="AJ1635" s="22">
        <f t="shared" si="269"/>
        <v>0</v>
      </c>
    </row>
    <row r="1636" spans="1:37" s="165" customFormat="1" hidden="1">
      <c r="B1636" s="12"/>
      <c r="E1636" s="13" t="s">
        <v>2369</v>
      </c>
      <c r="F1636" s="165" t="str">
        <f t="shared" si="265"/>
        <v>YELL_14.16_300_NL2018</v>
      </c>
      <c r="G1636" s="165" t="s">
        <v>89</v>
      </c>
      <c r="H1636" s="12"/>
      <c r="I1636" s="12" t="s">
        <v>47</v>
      </c>
      <c r="J1636" s="31" t="s">
        <v>124</v>
      </c>
      <c r="K1636" s="15" t="s">
        <v>28</v>
      </c>
      <c r="L1636" s="15"/>
      <c r="M1636" s="33">
        <f t="shared" si="266"/>
        <v>14</v>
      </c>
      <c r="N1636" s="15">
        <v>4200</v>
      </c>
      <c r="O1636" s="15"/>
      <c r="P1636" s="15"/>
      <c r="Q1636" s="15" t="str">
        <f t="shared" si="271"/>
        <v/>
      </c>
      <c r="R1636" s="18" t="s">
        <v>31</v>
      </c>
      <c r="S1636" s="23"/>
      <c r="T1636" s="20"/>
      <c r="U1636" s="21"/>
      <c r="V1636" s="12"/>
      <c r="W1636" s="18"/>
      <c r="X1636" s="18"/>
      <c r="Y1636" s="12"/>
      <c r="Z1636" s="206"/>
      <c r="AA1636" s="12"/>
      <c r="AB1636" s="12"/>
      <c r="AC1636" s="12"/>
      <c r="AD1636" s="12"/>
      <c r="AE1636" s="12"/>
      <c r="AF1636" s="245"/>
      <c r="AG1636" s="12"/>
      <c r="AH1636" s="15">
        <f t="shared" si="267"/>
        <v>0</v>
      </c>
      <c r="AI1636" s="22">
        <f t="shared" si="268"/>
        <v>4200</v>
      </c>
      <c r="AJ1636" s="22">
        <f t="shared" si="269"/>
        <v>0</v>
      </c>
    </row>
    <row r="1637" spans="1:37" s="165" customFormat="1" hidden="1">
      <c r="B1637" s="12"/>
      <c r="E1637" s="13" t="s">
        <v>2370</v>
      </c>
      <c r="F1637" s="165" t="str">
        <f t="shared" si="265"/>
        <v>ROBI_18.20_150_NL2018</v>
      </c>
      <c r="G1637" s="165" t="s">
        <v>61</v>
      </c>
      <c r="H1637" s="12"/>
      <c r="I1637" s="12" t="s">
        <v>27</v>
      </c>
      <c r="J1637" s="31" t="s">
        <v>126</v>
      </c>
      <c r="K1637" s="15" t="s">
        <v>28</v>
      </c>
      <c r="L1637" s="15"/>
      <c r="M1637" s="33">
        <f t="shared" si="266"/>
        <v>79</v>
      </c>
      <c r="N1637" s="15">
        <v>11850</v>
      </c>
      <c r="O1637" s="15"/>
      <c r="P1637" s="15"/>
      <c r="Q1637" s="15" t="str">
        <f t="shared" si="271"/>
        <v/>
      </c>
      <c r="R1637" s="18" t="s">
        <v>31</v>
      </c>
      <c r="S1637" s="23"/>
      <c r="T1637" s="20"/>
      <c r="U1637" s="21"/>
      <c r="V1637" s="12"/>
      <c r="W1637" s="18"/>
      <c r="X1637" s="18"/>
      <c r="Y1637" s="12"/>
      <c r="Z1637" s="206"/>
      <c r="AA1637" s="12"/>
      <c r="AB1637" s="12"/>
      <c r="AC1637" s="12"/>
      <c r="AD1637" s="12"/>
      <c r="AE1637" s="12"/>
      <c r="AF1637" s="245"/>
      <c r="AG1637" s="12"/>
      <c r="AH1637" s="15">
        <f t="shared" si="267"/>
        <v>0</v>
      </c>
      <c r="AI1637" s="22">
        <f t="shared" si="268"/>
        <v>11850</v>
      </c>
      <c r="AJ1637" s="22">
        <f t="shared" si="269"/>
        <v>0</v>
      </c>
    </row>
    <row r="1638" spans="1:37" s="165" customFormat="1" hidden="1">
      <c r="B1638" s="12"/>
      <c r="E1638" s="13" t="s">
        <v>1868</v>
      </c>
      <c r="F1638" s="165" t="str">
        <f t="shared" si="265"/>
        <v>TARR_16.18_200_NL2018</v>
      </c>
      <c r="G1638" s="13" t="s">
        <v>62</v>
      </c>
      <c r="H1638" s="12"/>
      <c r="I1638" s="12" t="s">
        <v>35</v>
      </c>
      <c r="J1638" s="31" t="s">
        <v>121</v>
      </c>
      <c r="K1638" s="15" t="s">
        <v>28</v>
      </c>
      <c r="L1638" s="15"/>
      <c r="M1638" s="33">
        <f t="shared" si="266"/>
        <v>3</v>
      </c>
      <c r="N1638" s="15">
        <v>600</v>
      </c>
      <c r="O1638" s="15"/>
      <c r="P1638" s="15"/>
      <c r="Q1638" s="15" t="str">
        <f t="shared" si="271"/>
        <v/>
      </c>
      <c r="R1638" s="18" t="s">
        <v>63</v>
      </c>
      <c r="S1638" s="23"/>
      <c r="T1638" s="20"/>
      <c r="U1638" s="21"/>
      <c r="V1638" s="12"/>
      <c r="W1638" s="18"/>
      <c r="X1638" s="18"/>
      <c r="Y1638" s="12"/>
      <c r="Z1638" s="206"/>
      <c r="AA1638" s="12"/>
      <c r="AB1638" s="12"/>
      <c r="AC1638" s="12"/>
      <c r="AD1638" s="12"/>
      <c r="AE1638" s="12"/>
      <c r="AF1638" s="245"/>
      <c r="AG1638" s="12"/>
      <c r="AH1638" s="15">
        <f t="shared" si="267"/>
        <v>0</v>
      </c>
      <c r="AI1638" s="22">
        <f t="shared" si="268"/>
        <v>600</v>
      </c>
      <c r="AJ1638" s="22">
        <f t="shared" si="269"/>
        <v>0</v>
      </c>
    </row>
    <row r="1639" spans="1:37" s="165" customFormat="1" hidden="1">
      <c r="B1639" s="12"/>
      <c r="E1639" s="13" t="s">
        <v>1868</v>
      </c>
      <c r="F1639" s="165" t="str">
        <f t="shared" si="265"/>
        <v>ROBI_18.20_150_NL2018</v>
      </c>
      <c r="G1639" s="165" t="s">
        <v>61</v>
      </c>
      <c r="H1639" s="12"/>
      <c r="I1639" s="12" t="s">
        <v>27</v>
      </c>
      <c r="J1639" s="31" t="s">
        <v>126</v>
      </c>
      <c r="K1639" s="15" t="s">
        <v>28</v>
      </c>
      <c r="L1639" s="15"/>
      <c r="M1639" s="33">
        <f t="shared" si="266"/>
        <v>9</v>
      </c>
      <c r="N1639" s="15">
        <v>1350</v>
      </c>
      <c r="O1639" s="15"/>
      <c r="P1639" s="15"/>
      <c r="Q1639" s="15" t="str">
        <f t="shared" si="271"/>
        <v/>
      </c>
      <c r="R1639" s="18" t="s">
        <v>63</v>
      </c>
      <c r="S1639" s="23"/>
      <c r="T1639" s="20" t="str">
        <f>IFERROR(VLOOKUP(S1639,'Date Converter'!$A$4:$C$368,3,0),"")</f>
        <v/>
      </c>
      <c r="U1639" s="21" t="str">
        <f>+T1639</f>
        <v/>
      </c>
      <c r="V1639" s="12"/>
      <c r="W1639" s="18"/>
      <c r="X1639" s="18"/>
      <c r="Y1639" s="12"/>
      <c r="Z1639" s="206"/>
      <c r="AA1639" s="12"/>
      <c r="AB1639" s="12"/>
      <c r="AC1639" s="12"/>
      <c r="AD1639" s="12"/>
      <c r="AE1639" s="12"/>
      <c r="AF1639" s="245"/>
      <c r="AG1639" s="12"/>
      <c r="AH1639" s="15">
        <f t="shared" si="267"/>
        <v>0</v>
      </c>
      <c r="AI1639" s="22">
        <f t="shared" si="268"/>
        <v>1350</v>
      </c>
      <c r="AJ1639" s="22">
        <f t="shared" si="269"/>
        <v>0</v>
      </c>
    </row>
    <row r="1640" spans="1:37" s="165" customFormat="1" hidden="1">
      <c r="B1640" s="12"/>
      <c r="E1640" s="13" t="s">
        <v>2405</v>
      </c>
      <c r="F1640" s="165" t="str">
        <f t="shared" si="265"/>
        <v>YELL_16.18_200_NL2018</v>
      </c>
      <c r="G1640" s="13" t="s">
        <v>89</v>
      </c>
      <c r="H1640" s="12"/>
      <c r="I1640" s="12" t="s">
        <v>35</v>
      </c>
      <c r="J1640" s="31" t="s">
        <v>121</v>
      </c>
      <c r="K1640" s="15" t="s">
        <v>28</v>
      </c>
      <c r="L1640" s="15"/>
      <c r="M1640" s="33">
        <f t="shared" si="266"/>
        <v>15</v>
      </c>
      <c r="N1640" s="15">
        <v>3000</v>
      </c>
      <c r="O1640" s="15"/>
      <c r="P1640" s="15"/>
      <c r="Q1640" s="15" t="str">
        <f t="shared" si="271"/>
        <v/>
      </c>
      <c r="R1640" s="18" t="s">
        <v>63</v>
      </c>
      <c r="S1640" s="23"/>
      <c r="T1640" s="20"/>
      <c r="U1640" s="21"/>
      <c r="V1640" s="12" t="s">
        <v>1888</v>
      </c>
      <c r="W1640" s="18"/>
      <c r="X1640" s="18"/>
      <c r="Y1640" s="12"/>
      <c r="Z1640" s="206"/>
      <c r="AA1640" s="12"/>
      <c r="AB1640" s="12"/>
      <c r="AC1640" s="12"/>
      <c r="AD1640" s="12"/>
      <c r="AE1640" s="12"/>
      <c r="AF1640" s="245"/>
      <c r="AG1640" s="12"/>
      <c r="AH1640" s="15">
        <f t="shared" ref="AH1640" si="273">+AA1640+AC1640+AE1640+AG1640</f>
        <v>0</v>
      </c>
      <c r="AI1640" s="22">
        <f t="shared" ref="AI1640" si="274">+N1640-AH1640</f>
        <v>3000</v>
      </c>
      <c r="AJ1640" s="22">
        <f t="shared" ref="AJ1640" si="275">+AI1640*O1640</f>
        <v>0</v>
      </c>
    </row>
    <row r="1641" spans="1:37" s="165" customFormat="1" hidden="1">
      <c r="A1641" s="165" t="s">
        <v>1511</v>
      </c>
      <c r="B1641" s="188">
        <v>43594</v>
      </c>
      <c r="C1641" s="188" t="s">
        <v>23</v>
      </c>
      <c r="D1641" s="258" t="s">
        <v>1595</v>
      </c>
      <c r="E1641" s="249" t="s">
        <v>1594</v>
      </c>
      <c r="F1641" s="183" t="str">
        <f t="shared" si="265"/>
        <v>TARR_20.22_125_NL2018</v>
      </c>
      <c r="G1641" s="188" t="s">
        <v>62</v>
      </c>
      <c r="H1641" s="12"/>
      <c r="I1641" s="12" t="s">
        <v>74</v>
      </c>
      <c r="J1641" s="31" t="s">
        <v>122</v>
      </c>
      <c r="K1641" s="15" t="s">
        <v>28</v>
      </c>
      <c r="L1641" s="185"/>
      <c r="M1641" s="187">
        <f t="shared" si="266"/>
        <v>24</v>
      </c>
      <c r="N1641" s="15">
        <v>3000</v>
      </c>
      <c r="O1641" s="15">
        <v>11000</v>
      </c>
      <c r="P1641" s="185">
        <f t="shared" ref="P1641:P1704" si="276">+O1641*N1641</f>
        <v>33000000</v>
      </c>
      <c r="Q1641" s="15" t="str">
        <f t="shared" si="271"/>
        <v/>
      </c>
      <c r="R1641" s="18" t="s">
        <v>29</v>
      </c>
      <c r="S1641" s="23">
        <v>43709</v>
      </c>
      <c r="T1641" s="20">
        <f>IFERROR(VLOOKUP(S1641,'Date Converter'!$A$4:$C$368,3,0),"")</f>
        <v>43737</v>
      </c>
      <c r="U1641" s="21">
        <f t="shared" ref="U1641:U1703" si="277">+T1641</f>
        <v>43737</v>
      </c>
      <c r="V1641" s="184" t="s">
        <v>51</v>
      </c>
      <c r="W1641" s="18"/>
      <c r="X1641" s="18"/>
      <c r="Y1641" s="12"/>
      <c r="Z1641" s="206"/>
      <c r="AA1641" s="15"/>
      <c r="AB1641" s="206"/>
      <c r="AC1641" s="12"/>
      <c r="AD1641" s="206"/>
      <c r="AE1641" s="12"/>
      <c r="AF1641" s="245"/>
      <c r="AG1641" s="12"/>
      <c r="AH1641" s="15">
        <f t="shared" si="267"/>
        <v>0</v>
      </c>
      <c r="AI1641" s="22">
        <f t="shared" si="268"/>
        <v>3000</v>
      </c>
      <c r="AJ1641" s="22">
        <f t="shared" si="269"/>
        <v>33000000</v>
      </c>
    </row>
    <row r="1642" spans="1:37" s="165" customFormat="1" hidden="1">
      <c r="A1642" s="165" t="s">
        <v>1511</v>
      </c>
      <c r="B1642" s="188">
        <v>43593</v>
      </c>
      <c r="C1642" s="188" t="s">
        <v>23</v>
      </c>
      <c r="D1642" s="258" t="s">
        <v>1595</v>
      </c>
      <c r="E1642" s="249" t="s">
        <v>1594</v>
      </c>
      <c r="F1642" s="183" t="str">
        <f t="shared" si="265"/>
        <v>MANI_20.22_125_NL2018</v>
      </c>
      <c r="G1642" s="188" t="s">
        <v>105</v>
      </c>
      <c r="H1642" s="12"/>
      <c r="I1642" s="12" t="s">
        <v>74</v>
      </c>
      <c r="J1642" s="31" t="s">
        <v>122</v>
      </c>
      <c r="K1642" s="15" t="s">
        <v>28</v>
      </c>
      <c r="L1642" s="185"/>
      <c r="M1642" s="187">
        <f t="shared" si="266"/>
        <v>40</v>
      </c>
      <c r="N1642" s="15">
        <v>5000</v>
      </c>
      <c r="O1642" s="15">
        <v>13600</v>
      </c>
      <c r="P1642" s="185">
        <f t="shared" si="276"/>
        <v>68000000</v>
      </c>
      <c r="Q1642" s="15" t="str">
        <f t="shared" si="271"/>
        <v/>
      </c>
      <c r="R1642" s="18" t="s">
        <v>29</v>
      </c>
      <c r="S1642" s="23">
        <v>43709</v>
      </c>
      <c r="T1642" s="20">
        <f>IFERROR(VLOOKUP(S1642,'Date Converter'!$A$4:$C$368,3,0),"")</f>
        <v>43737</v>
      </c>
      <c r="U1642" s="21">
        <f t="shared" si="277"/>
        <v>43737</v>
      </c>
      <c r="V1642" s="184" t="s">
        <v>51</v>
      </c>
      <c r="W1642" s="18"/>
      <c r="X1642" s="18"/>
      <c r="Y1642" s="12"/>
      <c r="Z1642" s="206"/>
      <c r="AA1642" s="15"/>
      <c r="AB1642" s="206"/>
      <c r="AC1642" s="12"/>
      <c r="AD1642" s="206"/>
      <c r="AE1642" s="12"/>
      <c r="AF1642" s="245"/>
      <c r="AG1642" s="12"/>
      <c r="AH1642" s="15">
        <f t="shared" si="267"/>
        <v>0</v>
      </c>
      <c r="AI1642" s="22">
        <f t="shared" si="268"/>
        <v>5000</v>
      </c>
      <c r="AJ1642" s="22">
        <f t="shared" si="269"/>
        <v>68000000</v>
      </c>
    </row>
    <row r="1643" spans="1:37" s="165" customFormat="1" hidden="1">
      <c r="A1643" s="165" t="s">
        <v>1352</v>
      </c>
      <c r="B1643" s="13">
        <v>43559</v>
      </c>
      <c r="C1643" s="266" t="s">
        <v>23</v>
      </c>
      <c r="D1643" s="258" t="s">
        <v>1353</v>
      </c>
      <c r="E1643" s="119" t="s">
        <v>1354</v>
      </c>
      <c r="F1643" s="165" t="str">
        <f t="shared" ref="F1643:F1706" si="278">SUBSTITUTE(LEFT(G1643,4)&amp;"_"&amp;H1643&amp;"_"&amp;I1643&amp;"_"&amp;J1643&amp;"_"&amp;K1643,"__","_")</f>
        <v>MANI_20.22_125_NL2018</v>
      </c>
      <c r="G1643" s="13" t="s">
        <v>105</v>
      </c>
      <c r="H1643" s="12"/>
      <c r="I1643" s="12" t="s">
        <v>74</v>
      </c>
      <c r="J1643" s="31" t="s">
        <v>122</v>
      </c>
      <c r="K1643" s="15" t="s">
        <v>28</v>
      </c>
      <c r="L1643" s="15"/>
      <c r="M1643" s="33">
        <f t="shared" ref="M1643:M1706" si="279">+N1643/J1643</f>
        <v>120</v>
      </c>
      <c r="N1643" s="15">
        <v>15000</v>
      </c>
      <c r="O1643" s="15">
        <v>13600</v>
      </c>
      <c r="P1643" s="15">
        <f t="shared" si="276"/>
        <v>204000000</v>
      </c>
      <c r="Q1643" s="15" t="str">
        <f t="shared" si="271"/>
        <v/>
      </c>
      <c r="R1643" s="18" t="s">
        <v>29</v>
      </c>
      <c r="S1643" s="23">
        <v>43709</v>
      </c>
      <c r="T1643" s="20">
        <f>IFERROR(VLOOKUP(S1643,'Date Converter'!$A$4:$C$368,3,0),"")</f>
        <v>43737</v>
      </c>
      <c r="U1643" s="21">
        <f t="shared" si="277"/>
        <v>43737</v>
      </c>
      <c r="V1643" s="254" t="s">
        <v>51</v>
      </c>
      <c r="W1643" s="18"/>
      <c r="X1643" s="18"/>
      <c r="Y1643" s="12"/>
      <c r="Z1643" s="206"/>
      <c r="AA1643" s="15"/>
      <c r="AB1643" s="206"/>
      <c r="AC1643" s="12"/>
      <c r="AD1643" s="206"/>
      <c r="AE1643" s="12"/>
      <c r="AF1643" s="245"/>
      <c r="AG1643" s="12"/>
      <c r="AH1643" s="15">
        <f t="shared" ref="AH1643" si="280">+AA1643+AC1643+AE1643+AG1643</f>
        <v>0</v>
      </c>
      <c r="AI1643" s="22">
        <f t="shared" ref="AI1643" si="281">+N1643-AH1643</f>
        <v>15000</v>
      </c>
      <c r="AJ1643" s="22">
        <f t="shared" ref="AJ1643" si="282">+AI1643*O1643</f>
        <v>204000000</v>
      </c>
    </row>
    <row r="1644" spans="1:37" s="165" customFormat="1" hidden="1">
      <c r="A1644" s="165" t="s">
        <v>2384</v>
      </c>
      <c r="B1644" s="13">
        <v>43641</v>
      </c>
      <c r="C1644" s="13" t="s">
        <v>23</v>
      </c>
      <c r="D1644" s="165" t="s">
        <v>1353</v>
      </c>
      <c r="E1644" s="119" t="s">
        <v>1354</v>
      </c>
      <c r="F1644" s="165" t="str">
        <f t="shared" si="278"/>
        <v>MANI_16.18_200_NL2018</v>
      </c>
      <c r="G1644" s="13" t="s">
        <v>105</v>
      </c>
      <c r="H1644" s="12"/>
      <c r="I1644" s="12" t="s">
        <v>35</v>
      </c>
      <c r="J1644" s="31" t="s">
        <v>121</v>
      </c>
      <c r="K1644" s="15" t="s">
        <v>28</v>
      </c>
      <c r="L1644" s="15"/>
      <c r="M1644" s="33">
        <f t="shared" si="279"/>
        <v>35</v>
      </c>
      <c r="N1644" s="15">
        <v>7000</v>
      </c>
      <c r="O1644" s="15">
        <v>7000</v>
      </c>
      <c r="P1644" s="15">
        <f t="shared" si="276"/>
        <v>49000000</v>
      </c>
      <c r="Q1644" s="15" t="str">
        <f t="shared" si="271"/>
        <v/>
      </c>
      <c r="R1644" s="18" t="s">
        <v>63</v>
      </c>
      <c r="S1644" s="23">
        <v>43603</v>
      </c>
      <c r="T1644" s="20">
        <f>IFERROR(VLOOKUP(S1644,'Date Converter'!$A$4:$C$368,3,0),"")</f>
        <v>43636</v>
      </c>
      <c r="U1644" s="21">
        <f t="shared" si="277"/>
        <v>43636</v>
      </c>
      <c r="V1644" s="254"/>
      <c r="W1644" s="18"/>
      <c r="X1644" s="18"/>
      <c r="Y1644" s="12"/>
      <c r="Z1644" s="206"/>
      <c r="AA1644" s="15"/>
      <c r="AB1644" s="206"/>
      <c r="AC1644" s="12"/>
      <c r="AD1644" s="206"/>
      <c r="AE1644" s="12"/>
      <c r="AF1644" s="245"/>
      <c r="AG1644" s="12"/>
      <c r="AH1644" s="15">
        <f t="shared" ref="AH1644" si="283">+AA1644+AC1644+AE1644+AG1644</f>
        <v>0</v>
      </c>
      <c r="AI1644" s="22">
        <f t="shared" ref="AI1644" si="284">+N1644-AH1644</f>
        <v>7000</v>
      </c>
      <c r="AJ1644" s="22">
        <f t="shared" ref="AJ1644" si="285">+AI1644*O1644</f>
        <v>49000000</v>
      </c>
    </row>
    <row r="1645" spans="1:37" s="165" customFormat="1" hidden="1">
      <c r="A1645" s="165" t="s">
        <v>1779</v>
      </c>
      <c r="B1645" s="13">
        <v>43461</v>
      </c>
      <c r="C1645" s="13" t="s">
        <v>1622</v>
      </c>
      <c r="D1645" s="165" t="s">
        <v>809</v>
      </c>
      <c r="E1645" s="165" t="s">
        <v>810</v>
      </c>
      <c r="F1645" s="165" t="str">
        <f t="shared" si="278"/>
        <v>YELL_DN_16.18_200_NL2018</v>
      </c>
      <c r="G1645" s="165" t="s">
        <v>89</v>
      </c>
      <c r="H1645" s="12" t="s">
        <v>480</v>
      </c>
      <c r="I1645" s="12" t="s">
        <v>35</v>
      </c>
      <c r="J1645" s="14">
        <v>200</v>
      </c>
      <c r="K1645" s="15" t="s">
        <v>28</v>
      </c>
      <c r="L1645" s="15"/>
      <c r="M1645" s="16">
        <f t="shared" si="279"/>
        <v>49</v>
      </c>
      <c r="N1645" s="15">
        <f>10000-200</f>
        <v>9800</v>
      </c>
      <c r="O1645" s="15">
        <v>5500</v>
      </c>
      <c r="P1645" s="15">
        <f t="shared" si="276"/>
        <v>53900000</v>
      </c>
      <c r="Q1645" s="15" t="str">
        <f t="shared" si="271"/>
        <v>Done</v>
      </c>
      <c r="R1645" s="18" t="s">
        <v>44</v>
      </c>
      <c r="S1645" s="117">
        <v>43570</v>
      </c>
      <c r="T1645" s="20">
        <f>IFERROR(VLOOKUP(S1645,'Date Converter'!$A$4:$C$368,3,0),"")</f>
        <v>43604</v>
      </c>
      <c r="U1645" s="21">
        <f t="shared" si="277"/>
        <v>43604</v>
      </c>
      <c r="V1645" s="12" t="s">
        <v>87</v>
      </c>
      <c r="W1645" s="18"/>
      <c r="X1645" s="18"/>
      <c r="Y1645" s="18"/>
      <c r="Z1645" s="210">
        <v>43633</v>
      </c>
      <c r="AA1645" s="15">
        <v>9800</v>
      </c>
      <c r="AB1645" s="210"/>
      <c r="AC1645" s="15"/>
      <c r="AD1645" s="15"/>
      <c r="AE1645" s="15"/>
      <c r="AF1645" s="244"/>
      <c r="AG1645" s="15"/>
      <c r="AH1645" s="15">
        <f t="shared" ref="AH1645:AH1708" si="286">+AA1645+AC1645+AE1645+AG1645</f>
        <v>9800</v>
      </c>
      <c r="AI1645" s="22">
        <f t="shared" ref="AI1645:AI1708" si="287">+N1645-AH1645</f>
        <v>0</v>
      </c>
      <c r="AJ1645" s="22">
        <f t="shared" ref="AJ1645:AJ1708" si="288">+AI1645*O1645</f>
        <v>0</v>
      </c>
      <c r="AK1645" s="13"/>
    </row>
    <row r="1646" spans="1:37" s="165" customFormat="1" hidden="1">
      <c r="A1646" s="165" t="s">
        <v>1779</v>
      </c>
      <c r="B1646" s="13">
        <v>43461</v>
      </c>
      <c r="C1646" s="13" t="s">
        <v>1622</v>
      </c>
      <c r="D1646" s="165" t="s">
        <v>809</v>
      </c>
      <c r="E1646" s="165" t="s">
        <v>810</v>
      </c>
      <c r="F1646" s="165" t="str">
        <f t="shared" si="278"/>
        <v>YELL_12.14_400_NL2018</v>
      </c>
      <c r="G1646" s="165" t="s">
        <v>89</v>
      </c>
      <c r="H1646" s="12"/>
      <c r="I1646" s="12" t="s">
        <v>113</v>
      </c>
      <c r="J1646" s="14">
        <v>400</v>
      </c>
      <c r="K1646" s="15" t="s">
        <v>28</v>
      </c>
      <c r="L1646" s="15"/>
      <c r="M1646" s="16">
        <f t="shared" si="279"/>
        <v>71</v>
      </c>
      <c r="N1646" s="15">
        <f>33200-4800</f>
        <v>28400</v>
      </c>
      <c r="O1646" s="15">
        <v>2600</v>
      </c>
      <c r="P1646" s="15">
        <f t="shared" si="276"/>
        <v>73840000</v>
      </c>
      <c r="Q1646" s="15" t="str">
        <f t="shared" si="271"/>
        <v>Done</v>
      </c>
      <c r="R1646" s="18" t="s">
        <v>44</v>
      </c>
      <c r="S1646" s="117">
        <v>43570</v>
      </c>
      <c r="T1646" s="20">
        <f>IFERROR(VLOOKUP(S1646,'Date Converter'!$A$4:$C$368,3,0),"")</f>
        <v>43604</v>
      </c>
      <c r="U1646" s="21">
        <f t="shared" si="277"/>
        <v>43604</v>
      </c>
      <c r="V1646" s="12" t="s">
        <v>87</v>
      </c>
      <c r="W1646" s="18"/>
      <c r="X1646" s="18"/>
      <c r="Y1646" s="18"/>
      <c r="Z1646" s="210">
        <v>43584</v>
      </c>
      <c r="AA1646" s="15">
        <v>3200</v>
      </c>
      <c r="AB1646" s="210">
        <v>43608</v>
      </c>
      <c r="AC1646" s="15">
        <v>25200</v>
      </c>
      <c r="AD1646" s="210"/>
      <c r="AE1646" s="15"/>
      <c r="AF1646" s="244"/>
      <c r="AG1646" s="15"/>
      <c r="AH1646" s="15">
        <f t="shared" si="286"/>
        <v>28400</v>
      </c>
      <c r="AI1646" s="22">
        <f t="shared" si="287"/>
        <v>0</v>
      </c>
      <c r="AJ1646" s="22">
        <f t="shared" si="288"/>
        <v>0</v>
      </c>
      <c r="AK1646" s="13">
        <v>43887</v>
      </c>
    </row>
    <row r="1647" spans="1:37" s="165" customFormat="1" hidden="1">
      <c r="A1647" s="165" t="s">
        <v>1779</v>
      </c>
      <c r="B1647" s="13">
        <v>43461</v>
      </c>
      <c r="C1647" s="13" t="s">
        <v>1622</v>
      </c>
      <c r="D1647" s="165" t="s">
        <v>809</v>
      </c>
      <c r="E1647" s="165" t="s">
        <v>810</v>
      </c>
      <c r="F1647" s="165" t="str">
        <f t="shared" si="278"/>
        <v>YELL_12.14_400_NL2018</v>
      </c>
      <c r="G1647" s="165" t="s">
        <v>89</v>
      </c>
      <c r="H1647" s="12"/>
      <c r="I1647" s="12" t="s">
        <v>113</v>
      </c>
      <c r="J1647" s="14">
        <v>400</v>
      </c>
      <c r="K1647" s="15" t="s">
        <v>28</v>
      </c>
      <c r="L1647" s="15"/>
      <c r="M1647" s="16">
        <f t="shared" si="279"/>
        <v>12</v>
      </c>
      <c r="N1647" s="15">
        <v>4800</v>
      </c>
      <c r="O1647" s="15">
        <v>2700</v>
      </c>
      <c r="P1647" s="15">
        <f t="shared" si="276"/>
        <v>12960000</v>
      </c>
      <c r="Q1647" s="15" t="str">
        <f t="shared" si="271"/>
        <v>Done</v>
      </c>
      <c r="R1647" s="18" t="s">
        <v>44</v>
      </c>
      <c r="S1647" s="117">
        <v>43570</v>
      </c>
      <c r="T1647" s="20">
        <f>IFERROR(VLOOKUP(S1647,'Date Converter'!$A$4:$C$368,3,0),"")</f>
        <v>43604</v>
      </c>
      <c r="U1647" s="21">
        <f t="shared" si="277"/>
        <v>43604</v>
      </c>
      <c r="V1647" s="12"/>
      <c r="W1647" s="18"/>
      <c r="X1647" s="18"/>
      <c r="Y1647" s="18"/>
      <c r="Z1647" s="210">
        <v>43633</v>
      </c>
      <c r="AA1647" s="15">
        <v>4800</v>
      </c>
      <c r="AB1647" s="210"/>
      <c r="AC1647" s="15"/>
      <c r="AD1647" s="210"/>
      <c r="AE1647" s="15"/>
      <c r="AF1647" s="244"/>
      <c r="AG1647" s="15"/>
      <c r="AH1647" s="15">
        <f t="shared" si="286"/>
        <v>4800</v>
      </c>
      <c r="AI1647" s="22">
        <f t="shared" si="287"/>
        <v>0</v>
      </c>
      <c r="AJ1647" s="22">
        <f t="shared" si="288"/>
        <v>0</v>
      </c>
      <c r="AK1647" s="13"/>
    </row>
    <row r="1648" spans="1:37" s="165" customFormat="1" hidden="1">
      <c r="A1648" s="165" t="s">
        <v>1779</v>
      </c>
      <c r="B1648" s="13">
        <v>43461</v>
      </c>
      <c r="C1648" s="13" t="s">
        <v>1622</v>
      </c>
      <c r="D1648" s="165" t="s">
        <v>809</v>
      </c>
      <c r="E1648" s="165" t="s">
        <v>810</v>
      </c>
      <c r="F1648" s="165" t="str">
        <f t="shared" si="278"/>
        <v>YELL_12.14_400_NL2018</v>
      </c>
      <c r="G1648" s="165" t="s">
        <v>89</v>
      </c>
      <c r="H1648" s="12"/>
      <c r="I1648" s="12" t="s">
        <v>113</v>
      </c>
      <c r="J1648" s="14">
        <v>400</v>
      </c>
      <c r="K1648" s="15" t="s">
        <v>28</v>
      </c>
      <c r="L1648" s="15"/>
      <c r="M1648" s="16">
        <f t="shared" si="279"/>
        <v>117</v>
      </c>
      <c r="N1648" s="15">
        <v>46800</v>
      </c>
      <c r="O1648" s="15">
        <v>2600</v>
      </c>
      <c r="P1648" s="15">
        <f t="shared" si="276"/>
        <v>121680000</v>
      </c>
      <c r="Q1648" s="15" t="str">
        <f t="shared" si="271"/>
        <v>Done</v>
      </c>
      <c r="R1648" s="18" t="s">
        <v>44</v>
      </c>
      <c r="S1648" s="117" t="s">
        <v>151</v>
      </c>
      <c r="T1648" s="20">
        <f>IFERROR(VLOOKUP(S1648,'Date Converter'!$A$4:$C$368,3,0),"")</f>
        <v>43558</v>
      </c>
      <c r="U1648" s="21">
        <f t="shared" si="277"/>
        <v>43558</v>
      </c>
      <c r="V1648" s="12" t="s">
        <v>54</v>
      </c>
      <c r="W1648" s="18" t="s">
        <v>72</v>
      </c>
      <c r="X1648" s="18"/>
      <c r="Y1648" s="18"/>
      <c r="Z1648" s="210">
        <v>43545</v>
      </c>
      <c r="AA1648" s="15">
        <v>10000</v>
      </c>
      <c r="AB1648" s="210">
        <v>43563</v>
      </c>
      <c r="AC1648" s="15">
        <v>20000</v>
      </c>
      <c r="AD1648" s="210">
        <v>43584</v>
      </c>
      <c r="AE1648" s="15">
        <v>16800</v>
      </c>
      <c r="AF1648" s="244"/>
      <c r="AG1648" s="15"/>
      <c r="AH1648" s="15">
        <f t="shared" si="286"/>
        <v>46800</v>
      </c>
      <c r="AI1648" s="22">
        <f t="shared" si="287"/>
        <v>0</v>
      </c>
      <c r="AJ1648" s="22">
        <f t="shared" si="288"/>
        <v>0</v>
      </c>
      <c r="AK1648" s="13">
        <v>43887</v>
      </c>
    </row>
    <row r="1649" spans="1:37" s="165" customFormat="1" hidden="1">
      <c r="A1649" s="165" t="s">
        <v>1779</v>
      </c>
      <c r="B1649" s="13">
        <v>43461</v>
      </c>
      <c r="C1649" s="13" t="s">
        <v>1622</v>
      </c>
      <c r="D1649" s="165" t="s">
        <v>809</v>
      </c>
      <c r="E1649" s="165" t="s">
        <v>810</v>
      </c>
      <c r="F1649" s="165" t="str">
        <f t="shared" si="278"/>
        <v>ROBI_18.20_150_NL2018</v>
      </c>
      <c r="G1649" s="165" t="s">
        <v>61</v>
      </c>
      <c r="H1649" s="12"/>
      <c r="I1649" s="12" t="s">
        <v>27</v>
      </c>
      <c r="J1649" s="14">
        <v>150</v>
      </c>
      <c r="K1649" s="15" t="s">
        <v>28</v>
      </c>
      <c r="L1649" s="15"/>
      <c r="M1649" s="16">
        <f t="shared" si="279"/>
        <v>81</v>
      </c>
      <c r="N1649" s="15">
        <v>12150</v>
      </c>
      <c r="O1649" s="15">
        <v>6100</v>
      </c>
      <c r="P1649" s="15">
        <f t="shared" si="276"/>
        <v>74115000</v>
      </c>
      <c r="Q1649" s="15" t="str">
        <f t="shared" si="271"/>
        <v>Done</v>
      </c>
      <c r="R1649" s="18" t="s">
        <v>44</v>
      </c>
      <c r="S1649" s="117">
        <v>43480</v>
      </c>
      <c r="T1649" s="20">
        <f>IFERROR(VLOOKUP(S1649,'Date Converter'!$A$4:$C$368,3,0),"")</f>
        <v>43515</v>
      </c>
      <c r="U1649" s="21">
        <f t="shared" si="277"/>
        <v>43515</v>
      </c>
      <c r="V1649" s="12" t="s">
        <v>45</v>
      </c>
      <c r="W1649" s="18"/>
      <c r="X1649" s="18"/>
      <c r="Y1649" s="18"/>
      <c r="Z1649" s="210">
        <v>43521</v>
      </c>
      <c r="AA1649" s="15">
        <v>10050</v>
      </c>
      <c r="AB1649" s="210">
        <v>43522</v>
      </c>
      <c r="AC1649" s="15">
        <v>2100</v>
      </c>
      <c r="AD1649" s="15"/>
      <c r="AE1649" s="15"/>
      <c r="AF1649" s="244"/>
      <c r="AG1649" s="15"/>
      <c r="AH1649" s="15">
        <f t="shared" si="286"/>
        <v>12150</v>
      </c>
      <c r="AI1649" s="22">
        <f t="shared" si="287"/>
        <v>0</v>
      </c>
      <c r="AJ1649" s="22">
        <f t="shared" si="288"/>
        <v>0</v>
      </c>
      <c r="AK1649" s="13">
        <v>43887</v>
      </c>
    </row>
    <row r="1650" spans="1:37" s="165" customFormat="1" hidden="1">
      <c r="A1650" s="165" t="s">
        <v>1779</v>
      </c>
      <c r="B1650" s="13">
        <v>43461</v>
      </c>
      <c r="C1650" s="13" t="s">
        <v>1622</v>
      </c>
      <c r="D1650" s="165" t="s">
        <v>809</v>
      </c>
      <c r="E1650" s="165" t="s">
        <v>810</v>
      </c>
      <c r="F1650" s="165" t="str">
        <f t="shared" si="278"/>
        <v>ROBI_18.20_150_NL2018</v>
      </c>
      <c r="G1650" s="165" t="s">
        <v>61</v>
      </c>
      <c r="H1650" s="12"/>
      <c r="I1650" s="12" t="s">
        <v>27</v>
      </c>
      <c r="J1650" s="14">
        <v>150</v>
      </c>
      <c r="K1650" s="15" t="s">
        <v>28</v>
      </c>
      <c r="L1650" s="15"/>
      <c r="M1650" s="16">
        <f t="shared" si="279"/>
        <v>138</v>
      </c>
      <c r="N1650" s="15">
        <v>20700</v>
      </c>
      <c r="O1650" s="15">
        <v>6100</v>
      </c>
      <c r="P1650" s="15">
        <f t="shared" si="276"/>
        <v>126270000</v>
      </c>
      <c r="Q1650" s="15" t="str">
        <f t="shared" si="271"/>
        <v>Done</v>
      </c>
      <c r="R1650" s="18" t="s">
        <v>44</v>
      </c>
      <c r="S1650" s="117">
        <v>43488</v>
      </c>
      <c r="T1650" s="20">
        <f>IFERROR(VLOOKUP(S1650,'Date Converter'!$A$4:$C$368,3,0),"")</f>
        <v>43523</v>
      </c>
      <c r="U1650" s="21">
        <f t="shared" si="277"/>
        <v>43523</v>
      </c>
      <c r="V1650" s="12" t="s">
        <v>69</v>
      </c>
      <c r="W1650" s="18"/>
      <c r="X1650" s="18"/>
      <c r="Y1650" s="18"/>
      <c r="Z1650" s="210">
        <v>43543</v>
      </c>
      <c r="AA1650" s="15">
        <v>20700</v>
      </c>
      <c r="AB1650" s="210"/>
      <c r="AC1650" s="15"/>
      <c r="AD1650" s="15"/>
      <c r="AE1650" s="15"/>
      <c r="AF1650" s="244"/>
      <c r="AG1650" s="15"/>
      <c r="AH1650" s="15">
        <f t="shared" si="286"/>
        <v>20700</v>
      </c>
      <c r="AI1650" s="22">
        <f t="shared" si="287"/>
        <v>0</v>
      </c>
      <c r="AJ1650" s="22">
        <f t="shared" si="288"/>
        <v>0</v>
      </c>
      <c r="AK1650" s="13">
        <v>43887</v>
      </c>
    </row>
    <row r="1651" spans="1:37" s="165" customFormat="1" hidden="1">
      <c r="A1651" s="165" t="s">
        <v>1779</v>
      </c>
      <c r="B1651" s="13">
        <v>43461</v>
      </c>
      <c r="C1651" s="13" t="s">
        <v>1622</v>
      </c>
      <c r="D1651" s="165" t="s">
        <v>809</v>
      </c>
      <c r="E1651" s="165" t="s">
        <v>810</v>
      </c>
      <c r="F1651" s="165" t="str">
        <f t="shared" si="278"/>
        <v>ROBI_18.20_150_NL2018</v>
      </c>
      <c r="G1651" s="165" t="s">
        <v>61</v>
      </c>
      <c r="H1651" s="12"/>
      <c r="I1651" s="12" t="s">
        <v>27</v>
      </c>
      <c r="J1651" s="14">
        <v>150</v>
      </c>
      <c r="K1651" s="15" t="s">
        <v>28</v>
      </c>
      <c r="L1651" s="15"/>
      <c r="M1651" s="16">
        <f t="shared" si="279"/>
        <v>92</v>
      </c>
      <c r="N1651" s="15">
        <f>15000+3900-5100</f>
        <v>13800</v>
      </c>
      <c r="O1651" s="15">
        <v>6100</v>
      </c>
      <c r="P1651" s="15">
        <f t="shared" si="276"/>
        <v>84180000</v>
      </c>
      <c r="Q1651" s="15" t="str">
        <f t="shared" si="271"/>
        <v>Done</v>
      </c>
      <c r="R1651" s="18" t="s">
        <v>44</v>
      </c>
      <c r="S1651" s="117">
        <v>43511</v>
      </c>
      <c r="T1651" s="20">
        <f>IFERROR(VLOOKUP(S1651,'Date Converter'!$A$4:$C$368,3,0),"")</f>
        <v>43544</v>
      </c>
      <c r="U1651" s="21">
        <f t="shared" si="277"/>
        <v>43544</v>
      </c>
      <c r="V1651" s="12" t="s">
        <v>32</v>
      </c>
      <c r="W1651" s="18" t="s">
        <v>41</v>
      </c>
      <c r="X1651" s="18"/>
      <c r="Y1651" s="18"/>
      <c r="Z1651" s="210">
        <v>43570</v>
      </c>
      <c r="AA1651" s="15">
        <v>13800</v>
      </c>
      <c r="AB1651" s="210"/>
      <c r="AC1651" s="15"/>
      <c r="AD1651" s="15"/>
      <c r="AE1651" s="15"/>
      <c r="AF1651" s="244"/>
      <c r="AG1651" s="15"/>
      <c r="AH1651" s="15">
        <f t="shared" si="286"/>
        <v>13800</v>
      </c>
      <c r="AI1651" s="22">
        <f t="shared" si="287"/>
        <v>0</v>
      </c>
      <c r="AJ1651" s="22">
        <f t="shared" si="288"/>
        <v>0</v>
      </c>
      <c r="AK1651" s="13"/>
    </row>
    <row r="1652" spans="1:37" s="165" customFormat="1" hidden="1">
      <c r="A1652" s="165" t="s">
        <v>1779</v>
      </c>
      <c r="B1652" s="13">
        <v>43461</v>
      </c>
      <c r="C1652" s="13" t="s">
        <v>1622</v>
      </c>
      <c r="D1652" s="165" t="s">
        <v>809</v>
      </c>
      <c r="E1652" s="165" t="s">
        <v>810</v>
      </c>
      <c r="F1652" s="165" t="str">
        <f t="shared" si="278"/>
        <v>ROBI_18.20_150_NL2018</v>
      </c>
      <c r="G1652" s="165" t="s">
        <v>61</v>
      </c>
      <c r="H1652" s="12"/>
      <c r="I1652" s="12" t="s">
        <v>27</v>
      </c>
      <c r="J1652" s="14">
        <v>150</v>
      </c>
      <c r="K1652" s="15" t="s">
        <v>28</v>
      </c>
      <c r="L1652" s="15"/>
      <c r="M1652" s="16">
        <f t="shared" si="279"/>
        <v>134</v>
      </c>
      <c r="N1652" s="15">
        <f>42000-10050-10050-150-1650</f>
        <v>20100</v>
      </c>
      <c r="O1652" s="15">
        <f>6300</f>
        <v>6300</v>
      </c>
      <c r="P1652" s="15">
        <f t="shared" si="276"/>
        <v>126630000</v>
      </c>
      <c r="Q1652" s="15" t="str">
        <f t="shared" si="271"/>
        <v>Done</v>
      </c>
      <c r="R1652" s="18" t="s">
        <v>44</v>
      </c>
      <c r="S1652" s="117">
        <v>43539</v>
      </c>
      <c r="T1652" s="20">
        <f>IFERROR(VLOOKUP(S1652,'Date Converter'!$A$4:$C$368,3,0),"")</f>
        <v>43574</v>
      </c>
      <c r="U1652" s="21">
        <f t="shared" si="277"/>
        <v>43574</v>
      </c>
      <c r="V1652" s="12" t="s">
        <v>57</v>
      </c>
      <c r="W1652" s="18" t="s">
        <v>118</v>
      </c>
      <c r="X1652" s="18"/>
      <c r="Y1652" s="18"/>
      <c r="Z1652" s="210">
        <v>43604</v>
      </c>
      <c r="AA1652" s="15">
        <v>10050</v>
      </c>
      <c r="AB1652" s="210">
        <v>43608</v>
      </c>
      <c r="AC1652" s="15">
        <v>10050</v>
      </c>
      <c r="AD1652" s="15"/>
      <c r="AE1652" s="15"/>
      <c r="AF1652" s="244"/>
      <c r="AG1652" s="15"/>
      <c r="AH1652" s="15">
        <f t="shared" si="286"/>
        <v>20100</v>
      </c>
      <c r="AI1652" s="22">
        <f t="shared" si="287"/>
        <v>0</v>
      </c>
      <c r="AJ1652" s="22">
        <f t="shared" si="288"/>
        <v>0</v>
      </c>
      <c r="AK1652" s="13">
        <v>43887</v>
      </c>
    </row>
    <row r="1653" spans="1:37" s="165" customFormat="1" hidden="1">
      <c r="A1653" s="165" t="s">
        <v>1779</v>
      </c>
      <c r="B1653" s="13">
        <v>43461</v>
      </c>
      <c r="C1653" s="13" t="s">
        <v>1622</v>
      </c>
      <c r="D1653" s="165" t="s">
        <v>809</v>
      </c>
      <c r="E1653" s="165" t="s">
        <v>810</v>
      </c>
      <c r="F1653" s="165" t="str">
        <f t="shared" si="278"/>
        <v>ROBI_18.20_150_NL2018</v>
      </c>
      <c r="G1653" s="165" t="s">
        <v>61</v>
      </c>
      <c r="H1653" s="12"/>
      <c r="I1653" s="12" t="s">
        <v>27</v>
      </c>
      <c r="J1653" s="14">
        <v>150</v>
      </c>
      <c r="K1653" s="15" t="s">
        <v>28</v>
      </c>
      <c r="L1653" s="15"/>
      <c r="M1653" s="16">
        <f t="shared" si="279"/>
        <v>66</v>
      </c>
      <c r="N1653" s="15">
        <v>9900</v>
      </c>
      <c r="O1653" s="15">
        <f>6300+313-85</f>
        <v>6528</v>
      </c>
      <c r="P1653" s="15">
        <f t="shared" si="276"/>
        <v>64627200</v>
      </c>
      <c r="Q1653" s="15" t="str">
        <f t="shared" si="271"/>
        <v>Done</v>
      </c>
      <c r="R1653" s="18" t="s">
        <v>44</v>
      </c>
      <c r="S1653" s="117">
        <v>43572</v>
      </c>
      <c r="T1653" s="20">
        <f>IFERROR(VLOOKUP(S1653,'Date Converter'!$A$4:$C$368,3,0),"")</f>
        <v>43606</v>
      </c>
      <c r="U1653" s="21">
        <f t="shared" si="277"/>
        <v>43606</v>
      </c>
      <c r="V1653" s="12"/>
      <c r="W1653" s="18"/>
      <c r="X1653" s="18"/>
      <c r="Y1653" s="18"/>
      <c r="Z1653" s="210">
        <v>43635</v>
      </c>
      <c r="AA1653" s="15">
        <v>9900</v>
      </c>
      <c r="AB1653" s="210"/>
      <c r="AC1653" s="15"/>
      <c r="AD1653" s="15"/>
      <c r="AE1653" s="15"/>
      <c r="AF1653" s="244"/>
      <c r="AG1653" s="15"/>
      <c r="AH1653" s="15">
        <f t="shared" si="286"/>
        <v>9900</v>
      </c>
      <c r="AI1653" s="22">
        <f t="shared" si="287"/>
        <v>0</v>
      </c>
      <c r="AJ1653" s="22">
        <f t="shared" si="288"/>
        <v>0</v>
      </c>
      <c r="AK1653" s="13"/>
    </row>
    <row r="1654" spans="1:37" s="165" customFormat="1" hidden="1">
      <c r="A1654" s="165" t="s">
        <v>1779</v>
      </c>
      <c r="B1654" s="13">
        <v>43461</v>
      </c>
      <c r="C1654" s="13" t="s">
        <v>1622</v>
      </c>
      <c r="D1654" s="165" t="s">
        <v>809</v>
      </c>
      <c r="E1654" s="165" t="s">
        <v>810</v>
      </c>
      <c r="F1654" s="165" t="str">
        <f t="shared" si="278"/>
        <v>ROBI_18.20_150_NL2018</v>
      </c>
      <c r="G1654" s="165" t="s">
        <v>61</v>
      </c>
      <c r="H1654" s="12"/>
      <c r="I1654" s="12" t="s">
        <v>27</v>
      </c>
      <c r="J1654" s="14">
        <v>150</v>
      </c>
      <c r="K1654" s="15" t="s">
        <v>28</v>
      </c>
      <c r="L1654" s="15"/>
      <c r="M1654" s="16">
        <f t="shared" si="279"/>
        <v>67</v>
      </c>
      <c r="N1654" s="15">
        <v>10050</v>
      </c>
      <c r="O1654" s="15">
        <f>6300+313-85</f>
        <v>6528</v>
      </c>
      <c r="P1654" s="15">
        <f t="shared" si="276"/>
        <v>65606400</v>
      </c>
      <c r="Q1654" s="15" t="str">
        <f t="shared" si="271"/>
        <v>Done</v>
      </c>
      <c r="R1654" s="18" t="s">
        <v>44</v>
      </c>
      <c r="S1654" s="117">
        <v>43590</v>
      </c>
      <c r="T1654" s="20">
        <f>IFERROR(VLOOKUP(S1654,'Date Converter'!$A$4:$C$368,3,0),"")</f>
        <v>43623</v>
      </c>
      <c r="U1654" s="21">
        <f t="shared" si="277"/>
        <v>43623</v>
      </c>
      <c r="V1654" s="12"/>
      <c r="W1654" s="18"/>
      <c r="X1654" s="18"/>
      <c r="Y1654" s="18"/>
      <c r="Z1654" s="210">
        <v>43635</v>
      </c>
      <c r="AA1654" s="15">
        <v>10050</v>
      </c>
      <c r="AB1654" s="210"/>
      <c r="AC1654" s="15"/>
      <c r="AD1654" s="15"/>
      <c r="AE1654" s="15"/>
      <c r="AF1654" s="244"/>
      <c r="AG1654" s="15"/>
      <c r="AH1654" s="15">
        <f t="shared" si="286"/>
        <v>10050</v>
      </c>
      <c r="AI1654" s="22">
        <f t="shared" si="287"/>
        <v>0</v>
      </c>
      <c r="AJ1654" s="22">
        <f t="shared" si="288"/>
        <v>0</v>
      </c>
      <c r="AK1654" s="13"/>
    </row>
    <row r="1655" spans="1:37" s="165" customFormat="1" hidden="1">
      <c r="A1655" s="165" t="s">
        <v>1779</v>
      </c>
      <c r="B1655" s="13">
        <v>43631</v>
      </c>
      <c r="C1655" s="13" t="s">
        <v>1622</v>
      </c>
      <c r="D1655" s="165" t="s">
        <v>809</v>
      </c>
      <c r="E1655" s="165" t="s">
        <v>810</v>
      </c>
      <c r="F1655" s="165" t="str">
        <f t="shared" si="278"/>
        <v>ROBI_16.18_200_NL2018</v>
      </c>
      <c r="G1655" s="165" t="s">
        <v>61</v>
      </c>
      <c r="H1655" s="12"/>
      <c r="I1655" s="12" t="s">
        <v>35</v>
      </c>
      <c r="J1655" s="14">
        <v>200</v>
      </c>
      <c r="K1655" s="15" t="s">
        <v>28</v>
      </c>
      <c r="L1655" s="15"/>
      <c r="M1655" s="16">
        <f t="shared" si="279"/>
        <v>100</v>
      </c>
      <c r="N1655" s="185">
        <v>20000</v>
      </c>
      <c r="O1655" s="15">
        <v>5500</v>
      </c>
      <c r="P1655" s="15">
        <f t="shared" si="276"/>
        <v>110000000</v>
      </c>
      <c r="Q1655" s="15" t="str">
        <f t="shared" si="271"/>
        <v>Done</v>
      </c>
      <c r="R1655" s="18" t="s">
        <v>44</v>
      </c>
      <c r="S1655" s="117">
        <v>43600</v>
      </c>
      <c r="T1655" s="20">
        <f>IFERROR(VLOOKUP(S1655,'Date Converter'!$A$4:$C$368,3,0),"")</f>
        <v>43633</v>
      </c>
      <c r="U1655" s="21">
        <f t="shared" si="277"/>
        <v>43633</v>
      </c>
      <c r="V1655" s="12"/>
      <c r="W1655" s="18"/>
      <c r="X1655" s="18"/>
      <c r="Y1655" s="18"/>
      <c r="Z1655" s="210">
        <v>43638</v>
      </c>
      <c r="AA1655" s="15">
        <v>20000</v>
      </c>
      <c r="AB1655" s="210"/>
      <c r="AC1655" s="15"/>
      <c r="AD1655" s="15"/>
      <c r="AE1655" s="15"/>
      <c r="AF1655" s="244"/>
      <c r="AG1655" s="15"/>
      <c r="AH1655" s="15">
        <f t="shared" si="286"/>
        <v>20000</v>
      </c>
      <c r="AI1655" s="22">
        <f t="shared" si="287"/>
        <v>0</v>
      </c>
      <c r="AJ1655" s="22">
        <f t="shared" si="288"/>
        <v>0</v>
      </c>
      <c r="AK1655" s="13"/>
    </row>
    <row r="1656" spans="1:37" s="165" customFormat="1" hidden="1">
      <c r="A1656" s="165" t="s">
        <v>1779</v>
      </c>
      <c r="B1656" s="13">
        <v>43631</v>
      </c>
      <c r="C1656" s="13" t="s">
        <v>1622</v>
      </c>
      <c r="D1656" s="165" t="s">
        <v>809</v>
      </c>
      <c r="E1656" s="165" t="s">
        <v>810</v>
      </c>
      <c r="F1656" s="165" t="str">
        <f t="shared" si="278"/>
        <v>ROBI_18.20_150_NL2018</v>
      </c>
      <c r="G1656" s="165" t="s">
        <v>61</v>
      </c>
      <c r="H1656" s="12"/>
      <c r="I1656" s="12" t="s">
        <v>27</v>
      </c>
      <c r="J1656" s="14">
        <v>150</v>
      </c>
      <c r="K1656" s="15" t="s">
        <v>28</v>
      </c>
      <c r="L1656" s="15"/>
      <c r="M1656" s="16">
        <f t="shared" si="279"/>
        <v>167</v>
      </c>
      <c r="N1656" s="15">
        <v>25050</v>
      </c>
      <c r="O1656" s="15">
        <v>7500</v>
      </c>
      <c r="P1656" s="15">
        <f t="shared" si="276"/>
        <v>187875000</v>
      </c>
      <c r="Q1656" s="15" t="str">
        <f t="shared" si="271"/>
        <v/>
      </c>
      <c r="R1656" s="18" t="s">
        <v>31</v>
      </c>
      <c r="S1656" s="117">
        <v>43617</v>
      </c>
      <c r="T1656" s="20">
        <f>IFERROR(VLOOKUP(S1656,'Date Converter'!$A$4:$C$368,3,0),"")</f>
        <v>43649</v>
      </c>
      <c r="U1656" s="21">
        <f t="shared" si="277"/>
        <v>43649</v>
      </c>
      <c r="V1656" s="12" t="s">
        <v>1888</v>
      </c>
      <c r="W1656" s="18"/>
      <c r="X1656" s="18"/>
      <c r="Y1656" s="18"/>
      <c r="Z1656" s="210"/>
      <c r="AA1656" s="15"/>
      <c r="AB1656" s="210"/>
      <c r="AC1656" s="15"/>
      <c r="AD1656" s="15"/>
      <c r="AE1656" s="15"/>
      <c r="AF1656" s="244"/>
      <c r="AG1656" s="15"/>
      <c r="AH1656" s="15">
        <f t="shared" si="286"/>
        <v>0</v>
      </c>
      <c r="AI1656" s="22">
        <f t="shared" si="287"/>
        <v>25050</v>
      </c>
      <c r="AJ1656" s="22">
        <f t="shared" si="288"/>
        <v>187875000</v>
      </c>
      <c r="AK1656" s="13"/>
    </row>
    <row r="1657" spans="1:37" s="165" customFormat="1" hidden="1">
      <c r="A1657" s="165" t="s">
        <v>1779</v>
      </c>
      <c r="B1657" s="13">
        <v>43631</v>
      </c>
      <c r="C1657" s="13" t="s">
        <v>1622</v>
      </c>
      <c r="D1657" s="165" t="s">
        <v>809</v>
      </c>
      <c r="E1657" s="165" t="s">
        <v>810</v>
      </c>
      <c r="F1657" s="165" t="str">
        <f t="shared" si="278"/>
        <v>ROBI_18.20_150_NL2018</v>
      </c>
      <c r="G1657" s="165" t="s">
        <v>61</v>
      </c>
      <c r="H1657" s="12"/>
      <c r="I1657" s="12" t="s">
        <v>27</v>
      </c>
      <c r="J1657" s="14">
        <v>150</v>
      </c>
      <c r="K1657" s="15" t="s">
        <v>28</v>
      </c>
      <c r="L1657" s="15"/>
      <c r="M1657" s="16">
        <f t="shared" si="279"/>
        <v>167</v>
      </c>
      <c r="N1657" s="15">
        <v>25050</v>
      </c>
      <c r="O1657" s="15">
        <v>7500</v>
      </c>
      <c r="P1657" s="15">
        <f t="shared" si="276"/>
        <v>187875000</v>
      </c>
      <c r="Q1657" s="15" t="str">
        <f t="shared" si="271"/>
        <v/>
      </c>
      <c r="R1657" s="18" t="s">
        <v>31</v>
      </c>
      <c r="S1657" s="117">
        <v>43631</v>
      </c>
      <c r="T1657" s="20">
        <f>IFERROR(VLOOKUP(S1657,'Date Converter'!$A$4:$C$368,3,0),"")</f>
        <v>43663</v>
      </c>
      <c r="U1657" s="21">
        <f t="shared" si="277"/>
        <v>43663</v>
      </c>
      <c r="V1657" s="12"/>
      <c r="W1657" s="18"/>
      <c r="X1657" s="18"/>
      <c r="Y1657" s="18"/>
      <c r="Z1657" s="210"/>
      <c r="AA1657" s="15"/>
      <c r="AB1657" s="210"/>
      <c r="AC1657" s="15"/>
      <c r="AD1657" s="15"/>
      <c r="AE1657" s="15"/>
      <c r="AF1657" s="244"/>
      <c r="AG1657" s="15"/>
      <c r="AH1657" s="15">
        <f t="shared" si="286"/>
        <v>0</v>
      </c>
      <c r="AI1657" s="22">
        <f t="shared" si="287"/>
        <v>25050</v>
      </c>
      <c r="AJ1657" s="22">
        <f t="shared" si="288"/>
        <v>187875000</v>
      </c>
      <c r="AK1657" s="13"/>
    </row>
    <row r="1658" spans="1:37" s="165" customFormat="1" hidden="1">
      <c r="A1658" s="165" t="s">
        <v>1780</v>
      </c>
      <c r="B1658" s="13">
        <v>43636</v>
      </c>
      <c r="C1658" s="267" t="s">
        <v>1622</v>
      </c>
      <c r="D1658" s="258" t="s">
        <v>809</v>
      </c>
      <c r="E1658" s="165" t="s">
        <v>810</v>
      </c>
      <c r="F1658" s="165" t="str">
        <f t="shared" si="278"/>
        <v>ROBI_20.22_125_NL2018</v>
      </c>
      <c r="G1658" s="165" t="s">
        <v>61</v>
      </c>
      <c r="H1658" s="12"/>
      <c r="I1658" s="12" t="s">
        <v>74</v>
      </c>
      <c r="J1658" s="14">
        <v>125</v>
      </c>
      <c r="K1658" s="15" t="s">
        <v>28</v>
      </c>
      <c r="L1658" s="15"/>
      <c r="M1658" s="16">
        <f t="shared" si="279"/>
        <v>320</v>
      </c>
      <c r="N1658" s="15">
        <v>40000</v>
      </c>
      <c r="O1658" s="15">
        <v>10700</v>
      </c>
      <c r="P1658" s="15">
        <f t="shared" si="276"/>
        <v>428000000</v>
      </c>
      <c r="Q1658" s="15" t="str">
        <f t="shared" si="271"/>
        <v/>
      </c>
      <c r="R1658" s="18" t="s">
        <v>29</v>
      </c>
      <c r="S1658" s="117">
        <v>43709</v>
      </c>
      <c r="T1658" s="20">
        <f>IFERROR(VLOOKUP(S1658,'Date Converter'!$A$4:$C$368,3,0),"")</f>
        <v>43737</v>
      </c>
      <c r="U1658" s="21">
        <f t="shared" si="277"/>
        <v>43737</v>
      </c>
      <c r="V1658" s="27" t="s">
        <v>51</v>
      </c>
      <c r="W1658" s="18"/>
      <c r="X1658" s="18"/>
      <c r="Y1658" s="18"/>
      <c r="Z1658" s="210"/>
      <c r="AA1658" s="15"/>
      <c r="AB1658" s="210"/>
      <c r="AC1658" s="15"/>
      <c r="AD1658" s="15"/>
      <c r="AE1658" s="15"/>
      <c r="AF1658" s="244"/>
      <c r="AG1658" s="15"/>
      <c r="AH1658" s="15">
        <f t="shared" si="286"/>
        <v>0</v>
      </c>
      <c r="AI1658" s="22">
        <f t="shared" si="287"/>
        <v>40000</v>
      </c>
      <c r="AJ1658" s="22">
        <f t="shared" si="288"/>
        <v>428000000</v>
      </c>
      <c r="AK1658" s="13"/>
    </row>
    <row r="1659" spans="1:37" s="165" customFormat="1" hidden="1">
      <c r="A1659" s="165" t="s">
        <v>1780</v>
      </c>
      <c r="B1659" s="13">
        <v>43524</v>
      </c>
      <c r="C1659" s="267" t="s">
        <v>1622</v>
      </c>
      <c r="D1659" s="258" t="s">
        <v>809</v>
      </c>
      <c r="E1659" s="165" t="s">
        <v>810</v>
      </c>
      <c r="F1659" s="165" t="str">
        <f t="shared" si="278"/>
        <v>MANI_20.22_125_NL2018</v>
      </c>
      <c r="G1659" s="165" t="s">
        <v>105</v>
      </c>
      <c r="H1659" s="12"/>
      <c r="I1659" s="12" t="s">
        <v>74</v>
      </c>
      <c r="J1659" s="14">
        <v>125</v>
      </c>
      <c r="K1659" s="15" t="s">
        <v>28</v>
      </c>
      <c r="L1659" s="15"/>
      <c r="M1659" s="16">
        <f t="shared" si="279"/>
        <v>240</v>
      </c>
      <c r="N1659" s="15">
        <v>30000</v>
      </c>
      <c r="O1659" s="15">
        <v>13500</v>
      </c>
      <c r="P1659" s="15">
        <f t="shared" si="276"/>
        <v>405000000</v>
      </c>
      <c r="Q1659" s="15" t="str">
        <f t="shared" si="271"/>
        <v/>
      </c>
      <c r="R1659" s="18" t="s">
        <v>29</v>
      </c>
      <c r="S1659" s="117">
        <v>43709</v>
      </c>
      <c r="T1659" s="20">
        <f>IFERROR(VLOOKUP(S1659,'Date Converter'!$A$4:$C$368,3,0),"")</f>
        <v>43737</v>
      </c>
      <c r="U1659" s="21">
        <f t="shared" si="277"/>
        <v>43737</v>
      </c>
      <c r="V1659" s="27" t="s">
        <v>51</v>
      </c>
      <c r="W1659" s="18"/>
      <c r="X1659" s="18"/>
      <c r="Y1659" s="18"/>
      <c r="Z1659" s="210"/>
      <c r="AA1659" s="15">
        <v>0</v>
      </c>
      <c r="AB1659" s="210"/>
      <c r="AC1659" s="15"/>
      <c r="AD1659" s="15"/>
      <c r="AE1659" s="15"/>
      <c r="AF1659" s="244"/>
      <c r="AG1659" s="15"/>
      <c r="AH1659" s="15">
        <f t="shared" si="286"/>
        <v>0</v>
      </c>
      <c r="AI1659" s="22">
        <f t="shared" si="287"/>
        <v>30000</v>
      </c>
      <c r="AJ1659" s="22">
        <f t="shared" si="288"/>
        <v>405000000</v>
      </c>
      <c r="AK1659" s="13">
        <v>43887</v>
      </c>
    </row>
    <row r="1660" spans="1:37" s="165" customFormat="1" hidden="1">
      <c r="A1660" s="165" t="s">
        <v>1779</v>
      </c>
      <c r="B1660" s="13">
        <v>43461</v>
      </c>
      <c r="C1660" s="13" t="s">
        <v>1622</v>
      </c>
      <c r="D1660" s="165" t="s">
        <v>809</v>
      </c>
      <c r="E1660" s="165" t="s">
        <v>810</v>
      </c>
      <c r="F1660" s="165" t="str">
        <f t="shared" si="278"/>
        <v>MANI_16.18_200_NL2018</v>
      </c>
      <c r="G1660" s="165" t="s">
        <v>105</v>
      </c>
      <c r="H1660" s="12"/>
      <c r="I1660" s="12" t="s">
        <v>35</v>
      </c>
      <c r="J1660" s="14">
        <v>200</v>
      </c>
      <c r="K1660" s="15" t="s">
        <v>28</v>
      </c>
      <c r="L1660" s="15"/>
      <c r="M1660" s="16">
        <f t="shared" si="279"/>
        <v>250</v>
      </c>
      <c r="N1660" s="15">
        <v>50000</v>
      </c>
      <c r="O1660" s="15">
        <v>6700</v>
      </c>
      <c r="P1660" s="15">
        <f t="shared" si="276"/>
        <v>335000000</v>
      </c>
      <c r="Q1660" s="15" t="str">
        <f t="shared" si="271"/>
        <v>Done</v>
      </c>
      <c r="R1660" s="18" t="s">
        <v>44</v>
      </c>
      <c r="S1660" s="117" t="s">
        <v>151</v>
      </c>
      <c r="T1660" s="20">
        <f>IFERROR(VLOOKUP(S1660,'Date Converter'!$A$4:$C$368,3,0),"")</f>
        <v>43558</v>
      </c>
      <c r="U1660" s="21">
        <f t="shared" si="277"/>
        <v>43558</v>
      </c>
      <c r="V1660" s="12" t="s">
        <v>54</v>
      </c>
      <c r="W1660" s="18" t="s">
        <v>107</v>
      </c>
      <c r="X1660" s="18"/>
      <c r="Y1660" s="18"/>
      <c r="Z1660" s="210">
        <v>43563</v>
      </c>
      <c r="AA1660" s="15">
        <v>10000</v>
      </c>
      <c r="AB1660" s="210">
        <v>43584</v>
      </c>
      <c r="AC1660" s="15">
        <v>20000</v>
      </c>
      <c r="AD1660" s="210">
        <v>43584</v>
      </c>
      <c r="AE1660" s="15">
        <v>20000</v>
      </c>
      <c r="AF1660" s="244"/>
      <c r="AG1660" s="15"/>
      <c r="AH1660" s="15">
        <f t="shared" si="286"/>
        <v>50000</v>
      </c>
      <c r="AI1660" s="22">
        <f t="shared" si="287"/>
        <v>0</v>
      </c>
      <c r="AJ1660" s="22">
        <f t="shared" si="288"/>
        <v>0</v>
      </c>
      <c r="AK1660" s="13">
        <v>43887</v>
      </c>
    </row>
    <row r="1661" spans="1:37" s="165" customFormat="1" hidden="1">
      <c r="A1661" s="165" t="s">
        <v>1780</v>
      </c>
      <c r="B1661" s="13">
        <v>43633</v>
      </c>
      <c r="C1661" s="267" t="s">
        <v>1622</v>
      </c>
      <c r="D1661" s="258" t="s">
        <v>809</v>
      </c>
      <c r="E1661" s="165" t="s">
        <v>810</v>
      </c>
      <c r="F1661" s="165" t="str">
        <f t="shared" si="278"/>
        <v>INDI_18.20_150_NL2018</v>
      </c>
      <c r="G1661" s="165" t="s">
        <v>154</v>
      </c>
      <c r="H1661" s="12"/>
      <c r="I1661" s="12" t="s">
        <v>27</v>
      </c>
      <c r="J1661" s="14">
        <v>150</v>
      </c>
      <c r="K1661" s="15" t="s">
        <v>28</v>
      </c>
      <c r="L1661" s="15"/>
      <c r="M1661" s="16">
        <f t="shared" si="279"/>
        <v>200</v>
      </c>
      <c r="N1661" s="15">
        <v>30000</v>
      </c>
      <c r="O1661" s="15">
        <v>10000</v>
      </c>
      <c r="P1661" s="15">
        <f t="shared" si="276"/>
        <v>300000000</v>
      </c>
      <c r="Q1661" s="15" t="str">
        <f t="shared" si="271"/>
        <v/>
      </c>
      <c r="R1661" s="18" t="s">
        <v>29</v>
      </c>
      <c r="S1661" s="117">
        <v>43709</v>
      </c>
      <c r="T1661" s="20">
        <f>IFERROR(VLOOKUP(S1661,'Date Converter'!$A$4:$C$368,3,0),"")</f>
        <v>43737</v>
      </c>
      <c r="U1661" s="21">
        <f t="shared" si="277"/>
        <v>43737</v>
      </c>
      <c r="V1661" s="12" t="s">
        <v>51</v>
      </c>
      <c r="W1661" s="18"/>
      <c r="X1661" s="18"/>
      <c r="Y1661" s="18"/>
      <c r="Z1661" s="210"/>
      <c r="AA1661" s="15"/>
      <c r="AB1661" s="210"/>
      <c r="AC1661" s="15"/>
      <c r="AD1661" s="15"/>
      <c r="AE1661" s="15"/>
      <c r="AF1661" s="244"/>
      <c r="AG1661" s="15"/>
      <c r="AH1661" s="15">
        <f t="shared" si="286"/>
        <v>0</v>
      </c>
      <c r="AI1661" s="22">
        <f t="shared" si="287"/>
        <v>30000</v>
      </c>
      <c r="AJ1661" s="22">
        <f t="shared" si="288"/>
        <v>300000000</v>
      </c>
      <c r="AK1661" s="13"/>
    </row>
    <row r="1662" spans="1:37" s="165" customFormat="1" hidden="1">
      <c r="A1662" s="165" t="s">
        <v>1779</v>
      </c>
      <c r="B1662" s="13">
        <v>43461</v>
      </c>
      <c r="C1662" s="13" t="s">
        <v>1622</v>
      </c>
      <c r="D1662" s="165" t="s">
        <v>809</v>
      </c>
      <c r="E1662" s="165" t="s">
        <v>810</v>
      </c>
      <c r="F1662" s="165" t="str">
        <f t="shared" si="278"/>
        <v>CONC_16.18_200_NL2018</v>
      </c>
      <c r="G1662" s="165" t="s">
        <v>43</v>
      </c>
      <c r="H1662" s="12"/>
      <c r="I1662" s="12" t="s">
        <v>35</v>
      </c>
      <c r="J1662" s="14">
        <v>200</v>
      </c>
      <c r="K1662" s="15" t="s">
        <v>28</v>
      </c>
      <c r="L1662" s="15"/>
      <c r="M1662" s="16">
        <f t="shared" si="279"/>
        <v>50</v>
      </c>
      <c r="N1662" s="15">
        <v>10000</v>
      </c>
      <c r="O1662" s="15">
        <v>4600</v>
      </c>
      <c r="P1662" s="15">
        <f t="shared" si="276"/>
        <v>46000000</v>
      </c>
      <c r="Q1662" s="15" t="str">
        <f t="shared" si="271"/>
        <v>Done</v>
      </c>
      <c r="R1662" s="18" t="s">
        <v>44</v>
      </c>
      <c r="S1662" s="117">
        <v>43480</v>
      </c>
      <c r="T1662" s="20">
        <f>IFERROR(VLOOKUP(S1662,'Date Converter'!$A$4:$C$368,3,0),"")</f>
        <v>43515</v>
      </c>
      <c r="U1662" s="21">
        <f t="shared" si="277"/>
        <v>43515</v>
      </c>
      <c r="V1662" s="12" t="s">
        <v>45</v>
      </c>
      <c r="W1662" s="18"/>
      <c r="X1662" s="18"/>
      <c r="Y1662" s="18"/>
      <c r="Z1662" s="210">
        <v>43521</v>
      </c>
      <c r="AA1662" s="15">
        <v>10000</v>
      </c>
      <c r="AB1662" s="210"/>
      <c r="AC1662" s="15"/>
      <c r="AD1662" s="15"/>
      <c r="AE1662" s="15"/>
      <c r="AF1662" s="244"/>
      <c r="AG1662" s="15"/>
      <c r="AH1662" s="15">
        <f t="shared" si="286"/>
        <v>10000</v>
      </c>
      <c r="AI1662" s="22">
        <f t="shared" si="287"/>
        <v>0</v>
      </c>
      <c r="AJ1662" s="22">
        <f t="shared" si="288"/>
        <v>0</v>
      </c>
      <c r="AK1662" s="13">
        <v>43887</v>
      </c>
    </row>
    <row r="1663" spans="1:37" s="165" customFormat="1" hidden="1">
      <c r="A1663" s="165" t="s">
        <v>1779</v>
      </c>
      <c r="B1663" s="13">
        <v>43461</v>
      </c>
      <c r="C1663" s="13" t="s">
        <v>1622</v>
      </c>
      <c r="D1663" s="165" t="s">
        <v>809</v>
      </c>
      <c r="E1663" s="165" t="s">
        <v>810</v>
      </c>
      <c r="F1663" s="165" t="str">
        <f t="shared" si="278"/>
        <v>CONC_16.18_200_NL2018</v>
      </c>
      <c r="G1663" s="165" t="s">
        <v>40</v>
      </c>
      <c r="H1663" s="12"/>
      <c r="I1663" s="12" t="s">
        <v>35</v>
      </c>
      <c r="J1663" s="14">
        <v>200</v>
      </c>
      <c r="K1663" s="15" t="s">
        <v>28</v>
      </c>
      <c r="L1663" s="15"/>
      <c r="M1663" s="16">
        <f t="shared" si="279"/>
        <v>50</v>
      </c>
      <c r="N1663" s="15">
        <v>10000</v>
      </c>
      <c r="O1663" s="15">
        <v>4600</v>
      </c>
      <c r="P1663" s="15">
        <f t="shared" si="276"/>
        <v>46000000</v>
      </c>
      <c r="Q1663" s="15" t="str">
        <f t="shared" si="271"/>
        <v>Done</v>
      </c>
      <c r="R1663" s="18" t="s">
        <v>44</v>
      </c>
      <c r="S1663" s="117">
        <v>43511</v>
      </c>
      <c r="T1663" s="20">
        <f>IFERROR(VLOOKUP(S1663,'Date Converter'!$A$4:$C$368,3,0),"")</f>
        <v>43544</v>
      </c>
      <c r="U1663" s="21">
        <f t="shared" si="277"/>
        <v>43544</v>
      </c>
      <c r="V1663" s="12" t="s">
        <v>32</v>
      </c>
      <c r="W1663" s="18" t="s">
        <v>41</v>
      </c>
      <c r="X1663" s="18"/>
      <c r="Y1663" s="18"/>
      <c r="Z1663" s="210">
        <v>43546</v>
      </c>
      <c r="AA1663" s="15">
        <v>10000</v>
      </c>
      <c r="AB1663" s="210"/>
      <c r="AC1663" s="15"/>
      <c r="AD1663" s="15"/>
      <c r="AE1663" s="15"/>
      <c r="AF1663" s="244"/>
      <c r="AG1663" s="15"/>
      <c r="AH1663" s="15">
        <f t="shared" si="286"/>
        <v>10000</v>
      </c>
      <c r="AI1663" s="22">
        <f t="shared" si="287"/>
        <v>0</v>
      </c>
      <c r="AJ1663" s="22">
        <f t="shared" si="288"/>
        <v>0</v>
      </c>
      <c r="AK1663" s="13">
        <v>43887</v>
      </c>
    </row>
    <row r="1664" spans="1:37" s="165" customFormat="1" hidden="1">
      <c r="A1664" s="165" t="s">
        <v>1779</v>
      </c>
      <c r="B1664" s="13">
        <v>43461</v>
      </c>
      <c r="C1664" s="13" t="s">
        <v>1622</v>
      </c>
      <c r="D1664" s="165" t="s">
        <v>809</v>
      </c>
      <c r="E1664" s="165" t="s">
        <v>810</v>
      </c>
      <c r="F1664" s="165" t="str">
        <f t="shared" si="278"/>
        <v>BACA_16.18_200_NL2018</v>
      </c>
      <c r="G1664" s="165" t="s">
        <v>67</v>
      </c>
      <c r="H1664" s="12"/>
      <c r="I1664" s="12" t="s">
        <v>35</v>
      </c>
      <c r="J1664" s="14">
        <v>200</v>
      </c>
      <c r="K1664" s="15" t="s">
        <v>28</v>
      </c>
      <c r="L1664" s="15"/>
      <c r="M1664" s="16">
        <f t="shared" si="279"/>
        <v>115</v>
      </c>
      <c r="N1664" s="15">
        <v>23000</v>
      </c>
      <c r="O1664" s="15">
        <v>6000</v>
      </c>
      <c r="P1664" s="15">
        <f t="shared" si="276"/>
        <v>138000000</v>
      </c>
      <c r="Q1664" s="15" t="str">
        <f t="shared" si="271"/>
        <v>Done</v>
      </c>
      <c r="R1664" s="18" t="s">
        <v>44</v>
      </c>
      <c r="S1664" s="117">
        <v>43480</v>
      </c>
      <c r="T1664" s="20">
        <f>IFERROR(VLOOKUP(S1664,'Date Converter'!$A$4:$C$368,3,0),"")</f>
        <v>43515</v>
      </c>
      <c r="U1664" s="21">
        <f t="shared" si="277"/>
        <v>43515</v>
      </c>
      <c r="V1664" s="12" t="s">
        <v>45</v>
      </c>
      <c r="W1664" s="18"/>
      <c r="X1664" s="18"/>
      <c r="Y1664" s="18"/>
      <c r="Z1664" s="210">
        <v>43521</v>
      </c>
      <c r="AA1664" s="15">
        <v>20000</v>
      </c>
      <c r="AB1664" s="210">
        <v>43522</v>
      </c>
      <c r="AC1664" s="15">
        <v>3000</v>
      </c>
      <c r="AD1664" s="15"/>
      <c r="AE1664" s="15"/>
      <c r="AF1664" s="244"/>
      <c r="AG1664" s="15"/>
      <c r="AH1664" s="15">
        <f t="shared" si="286"/>
        <v>23000</v>
      </c>
      <c r="AI1664" s="22">
        <f t="shared" si="287"/>
        <v>0</v>
      </c>
      <c r="AJ1664" s="22">
        <f t="shared" si="288"/>
        <v>0</v>
      </c>
      <c r="AK1664" s="13">
        <v>43887</v>
      </c>
    </row>
    <row r="1665" spans="1:37" s="165" customFormat="1" hidden="1">
      <c r="A1665" s="165" t="s">
        <v>1779</v>
      </c>
      <c r="B1665" s="13">
        <v>43461</v>
      </c>
      <c r="C1665" s="13" t="s">
        <v>1622</v>
      </c>
      <c r="D1665" s="165" t="s">
        <v>809</v>
      </c>
      <c r="E1665" s="165" t="s">
        <v>810</v>
      </c>
      <c r="F1665" s="165" t="str">
        <f t="shared" si="278"/>
        <v>BACA_16.18_200_NL2018</v>
      </c>
      <c r="G1665" s="165" t="s">
        <v>67</v>
      </c>
      <c r="H1665" s="12"/>
      <c r="I1665" s="12" t="s">
        <v>35</v>
      </c>
      <c r="J1665" s="14">
        <v>200</v>
      </c>
      <c r="K1665" s="15" t="s">
        <v>28</v>
      </c>
      <c r="L1665" s="15"/>
      <c r="M1665" s="16">
        <f t="shared" si="279"/>
        <v>125</v>
      </c>
      <c r="N1665" s="15">
        <v>25000</v>
      </c>
      <c r="O1665" s="15">
        <v>6000</v>
      </c>
      <c r="P1665" s="15">
        <f t="shared" si="276"/>
        <v>150000000</v>
      </c>
      <c r="Q1665" s="15" t="str">
        <f t="shared" si="271"/>
        <v>Done</v>
      </c>
      <c r="R1665" s="18" t="s">
        <v>44</v>
      </c>
      <c r="S1665" s="117">
        <v>43511</v>
      </c>
      <c r="T1665" s="20">
        <f>IFERROR(VLOOKUP(S1665,'Date Converter'!$A$4:$C$368,3,0),"")</f>
        <v>43544</v>
      </c>
      <c r="U1665" s="21">
        <f t="shared" si="277"/>
        <v>43544</v>
      </c>
      <c r="V1665" s="12" t="s">
        <v>32</v>
      </c>
      <c r="W1665" s="18" t="s">
        <v>48</v>
      </c>
      <c r="X1665" s="18"/>
      <c r="Y1665" s="18"/>
      <c r="Z1665" s="210">
        <v>43589</v>
      </c>
      <c r="AA1665" s="15">
        <v>25000</v>
      </c>
      <c r="AB1665" s="210"/>
      <c r="AC1665" s="15"/>
      <c r="AD1665" s="15"/>
      <c r="AE1665" s="15"/>
      <c r="AF1665" s="244"/>
      <c r="AG1665" s="15"/>
      <c r="AH1665" s="15">
        <f t="shared" si="286"/>
        <v>25000</v>
      </c>
      <c r="AI1665" s="22">
        <f t="shared" si="287"/>
        <v>0</v>
      </c>
      <c r="AJ1665" s="22">
        <f t="shared" si="288"/>
        <v>0</v>
      </c>
      <c r="AK1665" s="13">
        <v>43887</v>
      </c>
    </row>
    <row r="1666" spans="1:37" s="165" customFormat="1" ht="13.5" hidden="1" customHeight="1">
      <c r="A1666" s="165" t="s">
        <v>1433</v>
      </c>
      <c r="B1666" s="13">
        <v>43572</v>
      </c>
      <c r="C1666" s="13" t="s">
        <v>23</v>
      </c>
      <c r="D1666" s="258" t="s">
        <v>1432</v>
      </c>
      <c r="E1666" s="249" t="s">
        <v>1431</v>
      </c>
      <c r="F1666" s="165" t="str">
        <f t="shared" si="278"/>
        <v>PROF_20.22_125_CL2019</v>
      </c>
      <c r="G1666" s="13" t="s">
        <v>1382</v>
      </c>
      <c r="H1666" s="12"/>
      <c r="I1666" s="12" t="s">
        <v>74</v>
      </c>
      <c r="J1666" s="31" t="s">
        <v>122</v>
      </c>
      <c r="K1666" s="185" t="s">
        <v>1423</v>
      </c>
      <c r="L1666" s="15"/>
      <c r="M1666" s="16">
        <f t="shared" si="279"/>
        <v>80</v>
      </c>
      <c r="N1666" s="15">
        <v>10000</v>
      </c>
      <c r="O1666" s="15">
        <v>13800</v>
      </c>
      <c r="P1666" s="15">
        <f t="shared" si="276"/>
        <v>138000000</v>
      </c>
      <c r="Q1666" s="15" t="str">
        <f t="shared" si="271"/>
        <v/>
      </c>
      <c r="R1666" s="18" t="s">
        <v>29</v>
      </c>
      <c r="S1666" s="23">
        <v>43709</v>
      </c>
      <c r="T1666" s="20">
        <f>IFERROR(VLOOKUP(S1666,'Date Converter'!$A$4:$C$368,3,0),"")</f>
        <v>43737</v>
      </c>
      <c r="U1666" s="21">
        <f t="shared" si="277"/>
        <v>43737</v>
      </c>
      <c r="V1666" s="12" t="s">
        <v>51</v>
      </c>
      <c r="W1666" s="18"/>
      <c r="X1666" s="18"/>
      <c r="Y1666" s="12"/>
      <c r="Z1666" s="206"/>
      <c r="AA1666" s="15"/>
      <c r="AB1666" s="206"/>
      <c r="AC1666" s="12"/>
      <c r="AD1666" s="206"/>
      <c r="AE1666" s="12"/>
      <c r="AF1666" s="245"/>
      <c r="AG1666" s="12"/>
      <c r="AH1666" s="15">
        <f t="shared" si="286"/>
        <v>0</v>
      </c>
      <c r="AI1666" s="22">
        <f t="shared" si="287"/>
        <v>10000</v>
      </c>
      <c r="AJ1666" s="22">
        <f t="shared" si="288"/>
        <v>138000000</v>
      </c>
    </row>
    <row r="1667" spans="1:37" s="165" customFormat="1" hidden="1">
      <c r="A1667" s="165" t="s">
        <v>1433</v>
      </c>
      <c r="B1667" s="13">
        <v>43592</v>
      </c>
      <c r="C1667" s="13" t="s">
        <v>23</v>
      </c>
      <c r="D1667" s="258" t="s">
        <v>1432</v>
      </c>
      <c r="E1667" s="249" t="s">
        <v>1431</v>
      </c>
      <c r="F1667" s="165" t="str">
        <f t="shared" si="278"/>
        <v>MANI_20.22_125_NL2018</v>
      </c>
      <c r="G1667" s="13" t="s">
        <v>1508</v>
      </c>
      <c r="H1667" s="12"/>
      <c r="I1667" s="12" t="s">
        <v>74</v>
      </c>
      <c r="J1667" s="31" t="s">
        <v>122</v>
      </c>
      <c r="K1667" s="15" t="s">
        <v>28</v>
      </c>
      <c r="L1667" s="15"/>
      <c r="M1667" s="16">
        <f t="shared" si="279"/>
        <v>24</v>
      </c>
      <c r="N1667" s="15">
        <v>3000</v>
      </c>
      <c r="O1667" s="15">
        <v>15800</v>
      </c>
      <c r="P1667" s="15">
        <f t="shared" si="276"/>
        <v>47400000</v>
      </c>
      <c r="Q1667" s="15" t="str">
        <f t="shared" ref="Q1667:Q1730" si="289">IF(AND(N1667=0,AI1667=0),"Canceled",IF(AND(N1667&gt;0,AI1667=0),"Done",""))</f>
        <v/>
      </c>
      <c r="R1667" s="18" t="s">
        <v>29</v>
      </c>
      <c r="S1667" s="23">
        <v>43709</v>
      </c>
      <c r="T1667" s="20">
        <f>IFERROR(VLOOKUP(S1667,'Date Converter'!$A$4:$C$368,3,0),"")</f>
        <v>43737</v>
      </c>
      <c r="U1667" s="21">
        <f t="shared" si="277"/>
        <v>43737</v>
      </c>
      <c r="V1667" s="12" t="s">
        <v>51</v>
      </c>
      <c r="W1667" s="18"/>
      <c r="X1667" s="18"/>
      <c r="Y1667" s="12"/>
      <c r="Z1667" s="206"/>
      <c r="AA1667" s="15"/>
      <c r="AB1667" s="206"/>
      <c r="AC1667" s="12"/>
      <c r="AD1667" s="206"/>
      <c r="AE1667" s="12"/>
      <c r="AF1667" s="245"/>
      <c r="AG1667" s="12"/>
      <c r="AH1667" s="15">
        <f t="shared" si="286"/>
        <v>0</v>
      </c>
      <c r="AI1667" s="22">
        <f t="shared" si="287"/>
        <v>3000</v>
      </c>
      <c r="AJ1667" s="22">
        <f t="shared" si="288"/>
        <v>47400000</v>
      </c>
    </row>
    <row r="1668" spans="1:37" s="165" customFormat="1" hidden="1">
      <c r="A1668" s="165" t="s">
        <v>1433</v>
      </c>
      <c r="B1668" s="13">
        <v>43572</v>
      </c>
      <c r="C1668" s="13" t="s">
        <v>23</v>
      </c>
      <c r="D1668" s="258" t="s">
        <v>1432</v>
      </c>
      <c r="E1668" s="249" t="s">
        <v>1431</v>
      </c>
      <c r="F1668" s="165" t="str">
        <f t="shared" si="278"/>
        <v>MANI_22.24_100_NL2018</v>
      </c>
      <c r="G1668" s="13" t="s">
        <v>105</v>
      </c>
      <c r="H1668" s="12"/>
      <c r="I1668" s="12" t="s">
        <v>78</v>
      </c>
      <c r="J1668" s="31" t="s">
        <v>206</v>
      </c>
      <c r="K1668" s="15" t="s">
        <v>28</v>
      </c>
      <c r="L1668" s="15"/>
      <c r="M1668" s="16">
        <f t="shared" si="279"/>
        <v>50</v>
      </c>
      <c r="N1668" s="15">
        <v>5000</v>
      </c>
      <c r="O1668" s="15">
        <v>15400</v>
      </c>
      <c r="P1668" s="15">
        <f t="shared" si="276"/>
        <v>77000000</v>
      </c>
      <c r="Q1668" s="15" t="str">
        <f t="shared" si="289"/>
        <v/>
      </c>
      <c r="R1668" s="18" t="s">
        <v>29</v>
      </c>
      <c r="S1668" s="23">
        <v>43709</v>
      </c>
      <c r="T1668" s="20">
        <f>IFERROR(VLOOKUP(S1668,'Date Converter'!$A$4:$C$368,3,0),"")</f>
        <v>43737</v>
      </c>
      <c r="U1668" s="21">
        <f t="shared" si="277"/>
        <v>43737</v>
      </c>
      <c r="V1668" s="12" t="s">
        <v>51</v>
      </c>
      <c r="W1668" s="18"/>
      <c r="X1668" s="18"/>
      <c r="Y1668" s="12"/>
      <c r="Z1668" s="206"/>
      <c r="AA1668" s="15"/>
      <c r="AB1668" s="206"/>
      <c r="AC1668" s="12"/>
      <c r="AD1668" s="206"/>
      <c r="AE1668" s="12"/>
      <c r="AF1668" s="245"/>
      <c r="AG1668" s="12"/>
      <c r="AH1668" s="15">
        <f t="shared" si="286"/>
        <v>0</v>
      </c>
      <c r="AI1668" s="22">
        <f t="shared" si="287"/>
        <v>5000</v>
      </c>
      <c r="AJ1668" s="22">
        <f t="shared" si="288"/>
        <v>77000000</v>
      </c>
    </row>
    <row r="1669" spans="1:37" s="165" customFormat="1" hidden="1">
      <c r="A1669" s="165" t="s">
        <v>1433</v>
      </c>
      <c r="B1669" s="13">
        <v>43572</v>
      </c>
      <c r="C1669" s="13" t="s">
        <v>23</v>
      </c>
      <c r="D1669" s="258" t="s">
        <v>1432</v>
      </c>
      <c r="E1669" s="249" t="s">
        <v>1431</v>
      </c>
      <c r="F1669" s="165" t="str">
        <f t="shared" si="278"/>
        <v>INDI_18.20_150_NL2018</v>
      </c>
      <c r="G1669" s="13" t="s">
        <v>154</v>
      </c>
      <c r="H1669" s="12"/>
      <c r="I1669" s="12" t="s">
        <v>27</v>
      </c>
      <c r="J1669" s="31" t="s">
        <v>126</v>
      </c>
      <c r="K1669" s="15" t="s">
        <v>28</v>
      </c>
      <c r="L1669" s="15" t="s">
        <v>68</v>
      </c>
      <c r="M1669" s="16">
        <f t="shared" si="279"/>
        <v>34</v>
      </c>
      <c r="N1669" s="15">
        <f>4050+1050</f>
        <v>5100</v>
      </c>
      <c r="O1669" s="15">
        <v>10000</v>
      </c>
      <c r="P1669" s="15">
        <f t="shared" si="276"/>
        <v>51000000</v>
      </c>
      <c r="Q1669" s="15" t="str">
        <f t="shared" si="289"/>
        <v/>
      </c>
      <c r="R1669" s="18" t="s">
        <v>29</v>
      </c>
      <c r="S1669" s="23">
        <v>43709</v>
      </c>
      <c r="T1669" s="20">
        <f>IFERROR(VLOOKUP(S1669,'Date Converter'!$A$4:$C$368,3,0),"")</f>
        <v>43737</v>
      </c>
      <c r="U1669" s="21">
        <f t="shared" si="277"/>
        <v>43737</v>
      </c>
      <c r="V1669" s="12" t="s">
        <v>51</v>
      </c>
      <c r="W1669" s="18"/>
      <c r="X1669" s="18"/>
      <c r="Y1669" s="12"/>
      <c r="Z1669" s="206"/>
      <c r="AA1669" s="15"/>
      <c r="AB1669" s="206"/>
      <c r="AC1669" s="12"/>
      <c r="AD1669" s="206"/>
      <c r="AE1669" s="12"/>
      <c r="AF1669" s="245"/>
      <c r="AG1669" s="12"/>
      <c r="AH1669" s="15">
        <f t="shared" si="286"/>
        <v>0</v>
      </c>
      <c r="AI1669" s="22">
        <f t="shared" si="287"/>
        <v>5100</v>
      </c>
      <c r="AJ1669" s="22">
        <f t="shared" si="288"/>
        <v>51000000</v>
      </c>
    </row>
    <row r="1670" spans="1:37" s="165" customFormat="1" hidden="1">
      <c r="A1670" s="165" t="s">
        <v>1433</v>
      </c>
      <c r="B1670" s="13">
        <v>43572</v>
      </c>
      <c r="C1670" s="13" t="s">
        <v>23</v>
      </c>
      <c r="D1670" s="258" t="s">
        <v>1432</v>
      </c>
      <c r="E1670" s="249" t="s">
        <v>1431</v>
      </c>
      <c r="F1670" s="165" t="str">
        <f t="shared" si="278"/>
        <v>CONC_20.22_125_NL2018</v>
      </c>
      <c r="G1670" s="13" t="s">
        <v>40</v>
      </c>
      <c r="H1670" s="12"/>
      <c r="I1670" s="12" t="s">
        <v>74</v>
      </c>
      <c r="J1670" s="31" t="s">
        <v>122</v>
      </c>
      <c r="K1670" s="15" t="s">
        <v>28</v>
      </c>
      <c r="L1670" s="15"/>
      <c r="M1670" s="16">
        <f t="shared" si="279"/>
        <v>72</v>
      </c>
      <c r="N1670" s="15">
        <v>9000</v>
      </c>
      <c r="O1670" s="15">
        <v>10600</v>
      </c>
      <c r="P1670" s="15">
        <f t="shared" si="276"/>
        <v>95400000</v>
      </c>
      <c r="Q1670" s="15" t="str">
        <f t="shared" si="289"/>
        <v/>
      </c>
      <c r="R1670" s="18" t="s">
        <v>29</v>
      </c>
      <c r="S1670" s="23">
        <v>43709</v>
      </c>
      <c r="T1670" s="20">
        <f>IFERROR(VLOOKUP(S1670,'Date Converter'!$A$4:$C$368,3,0),"")</f>
        <v>43737</v>
      </c>
      <c r="U1670" s="21">
        <f t="shared" si="277"/>
        <v>43737</v>
      </c>
      <c r="V1670" s="12" t="s">
        <v>51</v>
      </c>
      <c r="W1670" s="18"/>
      <c r="X1670" s="18"/>
      <c r="Y1670" s="12"/>
      <c r="Z1670" s="206"/>
      <c r="AA1670" s="15"/>
      <c r="AB1670" s="206"/>
      <c r="AC1670" s="12"/>
      <c r="AD1670" s="206"/>
      <c r="AE1670" s="12"/>
      <c r="AF1670" s="245"/>
      <c r="AG1670" s="12"/>
      <c r="AH1670" s="15">
        <f t="shared" si="286"/>
        <v>0</v>
      </c>
      <c r="AI1670" s="22">
        <f t="shared" si="287"/>
        <v>9000</v>
      </c>
      <c r="AJ1670" s="22">
        <f t="shared" si="288"/>
        <v>95400000</v>
      </c>
    </row>
    <row r="1671" spans="1:37" s="165" customFormat="1" hidden="1">
      <c r="A1671" s="165" t="s">
        <v>1433</v>
      </c>
      <c r="B1671" s="13">
        <v>43572</v>
      </c>
      <c r="C1671" s="13" t="s">
        <v>23</v>
      </c>
      <c r="D1671" s="258" t="s">
        <v>1432</v>
      </c>
      <c r="E1671" s="249" t="s">
        <v>1431</v>
      </c>
      <c r="F1671" s="165" t="str">
        <f t="shared" si="278"/>
        <v>CONC_24+_75_NL2018</v>
      </c>
      <c r="G1671" s="13" t="s">
        <v>40</v>
      </c>
      <c r="H1671" s="12"/>
      <c r="I1671" s="12" t="s">
        <v>185</v>
      </c>
      <c r="J1671" s="31" t="s">
        <v>392</v>
      </c>
      <c r="K1671" s="15" t="s">
        <v>28</v>
      </c>
      <c r="L1671" s="15"/>
      <c r="M1671" s="16">
        <f t="shared" si="279"/>
        <v>80</v>
      </c>
      <c r="N1671" s="15">
        <v>6000</v>
      </c>
      <c r="O1671" s="15">
        <v>15200</v>
      </c>
      <c r="P1671" s="15">
        <f t="shared" si="276"/>
        <v>91200000</v>
      </c>
      <c r="Q1671" s="15" t="str">
        <f t="shared" si="289"/>
        <v/>
      </c>
      <c r="R1671" s="18" t="s">
        <v>29</v>
      </c>
      <c r="S1671" s="23">
        <v>43709</v>
      </c>
      <c r="T1671" s="20">
        <f>IFERROR(VLOOKUP(S1671,'Date Converter'!$A$4:$C$368,3,0),"")</f>
        <v>43737</v>
      </c>
      <c r="U1671" s="21">
        <f t="shared" si="277"/>
        <v>43737</v>
      </c>
      <c r="V1671" s="12" t="s">
        <v>51</v>
      </c>
      <c r="W1671" s="18"/>
      <c r="X1671" s="18"/>
      <c r="Y1671" s="12"/>
      <c r="Z1671" s="206"/>
      <c r="AA1671" s="15"/>
      <c r="AB1671" s="206"/>
      <c r="AC1671" s="12"/>
      <c r="AD1671" s="206"/>
      <c r="AE1671" s="12"/>
      <c r="AF1671" s="245"/>
      <c r="AG1671" s="12"/>
      <c r="AH1671" s="15">
        <f t="shared" si="286"/>
        <v>0</v>
      </c>
      <c r="AI1671" s="22">
        <f t="shared" si="287"/>
        <v>6000</v>
      </c>
      <c r="AJ1671" s="22">
        <f t="shared" si="288"/>
        <v>91200000</v>
      </c>
    </row>
    <row r="1672" spans="1:37" s="165" customFormat="1" hidden="1">
      <c r="A1672" s="165" t="s">
        <v>1430</v>
      </c>
      <c r="B1672" s="13">
        <v>43572</v>
      </c>
      <c r="C1672" s="13" t="s">
        <v>23</v>
      </c>
      <c r="D1672" s="165" t="s">
        <v>1432</v>
      </c>
      <c r="E1672" s="13" t="s">
        <v>1431</v>
      </c>
      <c r="F1672" s="165" t="str">
        <f t="shared" si="278"/>
        <v>BACA_15.16_250_NL2018</v>
      </c>
      <c r="G1672" s="13" t="s">
        <v>67</v>
      </c>
      <c r="H1672" s="12"/>
      <c r="I1672" s="12" t="s">
        <v>77</v>
      </c>
      <c r="J1672" s="31" t="s">
        <v>1434</v>
      </c>
      <c r="K1672" s="15" t="s">
        <v>28</v>
      </c>
      <c r="L1672" s="15"/>
      <c r="M1672" s="16">
        <f t="shared" si="279"/>
        <v>14</v>
      </c>
      <c r="N1672" s="15">
        <v>3500</v>
      </c>
      <c r="O1672" s="15">
        <v>4500</v>
      </c>
      <c r="P1672" s="15">
        <f t="shared" si="276"/>
        <v>15750000</v>
      </c>
      <c r="Q1672" s="15" t="str">
        <f t="shared" si="289"/>
        <v>Done</v>
      </c>
      <c r="R1672" s="18" t="s">
        <v>44</v>
      </c>
      <c r="S1672" s="23">
        <v>43539</v>
      </c>
      <c r="T1672" s="20">
        <f>IFERROR(VLOOKUP(S1672,'Date Converter'!$A$4:$C$368,3,0),"")</f>
        <v>43574</v>
      </c>
      <c r="U1672" s="21">
        <f t="shared" si="277"/>
        <v>43574</v>
      </c>
      <c r="V1672" s="12" t="s">
        <v>57</v>
      </c>
      <c r="W1672" s="18"/>
      <c r="X1672" s="18"/>
      <c r="Y1672" s="12"/>
      <c r="Z1672" s="206">
        <v>43580</v>
      </c>
      <c r="AA1672" s="15">
        <v>3500</v>
      </c>
      <c r="AB1672" s="206"/>
      <c r="AC1672" s="12"/>
      <c r="AD1672" s="206"/>
      <c r="AE1672" s="12"/>
      <c r="AF1672" s="245"/>
      <c r="AG1672" s="12"/>
      <c r="AH1672" s="15">
        <f t="shared" si="286"/>
        <v>3500</v>
      </c>
      <c r="AI1672" s="22">
        <f t="shared" si="287"/>
        <v>0</v>
      </c>
      <c r="AJ1672" s="22">
        <f t="shared" si="288"/>
        <v>0</v>
      </c>
    </row>
    <row r="1673" spans="1:37" s="165" customFormat="1" hidden="1">
      <c r="A1673" s="165" t="s">
        <v>313</v>
      </c>
      <c r="B1673" s="13">
        <v>43536</v>
      </c>
      <c r="C1673" s="13" t="s">
        <v>23</v>
      </c>
      <c r="D1673" s="165" t="s">
        <v>172</v>
      </c>
      <c r="E1673" s="13" t="s">
        <v>173</v>
      </c>
      <c r="F1673" s="165" t="str">
        <f t="shared" si="278"/>
        <v>TEBA_14.16_300_NL2018</v>
      </c>
      <c r="G1673" s="13" t="s">
        <v>127</v>
      </c>
      <c r="H1673" s="12"/>
      <c r="I1673" s="12" t="s">
        <v>47</v>
      </c>
      <c r="J1673" s="31" t="s">
        <v>124</v>
      </c>
      <c r="K1673" s="15" t="s">
        <v>28</v>
      </c>
      <c r="L1673" s="15"/>
      <c r="M1673" s="16">
        <f t="shared" si="279"/>
        <v>7</v>
      </c>
      <c r="N1673" s="15">
        <v>2100</v>
      </c>
      <c r="O1673" s="15">
        <v>4100</v>
      </c>
      <c r="P1673" s="15">
        <f t="shared" si="276"/>
        <v>8610000</v>
      </c>
      <c r="Q1673" s="15" t="str">
        <f t="shared" si="289"/>
        <v>Done</v>
      </c>
      <c r="R1673" s="18" t="s">
        <v>44</v>
      </c>
      <c r="S1673" s="23">
        <v>43539</v>
      </c>
      <c r="T1673" s="20">
        <f>IFERROR(VLOOKUP(S1673,'Date Converter'!$A$4:$C$368,3,0),"")</f>
        <v>43574</v>
      </c>
      <c r="U1673" s="21">
        <f t="shared" si="277"/>
        <v>43574</v>
      </c>
      <c r="V1673" s="12" t="s">
        <v>57</v>
      </c>
      <c r="W1673" s="18" t="s">
        <v>143</v>
      </c>
      <c r="X1673" s="18">
        <v>43569</v>
      </c>
      <c r="Y1673" s="12"/>
      <c r="Z1673" s="206">
        <v>43578</v>
      </c>
      <c r="AA1673" s="15">
        <v>2100</v>
      </c>
      <c r="AB1673" s="206"/>
      <c r="AC1673" s="12"/>
      <c r="AD1673" s="206"/>
      <c r="AE1673" s="12"/>
      <c r="AF1673" s="245"/>
      <c r="AG1673" s="12"/>
      <c r="AH1673" s="15">
        <f t="shared" si="286"/>
        <v>2100</v>
      </c>
      <c r="AI1673" s="22">
        <f t="shared" si="287"/>
        <v>0</v>
      </c>
      <c r="AJ1673" s="22">
        <f t="shared" si="288"/>
        <v>0</v>
      </c>
    </row>
    <row r="1674" spans="1:37" s="165" customFormat="1" hidden="1">
      <c r="A1674" s="165" t="s">
        <v>313</v>
      </c>
      <c r="B1674" s="13">
        <v>43536</v>
      </c>
      <c r="C1674" s="13" t="s">
        <v>23</v>
      </c>
      <c r="D1674" s="165" t="s">
        <v>172</v>
      </c>
      <c r="E1674" s="13" t="s">
        <v>173</v>
      </c>
      <c r="F1674" s="198" t="str">
        <f t="shared" si="278"/>
        <v>TEBA_14.16_300_NL2018</v>
      </c>
      <c r="G1674" s="13" t="s">
        <v>127</v>
      </c>
      <c r="H1674" s="12"/>
      <c r="I1674" s="12" t="s">
        <v>47</v>
      </c>
      <c r="J1674" s="31" t="s">
        <v>124</v>
      </c>
      <c r="K1674" s="15" t="s">
        <v>28</v>
      </c>
      <c r="L1674" s="15"/>
      <c r="M1674" s="16">
        <f t="shared" si="279"/>
        <v>7</v>
      </c>
      <c r="N1674" s="15">
        <v>2100</v>
      </c>
      <c r="O1674" s="15">
        <v>4200</v>
      </c>
      <c r="P1674" s="15">
        <f t="shared" si="276"/>
        <v>8820000</v>
      </c>
      <c r="Q1674" s="15" t="str">
        <f t="shared" si="289"/>
        <v>Done</v>
      </c>
      <c r="R1674" s="18" t="s">
        <v>44</v>
      </c>
      <c r="S1674" s="23">
        <v>43539</v>
      </c>
      <c r="T1674" s="20">
        <f>IFERROR(VLOOKUP(S1674,'Date Converter'!$A$4:$C$368,3,0),"")</f>
        <v>43574</v>
      </c>
      <c r="U1674" s="21">
        <f t="shared" si="277"/>
        <v>43574</v>
      </c>
      <c r="V1674" s="12" t="s">
        <v>36</v>
      </c>
      <c r="W1674" s="18"/>
      <c r="X1674" s="18"/>
      <c r="Y1674" s="12"/>
      <c r="Z1674" s="206">
        <v>43589</v>
      </c>
      <c r="AA1674" s="15">
        <v>2100</v>
      </c>
      <c r="AB1674" s="206"/>
      <c r="AC1674" s="12"/>
      <c r="AD1674" s="206"/>
      <c r="AE1674" s="12"/>
      <c r="AF1674" s="245"/>
      <c r="AG1674" s="12"/>
      <c r="AH1674" s="15">
        <f t="shared" si="286"/>
        <v>2100</v>
      </c>
      <c r="AI1674" s="22">
        <f t="shared" si="287"/>
        <v>0</v>
      </c>
      <c r="AJ1674" s="22">
        <f t="shared" si="288"/>
        <v>0</v>
      </c>
    </row>
    <row r="1675" spans="1:37" s="165" customFormat="1" hidden="1">
      <c r="A1675" s="165" t="s">
        <v>313</v>
      </c>
      <c r="B1675" s="13">
        <v>43536</v>
      </c>
      <c r="C1675" s="13" t="s">
        <v>23</v>
      </c>
      <c r="D1675" s="165" t="s">
        <v>172</v>
      </c>
      <c r="E1675" s="119" t="s">
        <v>173</v>
      </c>
      <c r="F1675" s="165" t="str">
        <f t="shared" si="278"/>
        <v>TEBA_12.14_400_NL2018</v>
      </c>
      <c r="G1675" s="165" t="s">
        <v>127</v>
      </c>
      <c r="H1675" s="12"/>
      <c r="I1675" s="12" t="s">
        <v>113</v>
      </c>
      <c r="J1675" s="31" t="s">
        <v>128</v>
      </c>
      <c r="K1675" s="15" t="s">
        <v>28</v>
      </c>
      <c r="L1675" s="15"/>
      <c r="M1675" s="16">
        <f t="shared" si="279"/>
        <v>5</v>
      </c>
      <c r="N1675" s="15">
        <v>2000</v>
      </c>
      <c r="O1675" s="15">
        <v>2800</v>
      </c>
      <c r="P1675" s="15">
        <f t="shared" si="276"/>
        <v>5600000</v>
      </c>
      <c r="Q1675" s="15" t="str">
        <f t="shared" si="289"/>
        <v>Done</v>
      </c>
      <c r="R1675" s="18" t="s">
        <v>44</v>
      </c>
      <c r="S1675" s="23">
        <v>43572</v>
      </c>
      <c r="T1675" s="20">
        <f>IFERROR(VLOOKUP(S1675,'Date Converter'!$A$4:$C$368,3,0),"")</f>
        <v>43606</v>
      </c>
      <c r="U1675" s="21">
        <f t="shared" si="277"/>
        <v>43606</v>
      </c>
      <c r="V1675" s="12" t="s">
        <v>87</v>
      </c>
      <c r="W1675" s="18"/>
      <c r="X1675" s="18"/>
      <c r="Y1675" s="12"/>
      <c r="Z1675" s="206">
        <v>43609</v>
      </c>
      <c r="AA1675" s="15">
        <v>2000</v>
      </c>
      <c r="AB1675" s="206"/>
      <c r="AC1675" s="12"/>
      <c r="AD1675" s="206"/>
      <c r="AE1675" s="12"/>
      <c r="AF1675" s="245"/>
      <c r="AG1675" s="12"/>
      <c r="AH1675" s="15">
        <f t="shared" si="286"/>
        <v>2000</v>
      </c>
      <c r="AI1675" s="22">
        <f t="shared" si="287"/>
        <v>0</v>
      </c>
      <c r="AJ1675" s="22">
        <f t="shared" si="288"/>
        <v>0</v>
      </c>
    </row>
    <row r="1676" spans="1:37" s="165" customFormat="1" hidden="1">
      <c r="A1676" s="165" t="s">
        <v>313</v>
      </c>
      <c r="B1676" s="13">
        <v>43620</v>
      </c>
      <c r="C1676" s="13" t="s">
        <v>23</v>
      </c>
      <c r="D1676" s="165" t="s">
        <v>172</v>
      </c>
      <c r="E1676" s="119" t="s">
        <v>173</v>
      </c>
      <c r="F1676" s="165" t="str">
        <f t="shared" si="278"/>
        <v>PAVI_12.14_400_NL2018</v>
      </c>
      <c r="G1676" s="13" t="s">
        <v>138</v>
      </c>
      <c r="H1676" s="12"/>
      <c r="I1676" s="12" t="s">
        <v>113</v>
      </c>
      <c r="J1676" s="31" t="s">
        <v>128</v>
      </c>
      <c r="K1676" s="15" t="s">
        <v>28</v>
      </c>
      <c r="L1676" s="15"/>
      <c r="M1676" s="16">
        <f t="shared" si="279"/>
        <v>12</v>
      </c>
      <c r="N1676" s="15">
        <f>2000+2000+400+400</f>
        <v>4800</v>
      </c>
      <c r="O1676" s="15">
        <v>2900</v>
      </c>
      <c r="P1676" s="15">
        <f t="shared" si="276"/>
        <v>13920000</v>
      </c>
      <c r="Q1676" s="15" t="str">
        <f t="shared" si="289"/>
        <v>Done</v>
      </c>
      <c r="R1676" s="18" t="s">
        <v>44</v>
      </c>
      <c r="S1676" s="23">
        <v>43590</v>
      </c>
      <c r="T1676" s="20">
        <f>IFERROR(VLOOKUP(S1676,'Date Converter'!$A$4:$C$368,3,0),"")</f>
        <v>43623</v>
      </c>
      <c r="U1676" s="21">
        <f t="shared" si="277"/>
        <v>43623</v>
      </c>
      <c r="V1676" s="12"/>
      <c r="W1676" s="18"/>
      <c r="X1676" s="18"/>
      <c r="Y1676" s="12"/>
      <c r="Z1676" s="206">
        <v>43624</v>
      </c>
      <c r="AA1676" s="15">
        <v>2000</v>
      </c>
      <c r="AB1676" s="206">
        <v>43638</v>
      </c>
      <c r="AC1676" s="12" t="s">
        <v>2371</v>
      </c>
      <c r="AD1676" s="206"/>
      <c r="AE1676" s="12"/>
      <c r="AF1676" s="245"/>
      <c r="AG1676" s="12"/>
      <c r="AH1676" s="15">
        <f t="shared" si="286"/>
        <v>4800</v>
      </c>
      <c r="AI1676" s="22">
        <f t="shared" si="287"/>
        <v>0</v>
      </c>
      <c r="AJ1676" s="22">
        <f t="shared" si="288"/>
        <v>0</v>
      </c>
    </row>
    <row r="1677" spans="1:37" s="165" customFormat="1" hidden="1">
      <c r="A1677" s="165" t="s">
        <v>313</v>
      </c>
      <c r="B1677" s="13">
        <v>43610</v>
      </c>
      <c r="C1677" s="13" t="s">
        <v>23</v>
      </c>
      <c r="D1677" s="165" t="s">
        <v>172</v>
      </c>
      <c r="E1677" s="13" t="s">
        <v>173</v>
      </c>
      <c r="F1677" s="165" t="str">
        <f t="shared" si="278"/>
        <v>PAVI_12.14_400_NL2018</v>
      </c>
      <c r="G1677" s="13" t="s">
        <v>138</v>
      </c>
      <c r="H1677" s="12"/>
      <c r="I1677" s="12" t="s">
        <v>113</v>
      </c>
      <c r="J1677" s="31" t="s">
        <v>128</v>
      </c>
      <c r="K1677" s="15" t="s">
        <v>28</v>
      </c>
      <c r="L1677" s="15"/>
      <c r="M1677" s="16">
        <f t="shared" si="279"/>
        <v>0</v>
      </c>
      <c r="N1677" s="15">
        <f>2000-2000</f>
        <v>0</v>
      </c>
      <c r="O1677" s="15">
        <v>2900</v>
      </c>
      <c r="P1677" s="15">
        <f t="shared" si="276"/>
        <v>0</v>
      </c>
      <c r="Q1677" s="15" t="str">
        <f t="shared" si="289"/>
        <v>Canceled</v>
      </c>
      <c r="R1677" s="18" t="s">
        <v>71</v>
      </c>
      <c r="S1677" s="23">
        <v>43590</v>
      </c>
      <c r="T1677" s="20">
        <f>IFERROR(VLOOKUP(S1677,'Date Converter'!$A$4:$C$368,3,0),"")</f>
        <v>43623</v>
      </c>
      <c r="U1677" s="21">
        <f t="shared" si="277"/>
        <v>43623</v>
      </c>
      <c r="V1677" s="12"/>
      <c r="W1677" s="18"/>
      <c r="X1677" s="18"/>
      <c r="Y1677" s="12"/>
      <c r="Z1677" s="206"/>
      <c r="AA1677" s="15"/>
      <c r="AB1677" s="206"/>
      <c r="AC1677" s="12"/>
      <c r="AD1677" s="206"/>
      <c r="AE1677" s="12"/>
      <c r="AF1677" s="245"/>
      <c r="AG1677" s="12"/>
      <c r="AH1677" s="15">
        <f t="shared" si="286"/>
        <v>0</v>
      </c>
      <c r="AI1677" s="22">
        <f t="shared" si="287"/>
        <v>0</v>
      </c>
      <c r="AJ1677" s="22">
        <f t="shared" si="288"/>
        <v>0</v>
      </c>
    </row>
    <row r="1678" spans="1:37" s="165" customFormat="1" hidden="1">
      <c r="A1678" s="165" t="s">
        <v>313</v>
      </c>
      <c r="B1678" s="13">
        <v>43536</v>
      </c>
      <c r="C1678" s="13" t="s">
        <v>23</v>
      </c>
      <c r="D1678" s="165" t="s">
        <v>172</v>
      </c>
      <c r="E1678" s="13" t="s">
        <v>173</v>
      </c>
      <c r="F1678" s="165" t="str">
        <f t="shared" si="278"/>
        <v>PAVI_12.14_400_NL2018</v>
      </c>
      <c r="G1678" s="165" t="s">
        <v>138</v>
      </c>
      <c r="H1678" s="12"/>
      <c r="I1678" s="12" t="s">
        <v>113</v>
      </c>
      <c r="J1678" s="31" t="s">
        <v>128</v>
      </c>
      <c r="K1678" s="15" t="s">
        <v>28</v>
      </c>
      <c r="L1678" s="15"/>
      <c r="M1678" s="16">
        <f t="shared" si="279"/>
        <v>7</v>
      </c>
      <c r="N1678" s="15">
        <v>2800</v>
      </c>
      <c r="O1678" s="15">
        <v>2800</v>
      </c>
      <c r="P1678" s="15">
        <f t="shared" si="276"/>
        <v>7840000</v>
      </c>
      <c r="Q1678" s="15" t="str">
        <f t="shared" si="289"/>
        <v>Done</v>
      </c>
      <c r="R1678" s="18" t="s">
        <v>44</v>
      </c>
      <c r="S1678" s="23">
        <v>43539</v>
      </c>
      <c r="T1678" s="20">
        <f>IFERROR(VLOOKUP(S1678,'Date Converter'!$A$4:$C$368,3,0),"")</f>
        <v>43574</v>
      </c>
      <c r="U1678" s="21">
        <f t="shared" si="277"/>
        <v>43574</v>
      </c>
      <c r="V1678" s="12" t="s">
        <v>175</v>
      </c>
      <c r="W1678" s="18" t="s">
        <v>132</v>
      </c>
      <c r="X1678" s="18">
        <v>43569</v>
      </c>
      <c r="Y1678" s="12"/>
      <c r="Z1678" s="206">
        <v>43578</v>
      </c>
      <c r="AA1678" s="15">
        <v>2800</v>
      </c>
      <c r="AB1678" s="206"/>
      <c r="AC1678" s="12"/>
      <c r="AD1678" s="206"/>
      <c r="AE1678" s="12"/>
      <c r="AF1678" s="245"/>
      <c r="AG1678" s="12"/>
      <c r="AH1678" s="15">
        <f t="shared" si="286"/>
        <v>2800</v>
      </c>
      <c r="AI1678" s="22">
        <f t="shared" si="287"/>
        <v>0</v>
      </c>
      <c r="AJ1678" s="22">
        <f t="shared" si="288"/>
        <v>0</v>
      </c>
    </row>
    <row r="1679" spans="1:37" s="165" customFormat="1" hidden="1">
      <c r="A1679" s="165" t="s">
        <v>313</v>
      </c>
      <c r="B1679" s="13">
        <v>43536</v>
      </c>
      <c r="C1679" s="13" t="s">
        <v>23</v>
      </c>
      <c r="D1679" s="165" t="s">
        <v>172</v>
      </c>
      <c r="E1679" s="13" t="s">
        <v>173</v>
      </c>
      <c r="F1679" s="198" t="str">
        <f t="shared" si="278"/>
        <v>PAVI_12.14_400_NL2018</v>
      </c>
      <c r="G1679" s="13" t="s">
        <v>138</v>
      </c>
      <c r="H1679" s="12"/>
      <c r="I1679" s="12" t="s">
        <v>113</v>
      </c>
      <c r="J1679" s="31" t="s">
        <v>128</v>
      </c>
      <c r="K1679" s="15" t="s">
        <v>28</v>
      </c>
      <c r="L1679" s="15"/>
      <c r="M1679" s="16">
        <f t="shared" si="279"/>
        <v>5</v>
      </c>
      <c r="N1679" s="15">
        <v>2000</v>
      </c>
      <c r="O1679" s="15">
        <v>2900</v>
      </c>
      <c r="P1679" s="15">
        <f t="shared" si="276"/>
        <v>5800000</v>
      </c>
      <c r="Q1679" s="15" t="str">
        <f t="shared" si="289"/>
        <v>Done</v>
      </c>
      <c r="R1679" s="18" t="s">
        <v>44</v>
      </c>
      <c r="S1679" s="23">
        <v>43539</v>
      </c>
      <c r="T1679" s="20">
        <f>IFERROR(VLOOKUP(S1679,'Date Converter'!$A$4:$C$368,3,0),"")</f>
        <v>43574</v>
      </c>
      <c r="U1679" s="21">
        <f t="shared" si="277"/>
        <v>43574</v>
      </c>
      <c r="V1679" s="12" t="s">
        <v>36</v>
      </c>
      <c r="W1679" s="18"/>
      <c r="X1679" s="18"/>
      <c r="Y1679" s="12"/>
      <c r="Z1679" s="206">
        <v>43589</v>
      </c>
      <c r="AA1679" s="15">
        <v>2000</v>
      </c>
      <c r="AB1679" s="206"/>
      <c r="AC1679" s="12"/>
      <c r="AD1679" s="206"/>
      <c r="AE1679" s="12"/>
      <c r="AF1679" s="245"/>
      <c r="AG1679" s="12"/>
      <c r="AH1679" s="15">
        <f t="shared" si="286"/>
        <v>2000</v>
      </c>
      <c r="AI1679" s="22">
        <f t="shared" si="287"/>
        <v>0</v>
      </c>
      <c r="AJ1679" s="22">
        <f t="shared" si="288"/>
        <v>0</v>
      </c>
    </row>
    <row r="1680" spans="1:37" s="165" customFormat="1" hidden="1">
      <c r="A1680" s="165" t="s">
        <v>313</v>
      </c>
      <c r="B1680" s="13">
        <v>43589</v>
      </c>
      <c r="C1680" s="13" t="s">
        <v>23</v>
      </c>
      <c r="D1680" s="165" t="s">
        <v>172</v>
      </c>
      <c r="E1680" s="119" t="s">
        <v>173</v>
      </c>
      <c r="F1680" s="165" t="str">
        <f t="shared" si="278"/>
        <v>PAVI_12.14_400_NL2018</v>
      </c>
      <c r="G1680" s="13" t="s">
        <v>138</v>
      </c>
      <c r="H1680" s="12"/>
      <c r="I1680" s="12" t="s">
        <v>113</v>
      </c>
      <c r="J1680" s="31" t="s">
        <v>128</v>
      </c>
      <c r="K1680" s="15" t="s">
        <v>28</v>
      </c>
      <c r="L1680" s="15"/>
      <c r="M1680" s="16">
        <f t="shared" si="279"/>
        <v>10</v>
      </c>
      <c r="N1680" s="15">
        <v>4000</v>
      </c>
      <c r="O1680" s="15">
        <v>2900</v>
      </c>
      <c r="P1680" s="15">
        <f t="shared" si="276"/>
        <v>11600000</v>
      </c>
      <c r="Q1680" s="15" t="str">
        <f t="shared" si="289"/>
        <v>Done</v>
      </c>
      <c r="R1680" s="18" t="s">
        <v>44</v>
      </c>
      <c r="S1680" s="23">
        <v>43572</v>
      </c>
      <c r="T1680" s="20">
        <f>IFERROR(VLOOKUP(S1680,'Date Converter'!$A$4:$C$368,3,0),"")</f>
        <v>43606</v>
      </c>
      <c r="U1680" s="21">
        <f t="shared" si="277"/>
        <v>43606</v>
      </c>
      <c r="V1680" s="12" t="s">
        <v>87</v>
      </c>
      <c r="W1680" s="18"/>
      <c r="X1680" s="18"/>
      <c r="Y1680" s="12"/>
      <c r="Z1680" s="206">
        <v>43609</v>
      </c>
      <c r="AA1680" s="15">
        <v>4000</v>
      </c>
      <c r="AB1680" s="206"/>
      <c r="AC1680" s="12"/>
      <c r="AD1680" s="206"/>
      <c r="AE1680" s="12"/>
      <c r="AF1680" s="245"/>
      <c r="AG1680" s="12"/>
      <c r="AH1680" s="15">
        <f t="shared" si="286"/>
        <v>4000</v>
      </c>
      <c r="AI1680" s="22">
        <f t="shared" si="287"/>
        <v>0</v>
      </c>
      <c r="AJ1680" s="22">
        <f t="shared" si="288"/>
        <v>0</v>
      </c>
    </row>
    <row r="1681" spans="1:38" s="165" customFormat="1" hidden="1">
      <c r="A1681" s="165" t="s">
        <v>313</v>
      </c>
      <c r="B1681" s="13">
        <v>43624</v>
      </c>
      <c r="C1681" s="13" t="s">
        <v>23</v>
      </c>
      <c r="D1681" s="165" t="s">
        <v>172</v>
      </c>
      <c r="E1681" s="119" t="s">
        <v>173</v>
      </c>
      <c r="F1681" s="165" t="str">
        <f t="shared" si="278"/>
        <v>PAVI_12.14_400_NL2018</v>
      </c>
      <c r="G1681" s="13" t="s">
        <v>138</v>
      </c>
      <c r="H1681" s="12"/>
      <c r="I1681" s="12" t="s">
        <v>113</v>
      </c>
      <c r="J1681" s="31" t="s">
        <v>128</v>
      </c>
      <c r="K1681" s="15" t="s">
        <v>28</v>
      </c>
      <c r="L1681" s="15"/>
      <c r="M1681" s="16">
        <f t="shared" si="279"/>
        <v>15</v>
      </c>
      <c r="N1681" s="15">
        <v>6000</v>
      </c>
      <c r="O1681" s="15">
        <v>3000</v>
      </c>
      <c r="P1681" s="15">
        <f t="shared" si="276"/>
        <v>18000000</v>
      </c>
      <c r="Q1681" s="15" t="str">
        <f t="shared" si="289"/>
        <v/>
      </c>
      <c r="R1681" s="18" t="s">
        <v>31</v>
      </c>
      <c r="S1681" s="23">
        <v>43631</v>
      </c>
      <c r="T1681" s="20">
        <f>IFERROR(VLOOKUP(S1681,'Date Converter'!$A$4:$C$368,3,0),"")</f>
        <v>43663</v>
      </c>
      <c r="U1681" s="21">
        <f t="shared" si="277"/>
        <v>43663</v>
      </c>
      <c r="V1681" s="12"/>
      <c r="W1681" s="18"/>
      <c r="X1681" s="18"/>
      <c r="Y1681" s="12"/>
      <c r="Z1681" s="206"/>
      <c r="AA1681" s="15"/>
      <c r="AB1681" s="206"/>
      <c r="AC1681" s="12"/>
      <c r="AD1681" s="206"/>
      <c r="AE1681" s="12"/>
      <c r="AF1681" s="245"/>
      <c r="AG1681" s="12"/>
      <c r="AH1681" s="15">
        <f t="shared" si="286"/>
        <v>0</v>
      </c>
      <c r="AI1681" s="22">
        <f t="shared" si="287"/>
        <v>6000</v>
      </c>
      <c r="AJ1681" s="22">
        <f t="shared" si="288"/>
        <v>18000000</v>
      </c>
    </row>
    <row r="1682" spans="1:38" s="165" customFormat="1" hidden="1">
      <c r="A1682" s="165" t="s">
        <v>313</v>
      </c>
      <c r="B1682" s="13">
        <v>43536</v>
      </c>
      <c r="C1682" s="13" t="s">
        <v>23</v>
      </c>
      <c r="D1682" s="165" t="s">
        <v>172</v>
      </c>
      <c r="E1682" s="13" t="s">
        <v>173</v>
      </c>
      <c r="F1682" s="165" t="str">
        <f t="shared" si="278"/>
        <v>NELL_12.14_400_NL2018</v>
      </c>
      <c r="G1682" s="165" t="s">
        <v>131</v>
      </c>
      <c r="H1682" s="12"/>
      <c r="I1682" s="12" t="s">
        <v>113</v>
      </c>
      <c r="J1682" s="31" t="s">
        <v>128</v>
      </c>
      <c r="K1682" s="15" t="s">
        <v>28</v>
      </c>
      <c r="L1682" s="15"/>
      <c r="M1682" s="16">
        <f t="shared" si="279"/>
        <v>6</v>
      </c>
      <c r="N1682" s="15">
        <v>2400</v>
      </c>
      <c r="O1682" s="15">
        <v>3000</v>
      </c>
      <c r="P1682" s="15">
        <f t="shared" si="276"/>
        <v>7200000</v>
      </c>
      <c r="Q1682" s="15" t="str">
        <f t="shared" si="289"/>
        <v>Done</v>
      </c>
      <c r="R1682" s="18" t="s">
        <v>44</v>
      </c>
      <c r="S1682" s="23">
        <v>43539</v>
      </c>
      <c r="T1682" s="20">
        <f>IFERROR(VLOOKUP(S1682,'Date Converter'!$A$4:$C$368,3,0),"")</f>
        <v>43574</v>
      </c>
      <c r="U1682" s="21">
        <f t="shared" si="277"/>
        <v>43574</v>
      </c>
      <c r="V1682" s="12" t="s">
        <v>175</v>
      </c>
      <c r="W1682" s="18" t="s">
        <v>132</v>
      </c>
      <c r="X1682" s="18">
        <v>43569</v>
      </c>
      <c r="Y1682" s="12"/>
      <c r="Z1682" s="206">
        <v>43578</v>
      </c>
      <c r="AA1682" s="15">
        <v>2400</v>
      </c>
      <c r="AB1682" s="206"/>
      <c r="AC1682" s="12"/>
      <c r="AD1682" s="206"/>
      <c r="AE1682" s="12"/>
      <c r="AF1682" s="245"/>
      <c r="AG1682" s="12"/>
      <c r="AH1682" s="15">
        <f t="shared" si="286"/>
        <v>2400</v>
      </c>
      <c r="AI1682" s="22">
        <f t="shared" si="287"/>
        <v>0</v>
      </c>
      <c r="AJ1682" s="22">
        <f t="shared" si="288"/>
        <v>0</v>
      </c>
    </row>
    <row r="1683" spans="1:38" s="165" customFormat="1" hidden="1">
      <c r="A1683" s="165" t="s">
        <v>313</v>
      </c>
      <c r="B1683" s="13">
        <v>43536</v>
      </c>
      <c r="C1683" s="13" t="s">
        <v>23</v>
      </c>
      <c r="D1683" s="165" t="s">
        <v>172</v>
      </c>
      <c r="E1683" s="119" t="s">
        <v>173</v>
      </c>
      <c r="F1683" s="198" t="str">
        <f t="shared" si="278"/>
        <v>NELL_12.14_400_NL2018</v>
      </c>
      <c r="G1683" s="165" t="s">
        <v>131</v>
      </c>
      <c r="H1683" s="12"/>
      <c r="I1683" s="12" t="s">
        <v>113</v>
      </c>
      <c r="J1683" s="31" t="s">
        <v>128</v>
      </c>
      <c r="K1683" s="15" t="s">
        <v>28</v>
      </c>
      <c r="L1683" s="15"/>
      <c r="M1683" s="16">
        <f t="shared" si="279"/>
        <v>5</v>
      </c>
      <c r="N1683" s="15">
        <v>2000</v>
      </c>
      <c r="O1683" s="15">
        <v>3200</v>
      </c>
      <c r="P1683" s="15">
        <f t="shared" si="276"/>
        <v>6400000</v>
      </c>
      <c r="Q1683" s="15" t="str">
        <f t="shared" si="289"/>
        <v>Done</v>
      </c>
      <c r="R1683" s="18" t="s">
        <v>44</v>
      </c>
      <c r="S1683" s="23">
        <v>43590</v>
      </c>
      <c r="T1683" s="20">
        <f>IFERROR(VLOOKUP(S1683,'Date Converter'!$A$4:$C$368,3,0),"")</f>
        <v>43623</v>
      </c>
      <c r="U1683" s="21">
        <f t="shared" si="277"/>
        <v>43623</v>
      </c>
      <c r="V1683" s="12" t="s">
        <v>88</v>
      </c>
      <c r="W1683" s="18"/>
      <c r="X1683" s="18"/>
      <c r="Y1683" s="12"/>
      <c r="Z1683" s="206">
        <v>43624</v>
      </c>
      <c r="AA1683" s="15">
        <v>2000</v>
      </c>
      <c r="AB1683" s="206"/>
      <c r="AC1683" s="12"/>
      <c r="AD1683" s="206"/>
      <c r="AE1683" s="12"/>
      <c r="AF1683" s="245"/>
      <c r="AG1683" s="12"/>
      <c r="AH1683" s="15">
        <f t="shared" si="286"/>
        <v>2000</v>
      </c>
      <c r="AI1683" s="22">
        <f t="shared" si="287"/>
        <v>0</v>
      </c>
      <c r="AJ1683" s="22">
        <f t="shared" si="288"/>
        <v>0</v>
      </c>
    </row>
    <row r="1684" spans="1:38" s="165" customFormat="1" hidden="1">
      <c r="A1684" s="165" t="s">
        <v>313</v>
      </c>
      <c r="B1684" s="13">
        <v>43536</v>
      </c>
      <c r="C1684" s="13" t="s">
        <v>23</v>
      </c>
      <c r="D1684" s="165" t="s">
        <v>172</v>
      </c>
      <c r="E1684" s="119" t="s">
        <v>173</v>
      </c>
      <c r="F1684" s="165" t="str">
        <f t="shared" si="278"/>
        <v>NELL_12.14_400_NL2018</v>
      </c>
      <c r="G1684" s="165" t="s">
        <v>131</v>
      </c>
      <c r="H1684" s="12"/>
      <c r="I1684" s="12" t="s">
        <v>113</v>
      </c>
      <c r="J1684" s="31" t="s">
        <v>128</v>
      </c>
      <c r="K1684" s="15" t="s">
        <v>28</v>
      </c>
      <c r="L1684" s="15"/>
      <c r="M1684" s="16">
        <f t="shared" si="279"/>
        <v>5</v>
      </c>
      <c r="N1684" s="15">
        <v>2000</v>
      </c>
      <c r="O1684" s="15">
        <v>3300</v>
      </c>
      <c r="P1684" s="15">
        <f t="shared" si="276"/>
        <v>6600000</v>
      </c>
      <c r="Q1684" s="15" t="str">
        <f t="shared" si="289"/>
        <v>Done</v>
      </c>
      <c r="R1684" s="18" t="s">
        <v>44</v>
      </c>
      <c r="S1684" s="23">
        <v>43590</v>
      </c>
      <c r="T1684" s="20">
        <f>IFERROR(VLOOKUP(S1684,'Date Converter'!$A$4:$C$368,3,0),"")</f>
        <v>43623</v>
      </c>
      <c r="U1684" s="21">
        <f t="shared" si="277"/>
        <v>43623</v>
      </c>
      <c r="V1684" s="12" t="s">
        <v>174</v>
      </c>
      <c r="W1684" s="18"/>
      <c r="X1684" s="18"/>
      <c r="Y1684" s="12"/>
      <c r="Z1684" s="206">
        <v>43638</v>
      </c>
      <c r="AA1684" s="15">
        <v>2000</v>
      </c>
      <c r="AB1684" s="206"/>
      <c r="AC1684" s="12"/>
      <c r="AD1684" s="206"/>
      <c r="AE1684" s="12"/>
      <c r="AF1684" s="245"/>
      <c r="AG1684" s="12"/>
      <c r="AH1684" s="15">
        <f t="shared" si="286"/>
        <v>2000</v>
      </c>
      <c r="AI1684" s="22">
        <f t="shared" si="287"/>
        <v>0</v>
      </c>
      <c r="AJ1684" s="22">
        <f t="shared" si="288"/>
        <v>0</v>
      </c>
    </row>
    <row r="1685" spans="1:38" s="165" customFormat="1" hidden="1">
      <c r="A1685" s="165" t="s">
        <v>313</v>
      </c>
      <c r="B1685" s="13">
        <v>43536</v>
      </c>
      <c r="C1685" s="13" t="s">
        <v>23</v>
      </c>
      <c r="D1685" s="165" t="s">
        <v>172</v>
      </c>
      <c r="E1685" s="119" t="s">
        <v>173</v>
      </c>
      <c r="F1685" s="165" t="str">
        <f t="shared" si="278"/>
        <v>NASH_14.16_300_NL2018</v>
      </c>
      <c r="G1685" s="13" t="s">
        <v>123</v>
      </c>
      <c r="H1685" s="12"/>
      <c r="I1685" s="12" t="s">
        <v>47</v>
      </c>
      <c r="J1685" s="31" t="s">
        <v>124</v>
      </c>
      <c r="K1685" s="15" t="s">
        <v>28</v>
      </c>
      <c r="L1685" s="15"/>
      <c r="M1685" s="16">
        <f t="shared" si="279"/>
        <v>21</v>
      </c>
      <c r="N1685" s="15">
        <f>6000+300</f>
        <v>6300</v>
      </c>
      <c r="O1685" s="15">
        <v>3900</v>
      </c>
      <c r="P1685" s="15">
        <f t="shared" si="276"/>
        <v>24570000</v>
      </c>
      <c r="Q1685" s="15" t="str">
        <f t="shared" si="289"/>
        <v>Done</v>
      </c>
      <c r="R1685" s="18" t="s">
        <v>44</v>
      </c>
      <c r="S1685" s="23">
        <v>43572</v>
      </c>
      <c r="T1685" s="20">
        <f>IFERROR(VLOOKUP(S1685,'Date Converter'!$A$4:$C$368,3,0),"")</f>
        <v>43606</v>
      </c>
      <c r="U1685" s="21">
        <f t="shared" si="277"/>
        <v>43606</v>
      </c>
      <c r="V1685" s="12" t="s">
        <v>87</v>
      </c>
      <c r="W1685" s="18"/>
      <c r="X1685" s="18"/>
      <c r="Y1685" s="12"/>
      <c r="Z1685" s="206">
        <v>43609</v>
      </c>
      <c r="AA1685" s="15">
        <v>3000</v>
      </c>
      <c r="AB1685" s="206">
        <v>43624</v>
      </c>
      <c r="AC1685" s="12" t="s">
        <v>1866</v>
      </c>
      <c r="AD1685" s="206"/>
      <c r="AE1685" s="12"/>
      <c r="AF1685" s="245"/>
      <c r="AG1685" s="12"/>
      <c r="AH1685" s="15">
        <f t="shared" si="286"/>
        <v>6300</v>
      </c>
      <c r="AI1685" s="22">
        <f t="shared" si="287"/>
        <v>0</v>
      </c>
      <c r="AJ1685" s="22">
        <f t="shared" si="288"/>
        <v>0</v>
      </c>
    </row>
    <row r="1686" spans="1:38" s="165" customFormat="1" hidden="1">
      <c r="A1686" s="165" t="s">
        <v>313</v>
      </c>
      <c r="B1686" s="13">
        <v>43536</v>
      </c>
      <c r="C1686" s="13" t="s">
        <v>23</v>
      </c>
      <c r="D1686" s="165" t="s">
        <v>172</v>
      </c>
      <c r="E1686" s="119" t="s">
        <v>173</v>
      </c>
      <c r="F1686" s="198" t="str">
        <f t="shared" si="278"/>
        <v>NASH_14.16_300_NL2018</v>
      </c>
      <c r="G1686" s="13" t="s">
        <v>123</v>
      </c>
      <c r="H1686" s="12"/>
      <c r="I1686" s="12" t="s">
        <v>47</v>
      </c>
      <c r="J1686" s="31" t="s">
        <v>124</v>
      </c>
      <c r="K1686" s="15" t="s">
        <v>28</v>
      </c>
      <c r="L1686" s="15"/>
      <c r="M1686" s="16">
        <f t="shared" si="279"/>
        <v>10</v>
      </c>
      <c r="N1686" s="15">
        <f>3000</f>
        <v>3000</v>
      </c>
      <c r="O1686" s="15">
        <v>4000</v>
      </c>
      <c r="P1686" s="15">
        <f t="shared" si="276"/>
        <v>12000000</v>
      </c>
      <c r="Q1686" s="15" t="str">
        <f t="shared" si="289"/>
        <v>Done</v>
      </c>
      <c r="R1686" s="18" t="s">
        <v>44</v>
      </c>
      <c r="S1686" s="23">
        <v>43590</v>
      </c>
      <c r="T1686" s="20">
        <f>IFERROR(VLOOKUP(S1686,'Date Converter'!$A$4:$C$368,3,0),"")</f>
        <v>43623</v>
      </c>
      <c r="U1686" s="21">
        <f t="shared" si="277"/>
        <v>43623</v>
      </c>
      <c r="V1686" s="12" t="s">
        <v>88</v>
      </c>
      <c r="W1686" s="18"/>
      <c r="X1686" s="18"/>
      <c r="Y1686" s="12"/>
      <c r="Z1686" s="206">
        <v>43624</v>
      </c>
      <c r="AA1686" s="15">
        <v>3000</v>
      </c>
      <c r="AB1686" s="206"/>
      <c r="AC1686" s="12"/>
      <c r="AD1686" s="206"/>
      <c r="AE1686" s="12"/>
      <c r="AF1686" s="245"/>
      <c r="AG1686" s="12"/>
      <c r="AH1686" s="15">
        <f t="shared" si="286"/>
        <v>3000</v>
      </c>
      <c r="AI1686" s="22">
        <f t="shared" si="287"/>
        <v>0</v>
      </c>
      <c r="AJ1686" s="22">
        <f t="shared" si="288"/>
        <v>0</v>
      </c>
    </row>
    <row r="1687" spans="1:38" s="165" customFormat="1" hidden="1">
      <c r="A1687" s="165" t="s">
        <v>313</v>
      </c>
      <c r="B1687" s="13">
        <v>43536</v>
      </c>
      <c r="C1687" s="13" t="s">
        <v>23</v>
      </c>
      <c r="D1687" s="165" t="s">
        <v>172</v>
      </c>
      <c r="E1687" s="119" t="s">
        <v>173</v>
      </c>
      <c r="F1687" s="165" t="str">
        <f t="shared" si="278"/>
        <v>NASH_14.16_300_NL2018</v>
      </c>
      <c r="G1687" s="13" t="s">
        <v>123</v>
      </c>
      <c r="H1687" s="12"/>
      <c r="I1687" s="12" t="s">
        <v>47</v>
      </c>
      <c r="J1687" s="31" t="s">
        <v>124</v>
      </c>
      <c r="K1687" s="15" t="s">
        <v>28</v>
      </c>
      <c r="L1687" s="15"/>
      <c r="M1687" s="16">
        <f t="shared" si="279"/>
        <v>2</v>
      </c>
      <c r="N1687" s="15">
        <f>3000-2100-300</f>
        <v>600</v>
      </c>
      <c r="O1687" s="15">
        <v>4100</v>
      </c>
      <c r="P1687" s="15">
        <f t="shared" si="276"/>
        <v>2460000</v>
      </c>
      <c r="Q1687" s="15" t="str">
        <f t="shared" si="289"/>
        <v>Done</v>
      </c>
      <c r="R1687" s="18" t="s">
        <v>44</v>
      </c>
      <c r="S1687" s="23">
        <v>43590</v>
      </c>
      <c r="T1687" s="20">
        <f>IFERROR(VLOOKUP(S1687,'Date Converter'!$A$4:$C$368,3,0),"")</f>
        <v>43623</v>
      </c>
      <c r="U1687" s="21">
        <f t="shared" si="277"/>
        <v>43623</v>
      </c>
      <c r="V1687" s="12" t="s">
        <v>174</v>
      </c>
      <c r="W1687" s="18"/>
      <c r="X1687" s="18"/>
      <c r="Y1687" s="12"/>
      <c r="Z1687" s="206">
        <v>43638</v>
      </c>
      <c r="AA1687" s="15">
        <v>600</v>
      </c>
      <c r="AB1687" s="206"/>
      <c r="AC1687" s="12"/>
      <c r="AD1687" s="206"/>
      <c r="AE1687" s="12"/>
      <c r="AF1687" s="245"/>
      <c r="AG1687" s="12"/>
      <c r="AH1687" s="15">
        <f t="shared" si="286"/>
        <v>600</v>
      </c>
      <c r="AI1687" s="22">
        <f t="shared" si="287"/>
        <v>0</v>
      </c>
      <c r="AJ1687" s="22">
        <f t="shared" si="288"/>
        <v>0</v>
      </c>
    </row>
    <row r="1688" spans="1:38" s="165" customFormat="1" hidden="1">
      <c r="A1688" s="165" t="s">
        <v>2372</v>
      </c>
      <c r="B1688" s="13">
        <v>43638</v>
      </c>
      <c r="C1688" s="13" t="s">
        <v>23</v>
      </c>
      <c r="D1688" s="258" t="s">
        <v>172</v>
      </c>
      <c r="E1688" s="119" t="s">
        <v>173</v>
      </c>
      <c r="F1688" s="165" t="str">
        <f t="shared" si="278"/>
        <v>NASH_14.16_300_NL2018</v>
      </c>
      <c r="G1688" s="13" t="s">
        <v>123</v>
      </c>
      <c r="H1688" s="12"/>
      <c r="I1688" s="12" t="s">
        <v>47</v>
      </c>
      <c r="J1688" s="31" t="s">
        <v>124</v>
      </c>
      <c r="K1688" s="15" t="s">
        <v>28</v>
      </c>
      <c r="L1688" s="15"/>
      <c r="M1688" s="16">
        <f t="shared" si="279"/>
        <v>24</v>
      </c>
      <c r="N1688" s="15">
        <v>7200</v>
      </c>
      <c r="O1688" s="15">
        <v>4200</v>
      </c>
      <c r="P1688" s="15">
        <f t="shared" si="276"/>
        <v>30240000</v>
      </c>
      <c r="Q1688" s="15" t="str">
        <f t="shared" si="289"/>
        <v/>
      </c>
      <c r="R1688" s="18" t="s">
        <v>29</v>
      </c>
      <c r="S1688" s="23">
        <v>43709</v>
      </c>
      <c r="T1688" s="20">
        <f>IFERROR(VLOOKUP(S1688,'Date Converter'!$A$4:$C$368,3,0),"")</f>
        <v>43737</v>
      </c>
      <c r="U1688" s="21">
        <f t="shared" si="277"/>
        <v>43737</v>
      </c>
      <c r="V1688" s="12"/>
      <c r="W1688" s="18"/>
      <c r="X1688" s="18"/>
      <c r="Y1688" s="12"/>
      <c r="Z1688" s="206"/>
      <c r="AA1688" s="15"/>
      <c r="AB1688" s="206"/>
      <c r="AC1688" s="12"/>
      <c r="AD1688" s="206"/>
      <c r="AE1688" s="12"/>
      <c r="AF1688" s="245"/>
      <c r="AG1688" s="12"/>
      <c r="AH1688" s="15">
        <f t="shared" si="286"/>
        <v>0</v>
      </c>
      <c r="AI1688" s="22">
        <f t="shared" si="287"/>
        <v>7200</v>
      </c>
      <c r="AJ1688" s="22">
        <f t="shared" si="288"/>
        <v>30240000</v>
      </c>
    </row>
    <row r="1689" spans="1:38" s="165" customFormat="1" hidden="1">
      <c r="A1689" s="165" t="s">
        <v>313</v>
      </c>
      <c r="B1689" s="13">
        <v>43624</v>
      </c>
      <c r="C1689" s="13" t="s">
        <v>23</v>
      </c>
      <c r="D1689" s="165" t="s">
        <v>172</v>
      </c>
      <c r="E1689" s="119" t="s">
        <v>173</v>
      </c>
      <c r="F1689" s="165" t="str">
        <f t="shared" si="278"/>
        <v>GENE_12.14_400_NL2018</v>
      </c>
      <c r="G1689" s="165" t="s">
        <v>1855</v>
      </c>
      <c r="H1689" s="12"/>
      <c r="I1689" s="12" t="s">
        <v>113</v>
      </c>
      <c r="J1689" s="31" t="s">
        <v>128</v>
      </c>
      <c r="K1689" s="15" t="s">
        <v>28</v>
      </c>
      <c r="L1689" s="15"/>
      <c r="M1689" s="16">
        <f t="shared" si="279"/>
        <v>5</v>
      </c>
      <c r="N1689" s="15">
        <v>2000</v>
      </c>
      <c r="O1689" s="15">
        <v>3200</v>
      </c>
      <c r="P1689" s="15">
        <f t="shared" si="276"/>
        <v>6400000</v>
      </c>
      <c r="Q1689" s="15" t="str">
        <f t="shared" si="289"/>
        <v/>
      </c>
      <c r="R1689" s="18" t="s">
        <v>31</v>
      </c>
      <c r="S1689" s="23">
        <v>43631</v>
      </c>
      <c r="T1689" s="20">
        <f>IFERROR(VLOOKUP(S1689,'Date Converter'!$A$4:$C$368,3,0),"")</f>
        <v>43663</v>
      </c>
      <c r="U1689" s="21">
        <f t="shared" si="277"/>
        <v>43663</v>
      </c>
      <c r="V1689" s="12"/>
      <c r="W1689" s="18"/>
      <c r="X1689" s="18"/>
      <c r="Y1689" s="12"/>
      <c r="Z1689" s="206"/>
      <c r="AA1689" s="15"/>
      <c r="AB1689" s="206"/>
      <c r="AC1689" s="12"/>
      <c r="AD1689" s="206"/>
      <c r="AE1689" s="12"/>
      <c r="AF1689" s="245"/>
      <c r="AG1689" s="12"/>
      <c r="AH1689" s="15">
        <f t="shared" si="286"/>
        <v>0</v>
      </c>
      <c r="AI1689" s="22">
        <f t="shared" si="287"/>
        <v>2000</v>
      </c>
      <c r="AJ1689" s="22">
        <f t="shared" si="288"/>
        <v>6400000</v>
      </c>
    </row>
    <row r="1690" spans="1:38" s="165" customFormat="1" hidden="1">
      <c r="A1690" s="165" t="s">
        <v>313</v>
      </c>
      <c r="B1690" s="13">
        <v>43614</v>
      </c>
      <c r="C1690" s="13" t="s">
        <v>23</v>
      </c>
      <c r="D1690" s="165" t="s">
        <v>172</v>
      </c>
      <c r="E1690" s="119" t="s">
        <v>173</v>
      </c>
      <c r="F1690" s="165" t="str">
        <f t="shared" si="278"/>
        <v>AMAT_14.16_300_NL2018</v>
      </c>
      <c r="G1690" s="13" t="s">
        <v>112</v>
      </c>
      <c r="H1690" s="12"/>
      <c r="I1690" s="12" t="s">
        <v>47</v>
      </c>
      <c r="J1690" s="31" t="s">
        <v>124</v>
      </c>
      <c r="K1690" s="15" t="s">
        <v>28</v>
      </c>
      <c r="L1690" s="15"/>
      <c r="M1690" s="16">
        <f t="shared" si="279"/>
        <v>4</v>
      </c>
      <c r="N1690" s="15">
        <v>1200</v>
      </c>
      <c r="O1690" s="15">
        <v>4500</v>
      </c>
      <c r="P1690" s="15">
        <f t="shared" si="276"/>
        <v>5400000</v>
      </c>
      <c r="Q1690" s="15" t="str">
        <f t="shared" si="289"/>
        <v>Done</v>
      </c>
      <c r="R1690" s="18" t="s">
        <v>44</v>
      </c>
      <c r="S1690" s="23">
        <v>43590</v>
      </c>
      <c r="T1690" s="20">
        <f>IFERROR(VLOOKUP(S1690,'Date Converter'!$A$4:$C$368,3,0),"")</f>
        <v>43623</v>
      </c>
      <c r="U1690" s="21">
        <f t="shared" si="277"/>
        <v>43623</v>
      </c>
      <c r="V1690" s="12"/>
      <c r="W1690" s="18"/>
      <c r="X1690" s="18"/>
      <c r="Y1690" s="12"/>
      <c r="Z1690" s="206">
        <v>43624</v>
      </c>
      <c r="AA1690" s="15">
        <v>1200</v>
      </c>
      <c r="AB1690" s="206"/>
      <c r="AC1690" s="12"/>
      <c r="AD1690" s="206"/>
      <c r="AE1690" s="12"/>
      <c r="AF1690" s="245"/>
      <c r="AG1690" s="12"/>
      <c r="AH1690" s="15">
        <f t="shared" si="286"/>
        <v>1200</v>
      </c>
      <c r="AI1690" s="22">
        <f t="shared" si="287"/>
        <v>0</v>
      </c>
      <c r="AJ1690" s="22">
        <f t="shared" si="288"/>
        <v>0</v>
      </c>
    </row>
    <row r="1691" spans="1:38" s="165" customFormat="1" hidden="1">
      <c r="A1691" s="165" t="s">
        <v>313</v>
      </c>
      <c r="B1691" s="13">
        <v>43536</v>
      </c>
      <c r="C1691" s="13" t="s">
        <v>23</v>
      </c>
      <c r="D1691" s="165" t="s">
        <v>172</v>
      </c>
      <c r="E1691" s="13" t="s">
        <v>173</v>
      </c>
      <c r="F1691" s="165" t="str">
        <f t="shared" si="278"/>
        <v>AMAT_12.14_400_NL2018</v>
      </c>
      <c r="G1691" s="13" t="s">
        <v>112</v>
      </c>
      <c r="H1691" s="12"/>
      <c r="I1691" s="12" t="s">
        <v>113</v>
      </c>
      <c r="J1691" s="31" t="s">
        <v>128</v>
      </c>
      <c r="K1691" s="15" t="s">
        <v>28</v>
      </c>
      <c r="L1691" s="15"/>
      <c r="M1691" s="16">
        <f t="shared" si="279"/>
        <v>0</v>
      </c>
      <c r="N1691" s="15">
        <f>1200-1200</f>
        <v>0</v>
      </c>
      <c r="O1691" s="15">
        <v>2800</v>
      </c>
      <c r="P1691" s="15">
        <f t="shared" si="276"/>
        <v>0</v>
      </c>
      <c r="Q1691" s="15" t="str">
        <f t="shared" si="289"/>
        <v>Canceled</v>
      </c>
      <c r="R1691" s="18" t="s">
        <v>71</v>
      </c>
      <c r="S1691" s="23">
        <v>43572</v>
      </c>
      <c r="T1691" s="20">
        <f>IFERROR(VLOOKUP(S1691,'Date Converter'!$A$4:$C$368,3,0),"")</f>
        <v>43606</v>
      </c>
      <c r="U1691" s="21">
        <f t="shared" si="277"/>
        <v>43606</v>
      </c>
      <c r="V1691" s="12" t="s">
        <v>36</v>
      </c>
      <c r="W1691" s="18"/>
      <c r="X1691" s="18"/>
      <c r="Y1691" s="12"/>
      <c r="Z1691" s="206"/>
      <c r="AA1691" s="15">
        <v>0</v>
      </c>
      <c r="AB1691" s="206"/>
      <c r="AC1691" s="12"/>
      <c r="AD1691" s="206"/>
      <c r="AE1691" s="12"/>
      <c r="AF1691" s="245"/>
      <c r="AG1691" s="12"/>
      <c r="AH1691" s="15">
        <f t="shared" si="286"/>
        <v>0</v>
      </c>
      <c r="AI1691" s="22">
        <f t="shared" si="287"/>
        <v>0</v>
      </c>
      <c r="AJ1691" s="22">
        <f t="shared" si="288"/>
        <v>0</v>
      </c>
    </row>
    <row r="1692" spans="1:38" s="165" customFormat="1" hidden="1">
      <c r="A1692" s="165" t="s">
        <v>1803</v>
      </c>
      <c r="B1692" s="13">
        <v>43616</v>
      </c>
      <c r="C1692" s="188" t="s">
        <v>23</v>
      </c>
      <c r="D1692" s="165" t="s">
        <v>1805</v>
      </c>
      <c r="E1692" s="13" t="s">
        <v>1804</v>
      </c>
      <c r="F1692" s="165" t="str">
        <f t="shared" si="278"/>
        <v>TARR_14.16_300_NL2018</v>
      </c>
      <c r="G1692" s="13" t="s">
        <v>62</v>
      </c>
      <c r="H1692" s="12"/>
      <c r="I1692" s="12" t="s">
        <v>47</v>
      </c>
      <c r="J1692" s="31" t="s">
        <v>124</v>
      </c>
      <c r="K1692" s="15" t="s">
        <v>28</v>
      </c>
      <c r="L1692" s="15"/>
      <c r="M1692" s="33">
        <f t="shared" si="279"/>
        <v>12</v>
      </c>
      <c r="N1692" s="15">
        <v>3600</v>
      </c>
      <c r="O1692" s="15">
        <v>4800</v>
      </c>
      <c r="P1692" s="15">
        <f t="shared" si="276"/>
        <v>17280000</v>
      </c>
      <c r="Q1692" s="15" t="str">
        <f t="shared" si="289"/>
        <v>Done</v>
      </c>
      <c r="R1692" s="18" t="s">
        <v>44</v>
      </c>
      <c r="S1692" s="23">
        <v>43572</v>
      </c>
      <c r="T1692" s="20">
        <f>IFERROR(VLOOKUP(S1692,'Date Converter'!$A$4:$C$368,3,0),"")</f>
        <v>43606</v>
      </c>
      <c r="U1692" s="21">
        <f t="shared" si="277"/>
        <v>43606</v>
      </c>
      <c r="V1692" s="12"/>
      <c r="W1692" s="18"/>
      <c r="X1692" s="18"/>
      <c r="Y1692" s="12"/>
      <c r="Z1692" s="206">
        <v>43616</v>
      </c>
      <c r="AA1692" s="17">
        <v>3600</v>
      </c>
      <c r="AB1692" s="17"/>
      <c r="AC1692" s="12"/>
      <c r="AD1692" s="12"/>
      <c r="AE1692" s="12"/>
      <c r="AF1692" s="245"/>
      <c r="AG1692" s="12"/>
      <c r="AH1692" s="15">
        <f t="shared" si="286"/>
        <v>3600</v>
      </c>
      <c r="AI1692" s="22">
        <f t="shared" si="287"/>
        <v>0</v>
      </c>
      <c r="AJ1692" s="22">
        <f t="shared" si="288"/>
        <v>0</v>
      </c>
    </row>
    <row r="1693" spans="1:38" s="165" customFormat="1" hidden="1">
      <c r="A1693" s="165" t="s">
        <v>1803</v>
      </c>
      <c r="B1693" s="13">
        <v>43622</v>
      </c>
      <c r="C1693" s="188" t="s">
        <v>23</v>
      </c>
      <c r="D1693" s="165" t="s">
        <v>1805</v>
      </c>
      <c r="E1693" s="13" t="s">
        <v>1804</v>
      </c>
      <c r="F1693" s="165" t="str">
        <f t="shared" si="278"/>
        <v>ROBI_16.18_200_NL2018</v>
      </c>
      <c r="G1693" s="13" t="s">
        <v>61</v>
      </c>
      <c r="H1693" s="12"/>
      <c r="I1693" s="12" t="s">
        <v>35</v>
      </c>
      <c r="J1693" s="31" t="s">
        <v>121</v>
      </c>
      <c r="K1693" s="15" t="s">
        <v>28</v>
      </c>
      <c r="L1693" s="15"/>
      <c r="M1693" s="33">
        <f t="shared" si="279"/>
        <v>15</v>
      </c>
      <c r="N1693" s="15">
        <v>3000</v>
      </c>
      <c r="O1693" s="15">
        <v>5500</v>
      </c>
      <c r="P1693" s="15">
        <f t="shared" si="276"/>
        <v>16500000</v>
      </c>
      <c r="Q1693" s="15" t="str">
        <f t="shared" si="289"/>
        <v/>
      </c>
      <c r="R1693" s="18" t="s">
        <v>63</v>
      </c>
      <c r="S1693" s="23">
        <v>43590</v>
      </c>
      <c r="T1693" s="20">
        <f>IFERROR(VLOOKUP(S1693,'Date Converter'!$A$4:$C$368,3,0),"")</f>
        <v>43623</v>
      </c>
      <c r="U1693" s="21">
        <f t="shared" si="277"/>
        <v>43623</v>
      </c>
      <c r="V1693" s="12"/>
      <c r="W1693" s="18"/>
      <c r="X1693" s="18"/>
      <c r="Y1693" s="12"/>
      <c r="Z1693" s="206"/>
      <c r="AA1693" s="17"/>
      <c r="AB1693" s="12"/>
      <c r="AC1693" s="12"/>
      <c r="AD1693" s="12"/>
      <c r="AE1693" s="12"/>
      <c r="AF1693" s="245"/>
      <c r="AG1693" s="12"/>
      <c r="AH1693" s="15">
        <f t="shared" si="286"/>
        <v>0</v>
      </c>
      <c r="AI1693" s="22">
        <f t="shared" si="287"/>
        <v>3000</v>
      </c>
      <c r="AJ1693" s="22">
        <f t="shared" si="288"/>
        <v>16500000</v>
      </c>
      <c r="AL1693" s="165" t="s">
        <v>1756</v>
      </c>
    </row>
    <row r="1694" spans="1:38" s="165" customFormat="1" hidden="1">
      <c r="A1694" s="165" t="s">
        <v>309</v>
      </c>
      <c r="B1694" s="13">
        <v>43531</v>
      </c>
      <c r="C1694" s="165" t="s">
        <v>23</v>
      </c>
      <c r="D1694" s="165" t="s">
        <v>159</v>
      </c>
      <c r="E1694" s="13" t="s">
        <v>160</v>
      </c>
      <c r="F1694" s="165" t="str">
        <f t="shared" si="278"/>
        <v>INDI_14.16_300_NL2018</v>
      </c>
      <c r="G1694" s="13" t="s">
        <v>154</v>
      </c>
      <c r="H1694" s="12"/>
      <c r="I1694" s="12" t="s">
        <v>47</v>
      </c>
      <c r="J1694" s="14">
        <v>300</v>
      </c>
      <c r="K1694" s="15" t="s">
        <v>28</v>
      </c>
      <c r="L1694" s="15"/>
      <c r="M1694" s="16">
        <f t="shared" si="279"/>
        <v>1</v>
      </c>
      <c r="N1694" s="15">
        <v>300</v>
      </c>
      <c r="O1694" s="15">
        <v>5500</v>
      </c>
      <c r="P1694" s="15">
        <f t="shared" si="276"/>
        <v>1650000</v>
      </c>
      <c r="Q1694" s="15" t="str">
        <f t="shared" si="289"/>
        <v>Done</v>
      </c>
      <c r="R1694" s="18" t="s">
        <v>44</v>
      </c>
      <c r="S1694" s="23" t="s">
        <v>53</v>
      </c>
      <c r="T1694" s="20">
        <f>IFERROR(VLOOKUP(S1694,'Date Converter'!$A$4:$C$368,3,0),"")</f>
        <v>43559</v>
      </c>
      <c r="U1694" s="21">
        <f t="shared" si="277"/>
        <v>43559</v>
      </c>
      <c r="V1694" s="20" t="s">
        <v>54</v>
      </c>
      <c r="W1694" s="18" t="s">
        <v>101</v>
      </c>
      <c r="X1694" s="18">
        <v>43555</v>
      </c>
      <c r="Y1694" s="12"/>
      <c r="Z1694" s="206">
        <v>43558</v>
      </c>
      <c r="AA1694" s="15">
        <v>300</v>
      </c>
      <c r="AB1694" s="206"/>
      <c r="AC1694" s="12"/>
      <c r="AD1694" s="206"/>
      <c r="AE1694" s="12"/>
      <c r="AF1694" s="245"/>
      <c r="AG1694" s="12"/>
      <c r="AH1694" s="15">
        <f t="shared" si="286"/>
        <v>300</v>
      </c>
      <c r="AI1694" s="22">
        <f t="shared" si="287"/>
        <v>0</v>
      </c>
      <c r="AJ1694" s="22">
        <f t="shared" si="288"/>
        <v>0</v>
      </c>
      <c r="AL1694" s="165" t="s">
        <v>1756</v>
      </c>
    </row>
    <row r="1695" spans="1:38" s="165" customFormat="1" hidden="1" outlineLevel="1">
      <c r="A1695" s="165" t="s">
        <v>1803</v>
      </c>
      <c r="B1695" s="13">
        <v>43616</v>
      </c>
      <c r="C1695" s="188" t="s">
        <v>23</v>
      </c>
      <c r="D1695" s="165" t="s">
        <v>1805</v>
      </c>
      <c r="E1695" s="13" t="s">
        <v>1804</v>
      </c>
      <c r="F1695" s="165" t="str">
        <f t="shared" si="278"/>
        <v>DALI_14.16_300_NL2018</v>
      </c>
      <c r="G1695" s="13" t="s">
        <v>46</v>
      </c>
      <c r="H1695" s="12"/>
      <c r="I1695" s="12" t="s">
        <v>47</v>
      </c>
      <c r="J1695" s="31" t="s">
        <v>124</v>
      </c>
      <c r="K1695" s="15" t="s">
        <v>28</v>
      </c>
      <c r="L1695" s="15"/>
      <c r="M1695" s="33">
        <f t="shared" si="279"/>
        <v>2</v>
      </c>
      <c r="N1695" s="15">
        <v>600</v>
      </c>
      <c r="O1695" s="15">
        <v>5400</v>
      </c>
      <c r="P1695" s="15">
        <f t="shared" si="276"/>
        <v>3240000</v>
      </c>
      <c r="Q1695" s="15" t="str">
        <f t="shared" si="289"/>
        <v>Done</v>
      </c>
      <c r="R1695" s="18" t="s">
        <v>44</v>
      </c>
      <c r="S1695" s="23">
        <v>43572</v>
      </c>
      <c r="T1695" s="20">
        <f>IFERROR(VLOOKUP(S1695,'Date Converter'!$A$4:$C$368,3,0),"")</f>
        <v>43606</v>
      </c>
      <c r="U1695" s="21">
        <f t="shared" si="277"/>
        <v>43606</v>
      </c>
      <c r="V1695" s="12"/>
      <c r="W1695" s="18"/>
      <c r="X1695" s="18"/>
      <c r="Y1695" s="12"/>
      <c r="Z1695" s="206">
        <v>43616</v>
      </c>
      <c r="AA1695" s="17" t="s">
        <v>1806</v>
      </c>
      <c r="AB1695" s="12"/>
      <c r="AC1695" s="12"/>
      <c r="AD1695" s="12"/>
      <c r="AE1695" s="12"/>
      <c r="AF1695" s="245"/>
      <c r="AG1695" s="12"/>
      <c r="AH1695" s="15">
        <f t="shared" si="286"/>
        <v>600</v>
      </c>
      <c r="AI1695" s="22">
        <f t="shared" si="287"/>
        <v>0</v>
      </c>
      <c r="AJ1695" s="22">
        <f t="shared" si="288"/>
        <v>0</v>
      </c>
    </row>
    <row r="1696" spans="1:38" s="165" customFormat="1" hidden="1" outlineLevel="1">
      <c r="A1696" s="165" t="s">
        <v>1781</v>
      </c>
      <c r="B1696" s="13">
        <v>43512</v>
      </c>
      <c r="C1696" s="13" t="s">
        <v>1622</v>
      </c>
      <c r="D1696" s="165" t="s">
        <v>968</v>
      </c>
      <c r="E1696" s="165" t="s">
        <v>969</v>
      </c>
      <c r="F1696" s="165" t="str">
        <f t="shared" si="278"/>
        <v>YELL_14.16_300_NL2018</v>
      </c>
      <c r="G1696" s="165" t="s">
        <v>89</v>
      </c>
      <c r="H1696" s="12"/>
      <c r="I1696" s="24" t="s">
        <v>47</v>
      </c>
      <c r="J1696" s="14">
        <v>300</v>
      </c>
      <c r="K1696" s="15" t="s">
        <v>28</v>
      </c>
      <c r="L1696" s="15"/>
      <c r="M1696" s="16">
        <f t="shared" si="279"/>
        <v>2</v>
      </c>
      <c r="N1696" s="15">
        <v>600</v>
      </c>
      <c r="O1696" s="15">
        <v>4000</v>
      </c>
      <c r="P1696" s="15">
        <f t="shared" si="276"/>
        <v>2400000</v>
      </c>
      <c r="Q1696" s="15" t="str">
        <f t="shared" si="289"/>
        <v>Done</v>
      </c>
      <c r="R1696" s="18" t="s">
        <v>44</v>
      </c>
      <c r="S1696" s="117" t="s">
        <v>151</v>
      </c>
      <c r="T1696" s="20">
        <f>IFERROR(VLOOKUP(S1696,'Date Converter'!$A$4:$C$368,3,0),"")</f>
        <v>43558</v>
      </c>
      <c r="U1696" s="21">
        <f t="shared" si="277"/>
        <v>43558</v>
      </c>
      <c r="V1696" s="12" t="s">
        <v>54</v>
      </c>
      <c r="W1696" s="18"/>
      <c r="X1696" s="18"/>
      <c r="Y1696" s="18"/>
      <c r="Z1696" s="210">
        <v>43561</v>
      </c>
      <c r="AA1696" s="15">
        <v>600</v>
      </c>
      <c r="AB1696" s="210"/>
      <c r="AC1696" s="15"/>
      <c r="AD1696" s="15"/>
      <c r="AE1696" s="15"/>
      <c r="AF1696" s="244"/>
      <c r="AG1696" s="15"/>
      <c r="AH1696" s="15">
        <f t="shared" si="286"/>
        <v>600</v>
      </c>
      <c r="AI1696" s="22">
        <f t="shared" si="287"/>
        <v>0</v>
      </c>
      <c r="AJ1696" s="22">
        <f t="shared" si="288"/>
        <v>0</v>
      </c>
      <c r="AK1696" s="13"/>
    </row>
    <row r="1697" spans="1:37" s="165" customFormat="1" hidden="1" outlineLevel="1">
      <c r="A1697" s="165" t="s">
        <v>1781</v>
      </c>
      <c r="B1697" s="13">
        <v>43512</v>
      </c>
      <c r="C1697" s="13" t="s">
        <v>1622</v>
      </c>
      <c r="D1697" s="165" t="s">
        <v>968</v>
      </c>
      <c r="E1697" s="165" t="s">
        <v>969</v>
      </c>
      <c r="F1697" s="165" t="str">
        <f t="shared" si="278"/>
        <v>YELL_16.18_200_NL2018</v>
      </c>
      <c r="G1697" s="165" t="s">
        <v>89</v>
      </c>
      <c r="H1697" s="12"/>
      <c r="I1697" s="12" t="s">
        <v>35</v>
      </c>
      <c r="J1697" s="14">
        <v>200</v>
      </c>
      <c r="K1697" s="15" t="s">
        <v>28</v>
      </c>
      <c r="L1697" s="15"/>
      <c r="M1697" s="16">
        <f t="shared" si="279"/>
        <v>10</v>
      </c>
      <c r="N1697" s="15">
        <v>2000</v>
      </c>
      <c r="O1697" s="15">
        <v>5000</v>
      </c>
      <c r="P1697" s="15">
        <f t="shared" si="276"/>
        <v>10000000</v>
      </c>
      <c r="Q1697" s="15" t="str">
        <f t="shared" si="289"/>
        <v>Done</v>
      </c>
      <c r="R1697" s="18" t="s">
        <v>44</v>
      </c>
      <c r="S1697" s="117">
        <v>43480</v>
      </c>
      <c r="T1697" s="20">
        <f>IFERROR(VLOOKUP(S1697,'Date Converter'!$A$4:$C$368,3,0),"")</f>
        <v>43515</v>
      </c>
      <c r="U1697" s="21">
        <f t="shared" si="277"/>
        <v>43515</v>
      </c>
      <c r="V1697" s="12" t="s">
        <v>45</v>
      </c>
      <c r="W1697" s="18"/>
      <c r="X1697" s="18"/>
      <c r="Y1697" s="18"/>
      <c r="Z1697" s="210">
        <v>43519</v>
      </c>
      <c r="AA1697" s="15">
        <v>2000</v>
      </c>
      <c r="AB1697" s="210"/>
      <c r="AC1697" s="15"/>
      <c r="AD1697" s="15"/>
      <c r="AE1697" s="15"/>
      <c r="AF1697" s="244"/>
      <c r="AG1697" s="15"/>
      <c r="AH1697" s="15">
        <f t="shared" si="286"/>
        <v>2000</v>
      </c>
      <c r="AI1697" s="22">
        <f t="shared" si="287"/>
        <v>0</v>
      </c>
      <c r="AJ1697" s="22">
        <f t="shared" si="288"/>
        <v>0</v>
      </c>
      <c r="AK1697" s="13">
        <v>43887</v>
      </c>
    </row>
    <row r="1698" spans="1:37" s="165" customFormat="1" hidden="1" outlineLevel="1">
      <c r="A1698" s="165" t="s">
        <v>1781</v>
      </c>
      <c r="B1698" s="13">
        <v>43512</v>
      </c>
      <c r="C1698" s="13" t="s">
        <v>1622</v>
      </c>
      <c r="D1698" s="165" t="s">
        <v>968</v>
      </c>
      <c r="E1698" s="165" t="s">
        <v>969</v>
      </c>
      <c r="F1698" s="165" t="str">
        <f t="shared" si="278"/>
        <v>TARR_14.16_300_NL2018</v>
      </c>
      <c r="G1698" s="165" t="s">
        <v>62</v>
      </c>
      <c r="H1698" s="12"/>
      <c r="I1698" s="24" t="s">
        <v>47</v>
      </c>
      <c r="J1698" s="14">
        <v>300</v>
      </c>
      <c r="K1698" s="15" t="s">
        <v>28</v>
      </c>
      <c r="L1698" s="15"/>
      <c r="M1698" s="16">
        <f t="shared" si="279"/>
        <v>7</v>
      </c>
      <c r="N1698" s="15">
        <v>2100</v>
      </c>
      <c r="O1698" s="15">
        <v>4600</v>
      </c>
      <c r="P1698" s="15">
        <f t="shared" si="276"/>
        <v>9660000</v>
      </c>
      <c r="Q1698" s="15" t="str">
        <f t="shared" si="289"/>
        <v>Done</v>
      </c>
      <c r="R1698" s="18" t="s">
        <v>44</v>
      </c>
      <c r="S1698" s="117">
        <v>43480</v>
      </c>
      <c r="T1698" s="20">
        <f>IFERROR(VLOOKUP(S1698,'Date Converter'!$A$4:$C$368,3,0),"")</f>
        <v>43515</v>
      </c>
      <c r="U1698" s="21">
        <f t="shared" si="277"/>
        <v>43515</v>
      </c>
      <c r="V1698" s="12" t="s">
        <v>45</v>
      </c>
      <c r="W1698" s="18"/>
      <c r="X1698" s="18"/>
      <c r="Y1698" s="18"/>
      <c r="Z1698" s="210">
        <v>43561</v>
      </c>
      <c r="AA1698" s="15">
        <v>2100</v>
      </c>
      <c r="AB1698" s="210"/>
      <c r="AC1698" s="15"/>
      <c r="AD1698" s="15"/>
      <c r="AE1698" s="15"/>
      <c r="AF1698" s="244"/>
      <c r="AG1698" s="15"/>
      <c r="AH1698" s="15">
        <f t="shared" si="286"/>
        <v>2100</v>
      </c>
      <c r="AI1698" s="22">
        <f t="shared" si="287"/>
        <v>0</v>
      </c>
      <c r="AJ1698" s="22">
        <f t="shared" si="288"/>
        <v>0</v>
      </c>
      <c r="AK1698" s="13">
        <v>43887</v>
      </c>
    </row>
    <row r="1699" spans="1:37" s="165" customFormat="1" hidden="1" outlineLevel="1">
      <c r="A1699" s="165" t="s">
        <v>1781</v>
      </c>
      <c r="B1699" s="13">
        <v>43512</v>
      </c>
      <c r="C1699" s="13" t="s">
        <v>1622</v>
      </c>
      <c r="D1699" s="165" t="s">
        <v>968</v>
      </c>
      <c r="E1699" s="165" t="s">
        <v>969</v>
      </c>
      <c r="F1699" s="165" t="str">
        <f t="shared" si="278"/>
        <v>TARR_14.16_300_NL2018</v>
      </c>
      <c r="G1699" s="165" t="s">
        <v>62</v>
      </c>
      <c r="H1699" s="12"/>
      <c r="I1699" s="24" t="s">
        <v>47</v>
      </c>
      <c r="J1699" s="14">
        <v>300</v>
      </c>
      <c r="K1699" s="15" t="s">
        <v>28</v>
      </c>
      <c r="L1699" s="15"/>
      <c r="M1699" s="16">
        <f t="shared" si="279"/>
        <v>7</v>
      </c>
      <c r="N1699" s="15">
        <f>2100-2100+2100</f>
        <v>2100</v>
      </c>
      <c r="O1699" s="15">
        <v>4600</v>
      </c>
      <c r="P1699" s="15">
        <f t="shared" si="276"/>
        <v>9660000</v>
      </c>
      <c r="Q1699" s="15" t="str">
        <f t="shared" si="289"/>
        <v>Done</v>
      </c>
      <c r="R1699" s="18" t="s">
        <v>44</v>
      </c>
      <c r="S1699" s="117" t="s">
        <v>151</v>
      </c>
      <c r="T1699" s="20">
        <f>IFERROR(VLOOKUP(S1699,'Date Converter'!$A$4:$C$368,3,0),"")</f>
        <v>43558</v>
      </c>
      <c r="U1699" s="21">
        <f t="shared" si="277"/>
        <v>43558</v>
      </c>
      <c r="V1699" s="12" t="s">
        <v>54</v>
      </c>
      <c r="W1699" s="18" t="s">
        <v>55</v>
      </c>
      <c r="X1699" s="18"/>
      <c r="Y1699" s="18"/>
      <c r="Z1699" s="210">
        <v>43561</v>
      </c>
      <c r="AA1699" s="15">
        <v>2100</v>
      </c>
      <c r="AB1699" s="210"/>
      <c r="AC1699" s="15"/>
      <c r="AD1699" s="15"/>
      <c r="AE1699" s="15"/>
      <c r="AF1699" s="244"/>
      <c r="AG1699" s="15"/>
      <c r="AH1699" s="15">
        <f t="shared" si="286"/>
        <v>2100</v>
      </c>
      <c r="AI1699" s="22">
        <f t="shared" si="287"/>
        <v>0</v>
      </c>
      <c r="AJ1699" s="22">
        <f t="shared" si="288"/>
        <v>0</v>
      </c>
      <c r="AK1699" s="13">
        <v>43887</v>
      </c>
    </row>
    <row r="1700" spans="1:37" s="165" customFormat="1" hidden="1" outlineLevel="1">
      <c r="A1700" s="165" t="s">
        <v>1781</v>
      </c>
      <c r="B1700" s="13">
        <v>43512</v>
      </c>
      <c r="C1700" s="13" t="s">
        <v>1622</v>
      </c>
      <c r="D1700" s="165" t="s">
        <v>968</v>
      </c>
      <c r="E1700" s="165" t="s">
        <v>969</v>
      </c>
      <c r="F1700" s="165" t="str">
        <f t="shared" si="278"/>
        <v>SERA_14.16_300_NL2018</v>
      </c>
      <c r="G1700" s="165" t="s">
        <v>227</v>
      </c>
      <c r="H1700" s="12"/>
      <c r="I1700" s="12" t="s">
        <v>47</v>
      </c>
      <c r="J1700" s="14">
        <v>300</v>
      </c>
      <c r="K1700" s="15" t="s">
        <v>28</v>
      </c>
      <c r="L1700" s="15"/>
      <c r="M1700" s="16">
        <f t="shared" si="279"/>
        <v>7</v>
      </c>
      <c r="N1700" s="15">
        <v>2100</v>
      </c>
      <c r="O1700" s="15">
        <v>3500</v>
      </c>
      <c r="P1700" s="15">
        <f t="shared" si="276"/>
        <v>7350000</v>
      </c>
      <c r="Q1700" s="15" t="str">
        <f t="shared" si="289"/>
        <v>Done</v>
      </c>
      <c r="R1700" s="18" t="s">
        <v>44</v>
      </c>
      <c r="S1700" s="117">
        <v>43511</v>
      </c>
      <c r="T1700" s="20">
        <f>IFERROR(VLOOKUP(S1700,'Date Converter'!$A$4:$C$368,3,0),"")</f>
        <v>43544</v>
      </c>
      <c r="U1700" s="21">
        <f t="shared" si="277"/>
        <v>43544</v>
      </c>
      <c r="V1700" s="12" t="s">
        <v>32</v>
      </c>
      <c r="W1700" s="18"/>
      <c r="X1700" s="18"/>
      <c r="Y1700" s="18"/>
      <c r="Z1700" s="210">
        <v>43561</v>
      </c>
      <c r="AA1700" s="15">
        <v>2100</v>
      </c>
      <c r="AB1700" s="210"/>
      <c r="AC1700" s="15"/>
      <c r="AD1700" s="15"/>
      <c r="AE1700" s="15"/>
      <c r="AF1700" s="244"/>
      <c r="AG1700" s="15"/>
      <c r="AH1700" s="15">
        <f t="shared" si="286"/>
        <v>2100</v>
      </c>
      <c r="AI1700" s="22">
        <f t="shared" si="287"/>
        <v>0</v>
      </c>
      <c r="AJ1700" s="22">
        <f t="shared" si="288"/>
        <v>0</v>
      </c>
      <c r="AK1700" s="13"/>
    </row>
    <row r="1701" spans="1:37" s="165" customFormat="1" hidden="1" outlineLevel="1">
      <c r="A1701" s="165" t="s">
        <v>1584</v>
      </c>
      <c r="B1701" s="13">
        <v>43601</v>
      </c>
      <c r="C1701" s="13" t="s">
        <v>23</v>
      </c>
      <c r="D1701" s="165" t="s">
        <v>986</v>
      </c>
      <c r="E1701" s="198" t="s">
        <v>987</v>
      </c>
      <c r="F1701" s="165" t="str">
        <f t="shared" si="278"/>
        <v>YELL_12.14_400_NL2018</v>
      </c>
      <c r="G1701" s="165" t="s">
        <v>89</v>
      </c>
      <c r="H1701" s="12"/>
      <c r="I1701" s="12" t="s">
        <v>113</v>
      </c>
      <c r="J1701" s="31" t="s">
        <v>128</v>
      </c>
      <c r="K1701" s="15" t="s">
        <v>28</v>
      </c>
      <c r="L1701" s="15"/>
      <c r="M1701" s="16">
        <f t="shared" si="279"/>
        <v>25</v>
      </c>
      <c r="N1701" s="15">
        <v>10000</v>
      </c>
      <c r="O1701" s="15">
        <v>2800</v>
      </c>
      <c r="P1701" s="15">
        <f t="shared" si="276"/>
        <v>28000000</v>
      </c>
      <c r="Q1701" s="15" t="str">
        <f t="shared" si="289"/>
        <v>Done</v>
      </c>
      <c r="R1701" s="18" t="s">
        <v>44</v>
      </c>
      <c r="S1701" s="23">
        <v>43572</v>
      </c>
      <c r="T1701" s="20">
        <f>IFERROR(VLOOKUP(S1701,'Date Converter'!$A$4:$C$368,3,0),"")</f>
        <v>43606</v>
      </c>
      <c r="U1701" s="21">
        <f t="shared" si="277"/>
        <v>43606</v>
      </c>
      <c r="V1701" s="12"/>
      <c r="W1701" s="18"/>
      <c r="X1701" s="18"/>
      <c r="Y1701" s="12"/>
      <c r="Z1701" s="206">
        <v>43604</v>
      </c>
      <c r="AA1701" s="15">
        <v>10000</v>
      </c>
      <c r="AB1701" s="206"/>
      <c r="AC1701" s="12"/>
      <c r="AD1701" s="206"/>
      <c r="AE1701" s="12"/>
      <c r="AF1701" s="245"/>
      <c r="AG1701" s="12"/>
      <c r="AH1701" s="15">
        <f t="shared" si="286"/>
        <v>10000</v>
      </c>
      <c r="AI1701" s="22">
        <f t="shared" si="287"/>
        <v>0</v>
      </c>
      <c r="AJ1701" s="22">
        <f t="shared" si="288"/>
        <v>0</v>
      </c>
    </row>
    <row r="1702" spans="1:37" s="165" customFormat="1" hidden="1" outlineLevel="1">
      <c r="A1702" s="165" t="s">
        <v>1584</v>
      </c>
      <c r="B1702" s="13">
        <v>43601</v>
      </c>
      <c r="C1702" s="13" t="s">
        <v>23</v>
      </c>
      <c r="D1702" s="165" t="s">
        <v>986</v>
      </c>
      <c r="E1702" s="198" t="s">
        <v>987</v>
      </c>
      <c r="F1702" s="165" t="str">
        <f t="shared" si="278"/>
        <v>YELL_14.16_300_NL2018</v>
      </c>
      <c r="G1702" s="165" t="s">
        <v>89</v>
      </c>
      <c r="H1702" s="12"/>
      <c r="I1702" s="12" t="s">
        <v>47</v>
      </c>
      <c r="J1702" s="31" t="s">
        <v>124</v>
      </c>
      <c r="K1702" s="15" t="s">
        <v>28</v>
      </c>
      <c r="L1702" s="15"/>
      <c r="M1702" s="16">
        <f t="shared" si="279"/>
        <v>24</v>
      </c>
      <c r="N1702" s="15">
        <f>5100+2100</f>
        <v>7200</v>
      </c>
      <c r="O1702" s="15">
        <v>3900</v>
      </c>
      <c r="P1702" s="15">
        <f t="shared" si="276"/>
        <v>28080000</v>
      </c>
      <c r="Q1702" s="15" t="str">
        <f t="shared" si="289"/>
        <v>Done</v>
      </c>
      <c r="R1702" s="18" t="s">
        <v>44</v>
      </c>
      <c r="S1702" s="23">
        <v>43590</v>
      </c>
      <c r="T1702" s="20">
        <f>IFERROR(VLOOKUP(S1702,'Date Converter'!$A$4:$C$368,3,0),"")</f>
        <v>43623</v>
      </c>
      <c r="U1702" s="21">
        <f t="shared" si="277"/>
        <v>43623</v>
      </c>
      <c r="V1702" s="12"/>
      <c r="W1702" s="18"/>
      <c r="X1702" s="18"/>
      <c r="Y1702" s="12"/>
      <c r="Z1702" s="206">
        <v>43626</v>
      </c>
      <c r="AA1702" s="15">
        <v>7200</v>
      </c>
      <c r="AB1702" s="206"/>
      <c r="AC1702" s="12"/>
      <c r="AD1702" s="206"/>
      <c r="AE1702" s="12"/>
      <c r="AF1702" s="245"/>
      <c r="AG1702" s="12"/>
      <c r="AH1702" s="15">
        <f t="shared" si="286"/>
        <v>7200</v>
      </c>
      <c r="AI1702" s="22">
        <f t="shared" si="287"/>
        <v>0</v>
      </c>
      <c r="AJ1702" s="22">
        <f t="shared" si="288"/>
        <v>0</v>
      </c>
    </row>
    <row r="1703" spans="1:37" s="165" customFormat="1" hidden="1" outlineLevel="1">
      <c r="A1703" s="165" t="s">
        <v>1584</v>
      </c>
      <c r="B1703" s="13">
        <v>43605</v>
      </c>
      <c r="C1703" s="13" t="s">
        <v>23</v>
      </c>
      <c r="D1703" s="165" t="s">
        <v>986</v>
      </c>
      <c r="E1703" s="198" t="s">
        <v>987</v>
      </c>
      <c r="F1703" s="165" t="str">
        <f t="shared" si="278"/>
        <v>YELL_14.16_300_NL2018</v>
      </c>
      <c r="G1703" s="165" t="s">
        <v>89</v>
      </c>
      <c r="H1703" s="12"/>
      <c r="I1703" s="12" t="s">
        <v>47</v>
      </c>
      <c r="J1703" s="31" t="s">
        <v>124</v>
      </c>
      <c r="K1703" s="15" t="s">
        <v>28</v>
      </c>
      <c r="L1703" s="15"/>
      <c r="M1703" s="16">
        <f t="shared" si="279"/>
        <v>17</v>
      </c>
      <c r="N1703" s="15">
        <v>5100</v>
      </c>
      <c r="O1703" s="15">
        <v>4000</v>
      </c>
      <c r="P1703" s="15">
        <f t="shared" si="276"/>
        <v>20400000</v>
      </c>
      <c r="Q1703" s="15" t="str">
        <f t="shared" si="289"/>
        <v/>
      </c>
      <c r="R1703" s="18" t="s">
        <v>31</v>
      </c>
      <c r="S1703" s="23">
        <v>43615</v>
      </c>
      <c r="T1703" s="20">
        <f>IFERROR(VLOOKUP(S1703,'Date Converter'!$A$4:$C$368,3,0),"")</f>
        <v>43648</v>
      </c>
      <c r="U1703" s="21">
        <f t="shared" si="277"/>
        <v>43648</v>
      </c>
      <c r="V1703" s="12"/>
      <c r="W1703" s="18"/>
      <c r="X1703" s="18"/>
      <c r="Y1703" s="12"/>
      <c r="Z1703" s="206"/>
      <c r="AA1703" s="15"/>
      <c r="AB1703" s="206"/>
      <c r="AC1703" s="12"/>
      <c r="AD1703" s="206"/>
      <c r="AE1703" s="12"/>
      <c r="AF1703" s="245"/>
      <c r="AG1703" s="12"/>
      <c r="AH1703" s="15">
        <f t="shared" si="286"/>
        <v>0</v>
      </c>
      <c r="AI1703" s="22">
        <f t="shared" si="287"/>
        <v>5100</v>
      </c>
      <c r="AJ1703" s="22">
        <f t="shared" si="288"/>
        <v>20400000</v>
      </c>
    </row>
    <row r="1704" spans="1:37" s="165" customFormat="1" hidden="1" outlineLevel="1">
      <c r="A1704" s="165" t="s">
        <v>1584</v>
      </c>
      <c r="B1704" s="13">
        <v>43616</v>
      </c>
      <c r="C1704" s="13" t="s">
        <v>23</v>
      </c>
      <c r="D1704" s="165" t="s">
        <v>986</v>
      </c>
      <c r="E1704" s="198" t="s">
        <v>987</v>
      </c>
      <c r="F1704" s="165" t="str">
        <f t="shared" si="278"/>
        <v>YELL_14.16_300_NL2018</v>
      </c>
      <c r="G1704" s="165" t="s">
        <v>89</v>
      </c>
      <c r="H1704" s="12"/>
      <c r="I1704" s="12" t="s">
        <v>47</v>
      </c>
      <c r="J1704" s="31" t="s">
        <v>124</v>
      </c>
      <c r="K1704" s="15" t="s">
        <v>28</v>
      </c>
      <c r="L1704" s="15"/>
      <c r="M1704" s="16">
        <f t="shared" si="279"/>
        <v>17</v>
      </c>
      <c r="N1704" s="15">
        <v>5100</v>
      </c>
      <c r="O1704" s="15">
        <v>4000</v>
      </c>
      <c r="P1704" s="15">
        <f t="shared" si="276"/>
        <v>20400000</v>
      </c>
      <c r="Q1704" s="15" t="str">
        <f t="shared" si="289"/>
        <v/>
      </c>
      <c r="R1704" s="18" t="s">
        <v>29</v>
      </c>
      <c r="S1704" s="23">
        <v>43647</v>
      </c>
      <c r="T1704" s="20">
        <f>IFERROR(VLOOKUP(S1704,'Date Converter'!$A$4:$C$368,3,0),"")</f>
        <v>43678</v>
      </c>
      <c r="U1704" s="21">
        <f t="shared" ref="U1704:U1767" si="290">+T1704</f>
        <v>43678</v>
      </c>
      <c r="V1704" s="12"/>
      <c r="W1704" s="18"/>
      <c r="X1704" s="18"/>
      <c r="Y1704" s="12"/>
      <c r="Z1704" s="206"/>
      <c r="AA1704" s="15"/>
      <c r="AB1704" s="206"/>
      <c r="AC1704" s="12"/>
      <c r="AD1704" s="206"/>
      <c r="AE1704" s="12"/>
      <c r="AF1704" s="245"/>
      <c r="AG1704" s="12"/>
      <c r="AH1704" s="15">
        <f t="shared" si="286"/>
        <v>0</v>
      </c>
      <c r="AI1704" s="22">
        <f t="shared" si="287"/>
        <v>5100</v>
      </c>
      <c r="AJ1704" s="22">
        <f t="shared" si="288"/>
        <v>20400000</v>
      </c>
    </row>
    <row r="1705" spans="1:37" s="165" customFormat="1" hidden="1" outlineLevel="1">
      <c r="A1705" s="165" t="s">
        <v>1592</v>
      </c>
      <c r="B1705" s="13">
        <v>43633</v>
      </c>
      <c r="C1705" s="13" t="s">
        <v>23</v>
      </c>
      <c r="D1705" s="258" t="s">
        <v>986</v>
      </c>
      <c r="E1705" s="97" t="s">
        <v>987</v>
      </c>
      <c r="F1705" s="165" t="str">
        <f t="shared" si="278"/>
        <v>TARR_18.20_150_NL2018</v>
      </c>
      <c r="G1705" s="165" t="s">
        <v>62</v>
      </c>
      <c r="H1705" s="12"/>
      <c r="I1705" s="24" t="s">
        <v>27</v>
      </c>
      <c r="J1705" s="31" t="s">
        <v>126</v>
      </c>
      <c r="K1705" s="15" t="s">
        <v>28</v>
      </c>
      <c r="L1705" s="15"/>
      <c r="M1705" s="16">
        <f t="shared" si="279"/>
        <v>68</v>
      </c>
      <c r="N1705" s="15">
        <v>10200</v>
      </c>
      <c r="O1705" s="15">
        <v>9400</v>
      </c>
      <c r="P1705" s="15">
        <f t="shared" ref="P1705:P1768" si="291">+O1705*N1705</f>
        <v>95880000</v>
      </c>
      <c r="Q1705" s="15" t="str">
        <f t="shared" si="289"/>
        <v/>
      </c>
      <c r="R1705" s="18" t="s">
        <v>29</v>
      </c>
      <c r="S1705" s="23">
        <v>43709</v>
      </c>
      <c r="T1705" s="20">
        <f>IFERROR(VLOOKUP(S1705,'Date Converter'!$A$4:$C$368,3,0),"")</f>
        <v>43737</v>
      </c>
      <c r="U1705" s="21">
        <f t="shared" si="290"/>
        <v>43737</v>
      </c>
      <c r="V1705" s="12" t="s">
        <v>51</v>
      </c>
      <c r="W1705" s="18"/>
      <c r="X1705" s="18"/>
      <c r="Y1705" s="12"/>
      <c r="Z1705" s="206"/>
      <c r="AA1705" s="15"/>
      <c r="AB1705" s="206"/>
      <c r="AC1705" s="12"/>
      <c r="AD1705" s="206"/>
      <c r="AE1705" s="12"/>
      <c r="AF1705" s="245"/>
      <c r="AG1705" s="12"/>
      <c r="AH1705" s="15">
        <f t="shared" si="286"/>
        <v>0</v>
      </c>
      <c r="AI1705" s="22">
        <f t="shared" si="287"/>
        <v>10200</v>
      </c>
      <c r="AJ1705" s="22">
        <f t="shared" si="288"/>
        <v>95880000</v>
      </c>
    </row>
    <row r="1706" spans="1:37" s="165" customFormat="1" hidden="1" outlineLevel="1">
      <c r="A1706" s="165" t="s">
        <v>1592</v>
      </c>
      <c r="B1706" s="13">
        <v>43605</v>
      </c>
      <c r="C1706" s="13" t="s">
        <v>23</v>
      </c>
      <c r="D1706" s="258" t="s">
        <v>986</v>
      </c>
      <c r="E1706" s="97" t="s">
        <v>987</v>
      </c>
      <c r="F1706" s="165" t="str">
        <f t="shared" si="278"/>
        <v>ROBI_24.26_80_NL2018</v>
      </c>
      <c r="G1706" s="165" t="s">
        <v>61</v>
      </c>
      <c r="H1706" s="12"/>
      <c r="I1706" s="12" t="s">
        <v>220</v>
      </c>
      <c r="J1706" s="31" t="s">
        <v>504</v>
      </c>
      <c r="K1706" s="15" t="s">
        <v>28</v>
      </c>
      <c r="L1706" s="15"/>
      <c r="M1706" s="16">
        <f t="shared" si="279"/>
        <v>63</v>
      </c>
      <c r="N1706" s="15">
        <v>5040</v>
      </c>
      <c r="O1706" s="15">
        <v>15300</v>
      </c>
      <c r="P1706" s="15">
        <f t="shared" si="291"/>
        <v>77112000</v>
      </c>
      <c r="Q1706" s="15" t="str">
        <f t="shared" si="289"/>
        <v/>
      </c>
      <c r="R1706" s="18" t="s">
        <v>29</v>
      </c>
      <c r="S1706" s="23">
        <v>43709</v>
      </c>
      <c r="T1706" s="20">
        <f>IFERROR(VLOOKUP(S1706,'Date Converter'!$A$4:$C$368,3,0),"")</f>
        <v>43737</v>
      </c>
      <c r="U1706" s="21">
        <f t="shared" si="290"/>
        <v>43737</v>
      </c>
      <c r="V1706" s="12" t="s">
        <v>51</v>
      </c>
      <c r="W1706" s="18"/>
      <c r="X1706" s="18"/>
      <c r="Y1706" s="12"/>
      <c r="Z1706" s="206"/>
      <c r="AA1706" s="15"/>
      <c r="AB1706" s="206"/>
      <c r="AC1706" s="12"/>
      <c r="AD1706" s="206"/>
      <c r="AE1706" s="12"/>
      <c r="AF1706" s="245"/>
      <c r="AG1706" s="12"/>
      <c r="AH1706" s="15">
        <f t="shared" si="286"/>
        <v>0</v>
      </c>
      <c r="AI1706" s="22">
        <f t="shared" si="287"/>
        <v>5040</v>
      </c>
      <c r="AJ1706" s="22">
        <f t="shared" si="288"/>
        <v>77112000</v>
      </c>
    </row>
    <row r="1707" spans="1:37" s="165" customFormat="1" hidden="1" outlineLevel="1">
      <c r="A1707" s="165" t="s">
        <v>1592</v>
      </c>
      <c r="B1707" s="13">
        <v>43633</v>
      </c>
      <c r="C1707" s="13" t="s">
        <v>23</v>
      </c>
      <c r="D1707" s="258" t="s">
        <v>986</v>
      </c>
      <c r="E1707" s="97" t="s">
        <v>987</v>
      </c>
      <c r="F1707" s="165" t="str">
        <f t="shared" ref="F1707:F1770" si="292">SUBSTITUTE(LEFT(G1707,4)&amp;"_"&amp;H1707&amp;"_"&amp;I1707&amp;"_"&amp;J1707&amp;"_"&amp;K1707,"__","_")</f>
        <v>ROBI_20.22_125_NL2018</v>
      </c>
      <c r="G1707" s="165" t="s">
        <v>61</v>
      </c>
      <c r="H1707" s="12"/>
      <c r="I1707" s="12" t="s">
        <v>74</v>
      </c>
      <c r="J1707" s="31" t="s">
        <v>122</v>
      </c>
      <c r="K1707" s="15" t="s">
        <v>28</v>
      </c>
      <c r="L1707" s="15"/>
      <c r="M1707" s="16">
        <f t="shared" ref="M1707:M1770" si="293">+N1707/J1707</f>
        <v>40</v>
      </c>
      <c r="N1707" s="15">
        <v>5000</v>
      </c>
      <c r="O1707" s="15">
        <v>10700</v>
      </c>
      <c r="P1707" s="15">
        <f t="shared" si="291"/>
        <v>53500000</v>
      </c>
      <c r="Q1707" s="15" t="str">
        <f t="shared" si="289"/>
        <v/>
      </c>
      <c r="R1707" s="18" t="s">
        <v>29</v>
      </c>
      <c r="S1707" s="23">
        <v>43709</v>
      </c>
      <c r="T1707" s="20">
        <f>IFERROR(VLOOKUP(S1707,'Date Converter'!$A$4:$C$368,3,0),"")</f>
        <v>43737</v>
      </c>
      <c r="U1707" s="21">
        <f t="shared" si="290"/>
        <v>43737</v>
      </c>
      <c r="V1707" s="12" t="s">
        <v>51</v>
      </c>
      <c r="W1707" s="18"/>
      <c r="X1707" s="18"/>
      <c r="Y1707" s="12"/>
      <c r="Z1707" s="206"/>
      <c r="AA1707" s="15"/>
      <c r="AB1707" s="206"/>
      <c r="AC1707" s="12"/>
      <c r="AD1707" s="206"/>
      <c r="AE1707" s="12"/>
      <c r="AF1707" s="245"/>
      <c r="AG1707" s="12"/>
      <c r="AH1707" s="15">
        <f t="shared" si="286"/>
        <v>0</v>
      </c>
      <c r="AI1707" s="22">
        <f t="shared" si="287"/>
        <v>5000</v>
      </c>
      <c r="AJ1707" s="22">
        <f t="shared" si="288"/>
        <v>53500000</v>
      </c>
    </row>
    <row r="1708" spans="1:37" s="165" customFormat="1" hidden="1" outlineLevel="1">
      <c r="A1708" s="165" t="s">
        <v>1584</v>
      </c>
      <c r="B1708" s="13">
        <v>43607</v>
      </c>
      <c r="C1708" s="13" t="s">
        <v>23</v>
      </c>
      <c r="D1708" s="165" t="s">
        <v>986</v>
      </c>
      <c r="E1708" s="198" t="s">
        <v>987</v>
      </c>
      <c r="F1708" s="165" t="str">
        <f t="shared" si="292"/>
        <v>ROBI_14.16_300_NL2018</v>
      </c>
      <c r="G1708" s="165" t="s">
        <v>61</v>
      </c>
      <c r="H1708" s="12"/>
      <c r="I1708" s="12" t="s">
        <v>47</v>
      </c>
      <c r="J1708" s="31" t="s">
        <v>124</v>
      </c>
      <c r="K1708" s="15" t="s">
        <v>28</v>
      </c>
      <c r="L1708" s="15"/>
      <c r="M1708" s="16">
        <f t="shared" si="293"/>
        <v>27</v>
      </c>
      <c r="N1708" s="15">
        <f>5100+3000</f>
        <v>8100</v>
      </c>
      <c r="O1708" s="15">
        <v>3800</v>
      </c>
      <c r="P1708" s="15">
        <f t="shared" si="291"/>
        <v>30780000</v>
      </c>
      <c r="Q1708" s="15" t="str">
        <f t="shared" si="289"/>
        <v>Done</v>
      </c>
      <c r="R1708" s="18" t="s">
        <v>44</v>
      </c>
      <c r="S1708" s="23">
        <v>43590</v>
      </c>
      <c r="T1708" s="20">
        <f>IFERROR(VLOOKUP(S1708,'Date Converter'!$A$4:$C$368,3,0),"")</f>
        <v>43623</v>
      </c>
      <c r="U1708" s="21">
        <f t="shared" si="290"/>
        <v>43623</v>
      </c>
      <c r="V1708" s="12"/>
      <c r="W1708" s="18"/>
      <c r="X1708" s="18"/>
      <c r="Y1708" s="12"/>
      <c r="Z1708" s="206">
        <v>43633</v>
      </c>
      <c r="AA1708" s="15">
        <v>8100</v>
      </c>
      <c r="AB1708" s="206"/>
      <c r="AC1708" s="12"/>
      <c r="AD1708" s="206"/>
      <c r="AE1708" s="12"/>
      <c r="AF1708" s="245"/>
      <c r="AG1708" s="12"/>
      <c r="AH1708" s="15">
        <f t="shared" si="286"/>
        <v>8100</v>
      </c>
      <c r="AI1708" s="22">
        <f t="shared" si="287"/>
        <v>0</v>
      </c>
      <c r="AJ1708" s="22">
        <f t="shared" si="288"/>
        <v>0</v>
      </c>
    </row>
    <row r="1709" spans="1:37" s="165" customFormat="1" hidden="1" outlineLevel="1">
      <c r="A1709" s="165" t="s">
        <v>1584</v>
      </c>
      <c r="B1709" s="13">
        <v>43607</v>
      </c>
      <c r="C1709" s="13" t="s">
        <v>23</v>
      </c>
      <c r="D1709" s="165" t="s">
        <v>986</v>
      </c>
      <c r="E1709" s="198" t="s">
        <v>987</v>
      </c>
      <c r="F1709" s="165" t="str">
        <f t="shared" si="292"/>
        <v>ROBI_14.16_300_NL2018</v>
      </c>
      <c r="G1709" s="165" t="s">
        <v>61</v>
      </c>
      <c r="H1709" s="12"/>
      <c r="I1709" s="12" t="s">
        <v>47</v>
      </c>
      <c r="J1709" s="31" t="s">
        <v>124</v>
      </c>
      <c r="K1709" s="15" t="s">
        <v>28</v>
      </c>
      <c r="L1709" s="15"/>
      <c r="M1709" s="16">
        <f t="shared" si="293"/>
        <v>34</v>
      </c>
      <c r="N1709" s="15">
        <f>5100+5100</f>
        <v>10200</v>
      </c>
      <c r="O1709" s="15">
        <v>3900</v>
      </c>
      <c r="P1709" s="15">
        <f t="shared" si="291"/>
        <v>39780000</v>
      </c>
      <c r="Q1709" s="15" t="str">
        <f t="shared" si="289"/>
        <v/>
      </c>
      <c r="R1709" s="18" t="s">
        <v>31</v>
      </c>
      <c r="S1709" s="23">
        <v>43615</v>
      </c>
      <c r="T1709" s="20">
        <f>IFERROR(VLOOKUP(S1709,'Date Converter'!$A$4:$C$368,3,0),"")</f>
        <v>43648</v>
      </c>
      <c r="U1709" s="21">
        <f t="shared" si="290"/>
        <v>43648</v>
      </c>
      <c r="V1709" s="12"/>
      <c r="W1709" s="18"/>
      <c r="X1709" s="18"/>
      <c r="Y1709" s="12"/>
      <c r="Z1709" s="206"/>
      <c r="AA1709" s="15"/>
      <c r="AB1709" s="206"/>
      <c r="AC1709" s="12"/>
      <c r="AD1709" s="206"/>
      <c r="AE1709" s="12"/>
      <c r="AF1709" s="245"/>
      <c r="AG1709" s="12"/>
      <c r="AH1709" s="15">
        <f t="shared" ref="AH1709:AH1772" si="294">+AA1709+AC1709+AE1709+AG1709</f>
        <v>0</v>
      </c>
      <c r="AI1709" s="22">
        <f t="shared" ref="AI1709:AI1772" si="295">+N1709-AH1709</f>
        <v>10200</v>
      </c>
      <c r="AJ1709" s="22">
        <f t="shared" ref="AJ1709:AJ1772" si="296">+AI1709*O1709</f>
        <v>39780000</v>
      </c>
    </row>
    <row r="1710" spans="1:37" s="165" customFormat="1" hidden="1" outlineLevel="1">
      <c r="A1710" s="165" t="s">
        <v>1584</v>
      </c>
      <c r="B1710" s="13">
        <v>43616</v>
      </c>
      <c r="C1710" s="13" t="s">
        <v>23</v>
      </c>
      <c r="D1710" s="165" t="s">
        <v>986</v>
      </c>
      <c r="E1710" s="198" t="s">
        <v>987</v>
      </c>
      <c r="F1710" s="165" t="str">
        <f t="shared" si="292"/>
        <v>ROBI_14.16_300_NL2018</v>
      </c>
      <c r="G1710" s="165" t="s">
        <v>61</v>
      </c>
      <c r="H1710" s="12"/>
      <c r="I1710" s="12" t="s">
        <v>47</v>
      </c>
      <c r="J1710" s="31" t="s">
        <v>124</v>
      </c>
      <c r="K1710" s="15" t="s">
        <v>28</v>
      </c>
      <c r="L1710" s="15"/>
      <c r="M1710" s="16">
        <f t="shared" si="293"/>
        <v>34</v>
      </c>
      <c r="N1710" s="15">
        <f>5100+5100</f>
        <v>10200</v>
      </c>
      <c r="O1710" s="15">
        <v>3900</v>
      </c>
      <c r="P1710" s="15">
        <f t="shared" si="291"/>
        <v>39780000</v>
      </c>
      <c r="Q1710" s="15" t="str">
        <f t="shared" si="289"/>
        <v/>
      </c>
      <c r="R1710" s="18" t="s">
        <v>29</v>
      </c>
      <c r="S1710" s="23">
        <v>43647</v>
      </c>
      <c r="T1710" s="20">
        <f>IFERROR(VLOOKUP(S1710,'Date Converter'!$A$4:$C$368,3,0),"")</f>
        <v>43678</v>
      </c>
      <c r="U1710" s="21">
        <f t="shared" si="290"/>
        <v>43678</v>
      </c>
      <c r="V1710" s="12"/>
      <c r="W1710" s="18"/>
      <c r="X1710" s="18"/>
      <c r="Y1710" s="12"/>
      <c r="Z1710" s="206"/>
      <c r="AA1710" s="15"/>
      <c r="AB1710" s="206"/>
      <c r="AC1710" s="12"/>
      <c r="AD1710" s="206"/>
      <c r="AE1710" s="12"/>
      <c r="AF1710" s="245"/>
      <c r="AG1710" s="12"/>
      <c r="AH1710" s="15">
        <f t="shared" si="294"/>
        <v>0</v>
      </c>
      <c r="AI1710" s="22">
        <f t="shared" si="295"/>
        <v>10200</v>
      </c>
      <c r="AJ1710" s="22">
        <f t="shared" si="296"/>
        <v>39780000</v>
      </c>
    </row>
    <row r="1711" spans="1:37" s="165" customFormat="1" hidden="1" outlineLevel="1">
      <c r="A1711" s="165" t="s">
        <v>1592</v>
      </c>
      <c r="B1711" s="13">
        <v>43601</v>
      </c>
      <c r="C1711" s="13" t="s">
        <v>23</v>
      </c>
      <c r="D1711" s="258" t="s">
        <v>986</v>
      </c>
      <c r="E1711" s="97" t="s">
        <v>987</v>
      </c>
      <c r="F1711" s="165" t="str">
        <f t="shared" si="292"/>
        <v>MANI_24.26_80_NL2018</v>
      </c>
      <c r="G1711" s="165" t="s">
        <v>105</v>
      </c>
      <c r="H1711" s="12"/>
      <c r="I1711" s="12" t="s">
        <v>220</v>
      </c>
      <c r="J1711" s="31" t="s">
        <v>504</v>
      </c>
      <c r="K1711" s="15" t="s">
        <v>28</v>
      </c>
      <c r="L1711" s="15"/>
      <c r="M1711" s="16">
        <f t="shared" si="293"/>
        <v>35</v>
      </c>
      <c r="N1711" s="15">
        <v>2800</v>
      </c>
      <c r="O1711" s="15">
        <v>16200</v>
      </c>
      <c r="P1711" s="15">
        <f t="shared" si="291"/>
        <v>45360000</v>
      </c>
      <c r="Q1711" s="15" t="str">
        <f t="shared" si="289"/>
        <v/>
      </c>
      <c r="R1711" s="18" t="s">
        <v>29</v>
      </c>
      <c r="S1711" s="23">
        <v>43709</v>
      </c>
      <c r="T1711" s="20">
        <f>IFERROR(VLOOKUP(S1711,'Date Converter'!$A$4:$C$368,3,0),"")</f>
        <v>43737</v>
      </c>
      <c r="U1711" s="21">
        <f t="shared" si="290"/>
        <v>43737</v>
      </c>
      <c r="V1711" s="12" t="s">
        <v>51</v>
      </c>
      <c r="W1711" s="18"/>
      <c r="X1711" s="18"/>
      <c r="Y1711" s="12"/>
      <c r="Z1711" s="206"/>
      <c r="AA1711" s="15"/>
      <c r="AB1711" s="206"/>
      <c r="AC1711" s="12"/>
      <c r="AD1711" s="206"/>
      <c r="AE1711" s="12"/>
      <c r="AF1711" s="245"/>
      <c r="AG1711" s="12"/>
      <c r="AH1711" s="15">
        <f t="shared" si="294"/>
        <v>0</v>
      </c>
      <c r="AI1711" s="22">
        <f t="shared" si="295"/>
        <v>2800</v>
      </c>
      <c r="AJ1711" s="22">
        <f t="shared" si="296"/>
        <v>45360000</v>
      </c>
    </row>
    <row r="1712" spans="1:37" s="165" customFormat="1" hidden="1" outlineLevel="1">
      <c r="A1712" s="165" t="s">
        <v>1592</v>
      </c>
      <c r="B1712" s="13">
        <v>43601</v>
      </c>
      <c r="C1712" s="13" t="s">
        <v>23</v>
      </c>
      <c r="D1712" s="258" t="s">
        <v>986</v>
      </c>
      <c r="E1712" s="97" t="s">
        <v>987</v>
      </c>
      <c r="F1712" s="165" t="str">
        <f t="shared" si="292"/>
        <v>MANI_20.22_125_NL2018</v>
      </c>
      <c r="G1712" s="165" t="s">
        <v>105</v>
      </c>
      <c r="H1712" s="12"/>
      <c r="I1712" s="12" t="s">
        <v>74</v>
      </c>
      <c r="J1712" s="31" t="s">
        <v>122</v>
      </c>
      <c r="K1712" s="15" t="s">
        <v>28</v>
      </c>
      <c r="L1712" s="15"/>
      <c r="M1712" s="16">
        <f t="shared" si="293"/>
        <v>19</v>
      </c>
      <c r="N1712" s="15">
        <v>2375</v>
      </c>
      <c r="O1712" s="15">
        <v>13600</v>
      </c>
      <c r="P1712" s="15">
        <f t="shared" si="291"/>
        <v>32300000</v>
      </c>
      <c r="Q1712" s="15" t="str">
        <f t="shared" si="289"/>
        <v/>
      </c>
      <c r="R1712" s="18" t="s">
        <v>29</v>
      </c>
      <c r="S1712" s="23">
        <v>43709</v>
      </c>
      <c r="T1712" s="20">
        <f>IFERROR(VLOOKUP(S1712,'Date Converter'!$A$4:$C$368,3,0),"")</f>
        <v>43737</v>
      </c>
      <c r="U1712" s="21">
        <f t="shared" si="290"/>
        <v>43737</v>
      </c>
      <c r="V1712" s="12" t="s">
        <v>51</v>
      </c>
      <c r="W1712" s="18"/>
      <c r="X1712" s="18"/>
      <c r="Y1712" s="12"/>
      <c r="Z1712" s="206"/>
      <c r="AA1712" s="15"/>
      <c r="AB1712" s="206"/>
      <c r="AC1712" s="12"/>
      <c r="AD1712" s="206"/>
      <c r="AE1712" s="12"/>
      <c r="AF1712" s="245"/>
      <c r="AG1712" s="12"/>
      <c r="AH1712" s="15">
        <f t="shared" si="294"/>
        <v>0</v>
      </c>
      <c r="AI1712" s="22">
        <f t="shared" si="295"/>
        <v>2375</v>
      </c>
      <c r="AJ1712" s="22">
        <f t="shared" si="296"/>
        <v>32300000</v>
      </c>
    </row>
    <row r="1713" spans="1:38" s="165" customFormat="1" hidden="1" outlineLevel="1">
      <c r="A1713" s="165" t="s">
        <v>1584</v>
      </c>
      <c r="B1713" s="13">
        <v>43621</v>
      </c>
      <c r="C1713" s="13" t="s">
        <v>23</v>
      </c>
      <c r="D1713" s="165" t="s">
        <v>986</v>
      </c>
      <c r="E1713" s="198" t="s">
        <v>987</v>
      </c>
      <c r="F1713" s="165" t="str">
        <f t="shared" si="292"/>
        <v>DALI_14.16_300_NL2018</v>
      </c>
      <c r="G1713" s="165" t="s">
        <v>46</v>
      </c>
      <c r="H1713" s="12"/>
      <c r="I1713" s="12" t="s">
        <v>47</v>
      </c>
      <c r="J1713" s="31" t="s">
        <v>124</v>
      </c>
      <c r="K1713" s="15" t="s">
        <v>28</v>
      </c>
      <c r="L1713" s="15"/>
      <c r="M1713" s="16">
        <f t="shared" si="293"/>
        <v>9</v>
      </c>
      <c r="N1713" s="15">
        <v>2700</v>
      </c>
      <c r="O1713" s="15">
        <v>5500</v>
      </c>
      <c r="P1713" s="15">
        <f t="shared" si="291"/>
        <v>14850000</v>
      </c>
      <c r="Q1713" s="15" t="str">
        <f t="shared" si="289"/>
        <v>Done</v>
      </c>
      <c r="R1713" s="18" t="s">
        <v>44</v>
      </c>
      <c r="S1713" s="23">
        <v>43590</v>
      </c>
      <c r="T1713" s="20">
        <f>IFERROR(VLOOKUP(S1713,'Date Converter'!$A$4:$C$368,3,0),"")</f>
        <v>43623</v>
      </c>
      <c r="U1713" s="21">
        <f t="shared" si="290"/>
        <v>43623</v>
      </c>
      <c r="V1713" s="12"/>
      <c r="W1713" s="18"/>
      <c r="X1713" s="18"/>
      <c r="Y1713" s="12"/>
      <c r="Z1713" s="206">
        <v>43633</v>
      </c>
      <c r="AA1713" s="15">
        <v>2700</v>
      </c>
      <c r="AB1713" s="206"/>
      <c r="AC1713" s="12"/>
      <c r="AD1713" s="206"/>
      <c r="AE1713" s="12"/>
      <c r="AF1713" s="245"/>
      <c r="AG1713" s="12"/>
      <c r="AH1713" s="15">
        <f t="shared" si="294"/>
        <v>2700</v>
      </c>
      <c r="AI1713" s="22">
        <f t="shared" si="295"/>
        <v>0</v>
      </c>
      <c r="AJ1713" s="22">
        <f t="shared" si="296"/>
        <v>0</v>
      </c>
    </row>
    <row r="1714" spans="1:38" s="165" customFormat="1" hidden="1" outlineLevel="1">
      <c r="A1714" s="165" t="s">
        <v>1584</v>
      </c>
      <c r="B1714" s="13">
        <v>43628</v>
      </c>
      <c r="C1714" s="13" t="s">
        <v>23</v>
      </c>
      <c r="D1714" s="165" t="s">
        <v>986</v>
      </c>
      <c r="E1714" s="198" t="s">
        <v>987</v>
      </c>
      <c r="F1714" s="165" t="str">
        <f t="shared" si="292"/>
        <v>DALI_14.16_300_NL2018</v>
      </c>
      <c r="G1714" s="165" t="s">
        <v>46</v>
      </c>
      <c r="H1714" s="12"/>
      <c r="I1714" s="12" t="s">
        <v>47</v>
      </c>
      <c r="J1714" s="31" t="s">
        <v>124</v>
      </c>
      <c r="K1714" s="15" t="s">
        <v>28</v>
      </c>
      <c r="L1714" s="15"/>
      <c r="M1714" s="16">
        <f t="shared" si="293"/>
        <v>17</v>
      </c>
      <c r="N1714" s="15">
        <v>5100</v>
      </c>
      <c r="O1714" s="15">
        <v>5500</v>
      </c>
      <c r="P1714" s="15">
        <f t="shared" si="291"/>
        <v>28050000</v>
      </c>
      <c r="Q1714" s="15" t="str">
        <f t="shared" si="289"/>
        <v>Done</v>
      </c>
      <c r="R1714" s="18" t="s">
        <v>44</v>
      </c>
      <c r="S1714" s="23">
        <v>43590</v>
      </c>
      <c r="T1714" s="20">
        <f>IFERROR(VLOOKUP(S1714,'Date Converter'!$A$4:$C$368,3,0),"")</f>
        <v>43623</v>
      </c>
      <c r="U1714" s="21">
        <f t="shared" si="290"/>
        <v>43623</v>
      </c>
      <c r="V1714" s="12"/>
      <c r="W1714" s="18"/>
      <c r="X1714" s="18"/>
      <c r="Y1714" s="12"/>
      <c r="Z1714" s="206">
        <v>43633</v>
      </c>
      <c r="AA1714" s="15">
        <v>5100</v>
      </c>
      <c r="AB1714" s="206"/>
      <c r="AC1714" s="12"/>
      <c r="AD1714" s="206"/>
      <c r="AE1714" s="12"/>
      <c r="AF1714" s="245"/>
      <c r="AG1714" s="12"/>
      <c r="AH1714" s="15">
        <f t="shared" si="294"/>
        <v>5100</v>
      </c>
      <c r="AI1714" s="22">
        <f t="shared" si="295"/>
        <v>0</v>
      </c>
      <c r="AJ1714" s="22">
        <f t="shared" si="296"/>
        <v>0</v>
      </c>
    </row>
    <row r="1715" spans="1:38" s="165" customFormat="1" hidden="1" outlineLevel="1">
      <c r="A1715" s="165" t="s">
        <v>1592</v>
      </c>
      <c r="B1715" s="13">
        <v>43633</v>
      </c>
      <c r="C1715" s="13" t="s">
        <v>23</v>
      </c>
      <c r="D1715" s="258" t="s">
        <v>986</v>
      </c>
      <c r="E1715" s="97" t="s">
        <v>987</v>
      </c>
      <c r="F1715" s="165" t="str">
        <f t="shared" si="292"/>
        <v>CONC_20.22_125_NL2018</v>
      </c>
      <c r="G1715" s="165" t="s">
        <v>40</v>
      </c>
      <c r="H1715" s="12"/>
      <c r="I1715" s="12" t="s">
        <v>74</v>
      </c>
      <c r="J1715" s="31" t="s">
        <v>122</v>
      </c>
      <c r="K1715" s="15" t="s">
        <v>28</v>
      </c>
      <c r="L1715" s="15"/>
      <c r="M1715" s="16">
        <f t="shared" si="293"/>
        <v>40</v>
      </c>
      <c r="N1715" s="15">
        <v>5000</v>
      </c>
      <c r="O1715" s="15">
        <v>10600</v>
      </c>
      <c r="P1715" s="15">
        <f t="shared" si="291"/>
        <v>53000000</v>
      </c>
      <c r="Q1715" s="15" t="str">
        <f t="shared" si="289"/>
        <v/>
      </c>
      <c r="R1715" s="18" t="s">
        <v>29</v>
      </c>
      <c r="S1715" s="23">
        <v>43709</v>
      </c>
      <c r="T1715" s="20">
        <f>IFERROR(VLOOKUP(S1715,'Date Converter'!$A$4:$C$368,3,0),"")</f>
        <v>43737</v>
      </c>
      <c r="U1715" s="21">
        <f t="shared" si="290"/>
        <v>43737</v>
      </c>
      <c r="V1715" s="12" t="s">
        <v>51</v>
      </c>
      <c r="W1715" s="18"/>
      <c r="X1715" s="18"/>
      <c r="Y1715" s="12"/>
      <c r="Z1715" s="206"/>
      <c r="AA1715" s="15"/>
      <c r="AB1715" s="206"/>
      <c r="AC1715" s="12"/>
      <c r="AD1715" s="206"/>
      <c r="AE1715" s="12"/>
      <c r="AF1715" s="245"/>
      <c r="AG1715" s="12"/>
      <c r="AH1715" s="15">
        <f t="shared" si="294"/>
        <v>0</v>
      </c>
      <c r="AI1715" s="22">
        <f t="shared" si="295"/>
        <v>5000</v>
      </c>
      <c r="AJ1715" s="22">
        <f t="shared" si="296"/>
        <v>53000000</v>
      </c>
    </row>
    <row r="1716" spans="1:38" s="165" customFormat="1" hidden="1" outlineLevel="1">
      <c r="A1716" s="165" t="s">
        <v>1584</v>
      </c>
      <c r="B1716" s="13">
        <v>43628</v>
      </c>
      <c r="C1716" s="13" t="s">
        <v>23</v>
      </c>
      <c r="D1716" s="165" t="s">
        <v>986</v>
      </c>
      <c r="E1716" s="198" t="s">
        <v>987</v>
      </c>
      <c r="F1716" s="165" t="str">
        <f t="shared" si="292"/>
        <v>ALUS_14.16_300_NL2018</v>
      </c>
      <c r="G1716" s="165" t="s">
        <v>501</v>
      </c>
      <c r="H1716" s="12"/>
      <c r="I1716" s="12" t="s">
        <v>47</v>
      </c>
      <c r="J1716" s="31" t="s">
        <v>124</v>
      </c>
      <c r="K1716" s="15" t="s">
        <v>28</v>
      </c>
      <c r="L1716" s="15"/>
      <c r="M1716" s="16">
        <f t="shared" si="293"/>
        <v>17</v>
      </c>
      <c r="N1716" s="15">
        <v>5100</v>
      </c>
      <c r="O1716" s="15">
        <v>4200</v>
      </c>
      <c r="P1716" s="15">
        <f t="shared" si="291"/>
        <v>21420000</v>
      </c>
      <c r="Q1716" s="15" t="str">
        <f t="shared" si="289"/>
        <v>Done</v>
      </c>
      <c r="R1716" s="18" t="s">
        <v>44</v>
      </c>
      <c r="S1716" s="23">
        <v>43590</v>
      </c>
      <c r="T1716" s="20">
        <f>IFERROR(VLOOKUP(S1716,'Date Converter'!$A$4:$C$368,3,0),"")</f>
        <v>43623</v>
      </c>
      <c r="U1716" s="21">
        <f t="shared" si="290"/>
        <v>43623</v>
      </c>
      <c r="V1716" s="12"/>
      <c r="W1716" s="18"/>
      <c r="X1716" s="18"/>
      <c r="Y1716" s="12"/>
      <c r="Z1716" s="206">
        <v>43633</v>
      </c>
      <c r="AA1716" s="15">
        <v>5100</v>
      </c>
      <c r="AB1716" s="206"/>
      <c r="AC1716" s="12"/>
      <c r="AD1716" s="206"/>
      <c r="AE1716" s="12"/>
      <c r="AF1716" s="245"/>
      <c r="AG1716" s="12"/>
      <c r="AH1716" s="15">
        <f t="shared" si="294"/>
        <v>5100</v>
      </c>
      <c r="AI1716" s="22">
        <f t="shared" si="295"/>
        <v>0</v>
      </c>
      <c r="AJ1716" s="22">
        <f t="shared" si="296"/>
        <v>0</v>
      </c>
    </row>
    <row r="1717" spans="1:38" s="165" customFormat="1" hidden="1" outlineLevel="1">
      <c r="A1717" s="165" t="s">
        <v>326</v>
      </c>
      <c r="B1717" s="13">
        <v>43508</v>
      </c>
      <c r="C1717" s="13" t="s">
        <v>23</v>
      </c>
      <c r="D1717" s="165" t="s">
        <v>207</v>
      </c>
      <c r="E1717" s="165" t="s">
        <v>208</v>
      </c>
      <c r="F1717" s="165" t="str">
        <f t="shared" si="292"/>
        <v>TARR_14.16_300_NL2018</v>
      </c>
      <c r="G1717" s="165" t="s">
        <v>62</v>
      </c>
      <c r="H1717" s="12"/>
      <c r="I1717" s="12" t="s">
        <v>47</v>
      </c>
      <c r="J1717" s="14">
        <v>300</v>
      </c>
      <c r="K1717" s="15" t="s">
        <v>28</v>
      </c>
      <c r="L1717" s="15"/>
      <c r="M1717" s="16">
        <f t="shared" si="293"/>
        <v>0</v>
      </c>
      <c r="N1717" s="15">
        <f>4200-4200</f>
        <v>0</v>
      </c>
      <c r="O1717" s="15">
        <v>4600</v>
      </c>
      <c r="P1717" s="15">
        <f t="shared" si="291"/>
        <v>0</v>
      </c>
      <c r="Q1717" s="15" t="str">
        <f t="shared" si="289"/>
        <v>Canceled</v>
      </c>
      <c r="R1717" s="18" t="s">
        <v>71</v>
      </c>
      <c r="S1717" s="23">
        <v>43539</v>
      </c>
      <c r="T1717" s="20">
        <f>IFERROR(VLOOKUP(S1717,'Date Converter'!$A$4:$C$368,3,0),"")</f>
        <v>43574</v>
      </c>
      <c r="U1717" s="21">
        <f t="shared" si="290"/>
        <v>43574</v>
      </c>
      <c r="V1717" s="12" t="s">
        <v>209</v>
      </c>
      <c r="W1717" s="18" t="s">
        <v>143</v>
      </c>
      <c r="X1717" s="18">
        <v>43569</v>
      </c>
      <c r="Y1717" s="15" t="s">
        <v>59</v>
      </c>
      <c r="Z1717" s="206"/>
      <c r="AA1717" s="15">
        <v>0</v>
      </c>
      <c r="AB1717" s="206"/>
      <c r="AC1717" s="15"/>
      <c r="AD1717" s="206"/>
      <c r="AE1717" s="15"/>
      <c r="AF1717" s="244"/>
      <c r="AG1717" s="15"/>
      <c r="AH1717" s="15">
        <f t="shared" si="294"/>
        <v>0</v>
      </c>
      <c r="AI1717" s="22">
        <f t="shared" si="295"/>
        <v>0</v>
      </c>
      <c r="AJ1717" s="22">
        <f t="shared" si="296"/>
        <v>0</v>
      </c>
    </row>
    <row r="1718" spans="1:38" s="165" customFormat="1" hidden="1" outlineLevel="1">
      <c r="A1718" s="165" t="s">
        <v>326</v>
      </c>
      <c r="B1718" s="13">
        <v>43508</v>
      </c>
      <c r="C1718" s="13" t="s">
        <v>23</v>
      </c>
      <c r="D1718" s="165" t="s">
        <v>207</v>
      </c>
      <c r="E1718" s="165" t="s">
        <v>208</v>
      </c>
      <c r="F1718" s="165" t="str">
        <f t="shared" si="292"/>
        <v>TARR_14.16_300_NL2018</v>
      </c>
      <c r="G1718" s="165" t="s">
        <v>62</v>
      </c>
      <c r="H1718" s="12"/>
      <c r="I1718" s="12" t="s">
        <v>47</v>
      </c>
      <c r="J1718" s="14">
        <v>300</v>
      </c>
      <c r="K1718" s="15" t="s">
        <v>28</v>
      </c>
      <c r="L1718" s="15"/>
      <c r="M1718" s="16">
        <f t="shared" si="293"/>
        <v>7</v>
      </c>
      <c r="N1718" s="15">
        <f>3000-900</f>
        <v>2100</v>
      </c>
      <c r="O1718" s="15">
        <v>4600</v>
      </c>
      <c r="P1718" s="15">
        <f t="shared" si="291"/>
        <v>9660000</v>
      </c>
      <c r="Q1718" s="15" t="str">
        <f t="shared" si="289"/>
        <v>Done</v>
      </c>
      <c r="R1718" s="18" t="s">
        <v>44</v>
      </c>
      <c r="S1718" s="23">
        <v>43511</v>
      </c>
      <c r="T1718" s="20">
        <f>IFERROR(VLOOKUP(S1718,'Date Converter'!$A$4:$C$368,3,0),"")</f>
        <v>43544</v>
      </c>
      <c r="U1718" s="21">
        <f t="shared" si="290"/>
        <v>43544</v>
      </c>
      <c r="V1718" s="12" t="s">
        <v>209</v>
      </c>
      <c r="W1718" s="18" t="s">
        <v>41</v>
      </c>
      <c r="X1718" s="18">
        <v>43541</v>
      </c>
      <c r="Y1718" s="15" t="s">
        <v>59</v>
      </c>
      <c r="Z1718" s="206">
        <v>43547</v>
      </c>
      <c r="AA1718" s="15">
        <v>2100</v>
      </c>
      <c r="AB1718" s="206"/>
      <c r="AC1718" s="15"/>
      <c r="AD1718" s="206"/>
      <c r="AE1718" s="15"/>
      <c r="AF1718" s="244"/>
      <c r="AG1718" s="15"/>
      <c r="AH1718" s="15">
        <f t="shared" si="294"/>
        <v>2100</v>
      </c>
      <c r="AI1718" s="22">
        <f t="shared" si="295"/>
        <v>0</v>
      </c>
      <c r="AJ1718" s="22">
        <f t="shared" si="296"/>
        <v>0</v>
      </c>
    </row>
    <row r="1719" spans="1:38" s="165" customFormat="1" hidden="1" outlineLevel="1">
      <c r="A1719" s="165" t="s">
        <v>326</v>
      </c>
      <c r="B1719" s="13">
        <v>43508</v>
      </c>
      <c r="C1719" s="13" t="s">
        <v>23</v>
      </c>
      <c r="D1719" s="165" t="s">
        <v>207</v>
      </c>
      <c r="E1719" s="165" t="s">
        <v>208</v>
      </c>
      <c r="F1719" s="165" t="str">
        <f t="shared" si="292"/>
        <v>ROBI_16.18_200_NL2018</v>
      </c>
      <c r="G1719" s="165" t="s">
        <v>61</v>
      </c>
      <c r="H1719" s="12"/>
      <c r="I1719" s="12" t="s">
        <v>35</v>
      </c>
      <c r="J1719" s="14">
        <v>200</v>
      </c>
      <c r="K1719" s="15" t="s">
        <v>28</v>
      </c>
      <c r="L1719" s="15"/>
      <c r="M1719" s="16">
        <f t="shared" si="293"/>
        <v>0</v>
      </c>
      <c r="N1719" s="15">
        <f>3000-1200-1800</f>
        <v>0</v>
      </c>
      <c r="O1719" s="15">
        <v>5000</v>
      </c>
      <c r="P1719" s="15">
        <f t="shared" si="291"/>
        <v>0</v>
      </c>
      <c r="Q1719" s="15" t="str">
        <f t="shared" si="289"/>
        <v>Canceled</v>
      </c>
      <c r="R1719" s="18" t="s">
        <v>71</v>
      </c>
      <c r="S1719" s="23">
        <v>43539</v>
      </c>
      <c r="T1719" s="20">
        <f>IFERROR(VLOOKUP(S1719,'Date Converter'!$A$4:$C$368,3,0),"")</f>
        <v>43574</v>
      </c>
      <c r="U1719" s="21">
        <f t="shared" si="290"/>
        <v>43574</v>
      </c>
      <c r="V1719" s="12" t="s">
        <v>57</v>
      </c>
      <c r="W1719" s="18" t="s">
        <v>141</v>
      </c>
      <c r="X1719" s="18">
        <v>43569</v>
      </c>
      <c r="Y1719" s="15" t="s">
        <v>59</v>
      </c>
      <c r="Z1719" s="206"/>
      <c r="AA1719" s="15">
        <v>0</v>
      </c>
      <c r="AB1719" s="206"/>
      <c r="AC1719" s="15"/>
      <c r="AD1719" s="206"/>
      <c r="AE1719" s="15"/>
      <c r="AF1719" s="244"/>
      <c r="AG1719" s="15"/>
      <c r="AH1719" s="15">
        <f t="shared" si="294"/>
        <v>0</v>
      </c>
      <c r="AI1719" s="22">
        <f t="shared" si="295"/>
        <v>0</v>
      </c>
      <c r="AJ1719" s="22">
        <f t="shared" si="296"/>
        <v>0</v>
      </c>
    </row>
    <row r="1720" spans="1:38" s="165" customFormat="1" hidden="1" outlineLevel="1">
      <c r="A1720" s="165" t="s">
        <v>326</v>
      </c>
      <c r="B1720" s="13">
        <v>43605</v>
      </c>
      <c r="C1720" s="13" t="s">
        <v>23</v>
      </c>
      <c r="D1720" s="165" t="s">
        <v>207</v>
      </c>
      <c r="E1720" s="165" t="s">
        <v>208</v>
      </c>
      <c r="F1720" s="165" t="str">
        <f t="shared" si="292"/>
        <v>DALI_14.16_300_NL2018</v>
      </c>
      <c r="G1720" s="165" t="s">
        <v>46</v>
      </c>
      <c r="H1720" s="12"/>
      <c r="I1720" s="12" t="s">
        <v>47</v>
      </c>
      <c r="J1720" s="14">
        <v>300</v>
      </c>
      <c r="K1720" s="15" t="s">
        <v>28</v>
      </c>
      <c r="L1720" s="15"/>
      <c r="M1720" s="16">
        <f t="shared" si="293"/>
        <v>7</v>
      </c>
      <c r="N1720" s="15">
        <v>2100</v>
      </c>
      <c r="O1720" s="15">
        <v>5500</v>
      </c>
      <c r="P1720" s="15">
        <f t="shared" si="291"/>
        <v>11550000</v>
      </c>
      <c r="Q1720" s="15" t="str">
        <f t="shared" si="289"/>
        <v>Done</v>
      </c>
      <c r="R1720" s="18" t="s">
        <v>44</v>
      </c>
      <c r="S1720" s="23">
        <v>43572</v>
      </c>
      <c r="T1720" s="20">
        <f>IFERROR(VLOOKUP(S1720,'Date Converter'!$A$4:$C$368,3,0),"")</f>
        <v>43606</v>
      </c>
      <c r="U1720" s="21">
        <f t="shared" si="290"/>
        <v>43606</v>
      </c>
      <c r="V1720" s="12"/>
      <c r="W1720" s="18"/>
      <c r="X1720" s="18"/>
      <c r="Y1720" s="15"/>
      <c r="Z1720" s="206">
        <v>43606</v>
      </c>
      <c r="AA1720" s="15">
        <v>2100</v>
      </c>
      <c r="AB1720" s="206"/>
      <c r="AC1720" s="15"/>
      <c r="AD1720" s="206"/>
      <c r="AE1720" s="15"/>
      <c r="AF1720" s="244"/>
      <c r="AG1720" s="15"/>
      <c r="AH1720" s="15">
        <f t="shared" si="294"/>
        <v>2100</v>
      </c>
      <c r="AI1720" s="22">
        <f t="shared" si="295"/>
        <v>0</v>
      </c>
      <c r="AJ1720" s="22">
        <f t="shared" si="296"/>
        <v>0</v>
      </c>
    </row>
    <row r="1721" spans="1:38" s="165" customFormat="1" hidden="1" outlineLevel="1">
      <c r="A1721" s="165" t="s">
        <v>326</v>
      </c>
      <c r="B1721" s="13">
        <v>43508</v>
      </c>
      <c r="C1721" s="13" t="s">
        <v>23</v>
      </c>
      <c r="D1721" s="165" t="s">
        <v>207</v>
      </c>
      <c r="E1721" s="165" t="s">
        <v>208</v>
      </c>
      <c r="F1721" s="165" t="str">
        <f t="shared" si="292"/>
        <v>BACA_16.18_200_NL2018</v>
      </c>
      <c r="G1721" s="165" t="s">
        <v>67</v>
      </c>
      <c r="H1721" s="12"/>
      <c r="I1721" s="12" t="s">
        <v>35</v>
      </c>
      <c r="J1721" s="14">
        <v>200</v>
      </c>
      <c r="K1721" s="15" t="s">
        <v>28</v>
      </c>
      <c r="L1721" s="15"/>
      <c r="M1721" s="16">
        <f t="shared" si="293"/>
        <v>0</v>
      </c>
      <c r="N1721" s="15">
        <f>1000-400-600</f>
        <v>0</v>
      </c>
      <c r="O1721" s="15">
        <v>6300</v>
      </c>
      <c r="P1721" s="15">
        <f t="shared" si="291"/>
        <v>0</v>
      </c>
      <c r="Q1721" s="15" t="str">
        <f t="shared" si="289"/>
        <v>Canceled</v>
      </c>
      <c r="R1721" s="18" t="s">
        <v>71</v>
      </c>
      <c r="S1721" s="23">
        <v>43511</v>
      </c>
      <c r="T1721" s="20">
        <f>IFERROR(VLOOKUP(S1721,'Date Converter'!$A$4:$C$368,3,0),"")</f>
        <v>43544</v>
      </c>
      <c r="U1721" s="21">
        <f t="shared" si="290"/>
        <v>43544</v>
      </c>
      <c r="V1721" s="12" t="s">
        <v>32</v>
      </c>
      <c r="W1721" s="18" t="s">
        <v>48</v>
      </c>
      <c r="X1721" s="18">
        <v>43541</v>
      </c>
      <c r="Y1721" s="15"/>
      <c r="Z1721" s="206"/>
      <c r="AA1721" s="15"/>
      <c r="AB1721" s="206"/>
      <c r="AC1721" s="15"/>
      <c r="AD1721" s="206"/>
      <c r="AE1721" s="15"/>
      <c r="AF1721" s="244"/>
      <c r="AG1721" s="15"/>
      <c r="AH1721" s="15">
        <f t="shared" si="294"/>
        <v>0</v>
      </c>
      <c r="AI1721" s="22">
        <f t="shared" si="295"/>
        <v>0</v>
      </c>
      <c r="AJ1721" s="22">
        <f t="shared" si="296"/>
        <v>0</v>
      </c>
    </row>
    <row r="1722" spans="1:38" s="165" customFormat="1" hidden="1" outlineLevel="1">
      <c r="A1722" s="165" t="s">
        <v>326</v>
      </c>
      <c r="B1722" s="13">
        <v>43508</v>
      </c>
      <c r="C1722" s="13" t="s">
        <v>23</v>
      </c>
      <c r="D1722" s="165" t="s">
        <v>207</v>
      </c>
      <c r="E1722" s="165" t="s">
        <v>208</v>
      </c>
      <c r="F1722" s="165" t="str">
        <f t="shared" si="292"/>
        <v>BACA_15.16_250_NL2018</v>
      </c>
      <c r="G1722" s="165" t="s">
        <v>67</v>
      </c>
      <c r="H1722" s="12"/>
      <c r="I1722" s="12" t="s">
        <v>77</v>
      </c>
      <c r="J1722" s="14">
        <v>250</v>
      </c>
      <c r="K1722" s="15" t="s">
        <v>28</v>
      </c>
      <c r="L1722" s="15"/>
      <c r="M1722" s="16">
        <f t="shared" si="293"/>
        <v>0</v>
      </c>
      <c r="N1722" s="15">
        <f>3000-3000</f>
        <v>0</v>
      </c>
      <c r="O1722" s="15">
        <v>4370</v>
      </c>
      <c r="P1722" s="15">
        <f t="shared" si="291"/>
        <v>0</v>
      </c>
      <c r="Q1722" s="15" t="str">
        <f t="shared" si="289"/>
        <v>Canceled</v>
      </c>
      <c r="R1722" s="18" t="s">
        <v>71</v>
      </c>
      <c r="S1722" s="23">
        <v>43539</v>
      </c>
      <c r="T1722" s="20">
        <f>IFERROR(VLOOKUP(S1722,'Date Converter'!$A$4:$C$368,3,0),"")</f>
        <v>43574</v>
      </c>
      <c r="U1722" s="21">
        <f t="shared" si="290"/>
        <v>43574</v>
      </c>
      <c r="V1722" s="12" t="s">
        <v>57</v>
      </c>
      <c r="W1722" s="18" t="s">
        <v>108</v>
      </c>
      <c r="X1722" s="18">
        <v>43569</v>
      </c>
      <c r="Y1722" s="15" t="s">
        <v>59</v>
      </c>
      <c r="Z1722" s="206"/>
      <c r="AA1722" s="15">
        <v>0</v>
      </c>
      <c r="AB1722" s="206"/>
      <c r="AC1722" s="15"/>
      <c r="AD1722" s="206"/>
      <c r="AE1722" s="15"/>
      <c r="AF1722" s="244"/>
      <c r="AG1722" s="15"/>
      <c r="AH1722" s="15">
        <f t="shared" si="294"/>
        <v>0</v>
      </c>
      <c r="AI1722" s="22">
        <f t="shared" si="295"/>
        <v>0</v>
      </c>
      <c r="AJ1722" s="22">
        <f t="shared" si="296"/>
        <v>0</v>
      </c>
      <c r="AK1722" s="165" t="s">
        <v>109</v>
      </c>
    </row>
    <row r="1723" spans="1:38" s="165" customFormat="1" hidden="1" outlineLevel="1">
      <c r="A1723" s="165" t="s">
        <v>326</v>
      </c>
      <c r="B1723" s="13">
        <v>43508</v>
      </c>
      <c r="C1723" s="13" t="s">
        <v>23</v>
      </c>
      <c r="D1723" s="165" t="s">
        <v>207</v>
      </c>
      <c r="E1723" s="165" t="s">
        <v>208</v>
      </c>
      <c r="F1723" s="165" t="str">
        <f t="shared" si="292"/>
        <v>BACA_15.16_300_NL2018</v>
      </c>
      <c r="G1723" s="165" t="s">
        <v>67</v>
      </c>
      <c r="H1723" s="12"/>
      <c r="I1723" s="12" t="s">
        <v>77</v>
      </c>
      <c r="J1723" s="14">
        <v>300</v>
      </c>
      <c r="K1723" s="15" t="s">
        <v>28</v>
      </c>
      <c r="L1723" s="15"/>
      <c r="M1723" s="16">
        <f t="shared" si="293"/>
        <v>7</v>
      </c>
      <c r="N1723" s="15">
        <v>2100</v>
      </c>
      <c r="O1723" s="15">
        <v>4370</v>
      </c>
      <c r="P1723" s="15">
        <f t="shared" si="291"/>
        <v>9177000</v>
      </c>
      <c r="Q1723" s="15" t="str">
        <f t="shared" si="289"/>
        <v>Done</v>
      </c>
      <c r="R1723" s="18" t="s">
        <v>44</v>
      </c>
      <c r="S1723" s="23">
        <v>43511</v>
      </c>
      <c r="T1723" s="20">
        <f>IFERROR(VLOOKUP(S1723,'Date Converter'!$A$4:$C$368,3,0),"")</f>
        <v>43544</v>
      </c>
      <c r="U1723" s="21">
        <f t="shared" si="290"/>
        <v>43544</v>
      </c>
      <c r="V1723" s="12" t="s">
        <v>32</v>
      </c>
      <c r="W1723" s="18" t="s">
        <v>48</v>
      </c>
      <c r="X1723" s="18">
        <v>43541</v>
      </c>
      <c r="Y1723" s="15" t="s">
        <v>59</v>
      </c>
      <c r="Z1723" s="206">
        <v>43547</v>
      </c>
      <c r="AA1723" s="15">
        <v>2100</v>
      </c>
      <c r="AB1723" s="206"/>
      <c r="AC1723" s="15"/>
      <c r="AD1723" s="206"/>
      <c r="AE1723" s="15"/>
      <c r="AF1723" s="244"/>
      <c r="AG1723" s="15"/>
      <c r="AH1723" s="15">
        <f t="shared" si="294"/>
        <v>2100</v>
      </c>
      <c r="AI1723" s="22">
        <f t="shared" si="295"/>
        <v>0</v>
      </c>
      <c r="AJ1723" s="22">
        <f t="shared" si="296"/>
        <v>0</v>
      </c>
      <c r="AL1723" s="165" t="s">
        <v>1767</v>
      </c>
    </row>
    <row r="1724" spans="1:38" s="165" customFormat="1" hidden="1" outlineLevel="1">
      <c r="A1724" s="12" t="s">
        <v>1782</v>
      </c>
      <c r="B1724" s="13">
        <v>43543</v>
      </c>
      <c r="C1724" s="13" t="s">
        <v>1622</v>
      </c>
      <c r="D1724" s="165" t="s">
        <v>604</v>
      </c>
      <c r="E1724" s="165" t="s">
        <v>605</v>
      </c>
      <c r="F1724" s="165" t="str">
        <f t="shared" si="292"/>
        <v>THAL_RL_12.14_400_NL2018</v>
      </c>
      <c r="G1724" s="165" t="s">
        <v>1473</v>
      </c>
      <c r="H1724" s="12" t="s">
        <v>219</v>
      </c>
      <c r="I1724" s="12" t="s">
        <v>113</v>
      </c>
      <c r="J1724" s="14">
        <v>400</v>
      </c>
      <c r="K1724" s="15" t="s">
        <v>28</v>
      </c>
      <c r="L1724" s="15"/>
      <c r="M1724" s="16">
        <f t="shared" si="293"/>
        <v>1</v>
      </c>
      <c r="N1724" s="15">
        <f>800-400</f>
        <v>400</v>
      </c>
      <c r="O1724" s="15">
        <v>8500</v>
      </c>
      <c r="P1724" s="15">
        <f t="shared" si="291"/>
        <v>3400000</v>
      </c>
      <c r="Q1724" s="15" t="str">
        <f t="shared" si="289"/>
        <v>Done</v>
      </c>
      <c r="R1724" s="18" t="s">
        <v>44</v>
      </c>
      <c r="S1724" s="117">
        <v>43554</v>
      </c>
      <c r="T1724" s="20">
        <f>IFERROR(VLOOKUP(S1724,'Date Converter'!$A$4:$C$368,3,0),"")</f>
        <v>43589</v>
      </c>
      <c r="U1724" s="21">
        <f t="shared" si="290"/>
        <v>43589</v>
      </c>
      <c r="V1724" s="12" t="s">
        <v>36</v>
      </c>
      <c r="W1724" s="18"/>
      <c r="X1724" s="18"/>
      <c r="Y1724" s="18"/>
      <c r="Z1724" s="210">
        <v>43621</v>
      </c>
      <c r="AA1724" s="15">
        <v>400</v>
      </c>
      <c r="AB1724" s="210"/>
      <c r="AC1724" s="15"/>
      <c r="AD1724" s="15"/>
      <c r="AE1724" s="15"/>
      <c r="AF1724" s="244"/>
      <c r="AG1724" s="15"/>
      <c r="AH1724" s="15">
        <f t="shared" si="294"/>
        <v>400</v>
      </c>
      <c r="AI1724" s="22">
        <f t="shared" si="295"/>
        <v>0</v>
      </c>
      <c r="AJ1724" s="22">
        <f t="shared" si="296"/>
        <v>0</v>
      </c>
      <c r="AK1724" s="13"/>
    </row>
    <row r="1725" spans="1:38" s="165" customFormat="1" hidden="1" outlineLevel="1">
      <c r="A1725" s="12" t="s">
        <v>1782</v>
      </c>
      <c r="B1725" s="13">
        <v>43543</v>
      </c>
      <c r="C1725" s="267" t="s">
        <v>1622</v>
      </c>
      <c r="D1725" s="258" t="s">
        <v>604</v>
      </c>
      <c r="E1725" s="97" t="s">
        <v>605</v>
      </c>
      <c r="F1725" s="165" t="str">
        <f t="shared" si="292"/>
        <v>TARR_20.22_125_NL2018</v>
      </c>
      <c r="G1725" s="165" t="s">
        <v>62</v>
      </c>
      <c r="H1725" s="12"/>
      <c r="I1725" s="12" t="s">
        <v>74</v>
      </c>
      <c r="J1725" s="14">
        <v>125</v>
      </c>
      <c r="K1725" s="15" t="s">
        <v>28</v>
      </c>
      <c r="L1725" s="15"/>
      <c r="M1725" s="16">
        <f t="shared" si="293"/>
        <v>20</v>
      </c>
      <c r="N1725" s="15">
        <v>2500</v>
      </c>
      <c r="O1725" s="15">
        <v>10800</v>
      </c>
      <c r="P1725" s="15">
        <f t="shared" si="291"/>
        <v>27000000</v>
      </c>
      <c r="Q1725" s="15" t="str">
        <f t="shared" si="289"/>
        <v/>
      </c>
      <c r="R1725" s="18" t="s">
        <v>29</v>
      </c>
      <c r="S1725" s="117">
        <v>43709</v>
      </c>
      <c r="T1725" s="20">
        <f>IFERROR(VLOOKUP(S1725,'Date Converter'!$A$4:$C$368,3,0),"")</f>
        <v>43737</v>
      </c>
      <c r="U1725" s="21">
        <f t="shared" si="290"/>
        <v>43737</v>
      </c>
      <c r="V1725" s="12" t="s">
        <v>51</v>
      </c>
      <c r="W1725" s="18"/>
      <c r="X1725" s="18"/>
      <c r="Y1725" s="18"/>
      <c r="Z1725" s="210"/>
      <c r="AA1725" s="15"/>
      <c r="AB1725" s="210"/>
      <c r="AC1725" s="15"/>
      <c r="AD1725" s="15"/>
      <c r="AE1725" s="15"/>
      <c r="AF1725" s="244"/>
      <c r="AG1725" s="15"/>
      <c r="AH1725" s="15">
        <f t="shared" si="294"/>
        <v>0</v>
      </c>
      <c r="AI1725" s="22">
        <f t="shared" si="295"/>
        <v>2500</v>
      </c>
      <c r="AJ1725" s="22">
        <f t="shared" si="296"/>
        <v>27000000</v>
      </c>
      <c r="AK1725" s="13"/>
    </row>
    <row r="1726" spans="1:38" s="165" customFormat="1" hidden="1" outlineLevel="1">
      <c r="A1726" s="12" t="s">
        <v>1782</v>
      </c>
      <c r="B1726" s="13">
        <v>43543</v>
      </c>
      <c r="C1726" s="267" t="s">
        <v>1622</v>
      </c>
      <c r="D1726" s="258" t="s">
        <v>604</v>
      </c>
      <c r="E1726" s="97" t="s">
        <v>605</v>
      </c>
      <c r="F1726" s="165" t="str">
        <f t="shared" si="292"/>
        <v>ROBI_20.22_125_NL2018</v>
      </c>
      <c r="G1726" s="165" t="s">
        <v>61</v>
      </c>
      <c r="H1726" s="12"/>
      <c r="I1726" s="12" t="s">
        <v>74</v>
      </c>
      <c r="J1726" s="14">
        <v>125</v>
      </c>
      <c r="K1726" s="15" t="s">
        <v>28</v>
      </c>
      <c r="L1726" s="15"/>
      <c r="M1726" s="16">
        <f t="shared" si="293"/>
        <v>16</v>
      </c>
      <c r="N1726" s="15">
        <v>2000</v>
      </c>
      <c r="O1726" s="15">
        <v>10500</v>
      </c>
      <c r="P1726" s="15">
        <f t="shared" si="291"/>
        <v>21000000</v>
      </c>
      <c r="Q1726" s="15" t="str">
        <f t="shared" si="289"/>
        <v/>
      </c>
      <c r="R1726" s="18" t="s">
        <v>29</v>
      </c>
      <c r="S1726" s="117">
        <v>43709</v>
      </c>
      <c r="T1726" s="20">
        <f>IFERROR(VLOOKUP(S1726,'Date Converter'!$A$4:$C$368,3,0),"")</f>
        <v>43737</v>
      </c>
      <c r="U1726" s="21">
        <f t="shared" si="290"/>
        <v>43737</v>
      </c>
      <c r="V1726" s="12" t="s">
        <v>51</v>
      </c>
      <c r="W1726" s="18"/>
      <c r="X1726" s="18"/>
      <c r="Y1726" s="18"/>
      <c r="Z1726" s="210"/>
      <c r="AA1726" s="15"/>
      <c r="AB1726" s="210"/>
      <c r="AC1726" s="15"/>
      <c r="AD1726" s="15"/>
      <c r="AE1726" s="15"/>
      <c r="AF1726" s="244"/>
      <c r="AG1726" s="15"/>
      <c r="AH1726" s="15">
        <f t="shared" si="294"/>
        <v>0</v>
      </c>
      <c r="AI1726" s="22">
        <f t="shared" si="295"/>
        <v>2000</v>
      </c>
      <c r="AJ1726" s="22">
        <f t="shared" si="296"/>
        <v>21000000</v>
      </c>
      <c r="AK1726" s="13"/>
    </row>
    <row r="1727" spans="1:38" s="165" customFormat="1" hidden="1" outlineLevel="1">
      <c r="A1727" s="12" t="s">
        <v>1782</v>
      </c>
      <c r="B1727" s="13">
        <v>43543</v>
      </c>
      <c r="C1727" s="267" t="s">
        <v>1622</v>
      </c>
      <c r="D1727" s="258" t="s">
        <v>604</v>
      </c>
      <c r="E1727" s="97" t="s">
        <v>605</v>
      </c>
      <c r="F1727" s="165" t="str">
        <f t="shared" si="292"/>
        <v>PATR_RL_12.14_400_NL2018</v>
      </c>
      <c r="G1727" s="165" t="s">
        <v>1472</v>
      </c>
      <c r="H1727" s="12" t="s">
        <v>219</v>
      </c>
      <c r="I1727" s="12" t="s">
        <v>113</v>
      </c>
      <c r="J1727" s="14">
        <v>400</v>
      </c>
      <c r="K1727" s="15" t="s">
        <v>28</v>
      </c>
      <c r="L1727" s="15"/>
      <c r="M1727" s="16">
        <f t="shared" si="293"/>
        <v>8</v>
      </c>
      <c r="N1727" s="15">
        <v>3200</v>
      </c>
      <c r="O1727" s="15">
        <v>8800</v>
      </c>
      <c r="P1727" s="15">
        <f t="shared" si="291"/>
        <v>28160000</v>
      </c>
      <c r="Q1727" s="15" t="str">
        <f t="shared" si="289"/>
        <v/>
      </c>
      <c r="R1727" s="18" t="s">
        <v>29</v>
      </c>
      <c r="S1727" s="117">
        <v>43709</v>
      </c>
      <c r="T1727" s="20">
        <f>IFERROR(VLOOKUP(S1727,'Date Converter'!$A$4:$C$368,3,0),"")</f>
        <v>43737</v>
      </c>
      <c r="U1727" s="21">
        <f t="shared" si="290"/>
        <v>43737</v>
      </c>
      <c r="V1727" s="12" t="s">
        <v>51</v>
      </c>
      <c r="W1727" s="18"/>
      <c r="X1727" s="18"/>
      <c r="Y1727" s="18"/>
      <c r="Z1727" s="210"/>
      <c r="AA1727" s="15"/>
      <c r="AB1727" s="210"/>
      <c r="AC1727" s="15"/>
      <c r="AD1727" s="15"/>
      <c r="AE1727" s="15"/>
      <c r="AF1727" s="244"/>
      <c r="AG1727" s="15"/>
      <c r="AH1727" s="15">
        <f t="shared" si="294"/>
        <v>0</v>
      </c>
      <c r="AI1727" s="22">
        <f t="shared" si="295"/>
        <v>3200</v>
      </c>
      <c r="AJ1727" s="22">
        <f t="shared" si="296"/>
        <v>28160000</v>
      </c>
      <c r="AK1727" s="13"/>
    </row>
    <row r="1728" spans="1:38" s="165" customFormat="1" hidden="1" outlineLevel="1">
      <c r="A1728" s="12" t="s">
        <v>1782</v>
      </c>
      <c r="B1728" s="13">
        <v>43543</v>
      </c>
      <c r="C1728" s="13" t="s">
        <v>1622</v>
      </c>
      <c r="D1728" s="165" t="s">
        <v>604</v>
      </c>
      <c r="E1728" s="165" t="s">
        <v>605</v>
      </c>
      <c r="F1728" s="165" t="str">
        <f t="shared" si="292"/>
        <v>OUTB_14.16_300_NL2018</v>
      </c>
      <c r="G1728" s="165" t="s">
        <v>1748</v>
      </c>
      <c r="H1728" s="12"/>
      <c r="I1728" s="12" t="s">
        <v>47</v>
      </c>
      <c r="J1728" s="14">
        <v>300</v>
      </c>
      <c r="K1728" s="15" t="s">
        <v>28</v>
      </c>
      <c r="L1728" s="15"/>
      <c r="M1728" s="16">
        <f t="shared" si="293"/>
        <v>7</v>
      </c>
      <c r="N1728" s="15">
        <v>2100</v>
      </c>
      <c r="O1728" s="15">
        <v>5000</v>
      </c>
      <c r="P1728" s="15">
        <f t="shared" si="291"/>
        <v>10500000</v>
      </c>
      <c r="Q1728" s="15" t="str">
        <f t="shared" si="289"/>
        <v>Done</v>
      </c>
      <c r="R1728" s="18" t="s">
        <v>44</v>
      </c>
      <c r="S1728" s="117">
        <v>43554</v>
      </c>
      <c r="T1728" s="20">
        <f>IFERROR(VLOOKUP(S1728,'Date Converter'!$A$4:$C$368,3,0),"")</f>
        <v>43589</v>
      </c>
      <c r="U1728" s="21">
        <f t="shared" si="290"/>
        <v>43589</v>
      </c>
      <c r="V1728" s="12" t="s">
        <v>36</v>
      </c>
      <c r="W1728" s="18"/>
      <c r="X1728" s="18"/>
      <c r="Y1728" s="18"/>
      <c r="Z1728" s="210">
        <v>43621</v>
      </c>
      <c r="AA1728" s="15">
        <v>2100</v>
      </c>
      <c r="AB1728" s="210"/>
      <c r="AC1728" s="15"/>
      <c r="AD1728" s="15"/>
      <c r="AE1728" s="15"/>
      <c r="AF1728" s="244"/>
      <c r="AG1728" s="15"/>
      <c r="AH1728" s="15">
        <f t="shared" si="294"/>
        <v>2100</v>
      </c>
      <c r="AI1728" s="22">
        <f t="shared" si="295"/>
        <v>0</v>
      </c>
      <c r="AJ1728" s="22">
        <f t="shared" si="296"/>
        <v>0</v>
      </c>
      <c r="AK1728" s="13"/>
    </row>
    <row r="1729" spans="1:38" s="165" customFormat="1" hidden="1" outlineLevel="1">
      <c r="A1729" s="12" t="s">
        <v>1782</v>
      </c>
      <c r="B1729" s="13">
        <v>43543</v>
      </c>
      <c r="C1729" s="267" t="s">
        <v>1622</v>
      </c>
      <c r="D1729" s="258" t="s">
        <v>604</v>
      </c>
      <c r="E1729" s="97" t="s">
        <v>605</v>
      </c>
      <c r="F1729" s="165" t="str">
        <f t="shared" si="292"/>
        <v>OUTB_18.20_150_NL2018</v>
      </c>
      <c r="G1729" s="165" t="s">
        <v>1748</v>
      </c>
      <c r="H1729" s="12"/>
      <c r="I1729" s="12" t="s">
        <v>27</v>
      </c>
      <c r="J1729" s="14">
        <v>150</v>
      </c>
      <c r="K1729" s="15" t="s">
        <v>28</v>
      </c>
      <c r="L1729" s="15"/>
      <c r="M1729" s="16">
        <f t="shared" si="293"/>
        <v>14</v>
      </c>
      <c r="N1729" s="15">
        <v>2100</v>
      </c>
      <c r="O1729" s="15">
        <f>9500+700</f>
        <v>10200</v>
      </c>
      <c r="P1729" s="15">
        <f t="shared" si="291"/>
        <v>21420000</v>
      </c>
      <c r="Q1729" s="15" t="str">
        <f t="shared" si="289"/>
        <v/>
      </c>
      <c r="R1729" s="18" t="s">
        <v>29</v>
      </c>
      <c r="S1729" s="117">
        <v>43709</v>
      </c>
      <c r="T1729" s="20">
        <f>IFERROR(VLOOKUP(S1729,'Date Converter'!$A$4:$C$368,3,0),"")</f>
        <v>43737</v>
      </c>
      <c r="U1729" s="21">
        <f t="shared" si="290"/>
        <v>43737</v>
      </c>
      <c r="V1729" s="12" t="s">
        <v>51</v>
      </c>
      <c r="W1729" s="18"/>
      <c r="X1729" s="18"/>
      <c r="Y1729" s="18"/>
      <c r="Z1729" s="210"/>
      <c r="AA1729" s="15"/>
      <c r="AB1729" s="210"/>
      <c r="AC1729" s="15"/>
      <c r="AD1729" s="15"/>
      <c r="AE1729" s="15"/>
      <c r="AF1729" s="244"/>
      <c r="AG1729" s="15"/>
      <c r="AH1729" s="15">
        <f t="shared" si="294"/>
        <v>0</v>
      </c>
      <c r="AI1729" s="22">
        <f t="shared" si="295"/>
        <v>2100</v>
      </c>
      <c r="AJ1729" s="22">
        <f t="shared" si="296"/>
        <v>21420000</v>
      </c>
      <c r="AK1729" s="13"/>
    </row>
    <row r="1730" spans="1:38" s="165" customFormat="1" hidden="1" outlineLevel="1">
      <c r="A1730" s="12" t="s">
        <v>1782</v>
      </c>
      <c r="B1730" s="13">
        <v>43627</v>
      </c>
      <c r="C1730" s="13" t="s">
        <v>1622</v>
      </c>
      <c r="D1730" s="165" t="s">
        <v>604</v>
      </c>
      <c r="E1730" s="165" t="s">
        <v>605</v>
      </c>
      <c r="F1730" s="165" t="str">
        <f t="shared" si="292"/>
        <v>DALI_14.16_300_NL2018</v>
      </c>
      <c r="G1730" s="165" t="s">
        <v>46</v>
      </c>
      <c r="H1730" s="12"/>
      <c r="I1730" s="12" t="s">
        <v>47</v>
      </c>
      <c r="J1730" s="14">
        <v>300</v>
      </c>
      <c r="K1730" s="15" t="s">
        <v>28</v>
      </c>
      <c r="L1730" s="15"/>
      <c r="M1730" s="16">
        <f t="shared" si="293"/>
        <v>2</v>
      </c>
      <c r="N1730" s="15">
        <v>600</v>
      </c>
      <c r="O1730" s="15">
        <v>5500</v>
      </c>
      <c r="P1730" s="15">
        <f t="shared" si="291"/>
        <v>3300000</v>
      </c>
      <c r="Q1730" s="15" t="str">
        <f t="shared" si="289"/>
        <v>Done</v>
      </c>
      <c r="R1730" s="18" t="s">
        <v>44</v>
      </c>
      <c r="S1730" s="117">
        <v>43590</v>
      </c>
      <c r="T1730" s="20">
        <f>IFERROR(VLOOKUP(S1730,'Date Converter'!$A$4:$C$368,3,0),"")</f>
        <v>43623</v>
      </c>
      <c r="U1730" s="21">
        <f t="shared" si="290"/>
        <v>43623</v>
      </c>
      <c r="V1730" s="12"/>
      <c r="W1730" s="18"/>
      <c r="X1730" s="18"/>
      <c r="Y1730" s="18"/>
      <c r="Z1730" s="210">
        <v>43627</v>
      </c>
      <c r="AA1730" s="15">
        <v>600</v>
      </c>
      <c r="AB1730" s="210"/>
      <c r="AC1730" s="15"/>
      <c r="AD1730" s="15"/>
      <c r="AE1730" s="15"/>
      <c r="AF1730" s="244"/>
      <c r="AG1730" s="15"/>
      <c r="AH1730" s="15">
        <f t="shared" si="294"/>
        <v>600</v>
      </c>
      <c r="AI1730" s="22">
        <f t="shared" si="295"/>
        <v>0</v>
      </c>
      <c r="AJ1730" s="22">
        <f t="shared" si="296"/>
        <v>0</v>
      </c>
      <c r="AK1730" s="13"/>
    </row>
    <row r="1731" spans="1:38" s="165" customFormat="1" hidden="1" outlineLevel="1">
      <c r="A1731" s="12" t="s">
        <v>1782</v>
      </c>
      <c r="B1731" s="13">
        <v>43543</v>
      </c>
      <c r="C1731" s="267" t="s">
        <v>1622</v>
      </c>
      <c r="D1731" s="258" t="s">
        <v>604</v>
      </c>
      <c r="E1731" s="97" t="s">
        <v>605</v>
      </c>
      <c r="F1731" s="165" t="str">
        <f t="shared" si="292"/>
        <v>DALI_18.20_150_NL2018</v>
      </c>
      <c r="G1731" s="165" t="s">
        <v>46</v>
      </c>
      <c r="H1731" s="12"/>
      <c r="I1731" s="12" t="s">
        <v>27</v>
      </c>
      <c r="J1731" s="14">
        <v>150</v>
      </c>
      <c r="K1731" s="15" t="s">
        <v>28</v>
      </c>
      <c r="L1731" s="15"/>
      <c r="M1731" s="16">
        <f t="shared" si="293"/>
        <v>14</v>
      </c>
      <c r="N1731" s="15">
        <v>2100</v>
      </c>
      <c r="O1731" s="15">
        <v>12100</v>
      </c>
      <c r="P1731" s="15">
        <f t="shared" si="291"/>
        <v>25410000</v>
      </c>
      <c r="Q1731" s="15" t="str">
        <f t="shared" ref="Q1731:Q1794" si="297">IF(AND(N1731=0,AI1731=0),"Canceled",IF(AND(N1731&gt;0,AI1731=0),"Done",""))</f>
        <v/>
      </c>
      <c r="R1731" s="18" t="s">
        <v>29</v>
      </c>
      <c r="S1731" s="117">
        <v>43709</v>
      </c>
      <c r="T1731" s="20">
        <f>IFERROR(VLOOKUP(S1731,'Date Converter'!$A$4:$C$368,3,0),"")</f>
        <v>43737</v>
      </c>
      <c r="U1731" s="21">
        <f t="shared" si="290"/>
        <v>43737</v>
      </c>
      <c r="V1731" s="12" t="s">
        <v>51</v>
      </c>
      <c r="W1731" s="18"/>
      <c r="X1731" s="18"/>
      <c r="Y1731" s="18"/>
      <c r="Z1731" s="210"/>
      <c r="AA1731" s="15"/>
      <c r="AB1731" s="210"/>
      <c r="AC1731" s="15"/>
      <c r="AD1731" s="15"/>
      <c r="AE1731" s="15"/>
      <c r="AF1731" s="244"/>
      <c r="AG1731" s="15"/>
      <c r="AH1731" s="15">
        <f t="shared" si="294"/>
        <v>0</v>
      </c>
      <c r="AI1731" s="22">
        <f t="shared" si="295"/>
        <v>2100</v>
      </c>
      <c r="AJ1731" s="22">
        <f t="shared" si="296"/>
        <v>25410000</v>
      </c>
      <c r="AK1731" s="13"/>
    </row>
    <row r="1732" spans="1:38" s="165" customFormat="1" hidden="1" outlineLevel="1">
      <c r="A1732" s="165" t="s">
        <v>1783</v>
      </c>
      <c r="B1732" s="13">
        <v>43470</v>
      </c>
      <c r="C1732" s="13" t="s">
        <v>1622</v>
      </c>
      <c r="D1732" s="165" t="s">
        <v>813</v>
      </c>
      <c r="E1732" s="165" t="s">
        <v>814</v>
      </c>
      <c r="F1732" s="165" t="str">
        <f t="shared" si="292"/>
        <v>YELL_12.14_400_NL2018</v>
      </c>
      <c r="G1732" s="165" t="s">
        <v>89</v>
      </c>
      <c r="H1732" s="12"/>
      <c r="I1732" s="12" t="s">
        <v>113</v>
      </c>
      <c r="J1732" s="14">
        <v>400</v>
      </c>
      <c r="K1732" s="15" t="s">
        <v>28</v>
      </c>
      <c r="L1732" s="15"/>
      <c r="M1732" s="16">
        <f t="shared" si="293"/>
        <v>75</v>
      </c>
      <c r="N1732" s="15">
        <v>30000</v>
      </c>
      <c r="O1732" s="15">
        <v>2600</v>
      </c>
      <c r="P1732" s="15">
        <f t="shared" si="291"/>
        <v>78000000</v>
      </c>
      <c r="Q1732" s="15" t="str">
        <f t="shared" si="297"/>
        <v>Done</v>
      </c>
      <c r="R1732" s="18" t="s">
        <v>44</v>
      </c>
      <c r="S1732" s="117">
        <v>43480</v>
      </c>
      <c r="T1732" s="20">
        <f>IFERROR(VLOOKUP(S1732,'Date Converter'!$A$4:$C$368,3,0),"")</f>
        <v>43515</v>
      </c>
      <c r="U1732" s="21">
        <f t="shared" si="290"/>
        <v>43515</v>
      </c>
      <c r="V1732" s="12" t="s">
        <v>45</v>
      </c>
      <c r="W1732" s="18"/>
      <c r="X1732" s="18"/>
      <c r="Y1732" s="18"/>
      <c r="Z1732" s="210">
        <v>43515</v>
      </c>
      <c r="AA1732" s="15">
        <v>30000</v>
      </c>
      <c r="AB1732" s="210"/>
      <c r="AC1732" s="15"/>
      <c r="AD1732" s="15"/>
      <c r="AE1732" s="15"/>
      <c r="AF1732" s="244"/>
      <c r="AG1732" s="15"/>
      <c r="AH1732" s="15">
        <f t="shared" si="294"/>
        <v>30000</v>
      </c>
      <c r="AI1732" s="22">
        <f t="shared" si="295"/>
        <v>0</v>
      </c>
      <c r="AJ1732" s="22">
        <f t="shared" si="296"/>
        <v>0</v>
      </c>
      <c r="AK1732" s="13">
        <v>43888</v>
      </c>
    </row>
    <row r="1733" spans="1:38" s="165" customFormat="1" hidden="1" outlineLevel="1">
      <c r="A1733" s="165" t="s">
        <v>1783</v>
      </c>
      <c r="B1733" s="13">
        <v>43470</v>
      </c>
      <c r="C1733" s="13" t="s">
        <v>1622</v>
      </c>
      <c r="D1733" s="165" t="s">
        <v>813</v>
      </c>
      <c r="E1733" s="165" t="s">
        <v>814</v>
      </c>
      <c r="F1733" s="165" t="str">
        <f t="shared" si="292"/>
        <v>YELL_12.14_400_NL2018</v>
      </c>
      <c r="G1733" s="165" t="s">
        <v>89</v>
      </c>
      <c r="H1733" s="12"/>
      <c r="I1733" s="12" t="s">
        <v>113</v>
      </c>
      <c r="J1733" s="14">
        <v>400</v>
      </c>
      <c r="K1733" s="15" t="s">
        <v>28</v>
      </c>
      <c r="L1733" s="15"/>
      <c r="M1733" s="16">
        <f t="shared" si="293"/>
        <v>38</v>
      </c>
      <c r="N1733" s="15">
        <v>15200</v>
      </c>
      <c r="O1733" s="15">
        <v>2600</v>
      </c>
      <c r="P1733" s="15">
        <f t="shared" si="291"/>
        <v>39520000</v>
      </c>
      <c r="Q1733" s="15" t="str">
        <f t="shared" si="297"/>
        <v>Done</v>
      </c>
      <c r="R1733" s="18" t="s">
        <v>44</v>
      </c>
      <c r="S1733" s="117">
        <v>43511</v>
      </c>
      <c r="T1733" s="20">
        <f>IFERROR(VLOOKUP(S1733,'Date Converter'!$A$4:$C$368,3,0),"")</f>
        <v>43544</v>
      </c>
      <c r="U1733" s="21">
        <f t="shared" si="290"/>
        <v>43544</v>
      </c>
      <c r="V1733" s="12" t="s">
        <v>32</v>
      </c>
      <c r="W1733" s="18" t="s">
        <v>33</v>
      </c>
      <c r="X1733" s="18"/>
      <c r="Y1733" s="18"/>
      <c r="Z1733" s="210">
        <v>43543</v>
      </c>
      <c r="AA1733" s="15">
        <v>15200</v>
      </c>
      <c r="AB1733" s="210"/>
      <c r="AC1733" s="15"/>
      <c r="AD1733" s="15"/>
      <c r="AE1733" s="15"/>
      <c r="AF1733" s="244"/>
      <c r="AG1733" s="15"/>
      <c r="AH1733" s="15">
        <f t="shared" si="294"/>
        <v>15200</v>
      </c>
      <c r="AI1733" s="22">
        <f t="shared" si="295"/>
        <v>0</v>
      </c>
      <c r="AJ1733" s="22">
        <f t="shared" si="296"/>
        <v>0</v>
      </c>
      <c r="AK1733" s="13">
        <v>43888</v>
      </c>
    </row>
    <row r="1734" spans="1:38" s="165" customFormat="1" hidden="1" outlineLevel="1">
      <c r="A1734" s="165" t="s">
        <v>1783</v>
      </c>
      <c r="B1734" s="13">
        <v>43470</v>
      </c>
      <c r="C1734" s="13" t="s">
        <v>1622</v>
      </c>
      <c r="D1734" s="165" t="s">
        <v>813</v>
      </c>
      <c r="E1734" s="165" t="s">
        <v>814</v>
      </c>
      <c r="F1734" s="165" t="str">
        <f t="shared" si="292"/>
        <v>YELL_12.14_400_NL2018</v>
      </c>
      <c r="G1734" s="165" t="s">
        <v>89</v>
      </c>
      <c r="H1734" s="12"/>
      <c r="I1734" s="12" t="s">
        <v>113</v>
      </c>
      <c r="J1734" s="14">
        <v>400</v>
      </c>
      <c r="K1734" s="15" t="s">
        <v>28</v>
      </c>
      <c r="L1734" s="15"/>
      <c r="M1734" s="16">
        <f t="shared" si="293"/>
        <v>38</v>
      </c>
      <c r="N1734" s="15">
        <v>15200</v>
      </c>
      <c r="O1734" s="15">
        <v>2600</v>
      </c>
      <c r="P1734" s="15">
        <f t="shared" si="291"/>
        <v>39520000</v>
      </c>
      <c r="Q1734" s="15" t="str">
        <f t="shared" si="297"/>
        <v>Done</v>
      </c>
      <c r="R1734" s="18" t="s">
        <v>44</v>
      </c>
      <c r="S1734" s="117" t="s">
        <v>151</v>
      </c>
      <c r="T1734" s="20">
        <f>IFERROR(VLOOKUP(S1734,'Date Converter'!$A$4:$C$368,3,0),"")</f>
        <v>43558</v>
      </c>
      <c r="U1734" s="21">
        <f t="shared" si="290"/>
        <v>43558</v>
      </c>
      <c r="V1734" s="12" t="s">
        <v>81</v>
      </c>
      <c r="W1734" s="18" t="s">
        <v>82</v>
      </c>
      <c r="X1734" s="18"/>
      <c r="Y1734" s="18"/>
      <c r="Z1734" s="210">
        <v>43560</v>
      </c>
      <c r="AA1734" s="15">
        <v>15200</v>
      </c>
      <c r="AB1734" s="210"/>
      <c r="AC1734" s="15"/>
      <c r="AD1734" s="15"/>
      <c r="AE1734" s="15"/>
      <c r="AF1734" s="244"/>
      <c r="AG1734" s="15"/>
      <c r="AH1734" s="15">
        <f t="shared" si="294"/>
        <v>15200</v>
      </c>
      <c r="AI1734" s="22">
        <f t="shared" si="295"/>
        <v>0</v>
      </c>
      <c r="AJ1734" s="22">
        <f t="shared" si="296"/>
        <v>0</v>
      </c>
      <c r="AK1734" s="13">
        <v>43917</v>
      </c>
    </row>
    <row r="1735" spans="1:38" s="165" customFormat="1" hidden="1" outlineLevel="1">
      <c r="A1735" s="165" t="s">
        <v>1783</v>
      </c>
      <c r="B1735" s="13">
        <v>43470</v>
      </c>
      <c r="C1735" s="13" t="s">
        <v>1622</v>
      </c>
      <c r="D1735" s="165" t="s">
        <v>813</v>
      </c>
      <c r="E1735" s="165" t="s">
        <v>814</v>
      </c>
      <c r="F1735" s="165" t="str">
        <f t="shared" si="292"/>
        <v>YELL_12.14_400_NL2018</v>
      </c>
      <c r="G1735" s="165" t="s">
        <v>89</v>
      </c>
      <c r="H1735" s="12"/>
      <c r="I1735" s="12" t="s">
        <v>113</v>
      </c>
      <c r="J1735" s="14">
        <v>400</v>
      </c>
      <c r="K1735" s="15" t="s">
        <v>28</v>
      </c>
      <c r="L1735" s="15"/>
      <c r="M1735" s="16">
        <f t="shared" si="293"/>
        <v>75</v>
      </c>
      <c r="N1735" s="15">
        <f>30000</f>
        <v>30000</v>
      </c>
      <c r="O1735" s="15">
        <v>2600</v>
      </c>
      <c r="P1735" s="15">
        <f t="shared" si="291"/>
        <v>78000000</v>
      </c>
      <c r="Q1735" s="15" t="str">
        <f t="shared" si="297"/>
        <v>Done</v>
      </c>
      <c r="R1735" s="18" t="s">
        <v>44</v>
      </c>
      <c r="S1735" s="117">
        <v>43539</v>
      </c>
      <c r="T1735" s="20">
        <f>IFERROR(VLOOKUP(S1735,'Date Converter'!$A$4:$C$368,3,0),"")</f>
        <v>43574</v>
      </c>
      <c r="U1735" s="21">
        <f t="shared" si="290"/>
        <v>43574</v>
      </c>
      <c r="V1735" s="12" t="s">
        <v>57</v>
      </c>
      <c r="W1735" s="18" t="s">
        <v>143</v>
      </c>
      <c r="X1735" s="18"/>
      <c r="Y1735" s="18"/>
      <c r="Z1735" s="210">
        <v>43572</v>
      </c>
      <c r="AA1735" s="15">
        <v>15200</v>
      </c>
      <c r="AB1735" s="210">
        <v>43591</v>
      </c>
      <c r="AC1735" s="15">
        <v>14800</v>
      </c>
      <c r="AD1735" s="15"/>
      <c r="AE1735" s="15"/>
      <c r="AF1735" s="244"/>
      <c r="AG1735" s="15"/>
      <c r="AH1735" s="15">
        <f t="shared" si="294"/>
        <v>30000</v>
      </c>
      <c r="AI1735" s="22">
        <f t="shared" si="295"/>
        <v>0</v>
      </c>
      <c r="AJ1735" s="22">
        <f t="shared" si="296"/>
        <v>0</v>
      </c>
      <c r="AK1735" s="13">
        <v>43917</v>
      </c>
    </row>
    <row r="1736" spans="1:38" s="165" customFormat="1" hidden="1" outlineLevel="1">
      <c r="A1736" s="165" t="s">
        <v>1783</v>
      </c>
      <c r="B1736" s="13">
        <v>43634</v>
      </c>
      <c r="C1736" s="13" t="s">
        <v>1622</v>
      </c>
      <c r="D1736" s="165" t="s">
        <v>813</v>
      </c>
      <c r="E1736" s="165" t="s">
        <v>814</v>
      </c>
      <c r="F1736" s="165" t="str">
        <f t="shared" si="292"/>
        <v>YELL_14.16_300_NL2018</v>
      </c>
      <c r="G1736" s="165" t="s">
        <v>89</v>
      </c>
      <c r="H1736" s="12"/>
      <c r="I1736" s="12" t="s">
        <v>47</v>
      </c>
      <c r="J1736" s="14">
        <v>300</v>
      </c>
      <c r="K1736" s="15" t="s">
        <v>28</v>
      </c>
      <c r="L1736" s="15"/>
      <c r="M1736" s="16">
        <f t="shared" si="293"/>
        <v>17</v>
      </c>
      <c r="N1736" s="15">
        <v>5100</v>
      </c>
      <c r="O1736" s="15">
        <v>3900</v>
      </c>
      <c r="P1736" s="15">
        <f t="shared" si="291"/>
        <v>19890000</v>
      </c>
      <c r="Q1736" s="15" t="str">
        <f t="shared" si="297"/>
        <v>Done</v>
      </c>
      <c r="R1736" s="18" t="s">
        <v>44</v>
      </c>
      <c r="S1736" s="117">
        <v>43634</v>
      </c>
      <c r="T1736" s="20">
        <f>IFERROR(VLOOKUP(S1736,'Date Converter'!$A$4:$C$368,3,0),"")</f>
        <v>43666</v>
      </c>
      <c r="U1736" s="21">
        <f t="shared" si="290"/>
        <v>43666</v>
      </c>
      <c r="V1736" s="12"/>
      <c r="W1736" s="18"/>
      <c r="X1736" s="18"/>
      <c r="Y1736" s="18"/>
      <c r="Z1736" s="210">
        <v>43634</v>
      </c>
      <c r="AA1736" s="15">
        <v>5100</v>
      </c>
      <c r="AB1736" s="210"/>
      <c r="AC1736" s="15"/>
      <c r="AD1736" s="15"/>
      <c r="AE1736" s="15"/>
      <c r="AF1736" s="244"/>
      <c r="AG1736" s="15"/>
      <c r="AH1736" s="15">
        <f t="shared" si="294"/>
        <v>5100</v>
      </c>
      <c r="AI1736" s="22">
        <f t="shared" si="295"/>
        <v>0</v>
      </c>
      <c r="AJ1736" s="22">
        <f t="shared" si="296"/>
        <v>0</v>
      </c>
      <c r="AK1736" s="13"/>
    </row>
    <row r="1737" spans="1:38" s="165" customFormat="1" hidden="1" outlineLevel="1">
      <c r="A1737" s="165" t="s">
        <v>1783</v>
      </c>
      <c r="B1737" s="13">
        <v>43470</v>
      </c>
      <c r="C1737" s="13" t="s">
        <v>1622</v>
      </c>
      <c r="D1737" s="165" t="s">
        <v>813</v>
      </c>
      <c r="E1737" s="165" t="s">
        <v>814</v>
      </c>
      <c r="F1737" s="165" t="str">
        <f t="shared" si="292"/>
        <v>YELL_12.14_400_NL2018</v>
      </c>
      <c r="G1737" s="165" t="s">
        <v>89</v>
      </c>
      <c r="H1737" s="12"/>
      <c r="I1737" s="12" t="s">
        <v>113</v>
      </c>
      <c r="J1737" s="14">
        <v>400</v>
      </c>
      <c r="K1737" s="15" t="s">
        <v>28</v>
      </c>
      <c r="L1737" s="15"/>
      <c r="M1737" s="16">
        <f t="shared" si="293"/>
        <v>0</v>
      </c>
      <c r="N1737" s="15">
        <f>30000-30000</f>
        <v>0</v>
      </c>
      <c r="O1737" s="15">
        <v>2750</v>
      </c>
      <c r="P1737" s="15">
        <f t="shared" si="291"/>
        <v>0</v>
      </c>
      <c r="Q1737" s="15" t="str">
        <f t="shared" si="297"/>
        <v>Canceled</v>
      </c>
      <c r="R1737" s="18" t="s">
        <v>71</v>
      </c>
      <c r="S1737" s="117">
        <v>43600</v>
      </c>
      <c r="T1737" s="20">
        <f>IFERROR(VLOOKUP(S1737,'Date Converter'!$A$4:$C$368,3,0),"")</f>
        <v>43633</v>
      </c>
      <c r="U1737" s="21">
        <f t="shared" si="290"/>
        <v>43633</v>
      </c>
      <c r="V1737" s="12" t="s">
        <v>174</v>
      </c>
      <c r="W1737" s="18"/>
      <c r="X1737" s="18"/>
      <c r="Y1737" s="18"/>
      <c r="Z1737" s="210"/>
      <c r="AA1737" s="15"/>
      <c r="AB1737" s="210"/>
      <c r="AC1737" s="15"/>
      <c r="AD1737" s="15"/>
      <c r="AE1737" s="15"/>
      <c r="AF1737" s="244"/>
      <c r="AG1737" s="15"/>
      <c r="AH1737" s="15">
        <f t="shared" si="294"/>
        <v>0</v>
      </c>
      <c r="AI1737" s="22">
        <f t="shared" si="295"/>
        <v>0</v>
      </c>
      <c r="AJ1737" s="22">
        <f t="shared" si="296"/>
        <v>0</v>
      </c>
      <c r="AK1737" s="13">
        <v>43917</v>
      </c>
    </row>
    <row r="1738" spans="1:38" s="165" customFormat="1" hidden="1" outlineLevel="1">
      <c r="A1738" s="165" t="s">
        <v>1783</v>
      </c>
      <c r="B1738" s="13">
        <v>43630</v>
      </c>
      <c r="C1738" s="13" t="s">
        <v>1622</v>
      </c>
      <c r="D1738" s="165" t="s">
        <v>813</v>
      </c>
      <c r="E1738" s="165" t="s">
        <v>814</v>
      </c>
      <c r="F1738" s="165" t="str">
        <f t="shared" si="292"/>
        <v>YELL_14.16_300_NL2018</v>
      </c>
      <c r="G1738" s="165" t="s">
        <v>89</v>
      </c>
      <c r="H1738" s="12"/>
      <c r="I1738" s="12" t="s">
        <v>47</v>
      </c>
      <c r="J1738" s="14">
        <v>300</v>
      </c>
      <c r="K1738" s="15" t="s">
        <v>28</v>
      </c>
      <c r="L1738" s="15"/>
      <c r="M1738" s="16">
        <f t="shared" si="293"/>
        <v>67</v>
      </c>
      <c r="N1738" s="15">
        <v>20100</v>
      </c>
      <c r="O1738" s="25">
        <v>4000</v>
      </c>
      <c r="P1738" s="15">
        <f t="shared" si="291"/>
        <v>80400000</v>
      </c>
      <c r="Q1738" s="15" t="str">
        <f t="shared" si="297"/>
        <v/>
      </c>
      <c r="R1738" s="18" t="s">
        <v>31</v>
      </c>
      <c r="S1738" s="117">
        <v>43631</v>
      </c>
      <c r="T1738" s="20">
        <f>IFERROR(VLOOKUP(S1738,'Date Converter'!$A$4:$C$368,3,0),"")</f>
        <v>43663</v>
      </c>
      <c r="U1738" s="21">
        <f t="shared" si="290"/>
        <v>43663</v>
      </c>
      <c r="V1738" s="12"/>
      <c r="W1738" s="18"/>
      <c r="X1738" s="18"/>
      <c r="Y1738" s="18"/>
      <c r="Z1738" s="210"/>
      <c r="AA1738" s="15"/>
      <c r="AB1738" s="210"/>
      <c r="AC1738" s="15"/>
      <c r="AD1738" s="15"/>
      <c r="AE1738" s="15"/>
      <c r="AF1738" s="244"/>
      <c r="AG1738" s="15"/>
      <c r="AH1738" s="15">
        <f t="shared" si="294"/>
        <v>0</v>
      </c>
      <c r="AI1738" s="22">
        <f t="shared" si="295"/>
        <v>20100</v>
      </c>
      <c r="AJ1738" s="22">
        <f t="shared" si="296"/>
        <v>80400000</v>
      </c>
      <c r="AK1738" s="13"/>
    </row>
    <row r="1739" spans="1:38" s="165" customFormat="1" hidden="1" outlineLevel="1">
      <c r="A1739" s="165" t="s">
        <v>1783</v>
      </c>
      <c r="B1739" s="13">
        <v>43613</v>
      </c>
      <c r="C1739" s="13" t="s">
        <v>1622</v>
      </c>
      <c r="D1739" s="165" t="s">
        <v>813</v>
      </c>
      <c r="E1739" s="165" t="s">
        <v>814</v>
      </c>
      <c r="F1739" s="165" t="str">
        <f t="shared" si="292"/>
        <v>YELL_14.16_300_NL2018</v>
      </c>
      <c r="G1739" s="165" t="s">
        <v>89</v>
      </c>
      <c r="H1739" s="12"/>
      <c r="I1739" s="12" t="s">
        <v>47</v>
      </c>
      <c r="J1739" s="14">
        <v>300</v>
      </c>
      <c r="K1739" s="15" t="s">
        <v>28</v>
      </c>
      <c r="L1739" s="15"/>
      <c r="M1739" s="16">
        <f t="shared" si="293"/>
        <v>50</v>
      </c>
      <c r="N1739" s="15">
        <f>20100-5100</f>
        <v>15000</v>
      </c>
      <c r="O1739" s="15">
        <v>3900</v>
      </c>
      <c r="P1739" s="15">
        <f t="shared" si="291"/>
        <v>58500000</v>
      </c>
      <c r="Q1739" s="15" t="str">
        <f t="shared" si="297"/>
        <v/>
      </c>
      <c r="R1739" s="18" t="s">
        <v>63</v>
      </c>
      <c r="S1739" s="117">
        <v>43603</v>
      </c>
      <c r="T1739" s="20">
        <f>IFERROR(VLOOKUP(S1739,'Date Converter'!$A$4:$C$368,3,0),"")</f>
        <v>43636</v>
      </c>
      <c r="U1739" s="21">
        <f t="shared" si="290"/>
        <v>43636</v>
      </c>
      <c r="V1739" s="12"/>
      <c r="W1739" s="18"/>
      <c r="X1739" s="18"/>
      <c r="Y1739" s="18"/>
      <c r="Z1739" s="210">
        <v>43636</v>
      </c>
      <c r="AA1739" s="15">
        <v>10200</v>
      </c>
      <c r="AB1739" s="210"/>
      <c r="AC1739" s="15"/>
      <c r="AD1739" s="15"/>
      <c r="AE1739" s="15"/>
      <c r="AF1739" s="244"/>
      <c r="AG1739" s="15"/>
      <c r="AH1739" s="15">
        <f t="shared" si="294"/>
        <v>10200</v>
      </c>
      <c r="AI1739" s="22">
        <f t="shared" si="295"/>
        <v>4800</v>
      </c>
      <c r="AJ1739" s="22">
        <f t="shared" si="296"/>
        <v>18720000</v>
      </c>
      <c r="AK1739" s="13"/>
    </row>
    <row r="1740" spans="1:38" s="165" customFormat="1" hidden="1" outlineLevel="1">
      <c r="A1740" s="165" t="s">
        <v>1783</v>
      </c>
      <c r="B1740" s="13">
        <v>43470</v>
      </c>
      <c r="C1740" s="13" t="s">
        <v>1622</v>
      </c>
      <c r="D1740" s="165" t="s">
        <v>813</v>
      </c>
      <c r="E1740" s="165" t="s">
        <v>814</v>
      </c>
      <c r="F1740" s="165" t="str">
        <f t="shared" si="292"/>
        <v>YELL_14.16_300_NL2018</v>
      </c>
      <c r="G1740" s="165" t="s">
        <v>89</v>
      </c>
      <c r="H1740" s="12"/>
      <c r="I1740" s="12" t="s">
        <v>47</v>
      </c>
      <c r="J1740" s="14">
        <v>300</v>
      </c>
      <c r="K1740" s="15" t="s">
        <v>28</v>
      </c>
      <c r="L1740" s="15"/>
      <c r="M1740" s="16">
        <f t="shared" si="293"/>
        <v>0</v>
      </c>
      <c r="N1740" s="15">
        <f>30000-30000</f>
        <v>0</v>
      </c>
      <c r="O1740" s="15">
        <v>3800</v>
      </c>
      <c r="P1740" s="15">
        <f t="shared" si="291"/>
        <v>0</v>
      </c>
      <c r="Q1740" s="15" t="str">
        <f t="shared" si="297"/>
        <v>Canceled</v>
      </c>
      <c r="R1740" s="18" t="s">
        <v>71</v>
      </c>
      <c r="S1740" s="117"/>
      <c r="T1740" s="20" t="str">
        <f>IFERROR(VLOOKUP(S1740,'Date Converter'!$A$4:$C$368,3,0),"")</f>
        <v/>
      </c>
      <c r="U1740" s="21" t="str">
        <f t="shared" si="290"/>
        <v/>
      </c>
      <c r="V1740" s="12"/>
      <c r="W1740" s="18"/>
      <c r="X1740" s="18"/>
      <c r="Y1740" s="18"/>
      <c r="Z1740" s="210"/>
      <c r="AA1740" s="15">
        <v>0</v>
      </c>
      <c r="AB1740" s="210"/>
      <c r="AC1740" s="15"/>
      <c r="AD1740" s="15"/>
      <c r="AE1740" s="15"/>
      <c r="AF1740" s="244"/>
      <c r="AG1740" s="15"/>
      <c r="AH1740" s="15">
        <f t="shared" si="294"/>
        <v>0</v>
      </c>
      <c r="AI1740" s="22">
        <f t="shared" si="295"/>
        <v>0</v>
      </c>
      <c r="AJ1740" s="22">
        <f t="shared" si="296"/>
        <v>0</v>
      </c>
      <c r="AK1740" s="13">
        <v>43917</v>
      </c>
    </row>
    <row r="1741" spans="1:38" s="165" customFormat="1" hidden="1" outlineLevel="1">
      <c r="A1741" s="165" t="s">
        <v>1783</v>
      </c>
      <c r="B1741" s="13">
        <v>43470</v>
      </c>
      <c r="C1741" s="13" t="s">
        <v>1622</v>
      </c>
      <c r="D1741" s="165" t="s">
        <v>813</v>
      </c>
      <c r="E1741" s="165" t="s">
        <v>814</v>
      </c>
      <c r="F1741" s="165" t="str">
        <f t="shared" si="292"/>
        <v>YELL_12.14_400_NL2018</v>
      </c>
      <c r="G1741" s="165" t="s">
        <v>89</v>
      </c>
      <c r="H1741" s="12"/>
      <c r="I1741" s="12" t="s">
        <v>113</v>
      </c>
      <c r="J1741" s="14">
        <v>400</v>
      </c>
      <c r="K1741" s="15" t="s">
        <v>28</v>
      </c>
      <c r="L1741" s="15"/>
      <c r="M1741" s="16">
        <f t="shared" si="293"/>
        <v>75</v>
      </c>
      <c r="N1741" s="15">
        <v>30000</v>
      </c>
      <c r="O1741" s="15">
        <v>2700</v>
      </c>
      <c r="P1741" s="15">
        <f t="shared" si="291"/>
        <v>81000000</v>
      </c>
      <c r="Q1741" s="15" t="str">
        <f t="shared" si="297"/>
        <v>Done</v>
      </c>
      <c r="R1741" s="18" t="s">
        <v>44</v>
      </c>
      <c r="S1741" s="117">
        <v>43572</v>
      </c>
      <c r="T1741" s="20">
        <f>IFERROR(VLOOKUP(S1741,'Date Converter'!$A$4:$C$368,3,0),"")</f>
        <v>43606</v>
      </c>
      <c r="U1741" s="21">
        <f t="shared" si="290"/>
        <v>43606</v>
      </c>
      <c r="V1741" s="12" t="s">
        <v>443</v>
      </c>
      <c r="W1741" s="18"/>
      <c r="X1741" s="18"/>
      <c r="Y1741" s="18"/>
      <c r="Z1741" s="210"/>
      <c r="AA1741" s="15">
        <v>14800</v>
      </c>
      <c r="AB1741" s="210">
        <v>43616</v>
      </c>
      <c r="AC1741" s="15">
        <v>15200</v>
      </c>
      <c r="AD1741" s="15"/>
      <c r="AE1741" s="15"/>
      <c r="AF1741" s="244"/>
      <c r="AG1741" s="15"/>
      <c r="AH1741" s="15">
        <f t="shared" si="294"/>
        <v>30000</v>
      </c>
      <c r="AI1741" s="22">
        <f t="shared" si="295"/>
        <v>0</v>
      </c>
      <c r="AJ1741" s="22">
        <f t="shared" si="296"/>
        <v>0</v>
      </c>
      <c r="AK1741" s="13">
        <v>43917</v>
      </c>
    </row>
    <row r="1742" spans="1:38" s="165" customFormat="1" hidden="1" outlineLevel="1">
      <c r="A1742" s="165" t="s">
        <v>1783</v>
      </c>
      <c r="B1742" s="13">
        <v>43470</v>
      </c>
      <c r="C1742" s="13" t="s">
        <v>1622</v>
      </c>
      <c r="D1742" s="165" t="s">
        <v>813</v>
      </c>
      <c r="E1742" s="165" t="s">
        <v>814</v>
      </c>
      <c r="F1742" s="165" t="str">
        <f t="shared" si="292"/>
        <v>THAL_RL_12.14_400_NL2018</v>
      </c>
      <c r="G1742" s="165" t="s">
        <v>1473</v>
      </c>
      <c r="H1742" s="12" t="s">
        <v>219</v>
      </c>
      <c r="I1742" s="12" t="s">
        <v>113</v>
      </c>
      <c r="J1742" s="14">
        <v>400</v>
      </c>
      <c r="K1742" s="15" t="s">
        <v>28</v>
      </c>
      <c r="L1742" s="15"/>
      <c r="M1742" s="16">
        <f t="shared" si="293"/>
        <v>0</v>
      </c>
      <c r="N1742" s="15">
        <f>3200-400-2800</f>
        <v>0</v>
      </c>
      <c r="O1742" s="15">
        <v>8000</v>
      </c>
      <c r="P1742" s="15">
        <f t="shared" si="291"/>
        <v>0</v>
      </c>
      <c r="Q1742" s="15" t="str">
        <f t="shared" si="297"/>
        <v>Canceled</v>
      </c>
      <c r="R1742" s="18" t="s">
        <v>71</v>
      </c>
      <c r="S1742" s="117">
        <v>43484</v>
      </c>
      <c r="T1742" s="20">
        <f>IFERROR(VLOOKUP(S1742,'Date Converter'!$A$4:$C$368,3,0),"")</f>
        <v>43519</v>
      </c>
      <c r="U1742" s="21">
        <f t="shared" si="290"/>
        <v>43519</v>
      </c>
      <c r="V1742" s="12" t="s">
        <v>1784</v>
      </c>
      <c r="W1742" s="18"/>
      <c r="X1742" s="18"/>
      <c r="Y1742" s="18"/>
      <c r="Z1742" s="210"/>
      <c r="AA1742" s="15">
        <v>0</v>
      </c>
      <c r="AB1742" s="210"/>
      <c r="AC1742" s="15"/>
      <c r="AD1742" s="15"/>
      <c r="AE1742" s="15"/>
      <c r="AF1742" s="244"/>
      <c r="AG1742" s="15"/>
      <c r="AH1742" s="15">
        <f t="shared" si="294"/>
        <v>0</v>
      </c>
      <c r="AI1742" s="22">
        <f t="shared" si="295"/>
        <v>0</v>
      </c>
      <c r="AJ1742" s="22">
        <f t="shared" si="296"/>
        <v>0</v>
      </c>
      <c r="AK1742" s="13">
        <v>43917</v>
      </c>
      <c r="AL1742" s="165" t="s">
        <v>180</v>
      </c>
    </row>
    <row r="1743" spans="1:38" s="165" customFormat="1" hidden="1" outlineLevel="1">
      <c r="A1743" s="165" t="s">
        <v>1783</v>
      </c>
      <c r="B1743" s="13">
        <v>43470</v>
      </c>
      <c r="C1743" s="13" t="s">
        <v>1622</v>
      </c>
      <c r="D1743" s="165" t="s">
        <v>813</v>
      </c>
      <c r="E1743" s="165" t="s">
        <v>814</v>
      </c>
      <c r="F1743" s="165" t="str">
        <f t="shared" si="292"/>
        <v>THAL_RL_12.14_400_NL2018</v>
      </c>
      <c r="G1743" s="165" t="s">
        <v>1473</v>
      </c>
      <c r="H1743" s="12" t="s">
        <v>219</v>
      </c>
      <c r="I1743" s="12" t="s">
        <v>113</v>
      </c>
      <c r="J1743" s="14">
        <v>400</v>
      </c>
      <c r="K1743" s="15" t="s">
        <v>28</v>
      </c>
      <c r="L1743" s="15"/>
      <c r="M1743" s="16">
        <f t="shared" si="293"/>
        <v>5</v>
      </c>
      <c r="N1743" s="15">
        <v>2000</v>
      </c>
      <c r="O1743" s="15">
        <v>8000</v>
      </c>
      <c r="P1743" s="15">
        <f t="shared" si="291"/>
        <v>16000000</v>
      </c>
      <c r="Q1743" s="15" t="str">
        <f t="shared" si="297"/>
        <v>Done</v>
      </c>
      <c r="R1743" s="18" t="s">
        <v>44</v>
      </c>
      <c r="S1743" s="117">
        <v>43484</v>
      </c>
      <c r="T1743" s="20">
        <f>IFERROR(VLOOKUP(S1743,'Date Converter'!$A$4:$C$368,3,0),"")</f>
        <v>43519</v>
      </c>
      <c r="U1743" s="21">
        <f t="shared" si="290"/>
        <v>43519</v>
      </c>
      <c r="V1743" s="12" t="s">
        <v>69</v>
      </c>
      <c r="W1743" s="18"/>
      <c r="X1743" s="18"/>
      <c r="Y1743" s="18"/>
      <c r="Z1743" s="210">
        <v>43523</v>
      </c>
      <c r="AA1743" s="15">
        <v>2000</v>
      </c>
      <c r="AB1743" s="210"/>
      <c r="AC1743" s="15"/>
      <c r="AD1743" s="15"/>
      <c r="AE1743" s="15"/>
      <c r="AF1743" s="244"/>
      <c r="AG1743" s="15"/>
      <c r="AH1743" s="15">
        <f t="shared" si="294"/>
        <v>2000</v>
      </c>
      <c r="AI1743" s="22">
        <f t="shared" si="295"/>
        <v>0</v>
      </c>
      <c r="AJ1743" s="22">
        <f t="shared" si="296"/>
        <v>0</v>
      </c>
      <c r="AK1743" s="13">
        <v>43917</v>
      </c>
      <c r="AL1743" s="165" t="s">
        <v>1774</v>
      </c>
    </row>
    <row r="1744" spans="1:38" s="165" customFormat="1" hidden="1" outlineLevel="1">
      <c r="A1744" s="165" t="s">
        <v>1783</v>
      </c>
      <c r="B1744" s="13">
        <v>43470</v>
      </c>
      <c r="C1744" s="13" t="s">
        <v>1622</v>
      </c>
      <c r="D1744" s="165" t="s">
        <v>813</v>
      </c>
      <c r="E1744" s="165" t="s">
        <v>814</v>
      </c>
      <c r="F1744" s="165" t="str">
        <f t="shared" si="292"/>
        <v>SENS_16.18_200_NL2018</v>
      </c>
      <c r="G1744" s="165" t="s">
        <v>80</v>
      </c>
      <c r="H1744" s="12"/>
      <c r="I1744" s="12" t="s">
        <v>35</v>
      </c>
      <c r="J1744" s="14">
        <v>200</v>
      </c>
      <c r="K1744" s="15" t="s">
        <v>28</v>
      </c>
      <c r="L1744" s="15"/>
      <c r="M1744" s="16">
        <f t="shared" si="293"/>
        <v>25</v>
      </c>
      <c r="N1744" s="15">
        <v>5000</v>
      </c>
      <c r="O1744" s="15">
        <v>5500</v>
      </c>
      <c r="P1744" s="15">
        <f t="shared" si="291"/>
        <v>27500000</v>
      </c>
      <c r="Q1744" s="15" t="str">
        <f t="shared" si="297"/>
        <v>Done</v>
      </c>
      <c r="R1744" s="18" t="s">
        <v>44</v>
      </c>
      <c r="S1744" s="117">
        <v>43484</v>
      </c>
      <c r="T1744" s="20">
        <f>IFERROR(VLOOKUP(S1744,'Date Converter'!$A$4:$C$368,3,0),"")</f>
        <v>43519</v>
      </c>
      <c r="U1744" s="21">
        <f t="shared" si="290"/>
        <v>43519</v>
      </c>
      <c r="V1744" s="12" t="s">
        <v>69</v>
      </c>
      <c r="W1744" s="18"/>
      <c r="X1744" s="18"/>
      <c r="Y1744" s="18"/>
      <c r="Z1744" s="210">
        <v>43523</v>
      </c>
      <c r="AA1744" s="15">
        <v>5000</v>
      </c>
      <c r="AB1744" s="210"/>
      <c r="AC1744" s="15"/>
      <c r="AD1744" s="15"/>
      <c r="AE1744" s="15"/>
      <c r="AF1744" s="244"/>
      <c r="AG1744" s="15"/>
      <c r="AH1744" s="15">
        <f t="shared" si="294"/>
        <v>5000</v>
      </c>
      <c r="AI1744" s="22">
        <f t="shared" si="295"/>
        <v>0</v>
      </c>
      <c r="AJ1744" s="22">
        <f t="shared" si="296"/>
        <v>0</v>
      </c>
      <c r="AK1744" s="13">
        <v>43917</v>
      </c>
    </row>
    <row r="1745" spans="1:37" s="165" customFormat="1" hidden="1" outlineLevel="1">
      <c r="A1745" s="165" t="s">
        <v>1783</v>
      </c>
      <c r="B1745" s="13">
        <v>43470</v>
      </c>
      <c r="C1745" s="13" t="s">
        <v>1622</v>
      </c>
      <c r="D1745" s="165" t="s">
        <v>813</v>
      </c>
      <c r="E1745" s="165" t="s">
        <v>814</v>
      </c>
      <c r="F1745" s="165" t="str">
        <f t="shared" si="292"/>
        <v>SENS_16.18_200_NL2018</v>
      </c>
      <c r="G1745" s="165" t="s">
        <v>80</v>
      </c>
      <c r="H1745" s="12"/>
      <c r="I1745" s="12" t="s">
        <v>35</v>
      </c>
      <c r="J1745" s="14">
        <v>200</v>
      </c>
      <c r="K1745" s="15" t="s">
        <v>28</v>
      </c>
      <c r="L1745" s="15"/>
      <c r="M1745" s="16">
        <f t="shared" si="293"/>
        <v>25</v>
      </c>
      <c r="N1745" s="15">
        <v>5000</v>
      </c>
      <c r="O1745" s="15">
        <v>5500</v>
      </c>
      <c r="P1745" s="15">
        <f t="shared" si="291"/>
        <v>27500000</v>
      </c>
      <c r="Q1745" s="15" t="str">
        <f t="shared" si="297"/>
        <v>Done</v>
      </c>
      <c r="R1745" s="18" t="s">
        <v>44</v>
      </c>
      <c r="S1745" s="117">
        <v>43484</v>
      </c>
      <c r="T1745" s="20">
        <f>IFERROR(VLOOKUP(S1745,'Date Converter'!$A$4:$C$368,3,0),"")</f>
        <v>43519</v>
      </c>
      <c r="U1745" s="21">
        <f t="shared" si="290"/>
        <v>43519</v>
      </c>
      <c r="V1745" s="12" t="s">
        <v>69</v>
      </c>
      <c r="W1745" s="18"/>
      <c r="X1745" s="18"/>
      <c r="Y1745" s="18"/>
      <c r="Z1745" s="210">
        <v>43538</v>
      </c>
      <c r="AA1745" s="15">
        <v>5000</v>
      </c>
      <c r="AB1745" s="210"/>
      <c r="AC1745" s="15"/>
      <c r="AD1745" s="15"/>
      <c r="AE1745" s="15"/>
      <c r="AF1745" s="244"/>
      <c r="AG1745" s="15"/>
      <c r="AH1745" s="15">
        <f t="shared" si="294"/>
        <v>5000</v>
      </c>
      <c r="AI1745" s="22">
        <f t="shared" si="295"/>
        <v>0</v>
      </c>
      <c r="AJ1745" s="22">
        <f t="shared" si="296"/>
        <v>0</v>
      </c>
      <c r="AK1745" s="13">
        <v>43917</v>
      </c>
    </row>
    <row r="1746" spans="1:37" s="165" customFormat="1" hidden="1" outlineLevel="1">
      <c r="A1746" s="165" t="s">
        <v>1783</v>
      </c>
      <c r="B1746" s="13">
        <v>43470</v>
      </c>
      <c r="C1746" s="13" t="s">
        <v>1622</v>
      </c>
      <c r="D1746" s="165" t="s">
        <v>813</v>
      </c>
      <c r="E1746" s="165" t="s">
        <v>814</v>
      </c>
      <c r="F1746" s="165" t="str">
        <f t="shared" si="292"/>
        <v>SENS_16.18_200_NL2018</v>
      </c>
      <c r="G1746" s="165" t="s">
        <v>80</v>
      </c>
      <c r="H1746" s="12"/>
      <c r="I1746" s="12" t="s">
        <v>35</v>
      </c>
      <c r="J1746" s="14">
        <v>200</v>
      </c>
      <c r="K1746" s="15" t="s">
        <v>28</v>
      </c>
      <c r="L1746" s="15"/>
      <c r="M1746" s="16">
        <f t="shared" si="293"/>
        <v>50</v>
      </c>
      <c r="N1746" s="15">
        <v>10000</v>
      </c>
      <c r="O1746" s="15">
        <v>5500</v>
      </c>
      <c r="P1746" s="15">
        <f t="shared" si="291"/>
        <v>55000000</v>
      </c>
      <c r="Q1746" s="15" t="str">
        <f t="shared" si="297"/>
        <v>Done</v>
      </c>
      <c r="R1746" s="18" t="s">
        <v>44</v>
      </c>
      <c r="S1746" s="117" t="s">
        <v>151</v>
      </c>
      <c r="T1746" s="20">
        <f>IFERROR(VLOOKUP(S1746,'Date Converter'!$A$4:$C$368,3,0),"")</f>
        <v>43558</v>
      </c>
      <c r="U1746" s="21">
        <f t="shared" si="290"/>
        <v>43558</v>
      </c>
      <c r="V1746" s="12" t="s">
        <v>81</v>
      </c>
      <c r="W1746" s="18" t="s">
        <v>82</v>
      </c>
      <c r="X1746" s="18"/>
      <c r="Y1746" s="18"/>
      <c r="Z1746" s="210">
        <v>43560</v>
      </c>
      <c r="AA1746" s="15">
        <v>5000</v>
      </c>
      <c r="AB1746" s="210">
        <v>43591</v>
      </c>
      <c r="AC1746" s="15">
        <v>5000</v>
      </c>
      <c r="AD1746" s="15"/>
      <c r="AE1746" s="15"/>
      <c r="AF1746" s="244"/>
      <c r="AG1746" s="15"/>
      <c r="AH1746" s="15">
        <f t="shared" si="294"/>
        <v>10000</v>
      </c>
      <c r="AI1746" s="22">
        <f t="shared" si="295"/>
        <v>0</v>
      </c>
      <c r="AJ1746" s="22">
        <f t="shared" si="296"/>
        <v>0</v>
      </c>
      <c r="AK1746" s="13">
        <v>43917</v>
      </c>
    </row>
    <row r="1747" spans="1:37" s="165" customFormat="1" hidden="1" outlineLevel="1">
      <c r="A1747" s="165" t="s">
        <v>1785</v>
      </c>
      <c r="B1747" s="13">
        <v>43604</v>
      </c>
      <c r="C1747" s="267" t="s">
        <v>1622</v>
      </c>
      <c r="D1747" s="258" t="s">
        <v>813</v>
      </c>
      <c r="E1747" s="165" t="s">
        <v>814</v>
      </c>
      <c r="F1747" s="165" t="str">
        <f t="shared" si="292"/>
        <v>ROBI_20.22_125_NL2018</v>
      </c>
      <c r="G1747" s="165" t="s">
        <v>61</v>
      </c>
      <c r="H1747" s="12"/>
      <c r="I1747" s="12" t="s">
        <v>74</v>
      </c>
      <c r="J1747" s="14">
        <v>125</v>
      </c>
      <c r="K1747" s="15" t="s">
        <v>28</v>
      </c>
      <c r="L1747" s="15"/>
      <c r="M1747" s="16">
        <f t="shared" si="293"/>
        <v>80</v>
      </c>
      <c r="N1747" s="15">
        <f>5000+5000</f>
        <v>10000</v>
      </c>
      <c r="O1747" s="15">
        <v>10700</v>
      </c>
      <c r="P1747" s="15">
        <f t="shared" si="291"/>
        <v>107000000</v>
      </c>
      <c r="Q1747" s="15" t="str">
        <f t="shared" si="297"/>
        <v/>
      </c>
      <c r="R1747" s="18" t="s">
        <v>29</v>
      </c>
      <c r="S1747" s="117">
        <v>43709</v>
      </c>
      <c r="T1747" s="20">
        <f>IFERROR(VLOOKUP(S1747,'Date Converter'!$A$4:$C$368,3,0),"")</f>
        <v>43737</v>
      </c>
      <c r="U1747" s="21">
        <f t="shared" si="290"/>
        <v>43737</v>
      </c>
      <c r="V1747" s="254" t="s">
        <v>51</v>
      </c>
      <c r="W1747" s="18"/>
      <c r="X1747" s="18"/>
      <c r="Y1747" s="18"/>
      <c r="Z1747" s="210"/>
      <c r="AA1747" s="15"/>
      <c r="AB1747" s="210"/>
      <c r="AC1747" s="15"/>
      <c r="AD1747" s="15"/>
      <c r="AE1747" s="15"/>
      <c r="AF1747" s="244"/>
      <c r="AG1747" s="15"/>
      <c r="AH1747" s="15">
        <f t="shared" si="294"/>
        <v>0</v>
      </c>
      <c r="AI1747" s="22">
        <f t="shared" si="295"/>
        <v>10000</v>
      </c>
      <c r="AJ1747" s="22">
        <f t="shared" si="296"/>
        <v>107000000</v>
      </c>
      <c r="AK1747" s="13"/>
    </row>
    <row r="1748" spans="1:37" s="165" customFormat="1" hidden="1" outlineLevel="1">
      <c r="A1748" s="165" t="s">
        <v>1783</v>
      </c>
      <c r="B1748" s="13">
        <v>43470</v>
      </c>
      <c r="C1748" s="13" t="s">
        <v>1622</v>
      </c>
      <c r="D1748" s="165" t="s">
        <v>813</v>
      </c>
      <c r="E1748" s="165" t="s">
        <v>814</v>
      </c>
      <c r="F1748" s="165" t="str">
        <f t="shared" si="292"/>
        <v>PROF_16.18_200_NL2018</v>
      </c>
      <c r="G1748" s="165" t="s">
        <v>56</v>
      </c>
      <c r="H1748" s="12"/>
      <c r="I1748" s="12" t="s">
        <v>35</v>
      </c>
      <c r="J1748" s="14">
        <v>200</v>
      </c>
      <c r="K1748" s="15" t="s">
        <v>28</v>
      </c>
      <c r="L1748" s="15"/>
      <c r="M1748" s="16">
        <f t="shared" si="293"/>
        <v>90</v>
      </c>
      <c r="N1748" s="15">
        <v>18000</v>
      </c>
      <c r="O1748" s="15">
        <v>6700</v>
      </c>
      <c r="P1748" s="15">
        <f t="shared" si="291"/>
        <v>120600000</v>
      </c>
      <c r="Q1748" s="15" t="str">
        <f t="shared" si="297"/>
        <v/>
      </c>
      <c r="R1748" s="18" t="s">
        <v>63</v>
      </c>
      <c r="S1748" s="117" t="s">
        <v>151</v>
      </c>
      <c r="T1748" s="20">
        <f>IFERROR(VLOOKUP(S1748,'Date Converter'!$A$4:$C$368,3,0),"")</f>
        <v>43558</v>
      </c>
      <c r="U1748" s="21">
        <f t="shared" si="290"/>
        <v>43558</v>
      </c>
      <c r="V1748" s="12" t="s">
        <v>81</v>
      </c>
      <c r="W1748" s="18" t="s">
        <v>55</v>
      </c>
      <c r="X1748" s="18"/>
      <c r="Y1748" s="18"/>
      <c r="Z1748" s="210">
        <v>43602</v>
      </c>
      <c r="AA1748" s="15">
        <v>8000</v>
      </c>
      <c r="AB1748" s="210"/>
      <c r="AC1748" s="15"/>
      <c r="AD1748" s="15"/>
      <c r="AE1748" s="15"/>
      <c r="AF1748" s="244"/>
      <c r="AG1748" s="15"/>
      <c r="AH1748" s="15">
        <f t="shared" si="294"/>
        <v>8000</v>
      </c>
      <c r="AI1748" s="22">
        <f t="shared" si="295"/>
        <v>10000</v>
      </c>
      <c r="AJ1748" s="22">
        <f t="shared" si="296"/>
        <v>67000000</v>
      </c>
      <c r="AK1748" s="13">
        <v>43917</v>
      </c>
    </row>
    <row r="1749" spans="1:37" s="165" customFormat="1" hidden="1" outlineLevel="1">
      <c r="A1749" s="165" t="s">
        <v>1783</v>
      </c>
      <c r="B1749" s="13">
        <v>43470</v>
      </c>
      <c r="C1749" s="13" t="s">
        <v>1622</v>
      </c>
      <c r="D1749" s="165" t="s">
        <v>813</v>
      </c>
      <c r="E1749" s="165" t="s">
        <v>814</v>
      </c>
      <c r="F1749" s="165" t="str">
        <f t="shared" si="292"/>
        <v>MALD_16.18_200_NL2018</v>
      </c>
      <c r="G1749" s="165" t="s">
        <v>478</v>
      </c>
      <c r="H1749" s="12"/>
      <c r="I1749" s="12" t="s">
        <v>35</v>
      </c>
      <c r="J1749" s="14">
        <v>200</v>
      </c>
      <c r="K1749" s="15" t="s">
        <v>28</v>
      </c>
      <c r="L1749" s="15"/>
      <c r="M1749" s="16">
        <f t="shared" si="293"/>
        <v>0</v>
      </c>
      <c r="N1749" s="15">
        <f>5000-5000</f>
        <v>0</v>
      </c>
      <c r="O1749" s="15">
        <v>5300</v>
      </c>
      <c r="P1749" s="15">
        <f t="shared" si="291"/>
        <v>0</v>
      </c>
      <c r="Q1749" s="15" t="str">
        <f t="shared" si="297"/>
        <v>Canceled</v>
      </c>
      <c r="R1749" s="18" t="s">
        <v>71</v>
      </c>
      <c r="S1749" s="117">
        <v>43539</v>
      </c>
      <c r="T1749" s="20">
        <f>IFERROR(VLOOKUP(S1749,'Date Converter'!$A$4:$C$368,3,0),"")</f>
        <v>43574</v>
      </c>
      <c r="U1749" s="21">
        <f t="shared" si="290"/>
        <v>43574</v>
      </c>
      <c r="V1749" s="12"/>
      <c r="W1749" s="18"/>
      <c r="X1749" s="18"/>
      <c r="Y1749" s="18"/>
      <c r="Z1749" s="210"/>
      <c r="AA1749" s="15"/>
      <c r="AB1749" s="210"/>
      <c r="AC1749" s="15"/>
      <c r="AD1749" s="15"/>
      <c r="AE1749" s="15"/>
      <c r="AF1749" s="244"/>
      <c r="AG1749" s="15"/>
      <c r="AH1749" s="15">
        <f t="shared" si="294"/>
        <v>0</v>
      </c>
      <c r="AI1749" s="22">
        <f t="shared" si="295"/>
        <v>0</v>
      </c>
      <c r="AJ1749" s="22">
        <f t="shared" si="296"/>
        <v>0</v>
      </c>
      <c r="AK1749" s="13"/>
    </row>
    <row r="1750" spans="1:37" s="165" customFormat="1" hidden="1" outlineLevel="1">
      <c r="A1750" s="165" t="s">
        <v>1783</v>
      </c>
      <c r="B1750" s="13">
        <v>43470</v>
      </c>
      <c r="C1750" s="13" t="s">
        <v>1622</v>
      </c>
      <c r="D1750" s="165" t="s">
        <v>813</v>
      </c>
      <c r="E1750" s="165" t="s">
        <v>814</v>
      </c>
      <c r="F1750" s="165" t="str">
        <f t="shared" si="292"/>
        <v>MALD_15.16_300_NL2018</v>
      </c>
      <c r="G1750" s="165" t="s">
        <v>478</v>
      </c>
      <c r="H1750" s="12"/>
      <c r="I1750" s="12" t="s">
        <v>77</v>
      </c>
      <c r="J1750" s="14">
        <v>300</v>
      </c>
      <c r="K1750" s="15" t="s">
        <v>28</v>
      </c>
      <c r="L1750" s="15"/>
      <c r="M1750" s="16">
        <f t="shared" si="293"/>
        <v>34</v>
      </c>
      <c r="N1750" s="15">
        <v>10200</v>
      </c>
      <c r="O1750" s="15">
        <v>3900</v>
      </c>
      <c r="P1750" s="15">
        <f t="shared" si="291"/>
        <v>39780000</v>
      </c>
      <c r="Q1750" s="15" t="str">
        <f t="shared" si="297"/>
        <v>Done</v>
      </c>
      <c r="R1750" s="18" t="s">
        <v>44</v>
      </c>
      <c r="S1750" s="117">
        <v>43480</v>
      </c>
      <c r="T1750" s="20">
        <f>IFERROR(VLOOKUP(S1750,'Date Converter'!$A$4:$C$368,3,0),"")</f>
        <v>43515</v>
      </c>
      <c r="U1750" s="21">
        <f t="shared" si="290"/>
        <v>43515</v>
      </c>
      <c r="V1750" s="12" t="s">
        <v>45</v>
      </c>
      <c r="W1750" s="18"/>
      <c r="X1750" s="18"/>
      <c r="Y1750" s="18"/>
      <c r="Z1750" s="210">
        <v>43604</v>
      </c>
      <c r="AA1750" s="15">
        <v>10200</v>
      </c>
      <c r="AB1750" s="210"/>
      <c r="AC1750" s="15"/>
      <c r="AD1750" s="15"/>
      <c r="AE1750" s="15"/>
      <c r="AF1750" s="244"/>
      <c r="AG1750" s="15"/>
      <c r="AH1750" s="15">
        <f t="shared" si="294"/>
        <v>10200</v>
      </c>
      <c r="AI1750" s="22">
        <f t="shared" si="295"/>
        <v>0</v>
      </c>
      <c r="AJ1750" s="22">
        <f t="shared" si="296"/>
        <v>0</v>
      </c>
      <c r="AK1750" s="13">
        <v>43888</v>
      </c>
    </row>
    <row r="1751" spans="1:37" s="165" customFormat="1" hidden="1" outlineLevel="1">
      <c r="A1751" s="165" t="s">
        <v>1783</v>
      </c>
      <c r="B1751" s="13">
        <v>43470</v>
      </c>
      <c r="C1751" s="13" t="s">
        <v>1622</v>
      </c>
      <c r="D1751" s="165" t="s">
        <v>813</v>
      </c>
      <c r="E1751" s="165" t="s">
        <v>814</v>
      </c>
      <c r="F1751" s="165" t="str">
        <f t="shared" si="292"/>
        <v>MALD_15.16_300_NL2018</v>
      </c>
      <c r="G1751" s="165" t="s">
        <v>478</v>
      </c>
      <c r="H1751" s="12"/>
      <c r="I1751" s="12" t="s">
        <v>77</v>
      </c>
      <c r="J1751" s="14">
        <v>300</v>
      </c>
      <c r="K1751" s="15" t="s">
        <v>28</v>
      </c>
      <c r="L1751" s="15"/>
      <c r="M1751" s="16">
        <f t="shared" si="293"/>
        <v>34</v>
      </c>
      <c r="N1751" s="15">
        <v>10200</v>
      </c>
      <c r="O1751" s="15">
        <v>3900</v>
      </c>
      <c r="P1751" s="15">
        <f t="shared" si="291"/>
        <v>39780000</v>
      </c>
      <c r="Q1751" s="15" t="str">
        <f t="shared" si="297"/>
        <v>Done</v>
      </c>
      <c r="R1751" s="18" t="s">
        <v>44</v>
      </c>
      <c r="S1751" s="117">
        <v>43511</v>
      </c>
      <c r="T1751" s="20">
        <f>IFERROR(VLOOKUP(S1751,'Date Converter'!$A$4:$C$368,3,0),"")</f>
        <v>43544</v>
      </c>
      <c r="U1751" s="21">
        <f t="shared" si="290"/>
        <v>43544</v>
      </c>
      <c r="V1751" s="12" t="s">
        <v>32</v>
      </c>
      <c r="W1751" s="18" t="s">
        <v>41</v>
      </c>
      <c r="X1751" s="18"/>
      <c r="Y1751" s="18"/>
      <c r="Z1751" s="210">
        <v>43543</v>
      </c>
      <c r="AA1751" s="15">
        <v>5100</v>
      </c>
      <c r="AB1751" s="210">
        <v>43553</v>
      </c>
      <c r="AC1751" s="15">
        <v>5100</v>
      </c>
      <c r="AD1751" s="15"/>
      <c r="AE1751" s="15"/>
      <c r="AF1751" s="244"/>
      <c r="AG1751" s="15"/>
      <c r="AH1751" s="15">
        <f t="shared" si="294"/>
        <v>10200</v>
      </c>
      <c r="AI1751" s="22">
        <f t="shared" si="295"/>
        <v>0</v>
      </c>
      <c r="AJ1751" s="22">
        <f t="shared" si="296"/>
        <v>0</v>
      </c>
      <c r="AK1751" s="13">
        <v>43888</v>
      </c>
    </row>
    <row r="1752" spans="1:37" s="165" customFormat="1" hidden="1" outlineLevel="1">
      <c r="A1752" s="165" t="s">
        <v>1783</v>
      </c>
      <c r="B1752" s="13">
        <v>43470</v>
      </c>
      <c r="C1752" s="13" t="s">
        <v>1622</v>
      </c>
      <c r="D1752" s="165" t="s">
        <v>813</v>
      </c>
      <c r="E1752" s="165" t="s">
        <v>814</v>
      </c>
      <c r="F1752" s="165" t="str">
        <f t="shared" si="292"/>
        <v>MALD_15.16_300_NL2018</v>
      </c>
      <c r="G1752" s="225" t="s">
        <v>478</v>
      </c>
      <c r="H1752" s="12"/>
      <c r="I1752" s="12" t="s">
        <v>77</v>
      </c>
      <c r="J1752" s="14">
        <v>300</v>
      </c>
      <c r="K1752" s="15" t="s">
        <v>28</v>
      </c>
      <c r="L1752" s="15"/>
      <c r="M1752" s="16">
        <f t="shared" si="293"/>
        <v>0</v>
      </c>
      <c r="N1752" s="15">
        <f>10200-10200</f>
        <v>0</v>
      </c>
      <c r="O1752" s="15">
        <v>3900</v>
      </c>
      <c r="P1752" s="15">
        <f t="shared" si="291"/>
        <v>0</v>
      </c>
      <c r="Q1752" s="15" t="str">
        <f t="shared" si="297"/>
        <v>Canceled</v>
      </c>
      <c r="R1752" s="18" t="s">
        <v>71</v>
      </c>
      <c r="S1752" s="117">
        <v>43570</v>
      </c>
      <c r="T1752" s="20">
        <f>IFERROR(VLOOKUP(S1752,'Date Converter'!$A$4:$C$368,3,0),"")</f>
        <v>43604</v>
      </c>
      <c r="U1752" s="21">
        <f t="shared" si="290"/>
        <v>43604</v>
      </c>
      <c r="V1752" s="12" t="s">
        <v>87</v>
      </c>
      <c r="W1752" s="18"/>
      <c r="X1752" s="18"/>
      <c r="Y1752" s="18"/>
      <c r="Z1752" s="210"/>
      <c r="AA1752" s="15"/>
      <c r="AB1752" s="210"/>
      <c r="AC1752" s="15"/>
      <c r="AD1752" s="15"/>
      <c r="AE1752" s="15"/>
      <c r="AF1752" s="244"/>
      <c r="AG1752" s="15"/>
      <c r="AH1752" s="15">
        <f t="shared" si="294"/>
        <v>0</v>
      </c>
      <c r="AI1752" s="22">
        <f t="shared" si="295"/>
        <v>0</v>
      </c>
      <c r="AJ1752" s="22">
        <f t="shared" si="296"/>
        <v>0</v>
      </c>
      <c r="AK1752" s="13">
        <v>43917</v>
      </c>
    </row>
    <row r="1753" spans="1:37" s="165" customFormat="1" hidden="1" outlineLevel="1">
      <c r="A1753" s="165" t="s">
        <v>1783</v>
      </c>
      <c r="B1753" s="13">
        <v>43470</v>
      </c>
      <c r="C1753" s="13" t="s">
        <v>1622</v>
      </c>
      <c r="D1753" s="165" t="s">
        <v>813</v>
      </c>
      <c r="E1753" s="165" t="s">
        <v>814</v>
      </c>
      <c r="F1753" s="165" t="str">
        <f t="shared" si="292"/>
        <v>MALD_15.16_300_NL2018</v>
      </c>
      <c r="G1753" s="165" t="s">
        <v>478</v>
      </c>
      <c r="H1753" s="12"/>
      <c r="I1753" s="12" t="s">
        <v>77</v>
      </c>
      <c r="J1753" s="14">
        <v>300</v>
      </c>
      <c r="K1753" s="15" t="s">
        <v>28</v>
      </c>
      <c r="L1753" s="15"/>
      <c r="M1753" s="16">
        <f t="shared" si="293"/>
        <v>34</v>
      </c>
      <c r="N1753" s="15">
        <v>10200</v>
      </c>
      <c r="O1753" s="15">
        <v>3900</v>
      </c>
      <c r="P1753" s="15">
        <f t="shared" si="291"/>
        <v>39780000</v>
      </c>
      <c r="Q1753" s="15" t="str">
        <f t="shared" si="297"/>
        <v>Done</v>
      </c>
      <c r="R1753" s="18" t="s">
        <v>44</v>
      </c>
      <c r="S1753" s="117" t="s">
        <v>151</v>
      </c>
      <c r="T1753" s="20">
        <f>IFERROR(VLOOKUP(S1753,'Date Converter'!$A$4:$C$368,3,0),"")</f>
        <v>43558</v>
      </c>
      <c r="U1753" s="21">
        <f t="shared" si="290"/>
        <v>43558</v>
      </c>
      <c r="V1753" s="12" t="s">
        <v>81</v>
      </c>
      <c r="W1753" s="18" t="s">
        <v>72</v>
      </c>
      <c r="X1753" s="18"/>
      <c r="Y1753" s="18"/>
      <c r="Z1753" s="210">
        <v>43604</v>
      </c>
      <c r="AA1753" s="15">
        <v>10200</v>
      </c>
      <c r="AB1753" s="210"/>
      <c r="AC1753" s="15"/>
      <c r="AD1753" s="15"/>
      <c r="AE1753" s="15"/>
      <c r="AF1753" s="244"/>
      <c r="AG1753" s="15"/>
      <c r="AH1753" s="15">
        <f t="shared" si="294"/>
        <v>10200</v>
      </c>
      <c r="AI1753" s="22">
        <f t="shared" si="295"/>
        <v>0</v>
      </c>
      <c r="AJ1753" s="22">
        <f t="shared" si="296"/>
        <v>0</v>
      </c>
      <c r="AK1753" s="13">
        <v>43917</v>
      </c>
    </row>
    <row r="1754" spans="1:37" s="165" customFormat="1" hidden="1" outlineLevel="1">
      <c r="A1754" s="165" t="s">
        <v>1783</v>
      </c>
      <c r="B1754" s="13">
        <v>43601</v>
      </c>
      <c r="C1754" s="13" t="s">
        <v>1622</v>
      </c>
      <c r="D1754" s="165" t="s">
        <v>813</v>
      </c>
      <c r="E1754" s="165" t="s">
        <v>814</v>
      </c>
      <c r="F1754" s="165" t="str">
        <f t="shared" si="292"/>
        <v>MALD_14.16_300_NL2018</v>
      </c>
      <c r="G1754" s="165" t="s">
        <v>478</v>
      </c>
      <c r="H1754" s="12"/>
      <c r="I1754" s="12" t="s">
        <v>47</v>
      </c>
      <c r="J1754" s="14">
        <v>300</v>
      </c>
      <c r="K1754" s="15" t="s">
        <v>28</v>
      </c>
      <c r="L1754" s="15"/>
      <c r="M1754" s="16">
        <f t="shared" si="293"/>
        <v>33</v>
      </c>
      <c r="N1754" s="15">
        <v>9900</v>
      </c>
      <c r="O1754" s="15">
        <v>4000</v>
      </c>
      <c r="P1754" s="15">
        <f t="shared" si="291"/>
        <v>39600000</v>
      </c>
      <c r="Q1754" s="15" t="str">
        <f t="shared" si="297"/>
        <v>Done</v>
      </c>
      <c r="R1754" s="18" t="s">
        <v>44</v>
      </c>
      <c r="S1754" s="117">
        <v>43584</v>
      </c>
      <c r="T1754" s="20">
        <f>IFERROR(VLOOKUP(S1754,'Date Converter'!$A$4:$C$368,3,0),"")</f>
        <v>43618</v>
      </c>
      <c r="U1754" s="21">
        <f t="shared" si="290"/>
        <v>43618</v>
      </c>
      <c r="V1754" s="12"/>
      <c r="W1754" s="18"/>
      <c r="X1754" s="18"/>
      <c r="Y1754" s="18"/>
      <c r="Z1754" s="210">
        <v>43628</v>
      </c>
      <c r="AA1754" s="256">
        <v>5100</v>
      </c>
      <c r="AB1754" s="210">
        <v>43643</v>
      </c>
      <c r="AC1754" s="15">
        <v>4800</v>
      </c>
      <c r="AD1754" s="15"/>
      <c r="AE1754" s="15"/>
      <c r="AF1754" s="244"/>
      <c r="AG1754" s="15"/>
      <c r="AH1754" s="15">
        <f t="shared" si="294"/>
        <v>9900</v>
      </c>
      <c r="AI1754" s="22">
        <f t="shared" si="295"/>
        <v>0</v>
      </c>
      <c r="AJ1754" s="22">
        <f t="shared" si="296"/>
        <v>0</v>
      </c>
      <c r="AK1754" s="13"/>
    </row>
    <row r="1755" spans="1:37" s="165" customFormat="1" hidden="1" outlineLevel="1">
      <c r="A1755" s="165" t="s">
        <v>1783</v>
      </c>
      <c r="B1755" s="13">
        <v>43470</v>
      </c>
      <c r="C1755" s="13" t="s">
        <v>1622</v>
      </c>
      <c r="D1755" s="165" t="s">
        <v>813</v>
      </c>
      <c r="E1755" s="165" t="s">
        <v>814</v>
      </c>
      <c r="F1755" s="165" t="str">
        <f t="shared" si="292"/>
        <v>MALD_14.16_300_NL2018</v>
      </c>
      <c r="G1755" s="165" t="s">
        <v>478</v>
      </c>
      <c r="H1755" s="12"/>
      <c r="I1755" s="12" t="s">
        <v>47</v>
      </c>
      <c r="J1755" s="14">
        <v>300</v>
      </c>
      <c r="K1755" s="15" t="s">
        <v>28</v>
      </c>
      <c r="L1755" s="15"/>
      <c r="M1755" s="16">
        <f t="shared" si="293"/>
        <v>34</v>
      </c>
      <c r="N1755" s="15">
        <v>10200</v>
      </c>
      <c r="O1755" s="15">
        <v>4000</v>
      </c>
      <c r="P1755" s="15">
        <f t="shared" si="291"/>
        <v>40800000</v>
      </c>
      <c r="Q1755" s="15" t="str">
        <f t="shared" si="297"/>
        <v>Done</v>
      </c>
      <c r="R1755" s="18" t="s">
        <v>44</v>
      </c>
      <c r="S1755" s="117">
        <v>43572</v>
      </c>
      <c r="T1755" s="20">
        <f>IFERROR(VLOOKUP(S1755,'Date Converter'!$A$4:$C$368,3,0),"")</f>
        <v>43606</v>
      </c>
      <c r="U1755" s="21">
        <f t="shared" si="290"/>
        <v>43606</v>
      </c>
      <c r="V1755" s="12" t="s">
        <v>443</v>
      </c>
      <c r="W1755" s="18"/>
      <c r="X1755" s="18"/>
      <c r="Y1755" s="18"/>
      <c r="Z1755" s="210">
        <v>43572</v>
      </c>
      <c r="AA1755" s="256">
        <v>10200</v>
      </c>
      <c r="AB1755" s="210"/>
      <c r="AC1755" s="15"/>
      <c r="AD1755" s="15"/>
      <c r="AE1755" s="15"/>
      <c r="AF1755" s="244"/>
      <c r="AG1755" s="15"/>
      <c r="AH1755" s="15">
        <f t="shared" si="294"/>
        <v>10200</v>
      </c>
      <c r="AI1755" s="22">
        <f t="shared" si="295"/>
        <v>0</v>
      </c>
      <c r="AJ1755" s="22">
        <f t="shared" si="296"/>
        <v>0</v>
      </c>
      <c r="AK1755" s="13">
        <v>43917</v>
      </c>
    </row>
    <row r="1756" spans="1:37" s="165" customFormat="1" hidden="1" outlineLevel="1">
      <c r="A1756" s="165" t="s">
        <v>1783</v>
      </c>
      <c r="B1756" s="13">
        <v>43470</v>
      </c>
      <c r="C1756" s="13" t="s">
        <v>1622</v>
      </c>
      <c r="D1756" s="165" t="s">
        <v>813</v>
      </c>
      <c r="E1756" s="165" t="s">
        <v>814</v>
      </c>
      <c r="F1756" s="165" t="str">
        <f t="shared" si="292"/>
        <v>MALD_14.16_300_NL2018</v>
      </c>
      <c r="G1756" s="165" t="s">
        <v>478</v>
      </c>
      <c r="H1756" s="12"/>
      <c r="I1756" s="12" t="s">
        <v>47</v>
      </c>
      <c r="J1756" s="14">
        <v>300</v>
      </c>
      <c r="K1756" s="15" t="s">
        <v>28</v>
      </c>
      <c r="L1756" s="15"/>
      <c r="M1756" s="16">
        <f t="shared" si="293"/>
        <v>34</v>
      </c>
      <c r="N1756" s="15">
        <v>10200</v>
      </c>
      <c r="O1756" s="15">
        <v>4000</v>
      </c>
      <c r="P1756" s="15">
        <f t="shared" si="291"/>
        <v>40800000</v>
      </c>
      <c r="Q1756" s="15" t="str">
        <f t="shared" si="297"/>
        <v/>
      </c>
      <c r="R1756" s="18" t="s">
        <v>31</v>
      </c>
      <c r="S1756" s="117">
        <v>43631</v>
      </c>
      <c r="T1756" s="20">
        <f>IFERROR(VLOOKUP(S1756,'Date Converter'!$A$4:$C$368,3,0),"")</f>
        <v>43663</v>
      </c>
      <c r="U1756" s="21">
        <f t="shared" si="290"/>
        <v>43663</v>
      </c>
      <c r="V1756" s="12" t="s">
        <v>174</v>
      </c>
      <c r="W1756" s="18"/>
      <c r="X1756" s="18"/>
      <c r="Y1756" s="18"/>
      <c r="Z1756" s="210"/>
      <c r="AA1756" s="256"/>
      <c r="AB1756" s="210"/>
      <c r="AC1756" s="15"/>
      <c r="AD1756" s="15"/>
      <c r="AE1756" s="15"/>
      <c r="AF1756" s="244"/>
      <c r="AG1756" s="15"/>
      <c r="AH1756" s="15">
        <f t="shared" si="294"/>
        <v>0</v>
      </c>
      <c r="AI1756" s="22">
        <f t="shared" si="295"/>
        <v>10200</v>
      </c>
      <c r="AJ1756" s="22">
        <f t="shared" si="296"/>
        <v>40800000</v>
      </c>
      <c r="AK1756" s="13">
        <v>43917</v>
      </c>
    </row>
    <row r="1757" spans="1:37" s="165" customFormat="1" hidden="1" outlineLevel="1">
      <c r="A1757" s="165" t="s">
        <v>1785</v>
      </c>
      <c r="B1757" s="13">
        <v>43604</v>
      </c>
      <c r="C1757" s="267" t="s">
        <v>1622</v>
      </c>
      <c r="D1757" s="258" t="s">
        <v>813</v>
      </c>
      <c r="E1757" s="165" t="s">
        <v>814</v>
      </c>
      <c r="F1757" s="165" t="str">
        <f t="shared" si="292"/>
        <v>MALD_20.22_125_NL2018</v>
      </c>
      <c r="G1757" s="165" t="s">
        <v>478</v>
      </c>
      <c r="H1757" s="12"/>
      <c r="I1757" s="12" t="s">
        <v>74</v>
      </c>
      <c r="J1757" s="14">
        <v>125</v>
      </c>
      <c r="K1757" s="15" t="s">
        <v>28</v>
      </c>
      <c r="L1757" s="15"/>
      <c r="M1757" s="16">
        <f t="shared" si="293"/>
        <v>120</v>
      </c>
      <c r="N1757" s="15">
        <v>15000</v>
      </c>
      <c r="O1757" s="15">
        <v>9500</v>
      </c>
      <c r="P1757" s="15">
        <f t="shared" si="291"/>
        <v>142500000</v>
      </c>
      <c r="Q1757" s="15" t="str">
        <f t="shared" si="297"/>
        <v/>
      </c>
      <c r="R1757" s="18" t="s">
        <v>29</v>
      </c>
      <c r="S1757" s="117">
        <v>43709</v>
      </c>
      <c r="T1757" s="20">
        <f>IFERROR(VLOOKUP(S1757,'Date Converter'!$A$4:$C$368,3,0),"")</f>
        <v>43737</v>
      </c>
      <c r="U1757" s="21">
        <f t="shared" si="290"/>
        <v>43737</v>
      </c>
      <c r="V1757" s="254" t="s">
        <v>51</v>
      </c>
      <c r="W1757" s="18"/>
      <c r="X1757" s="18"/>
      <c r="Y1757" s="18"/>
      <c r="Z1757" s="210"/>
      <c r="AA1757" s="15"/>
      <c r="AB1757" s="210"/>
      <c r="AC1757" s="15"/>
      <c r="AD1757" s="15"/>
      <c r="AE1757" s="15"/>
      <c r="AF1757" s="244"/>
      <c r="AG1757" s="15"/>
      <c r="AH1757" s="15">
        <f t="shared" si="294"/>
        <v>0</v>
      </c>
      <c r="AI1757" s="22">
        <f t="shared" si="295"/>
        <v>15000</v>
      </c>
      <c r="AJ1757" s="22">
        <f t="shared" si="296"/>
        <v>142500000</v>
      </c>
      <c r="AK1757" s="13"/>
    </row>
    <row r="1758" spans="1:37" s="165" customFormat="1" hidden="1" outlineLevel="1">
      <c r="A1758" s="165" t="s">
        <v>1783</v>
      </c>
      <c r="B1758" s="13">
        <v>43470</v>
      </c>
      <c r="C1758" s="13" t="s">
        <v>1622</v>
      </c>
      <c r="D1758" s="165" t="s">
        <v>813</v>
      </c>
      <c r="E1758" s="165" t="s">
        <v>814</v>
      </c>
      <c r="F1758" s="165" t="str">
        <f t="shared" si="292"/>
        <v>MALD_14.16_300_NL2018</v>
      </c>
      <c r="G1758" s="165" t="s">
        <v>478</v>
      </c>
      <c r="H1758" s="12"/>
      <c r="I1758" s="12" t="s">
        <v>47</v>
      </c>
      <c r="J1758" s="14">
        <v>300</v>
      </c>
      <c r="K1758" s="15" t="s">
        <v>28</v>
      </c>
      <c r="L1758" s="15"/>
      <c r="M1758" s="16">
        <f t="shared" si="293"/>
        <v>100</v>
      </c>
      <c r="N1758" s="15">
        <v>30000</v>
      </c>
      <c r="O1758" s="15">
        <v>4000</v>
      </c>
      <c r="P1758" s="15">
        <f t="shared" si="291"/>
        <v>120000000</v>
      </c>
      <c r="Q1758" s="15" t="str">
        <f t="shared" si="297"/>
        <v/>
      </c>
      <c r="R1758" s="18" t="s">
        <v>29</v>
      </c>
      <c r="S1758" s="117"/>
      <c r="T1758" s="20" t="str">
        <f>IFERROR(VLOOKUP(S1758,'Date Converter'!$A$4:$C$368,3,0),"")</f>
        <v/>
      </c>
      <c r="U1758" s="21" t="str">
        <f t="shared" si="290"/>
        <v/>
      </c>
      <c r="V1758" s="12"/>
      <c r="W1758" s="18"/>
      <c r="X1758" s="18"/>
      <c r="Y1758" s="18"/>
      <c r="Z1758" s="210"/>
      <c r="AA1758" s="256"/>
      <c r="AB1758" s="210"/>
      <c r="AC1758" s="15"/>
      <c r="AD1758" s="15"/>
      <c r="AE1758" s="15"/>
      <c r="AF1758" s="244"/>
      <c r="AG1758" s="15"/>
      <c r="AH1758" s="15">
        <f t="shared" si="294"/>
        <v>0</v>
      </c>
      <c r="AI1758" s="22">
        <f t="shared" si="295"/>
        <v>30000</v>
      </c>
      <c r="AJ1758" s="22">
        <f t="shared" si="296"/>
        <v>120000000</v>
      </c>
      <c r="AK1758" s="13">
        <v>43917</v>
      </c>
    </row>
    <row r="1759" spans="1:37" s="165" customFormat="1" hidden="1" collapsed="1">
      <c r="A1759" s="165" t="s">
        <v>1783</v>
      </c>
      <c r="B1759" s="13">
        <v>43470</v>
      </c>
      <c r="C1759" s="13" t="s">
        <v>1622</v>
      </c>
      <c r="D1759" s="165" t="s">
        <v>813</v>
      </c>
      <c r="E1759" s="165" t="s">
        <v>814</v>
      </c>
      <c r="F1759" s="165" t="str">
        <f t="shared" si="292"/>
        <v>MALD_16.18_200_NL2018</v>
      </c>
      <c r="G1759" s="165" t="s">
        <v>478</v>
      </c>
      <c r="H1759" s="12"/>
      <c r="I1759" s="12" t="s">
        <v>35</v>
      </c>
      <c r="J1759" s="14">
        <v>200</v>
      </c>
      <c r="K1759" s="15" t="s">
        <v>28</v>
      </c>
      <c r="L1759" s="15"/>
      <c r="M1759" s="16">
        <f t="shared" si="293"/>
        <v>103</v>
      </c>
      <c r="N1759" s="15">
        <f>30000-9400</f>
        <v>20600</v>
      </c>
      <c r="O1759" s="15">
        <v>5000</v>
      </c>
      <c r="P1759" s="15">
        <f t="shared" si="291"/>
        <v>103000000</v>
      </c>
      <c r="Q1759" s="15" t="str">
        <f t="shared" si="297"/>
        <v/>
      </c>
      <c r="R1759" s="18" t="s">
        <v>29</v>
      </c>
      <c r="S1759" s="117"/>
      <c r="T1759" s="20" t="str">
        <f>IFERROR(VLOOKUP(S1759,'Date Converter'!$A$4:$C$368,3,0),"")</f>
        <v/>
      </c>
      <c r="U1759" s="21" t="str">
        <f t="shared" si="290"/>
        <v/>
      </c>
      <c r="V1759" s="12" t="s">
        <v>1786</v>
      </c>
      <c r="W1759" s="18"/>
      <c r="X1759" s="18"/>
      <c r="Y1759" s="18"/>
      <c r="Z1759" s="210"/>
      <c r="AA1759" s="15">
        <v>0</v>
      </c>
      <c r="AB1759" s="210"/>
      <c r="AC1759" s="15"/>
      <c r="AD1759" s="15"/>
      <c r="AE1759" s="15"/>
      <c r="AF1759" s="244"/>
      <c r="AG1759" s="15"/>
      <c r="AH1759" s="15">
        <f t="shared" si="294"/>
        <v>0</v>
      </c>
      <c r="AI1759" s="22">
        <f t="shared" si="295"/>
        <v>20600</v>
      </c>
      <c r="AJ1759" s="22">
        <f t="shared" si="296"/>
        <v>103000000</v>
      </c>
      <c r="AK1759" s="13">
        <v>43917</v>
      </c>
    </row>
    <row r="1760" spans="1:37" s="165" customFormat="1" hidden="1">
      <c r="A1760" s="165" t="s">
        <v>1785</v>
      </c>
      <c r="B1760" s="13">
        <v>43558</v>
      </c>
      <c r="C1760" s="267" t="s">
        <v>1622</v>
      </c>
      <c r="D1760" s="258" t="s">
        <v>813</v>
      </c>
      <c r="E1760" s="165" t="s">
        <v>814</v>
      </c>
      <c r="F1760" s="165" t="str">
        <f t="shared" si="292"/>
        <v>CONC_20.22_125_NL2018</v>
      </c>
      <c r="G1760" s="165" t="s">
        <v>40</v>
      </c>
      <c r="H1760" s="12"/>
      <c r="I1760" s="12" t="s">
        <v>74</v>
      </c>
      <c r="J1760" s="14">
        <v>125</v>
      </c>
      <c r="K1760" s="15" t="s">
        <v>28</v>
      </c>
      <c r="L1760" s="15"/>
      <c r="M1760" s="16">
        <f t="shared" si="293"/>
        <v>120</v>
      </c>
      <c r="N1760" s="15">
        <f>20000-10000+5000</f>
        <v>15000</v>
      </c>
      <c r="O1760" s="15">
        <v>10500</v>
      </c>
      <c r="P1760" s="15">
        <f t="shared" si="291"/>
        <v>157500000</v>
      </c>
      <c r="Q1760" s="15" t="str">
        <f t="shared" si="297"/>
        <v/>
      </c>
      <c r="R1760" s="18" t="s">
        <v>29</v>
      </c>
      <c r="S1760" s="117">
        <v>43709</v>
      </c>
      <c r="T1760" s="20">
        <f>IFERROR(VLOOKUP(S1760,'Date Converter'!$A$4:$C$368,3,0),"")</f>
        <v>43737</v>
      </c>
      <c r="U1760" s="21">
        <f t="shared" si="290"/>
        <v>43737</v>
      </c>
      <c r="V1760" s="254" t="s">
        <v>51</v>
      </c>
      <c r="W1760" s="18"/>
      <c r="X1760" s="18"/>
      <c r="Y1760" s="18"/>
      <c r="Z1760" s="210"/>
      <c r="AA1760" s="15"/>
      <c r="AB1760" s="210"/>
      <c r="AC1760" s="15"/>
      <c r="AD1760" s="15"/>
      <c r="AE1760" s="15"/>
      <c r="AF1760" s="244"/>
      <c r="AG1760" s="15"/>
      <c r="AH1760" s="15">
        <f t="shared" si="294"/>
        <v>0</v>
      </c>
      <c r="AI1760" s="22">
        <f t="shared" si="295"/>
        <v>15000</v>
      </c>
      <c r="AJ1760" s="22">
        <f t="shared" si="296"/>
        <v>157500000</v>
      </c>
      <c r="AK1760" s="13"/>
    </row>
    <row r="1761" spans="1:37" s="165" customFormat="1" hidden="1">
      <c r="A1761" s="165" t="s">
        <v>337</v>
      </c>
      <c r="B1761" s="13">
        <v>43521</v>
      </c>
      <c r="C1761" s="13" t="s">
        <v>23</v>
      </c>
      <c r="D1761" s="165" t="s">
        <v>246</v>
      </c>
      <c r="E1761" s="165" t="s">
        <v>247</v>
      </c>
      <c r="F1761" s="165" t="str">
        <f t="shared" si="292"/>
        <v>YELL_14.16_300_NL2018</v>
      </c>
      <c r="G1761" s="165" t="s">
        <v>89</v>
      </c>
      <c r="H1761" s="12"/>
      <c r="I1761" s="12" t="s">
        <v>47</v>
      </c>
      <c r="J1761" s="14">
        <v>300</v>
      </c>
      <c r="K1761" s="15" t="s">
        <v>28</v>
      </c>
      <c r="L1761" s="15"/>
      <c r="M1761" s="16">
        <f t="shared" si="293"/>
        <v>65</v>
      </c>
      <c r="N1761" s="15">
        <v>19500</v>
      </c>
      <c r="O1761" s="15">
        <v>3800</v>
      </c>
      <c r="P1761" s="15">
        <f t="shared" si="291"/>
        <v>74100000</v>
      </c>
      <c r="Q1761" s="15" t="str">
        <f t="shared" si="297"/>
        <v>Done</v>
      </c>
      <c r="R1761" s="18" t="s">
        <v>44</v>
      </c>
      <c r="S1761" s="23">
        <v>43524</v>
      </c>
      <c r="T1761" s="20">
        <f>IFERROR(VLOOKUP(S1761,'Date Converter'!$A$4:$C$368,3,0),"")</f>
        <v>43557</v>
      </c>
      <c r="U1761" s="21">
        <f t="shared" si="290"/>
        <v>43557</v>
      </c>
      <c r="V1761" s="12" t="s">
        <v>248</v>
      </c>
      <c r="W1761" s="18" t="s">
        <v>72</v>
      </c>
      <c r="X1761" s="18">
        <v>43555</v>
      </c>
      <c r="Y1761" s="15" t="s">
        <v>249</v>
      </c>
      <c r="Z1761" s="206">
        <v>43558</v>
      </c>
      <c r="AA1761" s="15">
        <v>19500</v>
      </c>
      <c r="AB1761" s="206"/>
      <c r="AC1761" s="15"/>
      <c r="AD1761" s="206"/>
      <c r="AE1761" s="15"/>
      <c r="AF1761" s="244"/>
      <c r="AG1761" s="15"/>
      <c r="AH1761" s="15">
        <f t="shared" si="294"/>
        <v>19500</v>
      </c>
      <c r="AI1761" s="22">
        <f t="shared" si="295"/>
        <v>0</v>
      </c>
      <c r="AJ1761" s="22">
        <f t="shared" si="296"/>
        <v>0</v>
      </c>
    </row>
    <row r="1762" spans="1:37" s="165" customFormat="1" hidden="1">
      <c r="A1762" s="165" t="s">
        <v>337</v>
      </c>
      <c r="B1762" s="13">
        <v>43521</v>
      </c>
      <c r="C1762" s="13" t="s">
        <v>23</v>
      </c>
      <c r="D1762" s="165" t="s">
        <v>246</v>
      </c>
      <c r="E1762" s="165" t="s">
        <v>247</v>
      </c>
      <c r="F1762" s="165" t="str">
        <f t="shared" si="292"/>
        <v>TEBA_14.16_300_NL2018</v>
      </c>
      <c r="G1762" s="165" t="s">
        <v>127</v>
      </c>
      <c r="H1762" s="12"/>
      <c r="I1762" s="12" t="s">
        <v>47</v>
      </c>
      <c r="J1762" s="14">
        <v>300</v>
      </c>
      <c r="K1762" s="15" t="s">
        <v>28</v>
      </c>
      <c r="L1762" s="15"/>
      <c r="M1762" s="16">
        <f t="shared" si="293"/>
        <v>45</v>
      </c>
      <c r="N1762" s="15">
        <f>10500+3000</f>
        <v>13500</v>
      </c>
      <c r="O1762" s="15">
        <v>4100</v>
      </c>
      <c r="P1762" s="15">
        <f t="shared" si="291"/>
        <v>55350000</v>
      </c>
      <c r="Q1762" s="15" t="str">
        <f t="shared" si="297"/>
        <v>Done</v>
      </c>
      <c r="R1762" s="18" t="s">
        <v>44</v>
      </c>
      <c r="S1762" s="23">
        <v>43524</v>
      </c>
      <c r="T1762" s="20">
        <f>IFERROR(VLOOKUP(S1762,'Date Converter'!$A$4:$C$368,3,0),"")</f>
        <v>43557</v>
      </c>
      <c r="U1762" s="21">
        <f t="shared" si="290"/>
        <v>43557</v>
      </c>
      <c r="V1762" s="12" t="s">
        <v>248</v>
      </c>
      <c r="W1762" s="18" t="s">
        <v>82</v>
      </c>
      <c r="X1762" s="18">
        <v>43555</v>
      </c>
      <c r="Y1762" s="15" t="s">
        <v>249</v>
      </c>
      <c r="Z1762" s="206">
        <v>43558</v>
      </c>
      <c r="AA1762" s="15">
        <v>13500</v>
      </c>
      <c r="AB1762" s="206"/>
      <c r="AC1762" s="15"/>
      <c r="AD1762" s="206"/>
      <c r="AE1762" s="15"/>
      <c r="AF1762" s="244"/>
      <c r="AG1762" s="15"/>
      <c r="AH1762" s="15">
        <f t="shared" si="294"/>
        <v>13500</v>
      </c>
      <c r="AI1762" s="22">
        <f t="shared" si="295"/>
        <v>0</v>
      </c>
      <c r="AJ1762" s="22">
        <f t="shared" si="296"/>
        <v>0</v>
      </c>
    </row>
    <row r="1763" spans="1:37" s="165" customFormat="1" hidden="1">
      <c r="A1763" s="165" t="s">
        <v>1488</v>
      </c>
      <c r="B1763" s="13">
        <v>43593</v>
      </c>
      <c r="C1763" s="266" t="s">
        <v>23</v>
      </c>
      <c r="D1763" s="258" t="s">
        <v>1575</v>
      </c>
      <c r="E1763" s="119" t="s">
        <v>1493</v>
      </c>
      <c r="F1763" s="165" t="str">
        <f t="shared" si="292"/>
        <v>ROBI_20.22_125_NL2018</v>
      </c>
      <c r="G1763" s="13" t="s">
        <v>61</v>
      </c>
      <c r="H1763" s="12"/>
      <c r="I1763" s="12" t="s">
        <v>74</v>
      </c>
      <c r="J1763" s="31" t="s">
        <v>122</v>
      </c>
      <c r="K1763" s="15" t="s">
        <v>28</v>
      </c>
      <c r="L1763" s="15"/>
      <c r="M1763" s="33">
        <f t="shared" si="293"/>
        <v>80</v>
      </c>
      <c r="N1763" s="15">
        <v>10000</v>
      </c>
      <c r="O1763" s="15">
        <v>10700</v>
      </c>
      <c r="P1763" s="15">
        <f t="shared" si="291"/>
        <v>107000000</v>
      </c>
      <c r="Q1763" s="15" t="str">
        <f t="shared" si="297"/>
        <v/>
      </c>
      <c r="R1763" s="18" t="s">
        <v>29</v>
      </c>
      <c r="S1763" s="23">
        <v>43709</v>
      </c>
      <c r="T1763" s="20">
        <f>IFERROR(VLOOKUP(S1763,'Date Converter'!$A$4:$C$368,3,0),"")</f>
        <v>43737</v>
      </c>
      <c r="U1763" s="21">
        <f t="shared" si="290"/>
        <v>43737</v>
      </c>
      <c r="V1763" s="253" t="s">
        <v>51</v>
      </c>
      <c r="W1763" s="18"/>
      <c r="X1763" s="18"/>
      <c r="Y1763" s="12"/>
      <c r="Z1763" s="206"/>
      <c r="AA1763" s="15"/>
      <c r="AB1763" s="206"/>
      <c r="AC1763" s="12"/>
      <c r="AD1763" s="206"/>
      <c r="AE1763" s="12"/>
      <c r="AF1763" s="245"/>
      <c r="AG1763" s="12"/>
      <c r="AH1763" s="15">
        <f t="shared" si="294"/>
        <v>0</v>
      </c>
      <c r="AI1763" s="22">
        <f t="shared" si="295"/>
        <v>10000</v>
      </c>
      <c r="AJ1763" s="22">
        <f t="shared" si="296"/>
        <v>107000000</v>
      </c>
    </row>
    <row r="1764" spans="1:37" s="165" customFormat="1" hidden="1">
      <c r="A1764" s="165" t="s">
        <v>1492</v>
      </c>
      <c r="B1764" s="13">
        <v>43584</v>
      </c>
      <c r="C1764" s="13" t="s">
        <v>23</v>
      </c>
      <c r="D1764" s="165" t="s">
        <v>1575</v>
      </c>
      <c r="E1764" s="119" t="s">
        <v>1493</v>
      </c>
      <c r="F1764" s="165" t="str">
        <f t="shared" si="292"/>
        <v>PROF_14.16_275_NL2018</v>
      </c>
      <c r="G1764" s="13" t="s">
        <v>56</v>
      </c>
      <c r="H1764" s="12"/>
      <c r="I1764" s="12" t="s">
        <v>47</v>
      </c>
      <c r="J1764" s="31" t="s">
        <v>1427</v>
      </c>
      <c r="K1764" s="15" t="s">
        <v>28</v>
      </c>
      <c r="L1764" s="15"/>
      <c r="M1764" s="33">
        <f t="shared" si="293"/>
        <v>20</v>
      </c>
      <c r="N1764" s="15">
        <v>5500</v>
      </c>
      <c r="O1764" s="15">
        <v>5000</v>
      </c>
      <c r="P1764" s="15">
        <f t="shared" si="291"/>
        <v>27500000</v>
      </c>
      <c r="Q1764" s="15" t="str">
        <f t="shared" si="297"/>
        <v>Done</v>
      </c>
      <c r="R1764" s="18" t="s">
        <v>44</v>
      </c>
      <c r="S1764" s="23">
        <v>43572</v>
      </c>
      <c r="T1764" s="20">
        <f>IFERROR(VLOOKUP(S1764,'Date Converter'!$A$4:$C$368,3,0),"")</f>
        <v>43606</v>
      </c>
      <c r="U1764" s="21">
        <f t="shared" si="290"/>
        <v>43606</v>
      </c>
      <c r="V1764" s="12" t="s">
        <v>36</v>
      </c>
      <c r="W1764" s="18"/>
      <c r="X1764" s="18"/>
      <c r="Y1764" s="12"/>
      <c r="Z1764" s="206">
        <v>43628</v>
      </c>
      <c r="AA1764" s="32">
        <v>5500</v>
      </c>
      <c r="AB1764" s="206"/>
      <c r="AC1764" s="12"/>
      <c r="AD1764" s="206"/>
      <c r="AE1764" s="12"/>
      <c r="AF1764" s="245"/>
      <c r="AG1764" s="12"/>
      <c r="AH1764" s="15">
        <f t="shared" si="294"/>
        <v>5500</v>
      </c>
      <c r="AI1764" s="22">
        <f t="shared" si="295"/>
        <v>0</v>
      </c>
      <c r="AJ1764" s="22">
        <f t="shared" si="296"/>
        <v>0</v>
      </c>
    </row>
    <row r="1765" spans="1:37" s="165" customFormat="1" hidden="1">
      <c r="A1765" s="165" t="s">
        <v>1488</v>
      </c>
      <c r="B1765" s="13">
        <v>43629</v>
      </c>
      <c r="C1765" s="266" t="s">
        <v>23</v>
      </c>
      <c r="D1765" s="258" t="s">
        <v>1575</v>
      </c>
      <c r="E1765" s="119" t="s">
        <v>1493</v>
      </c>
      <c r="F1765" s="165" t="str">
        <f t="shared" si="292"/>
        <v>CONC_24.26_80_NL2018</v>
      </c>
      <c r="G1765" s="13" t="s">
        <v>40</v>
      </c>
      <c r="H1765" s="12"/>
      <c r="I1765" s="12" t="s">
        <v>220</v>
      </c>
      <c r="J1765" s="31" t="s">
        <v>504</v>
      </c>
      <c r="K1765" s="15" t="s">
        <v>28</v>
      </c>
      <c r="L1765" s="15"/>
      <c r="M1765" s="33">
        <f t="shared" si="293"/>
        <v>125</v>
      </c>
      <c r="N1765" s="15">
        <v>10000</v>
      </c>
      <c r="O1765" s="15">
        <v>15200</v>
      </c>
      <c r="P1765" s="15">
        <f t="shared" si="291"/>
        <v>152000000</v>
      </c>
      <c r="Q1765" s="15" t="str">
        <f t="shared" si="297"/>
        <v/>
      </c>
      <c r="R1765" s="18" t="s">
        <v>29</v>
      </c>
      <c r="S1765" s="23">
        <v>43709</v>
      </c>
      <c r="T1765" s="20">
        <f>IFERROR(VLOOKUP(S1765,'Date Converter'!$A$4:$C$368,3,0),"")</f>
        <v>43737</v>
      </c>
      <c r="U1765" s="21">
        <f t="shared" si="290"/>
        <v>43737</v>
      </c>
      <c r="V1765" s="253" t="s">
        <v>51</v>
      </c>
      <c r="W1765" s="18"/>
      <c r="X1765" s="18"/>
      <c r="Y1765" s="12"/>
      <c r="Z1765" s="206"/>
      <c r="AA1765" s="15"/>
      <c r="AB1765" s="206"/>
      <c r="AC1765" s="12"/>
      <c r="AD1765" s="206"/>
      <c r="AE1765" s="12"/>
      <c r="AF1765" s="245"/>
      <c r="AG1765" s="12"/>
      <c r="AH1765" s="15">
        <f t="shared" si="294"/>
        <v>0</v>
      </c>
      <c r="AI1765" s="22">
        <f t="shared" si="295"/>
        <v>10000</v>
      </c>
      <c r="AJ1765" s="22">
        <f t="shared" si="296"/>
        <v>152000000</v>
      </c>
    </row>
    <row r="1766" spans="1:37" s="165" customFormat="1" hidden="1">
      <c r="A1766" s="165" t="s">
        <v>338</v>
      </c>
      <c r="B1766" s="13">
        <v>43523</v>
      </c>
      <c r="C1766" s="13" t="s">
        <v>23</v>
      </c>
      <c r="D1766" s="165" t="s">
        <v>250</v>
      </c>
      <c r="E1766" s="198" t="s">
        <v>251</v>
      </c>
      <c r="F1766" s="165" t="str">
        <f t="shared" si="292"/>
        <v>SERA_16.18_200_NL2018</v>
      </c>
      <c r="G1766" s="165" t="s">
        <v>227</v>
      </c>
      <c r="H1766" s="12"/>
      <c r="I1766" s="12" t="s">
        <v>35</v>
      </c>
      <c r="J1766" s="14">
        <v>200</v>
      </c>
      <c r="K1766" s="15" t="s">
        <v>28</v>
      </c>
      <c r="L1766" s="15"/>
      <c r="M1766" s="16">
        <f t="shared" si="293"/>
        <v>50</v>
      </c>
      <c r="N1766" s="15">
        <v>10000</v>
      </c>
      <c r="O1766" s="15">
        <v>5000</v>
      </c>
      <c r="P1766" s="15">
        <f t="shared" si="291"/>
        <v>50000000</v>
      </c>
      <c r="Q1766" s="15" t="str">
        <f t="shared" si="297"/>
        <v>Done</v>
      </c>
      <c r="R1766" s="18" t="s">
        <v>44</v>
      </c>
      <c r="S1766" s="23">
        <v>43539</v>
      </c>
      <c r="T1766" s="20">
        <f>IFERROR(VLOOKUP(S1766,'Date Converter'!$A$4:$C$368,3,0),"")</f>
        <v>43574</v>
      </c>
      <c r="U1766" s="21">
        <f t="shared" si="290"/>
        <v>43574</v>
      </c>
      <c r="V1766" s="12" t="s">
        <v>57</v>
      </c>
      <c r="W1766" s="18" t="s">
        <v>79</v>
      </c>
      <c r="X1766" s="18">
        <v>43569</v>
      </c>
      <c r="Y1766" s="15"/>
      <c r="Z1766" s="206">
        <v>43603</v>
      </c>
      <c r="AA1766" s="15">
        <v>10000</v>
      </c>
      <c r="AB1766" s="206"/>
      <c r="AC1766" s="15"/>
      <c r="AD1766" s="206"/>
      <c r="AE1766" s="15"/>
      <c r="AF1766" s="244"/>
      <c r="AG1766" s="15"/>
      <c r="AH1766" s="15">
        <f t="shared" si="294"/>
        <v>10000</v>
      </c>
      <c r="AI1766" s="22">
        <f t="shared" si="295"/>
        <v>0</v>
      </c>
      <c r="AJ1766" s="22">
        <f t="shared" si="296"/>
        <v>0</v>
      </c>
      <c r="AK1766" s="165" t="s">
        <v>109</v>
      </c>
    </row>
    <row r="1767" spans="1:37" s="165" customFormat="1" hidden="1">
      <c r="A1767" s="165" t="s">
        <v>1495</v>
      </c>
      <c r="B1767" s="13">
        <v>43592</v>
      </c>
      <c r="C1767" s="13" t="s">
        <v>23</v>
      </c>
      <c r="D1767" s="258" t="s">
        <v>250</v>
      </c>
      <c r="E1767" s="201" t="s">
        <v>251</v>
      </c>
      <c r="F1767" s="183" t="str">
        <f t="shared" si="292"/>
        <v>ROBI_22.24_100_NZ2019</v>
      </c>
      <c r="G1767" s="183" t="s">
        <v>1469</v>
      </c>
      <c r="H1767" s="184"/>
      <c r="I1767" s="184" t="s">
        <v>78</v>
      </c>
      <c r="J1767" s="186">
        <v>100</v>
      </c>
      <c r="K1767" s="185" t="s">
        <v>1507</v>
      </c>
      <c r="L1767" s="185"/>
      <c r="M1767" s="187">
        <f t="shared" si="293"/>
        <v>180</v>
      </c>
      <c r="N1767" s="185">
        <f>5000+13000</f>
        <v>18000</v>
      </c>
      <c r="O1767" s="15">
        <v>13500</v>
      </c>
      <c r="P1767" s="15">
        <f t="shared" si="291"/>
        <v>243000000</v>
      </c>
      <c r="Q1767" s="15" t="str">
        <f t="shared" si="297"/>
        <v/>
      </c>
      <c r="R1767" s="18" t="s">
        <v>29</v>
      </c>
      <c r="S1767" s="23">
        <v>43709</v>
      </c>
      <c r="T1767" s="20">
        <f>IFERROR(VLOOKUP(S1767,'Date Converter'!$A$4:$C$368,3,0),"")</f>
        <v>43737</v>
      </c>
      <c r="U1767" s="21">
        <f t="shared" si="290"/>
        <v>43737</v>
      </c>
      <c r="V1767" s="253" t="s">
        <v>51</v>
      </c>
      <c r="W1767" s="18"/>
      <c r="X1767" s="18"/>
      <c r="Y1767" s="15"/>
      <c r="Z1767" s="206"/>
      <c r="AA1767" s="15"/>
      <c r="AB1767" s="206"/>
      <c r="AC1767" s="15"/>
      <c r="AD1767" s="206"/>
      <c r="AE1767" s="15"/>
      <c r="AF1767" s="244"/>
      <c r="AG1767" s="15"/>
      <c r="AH1767" s="15">
        <f t="shared" si="294"/>
        <v>0</v>
      </c>
      <c r="AI1767" s="22">
        <f t="shared" si="295"/>
        <v>18000</v>
      </c>
      <c r="AJ1767" s="22">
        <f t="shared" si="296"/>
        <v>243000000</v>
      </c>
    </row>
    <row r="1768" spans="1:37" s="165" customFormat="1" hidden="1">
      <c r="A1768" s="165" t="s">
        <v>1495</v>
      </c>
      <c r="B1768" s="13">
        <v>43587</v>
      </c>
      <c r="C1768" s="13" t="s">
        <v>23</v>
      </c>
      <c r="D1768" s="258" t="s">
        <v>250</v>
      </c>
      <c r="E1768" s="201" t="s">
        <v>251</v>
      </c>
      <c r="F1768" s="183" t="str">
        <f t="shared" si="292"/>
        <v>ROBI_22.24_100_NL2018</v>
      </c>
      <c r="G1768" s="183" t="s">
        <v>61</v>
      </c>
      <c r="H1768" s="184"/>
      <c r="I1768" s="184" t="s">
        <v>78</v>
      </c>
      <c r="J1768" s="186">
        <v>100</v>
      </c>
      <c r="K1768" s="15" t="s">
        <v>28</v>
      </c>
      <c r="L1768" s="185"/>
      <c r="M1768" s="187">
        <f t="shared" si="293"/>
        <v>100</v>
      </c>
      <c r="N1768" s="185">
        <v>10000</v>
      </c>
      <c r="O1768" s="15">
        <v>13700</v>
      </c>
      <c r="P1768" s="15">
        <f t="shared" si="291"/>
        <v>137000000</v>
      </c>
      <c r="Q1768" s="15" t="str">
        <f t="shared" si="297"/>
        <v/>
      </c>
      <c r="R1768" s="18" t="s">
        <v>29</v>
      </c>
      <c r="S1768" s="23">
        <v>43709</v>
      </c>
      <c r="T1768" s="20">
        <f>IFERROR(VLOOKUP(S1768,'Date Converter'!$A$4:$C$368,3,0),"")</f>
        <v>43737</v>
      </c>
      <c r="U1768" s="21">
        <f t="shared" ref="U1768:U1830" si="298">+T1768</f>
        <v>43737</v>
      </c>
      <c r="V1768" s="253" t="s">
        <v>51</v>
      </c>
      <c r="W1768" s="18"/>
      <c r="X1768" s="18"/>
      <c r="Y1768" s="15"/>
      <c r="Z1768" s="206"/>
      <c r="AA1768" s="15"/>
      <c r="AB1768" s="206"/>
      <c r="AC1768" s="15"/>
      <c r="AD1768" s="206"/>
      <c r="AE1768" s="15"/>
      <c r="AF1768" s="244"/>
      <c r="AG1768" s="15"/>
      <c r="AH1768" s="15">
        <f t="shared" si="294"/>
        <v>0</v>
      </c>
      <c r="AI1768" s="22">
        <f t="shared" si="295"/>
        <v>10000</v>
      </c>
      <c r="AJ1768" s="22">
        <f t="shared" si="296"/>
        <v>137000000</v>
      </c>
    </row>
    <row r="1769" spans="1:37" s="165" customFormat="1" hidden="1">
      <c r="A1769" s="165" t="s">
        <v>1495</v>
      </c>
      <c r="B1769" s="13">
        <v>43605</v>
      </c>
      <c r="C1769" s="13" t="s">
        <v>23</v>
      </c>
      <c r="D1769" s="258" t="s">
        <v>250</v>
      </c>
      <c r="E1769" s="201" t="s">
        <v>251</v>
      </c>
      <c r="F1769" s="183" t="str">
        <f t="shared" si="292"/>
        <v>ROBI_24.26_80_NL2018</v>
      </c>
      <c r="G1769" s="183" t="s">
        <v>61</v>
      </c>
      <c r="H1769" s="184"/>
      <c r="I1769" s="184" t="s">
        <v>220</v>
      </c>
      <c r="J1769" s="186">
        <v>80</v>
      </c>
      <c r="K1769" s="15" t="s">
        <v>28</v>
      </c>
      <c r="L1769" s="185"/>
      <c r="M1769" s="187">
        <f t="shared" si="293"/>
        <v>88</v>
      </c>
      <c r="N1769" s="185">
        <v>7040</v>
      </c>
      <c r="O1769" s="15">
        <v>15300</v>
      </c>
      <c r="P1769" s="15">
        <f t="shared" ref="P1769:P1831" si="299">+O1769*N1769</f>
        <v>107712000</v>
      </c>
      <c r="Q1769" s="15" t="str">
        <f t="shared" si="297"/>
        <v/>
      </c>
      <c r="R1769" s="18" t="s">
        <v>29</v>
      </c>
      <c r="S1769" s="23">
        <v>43709</v>
      </c>
      <c r="T1769" s="20">
        <f>IFERROR(VLOOKUP(S1769,'Date Converter'!$A$4:$C$368,3,0),"")</f>
        <v>43737</v>
      </c>
      <c r="U1769" s="21">
        <f t="shared" si="298"/>
        <v>43737</v>
      </c>
      <c r="V1769" s="253" t="s">
        <v>51</v>
      </c>
      <c r="W1769" s="18"/>
      <c r="X1769" s="18"/>
      <c r="Y1769" s="15"/>
      <c r="Z1769" s="206"/>
      <c r="AA1769" s="15"/>
      <c r="AB1769" s="206"/>
      <c r="AC1769" s="15"/>
      <c r="AD1769" s="206"/>
      <c r="AE1769" s="15"/>
      <c r="AF1769" s="244"/>
      <c r="AG1769" s="15"/>
      <c r="AH1769" s="15">
        <f t="shared" si="294"/>
        <v>0</v>
      </c>
      <c r="AI1769" s="22">
        <f t="shared" si="295"/>
        <v>7040</v>
      </c>
      <c r="AJ1769" s="22">
        <f t="shared" si="296"/>
        <v>107712000</v>
      </c>
    </row>
    <row r="1770" spans="1:37" s="165" customFormat="1" hidden="1">
      <c r="A1770" s="165" t="s">
        <v>338</v>
      </c>
      <c r="B1770" s="13">
        <v>43523</v>
      </c>
      <c r="C1770" s="13" t="s">
        <v>23</v>
      </c>
      <c r="D1770" s="165" t="s">
        <v>250</v>
      </c>
      <c r="E1770" s="165" t="s">
        <v>251</v>
      </c>
      <c r="F1770" s="165" t="str">
        <f t="shared" si="292"/>
        <v>ROBI_18.20_150_NL2018</v>
      </c>
      <c r="G1770" s="165" t="s">
        <v>61</v>
      </c>
      <c r="H1770" s="12"/>
      <c r="I1770" s="12" t="s">
        <v>27</v>
      </c>
      <c r="J1770" s="14">
        <v>150</v>
      </c>
      <c r="K1770" s="15" t="s">
        <v>28</v>
      </c>
      <c r="L1770" s="15"/>
      <c r="M1770" s="16">
        <f t="shared" si="293"/>
        <v>200</v>
      </c>
      <c r="N1770" s="15">
        <v>30000</v>
      </c>
      <c r="O1770" s="15">
        <v>6300</v>
      </c>
      <c r="P1770" s="15">
        <f t="shared" si="299"/>
        <v>189000000</v>
      </c>
      <c r="Q1770" s="15" t="str">
        <f t="shared" si="297"/>
        <v>Done</v>
      </c>
      <c r="R1770" s="18" t="s">
        <v>44</v>
      </c>
      <c r="S1770" s="23">
        <v>43539</v>
      </c>
      <c r="T1770" s="20">
        <f>IFERROR(VLOOKUP(S1770,'Date Converter'!$A$4:$C$368,3,0),"")</f>
        <v>43574</v>
      </c>
      <c r="U1770" s="21">
        <f t="shared" si="298"/>
        <v>43574</v>
      </c>
      <c r="V1770" s="12" t="s">
        <v>57</v>
      </c>
      <c r="W1770" s="18" t="s">
        <v>118</v>
      </c>
      <c r="X1770" s="18">
        <v>43569</v>
      </c>
      <c r="Y1770" s="15"/>
      <c r="Z1770" s="206">
        <v>43587</v>
      </c>
      <c r="AA1770" s="15">
        <v>10050</v>
      </c>
      <c r="AB1770" s="206">
        <v>43591</v>
      </c>
      <c r="AC1770" s="15">
        <v>19950</v>
      </c>
      <c r="AD1770" s="206"/>
      <c r="AE1770" s="15"/>
      <c r="AF1770" s="244"/>
      <c r="AG1770" s="15"/>
      <c r="AH1770" s="15">
        <f t="shared" si="294"/>
        <v>30000</v>
      </c>
      <c r="AI1770" s="22">
        <f t="shared" si="295"/>
        <v>0</v>
      </c>
      <c r="AJ1770" s="22">
        <f t="shared" si="296"/>
        <v>0</v>
      </c>
    </row>
    <row r="1771" spans="1:37" s="165" customFormat="1" hidden="1">
      <c r="A1771" s="165" t="s">
        <v>338</v>
      </c>
      <c r="B1771" s="13">
        <v>43592</v>
      </c>
      <c r="C1771" s="13" t="s">
        <v>23</v>
      </c>
      <c r="D1771" s="165" t="s">
        <v>250</v>
      </c>
      <c r="E1771" s="198" t="s">
        <v>251</v>
      </c>
      <c r="F1771" s="165" t="str">
        <f t="shared" ref="F1771:F1833" si="300">SUBSTITUTE(LEFT(G1771,4)&amp;"_"&amp;H1771&amp;"_"&amp;I1771&amp;"_"&amp;J1771&amp;"_"&amp;K1771,"__","_")</f>
        <v>ROBI_16.18_200_NL2018</v>
      </c>
      <c r="G1771" s="165" t="s">
        <v>61</v>
      </c>
      <c r="H1771" s="12"/>
      <c r="I1771" s="12" t="s">
        <v>35</v>
      </c>
      <c r="J1771" s="14">
        <v>200</v>
      </c>
      <c r="K1771" s="15" t="s">
        <v>28</v>
      </c>
      <c r="L1771" s="15"/>
      <c r="M1771" s="16">
        <f t="shared" ref="M1771:M1833" si="301">+N1771/J1771</f>
        <v>150</v>
      </c>
      <c r="N1771" s="15">
        <f>28200+1800</f>
        <v>30000</v>
      </c>
      <c r="O1771" s="15">
        <v>5400</v>
      </c>
      <c r="P1771" s="15">
        <f t="shared" si="299"/>
        <v>162000000</v>
      </c>
      <c r="Q1771" s="15" t="str">
        <f t="shared" si="297"/>
        <v/>
      </c>
      <c r="R1771" s="18" t="s">
        <v>44</v>
      </c>
      <c r="S1771" s="23">
        <v>43572</v>
      </c>
      <c r="T1771" s="20">
        <f>IFERROR(VLOOKUP(S1771,'Date Converter'!$A$4:$C$368,3,0),"")</f>
        <v>43606</v>
      </c>
      <c r="U1771" s="21">
        <f t="shared" si="298"/>
        <v>43606</v>
      </c>
      <c r="V1771" s="12" t="s">
        <v>443</v>
      </c>
      <c r="W1771" s="18"/>
      <c r="X1771" s="18"/>
      <c r="Y1771" s="15"/>
      <c r="Z1771" s="206"/>
      <c r="AA1771" s="15"/>
      <c r="AB1771" s="206"/>
      <c r="AC1771" s="15"/>
      <c r="AD1771" s="206"/>
      <c r="AE1771" s="15"/>
      <c r="AF1771" s="244"/>
      <c r="AG1771" s="15"/>
      <c r="AH1771" s="15">
        <f t="shared" si="294"/>
        <v>0</v>
      </c>
      <c r="AI1771" s="22">
        <f t="shared" si="295"/>
        <v>30000</v>
      </c>
      <c r="AJ1771" s="22">
        <f t="shared" si="296"/>
        <v>162000000</v>
      </c>
    </row>
    <row r="1772" spans="1:37" s="165" customFormat="1" hidden="1">
      <c r="A1772" s="165" t="s">
        <v>338</v>
      </c>
      <c r="B1772" s="13">
        <v>43591</v>
      </c>
      <c r="C1772" s="13" t="s">
        <v>23</v>
      </c>
      <c r="D1772" s="165" t="s">
        <v>250</v>
      </c>
      <c r="E1772" s="198" t="s">
        <v>251</v>
      </c>
      <c r="F1772" s="165" t="str">
        <f t="shared" si="300"/>
        <v>ROBI_16.18_200_NL2018</v>
      </c>
      <c r="G1772" s="165" t="s">
        <v>61</v>
      </c>
      <c r="H1772" s="12"/>
      <c r="I1772" s="12" t="s">
        <v>35</v>
      </c>
      <c r="J1772" s="14">
        <v>200</v>
      </c>
      <c r="K1772" s="15" t="s">
        <v>28</v>
      </c>
      <c r="L1772" s="15"/>
      <c r="M1772" s="16">
        <f t="shared" si="301"/>
        <v>500</v>
      </c>
      <c r="N1772" s="262">
        <f>60000+40000</f>
        <v>100000</v>
      </c>
      <c r="O1772" s="15">
        <v>5500</v>
      </c>
      <c r="P1772" s="15">
        <f t="shared" si="299"/>
        <v>550000000</v>
      </c>
      <c r="Q1772" s="15" t="str">
        <f t="shared" si="297"/>
        <v/>
      </c>
      <c r="R1772" s="18" t="s">
        <v>63</v>
      </c>
      <c r="S1772" s="23">
        <v>43603</v>
      </c>
      <c r="T1772" s="20">
        <f>IFERROR(VLOOKUP(S1772,'Date Converter'!$A$4:$C$368,3,0),"")</f>
        <v>43636</v>
      </c>
      <c r="U1772" s="21">
        <f t="shared" si="298"/>
        <v>43636</v>
      </c>
      <c r="V1772" s="12" t="s">
        <v>1506</v>
      </c>
      <c r="W1772" s="18"/>
      <c r="X1772" s="18"/>
      <c r="Y1772" s="15"/>
      <c r="Z1772" s="206"/>
      <c r="AA1772" s="15"/>
      <c r="AB1772" s="206"/>
      <c r="AC1772" s="15"/>
      <c r="AD1772" s="206"/>
      <c r="AE1772" s="15"/>
      <c r="AF1772" s="244"/>
      <c r="AG1772" s="15"/>
      <c r="AH1772" s="15">
        <f t="shared" si="294"/>
        <v>0</v>
      </c>
      <c r="AI1772" s="22">
        <f t="shared" si="295"/>
        <v>100000</v>
      </c>
      <c r="AJ1772" s="22">
        <f t="shared" si="296"/>
        <v>550000000</v>
      </c>
    </row>
    <row r="1773" spans="1:37" s="165" customFormat="1" hidden="1">
      <c r="A1773" s="165" t="s">
        <v>338</v>
      </c>
      <c r="B1773" s="13">
        <v>43523</v>
      </c>
      <c r="C1773" s="13" t="s">
        <v>23</v>
      </c>
      <c r="D1773" s="165" t="s">
        <v>250</v>
      </c>
      <c r="E1773" s="198" t="s">
        <v>251</v>
      </c>
      <c r="F1773" s="165" t="str">
        <f t="shared" si="300"/>
        <v>PROF_16.18_200_NL2018</v>
      </c>
      <c r="G1773" s="165" t="s">
        <v>56</v>
      </c>
      <c r="H1773" s="12"/>
      <c r="I1773" s="12" t="s">
        <v>35</v>
      </c>
      <c r="J1773" s="14">
        <v>200</v>
      </c>
      <c r="K1773" s="15" t="s">
        <v>28</v>
      </c>
      <c r="L1773" s="15"/>
      <c r="M1773" s="16">
        <f t="shared" si="301"/>
        <v>50</v>
      </c>
      <c r="N1773" s="15">
        <v>10000</v>
      </c>
      <c r="O1773" s="15">
        <v>6700</v>
      </c>
      <c r="P1773" s="15">
        <f t="shared" si="299"/>
        <v>67000000</v>
      </c>
      <c r="Q1773" s="15" t="str">
        <f t="shared" si="297"/>
        <v>Done</v>
      </c>
      <c r="R1773" s="18" t="s">
        <v>44</v>
      </c>
      <c r="S1773" s="23">
        <v>43539</v>
      </c>
      <c r="T1773" s="20">
        <f>IFERROR(VLOOKUP(S1773,'Date Converter'!$A$4:$C$368,3,0),"")</f>
        <v>43574</v>
      </c>
      <c r="U1773" s="21">
        <f t="shared" si="298"/>
        <v>43574</v>
      </c>
      <c r="V1773" s="12" t="s">
        <v>57</v>
      </c>
      <c r="W1773" s="18" t="s">
        <v>58</v>
      </c>
      <c r="X1773" s="18">
        <v>43569</v>
      </c>
      <c r="Y1773" s="15"/>
      <c r="Z1773" s="206">
        <v>43603</v>
      </c>
      <c r="AA1773" s="15">
        <v>10000</v>
      </c>
      <c r="AB1773" s="206"/>
      <c r="AC1773" s="15"/>
      <c r="AD1773" s="206"/>
      <c r="AE1773" s="15"/>
      <c r="AF1773" s="244"/>
      <c r="AG1773" s="15"/>
      <c r="AH1773" s="15">
        <f t="shared" ref="AH1773:AH1835" si="302">+AA1773+AC1773+AE1773+AG1773</f>
        <v>10000</v>
      </c>
      <c r="AI1773" s="22">
        <f t="shared" ref="AI1773:AI1835" si="303">+N1773-AH1773</f>
        <v>0</v>
      </c>
      <c r="AJ1773" s="22">
        <f t="shared" ref="AJ1773:AJ1835" si="304">+AI1773*O1773</f>
        <v>0</v>
      </c>
    </row>
    <row r="1774" spans="1:37" s="165" customFormat="1" hidden="1">
      <c r="A1774" s="165" t="s">
        <v>338</v>
      </c>
      <c r="B1774" s="13">
        <v>43627</v>
      </c>
      <c r="C1774" s="13" t="s">
        <v>23</v>
      </c>
      <c r="D1774" s="165" t="s">
        <v>250</v>
      </c>
      <c r="E1774" s="198" t="s">
        <v>251</v>
      </c>
      <c r="F1774" s="165" t="str">
        <f t="shared" si="300"/>
        <v>MARE_16.18_200_NL2018</v>
      </c>
      <c r="G1774" s="165" t="s">
        <v>52</v>
      </c>
      <c r="H1774" s="12"/>
      <c r="I1774" s="12" t="s">
        <v>35</v>
      </c>
      <c r="J1774" s="14">
        <v>200</v>
      </c>
      <c r="K1774" s="15" t="s">
        <v>28</v>
      </c>
      <c r="L1774" s="15"/>
      <c r="M1774" s="16">
        <f t="shared" si="301"/>
        <v>15</v>
      </c>
      <c r="N1774" s="15">
        <v>3000</v>
      </c>
      <c r="O1774" s="15">
        <v>6400</v>
      </c>
      <c r="P1774" s="15">
        <f t="shared" si="299"/>
        <v>19200000</v>
      </c>
      <c r="Q1774" s="15" t="str">
        <f t="shared" si="297"/>
        <v/>
      </c>
      <c r="R1774" s="18" t="s">
        <v>31</v>
      </c>
      <c r="S1774" s="23">
        <v>43631</v>
      </c>
      <c r="T1774" s="20">
        <f>IFERROR(VLOOKUP(S1774,'Date Converter'!$A$4:$C$368,3,0),"")</f>
        <v>43663</v>
      </c>
      <c r="U1774" s="21">
        <f t="shared" si="298"/>
        <v>43663</v>
      </c>
      <c r="V1774" s="12"/>
      <c r="W1774" s="18"/>
      <c r="X1774" s="18"/>
      <c r="Y1774" s="15"/>
      <c r="Z1774" s="206"/>
      <c r="AA1774" s="15"/>
      <c r="AB1774" s="206"/>
      <c r="AC1774" s="15"/>
      <c r="AD1774" s="206"/>
      <c r="AE1774" s="15"/>
      <c r="AF1774" s="244"/>
      <c r="AG1774" s="15"/>
      <c r="AH1774" s="15">
        <f t="shared" si="302"/>
        <v>0</v>
      </c>
      <c r="AI1774" s="22">
        <f t="shared" si="303"/>
        <v>3000</v>
      </c>
      <c r="AJ1774" s="22">
        <f t="shared" si="304"/>
        <v>19200000</v>
      </c>
    </row>
    <row r="1775" spans="1:37" s="165" customFormat="1" hidden="1">
      <c r="A1775" s="165" t="s">
        <v>1495</v>
      </c>
      <c r="B1775" s="13">
        <v>43587</v>
      </c>
      <c r="C1775" s="13" t="s">
        <v>23</v>
      </c>
      <c r="D1775" s="258" t="s">
        <v>250</v>
      </c>
      <c r="E1775" s="201" t="s">
        <v>251</v>
      </c>
      <c r="F1775" s="183" t="str">
        <f t="shared" si="300"/>
        <v>MANI_22.24_100_NL2018</v>
      </c>
      <c r="G1775" s="183" t="s">
        <v>105</v>
      </c>
      <c r="H1775" s="184"/>
      <c r="I1775" s="184" t="s">
        <v>78</v>
      </c>
      <c r="J1775" s="186">
        <v>100</v>
      </c>
      <c r="K1775" s="15" t="s">
        <v>28</v>
      </c>
      <c r="L1775" s="185"/>
      <c r="M1775" s="187">
        <f t="shared" si="301"/>
        <v>75</v>
      </c>
      <c r="N1775" s="185">
        <v>7500</v>
      </c>
      <c r="O1775" s="15">
        <v>15400</v>
      </c>
      <c r="P1775" s="15">
        <f t="shared" si="299"/>
        <v>115500000</v>
      </c>
      <c r="Q1775" s="15" t="str">
        <f t="shared" si="297"/>
        <v/>
      </c>
      <c r="R1775" s="18" t="s">
        <v>29</v>
      </c>
      <c r="S1775" s="23">
        <v>43709</v>
      </c>
      <c r="T1775" s="20">
        <f>IFERROR(VLOOKUP(S1775,'Date Converter'!$A$4:$C$368,3,0),"")</f>
        <v>43737</v>
      </c>
      <c r="U1775" s="21">
        <f t="shared" si="298"/>
        <v>43737</v>
      </c>
      <c r="V1775" s="253" t="s">
        <v>51</v>
      </c>
      <c r="W1775" s="18"/>
      <c r="X1775" s="18"/>
      <c r="Y1775" s="15"/>
      <c r="Z1775" s="206"/>
      <c r="AA1775" s="15"/>
      <c r="AB1775" s="206"/>
      <c r="AC1775" s="15"/>
      <c r="AD1775" s="206"/>
      <c r="AE1775" s="15"/>
      <c r="AF1775" s="244"/>
      <c r="AG1775" s="15"/>
      <c r="AH1775" s="15">
        <f t="shared" si="302"/>
        <v>0</v>
      </c>
      <c r="AI1775" s="22">
        <f t="shared" si="303"/>
        <v>7500</v>
      </c>
      <c r="AJ1775" s="22">
        <f t="shared" si="304"/>
        <v>115500000</v>
      </c>
    </row>
    <row r="1776" spans="1:37" s="165" customFormat="1" hidden="1">
      <c r="A1776" s="165" t="s">
        <v>1495</v>
      </c>
      <c r="B1776" s="13">
        <v>43587</v>
      </c>
      <c r="C1776" s="13" t="s">
        <v>23</v>
      </c>
      <c r="D1776" s="258" t="s">
        <v>250</v>
      </c>
      <c r="E1776" s="201" t="s">
        <v>251</v>
      </c>
      <c r="F1776" s="183" t="str">
        <f t="shared" si="300"/>
        <v>MANI_24+_75_NL2018</v>
      </c>
      <c r="G1776" s="183" t="s">
        <v>105</v>
      </c>
      <c r="H1776" s="184"/>
      <c r="I1776" s="184" t="s">
        <v>185</v>
      </c>
      <c r="J1776" s="186">
        <v>75</v>
      </c>
      <c r="K1776" s="15" t="s">
        <v>28</v>
      </c>
      <c r="L1776" s="185"/>
      <c r="M1776" s="187">
        <f t="shared" si="301"/>
        <v>100</v>
      </c>
      <c r="N1776" s="185">
        <v>7500</v>
      </c>
      <c r="O1776" s="15">
        <v>16200</v>
      </c>
      <c r="P1776" s="15">
        <f t="shared" si="299"/>
        <v>121500000</v>
      </c>
      <c r="Q1776" s="15" t="str">
        <f t="shared" si="297"/>
        <v/>
      </c>
      <c r="R1776" s="18" t="s">
        <v>29</v>
      </c>
      <c r="S1776" s="23">
        <v>43709</v>
      </c>
      <c r="T1776" s="20">
        <f>IFERROR(VLOOKUP(S1776,'Date Converter'!$A$4:$C$368,3,0),"")</f>
        <v>43737</v>
      </c>
      <c r="U1776" s="21">
        <f t="shared" si="298"/>
        <v>43737</v>
      </c>
      <c r="V1776" s="253" t="s">
        <v>51</v>
      </c>
      <c r="W1776" s="18"/>
      <c r="X1776" s="18"/>
      <c r="Y1776" s="15"/>
      <c r="Z1776" s="206"/>
      <c r="AA1776" s="15"/>
      <c r="AB1776" s="206"/>
      <c r="AC1776" s="15"/>
      <c r="AD1776" s="206"/>
      <c r="AE1776" s="15"/>
      <c r="AF1776" s="244"/>
      <c r="AG1776" s="15"/>
      <c r="AH1776" s="15">
        <f t="shared" si="302"/>
        <v>0</v>
      </c>
      <c r="AI1776" s="22">
        <f t="shared" si="303"/>
        <v>7500</v>
      </c>
      <c r="AJ1776" s="22">
        <f t="shared" si="304"/>
        <v>121500000</v>
      </c>
    </row>
    <row r="1777" spans="1:36" s="165" customFormat="1" hidden="1">
      <c r="A1777" s="165" t="s">
        <v>1495</v>
      </c>
      <c r="B1777" s="13">
        <v>43592</v>
      </c>
      <c r="C1777" s="13" t="s">
        <v>23</v>
      </c>
      <c r="D1777" s="258" t="s">
        <v>250</v>
      </c>
      <c r="E1777" s="201" t="s">
        <v>251</v>
      </c>
      <c r="F1777" s="183" t="str">
        <f t="shared" si="300"/>
        <v>CONC_20.22_125_NZ2019</v>
      </c>
      <c r="G1777" s="183" t="s">
        <v>1509</v>
      </c>
      <c r="H1777" s="184"/>
      <c r="I1777" s="184" t="s">
        <v>74</v>
      </c>
      <c r="J1777" s="186">
        <v>125</v>
      </c>
      <c r="K1777" s="185" t="s">
        <v>1507</v>
      </c>
      <c r="L1777" s="185"/>
      <c r="M1777" s="187">
        <f t="shared" si="301"/>
        <v>40</v>
      </c>
      <c r="N1777" s="185">
        <v>5000</v>
      </c>
      <c r="O1777" s="15">
        <v>12000</v>
      </c>
      <c r="P1777" s="15">
        <f t="shared" si="299"/>
        <v>60000000</v>
      </c>
      <c r="Q1777" s="15" t="str">
        <f t="shared" si="297"/>
        <v/>
      </c>
      <c r="R1777" s="18" t="s">
        <v>29</v>
      </c>
      <c r="S1777" s="23">
        <v>43709</v>
      </c>
      <c r="T1777" s="20">
        <f>IFERROR(VLOOKUP(S1777,'Date Converter'!$A$4:$C$368,3,0),"")</f>
        <v>43737</v>
      </c>
      <c r="U1777" s="21">
        <f t="shared" si="298"/>
        <v>43737</v>
      </c>
      <c r="V1777" s="253" t="s">
        <v>51</v>
      </c>
      <c r="W1777" s="18"/>
      <c r="X1777" s="18"/>
      <c r="Y1777" s="15"/>
      <c r="Z1777" s="206"/>
      <c r="AA1777" s="15"/>
      <c r="AB1777" s="206"/>
      <c r="AC1777" s="15"/>
      <c r="AD1777" s="206"/>
      <c r="AE1777" s="15"/>
      <c r="AF1777" s="244"/>
      <c r="AG1777" s="15"/>
      <c r="AH1777" s="15">
        <f t="shared" si="302"/>
        <v>0</v>
      </c>
      <c r="AI1777" s="22">
        <f t="shared" si="303"/>
        <v>5000</v>
      </c>
      <c r="AJ1777" s="22">
        <f t="shared" si="304"/>
        <v>60000000</v>
      </c>
    </row>
    <row r="1778" spans="1:36" s="165" customFormat="1" hidden="1">
      <c r="A1778" s="165" t="s">
        <v>1495</v>
      </c>
      <c r="B1778" s="13">
        <v>43592</v>
      </c>
      <c r="C1778" s="13" t="s">
        <v>23</v>
      </c>
      <c r="D1778" s="258" t="s">
        <v>250</v>
      </c>
      <c r="E1778" s="201" t="s">
        <v>251</v>
      </c>
      <c r="F1778" s="183" t="str">
        <f t="shared" si="300"/>
        <v>CONC_24.26_80_NL2018</v>
      </c>
      <c r="G1778" s="183" t="s">
        <v>40</v>
      </c>
      <c r="H1778" s="184"/>
      <c r="I1778" s="184" t="s">
        <v>220</v>
      </c>
      <c r="J1778" s="186">
        <v>80</v>
      </c>
      <c r="K1778" s="15" t="s">
        <v>28</v>
      </c>
      <c r="L1778" s="185"/>
      <c r="M1778" s="187">
        <f t="shared" si="301"/>
        <v>63</v>
      </c>
      <c r="N1778" s="185">
        <v>5040</v>
      </c>
      <c r="O1778" s="15">
        <v>15200</v>
      </c>
      <c r="P1778" s="15">
        <f t="shared" si="299"/>
        <v>76608000</v>
      </c>
      <c r="Q1778" s="15" t="str">
        <f t="shared" si="297"/>
        <v/>
      </c>
      <c r="R1778" s="18" t="s">
        <v>29</v>
      </c>
      <c r="S1778" s="23">
        <v>43709</v>
      </c>
      <c r="T1778" s="20">
        <f>IFERROR(VLOOKUP(S1778,'Date Converter'!$A$4:$C$368,3,0),"")</f>
        <v>43737</v>
      </c>
      <c r="U1778" s="21">
        <f t="shared" si="298"/>
        <v>43737</v>
      </c>
      <c r="V1778" s="253" t="s">
        <v>51</v>
      </c>
      <c r="W1778" s="18"/>
      <c r="X1778" s="18"/>
      <c r="Y1778" s="15"/>
      <c r="Z1778" s="206"/>
      <c r="AA1778" s="15"/>
      <c r="AB1778" s="206"/>
      <c r="AC1778" s="15"/>
      <c r="AD1778" s="206"/>
      <c r="AE1778" s="15"/>
      <c r="AF1778" s="244"/>
      <c r="AG1778" s="15"/>
      <c r="AH1778" s="15">
        <f t="shared" si="302"/>
        <v>0</v>
      </c>
      <c r="AI1778" s="22">
        <f t="shared" si="303"/>
        <v>5040</v>
      </c>
      <c r="AJ1778" s="22">
        <f t="shared" si="304"/>
        <v>76608000</v>
      </c>
    </row>
    <row r="1779" spans="1:36" s="165" customFormat="1" hidden="1">
      <c r="A1779" s="165" t="s">
        <v>1495</v>
      </c>
      <c r="B1779" s="13">
        <v>43587</v>
      </c>
      <c r="C1779" s="13" t="s">
        <v>23</v>
      </c>
      <c r="D1779" s="258" t="s">
        <v>250</v>
      </c>
      <c r="E1779" s="201" t="s">
        <v>251</v>
      </c>
      <c r="F1779" s="183" t="str">
        <f t="shared" si="300"/>
        <v>CONC_22.24_100_NL2018</v>
      </c>
      <c r="G1779" s="183" t="s">
        <v>40</v>
      </c>
      <c r="H1779" s="184"/>
      <c r="I1779" s="184" t="s">
        <v>78</v>
      </c>
      <c r="J1779" s="186">
        <v>100</v>
      </c>
      <c r="K1779" s="15" t="s">
        <v>28</v>
      </c>
      <c r="L1779" s="185"/>
      <c r="M1779" s="187">
        <f t="shared" si="301"/>
        <v>50</v>
      </c>
      <c r="N1779" s="185">
        <v>5000</v>
      </c>
      <c r="O1779" s="15">
        <v>12500</v>
      </c>
      <c r="P1779" s="15">
        <f t="shared" si="299"/>
        <v>62500000</v>
      </c>
      <c r="Q1779" s="15" t="str">
        <f t="shared" si="297"/>
        <v/>
      </c>
      <c r="R1779" s="18" t="s">
        <v>29</v>
      </c>
      <c r="S1779" s="23">
        <v>43709</v>
      </c>
      <c r="T1779" s="20">
        <f>IFERROR(VLOOKUP(S1779,'Date Converter'!$A$4:$C$368,3,0),"")</f>
        <v>43737</v>
      </c>
      <c r="U1779" s="21">
        <f t="shared" si="298"/>
        <v>43737</v>
      </c>
      <c r="V1779" s="253" t="s">
        <v>51</v>
      </c>
      <c r="W1779" s="18"/>
      <c r="X1779" s="18"/>
      <c r="Y1779" s="15"/>
      <c r="Z1779" s="206"/>
      <c r="AA1779" s="15"/>
      <c r="AB1779" s="206"/>
      <c r="AC1779" s="15"/>
      <c r="AD1779" s="206"/>
      <c r="AE1779" s="15"/>
      <c r="AF1779" s="244"/>
      <c r="AG1779" s="15"/>
      <c r="AH1779" s="15">
        <f t="shared" si="302"/>
        <v>0</v>
      </c>
      <c r="AI1779" s="22">
        <f t="shared" si="303"/>
        <v>5000</v>
      </c>
      <c r="AJ1779" s="22">
        <f t="shared" si="304"/>
        <v>62500000</v>
      </c>
    </row>
    <row r="1780" spans="1:36" s="165" customFormat="1" hidden="1">
      <c r="A1780" s="165" t="s">
        <v>338</v>
      </c>
      <c r="B1780" s="13">
        <v>43523</v>
      </c>
      <c r="C1780" s="13" t="s">
        <v>23</v>
      </c>
      <c r="D1780" s="165" t="s">
        <v>250</v>
      </c>
      <c r="E1780" s="165" t="s">
        <v>251</v>
      </c>
      <c r="F1780" s="165" t="str">
        <f t="shared" si="300"/>
        <v>CONC_16.18_200_NL2018</v>
      </c>
      <c r="G1780" s="165" t="s">
        <v>40</v>
      </c>
      <c r="H1780" s="12"/>
      <c r="I1780" s="12" t="s">
        <v>35</v>
      </c>
      <c r="J1780" s="14">
        <v>200</v>
      </c>
      <c r="K1780" s="15" t="s">
        <v>28</v>
      </c>
      <c r="L1780" s="15"/>
      <c r="M1780" s="16">
        <f t="shared" si="301"/>
        <v>150</v>
      </c>
      <c r="N1780" s="15">
        <v>30000</v>
      </c>
      <c r="O1780" s="15">
        <v>5000</v>
      </c>
      <c r="P1780" s="15">
        <f t="shared" si="299"/>
        <v>150000000</v>
      </c>
      <c r="Q1780" s="15" t="str">
        <f t="shared" si="297"/>
        <v>Done</v>
      </c>
      <c r="R1780" s="18" t="s">
        <v>44</v>
      </c>
      <c r="S1780" s="23">
        <v>43539</v>
      </c>
      <c r="T1780" s="20">
        <f>IFERROR(VLOOKUP(S1780,'Date Converter'!$A$4:$C$368,3,0),"")</f>
        <v>43574</v>
      </c>
      <c r="U1780" s="21">
        <f t="shared" si="298"/>
        <v>43574</v>
      </c>
      <c r="V1780" s="12" t="s">
        <v>57</v>
      </c>
      <c r="W1780" s="18" t="s">
        <v>108</v>
      </c>
      <c r="X1780" s="18">
        <v>43569</v>
      </c>
      <c r="Y1780" s="15"/>
      <c r="Z1780" s="206">
        <v>43587</v>
      </c>
      <c r="AA1780" s="15">
        <v>10000</v>
      </c>
      <c r="AB1780" s="206">
        <v>43591</v>
      </c>
      <c r="AC1780" s="15">
        <v>20000</v>
      </c>
      <c r="AD1780" s="206"/>
      <c r="AE1780" s="15"/>
      <c r="AF1780" s="244"/>
      <c r="AG1780" s="15"/>
      <c r="AH1780" s="15">
        <f t="shared" si="302"/>
        <v>30000</v>
      </c>
      <c r="AI1780" s="22">
        <f t="shared" si="303"/>
        <v>0</v>
      </c>
      <c r="AJ1780" s="22">
        <f t="shared" si="304"/>
        <v>0</v>
      </c>
    </row>
    <row r="1781" spans="1:36" s="165" customFormat="1" hidden="1">
      <c r="A1781" s="165" t="s">
        <v>338</v>
      </c>
      <c r="B1781" s="13">
        <v>43523</v>
      </c>
      <c r="C1781" s="13" t="s">
        <v>23</v>
      </c>
      <c r="D1781" s="165" t="s">
        <v>250</v>
      </c>
      <c r="E1781" s="165" t="s">
        <v>251</v>
      </c>
      <c r="F1781" s="165" t="str">
        <f t="shared" si="300"/>
        <v>BACA_16.18_200_NL2018</v>
      </c>
      <c r="G1781" s="165" t="s">
        <v>67</v>
      </c>
      <c r="H1781" s="12"/>
      <c r="I1781" s="12" t="s">
        <v>35</v>
      </c>
      <c r="J1781" s="14">
        <v>200</v>
      </c>
      <c r="K1781" s="15" t="s">
        <v>28</v>
      </c>
      <c r="L1781" s="15"/>
      <c r="M1781" s="16">
        <f t="shared" si="301"/>
        <v>50</v>
      </c>
      <c r="N1781" s="15">
        <v>10000</v>
      </c>
      <c r="O1781" s="15">
        <v>6300</v>
      </c>
      <c r="P1781" s="15">
        <f t="shared" si="299"/>
        <v>63000000</v>
      </c>
      <c r="Q1781" s="15" t="str">
        <f t="shared" si="297"/>
        <v>Done</v>
      </c>
      <c r="R1781" s="18" t="s">
        <v>44</v>
      </c>
      <c r="S1781" s="23">
        <v>43539</v>
      </c>
      <c r="T1781" s="20">
        <f>IFERROR(VLOOKUP(S1781,'Date Converter'!$A$4:$C$368,3,0),"")</f>
        <v>43574</v>
      </c>
      <c r="U1781" s="21">
        <f t="shared" si="298"/>
        <v>43574</v>
      </c>
      <c r="V1781" s="12" t="s">
        <v>57</v>
      </c>
      <c r="W1781" s="18" t="s">
        <v>132</v>
      </c>
      <c r="X1781" s="18">
        <v>43569</v>
      </c>
      <c r="Y1781" s="15"/>
      <c r="Z1781" s="206">
        <v>43587</v>
      </c>
      <c r="AA1781" s="15">
        <v>10000</v>
      </c>
      <c r="AB1781" s="206"/>
      <c r="AC1781" s="15"/>
      <c r="AD1781" s="206"/>
      <c r="AE1781" s="15"/>
      <c r="AF1781" s="244"/>
      <c r="AG1781" s="15"/>
      <c r="AH1781" s="15">
        <f t="shared" si="302"/>
        <v>10000</v>
      </c>
      <c r="AI1781" s="22">
        <f t="shared" si="303"/>
        <v>0</v>
      </c>
      <c r="AJ1781" s="22">
        <f t="shared" si="304"/>
        <v>0</v>
      </c>
    </row>
    <row r="1782" spans="1:36" s="165" customFormat="1" hidden="1">
      <c r="A1782" s="165" t="s">
        <v>1881</v>
      </c>
      <c r="B1782" s="13">
        <v>43630</v>
      </c>
      <c r="C1782" s="13" t="s">
        <v>23</v>
      </c>
      <c r="D1782" s="165" t="s">
        <v>1882</v>
      </c>
      <c r="E1782" s="13" t="s">
        <v>1883</v>
      </c>
      <c r="F1782" s="165" t="str">
        <f t="shared" si="300"/>
        <v>PAVI_12.14_400_NL2018</v>
      </c>
      <c r="G1782" s="13" t="s">
        <v>138</v>
      </c>
      <c r="H1782" s="12"/>
      <c r="I1782" s="12" t="s">
        <v>113</v>
      </c>
      <c r="J1782" s="31" t="s">
        <v>128</v>
      </c>
      <c r="K1782" s="15" t="s">
        <v>28</v>
      </c>
      <c r="L1782" s="15"/>
      <c r="M1782" s="16">
        <f t="shared" si="301"/>
        <v>25</v>
      </c>
      <c r="N1782" s="15">
        <v>10000</v>
      </c>
      <c r="O1782" s="15">
        <v>3000</v>
      </c>
      <c r="P1782" s="15">
        <f t="shared" si="299"/>
        <v>30000000</v>
      </c>
      <c r="Q1782" s="15" t="str">
        <f t="shared" si="297"/>
        <v/>
      </c>
      <c r="R1782" s="18" t="s">
        <v>31</v>
      </c>
      <c r="S1782" s="23">
        <v>43631</v>
      </c>
      <c r="T1782" s="20">
        <f>IFERROR(VLOOKUP(S1782,'Date Converter'!$A$4:$C$368,3,0),"")</f>
        <v>43663</v>
      </c>
      <c r="U1782" s="21">
        <f t="shared" si="298"/>
        <v>43663</v>
      </c>
      <c r="V1782" s="20"/>
      <c r="W1782" s="18"/>
      <c r="X1782" s="18"/>
      <c r="Y1782" s="12"/>
      <c r="Z1782" s="206"/>
      <c r="AA1782" s="15"/>
      <c r="AB1782" s="206"/>
      <c r="AC1782" s="12"/>
      <c r="AD1782" s="206"/>
      <c r="AE1782" s="12"/>
      <c r="AF1782" s="245"/>
      <c r="AG1782" s="12"/>
      <c r="AH1782" s="15">
        <f t="shared" si="302"/>
        <v>0</v>
      </c>
      <c r="AI1782" s="22">
        <f t="shared" si="303"/>
        <v>10000</v>
      </c>
      <c r="AJ1782" s="22">
        <f t="shared" si="304"/>
        <v>30000000</v>
      </c>
    </row>
    <row r="1783" spans="1:36" s="165" customFormat="1" hidden="1">
      <c r="A1783" s="165" t="s">
        <v>1881</v>
      </c>
      <c r="B1783" s="13">
        <v>43630</v>
      </c>
      <c r="C1783" s="13" t="s">
        <v>23</v>
      </c>
      <c r="D1783" s="165" t="s">
        <v>1882</v>
      </c>
      <c r="E1783" s="13" t="s">
        <v>1883</v>
      </c>
      <c r="F1783" s="165" t="str">
        <f t="shared" si="300"/>
        <v>CORA_14.16_300_NL2018</v>
      </c>
      <c r="G1783" s="13" t="s">
        <v>2366</v>
      </c>
      <c r="H1783" s="12"/>
      <c r="I1783" s="12" t="s">
        <v>47</v>
      </c>
      <c r="J1783" s="31" t="s">
        <v>124</v>
      </c>
      <c r="K1783" s="15" t="s">
        <v>28</v>
      </c>
      <c r="L1783" s="15"/>
      <c r="M1783" s="16">
        <f t="shared" si="301"/>
        <v>17</v>
      </c>
      <c r="N1783" s="15">
        <v>5100</v>
      </c>
      <c r="O1783" s="15">
        <v>4500</v>
      </c>
      <c r="P1783" s="15">
        <f t="shared" si="299"/>
        <v>22950000</v>
      </c>
      <c r="Q1783" s="15" t="str">
        <f t="shared" si="297"/>
        <v/>
      </c>
      <c r="R1783" s="18" t="s">
        <v>29</v>
      </c>
      <c r="S1783" s="23">
        <v>43645</v>
      </c>
      <c r="T1783" s="20">
        <f>IFERROR(VLOOKUP(S1783,'Date Converter'!$A$4:$C$368,3,0),"")</f>
        <v>43677</v>
      </c>
      <c r="U1783" s="21">
        <f t="shared" si="298"/>
        <v>43677</v>
      </c>
      <c r="V1783" s="20"/>
      <c r="W1783" s="18"/>
      <c r="X1783" s="18"/>
      <c r="Y1783" s="12"/>
      <c r="Z1783" s="206"/>
      <c r="AA1783" s="15"/>
      <c r="AB1783" s="206"/>
      <c r="AC1783" s="12"/>
      <c r="AD1783" s="206"/>
      <c r="AE1783" s="12"/>
      <c r="AF1783" s="245"/>
      <c r="AG1783" s="12"/>
      <c r="AH1783" s="15">
        <f t="shared" si="302"/>
        <v>0</v>
      </c>
      <c r="AI1783" s="22">
        <f t="shared" si="303"/>
        <v>5100</v>
      </c>
      <c r="AJ1783" s="22">
        <f t="shared" si="304"/>
        <v>22950000</v>
      </c>
    </row>
    <row r="1784" spans="1:36" s="165" customFormat="1" hidden="1">
      <c r="A1784" s="165" t="s">
        <v>1881</v>
      </c>
      <c r="B1784" s="13">
        <v>43630</v>
      </c>
      <c r="C1784" s="13" t="s">
        <v>23</v>
      </c>
      <c r="D1784" s="165" t="s">
        <v>1882</v>
      </c>
      <c r="E1784" s="13" t="s">
        <v>1883</v>
      </c>
      <c r="F1784" s="165" t="str">
        <f t="shared" si="300"/>
        <v>ARVA_16.18_200_NL2018</v>
      </c>
      <c r="G1784" s="13" t="s">
        <v>85</v>
      </c>
      <c r="H1784" s="12"/>
      <c r="I1784" s="12" t="s">
        <v>35</v>
      </c>
      <c r="J1784" s="31" t="s">
        <v>121</v>
      </c>
      <c r="K1784" s="15" t="s">
        <v>28</v>
      </c>
      <c r="L1784" s="15"/>
      <c r="M1784" s="16">
        <f t="shared" si="301"/>
        <v>30</v>
      </c>
      <c r="N1784" s="15">
        <v>6000</v>
      </c>
      <c r="O1784" s="15">
        <v>5400</v>
      </c>
      <c r="P1784" s="15">
        <f t="shared" si="299"/>
        <v>32400000</v>
      </c>
      <c r="Q1784" s="15" t="str">
        <f t="shared" si="297"/>
        <v>Done</v>
      </c>
      <c r="R1784" s="18" t="s">
        <v>44</v>
      </c>
      <c r="S1784" s="23">
        <v>43572</v>
      </c>
      <c r="T1784" s="20">
        <f>IFERROR(VLOOKUP(S1784,'Date Converter'!$A$4:$C$368,3,0),"")</f>
        <v>43606</v>
      </c>
      <c r="U1784" s="21">
        <f t="shared" si="298"/>
        <v>43606</v>
      </c>
      <c r="V1784" s="20"/>
      <c r="W1784" s="18"/>
      <c r="X1784" s="18"/>
      <c r="Y1784" s="12"/>
      <c r="Z1784" s="206">
        <v>43630</v>
      </c>
      <c r="AA1784" s="15">
        <v>3000</v>
      </c>
      <c r="AB1784" s="206">
        <v>43637</v>
      </c>
      <c r="AC1784" s="12" t="s">
        <v>1674</v>
      </c>
      <c r="AD1784" s="206"/>
      <c r="AE1784" s="12"/>
      <c r="AF1784" s="245"/>
      <c r="AG1784" s="12"/>
      <c r="AH1784" s="15">
        <f t="shared" si="302"/>
        <v>6000</v>
      </c>
      <c r="AI1784" s="22">
        <f t="shared" si="303"/>
        <v>0</v>
      </c>
      <c r="AJ1784" s="22">
        <f t="shared" si="304"/>
        <v>0</v>
      </c>
    </row>
    <row r="1785" spans="1:36" s="165" customFormat="1" hidden="1">
      <c r="A1785" s="165" t="s">
        <v>1809</v>
      </c>
      <c r="B1785" s="13">
        <v>43616</v>
      </c>
      <c r="C1785" s="13" t="s">
        <v>23</v>
      </c>
      <c r="D1785" s="258" t="s">
        <v>200</v>
      </c>
      <c r="E1785" s="97" t="s">
        <v>201</v>
      </c>
      <c r="F1785" s="165" t="str">
        <f t="shared" si="300"/>
        <v>YELL_16.18_200_NL2018</v>
      </c>
      <c r="G1785" s="165" t="s">
        <v>89</v>
      </c>
      <c r="H1785" s="12"/>
      <c r="I1785" s="12" t="s">
        <v>35</v>
      </c>
      <c r="J1785" s="14">
        <v>200</v>
      </c>
      <c r="K1785" s="15" t="s">
        <v>28</v>
      </c>
      <c r="L1785" s="15"/>
      <c r="M1785" s="16">
        <f t="shared" si="301"/>
        <v>10</v>
      </c>
      <c r="N1785" s="15">
        <v>2000</v>
      </c>
      <c r="O1785" s="15">
        <v>5500</v>
      </c>
      <c r="P1785" s="15">
        <f t="shared" si="299"/>
        <v>11000000</v>
      </c>
      <c r="Q1785" s="15" t="str">
        <f t="shared" si="297"/>
        <v/>
      </c>
      <c r="R1785" s="18" t="s">
        <v>29</v>
      </c>
      <c r="S1785" s="23">
        <v>43709</v>
      </c>
      <c r="T1785" s="20">
        <f>IFERROR(VLOOKUP(S1785,'Date Converter'!$A$4:$C$368,3,0),"")</f>
        <v>43737</v>
      </c>
      <c r="U1785" s="21">
        <f t="shared" si="298"/>
        <v>43737</v>
      </c>
      <c r="V1785" s="15" t="s">
        <v>51</v>
      </c>
      <c r="W1785" s="18"/>
      <c r="X1785" s="18"/>
      <c r="Y1785" s="15"/>
      <c r="Z1785" s="206"/>
      <c r="AA1785" s="15"/>
      <c r="AB1785" s="206"/>
      <c r="AC1785" s="15"/>
      <c r="AD1785" s="206"/>
      <c r="AE1785" s="15"/>
      <c r="AF1785" s="244"/>
      <c r="AG1785" s="15"/>
      <c r="AH1785" s="15">
        <f t="shared" si="302"/>
        <v>0</v>
      </c>
      <c r="AI1785" s="22">
        <f t="shared" si="303"/>
        <v>2000</v>
      </c>
      <c r="AJ1785" s="22">
        <f t="shared" si="304"/>
        <v>11000000</v>
      </c>
    </row>
    <row r="1786" spans="1:36" s="165" customFormat="1" hidden="1">
      <c r="A1786" s="165" t="s">
        <v>323</v>
      </c>
      <c r="B1786" s="13">
        <v>43512</v>
      </c>
      <c r="C1786" s="13" t="s">
        <v>23</v>
      </c>
      <c r="D1786" s="165" t="s">
        <v>200</v>
      </c>
      <c r="E1786" s="165" t="s">
        <v>201</v>
      </c>
      <c r="F1786" s="165" t="str">
        <f t="shared" si="300"/>
        <v>TEBA_14.16_300_NL2018</v>
      </c>
      <c r="G1786" s="165" t="s">
        <v>127</v>
      </c>
      <c r="H1786" s="12"/>
      <c r="I1786" s="12" t="s">
        <v>47</v>
      </c>
      <c r="J1786" s="14">
        <v>300</v>
      </c>
      <c r="K1786" s="15" t="s">
        <v>28</v>
      </c>
      <c r="L1786" s="15"/>
      <c r="M1786" s="16">
        <f t="shared" si="301"/>
        <v>1</v>
      </c>
      <c r="N1786" s="15">
        <v>300</v>
      </c>
      <c r="O1786" s="15">
        <v>4100</v>
      </c>
      <c r="P1786" s="15">
        <f t="shared" si="299"/>
        <v>1230000</v>
      </c>
      <c r="Q1786" s="15" t="str">
        <f t="shared" si="297"/>
        <v>Done</v>
      </c>
      <c r="R1786" s="18" t="s">
        <v>44</v>
      </c>
      <c r="S1786" s="23" t="s">
        <v>53</v>
      </c>
      <c r="T1786" s="20">
        <f>IFERROR(VLOOKUP(S1786,'Date Converter'!$A$4:$C$368,3,0),"")</f>
        <v>43559</v>
      </c>
      <c r="U1786" s="21">
        <f t="shared" si="298"/>
        <v>43559</v>
      </c>
      <c r="V1786" s="12" t="s">
        <v>54</v>
      </c>
      <c r="W1786" s="18" t="s">
        <v>82</v>
      </c>
      <c r="X1786" s="18">
        <v>43555</v>
      </c>
      <c r="Y1786" s="15" t="s">
        <v>59</v>
      </c>
      <c r="Z1786" s="206">
        <v>43558</v>
      </c>
      <c r="AA1786" s="15">
        <v>300</v>
      </c>
      <c r="AB1786" s="206"/>
      <c r="AC1786" s="15"/>
      <c r="AD1786" s="206"/>
      <c r="AE1786" s="15"/>
      <c r="AF1786" s="244"/>
      <c r="AG1786" s="15"/>
      <c r="AH1786" s="15">
        <f t="shared" si="302"/>
        <v>300</v>
      </c>
      <c r="AI1786" s="22">
        <f t="shared" si="303"/>
        <v>0</v>
      </c>
      <c r="AJ1786" s="22">
        <f t="shared" si="304"/>
        <v>0</v>
      </c>
    </row>
    <row r="1787" spans="1:36" s="165" customFormat="1" hidden="1">
      <c r="A1787" s="165" t="s">
        <v>1809</v>
      </c>
      <c r="B1787" s="13">
        <v>43616</v>
      </c>
      <c r="C1787" s="13" t="s">
        <v>23</v>
      </c>
      <c r="D1787" s="258" t="s">
        <v>200</v>
      </c>
      <c r="E1787" s="97" t="s">
        <v>201</v>
      </c>
      <c r="F1787" s="165" t="str">
        <f t="shared" si="300"/>
        <v>TEBA_16.18_200_NL2018</v>
      </c>
      <c r="G1787" s="165" t="s">
        <v>127</v>
      </c>
      <c r="H1787" s="12"/>
      <c r="I1787" s="12" t="s">
        <v>35</v>
      </c>
      <c r="J1787" s="14">
        <v>200</v>
      </c>
      <c r="K1787" s="15" t="s">
        <v>28</v>
      </c>
      <c r="L1787" s="15"/>
      <c r="M1787" s="16">
        <f t="shared" si="301"/>
        <v>15</v>
      </c>
      <c r="N1787" s="15">
        <v>3000</v>
      </c>
      <c r="O1787" s="15">
        <v>6200</v>
      </c>
      <c r="P1787" s="15">
        <f t="shared" si="299"/>
        <v>18600000</v>
      </c>
      <c r="Q1787" s="15" t="str">
        <f t="shared" si="297"/>
        <v/>
      </c>
      <c r="R1787" s="18" t="s">
        <v>29</v>
      </c>
      <c r="S1787" s="23">
        <v>43709</v>
      </c>
      <c r="T1787" s="20">
        <f>IFERROR(VLOOKUP(S1787,'Date Converter'!$A$4:$C$368,3,0),"")</f>
        <v>43737</v>
      </c>
      <c r="U1787" s="21">
        <f t="shared" si="298"/>
        <v>43737</v>
      </c>
      <c r="V1787" s="15" t="s">
        <v>51</v>
      </c>
      <c r="W1787" s="18"/>
      <c r="X1787" s="18"/>
      <c r="Y1787" s="15"/>
      <c r="Z1787" s="206"/>
      <c r="AA1787" s="15"/>
      <c r="AB1787" s="206"/>
      <c r="AC1787" s="15"/>
      <c r="AD1787" s="206"/>
      <c r="AE1787" s="15"/>
      <c r="AF1787" s="244"/>
      <c r="AG1787" s="15"/>
      <c r="AH1787" s="15">
        <f t="shared" si="302"/>
        <v>0</v>
      </c>
      <c r="AI1787" s="22">
        <f t="shared" si="303"/>
        <v>3000</v>
      </c>
      <c r="AJ1787" s="22">
        <f t="shared" si="304"/>
        <v>18600000</v>
      </c>
    </row>
    <row r="1788" spans="1:36" s="165" customFormat="1" hidden="1">
      <c r="A1788" s="165" t="s">
        <v>323</v>
      </c>
      <c r="B1788" s="13">
        <v>43616</v>
      </c>
      <c r="C1788" s="13" t="s">
        <v>23</v>
      </c>
      <c r="D1788" s="165" t="s">
        <v>200</v>
      </c>
      <c r="E1788" s="165" t="s">
        <v>201</v>
      </c>
      <c r="F1788" s="165" t="str">
        <f t="shared" si="300"/>
        <v>ROBI_16.18_200_NL2018</v>
      </c>
      <c r="G1788" s="165" t="s">
        <v>61</v>
      </c>
      <c r="H1788" s="12"/>
      <c r="I1788" s="12" t="s">
        <v>35</v>
      </c>
      <c r="J1788" s="14">
        <v>200</v>
      </c>
      <c r="K1788" s="15" t="s">
        <v>28</v>
      </c>
      <c r="L1788" s="15"/>
      <c r="M1788" s="16">
        <f t="shared" si="301"/>
        <v>1</v>
      </c>
      <c r="N1788" s="15">
        <v>200</v>
      </c>
      <c r="O1788" s="15">
        <v>5500</v>
      </c>
      <c r="P1788" s="15">
        <f t="shared" si="299"/>
        <v>1100000</v>
      </c>
      <c r="Q1788" s="15" t="str">
        <f t="shared" si="297"/>
        <v>Done</v>
      </c>
      <c r="R1788" s="18" t="s">
        <v>44</v>
      </c>
      <c r="S1788" s="23">
        <v>43590</v>
      </c>
      <c r="T1788" s="20">
        <f>IFERROR(VLOOKUP(S1788,'Date Converter'!$A$4:$C$368,3,0),"")</f>
        <v>43623</v>
      </c>
      <c r="U1788" s="21">
        <f t="shared" si="298"/>
        <v>43623</v>
      </c>
      <c r="V1788" s="12"/>
      <c r="W1788" s="18"/>
      <c r="X1788" s="18"/>
      <c r="Y1788" s="15"/>
      <c r="Z1788" s="206">
        <v>43624</v>
      </c>
      <c r="AA1788" s="15">
        <v>200</v>
      </c>
      <c r="AB1788" s="206"/>
      <c r="AC1788" s="15"/>
      <c r="AD1788" s="206"/>
      <c r="AE1788" s="15"/>
      <c r="AF1788" s="244"/>
      <c r="AG1788" s="15"/>
      <c r="AH1788" s="15">
        <f t="shared" si="302"/>
        <v>200</v>
      </c>
      <c r="AI1788" s="22">
        <f t="shared" si="303"/>
        <v>0</v>
      </c>
      <c r="AJ1788" s="22">
        <f t="shared" si="304"/>
        <v>0</v>
      </c>
    </row>
    <row r="1789" spans="1:36" s="165" customFormat="1" hidden="1">
      <c r="A1789" s="165" t="s">
        <v>323</v>
      </c>
      <c r="B1789" s="13">
        <v>43627</v>
      </c>
      <c r="C1789" s="13" t="s">
        <v>23</v>
      </c>
      <c r="D1789" s="165" t="s">
        <v>200</v>
      </c>
      <c r="E1789" s="165" t="s">
        <v>201</v>
      </c>
      <c r="F1789" s="165" t="str">
        <f t="shared" si="300"/>
        <v>ROBI_16.18_200_NL2018</v>
      </c>
      <c r="G1789" s="165" t="s">
        <v>61</v>
      </c>
      <c r="H1789" s="12"/>
      <c r="I1789" s="12" t="s">
        <v>35</v>
      </c>
      <c r="J1789" s="14">
        <v>200</v>
      </c>
      <c r="K1789" s="15" t="s">
        <v>28</v>
      </c>
      <c r="L1789" s="15"/>
      <c r="M1789" s="16">
        <f t="shared" si="301"/>
        <v>15</v>
      </c>
      <c r="N1789" s="185">
        <f>2400+600</f>
        <v>3000</v>
      </c>
      <c r="O1789" s="15">
        <v>5600</v>
      </c>
      <c r="P1789" s="15">
        <f t="shared" si="299"/>
        <v>16800000</v>
      </c>
      <c r="Q1789" s="15" t="str">
        <f t="shared" si="297"/>
        <v/>
      </c>
      <c r="R1789" s="18" t="s">
        <v>63</v>
      </c>
      <c r="S1789" s="23">
        <v>43603</v>
      </c>
      <c r="T1789" s="20">
        <f>IFERROR(VLOOKUP(S1789,'Date Converter'!$A$4:$C$368,3,0),"")</f>
        <v>43636</v>
      </c>
      <c r="U1789" s="21">
        <f t="shared" si="298"/>
        <v>43636</v>
      </c>
      <c r="V1789" s="12"/>
      <c r="W1789" s="18"/>
      <c r="X1789" s="18"/>
      <c r="Y1789" s="15"/>
      <c r="Z1789" s="206"/>
      <c r="AA1789" s="15"/>
      <c r="AB1789" s="206"/>
      <c r="AC1789" s="15"/>
      <c r="AD1789" s="206"/>
      <c r="AE1789" s="15"/>
      <c r="AF1789" s="244"/>
      <c r="AG1789" s="15"/>
      <c r="AH1789" s="15">
        <f t="shared" si="302"/>
        <v>0</v>
      </c>
      <c r="AI1789" s="22">
        <f t="shared" si="303"/>
        <v>3000</v>
      </c>
      <c r="AJ1789" s="22">
        <f t="shared" si="304"/>
        <v>16800000</v>
      </c>
    </row>
    <row r="1790" spans="1:36" s="165" customFormat="1" hidden="1">
      <c r="A1790" s="165" t="s">
        <v>1809</v>
      </c>
      <c r="B1790" s="13">
        <v>43616</v>
      </c>
      <c r="C1790" s="13" t="s">
        <v>23</v>
      </c>
      <c r="D1790" s="258" t="s">
        <v>200</v>
      </c>
      <c r="E1790" s="97" t="s">
        <v>201</v>
      </c>
      <c r="F1790" s="165" t="str">
        <f t="shared" si="300"/>
        <v>ROBI_20.22_125_NL2018</v>
      </c>
      <c r="G1790" s="165" t="s">
        <v>61</v>
      </c>
      <c r="H1790" s="12"/>
      <c r="I1790" s="12" t="s">
        <v>74</v>
      </c>
      <c r="J1790" s="14">
        <v>125</v>
      </c>
      <c r="K1790" s="15" t="s">
        <v>28</v>
      </c>
      <c r="L1790" s="15"/>
      <c r="M1790" s="16">
        <f t="shared" si="301"/>
        <v>24</v>
      </c>
      <c r="N1790" s="15">
        <v>3000</v>
      </c>
      <c r="O1790" s="15">
        <v>10700</v>
      </c>
      <c r="P1790" s="15">
        <f t="shared" si="299"/>
        <v>32100000</v>
      </c>
      <c r="Q1790" s="15" t="str">
        <f t="shared" si="297"/>
        <v/>
      </c>
      <c r="R1790" s="18" t="s">
        <v>29</v>
      </c>
      <c r="S1790" s="23">
        <v>43709</v>
      </c>
      <c r="T1790" s="20">
        <f>IFERROR(VLOOKUP(S1790,'Date Converter'!$A$4:$C$368,3,0),"")</f>
        <v>43737</v>
      </c>
      <c r="U1790" s="21">
        <f t="shared" si="298"/>
        <v>43737</v>
      </c>
      <c r="V1790" s="15" t="s">
        <v>51</v>
      </c>
      <c r="W1790" s="18"/>
      <c r="X1790" s="18"/>
      <c r="Y1790" s="15"/>
      <c r="Z1790" s="206"/>
      <c r="AA1790" s="15"/>
      <c r="AB1790" s="206"/>
      <c r="AC1790" s="15"/>
      <c r="AD1790" s="206"/>
      <c r="AE1790" s="15"/>
      <c r="AF1790" s="244"/>
      <c r="AG1790" s="15"/>
      <c r="AH1790" s="15">
        <f t="shared" si="302"/>
        <v>0</v>
      </c>
      <c r="AI1790" s="22">
        <f t="shared" si="303"/>
        <v>3000</v>
      </c>
      <c r="AJ1790" s="22">
        <f t="shared" si="304"/>
        <v>32100000</v>
      </c>
    </row>
    <row r="1791" spans="1:36" s="165" customFormat="1" hidden="1">
      <c r="A1791" s="165" t="s">
        <v>323</v>
      </c>
      <c r="B1791" s="13">
        <v>43512</v>
      </c>
      <c r="C1791" s="13" t="s">
        <v>23</v>
      </c>
      <c r="D1791" s="165" t="s">
        <v>200</v>
      </c>
      <c r="E1791" s="165" t="s">
        <v>201</v>
      </c>
      <c r="F1791" s="165" t="str">
        <f t="shared" si="300"/>
        <v>PAVI_12.14_400_NL2018</v>
      </c>
      <c r="G1791" s="165" t="s">
        <v>138</v>
      </c>
      <c r="H1791" s="12"/>
      <c r="I1791" s="12" t="s">
        <v>113</v>
      </c>
      <c r="J1791" s="14">
        <v>400</v>
      </c>
      <c r="K1791" s="15" t="s">
        <v>28</v>
      </c>
      <c r="L1791" s="15"/>
      <c r="M1791" s="16">
        <f t="shared" si="301"/>
        <v>5</v>
      </c>
      <c r="N1791" s="15">
        <v>2000</v>
      </c>
      <c r="O1791" s="15">
        <v>2800</v>
      </c>
      <c r="P1791" s="15">
        <f t="shared" si="299"/>
        <v>5600000</v>
      </c>
      <c r="Q1791" s="15" t="str">
        <f t="shared" si="297"/>
        <v>Done</v>
      </c>
      <c r="R1791" s="18" t="s">
        <v>44</v>
      </c>
      <c r="S1791" s="23" t="s">
        <v>53</v>
      </c>
      <c r="T1791" s="20">
        <f>IFERROR(VLOOKUP(S1791,'Date Converter'!$A$4:$C$368,3,0),"")</f>
        <v>43559</v>
      </c>
      <c r="U1791" s="21">
        <f t="shared" si="298"/>
        <v>43559</v>
      </c>
      <c r="V1791" s="12" t="s">
        <v>54</v>
      </c>
      <c r="W1791" s="18" t="s">
        <v>101</v>
      </c>
      <c r="X1791" s="18">
        <v>43555</v>
      </c>
      <c r="Y1791" s="15"/>
      <c r="Z1791" s="206">
        <v>43558</v>
      </c>
      <c r="AA1791" s="15">
        <v>2000</v>
      </c>
      <c r="AB1791" s="206"/>
      <c r="AC1791" s="15"/>
      <c r="AD1791" s="206"/>
      <c r="AE1791" s="15"/>
      <c r="AF1791" s="244"/>
      <c r="AG1791" s="15"/>
      <c r="AH1791" s="15">
        <f t="shared" si="302"/>
        <v>2000</v>
      </c>
      <c r="AI1791" s="22">
        <f t="shared" si="303"/>
        <v>0</v>
      </c>
      <c r="AJ1791" s="22">
        <f t="shared" si="304"/>
        <v>0</v>
      </c>
    </row>
    <row r="1792" spans="1:36" s="165" customFormat="1" hidden="1">
      <c r="A1792" s="165" t="s">
        <v>323</v>
      </c>
      <c r="B1792" s="13">
        <v>43614</v>
      </c>
      <c r="C1792" s="13" t="s">
        <v>23</v>
      </c>
      <c r="D1792" s="165" t="s">
        <v>200</v>
      </c>
      <c r="E1792" s="165" t="s">
        <v>201</v>
      </c>
      <c r="F1792" s="165" t="str">
        <f t="shared" si="300"/>
        <v>PAVI_12.14_400_NL2018</v>
      </c>
      <c r="G1792" s="165" t="s">
        <v>138</v>
      </c>
      <c r="H1792" s="12"/>
      <c r="I1792" s="12" t="s">
        <v>113</v>
      </c>
      <c r="J1792" s="14">
        <v>400</v>
      </c>
      <c r="K1792" s="15" t="s">
        <v>28</v>
      </c>
      <c r="L1792" s="15"/>
      <c r="M1792" s="16">
        <f t="shared" si="301"/>
        <v>7</v>
      </c>
      <c r="N1792" s="15">
        <f>2800</f>
        <v>2800</v>
      </c>
      <c r="O1792" s="15">
        <v>2900</v>
      </c>
      <c r="P1792" s="15">
        <f t="shared" si="299"/>
        <v>8120000</v>
      </c>
      <c r="Q1792" s="15" t="str">
        <f t="shared" si="297"/>
        <v>Done</v>
      </c>
      <c r="R1792" s="18" t="s">
        <v>44</v>
      </c>
      <c r="S1792" s="23">
        <v>43590</v>
      </c>
      <c r="T1792" s="20">
        <f>IFERROR(VLOOKUP(S1792,'Date Converter'!$A$4:$C$368,3,0),"")</f>
        <v>43623</v>
      </c>
      <c r="U1792" s="21">
        <f t="shared" si="298"/>
        <v>43623</v>
      </c>
      <c r="V1792" s="12"/>
      <c r="W1792" s="18"/>
      <c r="X1792" s="18"/>
      <c r="Y1792" s="15"/>
      <c r="Z1792" s="206">
        <v>43624</v>
      </c>
      <c r="AA1792" s="15">
        <v>2800</v>
      </c>
      <c r="AB1792" s="206"/>
      <c r="AC1792" s="15"/>
      <c r="AD1792" s="206"/>
      <c r="AE1792" s="15"/>
      <c r="AF1792" s="244"/>
      <c r="AG1792" s="15"/>
      <c r="AH1792" s="15">
        <f t="shared" si="302"/>
        <v>2800</v>
      </c>
      <c r="AI1792" s="22">
        <f t="shared" si="303"/>
        <v>0</v>
      </c>
      <c r="AJ1792" s="22">
        <f t="shared" si="304"/>
        <v>0</v>
      </c>
    </row>
    <row r="1793" spans="1:37" s="165" customFormat="1" hidden="1">
      <c r="A1793" s="165" t="s">
        <v>323</v>
      </c>
      <c r="B1793" s="13">
        <v>43616</v>
      </c>
      <c r="C1793" s="13" t="s">
        <v>23</v>
      </c>
      <c r="D1793" s="165" t="s">
        <v>200</v>
      </c>
      <c r="E1793" s="165" t="s">
        <v>201</v>
      </c>
      <c r="F1793" s="165" t="str">
        <f t="shared" si="300"/>
        <v>PAVI_12.14_400_NL2018</v>
      </c>
      <c r="G1793" s="165" t="s">
        <v>138</v>
      </c>
      <c r="H1793" s="12"/>
      <c r="I1793" s="12" t="s">
        <v>113</v>
      </c>
      <c r="J1793" s="14">
        <v>400</v>
      </c>
      <c r="K1793" s="15" t="s">
        <v>28</v>
      </c>
      <c r="L1793" s="15"/>
      <c r="M1793" s="16">
        <f t="shared" si="301"/>
        <v>10</v>
      </c>
      <c r="N1793" s="15">
        <v>4000</v>
      </c>
      <c r="O1793" s="15">
        <v>3000</v>
      </c>
      <c r="P1793" s="15">
        <f t="shared" si="299"/>
        <v>12000000</v>
      </c>
      <c r="Q1793" s="15" t="str">
        <f t="shared" si="297"/>
        <v/>
      </c>
      <c r="R1793" s="18" t="s">
        <v>63</v>
      </c>
      <c r="S1793" s="23">
        <v>43590</v>
      </c>
      <c r="T1793" s="20">
        <f>IFERROR(VLOOKUP(S1793,'Date Converter'!$A$4:$C$368,3,0),"")</f>
        <v>43623</v>
      </c>
      <c r="U1793" s="21">
        <f t="shared" si="298"/>
        <v>43623</v>
      </c>
      <c r="V1793" s="12" t="s">
        <v>1808</v>
      </c>
      <c r="W1793" s="18"/>
      <c r="X1793" s="18"/>
      <c r="Y1793" s="15"/>
      <c r="Z1793" s="206"/>
      <c r="AA1793" s="15"/>
      <c r="AB1793" s="206"/>
      <c r="AC1793" s="15"/>
      <c r="AD1793" s="206"/>
      <c r="AE1793" s="15"/>
      <c r="AF1793" s="244"/>
      <c r="AG1793" s="15"/>
      <c r="AH1793" s="15">
        <f t="shared" si="302"/>
        <v>0</v>
      </c>
      <c r="AI1793" s="22">
        <f t="shared" si="303"/>
        <v>4000</v>
      </c>
      <c r="AJ1793" s="22">
        <f t="shared" si="304"/>
        <v>12000000</v>
      </c>
    </row>
    <row r="1794" spans="1:37" s="165" customFormat="1" hidden="1">
      <c r="A1794" s="165" t="s">
        <v>323</v>
      </c>
      <c r="B1794" s="13">
        <v>43623</v>
      </c>
      <c r="C1794" s="13" t="s">
        <v>23</v>
      </c>
      <c r="D1794" s="165" t="s">
        <v>200</v>
      </c>
      <c r="E1794" s="165" t="s">
        <v>201</v>
      </c>
      <c r="F1794" s="165" t="str">
        <f t="shared" si="300"/>
        <v>PAVI_12.14_400_NL2018</v>
      </c>
      <c r="G1794" s="165" t="s">
        <v>138</v>
      </c>
      <c r="H1794" s="12"/>
      <c r="I1794" s="12" t="s">
        <v>113</v>
      </c>
      <c r="J1794" s="14">
        <v>400</v>
      </c>
      <c r="K1794" s="15" t="s">
        <v>28</v>
      </c>
      <c r="L1794" s="15"/>
      <c r="M1794" s="16">
        <f t="shared" si="301"/>
        <v>15</v>
      </c>
      <c r="N1794" s="15">
        <v>6000</v>
      </c>
      <c r="O1794" s="15">
        <v>3000</v>
      </c>
      <c r="P1794" s="15">
        <f t="shared" si="299"/>
        <v>18000000</v>
      </c>
      <c r="Q1794" s="15" t="str">
        <f t="shared" si="297"/>
        <v/>
      </c>
      <c r="R1794" s="18" t="s">
        <v>29</v>
      </c>
      <c r="S1794" s="23">
        <v>43666</v>
      </c>
      <c r="T1794" s="20">
        <f>IFERROR(VLOOKUP(S1794,'Date Converter'!$A$4:$C$368,3,0),"")</f>
        <v>43697</v>
      </c>
      <c r="U1794" s="21">
        <f t="shared" si="298"/>
        <v>43697</v>
      </c>
      <c r="V1794" s="12"/>
      <c r="W1794" s="18"/>
      <c r="X1794" s="18"/>
      <c r="Y1794" s="15"/>
      <c r="Z1794" s="206"/>
      <c r="AA1794" s="15"/>
      <c r="AB1794" s="206"/>
      <c r="AC1794" s="15"/>
      <c r="AD1794" s="206"/>
      <c r="AE1794" s="15"/>
      <c r="AF1794" s="244"/>
      <c r="AG1794" s="15"/>
      <c r="AH1794" s="15">
        <f t="shared" si="302"/>
        <v>0</v>
      </c>
      <c r="AI1794" s="22">
        <f t="shared" si="303"/>
        <v>6000</v>
      </c>
      <c r="AJ1794" s="22">
        <f t="shared" si="304"/>
        <v>18000000</v>
      </c>
    </row>
    <row r="1795" spans="1:37" s="165" customFormat="1" hidden="1">
      <c r="A1795" s="165" t="s">
        <v>323</v>
      </c>
      <c r="B1795" s="13">
        <v>43623</v>
      </c>
      <c r="C1795" s="13" t="s">
        <v>23</v>
      </c>
      <c r="D1795" s="165" t="s">
        <v>200</v>
      </c>
      <c r="E1795" s="165" t="s">
        <v>201</v>
      </c>
      <c r="F1795" s="165" t="str">
        <f t="shared" si="300"/>
        <v>PAVI_12.14_400_NL2018</v>
      </c>
      <c r="G1795" s="165" t="s">
        <v>138</v>
      </c>
      <c r="H1795" s="12"/>
      <c r="I1795" s="12" t="s">
        <v>113</v>
      </c>
      <c r="J1795" s="14">
        <v>400</v>
      </c>
      <c r="K1795" s="15" t="s">
        <v>28</v>
      </c>
      <c r="L1795" s="15"/>
      <c r="M1795" s="16">
        <f t="shared" si="301"/>
        <v>18</v>
      </c>
      <c r="N1795" s="15">
        <f>2000+5200</f>
        <v>7200</v>
      </c>
      <c r="O1795" s="15">
        <v>3100</v>
      </c>
      <c r="P1795" s="15">
        <f t="shared" si="299"/>
        <v>22320000</v>
      </c>
      <c r="Q1795" s="15" t="str">
        <f t="shared" ref="Q1795:Q1858" si="305">IF(AND(N1795=0,AI1795=0),"Canceled",IF(AND(N1795&gt;0,AI1795=0),"Done",""))</f>
        <v/>
      </c>
      <c r="R1795" s="18" t="s">
        <v>29</v>
      </c>
      <c r="S1795" s="23">
        <v>43656</v>
      </c>
      <c r="T1795" s="20">
        <f>IFERROR(VLOOKUP(S1795,'Date Converter'!$A$4:$C$368,3,0),"")</f>
        <v>43687</v>
      </c>
      <c r="U1795" s="21">
        <f t="shared" si="298"/>
        <v>43687</v>
      </c>
      <c r="V1795" s="12" t="s">
        <v>2406</v>
      </c>
      <c r="W1795" s="18"/>
      <c r="X1795" s="18"/>
      <c r="Y1795" s="15"/>
      <c r="Z1795" s="206"/>
      <c r="AA1795" s="15"/>
      <c r="AB1795" s="206"/>
      <c r="AC1795" s="15"/>
      <c r="AD1795" s="206"/>
      <c r="AE1795" s="15"/>
      <c r="AF1795" s="244"/>
      <c r="AG1795" s="15"/>
      <c r="AH1795" s="15">
        <f t="shared" si="302"/>
        <v>0</v>
      </c>
      <c r="AI1795" s="22">
        <f t="shared" si="303"/>
        <v>7200</v>
      </c>
      <c r="AJ1795" s="22">
        <f t="shared" si="304"/>
        <v>22320000</v>
      </c>
    </row>
    <row r="1796" spans="1:37" s="165" customFormat="1" hidden="1">
      <c r="A1796" s="165" t="s">
        <v>323</v>
      </c>
      <c r="B1796" s="13">
        <v>43623</v>
      </c>
      <c r="C1796" s="13" t="s">
        <v>23</v>
      </c>
      <c r="D1796" s="165" t="s">
        <v>200</v>
      </c>
      <c r="E1796" s="165" t="s">
        <v>201</v>
      </c>
      <c r="F1796" s="165" t="str">
        <f t="shared" si="300"/>
        <v>PAVI_12.14_400_NL2018</v>
      </c>
      <c r="G1796" s="165" t="s">
        <v>138</v>
      </c>
      <c r="H1796" s="12"/>
      <c r="I1796" s="12" t="s">
        <v>113</v>
      </c>
      <c r="J1796" s="14">
        <v>400</v>
      </c>
      <c r="K1796" s="15" t="s">
        <v>28</v>
      </c>
      <c r="L1796" s="15"/>
      <c r="M1796" s="16">
        <f t="shared" si="301"/>
        <v>18</v>
      </c>
      <c r="N1796" s="15">
        <f>2000+5200</f>
        <v>7200</v>
      </c>
      <c r="O1796" s="15">
        <v>3100</v>
      </c>
      <c r="P1796" s="15">
        <f t="shared" si="299"/>
        <v>22320000</v>
      </c>
      <c r="Q1796" s="15" t="str">
        <f t="shared" si="305"/>
        <v/>
      </c>
      <c r="R1796" s="18" t="s">
        <v>29</v>
      </c>
      <c r="S1796" s="23">
        <v>43687</v>
      </c>
      <c r="T1796" s="20">
        <f>IFERROR(VLOOKUP(S1796,'Date Converter'!$A$4:$C$368,3,0),"")</f>
        <v>43716</v>
      </c>
      <c r="U1796" s="21">
        <f t="shared" si="298"/>
        <v>43716</v>
      </c>
      <c r="V1796" s="12"/>
      <c r="W1796" s="18"/>
      <c r="X1796" s="18"/>
      <c r="Y1796" s="15"/>
      <c r="Z1796" s="206"/>
      <c r="AA1796" s="15"/>
      <c r="AB1796" s="206"/>
      <c r="AC1796" s="15"/>
      <c r="AD1796" s="206"/>
      <c r="AE1796" s="15"/>
      <c r="AF1796" s="244"/>
      <c r="AG1796" s="15"/>
      <c r="AH1796" s="15">
        <f t="shared" si="302"/>
        <v>0</v>
      </c>
      <c r="AI1796" s="22">
        <f t="shared" si="303"/>
        <v>7200</v>
      </c>
      <c r="AJ1796" s="22">
        <f t="shared" si="304"/>
        <v>22320000</v>
      </c>
    </row>
    <row r="1797" spans="1:37" s="165" customFormat="1" hidden="1">
      <c r="A1797" s="165" t="s">
        <v>1809</v>
      </c>
      <c r="B1797" s="13">
        <v>43616</v>
      </c>
      <c r="C1797" s="13" t="s">
        <v>23</v>
      </c>
      <c r="D1797" s="258" t="s">
        <v>200</v>
      </c>
      <c r="E1797" s="97" t="s">
        <v>201</v>
      </c>
      <c r="F1797" s="165" t="str">
        <f t="shared" si="300"/>
        <v>PAVI_14.16_300_NL2018</v>
      </c>
      <c r="G1797" s="165" t="s">
        <v>138</v>
      </c>
      <c r="H1797" s="12"/>
      <c r="I1797" s="12" t="s">
        <v>47</v>
      </c>
      <c r="J1797" s="14">
        <v>300</v>
      </c>
      <c r="K1797" s="15" t="s">
        <v>28</v>
      </c>
      <c r="L1797" s="15"/>
      <c r="M1797" s="16">
        <f t="shared" si="301"/>
        <v>4</v>
      </c>
      <c r="N1797" s="15">
        <v>1200</v>
      </c>
      <c r="O1797" s="15">
        <v>4600</v>
      </c>
      <c r="P1797" s="15">
        <f t="shared" si="299"/>
        <v>5520000</v>
      </c>
      <c r="Q1797" s="15" t="str">
        <f t="shared" si="305"/>
        <v/>
      </c>
      <c r="R1797" s="18" t="s">
        <v>29</v>
      </c>
      <c r="S1797" s="23">
        <v>43709</v>
      </c>
      <c r="T1797" s="20">
        <f>IFERROR(VLOOKUP(S1797,'Date Converter'!$A$4:$C$368,3,0),"")</f>
        <v>43737</v>
      </c>
      <c r="U1797" s="21">
        <f t="shared" si="298"/>
        <v>43737</v>
      </c>
      <c r="V1797" s="15" t="s">
        <v>51</v>
      </c>
      <c r="W1797" s="18"/>
      <c r="X1797" s="18"/>
      <c r="Y1797" s="15"/>
      <c r="Z1797" s="206"/>
      <c r="AA1797" s="15"/>
      <c r="AB1797" s="206"/>
      <c r="AC1797" s="15"/>
      <c r="AD1797" s="206"/>
      <c r="AE1797" s="15"/>
      <c r="AF1797" s="244"/>
      <c r="AG1797" s="15"/>
      <c r="AH1797" s="15">
        <f t="shared" si="302"/>
        <v>0</v>
      </c>
      <c r="AI1797" s="22">
        <f t="shared" si="303"/>
        <v>1200</v>
      </c>
      <c r="AJ1797" s="22">
        <f t="shared" si="304"/>
        <v>5520000</v>
      </c>
    </row>
    <row r="1798" spans="1:37" s="165" customFormat="1" hidden="1">
      <c r="A1798" s="165" t="s">
        <v>1809</v>
      </c>
      <c r="B1798" s="13">
        <v>43616</v>
      </c>
      <c r="C1798" s="13" t="s">
        <v>23</v>
      </c>
      <c r="D1798" s="258" t="s">
        <v>200</v>
      </c>
      <c r="E1798" s="97" t="s">
        <v>201</v>
      </c>
      <c r="F1798" s="165" t="str">
        <f t="shared" si="300"/>
        <v>PAVI_16.18_200_NL2018</v>
      </c>
      <c r="G1798" s="165" t="s">
        <v>138</v>
      </c>
      <c r="H1798" s="12"/>
      <c r="I1798" s="12" t="s">
        <v>35</v>
      </c>
      <c r="J1798" s="14">
        <v>200</v>
      </c>
      <c r="K1798" s="15" t="s">
        <v>28</v>
      </c>
      <c r="L1798" s="15"/>
      <c r="M1798" s="16">
        <f t="shared" si="301"/>
        <v>10</v>
      </c>
      <c r="N1798" s="15">
        <v>2000</v>
      </c>
      <c r="O1798" s="15">
        <v>6300</v>
      </c>
      <c r="P1798" s="15">
        <f t="shared" si="299"/>
        <v>12600000</v>
      </c>
      <c r="Q1798" s="15" t="str">
        <f t="shared" si="305"/>
        <v/>
      </c>
      <c r="R1798" s="18" t="s">
        <v>29</v>
      </c>
      <c r="S1798" s="23">
        <v>43709</v>
      </c>
      <c r="T1798" s="20">
        <f>IFERROR(VLOOKUP(S1798,'Date Converter'!$A$4:$C$368,3,0),"")</f>
        <v>43737</v>
      </c>
      <c r="U1798" s="21">
        <f t="shared" si="298"/>
        <v>43737</v>
      </c>
      <c r="V1798" s="15" t="s">
        <v>51</v>
      </c>
      <c r="W1798" s="18"/>
      <c r="X1798" s="18"/>
      <c r="Y1798" s="15"/>
      <c r="Z1798" s="206"/>
      <c r="AA1798" s="15"/>
      <c r="AB1798" s="206"/>
      <c r="AC1798" s="15"/>
      <c r="AD1798" s="206"/>
      <c r="AE1798" s="15"/>
      <c r="AF1798" s="244"/>
      <c r="AG1798" s="15"/>
      <c r="AH1798" s="15">
        <f t="shared" si="302"/>
        <v>0</v>
      </c>
      <c r="AI1798" s="22">
        <f t="shared" si="303"/>
        <v>2000</v>
      </c>
      <c r="AJ1798" s="22">
        <f t="shared" si="304"/>
        <v>12600000</v>
      </c>
    </row>
    <row r="1799" spans="1:37" s="165" customFormat="1" hidden="1">
      <c r="A1799" s="165" t="s">
        <v>297</v>
      </c>
      <c r="B1799" s="13">
        <v>43512</v>
      </c>
      <c r="C1799" s="13" t="s">
        <v>23</v>
      </c>
      <c r="D1799" s="165" t="s">
        <v>90</v>
      </c>
      <c r="E1799" s="165" t="s">
        <v>91</v>
      </c>
      <c r="F1799" s="165" t="str">
        <f t="shared" si="300"/>
        <v>YELL_14.16_300_NL2018</v>
      </c>
      <c r="G1799" s="165" t="s">
        <v>89</v>
      </c>
      <c r="H1799" s="12"/>
      <c r="I1799" s="12" t="s">
        <v>47</v>
      </c>
      <c r="J1799" s="14">
        <v>300</v>
      </c>
      <c r="K1799" s="15" t="s">
        <v>28</v>
      </c>
      <c r="L1799" s="15"/>
      <c r="M1799" s="16">
        <f t="shared" si="301"/>
        <v>0</v>
      </c>
      <c r="N1799" s="15">
        <f>2100-2100</f>
        <v>0</v>
      </c>
      <c r="O1799" s="15">
        <v>3800</v>
      </c>
      <c r="P1799" s="15">
        <f t="shared" si="299"/>
        <v>0</v>
      </c>
      <c r="Q1799" s="15" t="str">
        <f t="shared" si="305"/>
        <v>Canceled</v>
      </c>
      <c r="R1799" s="18" t="s">
        <v>71</v>
      </c>
      <c r="S1799" s="23" t="s">
        <v>53</v>
      </c>
      <c r="T1799" s="20">
        <f>IFERROR(VLOOKUP(S1799,'Date Converter'!$A$4:$C$368,3,0),"")</f>
        <v>43559</v>
      </c>
      <c r="U1799" s="21">
        <f t="shared" si="298"/>
        <v>43559</v>
      </c>
      <c r="V1799" s="20" t="s">
        <v>54</v>
      </c>
      <c r="W1799" s="18" t="s">
        <v>72</v>
      </c>
      <c r="X1799" s="18">
        <v>43555</v>
      </c>
      <c r="Y1799" s="15" t="s">
        <v>92</v>
      </c>
      <c r="Z1799" s="206"/>
      <c r="AA1799" s="15">
        <v>0</v>
      </c>
      <c r="AB1799" s="206"/>
      <c r="AC1799" s="15"/>
      <c r="AD1799" s="206"/>
      <c r="AE1799" s="15"/>
      <c r="AF1799" s="244"/>
      <c r="AG1799" s="15"/>
      <c r="AH1799" s="15">
        <f t="shared" si="302"/>
        <v>0</v>
      </c>
      <c r="AI1799" s="22">
        <f t="shared" si="303"/>
        <v>0</v>
      </c>
      <c r="AJ1799" s="22">
        <f t="shared" si="304"/>
        <v>0</v>
      </c>
    </row>
    <row r="1800" spans="1:37" s="165" customFormat="1" hidden="1">
      <c r="A1800" s="165" t="s">
        <v>297</v>
      </c>
      <c r="B1800" s="13">
        <v>43512</v>
      </c>
      <c r="C1800" s="13" t="s">
        <v>23</v>
      </c>
      <c r="D1800" s="165" t="s">
        <v>90</v>
      </c>
      <c r="E1800" s="165" t="s">
        <v>91</v>
      </c>
      <c r="F1800" s="165" t="str">
        <f t="shared" si="300"/>
        <v>YELL_12.14_400_NL2018</v>
      </c>
      <c r="G1800" s="165" t="s">
        <v>89</v>
      </c>
      <c r="H1800" s="12"/>
      <c r="I1800" s="12" t="s">
        <v>113</v>
      </c>
      <c r="J1800" s="14">
        <v>400</v>
      </c>
      <c r="K1800" s="15" t="s">
        <v>28</v>
      </c>
      <c r="L1800" s="15"/>
      <c r="M1800" s="16">
        <f t="shared" si="301"/>
        <v>0</v>
      </c>
      <c r="N1800" s="15">
        <f>3200-3200</f>
        <v>0</v>
      </c>
      <c r="O1800" s="15">
        <v>2700</v>
      </c>
      <c r="P1800" s="15">
        <f t="shared" si="299"/>
        <v>0</v>
      </c>
      <c r="Q1800" s="15" t="str">
        <f t="shared" si="305"/>
        <v>Canceled</v>
      </c>
      <c r="R1800" s="18" t="s">
        <v>71</v>
      </c>
      <c r="S1800" s="23">
        <v>43539</v>
      </c>
      <c r="T1800" s="20">
        <f>IFERROR(VLOOKUP(S1800,'Date Converter'!$A$4:$C$368,3,0),"")</f>
        <v>43574</v>
      </c>
      <c r="U1800" s="21">
        <f t="shared" si="298"/>
        <v>43574</v>
      </c>
      <c r="V1800" s="20" t="s">
        <v>57</v>
      </c>
      <c r="W1800" s="18"/>
      <c r="X1800" s="18"/>
      <c r="Y1800" s="15"/>
      <c r="Z1800" s="206"/>
      <c r="AA1800" s="15"/>
      <c r="AB1800" s="206"/>
      <c r="AC1800" s="15"/>
      <c r="AD1800" s="206"/>
      <c r="AE1800" s="15"/>
      <c r="AF1800" s="244"/>
      <c r="AG1800" s="15"/>
      <c r="AH1800" s="15">
        <f t="shared" si="302"/>
        <v>0</v>
      </c>
      <c r="AI1800" s="22">
        <f t="shared" si="303"/>
        <v>0</v>
      </c>
      <c r="AJ1800" s="22">
        <f t="shared" si="304"/>
        <v>0</v>
      </c>
    </row>
    <row r="1801" spans="1:37" s="165" customFormat="1" hidden="1">
      <c r="A1801" s="165" t="s">
        <v>297</v>
      </c>
      <c r="B1801" s="13">
        <v>43512</v>
      </c>
      <c r="C1801" s="13" t="s">
        <v>23</v>
      </c>
      <c r="D1801" s="165" t="s">
        <v>90</v>
      </c>
      <c r="E1801" s="165" t="s">
        <v>91</v>
      </c>
      <c r="F1801" s="165" t="str">
        <f t="shared" si="300"/>
        <v>TARR_14.16_300_NL2018</v>
      </c>
      <c r="G1801" s="165" t="s">
        <v>62</v>
      </c>
      <c r="H1801" s="12"/>
      <c r="I1801" s="12" t="s">
        <v>47</v>
      </c>
      <c r="J1801" s="14">
        <v>300</v>
      </c>
      <c r="K1801" s="15" t="s">
        <v>28</v>
      </c>
      <c r="L1801" s="15"/>
      <c r="M1801" s="16">
        <f t="shared" si="301"/>
        <v>0</v>
      </c>
      <c r="N1801" s="15">
        <f>2100-2100</f>
        <v>0</v>
      </c>
      <c r="O1801" s="15">
        <v>4600</v>
      </c>
      <c r="P1801" s="15">
        <f t="shared" si="299"/>
        <v>0</v>
      </c>
      <c r="Q1801" s="15" t="str">
        <f t="shared" si="305"/>
        <v>Canceled</v>
      </c>
      <c r="R1801" s="18" t="s">
        <v>71</v>
      </c>
      <c r="S1801" s="23" t="s">
        <v>53</v>
      </c>
      <c r="T1801" s="20">
        <f>IFERROR(VLOOKUP(S1801,'Date Converter'!$A$4:$C$368,3,0),"")</f>
        <v>43559</v>
      </c>
      <c r="U1801" s="21">
        <f t="shared" si="298"/>
        <v>43559</v>
      </c>
      <c r="V1801" s="20" t="s">
        <v>54</v>
      </c>
      <c r="W1801" s="18" t="s">
        <v>55</v>
      </c>
      <c r="X1801" s="18">
        <v>43555</v>
      </c>
      <c r="Y1801" s="15" t="s">
        <v>92</v>
      </c>
      <c r="Z1801" s="206"/>
      <c r="AA1801" s="15">
        <v>0</v>
      </c>
      <c r="AB1801" s="206"/>
      <c r="AC1801" s="15"/>
      <c r="AD1801" s="206"/>
      <c r="AE1801" s="15"/>
      <c r="AF1801" s="244"/>
      <c r="AG1801" s="15"/>
      <c r="AH1801" s="15">
        <f t="shared" si="302"/>
        <v>0</v>
      </c>
      <c r="AI1801" s="22">
        <f t="shared" si="303"/>
        <v>0</v>
      </c>
      <c r="AJ1801" s="22">
        <f t="shared" si="304"/>
        <v>0</v>
      </c>
      <c r="AK1801" s="165" t="s">
        <v>93</v>
      </c>
    </row>
    <row r="1802" spans="1:37" s="165" customFormat="1" hidden="1">
      <c r="A1802" s="165" t="s">
        <v>297</v>
      </c>
      <c r="B1802" s="13">
        <v>43512</v>
      </c>
      <c r="C1802" s="13" t="s">
        <v>23</v>
      </c>
      <c r="D1802" s="165" t="s">
        <v>90</v>
      </c>
      <c r="E1802" s="165" t="s">
        <v>91</v>
      </c>
      <c r="F1802" s="165" t="str">
        <f t="shared" si="300"/>
        <v>PARA_14.16_300_NL2018</v>
      </c>
      <c r="G1802" s="165" t="s">
        <v>490</v>
      </c>
      <c r="H1802" s="12"/>
      <c r="I1802" s="12" t="s">
        <v>47</v>
      </c>
      <c r="J1802" s="14">
        <v>300</v>
      </c>
      <c r="K1802" s="15" t="s">
        <v>28</v>
      </c>
      <c r="L1802" s="15"/>
      <c r="M1802" s="16">
        <f t="shared" si="301"/>
        <v>0</v>
      </c>
      <c r="N1802" s="15">
        <f>1200-1200</f>
        <v>0</v>
      </c>
      <c r="O1802" s="15">
        <v>4800</v>
      </c>
      <c r="P1802" s="15">
        <f t="shared" si="299"/>
        <v>0</v>
      </c>
      <c r="Q1802" s="15" t="str">
        <f t="shared" si="305"/>
        <v>Canceled</v>
      </c>
      <c r="R1802" s="18" t="s">
        <v>71</v>
      </c>
      <c r="S1802" s="23">
        <v>43539</v>
      </c>
      <c r="T1802" s="20">
        <f>IFERROR(VLOOKUP(S1802,'Date Converter'!$A$4:$C$368,3,0),"")</f>
        <v>43574</v>
      </c>
      <c r="U1802" s="21">
        <f t="shared" si="298"/>
        <v>43574</v>
      </c>
      <c r="V1802" s="20" t="s">
        <v>57</v>
      </c>
      <c r="W1802" s="18"/>
      <c r="X1802" s="18"/>
      <c r="Y1802" s="15"/>
      <c r="Z1802" s="206"/>
      <c r="AA1802" s="15"/>
      <c r="AB1802" s="206"/>
      <c r="AC1802" s="15"/>
      <c r="AD1802" s="206"/>
      <c r="AE1802" s="15"/>
      <c r="AF1802" s="244"/>
      <c r="AG1802" s="15"/>
      <c r="AH1802" s="15">
        <f t="shared" si="302"/>
        <v>0</v>
      </c>
      <c r="AI1802" s="22">
        <f t="shared" si="303"/>
        <v>0</v>
      </c>
      <c r="AJ1802" s="22">
        <f t="shared" si="304"/>
        <v>0</v>
      </c>
    </row>
    <row r="1803" spans="1:37" s="165" customFormat="1" hidden="1">
      <c r="A1803" s="165" t="s">
        <v>497</v>
      </c>
      <c r="B1803" s="13">
        <v>43553</v>
      </c>
      <c r="C1803" s="13" t="s">
        <v>23</v>
      </c>
      <c r="D1803" s="165" t="s">
        <v>102</v>
      </c>
      <c r="E1803" s="165" t="s">
        <v>103</v>
      </c>
      <c r="F1803" s="165" t="str">
        <f t="shared" si="300"/>
        <v>YELL_14.16_300_NL2018</v>
      </c>
      <c r="G1803" s="165" t="s">
        <v>89</v>
      </c>
      <c r="H1803" s="12"/>
      <c r="I1803" s="12" t="s">
        <v>47</v>
      </c>
      <c r="J1803" s="14">
        <v>300</v>
      </c>
      <c r="K1803" s="15" t="s">
        <v>28</v>
      </c>
      <c r="L1803" s="15"/>
      <c r="M1803" s="16">
        <f t="shared" si="301"/>
        <v>0</v>
      </c>
      <c r="N1803" s="15">
        <f>30000-14700-15300</f>
        <v>0</v>
      </c>
      <c r="O1803" s="15">
        <v>3800</v>
      </c>
      <c r="P1803" s="15">
        <f t="shared" si="299"/>
        <v>0</v>
      </c>
      <c r="Q1803" s="15" t="str">
        <f t="shared" si="305"/>
        <v>Canceled</v>
      </c>
      <c r="R1803" s="18" t="s">
        <v>71</v>
      </c>
      <c r="S1803" s="23">
        <v>43572</v>
      </c>
      <c r="T1803" s="20">
        <f>IFERROR(VLOOKUP(S1803,'Date Converter'!$A$4:$C$368,3,0),"")</f>
        <v>43606</v>
      </c>
      <c r="U1803" s="21">
        <f t="shared" si="298"/>
        <v>43606</v>
      </c>
      <c r="V1803" s="20" t="s">
        <v>1416</v>
      </c>
      <c r="W1803" s="18"/>
      <c r="X1803" s="18"/>
      <c r="Y1803" s="15"/>
      <c r="Z1803" s="206"/>
      <c r="AA1803" s="15"/>
      <c r="AB1803" s="206"/>
      <c r="AC1803" s="15"/>
      <c r="AD1803" s="206"/>
      <c r="AE1803" s="15"/>
      <c r="AF1803" s="244"/>
      <c r="AG1803" s="15"/>
      <c r="AH1803" s="15">
        <f t="shared" si="302"/>
        <v>0</v>
      </c>
      <c r="AI1803" s="22">
        <f t="shared" si="303"/>
        <v>0</v>
      </c>
      <c r="AJ1803" s="22">
        <f t="shared" si="304"/>
        <v>0</v>
      </c>
    </row>
    <row r="1804" spans="1:37" s="165" customFormat="1" hidden="1">
      <c r="A1804" s="165" t="s">
        <v>497</v>
      </c>
      <c r="B1804" s="13">
        <v>43553</v>
      </c>
      <c r="C1804" s="13" t="s">
        <v>23</v>
      </c>
      <c r="D1804" s="165" t="s">
        <v>102</v>
      </c>
      <c r="E1804" s="165" t="s">
        <v>103</v>
      </c>
      <c r="F1804" s="165" t="str">
        <f t="shared" si="300"/>
        <v>YELL_14.16_300_NL2018</v>
      </c>
      <c r="G1804" s="165" t="s">
        <v>89</v>
      </c>
      <c r="H1804" s="12"/>
      <c r="I1804" s="12" t="s">
        <v>47</v>
      </c>
      <c r="J1804" s="14">
        <v>300</v>
      </c>
      <c r="K1804" s="15" t="s">
        <v>28</v>
      </c>
      <c r="L1804" s="15"/>
      <c r="M1804" s="16">
        <f t="shared" si="301"/>
        <v>0</v>
      </c>
      <c r="N1804" s="15">
        <f>14700-14700</f>
        <v>0</v>
      </c>
      <c r="O1804" s="15">
        <v>3800</v>
      </c>
      <c r="P1804" s="15">
        <f t="shared" si="299"/>
        <v>0</v>
      </c>
      <c r="Q1804" s="15" t="str">
        <f t="shared" si="305"/>
        <v>Canceled</v>
      </c>
      <c r="R1804" s="18" t="s">
        <v>71</v>
      </c>
      <c r="S1804" s="19">
        <v>43584</v>
      </c>
      <c r="T1804" s="20">
        <f>IFERROR(VLOOKUP(S1804,'Date Converter'!$A$4:$C$368,3,0),"")</f>
        <v>43618</v>
      </c>
      <c r="U1804" s="21">
        <f t="shared" si="298"/>
        <v>43618</v>
      </c>
      <c r="V1804" s="20" t="s">
        <v>443</v>
      </c>
      <c r="W1804" s="18"/>
      <c r="X1804" s="18"/>
      <c r="Y1804" s="15"/>
      <c r="Z1804" s="206"/>
      <c r="AA1804" s="15"/>
      <c r="AB1804" s="206"/>
      <c r="AC1804" s="15"/>
      <c r="AD1804" s="206"/>
      <c r="AE1804" s="15"/>
      <c r="AF1804" s="244"/>
      <c r="AG1804" s="15"/>
      <c r="AH1804" s="15">
        <f t="shared" si="302"/>
        <v>0</v>
      </c>
      <c r="AI1804" s="22">
        <f t="shared" si="303"/>
        <v>0</v>
      </c>
      <c r="AJ1804" s="22">
        <f t="shared" si="304"/>
        <v>0</v>
      </c>
    </row>
    <row r="1805" spans="1:37" s="165" customFormat="1" hidden="1">
      <c r="A1805" s="165" t="s">
        <v>300</v>
      </c>
      <c r="B1805" s="13">
        <v>43470</v>
      </c>
      <c r="C1805" s="13" t="s">
        <v>23</v>
      </c>
      <c r="D1805" s="165" t="s">
        <v>102</v>
      </c>
      <c r="E1805" s="165" t="s">
        <v>103</v>
      </c>
      <c r="F1805" s="165" t="str">
        <f t="shared" si="300"/>
        <v>YELL_16.18_200_NL2018</v>
      </c>
      <c r="G1805" s="165" t="s">
        <v>89</v>
      </c>
      <c r="H1805" s="12"/>
      <c r="I1805" s="12" t="s">
        <v>35</v>
      </c>
      <c r="J1805" s="14">
        <v>200</v>
      </c>
      <c r="K1805" s="15" t="s">
        <v>28</v>
      </c>
      <c r="L1805" s="15"/>
      <c r="M1805" s="16">
        <f t="shared" si="301"/>
        <v>250</v>
      </c>
      <c r="N1805" s="15">
        <v>50000</v>
      </c>
      <c r="O1805" s="15">
        <v>5000</v>
      </c>
      <c r="P1805" s="15">
        <f t="shared" si="299"/>
        <v>250000000</v>
      </c>
      <c r="Q1805" s="15" t="str">
        <f t="shared" si="305"/>
        <v>Done</v>
      </c>
      <c r="R1805" s="18" t="s">
        <v>44</v>
      </c>
      <c r="S1805" s="23">
        <v>43480</v>
      </c>
      <c r="T1805" s="20">
        <f>IFERROR(VLOOKUP(S1805,'Date Converter'!$A$4:$C$368,3,0),"")</f>
        <v>43515</v>
      </c>
      <c r="U1805" s="21">
        <f t="shared" si="298"/>
        <v>43515</v>
      </c>
      <c r="V1805" s="12" t="s">
        <v>45</v>
      </c>
      <c r="W1805" s="18"/>
      <c r="X1805" s="18"/>
      <c r="Y1805" s="15"/>
      <c r="Z1805" s="206">
        <v>43518</v>
      </c>
      <c r="AA1805" s="15">
        <v>20000</v>
      </c>
      <c r="AB1805" s="206">
        <v>43519</v>
      </c>
      <c r="AC1805" s="15">
        <v>30000</v>
      </c>
      <c r="AD1805" s="206"/>
      <c r="AE1805" s="15"/>
      <c r="AF1805" s="244"/>
      <c r="AG1805" s="15"/>
      <c r="AH1805" s="15">
        <f t="shared" si="302"/>
        <v>50000</v>
      </c>
      <c r="AI1805" s="22">
        <f t="shared" si="303"/>
        <v>0</v>
      </c>
      <c r="AJ1805" s="22">
        <f t="shared" si="304"/>
        <v>0</v>
      </c>
    </row>
    <row r="1806" spans="1:37" s="165" customFormat="1" hidden="1">
      <c r="A1806" s="165" t="s">
        <v>497</v>
      </c>
      <c r="B1806" s="13">
        <v>43553</v>
      </c>
      <c r="C1806" s="13" t="s">
        <v>23</v>
      </c>
      <c r="D1806" s="165" t="s">
        <v>102</v>
      </c>
      <c r="E1806" s="198" t="s">
        <v>103</v>
      </c>
      <c r="F1806" s="165" t="str">
        <f t="shared" si="300"/>
        <v>TARR_14.16_300_NL2018</v>
      </c>
      <c r="G1806" s="165" t="s">
        <v>62</v>
      </c>
      <c r="H1806" s="12"/>
      <c r="I1806" s="12" t="s">
        <v>47</v>
      </c>
      <c r="J1806" s="14">
        <v>300</v>
      </c>
      <c r="K1806" s="15" t="s">
        <v>28</v>
      </c>
      <c r="L1806" s="15"/>
      <c r="M1806" s="16">
        <f t="shared" si="301"/>
        <v>100</v>
      </c>
      <c r="N1806" s="15">
        <v>30000</v>
      </c>
      <c r="O1806" s="15">
        <v>4800</v>
      </c>
      <c r="P1806" s="15">
        <f t="shared" si="299"/>
        <v>144000000</v>
      </c>
      <c r="Q1806" s="15" t="str">
        <f t="shared" si="305"/>
        <v>Done</v>
      </c>
      <c r="R1806" s="18" t="s">
        <v>44</v>
      </c>
      <c r="S1806" s="23">
        <v>43572</v>
      </c>
      <c r="T1806" s="20">
        <f>IFERROR(VLOOKUP(S1806,'Date Converter'!$A$4:$C$368,3,0),"")</f>
        <v>43606</v>
      </c>
      <c r="U1806" s="21">
        <f t="shared" si="298"/>
        <v>43606</v>
      </c>
      <c r="V1806" s="20" t="s">
        <v>1416</v>
      </c>
      <c r="W1806" s="18"/>
      <c r="X1806" s="18"/>
      <c r="Y1806" s="15"/>
      <c r="Z1806" s="206">
        <v>43603</v>
      </c>
      <c r="AA1806" s="15">
        <v>30000</v>
      </c>
      <c r="AB1806" s="206"/>
      <c r="AC1806" s="15"/>
      <c r="AD1806" s="206"/>
      <c r="AE1806" s="15"/>
      <c r="AF1806" s="244"/>
      <c r="AG1806" s="15"/>
      <c r="AH1806" s="15">
        <f t="shared" si="302"/>
        <v>30000</v>
      </c>
      <c r="AI1806" s="22">
        <f t="shared" si="303"/>
        <v>0</v>
      </c>
      <c r="AJ1806" s="22">
        <f t="shared" si="304"/>
        <v>0</v>
      </c>
    </row>
    <row r="1807" spans="1:37" s="165" customFormat="1" hidden="1">
      <c r="A1807" s="165" t="s">
        <v>497</v>
      </c>
      <c r="B1807" s="13">
        <v>43627</v>
      </c>
      <c r="C1807" s="13" t="s">
        <v>23</v>
      </c>
      <c r="D1807" s="165" t="s">
        <v>102</v>
      </c>
      <c r="E1807" s="198" t="s">
        <v>103</v>
      </c>
      <c r="F1807" s="165" t="str">
        <f t="shared" si="300"/>
        <v>TARR_16.18_200_NL2018</v>
      </c>
      <c r="G1807" s="165" t="s">
        <v>62</v>
      </c>
      <c r="H1807" s="12"/>
      <c r="I1807" s="12" t="s">
        <v>35</v>
      </c>
      <c r="J1807" s="14">
        <v>200</v>
      </c>
      <c r="K1807" s="15" t="s">
        <v>28</v>
      </c>
      <c r="L1807" s="15"/>
      <c r="M1807" s="16">
        <f t="shared" si="301"/>
        <v>100</v>
      </c>
      <c r="N1807" s="15">
        <v>20000</v>
      </c>
      <c r="O1807" s="15">
        <v>7100</v>
      </c>
      <c r="P1807" s="15">
        <f t="shared" si="299"/>
        <v>142000000</v>
      </c>
      <c r="Q1807" s="15" t="str">
        <f t="shared" si="305"/>
        <v/>
      </c>
      <c r="R1807" s="18" t="s">
        <v>29</v>
      </c>
      <c r="S1807" s="19">
        <v>43641</v>
      </c>
      <c r="T1807" s="20">
        <f>IFERROR(VLOOKUP(S1807,'Date Converter'!$A$4:$C$368,3,0),"")</f>
        <v>43673</v>
      </c>
      <c r="U1807" s="21">
        <f t="shared" si="298"/>
        <v>43673</v>
      </c>
      <c r="V1807" s="20"/>
      <c r="W1807" s="18"/>
      <c r="X1807" s="18"/>
      <c r="Y1807" s="15"/>
      <c r="Z1807" s="206"/>
      <c r="AA1807" s="15"/>
      <c r="AB1807" s="206"/>
      <c r="AC1807" s="15"/>
      <c r="AD1807" s="206"/>
      <c r="AE1807" s="15"/>
      <c r="AF1807" s="244"/>
      <c r="AG1807" s="15"/>
      <c r="AH1807" s="15">
        <f t="shared" si="302"/>
        <v>0</v>
      </c>
      <c r="AI1807" s="22">
        <f t="shared" si="303"/>
        <v>20000</v>
      </c>
      <c r="AJ1807" s="22">
        <f t="shared" si="304"/>
        <v>142000000</v>
      </c>
    </row>
    <row r="1808" spans="1:37" s="165" customFormat="1" hidden="1">
      <c r="A1808" s="165" t="s">
        <v>497</v>
      </c>
      <c r="B1808" s="13">
        <v>43627</v>
      </c>
      <c r="C1808" s="13" t="s">
        <v>23</v>
      </c>
      <c r="D1808" s="165" t="s">
        <v>102</v>
      </c>
      <c r="E1808" s="198" t="s">
        <v>103</v>
      </c>
      <c r="F1808" s="165" t="str">
        <f t="shared" si="300"/>
        <v>TARR_16.18_200_NL2018</v>
      </c>
      <c r="G1808" s="165" t="s">
        <v>62</v>
      </c>
      <c r="H1808" s="12"/>
      <c r="I1808" s="12" t="s">
        <v>35</v>
      </c>
      <c r="J1808" s="14">
        <v>200</v>
      </c>
      <c r="K1808" s="15" t="s">
        <v>28</v>
      </c>
      <c r="L1808" s="15"/>
      <c r="M1808" s="16">
        <f t="shared" si="301"/>
        <v>113</v>
      </c>
      <c r="N1808" s="15">
        <v>22600</v>
      </c>
      <c r="O1808" s="15">
        <v>7200</v>
      </c>
      <c r="P1808" s="15">
        <f t="shared" si="299"/>
        <v>162720000</v>
      </c>
      <c r="Q1808" s="15" t="str">
        <f t="shared" si="305"/>
        <v/>
      </c>
      <c r="R1808" s="18" t="s">
        <v>29</v>
      </c>
      <c r="S1808" s="19">
        <v>43661</v>
      </c>
      <c r="T1808" s="20">
        <f>IFERROR(VLOOKUP(S1808,'Date Converter'!$A$4:$C$368,3,0),"")</f>
        <v>43692</v>
      </c>
      <c r="U1808" s="21">
        <f t="shared" si="298"/>
        <v>43692</v>
      </c>
      <c r="V1808" s="20"/>
      <c r="W1808" s="18"/>
      <c r="X1808" s="18"/>
      <c r="Y1808" s="15"/>
      <c r="Z1808" s="206"/>
      <c r="AA1808" s="15"/>
      <c r="AB1808" s="206"/>
      <c r="AC1808" s="15"/>
      <c r="AD1808" s="206"/>
      <c r="AE1808" s="15"/>
      <c r="AF1808" s="244"/>
      <c r="AG1808" s="15"/>
      <c r="AH1808" s="15">
        <f t="shared" si="302"/>
        <v>0</v>
      </c>
      <c r="AI1808" s="22">
        <f t="shared" si="303"/>
        <v>22600</v>
      </c>
      <c r="AJ1808" s="22">
        <f t="shared" si="304"/>
        <v>162720000</v>
      </c>
    </row>
    <row r="1809" spans="1:36" s="165" customFormat="1" ht="15.75" hidden="1" thickBot="1">
      <c r="A1809" s="165" t="s">
        <v>446</v>
      </c>
      <c r="B1809" s="13">
        <v>43470</v>
      </c>
      <c r="C1809" s="266" t="s">
        <v>23</v>
      </c>
      <c r="D1809" s="258" t="s">
        <v>102</v>
      </c>
      <c r="E1809" s="252" t="s">
        <v>103</v>
      </c>
      <c r="F1809" s="165" t="str">
        <f t="shared" si="300"/>
        <v>TARR_20.22_125_NL2018</v>
      </c>
      <c r="G1809" s="224" t="s">
        <v>62</v>
      </c>
      <c r="H1809" s="12"/>
      <c r="I1809" s="12" t="s">
        <v>74</v>
      </c>
      <c r="J1809" s="14">
        <v>125</v>
      </c>
      <c r="K1809" s="15" t="s">
        <v>28</v>
      </c>
      <c r="L1809" s="15"/>
      <c r="M1809" s="16">
        <f t="shared" si="301"/>
        <v>160</v>
      </c>
      <c r="N1809" s="15">
        <v>20000</v>
      </c>
      <c r="O1809" s="15">
        <v>10100</v>
      </c>
      <c r="P1809" s="15">
        <f t="shared" si="299"/>
        <v>202000000</v>
      </c>
      <c r="Q1809" s="15" t="str">
        <f t="shared" si="305"/>
        <v/>
      </c>
      <c r="R1809" s="18" t="s">
        <v>29</v>
      </c>
      <c r="S1809" s="23">
        <v>43709</v>
      </c>
      <c r="T1809" s="20">
        <f>IFERROR(VLOOKUP(S1809,'Date Converter'!$A$4:$C$368,3,0),"")</f>
        <v>43737</v>
      </c>
      <c r="U1809" s="21">
        <f t="shared" si="298"/>
        <v>43737</v>
      </c>
      <c r="V1809" s="253" t="s">
        <v>51</v>
      </c>
      <c r="W1809" s="18"/>
      <c r="X1809" s="18"/>
      <c r="Y1809" s="15"/>
      <c r="Z1809" s="206"/>
      <c r="AA1809" s="15">
        <v>0</v>
      </c>
      <c r="AB1809" s="206"/>
      <c r="AC1809" s="15"/>
      <c r="AD1809" s="206"/>
      <c r="AE1809" s="15"/>
      <c r="AF1809" s="244"/>
      <c r="AG1809" s="15"/>
      <c r="AH1809" s="15">
        <f t="shared" si="302"/>
        <v>0</v>
      </c>
      <c r="AI1809" s="22">
        <f t="shared" si="303"/>
        <v>20000</v>
      </c>
      <c r="AJ1809" s="22">
        <f t="shared" si="304"/>
        <v>202000000</v>
      </c>
    </row>
    <row r="1810" spans="1:36" s="165" customFormat="1" hidden="1">
      <c r="A1810" s="165" t="s">
        <v>300</v>
      </c>
      <c r="B1810" s="13">
        <v>43470</v>
      </c>
      <c r="C1810" s="13" t="s">
        <v>23</v>
      </c>
      <c r="D1810" s="165" t="s">
        <v>102</v>
      </c>
      <c r="E1810" s="165" t="s">
        <v>103</v>
      </c>
      <c r="F1810" s="165" t="str">
        <f t="shared" si="300"/>
        <v>TARR_16.18_200_NL2018</v>
      </c>
      <c r="G1810" s="225" t="s">
        <v>62</v>
      </c>
      <c r="H1810" s="12"/>
      <c r="I1810" s="12" t="s">
        <v>35</v>
      </c>
      <c r="J1810" s="14">
        <v>200</v>
      </c>
      <c r="K1810" s="15" t="s">
        <v>28</v>
      </c>
      <c r="L1810" s="15"/>
      <c r="M1810" s="16">
        <f t="shared" si="301"/>
        <v>50</v>
      </c>
      <c r="N1810" s="15">
        <v>10000</v>
      </c>
      <c r="O1810" s="15">
        <v>5500</v>
      </c>
      <c r="P1810" s="15">
        <f t="shared" si="299"/>
        <v>55000000</v>
      </c>
      <c r="Q1810" s="15" t="str">
        <f t="shared" si="305"/>
        <v>Done</v>
      </c>
      <c r="R1810" s="18" t="s">
        <v>44</v>
      </c>
      <c r="S1810" s="23">
        <v>43480</v>
      </c>
      <c r="T1810" s="20">
        <f>IFERROR(VLOOKUP(S1810,'Date Converter'!$A$4:$C$368,3,0),"")</f>
        <v>43515</v>
      </c>
      <c r="U1810" s="21">
        <f t="shared" si="298"/>
        <v>43515</v>
      </c>
      <c r="V1810" s="12" t="s">
        <v>45</v>
      </c>
      <c r="W1810" s="18"/>
      <c r="X1810" s="18"/>
      <c r="Y1810" s="15"/>
      <c r="Z1810" s="206">
        <v>43515</v>
      </c>
      <c r="AA1810" s="15">
        <v>10000</v>
      </c>
      <c r="AB1810" s="206"/>
      <c r="AC1810" s="15"/>
      <c r="AD1810" s="206"/>
      <c r="AE1810" s="15"/>
      <c r="AF1810" s="244"/>
      <c r="AG1810" s="15"/>
      <c r="AH1810" s="15">
        <f t="shared" si="302"/>
        <v>10000</v>
      </c>
      <c r="AI1810" s="22">
        <f t="shared" si="303"/>
        <v>0</v>
      </c>
      <c r="AJ1810" s="22">
        <f t="shared" si="304"/>
        <v>0</v>
      </c>
    </row>
    <row r="1811" spans="1:36" s="165" customFormat="1" hidden="1">
      <c r="A1811" s="165" t="s">
        <v>300</v>
      </c>
      <c r="B1811" s="13">
        <v>43470</v>
      </c>
      <c r="C1811" s="13" t="s">
        <v>23</v>
      </c>
      <c r="D1811" s="165" t="s">
        <v>102</v>
      </c>
      <c r="E1811" s="165" t="s">
        <v>103</v>
      </c>
      <c r="F1811" s="165" t="str">
        <f t="shared" si="300"/>
        <v>TARR_16.18_200_NL2018</v>
      </c>
      <c r="G1811" s="165" t="s">
        <v>62</v>
      </c>
      <c r="H1811" s="12"/>
      <c r="I1811" s="12" t="s">
        <v>35</v>
      </c>
      <c r="J1811" s="14">
        <v>200</v>
      </c>
      <c r="K1811" s="15" t="s">
        <v>28</v>
      </c>
      <c r="L1811" s="15"/>
      <c r="M1811" s="16">
        <f t="shared" si="301"/>
        <v>50</v>
      </c>
      <c r="N1811" s="15">
        <v>10000</v>
      </c>
      <c r="O1811" s="15">
        <v>5500</v>
      </c>
      <c r="P1811" s="15">
        <f t="shared" si="299"/>
        <v>55000000</v>
      </c>
      <c r="Q1811" s="15" t="str">
        <f t="shared" si="305"/>
        <v>Done</v>
      </c>
      <c r="R1811" s="18" t="s">
        <v>44</v>
      </c>
      <c r="S1811" s="23">
        <v>43511</v>
      </c>
      <c r="T1811" s="20">
        <f>IFERROR(VLOOKUP(S1811,'Date Converter'!$A$4:$C$368,3,0),"")</f>
        <v>43544</v>
      </c>
      <c r="U1811" s="21">
        <f t="shared" si="298"/>
        <v>43544</v>
      </c>
      <c r="V1811" s="12" t="s">
        <v>32</v>
      </c>
      <c r="W1811" s="18" t="s">
        <v>33</v>
      </c>
      <c r="X1811" s="18">
        <v>43541</v>
      </c>
      <c r="Y1811" s="15"/>
      <c r="Z1811" s="206">
        <v>43543</v>
      </c>
      <c r="AA1811" s="15">
        <v>10000</v>
      </c>
      <c r="AB1811" s="206"/>
      <c r="AC1811" s="15"/>
      <c r="AD1811" s="206"/>
      <c r="AE1811" s="15"/>
      <c r="AF1811" s="244"/>
      <c r="AG1811" s="15"/>
      <c r="AH1811" s="15">
        <f t="shared" si="302"/>
        <v>10000</v>
      </c>
      <c r="AI1811" s="22">
        <f t="shared" si="303"/>
        <v>0</v>
      </c>
      <c r="AJ1811" s="22">
        <f t="shared" si="304"/>
        <v>0</v>
      </c>
    </row>
    <row r="1812" spans="1:36" s="165" customFormat="1" hidden="1">
      <c r="A1812" s="165" t="s">
        <v>300</v>
      </c>
      <c r="B1812" s="13">
        <v>43470</v>
      </c>
      <c r="C1812" s="13" t="s">
        <v>23</v>
      </c>
      <c r="D1812" s="165" t="s">
        <v>102</v>
      </c>
      <c r="E1812" s="165" t="s">
        <v>103</v>
      </c>
      <c r="F1812" s="165" t="str">
        <f t="shared" si="300"/>
        <v>TARR_16.18_200_NL2018</v>
      </c>
      <c r="G1812" s="165" t="s">
        <v>62</v>
      </c>
      <c r="H1812" s="12"/>
      <c r="I1812" s="12" t="s">
        <v>35</v>
      </c>
      <c r="J1812" s="14">
        <v>200</v>
      </c>
      <c r="K1812" s="15" t="s">
        <v>28</v>
      </c>
      <c r="L1812" s="15"/>
      <c r="M1812" s="16">
        <f t="shared" si="301"/>
        <v>100</v>
      </c>
      <c r="N1812" s="15">
        <v>20000</v>
      </c>
      <c r="O1812" s="15">
        <v>5500</v>
      </c>
      <c r="P1812" s="15">
        <f t="shared" si="299"/>
        <v>110000000</v>
      </c>
      <c r="Q1812" s="15" t="str">
        <f t="shared" si="305"/>
        <v>Done</v>
      </c>
      <c r="R1812" s="18" t="s">
        <v>44</v>
      </c>
      <c r="S1812" s="23">
        <v>43524</v>
      </c>
      <c r="T1812" s="20">
        <f>IFERROR(VLOOKUP(S1812,'Date Converter'!$A$4:$C$368,3,0),"")</f>
        <v>43557</v>
      </c>
      <c r="U1812" s="21">
        <f t="shared" si="298"/>
        <v>43557</v>
      </c>
      <c r="V1812" s="12" t="s">
        <v>81</v>
      </c>
      <c r="W1812" s="18" t="s">
        <v>101</v>
      </c>
      <c r="X1812" s="18">
        <v>43555</v>
      </c>
      <c r="Y1812" s="15"/>
      <c r="Z1812" s="206">
        <v>43570</v>
      </c>
      <c r="AA1812" s="15">
        <v>20000</v>
      </c>
      <c r="AB1812" s="206"/>
      <c r="AC1812" s="15"/>
      <c r="AD1812" s="206"/>
      <c r="AE1812" s="15"/>
      <c r="AF1812" s="244"/>
      <c r="AG1812" s="15"/>
      <c r="AH1812" s="15">
        <f t="shared" si="302"/>
        <v>20000</v>
      </c>
      <c r="AI1812" s="22">
        <f t="shared" si="303"/>
        <v>0</v>
      </c>
      <c r="AJ1812" s="22">
        <f t="shared" si="304"/>
        <v>0</v>
      </c>
    </row>
    <row r="1813" spans="1:36" s="165" customFormat="1" hidden="1">
      <c r="A1813" s="165" t="s">
        <v>300</v>
      </c>
      <c r="B1813" s="13">
        <v>43470</v>
      </c>
      <c r="C1813" s="13" t="s">
        <v>23</v>
      </c>
      <c r="D1813" s="165" t="s">
        <v>102</v>
      </c>
      <c r="E1813" s="165" t="s">
        <v>103</v>
      </c>
      <c r="F1813" s="165" t="str">
        <f t="shared" si="300"/>
        <v>TARR_16.18_200_NL2018</v>
      </c>
      <c r="G1813" s="165" t="s">
        <v>62</v>
      </c>
      <c r="H1813" s="12"/>
      <c r="I1813" s="12" t="s">
        <v>35</v>
      </c>
      <c r="J1813" s="14">
        <v>200</v>
      </c>
      <c r="K1813" s="15" t="s">
        <v>28</v>
      </c>
      <c r="L1813" s="15"/>
      <c r="M1813" s="16">
        <f t="shared" si="301"/>
        <v>50</v>
      </c>
      <c r="N1813" s="15">
        <v>10000</v>
      </c>
      <c r="O1813" s="15">
        <v>5500</v>
      </c>
      <c r="P1813" s="15">
        <f t="shared" si="299"/>
        <v>55000000</v>
      </c>
      <c r="Q1813" s="15" t="str">
        <f t="shared" si="305"/>
        <v>Done</v>
      </c>
      <c r="R1813" s="18" t="s">
        <v>44</v>
      </c>
      <c r="S1813" s="19">
        <v>43539</v>
      </c>
      <c r="T1813" s="20">
        <f>IFERROR(VLOOKUP(S1813,'Date Converter'!$A$4:$C$368,3,0),"")</f>
        <v>43574</v>
      </c>
      <c r="U1813" s="21">
        <f t="shared" si="298"/>
        <v>43574</v>
      </c>
      <c r="V1813" s="20" t="s">
        <v>57</v>
      </c>
      <c r="W1813" s="18" t="s">
        <v>101</v>
      </c>
      <c r="X1813" s="18">
        <v>43555</v>
      </c>
      <c r="Y1813" s="15"/>
      <c r="Z1813" s="206">
        <v>43572</v>
      </c>
      <c r="AA1813" s="15">
        <v>10000</v>
      </c>
      <c r="AB1813" s="206"/>
      <c r="AC1813" s="15"/>
      <c r="AD1813" s="206"/>
      <c r="AE1813" s="15"/>
      <c r="AF1813" s="244"/>
      <c r="AG1813" s="15"/>
      <c r="AH1813" s="15">
        <f t="shared" si="302"/>
        <v>10000</v>
      </c>
      <c r="AI1813" s="22">
        <f t="shared" si="303"/>
        <v>0</v>
      </c>
      <c r="AJ1813" s="22">
        <f t="shared" si="304"/>
        <v>0</v>
      </c>
    </row>
    <row r="1814" spans="1:36" s="165" customFormat="1" hidden="1">
      <c r="A1814" s="165" t="s">
        <v>446</v>
      </c>
      <c r="B1814" s="13">
        <v>43470</v>
      </c>
      <c r="C1814" s="266" t="s">
        <v>23</v>
      </c>
      <c r="D1814" s="258" t="s">
        <v>102</v>
      </c>
      <c r="E1814" s="252" t="s">
        <v>103</v>
      </c>
      <c r="F1814" s="165" t="str">
        <f t="shared" si="300"/>
        <v>PROF_20.22_125_CL2019</v>
      </c>
      <c r="G1814" s="165" t="s">
        <v>1382</v>
      </c>
      <c r="H1814" s="12"/>
      <c r="I1814" s="12" t="s">
        <v>74</v>
      </c>
      <c r="J1814" s="14">
        <v>125</v>
      </c>
      <c r="K1814" s="185" t="s">
        <v>1423</v>
      </c>
      <c r="L1814" s="15"/>
      <c r="M1814" s="16">
        <f t="shared" si="301"/>
        <v>80</v>
      </c>
      <c r="N1814" s="15">
        <v>10000</v>
      </c>
      <c r="O1814" s="15">
        <v>13500</v>
      </c>
      <c r="P1814" s="15">
        <f t="shared" si="299"/>
        <v>135000000</v>
      </c>
      <c r="Q1814" s="15" t="str">
        <f t="shared" si="305"/>
        <v/>
      </c>
      <c r="R1814" s="18" t="s">
        <v>29</v>
      </c>
      <c r="S1814" s="23">
        <v>43709</v>
      </c>
      <c r="T1814" s="20">
        <f>IFERROR(VLOOKUP(S1814,'Date Converter'!$A$4:$C$368,3,0),"")</f>
        <v>43737</v>
      </c>
      <c r="U1814" s="21">
        <f t="shared" si="298"/>
        <v>43737</v>
      </c>
      <c r="V1814" s="253" t="s">
        <v>51</v>
      </c>
      <c r="W1814" s="18"/>
      <c r="X1814" s="18"/>
      <c r="Y1814" s="15"/>
      <c r="Z1814" s="206"/>
      <c r="AA1814" s="15">
        <v>0</v>
      </c>
      <c r="AB1814" s="206"/>
      <c r="AC1814" s="15"/>
      <c r="AD1814" s="206"/>
      <c r="AE1814" s="15"/>
      <c r="AF1814" s="244"/>
      <c r="AG1814" s="15"/>
      <c r="AH1814" s="15">
        <f t="shared" si="302"/>
        <v>0</v>
      </c>
      <c r="AI1814" s="22">
        <f t="shared" si="303"/>
        <v>10000</v>
      </c>
      <c r="AJ1814" s="22">
        <f t="shared" si="304"/>
        <v>135000000</v>
      </c>
    </row>
    <row r="1815" spans="1:36" s="165" customFormat="1" hidden="1">
      <c r="A1815" s="165" t="s">
        <v>446</v>
      </c>
      <c r="B1815" s="13">
        <v>43470</v>
      </c>
      <c r="C1815" s="266" t="s">
        <v>23</v>
      </c>
      <c r="D1815" s="258" t="s">
        <v>102</v>
      </c>
      <c r="E1815" s="252" t="s">
        <v>103</v>
      </c>
      <c r="F1815" s="165" t="str">
        <f t="shared" si="300"/>
        <v>PROF_20.22_125_NL2018</v>
      </c>
      <c r="G1815" s="165" t="s">
        <v>56</v>
      </c>
      <c r="H1815" s="12"/>
      <c r="I1815" s="12" t="s">
        <v>74</v>
      </c>
      <c r="J1815" s="14">
        <v>125</v>
      </c>
      <c r="K1815" s="15" t="s">
        <v>28</v>
      </c>
      <c r="L1815" s="15"/>
      <c r="M1815" s="16">
        <f t="shared" si="301"/>
        <v>160</v>
      </c>
      <c r="N1815" s="15">
        <v>20000</v>
      </c>
      <c r="O1815" s="15">
        <v>13000</v>
      </c>
      <c r="P1815" s="15">
        <f t="shared" si="299"/>
        <v>260000000</v>
      </c>
      <c r="Q1815" s="15" t="str">
        <f t="shared" si="305"/>
        <v/>
      </c>
      <c r="R1815" s="18" t="s">
        <v>29</v>
      </c>
      <c r="S1815" s="23">
        <v>43709</v>
      </c>
      <c r="T1815" s="20">
        <f>IFERROR(VLOOKUP(S1815,'Date Converter'!$A$4:$C$368,3,0),"")</f>
        <v>43737</v>
      </c>
      <c r="U1815" s="21">
        <f t="shared" si="298"/>
        <v>43737</v>
      </c>
      <c r="V1815" s="253" t="s">
        <v>51</v>
      </c>
      <c r="W1815" s="18"/>
      <c r="X1815" s="18"/>
      <c r="Y1815" s="15"/>
      <c r="Z1815" s="206"/>
      <c r="AA1815" s="15">
        <v>0</v>
      </c>
      <c r="AB1815" s="206"/>
      <c r="AC1815" s="15"/>
      <c r="AD1815" s="206"/>
      <c r="AE1815" s="15"/>
      <c r="AF1815" s="244"/>
      <c r="AG1815" s="15"/>
      <c r="AH1815" s="15">
        <f t="shared" si="302"/>
        <v>0</v>
      </c>
      <c r="AI1815" s="22">
        <f t="shared" si="303"/>
        <v>20000</v>
      </c>
      <c r="AJ1815" s="22">
        <f t="shared" si="304"/>
        <v>260000000</v>
      </c>
    </row>
    <row r="1816" spans="1:36" s="165" customFormat="1" hidden="1">
      <c r="A1816" s="165" t="s">
        <v>300</v>
      </c>
      <c r="B1816" s="13">
        <v>43470</v>
      </c>
      <c r="C1816" s="13" t="s">
        <v>23</v>
      </c>
      <c r="D1816" s="165" t="s">
        <v>102</v>
      </c>
      <c r="E1816" s="165" t="s">
        <v>103</v>
      </c>
      <c r="F1816" s="165" t="str">
        <f t="shared" si="300"/>
        <v>PROF_16.18_200_NL2018</v>
      </c>
      <c r="G1816" s="165" t="s">
        <v>56</v>
      </c>
      <c r="H1816" s="12"/>
      <c r="I1816" s="12" t="s">
        <v>35</v>
      </c>
      <c r="J1816" s="14">
        <v>200</v>
      </c>
      <c r="K1816" s="15" t="s">
        <v>28</v>
      </c>
      <c r="L1816" s="15"/>
      <c r="M1816" s="16">
        <f t="shared" si="301"/>
        <v>150</v>
      </c>
      <c r="N1816" s="15">
        <v>30000</v>
      </c>
      <c r="O1816" s="15">
        <v>6500</v>
      </c>
      <c r="P1816" s="15">
        <f t="shared" si="299"/>
        <v>195000000</v>
      </c>
      <c r="Q1816" s="15" t="str">
        <f t="shared" si="305"/>
        <v>Done</v>
      </c>
      <c r="R1816" s="18" t="s">
        <v>44</v>
      </c>
      <c r="S1816" s="23">
        <v>43480</v>
      </c>
      <c r="T1816" s="20">
        <f>IFERROR(VLOOKUP(S1816,'Date Converter'!$A$4:$C$368,3,0),"")</f>
        <v>43515</v>
      </c>
      <c r="U1816" s="21">
        <f t="shared" si="298"/>
        <v>43515</v>
      </c>
      <c r="V1816" s="12" t="s">
        <v>45</v>
      </c>
      <c r="W1816" s="18"/>
      <c r="X1816" s="18"/>
      <c r="Y1816" s="15"/>
      <c r="Z1816" s="206">
        <v>43515</v>
      </c>
      <c r="AA1816" s="15">
        <v>30000</v>
      </c>
      <c r="AB1816" s="206"/>
      <c r="AC1816" s="15"/>
      <c r="AD1816" s="206"/>
      <c r="AE1816" s="15"/>
      <c r="AF1816" s="244"/>
      <c r="AG1816" s="15"/>
      <c r="AH1816" s="15">
        <f t="shared" si="302"/>
        <v>30000</v>
      </c>
      <c r="AI1816" s="22">
        <f t="shared" si="303"/>
        <v>0</v>
      </c>
      <c r="AJ1816" s="22">
        <f t="shared" si="304"/>
        <v>0</v>
      </c>
    </row>
    <row r="1817" spans="1:36" s="165" customFormat="1" hidden="1">
      <c r="A1817" s="165" t="s">
        <v>300</v>
      </c>
      <c r="B1817" s="13">
        <v>43470</v>
      </c>
      <c r="C1817" s="13" t="s">
        <v>23</v>
      </c>
      <c r="D1817" s="165" t="s">
        <v>102</v>
      </c>
      <c r="E1817" s="165" t="s">
        <v>103</v>
      </c>
      <c r="F1817" s="165" t="str">
        <f t="shared" si="300"/>
        <v>PROF_16.18_200_NL2018</v>
      </c>
      <c r="G1817" s="165" t="s">
        <v>56</v>
      </c>
      <c r="H1817" s="12"/>
      <c r="I1817" s="12" t="s">
        <v>35</v>
      </c>
      <c r="J1817" s="14">
        <v>200</v>
      </c>
      <c r="K1817" s="15" t="s">
        <v>28</v>
      </c>
      <c r="L1817" s="15"/>
      <c r="M1817" s="16">
        <f t="shared" si="301"/>
        <v>100</v>
      </c>
      <c r="N1817" s="15">
        <v>20000</v>
      </c>
      <c r="O1817" s="15">
        <v>6700</v>
      </c>
      <c r="P1817" s="15">
        <f t="shared" si="299"/>
        <v>134000000</v>
      </c>
      <c r="Q1817" s="15" t="str">
        <f t="shared" si="305"/>
        <v>Done</v>
      </c>
      <c r="R1817" s="18" t="s">
        <v>44</v>
      </c>
      <c r="S1817" s="23">
        <v>43511</v>
      </c>
      <c r="T1817" s="20">
        <f>IFERROR(VLOOKUP(S1817,'Date Converter'!$A$4:$C$368,3,0),"")</f>
        <v>43544</v>
      </c>
      <c r="U1817" s="21">
        <f t="shared" si="298"/>
        <v>43544</v>
      </c>
      <c r="V1817" s="12" t="s">
        <v>32</v>
      </c>
      <c r="W1817" s="18" t="s">
        <v>33</v>
      </c>
      <c r="X1817" s="18">
        <v>43541</v>
      </c>
      <c r="Y1817" s="15"/>
      <c r="Z1817" s="206">
        <v>43543</v>
      </c>
      <c r="AA1817" s="15">
        <v>20000</v>
      </c>
      <c r="AB1817" s="206"/>
      <c r="AC1817" s="15"/>
      <c r="AD1817" s="206"/>
      <c r="AE1817" s="15"/>
      <c r="AF1817" s="244"/>
      <c r="AG1817" s="15"/>
      <c r="AH1817" s="15">
        <f t="shared" si="302"/>
        <v>20000</v>
      </c>
      <c r="AI1817" s="22">
        <f t="shared" si="303"/>
        <v>0</v>
      </c>
      <c r="AJ1817" s="22">
        <f t="shared" si="304"/>
        <v>0</v>
      </c>
    </row>
    <row r="1818" spans="1:36" s="165" customFormat="1" hidden="1">
      <c r="A1818" s="165" t="s">
        <v>300</v>
      </c>
      <c r="B1818" s="13">
        <v>43470</v>
      </c>
      <c r="C1818" s="13" t="s">
        <v>23</v>
      </c>
      <c r="D1818" s="165" t="s">
        <v>102</v>
      </c>
      <c r="E1818" s="165" t="s">
        <v>103</v>
      </c>
      <c r="F1818" s="165" t="str">
        <f t="shared" si="300"/>
        <v>PROF_16.18_200_NL2018</v>
      </c>
      <c r="G1818" s="165" t="s">
        <v>56</v>
      </c>
      <c r="H1818" s="12"/>
      <c r="I1818" s="12" t="s">
        <v>35</v>
      </c>
      <c r="J1818" s="14">
        <v>200</v>
      </c>
      <c r="K1818" s="15" t="s">
        <v>28</v>
      </c>
      <c r="L1818" s="15"/>
      <c r="M1818" s="16">
        <f t="shared" si="301"/>
        <v>50</v>
      </c>
      <c r="N1818" s="15">
        <v>10000</v>
      </c>
      <c r="O1818" s="15">
        <v>6700</v>
      </c>
      <c r="P1818" s="15">
        <f t="shared" si="299"/>
        <v>67000000</v>
      </c>
      <c r="Q1818" s="15" t="str">
        <f t="shared" si="305"/>
        <v>Done</v>
      </c>
      <c r="R1818" s="18" t="s">
        <v>44</v>
      </c>
      <c r="S1818" s="23">
        <v>43524</v>
      </c>
      <c r="T1818" s="20">
        <f>IFERROR(VLOOKUP(S1818,'Date Converter'!$A$4:$C$368,3,0),"")</f>
        <v>43557</v>
      </c>
      <c r="U1818" s="21">
        <f t="shared" si="298"/>
        <v>43557</v>
      </c>
      <c r="V1818" s="12" t="s">
        <v>81</v>
      </c>
      <c r="W1818" s="18" t="s">
        <v>55</v>
      </c>
      <c r="X1818" s="18">
        <v>43555</v>
      </c>
      <c r="Y1818" s="15"/>
      <c r="Z1818" s="206">
        <v>43570</v>
      </c>
      <c r="AA1818" s="15">
        <v>10000</v>
      </c>
      <c r="AB1818" s="206"/>
      <c r="AC1818" s="15"/>
      <c r="AD1818" s="206"/>
      <c r="AE1818" s="15"/>
      <c r="AF1818" s="244"/>
      <c r="AG1818" s="15"/>
      <c r="AH1818" s="15">
        <f t="shared" si="302"/>
        <v>10000</v>
      </c>
      <c r="AI1818" s="22">
        <f t="shared" si="303"/>
        <v>0</v>
      </c>
      <c r="AJ1818" s="22">
        <f t="shared" si="304"/>
        <v>0</v>
      </c>
    </row>
    <row r="1819" spans="1:36" s="165" customFormat="1" hidden="1">
      <c r="A1819" s="165" t="s">
        <v>497</v>
      </c>
      <c r="B1819" s="13">
        <v>43627</v>
      </c>
      <c r="C1819" s="13" t="s">
        <v>23</v>
      </c>
      <c r="D1819" s="165" t="s">
        <v>102</v>
      </c>
      <c r="E1819" s="198" t="s">
        <v>103</v>
      </c>
      <c r="F1819" s="165" t="str">
        <f t="shared" si="300"/>
        <v>PARA_16.18_175_NL2018</v>
      </c>
      <c r="G1819" s="165" t="s">
        <v>490</v>
      </c>
      <c r="H1819" s="12"/>
      <c r="I1819" s="12" t="s">
        <v>35</v>
      </c>
      <c r="J1819" s="14">
        <v>175</v>
      </c>
      <c r="K1819" s="15" t="s">
        <v>28</v>
      </c>
      <c r="L1819" s="15"/>
      <c r="M1819" s="16">
        <f t="shared" si="301"/>
        <v>2</v>
      </c>
      <c r="N1819" s="15">
        <v>350</v>
      </c>
      <c r="O1819" s="15">
        <v>6200</v>
      </c>
      <c r="P1819" s="15">
        <f t="shared" si="299"/>
        <v>2170000</v>
      </c>
      <c r="Q1819" s="15" t="str">
        <f t="shared" si="305"/>
        <v>Done</v>
      </c>
      <c r="R1819" s="18" t="s">
        <v>44</v>
      </c>
      <c r="S1819" s="19">
        <v>43590</v>
      </c>
      <c r="T1819" s="20">
        <f>IFERROR(VLOOKUP(S1819,'Date Converter'!$A$4:$C$368,3,0),"")</f>
        <v>43623</v>
      </c>
      <c r="U1819" s="21">
        <f t="shared" si="298"/>
        <v>43623</v>
      </c>
      <c r="V1819" s="20"/>
      <c r="W1819" s="18"/>
      <c r="X1819" s="18"/>
      <c r="Y1819" s="15"/>
      <c r="Z1819" s="206">
        <v>43633</v>
      </c>
      <c r="AA1819" s="15">
        <v>350</v>
      </c>
      <c r="AB1819" s="206"/>
      <c r="AC1819" s="15"/>
      <c r="AD1819" s="206"/>
      <c r="AE1819" s="15"/>
      <c r="AF1819" s="244"/>
      <c r="AG1819" s="15"/>
      <c r="AH1819" s="15">
        <f t="shared" si="302"/>
        <v>350</v>
      </c>
      <c r="AI1819" s="22">
        <f t="shared" si="303"/>
        <v>0</v>
      </c>
      <c r="AJ1819" s="22">
        <f t="shared" si="304"/>
        <v>0</v>
      </c>
    </row>
    <row r="1820" spans="1:36" s="165" customFormat="1" hidden="1">
      <c r="A1820" s="165" t="s">
        <v>497</v>
      </c>
      <c r="B1820" s="13">
        <v>43553</v>
      </c>
      <c r="C1820" s="13" t="s">
        <v>23</v>
      </c>
      <c r="D1820" s="165" t="s">
        <v>102</v>
      </c>
      <c r="E1820" s="198" t="s">
        <v>103</v>
      </c>
      <c r="F1820" s="165" t="str">
        <f t="shared" si="300"/>
        <v>MANI_16.18_200_NL2018</v>
      </c>
      <c r="G1820" s="165" t="s">
        <v>105</v>
      </c>
      <c r="H1820" s="12"/>
      <c r="I1820" s="12" t="s">
        <v>35</v>
      </c>
      <c r="J1820" s="14">
        <v>200</v>
      </c>
      <c r="K1820" s="15" t="s">
        <v>28</v>
      </c>
      <c r="L1820" s="15"/>
      <c r="M1820" s="16">
        <f t="shared" si="301"/>
        <v>100</v>
      </c>
      <c r="N1820" s="15">
        <f>30000-10000</f>
        <v>20000</v>
      </c>
      <c r="O1820" s="15">
        <v>6900</v>
      </c>
      <c r="P1820" s="15">
        <f t="shared" si="299"/>
        <v>138000000</v>
      </c>
      <c r="Q1820" s="15" t="str">
        <f t="shared" si="305"/>
        <v>Done</v>
      </c>
      <c r="R1820" s="18" t="s">
        <v>44</v>
      </c>
      <c r="S1820" s="23">
        <v>43572</v>
      </c>
      <c r="T1820" s="20">
        <f>IFERROR(VLOOKUP(S1820,'Date Converter'!$A$4:$C$368,3,0),"")</f>
        <v>43606</v>
      </c>
      <c r="U1820" s="21">
        <f t="shared" si="298"/>
        <v>43606</v>
      </c>
      <c r="V1820" s="20" t="s">
        <v>1416</v>
      </c>
      <c r="W1820" s="18"/>
      <c r="X1820" s="18"/>
      <c r="Y1820" s="15"/>
      <c r="Z1820" s="206">
        <v>43603</v>
      </c>
      <c r="AA1820" s="15">
        <v>20000</v>
      </c>
      <c r="AB1820" s="206"/>
      <c r="AC1820" s="15"/>
      <c r="AD1820" s="206"/>
      <c r="AE1820" s="15"/>
      <c r="AF1820" s="244"/>
      <c r="AG1820" s="15"/>
      <c r="AH1820" s="15">
        <f t="shared" si="302"/>
        <v>20000</v>
      </c>
      <c r="AI1820" s="22">
        <f t="shared" si="303"/>
        <v>0</v>
      </c>
      <c r="AJ1820" s="22">
        <f t="shared" si="304"/>
        <v>0</v>
      </c>
    </row>
    <row r="1821" spans="1:36" s="165" customFormat="1" hidden="1">
      <c r="A1821" s="165" t="s">
        <v>497</v>
      </c>
      <c r="B1821" s="13">
        <v>43553</v>
      </c>
      <c r="C1821" s="13" t="s">
        <v>23</v>
      </c>
      <c r="D1821" s="165" t="s">
        <v>102</v>
      </c>
      <c r="E1821" s="198" t="s">
        <v>103</v>
      </c>
      <c r="F1821" s="165" t="str">
        <f t="shared" si="300"/>
        <v>MANI_16.18_200_NL2018</v>
      </c>
      <c r="G1821" s="165" t="s">
        <v>105</v>
      </c>
      <c r="H1821" s="12"/>
      <c r="I1821" s="12" t="s">
        <v>35</v>
      </c>
      <c r="J1821" s="14">
        <v>200</v>
      </c>
      <c r="K1821" s="15" t="s">
        <v>28</v>
      </c>
      <c r="L1821" s="15"/>
      <c r="M1821" s="16">
        <f t="shared" si="301"/>
        <v>100</v>
      </c>
      <c r="N1821" s="15">
        <v>20000</v>
      </c>
      <c r="O1821" s="15">
        <v>6900</v>
      </c>
      <c r="P1821" s="15">
        <f t="shared" si="299"/>
        <v>138000000</v>
      </c>
      <c r="Q1821" s="15" t="str">
        <f t="shared" si="305"/>
        <v>Done</v>
      </c>
      <c r="R1821" s="18" t="s">
        <v>44</v>
      </c>
      <c r="S1821" s="19">
        <v>43590</v>
      </c>
      <c r="T1821" s="20">
        <f>IFERROR(VLOOKUP(S1821,'Date Converter'!$A$4:$C$368,3,0),"")</f>
        <v>43623</v>
      </c>
      <c r="U1821" s="21">
        <f t="shared" si="298"/>
        <v>43623</v>
      </c>
      <c r="V1821" s="20" t="s">
        <v>1424</v>
      </c>
      <c r="W1821" s="18"/>
      <c r="X1821" s="18"/>
      <c r="Y1821" s="15"/>
      <c r="Z1821" s="206">
        <v>43624</v>
      </c>
      <c r="AA1821" s="15">
        <v>20000</v>
      </c>
      <c r="AB1821" s="206"/>
      <c r="AC1821" s="15"/>
      <c r="AD1821" s="206"/>
      <c r="AE1821" s="15"/>
      <c r="AF1821" s="244"/>
      <c r="AG1821" s="15"/>
      <c r="AH1821" s="15">
        <f t="shared" si="302"/>
        <v>20000</v>
      </c>
      <c r="AI1821" s="22">
        <f t="shared" si="303"/>
        <v>0</v>
      </c>
      <c r="AJ1821" s="22">
        <f t="shared" si="304"/>
        <v>0</v>
      </c>
    </row>
    <row r="1822" spans="1:36" s="165" customFormat="1" hidden="1">
      <c r="A1822" s="165" t="s">
        <v>497</v>
      </c>
      <c r="B1822" s="13">
        <v>43553</v>
      </c>
      <c r="C1822" s="13" t="s">
        <v>23</v>
      </c>
      <c r="D1822" s="165" t="s">
        <v>102</v>
      </c>
      <c r="E1822" s="198" t="s">
        <v>103</v>
      </c>
      <c r="F1822" s="165" t="str">
        <f t="shared" si="300"/>
        <v>MANI_16.18_200_NL2018</v>
      </c>
      <c r="G1822" s="165" t="s">
        <v>105</v>
      </c>
      <c r="H1822" s="12"/>
      <c r="I1822" s="12" t="s">
        <v>35</v>
      </c>
      <c r="J1822" s="14">
        <v>200</v>
      </c>
      <c r="K1822" s="15" t="s">
        <v>28</v>
      </c>
      <c r="L1822" s="15"/>
      <c r="M1822" s="16">
        <f t="shared" si="301"/>
        <v>100</v>
      </c>
      <c r="N1822" s="15">
        <f>30000-5000-5000</f>
        <v>20000</v>
      </c>
      <c r="O1822" s="15">
        <v>7000</v>
      </c>
      <c r="P1822" s="15">
        <f t="shared" si="299"/>
        <v>140000000</v>
      </c>
      <c r="Q1822" s="15" t="str">
        <f t="shared" si="305"/>
        <v/>
      </c>
      <c r="R1822" s="18" t="s">
        <v>63</v>
      </c>
      <c r="S1822" s="19">
        <v>43603</v>
      </c>
      <c r="T1822" s="20">
        <f>IFERROR(VLOOKUP(S1822,'Date Converter'!$A$4:$C$368,3,0),"")</f>
        <v>43636</v>
      </c>
      <c r="U1822" s="21">
        <f t="shared" si="298"/>
        <v>43636</v>
      </c>
      <c r="V1822" s="20" t="s">
        <v>1425</v>
      </c>
      <c r="W1822" s="18"/>
      <c r="X1822" s="18"/>
      <c r="Y1822" s="15"/>
      <c r="Z1822" s="206"/>
      <c r="AA1822" s="15">
        <v>0</v>
      </c>
      <c r="AB1822" s="206"/>
      <c r="AC1822" s="15"/>
      <c r="AD1822" s="206"/>
      <c r="AE1822" s="15"/>
      <c r="AF1822" s="244"/>
      <c r="AG1822" s="15"/>
      <c r="AH1822" s="15">
        <f t="shared" si="302"/>
        <v>0</v>
      </c>
      <c r="AI1822" s="22">
        <f t="shared" si="303"/>
        <v>20000</v>
      </c>
      <c r="AJ1822" s="22">
        <f t="shared" si="304"/>
        <v>140000000</v>
      </c>
    </row>
    <row r="1823" spans="1:36" s="165" customFormat="1" hidden="1">
      <c r="A1823" s="165" t="s">
        <v>497</v>
      </c>
      <c r="B1823" s="13">
        <v>43630</v>
      </c>
      <c r="C1823" s="13" t="s">
        <v>23</v>
      </c>
      <c r="D1823" s="165" t="s">
        <v>102</v>
      </c>
      <c r="E1823" s="198" t="s">
        <v>103</v>
      </c>
      <c r="F1823" s="165" t="str">
        <f t="shared" si="300"/>
        <v>MANI_16.18_200_NL2018</v>
      </c>
      <c r="G1823" s="165" t="s">
        <v>105</v>
      </c>
      <c r="H1823" s="12"/>
      <c r="I1823" s="12" t="s">
        <v>35</v>
      </c>
      <c r="J1823" s="14">
        <v>200</v>
      </c>
      <c r="K1823" s="15" t="s">
        <v>28</v>
      </c>
      <c r="L1823" s="15"/>
      <c r="M1823" s="16">
        <f t="shared" si="301"/>
        <v>150</v>
      </c>
      <c r="N1823" s="15">
        <f>20000+5000+5000</f>
        <v>30000</v>
      </c>
      <c r="O1823" s="15">
        <v>7000</v>
      </c>
      <c r="P1823" s="15">
        <f t="shared" si="299"/>
        <v>210000000</v>
      </c>
      <c r="Q1823" s="15" t="str">
        <f t="shared" si="305"/>
        <v/>
      </c>
      <c r="R1823" s="18" t="s">
        <v>31</v>
      </c>
      <c r="S1823" s="19">
        <v>43631</v>
      </c>
      <c r="T1823" s="20">
        <f>IFERROR(VLOOKUP(S1823,'Date Converter'!$A$4:$C$368,3,0),"")</f>
        <v>43663</v>
      </c>
      <c r="U1823" s="21">
        <f t="shared" si="298"/>
        <v>43663</v>
      </c>
      <c r="V1823" s="20"/>
      <c r="W1823" s="18"/>
      <c r="X1823" s="18"/>
      <c r="Y1823" s="15"/>
      <c r="Z1823" s="206"/>
      <c r="AA1823" s="15"/>
      <c r="AB1823" s="206"/>
      <c r="AC1823" s="15"/>
      <c r="AD1823" s="206"/>
      <c r="AE1823" s="15"/>
      <c r="AF1823" s="244"/>
      <c r="AG1823" s="15"/>
      <c r="AH1823" s="15">
        <f t="shared" si="302"/>
        <v>0</v>
      </c>
      <c r="AI1823" s="22">
        <f t="shared" si="303"/>
        <v>30000</v>
      </c>
      <c r="AJ1823" s="22">
        <f t="shared" si="304"/>
        <v>210000000</v>
      </c>
    </row>
    <row r="1824" spans="1:36" s="165" customFormat="1" hidden="1">
      <c r="A1824" s="165" t="s">
        <v>497</v>
      </c>
      <c r="B1824" s="13">
        <v>43627</v>
      </c>
      <c r="C1824" s="13" t="s">
        <v>23</v>
      </c>
      <c r="D1824" s="165" t="s">
        <v>102</v>
      </c>
      <c r="E1824" s="198" t="s">
        <v>103</v>
      </c>
      <c r="F1824" s="165" t="str">
        <f t="shared" si="300"/>
        <v>MANI_16.18_200_NL2018</v>
      </c>
      <c r="G1824" s="165" t="s">
        <v>105</v>
      </c>
      <c r="H1824" s="12"/>
      <c r="I1824" s="12" t="s">
        <v>35</v>
      </c>
      <c r="J1824" s="14">
        <v>200</v>
      </c>
      <c r="K1824" s="15" t="s">
        <v>28</v>
      </c>
      <c r="L1824" s="15"/>
      <c r="M1824" s="16">
        <f t="shared" si="301"/>
        <v>150</v>
      </c>
      <c r="N1824" s="15">
        <v>30000</v>
      </c>
      <c r="O1824" s="15">
        <v>7200</v>
      </c>
      <c r="P1824" s="15">
        <f t="shared" si="299"/>
        <v>216000000</v>
      </c>
      <c r="Q1824" s="15" t="str">
        <f t="shared" si="305"/>
        <v/>
      </c>
      <c r="R1824" s="18" t="s">
        <v>29</v>
      </c>
      <c r="S1824" s="19">
        <v>43661</v>
      </c>
      <c r="T1824" s="20">
        <f>IFERROR(VLOOKUP(S1824,'Date Converter'!$A$4:$C$368,3,0),"")</f>
        <v>43692</v>
      </c>
      <c r="U1824" s="21">
        <f t="shared" si="298"/>
        <v>43692</v>
      </c>
      <c r="V1824" s="20"/>
      <c r="W1824" s="18"/>
      <c r="X1824" s="18"/>
      <c r="Y1824" s="15"/>
      <c r="Z1824" s="206"/>
      <c r="AA1824" s="15"/>
      <c r="AB1824" s="206"/>
      <c r="AC1824" s="15"/>
      <c r="AD1824" s="206"/>
      <c r="AE1824" s="15"/>
      <c r="AF1824" s="244"/>
      <c r="AG1824" s="15"/>
      <c r="AH1824" s="15">
        <f t="shared" si="302"/>
        <v>0</v>
      </c>
      <c r="AI1824" s="22">
        <f t="shared" si="303"/>
        <v>30000</v>
      </c>
      <c r="AJ1824" s="22">
        <f t="shared" si="304"/>
        <v>216000000</v>
      </c>
    </row>
    <row r="1825" spans="1:37" s="165" customFormat="1" ht="15.75" hidden="1" customHeight="1">
      <c r="A1825" s="165" t="s">
        <v>446</v>
      </c>
      <c r="B1825" s="13">
        <v>43470</v>
      </c>
      <c r="C1825" s="266" t="s">
        <v>23</v>
      </c>
      <c r="D1825" s="258" t="s">
        <v>102</v>
      </c>
      <c r="E1825" s="252" t="s">
        <v>103</v>
      </c>
      <c r="F1825" s="165" t="str">
        <f t="shared" si="300"/>
        <v>MANI_20.22_125_NL2018</v>
      </c>
      <c r="G1825" s="165" t="s">
        <v>105</v>
      </c>
      <c r="H1825" s="12"/>
      <c r="I1825" s="12" t="s">
        <v>74</v>
      </c>
      <c r="J1825" s="14">
        <v>125</v>
      </c>
      <c r="K1825" s="15" t="s">
        <v>28</v>
      </c>
      <c r="L1825" s="15"/>
      <c r="M1825" s="16">
        <f t="shared" si="301"/>
        <v>320</v>
      </c>
      <c r="N1825" s="15">
        <v>40000</v>
      </c>
      <c r="O1825" s="15">
        <v>13500</v>
      </c>
      <c r="P1825" s="15">
        <f t="shared" si="299"/>
        <v>540000000</v>
      </c>
      <c r="Q1825" s="15" t="str">
        <f t="shared" si="305"/>
        <v/>
      </c>
      <c r="R1825" s="18" t="s">
        <v>29</v>
      </c>
      <c r="S1825" s="23">
        <v>43709</v>
      </c>
      <c r="T1825" s="20">
        <f>IFERROR(VLOOKUP(S1825,'Date Converter'!$A$4:$C$368,3,0),"")</f>
        <v>43737</v>
      </c>
      <c r="U1825" s="21">
        <f t="shared" si="298"/>
        <v>43737</v>
      </c>
      <c r="V1825" s="253" t="s">
        <v>51</v>
      </c>
      <c r="W1825" s="18"/>
      <c r="X1825" s="18"/>
      <c r="Y1825" s="15"/>
      <c r="Z1825" s="206"/>
      <c r="AA1825" s="15">
        <v>0</v>
      </c>
      <c r="AB1825" s="206"/>
      <c r="AC1825" s="15"/>
      <c r="AD1825" s="206"/>
      <c r="AE1825" s="15"/>
      <c r="AF1825" s="244"/>
      <c r="AG1825" s="15"/>
      <c r="AH1825" s="15">
        <f t="shared" si="302"/>
        <v>0</v>
      </c>
      <c r="AI1825" s="22">
        <f t="shared" si="303"/>
        <v>40000</v>
      </c>
      <c r="AJ1825" s="22">
        <f t="shared" si="304"/>
        <v>540000000</v>
      </c>
    </row>
    <row r="1826" spans="1:37" s="165" customFormat="1" ht="15.75" hidden="1" customHeight="1">
      <c r="A1826" s="165" t="s">
        <v>446</v>
      </c>
      <c r="B1826" s="13">
        <v>43470</v>
      </c>
      <c r="C1826" s="266" t="s">
        <v>23</v>
      </c>
      <c r="D1826" s="258" t="s">
        <v>102</v>
      </c>
      <c r="E1826" s="252" t="s">
        <v>103</v>
      </c>
      <c r="F1826" s="165" t="str">
        <f t="shared" si="300"/>
        <v>MANI_22.24_100_NL2018</v>
      </c>
      <c r="G1826" s="165" t="s">
        <v>105</v>
      </c>
      <c r="H1826" s="12"/>
      <c r="I1826" s="12" t="s">
        <v>78</v>
      </c>
      <c r="J1826" s="14">
        <v>100</v>
      </c>
      <c r="K1826" s="15" t="s">
        <v>28</v>
      </c>
      <c r="L1826" s="15"/>
      <c r="M1826" s="16">
        <f t="shared" si="301"/>
        <v>200</v>
      </c>
      <c r="N1826" s="15">
        <v>20000</v>
      </c>
      <c r="O1826" s="15">
        <v>15200</v>
      </c>
      <c r="P1826" s="15">
        <f t="shared" si="299"/>
        <v>304000000</v>
      </c>
      <c r="Q1826" s="15" t="str">
        <f t="shared" si="305"/>
        <v/>
      </c>
      <c r="R1826" s="18" t="s">
        <v>29</v>
      </c>
      <c r="S1826" s="23">
        <v>43709</v>
      </c>
      <c r="T1826" s="20">
        <f>IFERROR(VLOOKUP(S1826,'Date Converter'!$A$4:$C$368,3,0),"")</f>
        <v>43737</v>
      </c>
      <c r="U1826" s="21">
        <f t="shared" si="298"/>
        <v>43737</v>
      </c>
      <c r="V1826" s="253" t="s">
        <v>51</v>
      </c>
      <c r="W1826" s="18"/>
      <c r="X1826" s="18"/>
      <c r="Y1826" s="15"/>
      <c r="Z1826" s="206"/>
      <c r="AA1826" s="15">
        <v>0</v>
      </c>
      <c r="AB1826" s="206"/>
      <c r="AC1826" s="15"/>
      <c r="AD1826" s="206"/>
      <c r="AE1826" s="15"/>
      <c r="AF1826" s="244"/>
      <c r="AG1826" s="15"/>
      <c r="AH1826" s="15">
        <f t="shared" si="302"/>
        <v>0</v>
      </c>
      <c r="AI1826" s="22">
        <f t="shared" si="303"/>
        <v>20000</v>
      </c>
      <c r="AJ1826" s="22">
        <f t="shared" si="304"/>
        <v>304000000</v>
      </c>
    </row>
    <row r="1827" spans="1:37" s="165" customFormat="1" hidden="1">
      <c r="A1827" s="165" t="s">
        <v>497</v>
      </c>
      <c r="B1827" s="13">
        <v>43553</v>
      </c>
      <c r="C1827" s="13" t="s">
        <v>23</v>
      </c>
      <c r="D1827" s="165" t="s">
        <v>102</v>
      </c>
      <c r="E1827" s="198" t="s">
        <v>103</v>
      </c>
      <c r="F1827" s="165" t="str">
        <f t="shared" si="300"/>
        <v>MANI_16.18_200_NL2018</v>
      </c>
      <c r="G1827" s="165" t="s">
        <v>105</v>
      </c>
      <c r="H1827" s="12"/>
      <c r="I1827" s="12" t="s">
        <v>35</v>
      </c>
      <c r="J1827" s="14">
        <v>200</v>
      </c>
      <c r="K1827" s="15" t="s">
        <v>28</v>
      </c>
      <c r="L1827" s="15"/>
      <c r="M1827" s="16">
        <f t="shared" si="301"/>
        <v>350</v>
      </c>
      <c r="N1827" s="15">
        <f>400000-20000-230000-30000-30000-20000</f>
        <v>70000</v>
      </c>
      <c r="O1827" s="15">
        <v>0</v>
      </c>
      <c r="P1827" s="15">
        <f t="shared" si="299"/>
        <v>0</v>
      </c>
      <c r="Q1827" s="15" t="str">
        <f t="shared" si="305"/>
        <v/>
      </c>
      <c r="R1827" s="18" t="s">
        <v>29</v>
      </c>
      <c r="S1827" s="19"/>
      <c r="T1827" s="20" t="str">
        <f>IFERROR(VLOOKUP(S1827,'Date Converter'!$A$4:$C$368,3,0),"")</f>
        <v/>
      </c>
      <c r="U1827" s="21" t="str">
        <f t="shared" si="298"/>
        <v/>
      </c>
      <c r="V1827" s="15" t="s">
        <v>2357</v>
      </c>
      <c r="W1827" s="18"/>
      <c r="X1827" s="18"/>
      <c r="Y1827" s="15"/>
      <c r="Z1827" s="206"/>
      <c r="AA1827" s="15">
        <v>0</v>
      </c>
      <c r="AB1827" s="206"/>
      <c r="AC1827" s="15"/>
      <c r="AD1827" s="206"/>
      <c r="AE1827" s="15"/>
      <c r="AF1827" s="244"/>
      <c r="AG1827" s="15"/>
      <c r="AH1827" s="15">
        <f t="shared" si="302"/>
        <v>0</v>
      </c>
      <c r="AI1827" s="22">
        <f t="shared" si="303"/>
        <v>70000</v>
      </c>
      <c r="AJ1827" s="22">
        <f t="shared" si="304"/>
        <v>0</v>
      </c>
    </row>
    <row r="1828" spans="1:37" s="165" customFormat="1" hidden="1">
      <c r="A1828" s="165" t="s">
        <v>300</v>
      </c>
      <c r="B1828" s="13">
        <v>43470</v>
      </c>
      <c r="C1828" s="13" t="s">
        <v>23</v>
      </c>
      <c r="D1828" s="165" t="s">
        <v>102</v>
      </c>
      <c r="E1828" s="165" t="s">
        <v>103</v>
      </c>
      <c r="F1828" s="165" t="str">
        <f t="shared" si="300"/>
        <v>MANI_PR_16.18_200_NL2018</v>
      </c>
      <c r="G1828" s="165" t="s">
        <v>105</v>
      </c>
      <c r="H1828" s="12" t="s">
        <v>106</v>
      </c>
      <c r="I1828" s="12" t="s">
        <v>35</v>
      </c>
      <c r="J1828" s="14">
        <v>200</v>
      </c>
      <c r="K1828" s="15" t="s">
        <v>28</v>
      </c>
      <c r="L1828" s="15"/>
      <c r="M1828" s="16">
        <f t="shared" si="301"/>
        <v>117</v>
      </c>
      <c r="N1828" s="15">
        <f>47400-36000+12000</f>
        <v>23400</v>
      </c>
      <c r="O1828" s="15">
        <v>6000</v>
      </c>
      <c r="P1828" s="15">
        <f t="shared" si="299"/>
        <v>140400000</v>
      </c>
      <c r="Q1828" s="15" t="str">
        <f t="shared" si="305"/>
        <v>Done</v>
      </c>
      <c r="R1828" s="18" t="s">
        <v>44</v>
      </c>
      <c r="S1828" s="23">
        <v>43524</v>
      </c>
      <c r="T1828" s="20">
        <f>IFERROR(VLOOKUP(S1828,'Date Converter'!$A$4:$C$368,3,0),"")</f>
        <v>43557</v>
      </c>
      <c r="U1828" s="21">
        <f t="shared" si="298"/>
        <v>43557</v>
      </c>
      <c r="V1828" s="12" t="s">
        <v>81</v>
      </c>
      <c r="W1828" s="18" t="s">
        <v>107</v>
      </c>
      <c r="X1828" s="18">
        <v>43555</v>
      </c>
      <c r="Y1828" s="15"/>
      <c r="Z1828" s="206">
        <v>43557</v>
      </c>
      <c r="AA1828" s="15">
        <v>11400</v>
      </c>
      <c r="AB1828" s="206">
        <v>43570</v>
      </c>
      <c r="AC1828" s="15">
        <v>12000</v>
      </c>
      <c r="AD1828" s="206"/>
      <c r="AE1828" s="15"/>
      <c r="AF1828" s="244"/>
      <c r="AG1828" s="15"/>
      <c r="AH1828" s="15">
        <f t="shared" si="302"/>
        <v>23400</v>
      </c>
      <c r="AI1828" s="22">
        <f t="shared" si="303"/>
        <v>0</v>
      </c>
      <c r="AJ1828" s="22">
        <f t="shared" si="304"/>
        <v>0</v>
      </c>
    </row>
    <row r="1829" spans="1:37" s="165" customFormat="1" hidden="1">
      <c r="A1829" s="165" t="s">
        <v>300</v>
      </c>
      <c r="B1829" s="13">
        <v>43470</v>
      </c>
      <c r="C1829" s="13" t="s">
        <v>23</v>
      </c>
      <c r="D1829" s="165" t="s">
        <v>102</v>
      </c>
      <c r="E1829" s="165" t="s">
        <v>103</v>
      </c>
      <c r="F1829" s="165" t="str">
        <f t="shared" si="300"/>
        <v>MANI_16.18_200_NL2018</v>
      </c>
      <c r="G1829" s="165" t="s">
        <v>105</v>
      </c>
      <c r="H1829" s="12"/>
      <c r="I1829" s="12" t="s">
        <v>35</v>
      </c>
      <c r="J1829" s="14">
        <v>200</v>
      </c>
      <c r="K1829" s="15" t="s">
        <v>28</v>
      </c>
      <c r="L1829" s="15"/>
      <c r="M1829" s="16">
        <f t="shared" si="301"/>
        <v>180</v>
      </c>
      <c r="N1829" s="15">
        <v>36000</v>
      </c>
      <c r="O1829" s="15">
        <v>6700</v>
      </c>
      <c r="P1829" s="15">
        <f t="shared" si="299"/>
        <v>241200000</v>
      </c>
      <c r="Q1829" s="15" t="str">
        <f t="shared" si="305"/>
        <v>Done</v>
      </c>
      <c r="R1829" s="18" t="s">
        <v>44</v>
      </c>
      <c r="S1829" s="23">
        <v>43524</v>
      </c>
      <c r="T1829" s="20">
        <f>IFERROR(VLOOKUP(S1829,'Date Converter'!$A$4:$C$368,3,0),"")</f>
        <v>43557</v>
      </c>
      <c r="U1829" s="21">
        <f t="shared" si="298"/>
        <v>43557</v>
      </c>
      <c r="V1829" s="12" t="s">
        <v>81</v>
      </c>
      <c r="W1829" s="18"/>
      <c r="X1829" s="18"/>
      <c r="Y1829" s="15"/>
      <c r="Z1829" s="206">
        <v>43557</v>
      </c>
      <c r="AA1829" s="15">
        <v>36000</v>
      </c>
      <c r="AB1829" s="206"/>
      <c r="AC1829" s="15"/>
      <c r="AD1829" s="206"/>
      <c r="AE1829" s="15"/>
      <c r="AF1829" s="244"/>
      <c r="AG1829" s="15"/>
      <c r="AH1829" s="15">
        <f t="shared" si="302"/>
        <v>36000</v>
      </c>
      <c r="AI1829" s="22">
        <f t="shared" si="303"/>
        <v>0</v>
      </c>
      <c r="AJ1829" s="22">
        <f t="shared" si="304"/>
        <v>0</v>
      </c>
    </row>
    <row r="1830" spans="1:37" s="165" customFormat="1" hidden="1">
      <c r="A1830" s="165" t="s">
        <v>497</v>
      </c>
      <c r="B1830" s="13">
        <v>43553</v>
      </c>
      <c r="C1830" s="13" t="s">
        <v>23</v>
      </c>
      <c r="D1830" s="165" t="s">
        <v>102</v>
      </c>
      <c r="E1830" s="198" t="s">
        <v>103</v>
      </c>
      <c r="F1830" s="165" t="str">
        <f t="shared" si="300"/>
        <v>MALD_16.18_200_NL2018</v>
      </c>
      <c r="G1830" s="165" t="s">
        <v>478</v>
      </c>
      <c r="H1830" s="12"/>
      <c r="I1830" s="12" t="s">
        <v>35</v>
      </c>
      <c r="J1830" s="14">
        <v>200</v>
      </c>
      <c r="K1830" s="15" t="s">
        <v>28</v>
      </c>
      <c r="L1830" s="15"/>
      <c r="M1830" s="16">
        <f t="shared" si="301"/>
        <v>150</v>
      </c>
      <c r="N1830" s="25">
        <v>30000</v>
      </c>
      <c r="O1830" s="15">
        <v>5400</v>
      </c>
      <c r="P1830" s="15">
        <f t="shared" si="299"/>
        <v>162000000</v>
      </c>
      <c r="Q1830" s="15" t="str">
        <f t="shared" si="305"/>
        <v>Done</v>
      </c>
      <c r="R1830" s="18" t="s">
        <v>44</v>
      </c>
      <c r="S1830" s="23">
        <v>43572</v>
      </c>
      <c r="T1830" s="20">
        <f>IFERROR(VLOOKUP(S1830,'Date Converter'!$A$4:$C$368,3,0),"")</f>
        <v>43606</v>
      </c>
      <c r="U1830" s="21">
        <f t="shared" si="298"/>
        <v>43606</v>
      </c>
      <c r="V1830" s="20" t="s">
        <v>1416</v>
      </c>
      <c r="W1830" s="18"/>
      <c r="X1830" s="18"/>
      <c r="Y1830" s="15"/>
      <c r="Z1830" s="206">
        <v>43603</v>
      </c>
      <c r="AA1830" s="15">
        <v>30000</v>
      </c>
      <c r="AB1830" s="206"/>
      <c r="AC1830" s="15"/>
      <c r="AD1830" s="206"/>
      <c r="AE1830" s="15"/>
      <c r="AF1830" s="244"/>
      <c r="AG1830" s="15"/>
      <c r="AH1830" s="15">
        <f t="shared" si="302"/>
        <v>30000</v>
      </c>
      <c r="AI1830" s="22">
        <f t="shared" si="303"/>
        <v>0</v>
      </c>
      <c r="AJ1830" s="22">
        <f t="shared" si="304"/>
        <v>0</v>
      </c>
    </row>
    <row r="1831" spans="1:37" s="165" customFormat="1" hidden="1">
      <c r="A1831" s="165" t="s">
        <v>497</v>
      </c>
      <c r="B1831" s="13">
        <v>43553</v>
      </c>
      <c r="C1831" s="13" t="s">
        <v>23</v>
      </c>
      <c r="D1831" s="165" t="s">
        <v>102</v>
      </c>
      <c r="E1831" s="198" t="s">
        <v>103</v>
      </c>
      <c r="F1831" s="165" t="str">
        <f t="shared" si="300"/>
        <v>BACA_16.18_200_NL2018</v>
      </c>
      <c r="G1831" s="165" t="s">
        <v>67</v>
      </c>
      <c r="H1831" s="12"/>
      <c r="I1831" s="12" t="s">
        <v>35</v>
      </c>
      <c r="J1831" s="14">
        <v>200</v>
      </c>
      <c r="K1831" s="15" t="s">
        <v>28</v>
      </c>
      <c r="L1831" s="15"/>
      <c r="M1831" s="16">
        <f t="shared" si="301"/>
        <v>100</v>
      </c>
      <c r="N1831" s="15">
        <f>20000</f>
        <v>20000</v>
      </c>
      <c r="O1831" s="15">
        <v>6800</v>
      </c>
      <c r="P1831" s="15">
        <f t="shared" si="299"/>
        <v>136000000</v>
      </c>
      <c r="Q1831" s="15" t="str">
        <f t="shared" si="305"/>
        <v>Done</v>
      </c>
      <c r="R1831" s="18" t="s">
        <v>44</v>
      </c>
      <c r="S1831" s="23">
        <v>43572</v>
      </c>
      <c r="T1831" s="20">
        <f>IFERROR(VLOOKUP(S1831,'Date Converter'!$A$4:$C$368,3,0),"")</f>
        <v>43606</v>
      </c>
      <c r="U1831" s="21">
        <f t="shared" ref="U1831:U1891" si="306">+T1831</f>
        <v>43606</v>
      </c>
      <c r="V1831" s="20" t="s">
        <v>1416</v>
      </c>
      <c r="W1831" s="18"/>
      <c r="X1831" s="18"/>
      <c r="Y1831" s="15"/>
      <c r="Z1831" s="206">
        <v>43603</v>
      </c>
      <c r="AA1831" s="15">
        <v>20000</v>
      </c>
      <c r="AB1831" s="206"/>
      <c r="AC1831" s="15"/>
      <c r="AD1831" s="206"/>
      <c r="AE1831" s="15"/>
      <c r="AF1831" s="244"/>
      <c r="AG1831" s="15"/>
      <c r="AH1831" s="15">
        <f t="shared" si="302"/>
        <v>20000</v>
      </c>
      <c r="AI1831" s="22">
        <f t="shared" si="303"/>
        <v>0</v>
      </c>
      <c r="AJ1831" s="22">
        <f t="shared" si="304"/>
        <v>0</v>
      </c>
    </row>
    <row r="1832" spans="1:37" s="165" customFormat="1" hidden="1">
      <c r="A1832" s="165" t="s">
        <v>497</v>
      </c>
      <c r="B1832" s="13">
        <v>43553</v>
      </c>
      <c r="C1832" s="13" t="s">
        <v>23</v>
      </c>
      <c r="D1832" s="165" t="s">
        <v>102</v>
      </c>
      <c r="E1832" s="198" t="s">
        <v>103</v>
      </c>
      <c r="F1832" s="165" t="str">
        <f t="shared" si="300"/>
        <v>BACA_16.18_200_NL2018</v>
      </c>
      <c r="G1832" s="165" t="s">
        <v>67</v>
      </c>
      <c r="H1832" s="12"/>
      <c r="I1832" s="12" t="s">
        <v>35</v>
      </c>
      <c r="J1832" s="14">
        <v>200</v>
      </c>
      <c r="K1832" s="15" t="s">
        <v>28</v>
      </c>
      <c r="L1832" s="15"/>
      <c r="M1832" s="16">
        <f t="shared" si="301"/>
        <v>150</v>
      </c>
      <c r="N1832" s="15">
        <v>30000</v>
      </c>
      <c r="O1832" s="15">
        <v>6900</v>
      </c>
      <c r="P1832" s="15">
        <f t="shared" ref="P1832:P1892" si="307">+O1832*N1832</f>
        <v>207000000</v>
      </c>
      <c r="Q1832" s="15" t="str">
        <f t="shared" si="305"/>
        <v>Done</v>
      </c>
      <c r="R1832" s="18" t="s">
        <v>44</v>
      </c>
      <c r="S1832" s="19">
        <v>43590</v>
      </c>
      <c r="T1832" s="20">
        <f>IFERROR(VLOOKUP(S1832,'Date Converter'!$A$4:$C$368,3,0),"")</f>
        <v>43623</v>
      </c>
      <c r="U1832" s="21">
        <f t="shared" si="306"/>
        <v>43623</v>
      </c>
      <c r="V1832" s="20" t="s">
        <v>1424</v>
      </c>
      <c r="W1832" s="18"/>
      <c r="X1832" s="18"/>
      <c r="Y1832" s="15"/>
      <c r="Z1832" s="206">
        <v>43624</v>
      </c>
      <c r="AA1832" s="15">
        <v>20000</v>
      </c>
      <c r="AB1832" s="206">
        <v>43633</v>
      </c>
      <c r="AC1832" s="15">
        <v>10000</v>
      </c>
      <c r="AD1832" s="206"/>
      <c r="AE1832" s="15"/>
      <c r="AF1832" s="244"/>
      <c r="AG1832" s="15"/>
      <c r="AH1832" s="15">
        <f t="shared" si="302"/>
        <v>30000</v>
      </c>
      <c r="AI1832" s="22">
        <f t="shared" si="303"/>
        <v>0</v>
      </c>
      <c r="AJ1832" s="22">
        <f t="shared" si="304"/>
        <v>0</v>
      </c>
    </row>
    <row r="1833" spans="1:37" s="165" customFormat="1" hidden="1">
      <c r="A1833" s="165" t="s">
        <v>497</v>
      </c>
      <c r="B1833" s="13">
        <v>43553</v>
      </c>
      <c r="C1833" s="13" t="s">
        <v>23</v>
      </c>
      <c r="D1833" s="165" t="s">
        <v>102</v>
      </c>
      <c r="E1833" s="198" t="s">
        <v>103</v>
      </c>
      <c r="F1833" s="165" t="str">
        <f t="shared" si="300"/>
        <v>BACA_16.18_200_NL2018</v>
      </c>
      <c r="G1833" s="165" t="s">
        <v>67</v>
      </c>
      <c r="H1833" s="12"/>
      <c r="I1833" s="12" t="s">
        <v>35</v>
      </c>
      <c r="J1833" s="14">
        <v>200</v>
      </c>
      <c r="K1833" s="15" t="s">
        <v>28</v>
      </c>
      <c r="L1833" s="15"/>
      <c r="M1833" s="16">
        <f t="shared" si="301"/>
        <v>150</v>
      </c>
      <c r="N1833" s="15">
        <f>30000-6800+6800</f>
        <v>30000</v>
      </c>
      <c r="O1833" s="15">
        <v>7000</v>
      </c>
      <c r="P1833" s="15">
        <f t="shared" si="307"/>
        <v>210000000</v>
      </c>
      <c r="Q1833" s="15" t="str">
        <f t="shared" si="305"/>
        <v/>
      </c>
      <c r="R1833" s="18" t="s">
        <v>31</v>
      </c>
      <c r="S1833" s="19">
        <v>43631</v>
      </c>
      <c r="T1833" s="20">
        <f>IFERROR(VLOOKUP(S1833,'Date Converter'!$A$4:$C$368,3,0),"")</f>
        <v>43663</v>
      </c>
      <c r="U1833" s="21">
        <f t="shared" si="306"/>
        <v>43663</v>
      </c>
      <c r="V1833" s="20" t="s">
        <v>1426</v>
      </c>
      <c r="W1833" s="18"/>
      <c r="X1833" s="18"/>
      <c r="Y1833" s="15"/>
      <c r="Z1833" s="206"/>
      <c r="AA1833" s="15"/>
      <c r="AB1833" s="206"/>
      <c r="AC1833" s="15"/>
      <c r="AD1833" s="206"/>
      <c r="AE1833" s="15"/>
      <c r="AF1833" s="244"/>
      <c r="AG1833" s="15"/>
      <c r="AH1833" s="15">
        <f t="shared" si="302"/>
        <v>0</v>
      </c>
      <c r="AI1833" s="22">
        <f t="shared" si="303"/>
        <v>30000</v>
      </c>
      <c r="AJ1833" s="22">
        <f t="shared" si="304"/>
        <v>210000000</v>
      </c>
    </row>
    <row r="1834" spans="1:37" s="165" customFormat="1" hidden="1">
      <c r="A1834" s="165" t="s">
        <v>446</v>
      </c>
      <c r="B1834" s="13">
        <v>43470</v>
      </c>
      <c r="C1834" s="266" t="s">
        <v>23</v>
      </c>
      <c r="D1834" s="258" t="s">
        <v>102</v>
      </c>
      <c r="E1834" s="252" t="s">
        <v>103</v>
      </c>
      <c r="F1834" s="165" t="str">
        <f t="shared" ref="F1834:F1894" si="308">SUBSTITUTE(LEFT(G1834,4)&amp;"_"&amp;H1834&amp;"_"&amp;I1834&amp;"_"&amp;J1834&amp;"_"&amp;K1834,"__","_")</f>
        <v>BACA_20.22_125_NL2018</v>
      </c>
      <c r="G1834" s="165" t="s">
        <v>67</v>
      </c>
      <c r="H1834" s="12"/>
      <c r="I1834" s="12" t="s">
        <v>74</v>
      </c>
      <c r="J1834" s="14">
        <v>125</v>
      </c>
      <c r="K1834" s="15" t="s">
        <v>28</v>
      </c>
      <c r="L1834" s="15"/>
      <c r="M1834" s="16">
        <f t="shared" ref="M1834:M1894" si="309">+N1834/J1834</f>
        <v>240</v>
      </c>
      <c r="N1834" s="15">
        <v>30000</v>
      </c>
      <c r="O1834" s="15">
        <v>10800</v>
      </c>
      <c r="P1834" s="15">
        <f t="shared" si="307"/>
        <v>324000000</v>
      </c>
      <c r="Q1834" s="15" t="str">
        <f t="shared" si="305"/>
        <v/>
      </c>
      <c r="R1834" s="18" t="s">
        <v>29</v>
      </c>
      <c r="S1834" s="23">
        <v>43709</v>
      </c>
      <c r="T1834" s="20">
        <f>IFERROR(VLOOKUP(S1834,'Date Converter'!$A$4:$C$368,3,0),"")</f>
        <v>43737</v>
      </c>
      <c r="U1834" s="21">
        <f t="shared" si="306"/>
        <v>43737</v>
      </c>
      <c r="V1834" s="253" t="s">
        <v>51</v>
      </c>
      <c r="W1834" s="18"/>
      <c r="X1834" s="18"/>
      <c r="Y1834" s="15"/>
      <c r="Z1834" s="206"/>
      <c r="AA1834" s="15">
        <v>0</v>
      </c>
      <c r="AB1834" s="206"/>
      <c r="AC1834" s="15"/>
      <c r="AD1834" s="206"/>
      <c r="AE1834" s="15"/>
      <c r="AF1834" s="244"/>
      <c r="AG1834" s="15"/>
      <c r="AH1834" s="15">
        <f t="shared" si="302"/>
        <v>0</v>
      </c>
      <c r="AI1834" s="22">
        <f t="shared" si="303"/>
        <v>30000</v>
      </c>
      <c r="AJ1834" s="22">
        <f t="shared" si="304"/>
        <v>324000000</v>
      </c>
    </row>
    <row r="1835" spans="1:37" s="165" customFormat="1" hidden="1">
      <c r="A1835" s="165" t="s">
        <v>446</v>
      </c>
      <c r="B1835" s="13">
        <v>43470</v>
      </c>
      <c r="C1835" s="266" t="s">
        <v>23</v>
      </c>
      <c r="D1835" s="258" t="s">
        <v>102</v>
      </c>
      <c r="E1835" s="252" t="s">
        <v>103</v>
      </c>
      <c r="F1835" s="165" t="str">
        <f t="shared" si="308"/>
        <v>BACA_20.22_125_NL2018</v>
      </c>
      <c r="G1835" s="165" t="s">
        <v>67</v>
      </c>
      <c r="H1835" s="12"/>
      <c r="I1835" s="12" t="s">
        <v>74</v>
      </c>
      <c r="J1835" s="14">
        <v>125</v>
      </c>
      <c r="K1835" s="15" t="s">
        <v>28</v>
      </c>
      <c r="L1835" s="15"/>
      <c r="M1835" s="16">
        <f t="shared" si="309"/>
        <v>80</v>
      </c>
      <c r="N1835" s="15">
        <v>10000</v>
      </c>
      <c r="O1835" s="15">
        <v>11000</v>
      </c>
      <c r="P1835" s="15">
        <f t="shared" si="307"/>
        <v>110000000</v>
      </c>
      <c r="Q1835" s="15" t="str">
        <f t="shared" si="305"/>
        <v/>
      </c>
      <c r="R1835" s="18" t="s">
        <v>29</v>
      </c>
      <c r="S1835" s="23">
        <v>43709</v>
      </c>
      <c r="T1835" s="20">
        <f>IFERROR(VLOOKUP(S1835,'Date Converter'!$A$4:$C$368,3,0),"")</f>
        <v>43737</v>
      </c>
      <c r="U1835" s="21">
        <f t="shared" si="306"/>
        <v>43737</v>
      </c>
      <c r="V1835" s="253" t="s">
        <v>51</v>
      </c>
      <c r="W1835" s="18"/>
      <c r="X1835" s="18"/>
      <c r="Y1835" s="15"/>
      <c r="Z1835" s="206"/>
      <c r="AA1835" s="15">
        <v>0</v>
      </c>
      <c r="AB1835" s="206"/>
      <c r="AC1835" s="15"/>
      <c r="AD1835" s="206"/>
      <c r="AE1835" s="15"/>
      <c r="AF1835" s="244"/>
      <c r="AG1835" s="15"/>
      <c r="AH1835" s="15">
        <f t="shared" si="302"/>
        <v>0</v>
      </c>
      <c r="AI1835" s="22">
        <f t="shared" si="303"/>
        <v>10000</v>
      </c>
      <c r="AJ1835" s="22">
        <f t="shared" si="304"/>
        <v>110000000</v>
      </c>
    </row>
    <row r="1836" spans="1:37" s="165" customFormat="1" hidden="1">
      <c r="A1836" s="165" t="s">
        <v>300</v>
      </c>
      <c r="B1836" s="13">
        <v>43470</v>
      </c>
      <c r="C1836" s="13" t="s">
        <v>23</v>
      </c>
      <c r="D1836" s="165" t="s">
        <v>102</v>
      </c>
      <c r="E1836" s="165" t="s">
        <v>103</v>
      </c>
      <c r="F1836" s="165" t="str">
        <f t="shared" si="308"/>
        <v>BACA_16.18_200_NL2018</v>
      </c>
      <c r="G1836" s="165" t="s">
        <v>67</v>
      </c>
      <c r="H1836" s="12"/>
      <c r="I1836" s="12" t="s">
        <v>35</v>
      </c>
      <c r="J1836" s="14">
        <v>200</v>
      </c>
      <c r="K1836" s="15" t="s">
        <v>28</v>
      </c>
      <c r="L1836" s="15"/>
      <c r="M1836" s="16">
        <f t="shared" si="309"/>
        <v>140</v>
      </c>
      <c r="N1836" s="15">
        <v>28000</v>
      </c>
      <c r="O1836" s="15">
        <v>6300</v>
      </c>
      <c r="P1836" s="15">
        <f t="shared" si="307"/>
        <v>176400000</v>
      </c>
      <c r="Q1836" s="15" t="str">
        <f t="shared" si="305"/>
        <v>Done</v>
      </c>
      <c r="R1836" s="18" t="s">
        <v>44</v>
      </c>
      <c r="S1836" s="23">
        <v>43480</v>
      </c>
      <c r="T1836" s="20">
        <f>IFERROR(VLOOKUP(S1836,'Date Converter'!$A$4:$C$368,3,0),"")</f>
        <v>43515</v>
      </c>
      <c r="U1836" s="21">
        <f t="shared" si="306"/>
        <v>43515</v>
      </c>
      <c r="V1836" s="12" t="s">
        <v>45</v>
      </c>
      <c r="W1836" s="18"/>
      <c r="X1836" s="18"/>
      <c r="Y1836" s="15"/>
      <c r="Z1836" s="206">
        <v>43515</v>
      </c>
      <c r="AA1836" s="15">
        <v>28000</v>
      </c>
      <c r="AB1836" s="206"/>
      <c r="AC1836" s="15"/>
      <c r="AD1836" s="206"/>
      <c r="AE1836" s="15"/>
      <c r="AF1836" s="244"/>
      <c r="AG1836" s="15"/>
      <c r="AH1836" s="15">
        <f t="shared" ref="AH1836:AH1896" si="310">+AA1836+AC1836+AE1836+AG1836</f>
        <v>28000</v>
      </c>
      <c r="AI1836" s="22">
        <f t="shared" ref="AI1836:AI1896" si="311">+N1836-AH1836</f>
        <v>0</v>
      </c>
      <c r="AJ1836" s="22">
        <f t="shared" ref="AJ1836:AJ1896" si="312">+AI1836*O1836</f>
        <v>0</v>
      </c>
    </row>
    <row r="1837" spans="1:37" s="165" customFormat="1" hidden="1">
      <c r="A1837" s="165" t="s">
        <v>300</v>
      </c>
      <c r="B1837" s="13">
        <v>43470</v>
      </c>
      <c r="C1837" s="13" t="s">
        <v>23</v>
      </c>
      <c r="D1837" s="165" t="s">
        <v>102</v>
      </c>
      <c r="E1837" s="165" t="s">
        <v>103</v>
      </c>
      <c r="F1837" s="165" t="str">
        <f t="shared" si="308"/>
        <v>BACA_16.18_200_NL2018</v>
      </c>
      <c r="G1837" s="165" t="s">
        <v>67</v>
      </c>
      <c r="H1837" s="12"/>
      <c r="I1837" s="12" t="s">
        <v>35</v>
      </c>
      <c r="J1837" s="14">
        <v>200</v>
      </c>
      <c r="K1837" s="15" t="s">
        <v>28</v>
      </c>
      <c r="L1837" s="15"/>
      <c r="M1837" s="16">
        <f t="shared" si="309"/>
        <v>100</v>
      </c>
      <c r="N1837" s="15">
        <v>20000</v>
      </c>
      <c r="O1837" s="15">
        <v>6300</v>
      </c>
      <c r="P1837" s="15">
        <f t="shared" si="307"/>
        <v>126000000</v>
      </c>
      <c r="Q1837" s="15" t="str">
        <f t="shared" si="305"/>
        <v>Done</v>
      </c>
      <c r="R1837" s="18" t="s">
        <v>44</v>
      </c>
      <c r="S1837" s="23">
        <v>43511</v>
      </c>
      <c r="T1837" s="20">
        <f>IFERROR(VLOOKUP(S1837,'Date Converter'!$A$4:$C$368,3,0),"")</f>
        <v>43544</v>
      </c>
      <c r="U1837" s="21">
        <f t="shared" si="306"/>
        <v>43544</v>
      </c>
      <c r="V1837" s="12" t="s">
        <v>32</v>
      </c>
      <c r="W1837" s="18" t="s">
        <v>48</v>
      </c>
      <c r="X1837" s="18">
        <v>43541</v>
      </c>
      <c r="Y1837" s="15"/>
      <c r="Z1837" s="206">
        <v>43543</v>
      </c>
      <c r="AA1837" s="15">
        <v>20000</v>
      </c>
      <c r="AB1837" s="206"/>
      <c r="AC1837" s="15"/>
      <c r="AD1837" s="206"/>
      <c r="AE1837" s="15"/>
      <c r="AF1837" s="244"/>
      <c r="AG1837" s="15"/>
      <c r="AH1837" s="15">
        <f t="shared" si="310"/>
        <v>20000</v>
      </c>
      <c r="AI1837" s="22">
        <f t="shared" si="311"/>
        <v>0</v>
      </c>
      <c r="AJ1837" s="22">
        <f t="shared" si="312"/>
        <v>0</v>
      </c>
    </row>
    <row r="1838" spans="1:37" s="165" customFormat="1" hidden="1">
      <c r="A1838" s="165" t="s">
        <v>300</v>
      </c>
      <c r="B1838" s="13">
        <v>43470</v>
      </c>
      <c r="C1838" s="13" t="s">
        <v>23</v>
      </c>
      <c r="D1838" s="165" t="s">
        <v>102</v>
      </c>
      <c r="E1838" s="165" t="s">
        <v>103</v>
      </c>
      <c r="F1838" s="165" t="str">
        <f t="shared" si="308"/>
        <v>BACA_16.18_200_NL2018</v>
      </c>
      <c r="G1838" s="165" t="s">
        <v>67</v>
      </c>
      <c r="H1838" s="12"/>
      <c r="I1838" s="12" t="s">
        <v>35</v>
      </c>
      <c r="J1838" s="14">
        <v>200</v>
      </c>
      <c r="K1838" s="15" t="s">
        <v>28</v>
      </c>
      <c r="L1838" s="15"/>
      <c r="M1838" s="16">
        <f t="shared" si="309"/>
        <v>80</v>
      </c>
      <c r="N1838" s="15">
        <v>16000</v>
      </c>
      <c r="O1838" s="15">
        <v>6300</v>
      </c>
      <c r="P1838" s="15">
        <f t="shared" si="307"/>
        <v>100800000</v>
      </c>
      <c r="Q1838" s="15" t="str">
        <f t="shared" si="305"/>
        <v>Done</v>
      </c>
      <c r="R1838" s="18" t="s">
        <v>44</v>
      </c>
      <c r="S1838" s="23">
        <v>43524</v>
      </c>
      <c r="T1838" s="20">
        <f>IFERROR(VLOOKUP(S1838,'Date Converter'!$A$4:$C$368,3,0),"")</f>
        <v>43557</v>
      </c>
      <c r="U1838" s="21">
        <f t="shared" si="306"/>
        <v>43557</v>
      </c>
      <c r="V1838" s="12" t="s">
        <v>81</v>
      </c>
      <c r="W1838" s="18" t="s">
        <v>101</v>
      </c>
      <c r="X1838" s="18">
        <v>43555</v>
      </c>
      <c r="Y1838" s="15"/>
      <c r="Z1838" s="206">
        <v>43570</v>
      </c>
      <c r="AA1838" s="15">
        <v>16000</v>
      </c>
      <c r="AB1838" s="206"/>
      <c r="AC1838" s="15"/>
      <c r="AD1838" s="206"/>
      <c r="AE1838" s="15"/>
      <c r="AF1838" s="244"/>
      <c r="AG1838" s="15"/>
      <c r="AH1838" s="15">
        <f t="shared" si="310"/>
        <v>16000</v>
      </c>
      <c r="AI1838" s="22">
        <f t="shared" si="311"/>
        <v>0</v>
      </c>
      <c r="AJ1838" s="22">
        <f t="shared" si="312"/>
        <v>0</v>
      </c>
      <c r="AK1838" s="165" t="s">
        <v>104</v>
      </c>
    </row>
    <row r="1839" spans="1:37" s="165" customFormat="1" hidden="1">
      <c r="A1839" s="165" t="s">
        <v>1789</v>
      </c>
      <c r="B1839" s="13">
        <v>43556</v>
      </c>
      <c r="C1839" s="13" t="s">
        <v>1622</v>
      </c>
      <c r="D1839" s="165" t="s">
        <v>671</v>
      </c>
      <c r="E1839" s="165" t="s">
        <v>1788</v>
      </c>
      <c r="F1839" s="165" t="str">
        <f t="shared" si="308"/>
        <v>TEBA_14.16_300_NL2018</v>
      </c>
      <c r="G1839" s="165" t="s">
        <v>127</v>
      </c>
      <c r="H1839" s="12"/>
      <c r="I1839" s="12" t="s">
        <v>47</v>
      </c>
      <c r="J1839" s="14">
        <v>300</v>
      </c>
      <c r="K1839" s="15" t="s">
        <v>28</v>
      </c>
      <c r="L1839" s="15"/>
      <c r="M1839" s="16">
        <f t="shared" si="309"/>
        <v>7</v>
      </c>
      <c r="N1839" s="15">
        <v>2100</v>
      </c>
      <c r="O1839" s="15">
        <v>4200</v>
      </c>
      <c r="P1839" s="15">
        <f t="shared" si="307"/>
        <v>8820000</v>
      </c>
      <c r="Q1839" s="15" t="str">
        <f t="shared" si="305"/>
        <v>Done</v>
      </c>
      <c r="R1839" s="18" t="s">
        <v>44</v>
      </c>
      <c r="S1839" s="117">
        <v>43534</v>
      </c>
      <c r="T1839" s="20">
        <f>IFERROR(VLOOKUP(S1839,'Date Converter'!$A$4:$C$368,3,0),"")</f>
        <v>43569</v>
      </c>
      <c r="U1839" s="21">
        <f t="shared" si="306"/>
        <v>43569</v>
      </c>
      <c r="V1839" s="12" t="s">
        <v>57</v>
      </c>
      <c r="W1839" s="18"/>
      <c r="X1839" s="18"/>
      <c r="Y1839" s="18"/>
      <c r="Z1839" s="210">
        <v>43572</v>
      </c>
      <c r="AA1839" s="15">
        <v>2100</v>
      </c>
      <c r="AB1839" s="210"/>
      <c r="AC1839" s="15"/>
      <c r="AD1839" s="244"/>
      <c r="AE1839" s="15"/>
      <c r="AF1839" s="244"/>
      <c r="AG1839" s="15"/>
      <c r="AH1839" s="15">
        <f t="shared" si="310"/>
        <v>2100</v>
      </c>
      <c r="AI1839" s="22">
        <f t="shared" si="311"/>
        <v>0</v>
      </c>
      <c r="AJ1839" s="22">
        <f t="shared" si="312"/>
        <v>0</v>
      </c>
    </row>
    <row r="1840" spans="1:37" s="165" customFormat="1" hidden="1">
      <c r="A1840" s="165" t="s">
        <v>1793</v>
      </c>
      <c r="B1840" s="13">
        <v>43820</v>
      </c>
      <c r="C1840" s="13" t="s">
        <v>1622</v>
      </c>
      <c r="D1840" s="258" t="s">
        <v>671</v>
      </c>
      <c r="E1840" s="165" t="s">
        <v>1788</v>
      </c>
      <c r="F1840" s="165" t="str">
        <f t="shared" si="308"/>
        <v>TEBA_16.18_200_NL2018</v>
      </c>
      <c r="G1840" s="165" t="s">
        <v>127</v>
      </c>
      <c r="H1840" s="12"/>
      <c r="I1840" s="12" t="s">
        <v>35</v>
      </c>
      <c r="J1840" s="14">
        <v>200</v>
      </c>
      <c r="K1840" s="15" t="s">
        <v>28</v>
      </c>
      <c r="L1840" s="15"/>
      <c r="M1840" s="16">
        <f t="shared" si="309"/>
        <v>25</v>
      </c>
      <c r="N1840" s="15">
        <v>5000</v>
      </c>
      <c r="O1840" s="15">
        <v>6100</v>
      </c>
      <c r="P1840" s="15">
        <f t="shared" si="307"/>
        <v>30500000</v>
      </c>
      <c r="Q1840" s="15" t="str">
        <f t="shared" si="305"/>
        <v/>
      </c>
      <c r="R1840" s="18" t="s">
        <v>29</v>
      </c>
      <c r="S1840" s="117">
        <v>43709</v>
      </c>
      <c r="T1840" s="20">
        <f>IFERROR(VLOOKUP(S1840,'Date Converter'!$A$4:$C$368,3,0),"")</f>
        <v>43737</v>
      </c>
      <c r="U1840" s="21">
        <f t="shared" si="306"/>
        <v>43737</v>
      </c>
      <c r="V1840" s="253" t="s">
        <v>51</v>
      </c>
      <c r="W1840" s="18"/>
      <c r="X1840" s="18"/>
      <c r="Y1840" s="18"/>
      <c r="Z1840" s="210"/>
      <c r="AA1840" s="15"/>
      <c r="AB1840" s="210"/>
      <c r="AC1840" s="15"/>
      <c r="AD1840" s="244"/>
      <c r="AE1840" s="15"/>
      <c r="AF1840" s="244"/>
      <c r="AG1840" s="15"/>
      <c r="AH1840" s="15">
        <f t="shared" si="310"/>
        <v>0</v>
      </c>
      <c r="AI1840" s="22">
        <f t="shared" si="311"/>
        <v>5000</v>
      </c>
      <c r="AJ1840" s="22">
        <f t="shared" si="312"/>
        <v>30500000</v>
      </c>
    </row>
    <row r="1841" spans="1:37" s="165" customFormat="1" hidden="1">
      <c r="A1841" s="165" t="s">
        <v>1793</v>
      </c>
      <c r="B1841" s="13">
        <v>43820</v>
      </c>
      <c r="C1841" s="13" t="s">
        <v>1622</v>
      </c>
      <c r="D1841" s="258" t="s">
        <v>671</v>
      </c>
      <c r="E1841" s="165" t="s">
        <v>1788</v>
      </c>
      <c r="F1841" s="165" t="str">
        <f t="shared" si="308"/>
        <v>ROBI_22.24_100_NL2018</v>
      </c>
      <c r="G1841" s="165" t="s">
        <v>61</v>
      </c>
      <c r="H1841" s="12"/>
      <c r="I1841" s="12" t="s">
        <v>78</v>
      </c>
      <c r="J1841" s="14">
        <v>100</v>
      </c>
      <c r="K1841" s="15" t="s">
        <v>28</v>
      </c>
      <c r="L1841" s="15"/>
      <c r="M1841" s="16">
        <f t="shared" si="309"/>
        <v>70</v>
      </c>
      <c r="N1841" s="15">
        <v>7000</v>
      </c>
      <c r="O1841" s="15">
        <v>12500</v>
      </c>
      <c r="P1841" s="15">
        <f t="shared" si="307"/>
        <v>87500000</v>
      </c>
      <c r="Q1841" s="15" t="str">
        <f t="shared" si="305"/>
        <v/>
      </c>
      <c r="R1841" s="18" t="s">
        <v>29</v>
      </c>
      <c r="S1841" s="117">
        <v>43709</v>
      </c>
      <c r="T1841" s="20">
        <f>IFERROR(VLOOKUP(S1841,'Date Converter'!$A$4:$C$368,3,0),"")</f>
        <v>43737</v>
      </c>
      <c r="U1841" s="21">
        <f t="shared" si="306"/>
        <v>43737</v>
      </c>
      <c r="V1841" s="253" t="s">
        <v>51</v>
      </c>
      <c r="W1841" s="18"/>
      <c r="X1841" s="18"/>
      <c r="Y1841" s="18"/>
      <c r="Z1841" s="210"/>
      <c r="AA1841" s="15"/>
      <c r="AB1841" s="210"/>
      <c r="AC1841" s="15"/>
      <c r="AD1841" s="244"/>
      <c r="AE1841" s="15"/>
      <c r="AF1841" s="244"/>
      <c r="AG1841" s="15"/>
      <c r="AH1841" s="15">
        <f t="shared" si="310"/>
        <v>0</v>
      </c>
      <c r="AI1841" s="22">
        <f t="shared" si="311"/>
        <v>7000</v>
      </c>
      <c r="AJ1841" s="22">
        <f t="shared" si="312"/>
        <v>87500000</v>
      </c>
    </row>
    <row r="1842" spans="1:37" s="165" customFormat="1" hidden="1">
      <c r="A1842" s="165" t="s">
        <v>1789</v>
      </c>
      <c r="B1842" s="13">
        <v>43621</v>
      </c>
      <c r="C1842" s="13" t="s">
        <v>1622</v>
      </c>
      <c r="D1842" s="165" t="s">
        <v>671</v>
      </c>
      <c r="E1842" s="165" t="s">
        <v>1788</v>
      </c>
      <c r="F1842" s="165" t="str">
        <f t="shared" si="308"/>
        <v>PAVI_12.14_400_NL2018</v>
      </c>
      <c r="G1842" s="165" t="s">
        <v>138</v>
      </c>
      <c r="H1842" s="12"/>
      <c r="I1842" s="12" t="s">
        <v>113</v>
      </c>
      <c r="J1842" s="14">
        <v>400</v>
      </c>
      <c r="K1842" s="15" t="s">
        <v>28</v>
      </c>
      <c r="L1842" s="15"/>
      <c r="M1842" s="16">
        <f t="shared" si="309"/>
        <v>8</v>
      </c>
      <c r="N1842" s="15">
        <v>3200</v>
      </c>
      <c r="O1842" s="15">
        <v>2900</v>
      </c>
      <c r="P1842" s="15">
        <f t="shared" si="307"/>
        <v>9280000</v>
      </c>
      <c r="Q1842" s="15" t="str">
        <f t="shared" si="305"/>
        <v>Done</v>
      </c>
      <c r="R1842" s="18" t="s">
        <v>44</v>
      </c>
      <c r="S1842" s="117">
        <v>43572</v>
      </c>
      <c r="T1842" s="20">
        <f>IFERROR(VLOOKUP(S1842,'Date Converter'!$A$4:$C$368,3,0),"")</f>
        <v>43606</v>
      </c>
      <c r="U1842" s="21">
        <f t="shared" si="306"/>
        <v>43606</v>
      </c>
      <c r="V1842" s="12" t="s">
        <v>443</v>
      </c>
      <c r="W1842" s="18"/>
      <c r="X1842" s="18"/>
      <c r="Y1842" s="18"/>
      <c r="Z1842" s="210">
        <v>43622</v>
      </c>
      <c r="AA1842" s="15">
        <v>3200</v>
      </c>
      <c r="AB1842" s="210"/>
      <c r="AC1842" s="15"/>
      <c r="AD1842" s="244"/>
      <c r="AE1842" s="15"/>
      <c r="AF1842" s="244"/>
      <c r="AG1842" s="15"/>
      <c r="AH1842" s="15">
        <f t="shared" si="310"/>
        <v>3200</v>
      </c>
      <c r="AI1842" s="22">
        <f t="shared" si="311"/>
        <v>0</v>
      </c>
      <c r="AJ1842" s="22">
        <f t="shared" si="312"/>
        <v>0</v>
      </c>
    </row>
    <row r="1843" spans="1:37" hidden="1">
      <c r="A1843" t="s">
        <v>1787</v>
      </c>
      <c r="B1843" s="13">
        <v>43820</v>
      </c>
      <c r="C1843" s="13" t="s">
        <v>1622</v>
      </c>
      <c r="D1843" t="s">
        <v>671</v>
      </c>
      <c r="E1843" s="165" t="s">
        <v>1788</v>
      </c>
      <c r="F1843" s="165" t="str">
        <f t="shared" si="308"/>
        <v>NELL_12.14_400_NL2018</v>
      </c>
      <c r="G1843" s="165" t="s">
        <v>131</v>
      </c>
      <c r="I1843" s="12" t="s">
        <v>113</v>
      </c>
      <c r="J1843" s="14">
        <v>400</v>
      </c>
      <c r="K1843" s="15" t="s">
        <v>28</v>
      </c>
      <c r="M1843" s="16">
        <f t="shared" si="309"/>
        <v>63</v>
      </c>
      <c r="N1843" s="15">
        <v>25200</v>
      </c>
      <c r="O1843" s="15">
        <v>3000</v>
      </c>
      <c r="P1843" s="15">
        <f t="shared" si="307"/>
        <v>75600000</v>
      </c>
      <c r="Q1843" s="15" t="str">
        <f t="shared" si="305"/>
        <v>Done</v>
      </c>
      <c r="R1843" s="18" t="s">
        <v>44</v>
      </c>
      <c r="S1843" s="117">
        <v>43480</v>
      </c>
      <c r="T1843" s="20">
        <f>IFERROR(VLOOKUP(S1843,'Date Converter'!$A$4:$C$368,3,0),"")</f>
        <v>43515</v>
      </c>
      <c r="U1843" s="21">
        <f t="shared" si="306"/>
        <v>43515</v>
      </c>
      <c r="V1843" s="12" t="s">
        <v>45</v>
      </c>
      <c r="Y1843" s="18"/>
      <c r="Z1843" s="210">
        <v>43518</v>
      </c>
      <c r="AA1843" s="15">
        <v>17600</v>
      </c>
      <c r="AB1843" s="210">
        <v>43578</v>
      </c>
      <c r="AC1843" s="15">
        <v>6000</v>
      </c>
      <c r="AD1843" s="244">
        <v>43587</v>
      </c>
      <c r="AE1843" s="15">
        <v>1600</v>
      </c>
      <c r="AF1843" s="244"/>
      <c r="AG1843" s="15"/>
      <c r="AH1843" s="15">
        <f t="shared" si="310"/>
        <v>25200</v>
      </c>
      <c r="AI1843" s="22">
        <f t="shared" si="311"/>
        <v>0</v>
      </c>
      <c r="AJ1843" s="22">
        <f t="shared" si="312"/>
        <v>0</v>
      </c>
      <c r="AK1843" s="165"/>
    </row>
    <row r="1844" spans="1:37" hidden="1">
      <c r="A1844" s="165" t="s">
        <v>1787</v>
      </c>
      <c r="B1844" s="13">
        <v>43820</v>
      </c>
      <c r="C1844" s="13" t="s">
        <v>1622</v>
      </c>
      <c r="D1844" s="165" t="s">
        <v>671</v>
      </c>
      <c r="E1844" s="165" t="s">
        <v>1788</v>
      </c>
      <c r="F1844" s="165" t="str">
        <f t="shared" si="308"/>
        <v>NELL_12.14_400_NL2018</v>
      </c>
      <c r="G1844" s="225" t="s">
        <v>131</v>
      </c>
      <c r="I1844" s="12" t="s">
        <v>113</v>
      </c>
      <c r="J1844" s="14">
        <v>400</v>
      </c>
      <c r="K1844" s="15" t="s">
        <v>28</v>
      </c>
      <c r="M1844" s="16">
        <f t="shared" si="309"/>
        <v>75</v>
      </c>
      <c r="N1844" s="15">
        <v>30000</v>
      </c>
      <c r="O1844" s="15">
        <v>3000</v>
      </c>
      <c r="P1844" s="15">
        <f t="shared" si="307"/>
        <v>90000000</v>
      </c>
      <c r="Q1844" s="15" t="str">
        <f t="shared" si="305"/>
        <v>Done</v>
      </c>
      <c r="R1844" s="18" t="s">
        <v>44</v>
      </c>
      <c r="S1844" s="117">
        <v>43534</v>
      </c>
      <c r="T1844" s="20">
        <f>IFERROR(VLOOKUP(S1844,'Date Converter'!$A$4:$C$368,3,0),"")</f>
        <v>43569</v>
      </c>
      <c r="U1844" s="21">
        <f t="shared" si="306"/>
        <v>43569</v>
      </c>
      <c r="V1844" s="12" t="s">
        <v>57</v>
      </c>
      <c r="W1844" s="18" t="s">
        <v>132</v>
      </c>
      <c r="Y1844" s="18"/>
      <c r="Z1844" s="210">
        <v>43587</v>
      </c>
      <c r="AA1844" s="15">
        <v>4400</v>
      </c>
      <c r="AB1844" s="210">
        <v>43593</v>
      </c>
      <c r="AC1844" s="15">
        <v>5200</v>
      </c>
      <c r="AD1844" s="244">
        <v>43602</v>
      </c>
      <c r="AE1844" s="15">
        <f>4800+5200+3600+4000+2800</f>
        <v>20400</v>
      </c>
      <c r="AF1844" s="244"/>
      <c r="AG1844" s="15"/>
      <c r="AH1844" s="15">
        <f t="shared" si="310"/>
        <v>30000</v>
      </c>
      <c r="AI1844" s="22">
        <f t="shared" si="311"/>
        <v>0</v>
      </c>
      <c r="AJ1844" s="22">
        <f t="shared" si="312"/>
        <v>0</v>
      </c>
      <c r="AK1844" s="165"/>
    </row>
    <row r="1845" spans="1:37" hidden="1">
      <c r="A1845" s="165" t="s">
        <v>1789</v>
      </c>
      <c r="B1845" s="13">
        <v>43556</v>
      </c>
      <c r="C1845" s="13" t="s">
        <v>1622</v>
      </c>
      <c r="D1845" s="165" t="s">
        <v>671</v>
      </c>
      <c r="E1845" s="165" t="s">
        <v>1788</v>
      </c>
      <c r="F1845" s="165" t="str">
        <f t="shared" si="308"/>
        <v>NELL_12.14_400_NL2018</v>
      </c>
      <c r="G1845" s="165" t="s">
        <v>131</v>
      </c>
      <c r="I1845" s="12" t="s">
        <v>113</v>
      </c>
      <c r="J1845" s="14">
        <v>400</v>
      </c>
      <c r="K1845" s="15" t="s">
        <v>28</v>
      </c>
      <c r="M1845" s="16">
        <f t="shared" si="309"/>
        <v>10</v>
      </c>
      <c r="N1845" s="15">
        <v>4000</v>
      </c>
      <c r="O1845" s="15">
        <v>3000</v>
      </c>
      <c r="P1845" s="15">
        <f t="shared" si="307"/>
        <v>12000000</v>
      </c>
      <c r="Q1845" s="15" t="str">
        <f t="shared" si="305"/>
        <v>Done</v>
      </c>
      <c r="R1845" s="18" t="s">
        <v>44</v>
      </c>
      <c r="S1845" s="117">
        <v>43534</v>
      </c>
      <c r="T1845" s="20">
        <f>IFERROR(VLOOKUP(S1845,'Date Converter'!$A$4:$C$368,3,0),"")</f>
        <v>43569</v>
      </c>
      <c r="U1845" s="21">
        <f t="shared" si="306"/>
        <v>43569</v>
      </c>
      <c r="V1845" s="12" t="s">
        <v>57</v>
      </c>
      <c r="Y1845" s="18"/>
      <c r="Z1845" s="210"/>
      <c r="AA1845" s="15">
        <v>4000</v>
      </c>
      <c r="AB1845" s="210"/>
      <c r="AC1845" s="15"/>
      <c r="AD1845" s="244"/>
      <c r="AE1845" s="15"/>
      <c r="AF1845" s="244"/>
      <c r="AG1845" s="15"/>
      <c r="AH1845" s="15">
        <f t="shared" si="310"/>
        <v>4000</v>
      </c>
      <c r="AI1845" s="22">
        <f t="shared" si="311"/>
        <v>0</v>
      </c>
      <c r="AJ1845" s="22">
        <f t="shared" si="312"/>
        <v>0</v>
      </c>
      <c r="AK1845" s="165"/>
    </row>
    <row r="1846" spans="1:37" hidden="1">
      <c r="A1846" s="165" t="s">
        <v>1789</v>
      </c>
      <c r="B1846" s="13">
        <v>43556</v>
      </c>
      <c r="C1846" s="13" t="s">
        <v>1622</v>
      </c>
      <c r="D1846" s="165" t="s">
        <v>671</v>
      </c>
      <c r="E1846" s="165" t="s">
        <v>1788</v>
      </c>
      <c r="F1846" s="165" t="str">
        <f t="shared" si="308"/>
        <v>NELL_12.14_400_NL2018</v>
      </c>
      <c r="G1846" s="165" t="s">
        <v>131</v>
      </c>
      <c r="I1846" s="12" t="s">
        <v>113</v>
      </c>
      <c r="J1846" s="14">
        <v>400</v>
      </c>
      <c r="K1846" s="15" t="s">
        <v>28</v>
      </c>
      <c r="M1846" s="16">
        <f t="shared" si="309"/>
        <v>49</v>
      </c>
      <c r="N1846" s="15">
        <f>10000+12800-3200</f>
        <v>19600</v>
      </c>
      <c r="O1846" s="15">
        <v>3200</v>
      </c>
      <c r="P1846" s="15">
        <f t="shared" si="307"/>
        <v>62720000</v>
      </c>
      <c r="Q1846" s="15" t="str">
        <f t="shared" si="305"/>
        <v>Done</v>
      </c>
      <c r="R1846" s="18" t="s">
        <v>44</v>
      </c>
      <c r="S1846" s="117">
        <v>43584</v>
      </c>
      <c r="T1846" s="20">
        <f>IFERROR(VLOOKUP(S1846,'Date Converter'!$A$4:$C$368,3,0),"")</f>
        <v>43618</v>
      </c>
      <c r="U1846" s="21">
        <f t="shared" si="306"/>
        <v>43618</v>
      </c>
      <c r="V1846" s="12" t="s">
        <v>443</v>
      </c>
      <c r="Y1846" s="18"/>
      <c r="Z1846" s="210">
        <v>43630</v>
      </c>
      <c r="AA1846" s="15">
        <v>5600</v>
      </c>
      <c r="AB1846" s="210">
        <v>43633</v>
      </c>
      <c r="AC1846" s="15">
        <v>8000</v>
      </c>
      <c r="AD1846" s="244">
        <v>43639</v>
      </c>
      <c r="AE1846" s="15">
        <v>6000</v>
      </c>
      <c r="AF1846" s="244"/>
      <c r="AG1846" s="15"/>
      <c r="AH1846" s="15">
        <f t="shared" si="310"/>
        <v>19600</v>
      </c>
      <c r="AI1846" s="22">
        <f t="shared" si="311"/>
        <v>0</v>
      </c>
      <c r="AJ1846" s="22">
        <f t="shared" si="312"/>
        <v>0</v>
      </c>
      <c r="AK1846" s="165"/>
    </row>
    <row r="1847" spans="1:37" hidden="1">
      <c r="A1847" s="165" t="s">
        <v>1793</v>
      </c>
      <c r="B1847" s="13">
        <v>43820</v>
      </c>
      <c r="C1847" s="13" t="s">
        <v>1622</v>
      </c>
      <c r="D1847" s="258" t="s">
        <v>671</v>
      </c>
      <c r="E1847" s="165" t="s">
        <v>1788</v>
      </c>
      <c r="F1847" s="165" t="str">
        <f t="shared" si="308"/>
        <v>MANI_24+_75_NL2018</v>
      </c>
      <c r="G1847" s="165" t="s">
        <v>105</v>
      </c>
      <c r="I1847" s="12" t="s">
        <v>185</v>
      </c>
      <c r="J1847" s="14">
        <v>75</v>
      </c>
      <c r="K1847" s="15" t="s">
        <v>28</v>
      </c>
      <c r="M1847" s="16">
        <f t="shared" si="309"/>
        <v>27</v>
      </c>
      <c r="N1847" s="15">
        <v>2025</v>
      </c>
      <c r="O1847" s="15">
        <v>16000</v>
      </c>
      <c r="P1847" s="15">
        <f t="shared" si="307"/>
        <v>32400000</v>
      </c>
      <c r="Q1847" s="15" t="str">
        <f t="shared" si="305"/>
        <v/>
      </c>
      <c r="R1847" s="18" t="s">
        <v>29</v>
      </c>
      <c r="S1847" s="117">
        <v>43709</v>
      </c>
      <c r="T1847" s="20">
        <f>IFERROR(VLOOKUP(S1847,'Date Converter'!$A$4:$C$368,3,0),"")</f>
        <v>43737</v>
      </c>
      <c r="U1847" s="21">
        <f t="shared" si="306"/>
        <v>43737</v>
      </c>
      <c r="V1847" s="253" t="s">
        <v>51</v>
      </c>
      <c r="Y1847" s="18"/>
      <c r="Z1847" s="210"/>
      <c r="AA1847" s="15"/>
      <c r="AB1847" s="210"/>
      <c r="AC1847" s="15"/>
      <c r="AD1847" s="244"/>
      <c r="AE1847" s="15"/>
      <c r="AF1847" s="244"/>
      <c r="AG1847" s="15"/>
      <c r="AH1847" s="15">
        <f t="shared" si="310"/>
        <v>0</v>
      </c>
      <c r="AI1847" s="22">
        <f t="shared" si="311"/>
        <v>2025</v>
      </c>
      <c r="AJ1847" s="22">
        <f t="shared" si="312"/>
        <v>32400000</v>
      </c>
      <c r="AK1847" s="165"/>
    </row>
    <row r="1848" spans="1:37" s="165" customFormat="1" hidden="1">
      <c r="A1848" s="165" t="s">
        <v>1787</v>
      </c>
      <c r="B1848" s="13">
        <v>43820</v>
      </c>
      <c r="C1848" s="13" t="s">
        <v>1622</v>
      </c>
      <c r="D1848" s="165" t="s">
        <v>671</v>
      </c>
      <c r="E1848" s="165" t="s">
        <v>1788</v>
      </c>
      <c r="F1848" s="165" t="str">
        <f t="shared" si="308"/>
        <v>AMAT_12.14_400_NL2018</v>
      </c>
      <c r="G1848" s="165" t="s">
        <v>112</v>
      </c>
      <c r="H1848" s="12"/>
      <c r="I1848" s="12" t="s">
        <v>113</v>
      </c>
      <c r="J1848" s="14">
        <v>400</v>
      </c>
      <c r="K1848" s="15" t="s">
        <v>28</v>
      </c>
      <c r="L1848" s="15"/>
      <c r="M1848" s="16">
        <f t="shared" si="309"/>
        <v>23</v>
      </c>
      <c r="N1848" s="15">
        <v>9200</v>
      </c>
      <c r="O1848" s="15">
        <v>2800</v>
      </c>
      <c r="P1848" s="15">
        <f t="shared" si="307"/>
        <v>25760000</v>
      </c>
      <c r="Q1848" s="15" t="str">
        <f t="shared" si="305"/>
        <v>Done</v>
      </c>
      <c r="R1848" s="18" t="s">
        <v>44</v>
      </c>
      <c r="S1848" s="117">
        <v>43511</v>
      </c>
      <c r="T1848" s="20">
        <f>IFERROR(VLOOKUP(S1848,'Date Converter'!$A$4:$C$368,3,0),"")</f>
        <v>43544</v>
      </c>
      <c r="U1848" s="21">
        <f t="shared" si="306"/>
        <v>43544</v>
      </c>
      <c r="V1848" s="12" t="s">
        <v>32</v>
      </c>
      <c r="W1848" s="18" t="s">
        <v>39</v>
      </c>
      <c r="X1848" s="18"/>
      <c r="Y1848" s="18"/>
      <c r="Z1848" s="210">
        <v>43553</v>
      </c>
      <c r="AA1848" s="15">
        <v>4800</v>
      </c>
      <c r="AB1848" s="210">
        <v>43556</v>
      </c>
      <c r="AC1848" s="15">
        <v>4400</v>
      </c>
      <c r="AD1848" s="244"/>
      <c r="AE1848" s="15"/>
      <c r="AF1848" s="244"/>
      <c r="AG1848" s="15"/>
      <c r="AH1848" s="15">
        <f t="shared" si="310"/>
        <v>9200</v>
      </c>
      <c r="AI1848" s="22">
        <f t="shared" si="311"/>
        <v>0</v>
      </c>
      <c r="AJ1848" s="22">
        <f t="shared" si="312"/>
        <v>0</v>
      </c>
    </row>
    <row r="1849" spans="1:37" hidden="1">
      <c r="A1849" t="s">
        <v>1789</v>
      </c>
      <c r="B1849" s="13">
        <v>43556</v>
      </c>
      <c r="C1849" s="13" t="s">
        <v>1622</v>
      </c>
      <c r="D1849" t="s">
        <v>671</v>
      </c>
      <c r="E1849" s="165" t="s">
        <v>1788</v>
      </c>
      <c r="F1849" s="165" t="str">
        <f t="shared" si="308"/>
        <v>AMAT_14.16_275_NL2018</v>
      </c>
      <c r="G1849" s="165" t="s">
        <v>112</v>
      </c>
      <c r="I1849" s="12" t="s">
        <v>47</v>
      </c>
      <c r="J1849" s="14">
        <v>275</v>
      </c>
      <c r="K1849" s="15" t="s">
        <v>28</v>
      </c>
      <c r="M1849" s="16">
        <f t="shared" si="309"/>
        <v>15</v>
      </c>
      <c r="N1849" s="15">
        <v>4125</v>
      </c>
      <c r="O1849" s="15">
        <v>4200</v>
      </c>
      <c r="P1849" s="15">
        <f t="shared" si="307"/>
        <v>17325000</v>
      </c>
      <c r="Q1849" s="15" t="str">
        <f t="shared" si="305"/>
        <v>Done</v>
      </c>
      <c r="R1849" s="18" t="s">
        <v>44</v>
      </c>
      <c r="S1849" s="117" t="s">
        <v>2010</v>
      </c>
      <c r="T1849" s="20" t="str">
        <f>IFERROR(VLOOKUP(S1849,'Date Converter'!$A$4:$C$368,3,0),"")</f>
        <v/>
      </c>
      <c r="U1849" s="21" t="str">
        <f t="shared" si="306"/>
        <v/>
      </c>
      <c r="V1849" s="12" t="s">
        <v>57</v>
      </c>
      <c r="Y1849" s="18"/>
      <c r="Z1849" s="210">
        <v>43572</v>
      </c>
      <c r="AA1849" s="15">
        <v>4125</v>
      </c>
      <c r="AB1849" s="210"/>
      <c r="AC1849" s="15"/>
      <c r="AD1849" s="244"/>
      <c r="AE1849" s="15"/>
      <c r="AF1849" s="244"/>
      <c r="AG1849" s="15"/>
      <c r="AH1849" s="15">
        <f t="shared" si="310"/>
        <v>4125</v>
      </c>
      <c r="AI1849" s="22">
        <f t="shared" si="311"/>
        <v>0</v>
      </c>
      <c r="AJ1849" s="22">
        <f t="shared" si="312"/>
        <v>0</v>
      </c>
      <c r="AK1849" s="165"/>
    </row>
    <row r="1850" spans="1:37" hidden="1">
      <c r="A1850" s="165" t="s">
        <v>1789</v>
      </c>
      <c r="B1850" s="13">
        <v>43556</v>
      </c>
      <c r="C1850" s="13" t="s">
        <v>1622</v>
      </c>
      <c r="D1850" s="165" t="s">
        <v>671</v>
      </c>
      <c r="E1850" s="165" t="s">
        <v>1788</v>
      </c>
      <c r="F1850" s="165" t="str">
        <f t="shared" si="308"/>
        <v>AMAT_14.16_300_NL2018</v>
      </c>
      <c r="G1850" s="165" t="s">
        <v>112</v>
      </c>
      <c r="I1850" s="12" t="s">
        <v>47</v>
      </c>
      <c r="J1850" s="14">
        <v>300</v>
      </c>
      <c r="K1850" s="15" t="s">
        <v>28</v>
      </c>
      <c r="M1850" s="16">
        <f t="shared" si="309"/>
        <v>0</v>
      </c>
      <c r="N1850" s="15">
        <f>10200-10200</f>
        <v>0</v>
      </c>
      <c r="O1850" s="15">
        <v>4500</v>
      </c>
      <c r="P1850" s="15">
        <f t="shared" si="307"/>
        <v>0</v>
      </c>
      <c r="Q1850" s="15" t="str">
        <f t="shared" si="305"/>
        <v>Canceled</v>
      </c>
      <c r="R1850" s="18" t="s">
        <v>71</v>
      </c>
      <c r="S1850" s="117">
        <v>43584</v>
      </c>
      <c r="T1850" s="20">
        <f>IFERROR(VLOOKUP(S1850,'Date Converter'!$A$4:$C$368,3,0),"")</f>
        <v>43618</v>
      </c>
      <c r="U1850" s="21">
        <f t="shared" si="306"/>
        <v>43618</v>
      </c>
      <c r="V1850" s="12" t="s">
        <v>443</v>
      </c>
      <c r="Y1850" s="18"/>
      <c r="Z1850" s="210"/>
      <c r="AA1850" s="15"/>
      <c r="AB1850" s="210"/>
      <c r="AC1850" s="15"/>
      <c r="AD1850" s="244"/>
      <c r="AE1850" s="15"/>
      <c r="AF1850" s="244"/>
      <c r="AG1850" s="15"/>
      <c r="AH1850" s="15">
        <f t="shared" si="310"/>
        <v>0</v>
      </c>
      <c r="AI1850" s="22">
        <f t="shared" si="311"/>
        <v>0</v>
      </c>
      <c r="AJ1850" s="22">
        <f t="shared" si="312"/>
        <v>0</v>
      </c>
      <c r="AK1850" s="165"/>
    </row>
    <row r="1851" spans="1:37" hidden="1">
      <c r="A1851" s="165" t="s">
        <v>301</v>
      </c>
      <c r="B1851" s="13">
        <v>43535</v>
      </c>
      <c r="C1851" s="13" t="s">
        <v>23</v>
      </c>
      <c r="D1851" s="165" t="s">
        <v>115</v>
      </c>
      <c r="E1851" s="119" t="s">
        <v>116</v>
      </c>
      <c r="F1851" s="165" t="str">
        <f t="shared" si="308"/>
        <v>SERA_14.16_300_NL2018</v>
      </c>
      <c r="G1851" s="183" t="s">
        <v>227</v>
      </c>
      <c r="I1851" s="12" t="s">
        <v>47</v>
      </c>
      <c r="J1851" s="14">
        <v>300</v>
      </c>
      <c r="K1851" s="15" t="s">
        <v>28</v>
      </c>
      <c r="M1851" s="16">
        <f t="shared" si="309"/>
        <v>10</v>
      </c>
      <c r="N1851" s="15">
        <v>3000</v>
      </c>
      <c r="O1851" s="15">
        <v>3600</v>
      </c>
      <c r="P1851" s="15">
        <f t="shared" si="307"/>
        <v>10800000</v>
      </c>
      <c r="Q1851" s="15" t="str">
        <f t="shared" si="305"/>
        <v>Done</v>
      </c>
      <c r="R1851" s="18" t="s">
        <v>44</v>
      </c>
      <c r="S1851" s="23">
        <v>43572</v>
      </c>
      <c r="T1851" s="20">
        <f>IFERROR(VLOOKUP(S1851,'Date Converter'!$A$4:$C$368,3,0),"")</f>
        <v>43606</v>
      </c>
      <c r="U1851" s="21">
        <f t="shared" si="306"/>
        <v>43606</v>
      </c>
      <c r="V1851" s="12" t="s">
        <v>87</v>
      </c>
      <c r="Z1851" s="206">
        <v>43605</v>
      </c>
      <c r="AA1851" s="15">
        <v>3000</v>
      </c>
      <c r="AB1851" s="206"/>
      <c r="AD1851" s="206"/>
      <c r="AH1851" s="15">
        <f t="shared" si="310"/>
        <v>3000</v>
      </c>
      <c r="AI1851" s="22">
        <f t="shared" si="311"/>
        <v>0</v>
      </c>
      <c r="AJ1851" s="22">
        <f t="shared" si="312"/>
        <v>0</v>
      </c>
      <c r="AK1851" s="165"/>
    </row>
    <row r="1852" spans="1:37" hidden="1">
      <c r="A1852" s="165" t="s">
        <v>301</v>
      </c>
      <c r="B1852" s="13">
        <v>43535</v>
      </c>
      <c r="C1852" s="13" t="s">
        <v>23</v>
      </c>
      <c r="D1852" s="165" t="s">
        <v>115</v>
      </c>
      <c r="E1852" s="13" t="s">
        <v>116</v>
      </c>
      <c r="F1852" s="165" t="str">
        <f t="shared" si="308"/>
        <v>ROBI_16.18_200_NL2018</v>
      </c>
      <c r="G1852" s="165" t="s">
        <v>61</v>
      </c>
      <c r="I1852" s="12">
        <v>16.18</v>
      </c>
      <c r="J1852" s="14">
        <v>200</v>
      </c>
      <c r="K1852" s="15" t="s">
        <v>28</v>
      </c>
      <c r="M1852" s="16">
        <f t="shared" si="309"/>
        <v>15</v>
      </c>
      <c r="N1852" s="15">
        <v>3000</v>
      </c>
      <c r="O1852" s="15">
        <v>4800</v>
      </c>
      <c r="P1852" s="15">
        <f t="shared" si="307"/>
        <v>14400000</v>
      </c>
      <c r="Q1852" s="15" t="str">
        <f t="shared" si="305"/>
        <v>Done</v>
      </c>
      <c r="R1852" s="18" t="s">
        <v>44</v>
      </c>
      <c r="S1852" s="23">
        <v>43539</v>
      </c>
      <c r="T1852" s="20">
        <f>IFERROR(VLOOKUP(S1852,'Date Converter'!$A$4:$C$368,3,0),"")</f>
        <v>43574</v>
      </c>
      <c r="U1852" s="21">
        <f t="shared" si="306"/>
        <v>43574</v>
      </c>
      <c r="V1852" s="12" t="s">
        <v>57</v>
      </c>
      <c r="W1852" s="18" t="s">
        <v>118</v>
      </c>
      <c r="X1852" s="18">
        <v>43569</v>
      </c>
      <c r="Z1852" s="206">
        <v>43579</v>
      </c>
      <c r="AA1852" s="15">
        <v>3000</v>
      </c>
      <c r="AB1852" s="206"/>
      <c r="AD1852" s="206"/>
      <c r="AH1852" s="15">
        <f t="shared" si="310"/>
        <v>3000</v>
      </c>
      <c r="AI1852" s="22">
        <f t="shared" si="311"/>
        <v>0</v>
      </c>
      <c r="AJ1852" s="22">
        <f t="shared" si="312"/>
        <v>0</v>
      </c>
      <c r="AK1852" s="165"/>
    </row>
    <row r="1853" spans="1:37" hidden="1">
      <c r="A1853" t="s">
        <v>301</v>
      </c>
      <c r="B1853" s="13">
        <v>43535</v>
      </c>
      <c r="C1853" s="13" t="s">
        <v>23</v>
      </c>
      <c r="D1853" t="s">
        <v>115</v>
      </c>
      <c r="E1853" s="13" t="s">
        <v>116</v>
      </c>
      <c r="F1853" s="198" t="str">
        <f t="shared" si="308"/>
        <v>ROBI_16.18_200_NL2018</v>
      </c>
      <c r="G1853" s="165" t="s">
        <v>61</v>
      </c>
      <c r="I1853" s="12">
        <v>16.18</v>
      </c>
      <c r="J1853" s="14">
        <v>200</v>
      </c>
      <c r="K1853" s="15" t="s">
        <v>28</v>
      </c>
      <c r="M1853" s="16">
        <f t="shared" si="309"/>
        <v>15</v>
      </c>
      <c r="N1853" s="15">
        <v>3000</v>
      </c>
      <c r="O1853" s="15">
        <v>4800</v>
      </c>
      <c r="P1853" s="15">
        <f t="shared" si="307"/>
        <v>14400000</v>
      </c>
      <c r="Q1853" s="15" t="str">
        <f t="shared" si="305"/>
        <v>Done</v>
      </c>
      <c r="R1853" s="18" t="s">
        <v>44</v>
      </c>
      <c r="S1853" s="23">
        <v>43539</v>
      </c>
      <c r="T1853" s="20">
        <f>IFERROR(VLOOKUP(S1853,'Date Converter'!$A$4:$C$368,3,0),"")</f>
        <v>43574</v>
      </c>
      <c r="U1853" s="21">
        <f t="shared" si="306"/>
        <v>43574</v>
      </c>
      <c r="V1853" s="12" t="s">
        <v>57</v>
      </c>
      <c r="Z1853" s="206">
        <v>43579</v>
      </c>
      <c r="AA1853" s="15">
        <v>3000</v>
      </c>
      <c r="AB1853" s="206"/>
      <c r="AD1853" s="206"/>
      <c r="AH1853" s="15">
        <f t="shared" si="310"/>
        <v>3000</v>
      </c>
      <c r="AI1853" s="22">
        <f t="shared" si="311"/>
        <v>0</v>
      </c>
      <c r="AJ1853" s="22">
        <f t="shared" si="312"/>
        <v>0</v>
      </c>
      <c r="AK1853" s="165"/>
    </row>
    <row r="1854" spans="1:37" hidden="1">
      <c r="A1854" s="165" t="s">
        <v>301</v>
      </c>
      <c r="B1854" s="13">
        <v>43535</v>
      </c>
      <c r="C1854" s="13" t="s">
        <v>23</v>
      </c>
      <c r="D1854" s="165" t="s">
        <v>115</v>
      </c>
      <c r="E1854" s="119" t="s">
        <v>116</v>
      </c>
      <c r="F1854" s="165" t="str">
        <f t="shared" si="308"/>
        <v>ROBI_16.18_200_NL2018</v>
      </c>
      <c r="G1854" s="165" t="s">
        <v>61</v>
      </c>
      <c r="I1854" s="12">
        <v>16.18</v>
      </c>
      <c r="J1854" s="14">
        <v>200</v>
      </c>
      <c r="K1854" s="15" t="s">
        <v>28</v>
      </c>
      <c r="M1854" s="16">
        <f t="shared" si="309"/>
        <v>35</v>
      </c>
      <c r="N1854" s="15">
        <v>7000</v>
      </c>
      <c r="O1854" s="15">
        <v>5000</v>
      </c>
      <c r="P1854" s="15">
        <f t="shared" si="307"/>
        <v>35000000</v>
      </c>
      <c r="Q1854" s="15" t="str">
        <f t="shared" si="305"/>
        <v>Done</v>
      </c>
      <c r="R1854" s="18" t="s">
        <v>44</v>
      </c>
      <c r="S1854" s="23">
        <v>43572</v>
      </c>
      <c r="T1854" s="20">
        <f>IFERROR(VLOOKUP(S1854,'Date Converter'!$A$4:$C$368,3,0),"")</f>
        <v>43606</v>
      </c>
      <c r="U1854" s="21">
        <f t="shared" si="306"/>
        <v>43606</v>
      </c>
      <c r="V1854" s="12" t="s">
        <v>87</v>
      </c>
      <c r="Z1854" s="206">
        <v>43605</v>
      </c>
      <c r="AA1854" s="15">
        <v>7000</v>
      </c>
      <c r="AB1854" s="206"/>
      <c r="AD1854" s="206"/>
      <c r="AH1854" s="15">
        <f t="shared" si="310"/>
        <v>7000</v>
      </c>
      <c r="AI1854" s="22">
        <f t="shared" si="311"/>
        <v>0</v>
      </c>
      <c r="AJ1854" s="22">
        <f t="shared" si="312"/>
        <v>0</v>
      </c>
      <c r="AK1854" s="165"/>
    </row>
    <row r="1855" spans="1:37" hidden="1">
      <c r="A1855" s="165" t="s">
        <v>1475</v>
      </c>
      <c r="B1855" s="13">
        <v>43579</v>
      </c>
      <c r="C1855" s="13" t="s">
        <v>23</v>
      </c>
      <c r="D1855" s="258" t="s">
        <v>115</v>
      </c>
      <c r="E1855" s="249" t="s">
        <v>116</v>
      </c>
      <c r="F1855" s="165" t="str">
        <f t="shared" si="308"/>
        <v>ROBI_16.18_200_NL2018</v>
      </c>
      <c r="G1855" s="165" t="s">
        <v>61</v>
      </c>
      <c r="I1855" s="12">
        <v>16.18</v>
      </c>
      <c r="J1855" s="14">
        <v>200</v>
      </c>
      <c r="K1855" s="15" t="s">
        <v>28</v>
      </c>
      <c r="M1855" s="16">
        <f t="shared" si="309"/>
        <v>35</v>
      </c>
      <c r="N1855" s="15">
        <v>7000</v>
      </c>
      <c r="O1855" s="15">
        <v>5800</v>
      </c>
      <c r="P1855" s="15">
        <f t="shared" si="307"/>
        <v>40600000</v>
      </c>
      <c r="Q1855" s="15" t="str">
        <f t="shared" si="305"/>
        <v/>
      </c>
      <c r="R1855" s="18" t="s">
        <v>29</v>
      </c>
      <c r="S1855" s="23">
        <v>43709</v>
      </c>
      <c r="T1855" s="20">
        <f>IFERROR(VLOOKUP(S1855,'Date Converter'!$A$4:$C$368,3,0),"")</f>
        <v>43737</v>
      </c>
      <c r="U1855" s="21">
        <f t="shared" si="306"/>
        <v>43737</v>
      </c>
      <c r="V1855" s="15" t="s">
        <v>51</v>
      </c>
      <c r="AA1855" s="15"/>
      <c r="AB1855" s="206"/>
      <c r="AD1855" s="206"/>
      <c r="AH1855" s="15">
        <f t="shared" si="310"/>
        <v>0</v>
      </c>
      <c r="AI1855" s="22">
        <f t="shared" si="311"/>
        <v>7000</v>
      </c>
      <c r="AJ1855" s="22">
        <f t="shared" si="312"/>
        <v>40600000</v>
      </c>
      <c r="AK1855" s="165"/>
    </row>
    <row r="1856" spans="1:37" hidden="1">
      <c r="A1856" s="165" t="s">
        <v>301</v>
      </c>
      <c r="B1856" s="13">
        <v>43535</v>
      </c>
      <c r="C1856" s="13" t="s">
        <v>23</v>
      </c>
      <c r="D1856" s="165" t="s">
        <v>115</v>
      </c>
      <c r="E1856" s="13" t="s">
        <v>116</v>
      </c>
      <c r="F1856" s="198" t="str">
        <f t="shared" si="308"/>
        <v>FELI_15.16_250_NL2018</v>
      </c>
      <c r="G1856" s="183" t="s">
        <v>117</v>
      </c>
      <c r="I1856" s="12">
        <v>15.16</v>
      </c>
      <c r="J1856" s="14">
        <v>250</v>
      </c>
      <c r="K1856" s="15" t="s">
        <v>28</v>
      </c>
      <c r="M1856" s="16">
        <f t="shared" si="309"/>
        <v>5</v>
      </c>
      <c r="N1856" s="15">
        <v>1250</v>
      </c>
      <c r="O1856" s="15">
        <v>5700</v>
      </c>
      <c r="P1856" s="15">
        <f t="shared" si="307"/>
        <v>7125000</v>
      </c>
      <c r="Q1856" s="15" t="str">
        <f t="shared" si="305"/>
        <v>Done</v>
      </c>
      <c r="R1856" s="18" t="s">
        <v>44</v>
      </c>
      <c r="S1856" s="23">
        <v>43539</v>
      </c>
      <c r="T1856" s="20">
        <f>IFERROR(VLOOKUP(S1856,'Date Converter'!$A$4:$C$368,3,0),"")</f>
        <v>43574</v>
      </c>
      <c r="U1856" s="21">
        <f t="shared" si="306"/>
        <v>43574</v>
      </c>
      <c r="V1856" s="12" t="s">
        <v>57</v>
      </c>
      <c r="Z1856" s="206">
        <v>43579</v>
      </c>
      <c r="AA1856" s="15">
        <v>1250</v>
      </c>
      <c r="AB1856" s="206"/>
      <c r="AD1856" s="206"/>
      <c r="AH1856" s="15">
        <f t="shared" si="310"/>
        <v>1250</v>
      </c>
      <c r="AI1856" s="22">
        <f t="shared" si="311"/>
        <v>0</v>
      </c>
      <c r="AJ1856" s="22">
        <f t="shared" si="312"/>
        <v>0</v>
      </c>
      <c r="AK1856" s="165"/>
    </row>
    <row r="1857" spans="1:37" hidden="1">
      <c r="A1857" t="s">
        <v>301</v>
      </c>
      <c r="B1857" s="13">
        <v>43535</v>
      </c>
      <c r="C1857" s="13" t="s">
        <v>23</v>
      </c>
      <c r="D1857" t="s">
        <v>115</v>
      </c>
      <c r="E1857" s="13" t="s">
        <v>116</v>
      </c>
      <c r="F1857" s="165" t="str">
        <f t="shared" si="308"/>
        <v>CONC_16.18_200_NL2018</v>
      </c>
      <c r="G1857" s="165" t="s">
        <v>40</v>
      </c>
      <c r="I1857" s="12">
        <v>16.18</v>
      </c>
      <c r="J1857" s="14">
        <v>200</v>
      </c>
      <c r="K1857" s="15" t="s">
        <v>28</v>
      </c>
      <c r="M1857" s="16">
        <f t="shared" si="309"/>
        <v>5</v>
      </c>
      <c r="N1857" s="15">
        <v>1000</v>
      </c>
      <c r="O1857" s="15">
        <v>5000</v>
      </c>
      <c r="P1857" s="15">
        <f t="shared" si="307"/>
        <v>5000000</v>
      </c>
      <c r="Q1857" s="15" t="str">
        <f t="shared" si="305"/>
        <v>Done</v>
      </c>
      <c r="R1857" s="18" t="s">
        <v>44</v>
      </c>
      <c r="S1857" s="23">
        <v>43539</v>
      </c>
      <c r="T1857" s="20">
        <f>IFERROR(VLOOKUP(S1857,'Date Converter'!$A$4:$C$368,3,0),"")</f>
        <v>43574</v>
      </c>
      <c r="U1857" s="21">
        <f t="shared" si="306"/>
        <v>43574</v>
      </c>
      <c r="V1857" s="12" t="s">
        <v>57</v>
      </c>
      <c r="W1857" s="18" t="s">
        <v>86</v>
      </c>
      <c r="X1857" s="18">
        <v>43569</v>
      </c>
      <c r="Z1857" s="206">
        <v>43579</v>
      </c>
      <c r="AA1857" s="15">
        <v>1000</v>
      </c>
      <c r="AB1857" s="206"/>
      <c r="AD1857" s="206"/>
      <c r="AH1857" s="15">
        <f t="shared" si="310"/>
        <v>1000</v>
      </c>
      <c r="AI1857" s="22">
        <f t="shared" si="311"/>
        <v>0</v>
      </c>
      <c r="AJ1857" s="22">
        <f t="shared" si="312"/>
        <v>0</v>
      </c>
      <c r="AK1857" s="165"/>
    </row>
    <row r="1858" spans="1:37" hidden="1">
      <c r="A1858" s="165" t="s">
        <v>1475</v>
      </c>
      <c r="B1858" s="13">
        <v>43579</v>
      </c>
      <c r="C1858" s="13" t="s">
        <v>23</v>
      </c>
      <c r="D1858" s="258" t="s">
        <v>115</v>
      </c>
      <c r="E1858" s="249" t="s">
        <v>116</v>
      </c>
      <c r="F1858" s="165" t="str">
        <f t="shared" si="308"/>
        <v>CONC_18.20_150_NL2018</v>
      </c>
      <c r="G1858" s="13" t="s">
        <v>40</v>
      </c>
      <c r="I1858" s="12" t="s">
        <v>27</v>
      </c>
      <c r="J1858" s="14">
        <v>150</v>
      </c>
      <c r="K1858" s="15" t="s">
        <v>28</v>
      </c>
      <c r="M1858" s="16">
        <f t="shared" si="309"/>
        <v>20</v>
      </c>
      <c r="N1858" s="15">
        <v>3000</v>
      </c>
      <c r="O1858" s="15">
        <v>8000</v>
      </c>
      <c r="P1858" s="15">
        <f t="shared" si="307"/>
        <v>24000000</v>
      </c>
      <c r="Q1858" s="15" t="str">
        <f t="shared" si="305"/>
        <v/>
      </c>
      <c r="R1858" s="18" t="s">
        <v>29</v>
      </c>
      <c r="S1858" s="23">
        <v>43709</v>
      </c>
      <c r="T1858" s="20">
        <f>IFERROR(VLOOKUP(S1858,'Date Converter'!$A$4:$C$368,3,0),"")</f>
        <v>43737</v>
      </c>
      <c r="U1858" s="21">
        <f t="shared" si="306"/>
        <v>43737</v>
      </c>
      <c r="V1858" s="15" t="s">
        <v>51</v>
      </c>
      <c r="AA1858" s="15"/>
      <c r="AB1858" s="206"/>
      <c r="AD1858" s="206"/>
      <c r="AH1858" s="15">
        <f t="shared" si="310"/>
        <v>0</v>
      </c>
      <c r="AI1858" s="22">
        <f t="shared" si="311"/>
        <v>3000</v>
      </c>
      <c r="AJ1858" s="22">
        <f t="shared" si="312"/>
        <v>24000000</v>
      </c>
      <c r="AK1858" s="165"/>
    </row>
    <row r="1859" spans="1:37" hidden="1">
      <c r="A1859" s="165" t="s">
        <v>1593</v>
      </c>
      <c r="B1859" s="13">
        <v>43606</v>
      </c>
      <c r="C1859" s="13" t="s">
        <v>23</v>
      </c>
      <c r="D1859" s="258" t="s">
        <v>1840</v>
      </c>
      <c r="E1859" s="198" t="s">
        <v>1587</v>
      </c>
      <c r="F1859" s="165" t="str">
        <f t="shared" si="308"/>
        <v>SERA_18.20_150_NL2018</v>
      </c>
      <c r="G1859" s="165" t="s">
        <v>227</v>
      </c>
      <c r="I1859" s="12" t="s">
        <v>27</v>
      </c>
      <c r="J1859" s="31" t="s">
        <v>126</v>
      </c>
      <c r="K1859" s="15" t="s">
        <v>28</v>
      </c>
      <c r="M1859" s="16">
        <f t="shared" si="309"/>
        <v>67</v>
      </c>
      <c r="N1859" s="15">
        <v>10050</v>
      </c>
      <c r="O1859" s="15">
        <v>7700</v>
      </c>
      <c r="P1859" s="15">
        <f t="shared" si="307"/>
        <v>77385000</v>
      </c>
      <c r="Q1859" s="15" t="str">
        <f t="shared" ref="Q1859:Q1904" si="313">IF(AND(N1859=0,AI1859=0),"Canceled",IF(AND(N1859&gt;0,AI1859=0),"Done",""))</f>
        <v/>
      </c>
      <c r="R1859" s="18" t="s">
        <v>29</v>
      </c>
      <c r="S1859" s="23">
        <v>43709</v>
      </c>
      <c r="T1859" s="20">
        <f>IFERROR(VLOOKUP(S1859,'Date Converter'!$A$4:$C$368,3,0),"")</f>
        <v>43737</v>
      </c>
      <c r="U1859" s="21">
        <f t="shared" si="306"/>
        <v>43737</v>
      </c>
      <c r="V1859" s="253" t="s">
        <v>51</v>
      </c>
      <c r="AA1859" s="15"/>
      <c r="AB1859" s="206"/>
      <c r="AD1859" s="206"/>
      <c r="AH1859" s="15">
        <f t="shared" si="310"/>
        <v>0</v>
      </c>
      <c r="AI1859" s="22">
        <f t="shared" si="311"/>
        <v>10050</v>
      </c>
      <c r="AJ1859" s="22">
        <f t="shared" si="312"/>
        <v>77385000</v>
      </c>
      <c r="AK1859" s="165"/>
    </row>
    <row r="1860" spans="1:37" hidden="1">
      <c r="A1860" s="165" t="s">
        <v>1593</v>
      </c>
      <c r="B1860" s="13">
        <v>43606</v>
      </c>
      <c r="C1860" s="13" t="s">
        <v>23</v>
      </c>
      <c r="D1860" s="258" t="s">
        <v>1840</v>
      </c>
      <c r="E1860" s="198" t="s">
        <v>1587</v>
      </c>
      <c r="F1860" s="165" t="str">
        <f t="shared" si="308"/>
        <v>PROF_18.20_150_NL2018</v>
      </c>
      <c r="G1860" s="165" t="s">
        <v>56</v>
      </c>
      <c r="I1860" s="12" t="s">
        <v>27</v>
      </c>
      <c r="J1860" s="31" t="s">
        <v>126</v>
      </c>
      <c r="K1860" s="15" t="s">
        <v>28</v>
      </c>
      <c r="M1860" s="16">
        <f t="shared" si="309"/>
        <v>67</v>
      </c>
      <c r="N1860" s="15">
        <v>10050</v>
      </c>
      <c r="O1860" s="15">
        <v>10900</v>
      </c>
      <c r="P1860" s="15">
        <f t="shared" si="307"/>
        <v>109545000</v>
      </c>
      <c r="Q1860" s="15" t="str">
        <f t="shared" si="313"/>
        <v/>
      </c>
      <c r="R1860" s="18" t="s">
        <v>29</v>
      </c>
      <c r="S1860" s="23">
        <v>43709</v>
      </c>
      <c r="T1860" s="20">
        <f>IFERROR(VLOOKUP(S1860,'Date Converter'!$A$4:$C$368,3,0),"")</f>
        <v>43737</v>
      </c>
      <c r="U1860" s="21">
        <f t="shared" si="306"/>
        <v>43737</v>
      </c>
      <c r="V1860" s="253" t="s">
        <v>51</v>
      </c>
      <c r="AA1860" s="15"/>
      <c r="AB1860" s="206"/>
      <c r="AD1860" s="206"/>
      <c r="AH1860" s="15">
        <f t="shared" si="310"/>
        <v>0</v>
      </c>
      <c r="AI1860" s="22">
        <f t="shared" si="311"/>
        <v>10050</v>
      </c>
      <c r="AJ1860" s="22">
        <f t="shared" si="312"/>
        <v>109545000</v>
      </c>
      <c r="AK1860" s="165"/>
    </row>
    <row r="1861" spans="1:37" hidden="1">
      <c r="A1861" t="s">
        <v>1586</v>
      </c>
      <c r="B1861" s="13">
        <v>43634</v>
      </c>
      <c r="C1861" s="13" t="s">
        <v>23</v>
      </c>
      <c r="D1861" t="s">
        <v>1840</v>
      </c>
      <c r="E1861" s="198" t="s">
        <v>1587</v>
      </c>
      <c r="F1861" s="165" t="str">
        <f t="shared" si="308"/>
        <v>NASH_14.16_300_NL2018</v>
      </c>
      <c r="G1861" s="165" t="s">
        <v>123</v>
      </c>
      <c r="I1861" s="12" t="s">
        <v>47</v>
      </c>
      <c r="J1861" s="31" t="s">
        <v>124</v>
      </c>
      <c r="K1861" s="15" t="s">
        <v>28</v>
      </c>
      <c r="M1861" s="16">
        <f t="shared" si="309"/>
        <v>34</v>
      </c>
      <c r="N1861" s="15">
        <v>10200</v>
      </c>
      <c r="O1861" s="15">
        <v>4100</v>
      </c>
      <c r="P1861" s="15">
        <f t="shared" si="307"/>
        <v>41820000</v>
      </c>
      <c r="Q1861" s="15" t="str">
        <f t="shared" si="313"/>
        <v/>
      </c>
      <c r="R1861" s="18" t="s">
        <v>31</v>
      </c>
      <c r="S1861" s="23">
        <v>43631</v>
      </c>
      <c r="T1861" s="20">
        <f>IFERROR(VLOOKUP(S1861,'Date Converter'!$A$4:$C$368,3,0),"")</f>
        <v>43663</v>
      </c>
      <c r="U1861" s="21">
        <f t="shared" si="306"/>
        <v>43663</v>
      </c>
      <c r="AA1861" s="15"/>
      <c r="AB1861" s="206"/>
      <c r="AD1861" s="206"/>
      <c r="AH1861" s="15">
        <f t="shared" si="310"/>
        <v>0</v>
      </c>
      <c r="AI1861" s="22">
        <f t="shared" si="311"/>
        <v>10200</v>
      </c>
      <c r="AJ1861" s="22">
        <f t="shared" si="312"/>
        <v>41820000</v>
      </c>
      <c r="AK1861" s="165"/>
    </row>
    <row r="1862" spans="1:37" hidden="1">
      <c r="A1862" s="165" t="s">
        <v>1586</v>
      </c>
      <c r="B1862" s="13">
        <v>43606</v>
      </c>
      <c r="C1862" s="13" t="s">
        <v>23</v>
      </c>
      <c r="D1862" s="165" t="s">
        <v>1840</v>
      </c>
      <c r="E1862" s="198" t="s">
        <v>1587</v>
      </c>
      <c r="F1862" s="165" t="str">
        <f t="shared" si="308"/>
        <v>EREM_14.16_300_NL2018</v>
      </c>
      <c r="G1862" s="165" t="s">
        <v>469</v>
      </c>
      <c r="I1862" s="12" t="s">
        <v>47</v>
      </c>
      <c r="J1862" s="31" t="s">
        <v>124</v>
      </c>
      <c r="K1862" s="15" t="s">
        <v>28</v>
      </c>
      <c r="M1862" s="16">
        <f t="shared" si="309"/>
        <v>7</v>
      </c>
      <c r="N1862" s="15">
        <v>2100</v>
      </c>
      <c r="O1862" s="15">
        <v>4400</v>
      </c>
      <c r="P1862" s="15">
        <f t="shared" si="307"/>
        <v>9240000</v>
      </c>
      <c r="Q1862" s="15" t="str">
        <f t="shared" si="313"/>
        <v/>
      </c>
      <c r="R1862" s="18" t="s">
        <v>29</v>
      </c>
      <c r="S1862" s="23">
        <v>43641</v>
      </c>
      <c r="T1862" s="20">
        <f>IFERROR(VLOOKUP(S1862,'Date Converter'!$A$4:$C$368,3,0),"")</f>
        <v>43673</v>
      </c>
      <c r="U1862" s="21">
        <f t="shared" si="306"/>
        <v>43673</v>
      </c>
      <c r="AA1862" s="15"/>
      <c r="AB1862" s="206"/>
      <c r="AD1862" s="206"/>
      <c r="AH1862" s="15">
        <f t="shared" si="310"/>
        <v>0</v>
      </c>
      <c r="AI1862" s="22">
        <f t="shared" si="311"/>
        <v>2100</v>
      </c>
      <c r="AJ1862" s="22">
        <f t="shared" si="312"/>
        <v>9240000</v>
      </c>
      <c r="AK1862" s="165"/>
    </row>
    <row r="1863" spans="1:37" s="165" customFormat="1" hidden="1">
      <c r="A1863" s="165" t="s">
        <v>1586</v>
      </c>
      <c r="B1863" s="13">
        <v>43613</v>
      </c>
      <c r="C1863" s="13" t="s">
        <v>23</v>
      </c>
      <c r="D1863" s="165" t="s">
        <v>1840</v>
      </c>
      <c r="E1863" s="198" t="s">
        <v>1587</v>
      </c>
      <c r="F1863" s="165" t="str">
        <f t="shared" si="308"/>
        <v>ARVA_16.18_200_NL2018</v>
      </c>
      <c r="G1863" s="165" t="s">
        <v>85</v>
      </c>
      <c r="H1863" s="12"/>
      <c r="I1863" s="12" t="s">
        <v>35</v>
      </c>
      <c r="J1863" s="31" t="s">
        <v>121</v>
      </c>
      <c r="K1863" s="15" t="s">
        <v>28</v>
      </c>
      <c r="L1863" s="15"/>
      <c r="M1863" s="16">
        <f t="shared" si="309"/>
        <v>31</v>
      </c>
      <c r="N1863" s="15">
        <v>6200</v>
      </c>
      <c r="O1863" s="15">
        <v>5400</v>
      </c>
      <c r="P1863" s="15">
        <f t="shared" si="307"/>
        <v>33480000</v>
      </c>
      <c r="Q1863" s="15" t="str">
        <f t="shared" si="313"/>
        <v>Done</v>
      </c>
      <c r="R1863" s="18" t="s">
        <v>44</v>
      </c>
      <c r="S1863" s="23">
        <v>43572</v>
      </c>
      <c r="T1863" s="20">
        <f>IFERROR(VLOOKUP(S1863,'Date Converter'!$A$4:$C$368,3,0),"")</f>
        <v>43606</v>
      </c>
      <c r="U1863" s="21">
        <f t="shared" si="306"/>
        <v>43606</v>
      </c>
      <c r="V1863" s="12"/>
      <c r="W1863" s="18"/>
      <c r="X1863" s="18"/>
      <c r="Y1863" s="12"/>
      <c r="Z1863" s="206">
        <v>43630</v>
      </c>
      <c r="AA1863" s="15">
        <v>6200</v>
      </c>
      <c r="AB1863" s="206"/>
      <c r="AC1863" s="12"/>
      <c r="AD1863" s="206"/>
      <c r="AE1863" s="12"/>
      <c r="AF1863" s="245"/>
      <c r="AG1863" s="12"/>
      <c r="AH1863" s="15">
        <f t="shared" si="310"/>
        <v>6200</v>
      </c>
      <c r="AI1863" s="22">
        <f t="shared" si="311"/>
        <v>0</v>
      </c>
      <c r="AJ1863" s="22">
        <f t="shared" si="312"/>
        <v>0</v>
      </c>
    </row>
    <row r="1864" spans="1:37" hidden="1">
      <c r="A1864" t="s">
        <v>1586</v>
      </c>
      <c r="B1864" s="13">
        <v>43603</v>
      </c>
      <c r="C1864" s="13" t="s">
        <v>23</v>
      </c>
      <c r="D1864" t="s">
        <v>1840</v>
      </c>
      <c r="E1864" s="198" t="s">
        <v>1587</v>
      </c>
      <c r="F1864" s="165" t="str">
        <f t="shared" si="308"/>
        <v>AMAT_14.16_300_NL2018</v>
      </c>
      <c r="G1864" s="165" t="s">
        <v>112</v>
      </c>
      <c r="I1864" s="12" t="s">
        <v>47</v>
      </c>
      <c r="J1864" s="31" t="s">
        <v>124</v>
      </c>
      <c r="K1864" s="15" t="s">
        <v>28</v>
      </c>
      <c r="M1864" s="16">
        <f t="shared" si="309"/>
        <v>34</v>
      </c>
      <c r="N1864" s="15">
        <v>10200</v>
      </c>
      <c r="O1864" s="15">
        <v>4500</v>
      </c>
      <c r="P1864" s="15">
        <f t="shared" si="307"/>
        <v>45900000</v>
      </c>
      <c r="Q1864" s="15" t="str">
        <f t="shared" si="313"/>
        <v/>
      </c>
      <c r="R1864" s="18" t="s">
        <v>31</v>
      </c>
      <c r="S1864" s="23">
        <v>43615</v>
      </c>
      <c r="T1864" s="20">
        <f>IFERROR(VLOOKUP(S1864,'Date Converter'!$A$4:$C$368,3,0),"")</f>
        <v>43648</v>
      </c>
      <c r="U1864" s="21">
        <f t="shared" si="306"/>
        <v>43648</v>
      </c>
      <c r="AA1864" s="15"/>
      <c r="AB1864" s="206"/>
      <c r="AD1864" s="206"/>
      <c r="AH1864" s="15">
        <f t="shared" si="310"/>
        <v>0</v>
      </c>
      <c r="AI1864" s="22">
        <f t="shared" si="311"/>
        <v>10200</v>
      </c>
      <c r="AJ1864" s="22">
        <f t="shared" si="312"/>
        <v>45900000</v>
      </c>
      <c r="AK1864" s="165"/>
    </row>
    <row r="1865" spans="1:37" hidden="1">
      <c r="A1865" s="165" t="s">
        <v>1586</v>
      </c>
      <c r="B1865" s="13">
        <v>43606</v>
      </c>
      <c r="C1865" s="13" t="s">
        <v>23</v>
      </c>
      <c r="D1865" s="165" t="s">
        <v>1840</v>
      </c>
      <c r="E1865" s="198" t="s">
        <v>1587</v>
      </c>
      <c r="F1865" s="165" t="str">
        <f t="shared" si="308"/>
        <v>AMAT_14.16_300_NL2018</v>
      </c>
      <c r="G1865" s="165" t="s">
        <v>112</v>
      </c>
      <c r="I1865" s="12" t="s">
        <v>47</v>
      </c>
      <c r="J1865" s="31" t="s">
        <v>124</v>
      </c>
      <c r="K1865" s="15" t="s">
        <v>28</v>
      </c>
      <c r="M1865" s="16">
        <f t="shared" si="309"/>
        <v>27</v>
      </c>
      <c r="N1865" s="15">
        <v>8100</v>
      </c>
      <c r="O1865" s="15">
        <v>4600</v>
      </c>
      <c r="P1865" s="15">
        <f t="shared" si="307"/>
        <v>37260000</v>
      </c>
      <c r="Q1865" s="15" t="str">
        <f t="shared" si="313"/>
        <v/>
      </c>
      <c r="R1865" s="18" t="s">
        <v>29</v>
      </c>
      <c r="S1865" s="23">
        <v>43641</v>
      </c>
      <c r="T1865" s="20">
        <f>IFERROR(VLOOKUP(S1865,'Date Converter'!$A$4:$C$368,3,0),"")</f>
        <v>43673</v>
      </c>
      <c r="U1865" s="21">
        <f t="shared" si="306"/>
        <v>43673</v>
      </c>
      <c r="AA1865" s="15"/>
      <c r="AB1865" s="206"/>
      <c r="AD1865" s="206"/>
      <c r="AH1865" s="15">
        <f t="shared" si="310"/>
        <v>0</v>
      </c>
      <c r="AI1865" s="22">
        <f t="shared" si="311"/>
        <v>8100</v>
      </c>
      <c r="AJ1865" s="22">
        <f t="shared" si="312"/>
        <v>37260000</v>
      </c>
      <c r="AK1865" s="165"/>
    </row>
    <row r="1866" spans="1:37" hidden="1">
      <c r="A1866" s="165" t="s">
        <v>331</v>
      </c>
      <c r="B1866" s="13">
        <v>43480</v>
      </c>
      <c r="C1866" s="13" t="s">
        <v>23</v>
      </c>
      <c r="D1866" s="165" t="s">
        <v>223</v>
      </c>
      <c r="E1866" s="165" t="s">
        <v>224</v>
      </c>
      <c r="F1866" s="165" t="str">
        <f t="shared" si="308"/>
        <v>YELL_12.14_400_NL2018</v>
      </c>
      <c r="G1866" s="165" t="s">
        <v>89</v>
      </c>
      <c r="I1866" s="12" t="s">
        <v>113</v>
      </c>
      <c r="J1866" s="14">
        <v>400</v>
      </c>
      <c r="K1866" s="15" t="s">
        <v>28</v>
      </c>
      <c r="M1866" s="16">
        <f t="shared" si="309"/>
        <v>6</v>
      </c>
      <c r="N1866" s="15">
        <v>2400</v>
      </c>
      <c r="O1866" s="15">
        <v>2600</v>
      </c>
      <c r="P1866" s="15">
        <f t="shared" si="307"/>
        <v>6240000</v>
      </c>
      <c r="Q1866" s="15" t="str">
        <f t="shared" si="313"/>
        <v>Done</v>
      </c>
      <c r="R1866" s="18" t="s">
        <v>44</v>
      </c>
      <c r="S1866" s="23">
        <v>43480</v>
      </c>
      <c r="T1866" s="20">
        <f>IFERROR(VLOOKUP(S1866,'Date Converter'!$A$4:$C$368,3,0),"")</f>
        <v>43515</v>
      </c>
      <c r="U1866" s="21">
        <f t="shared" si="306"/>
        <v>43515</v>
      </c>
      <c r="V1866" s="12" t="s">
        <v>45</v>
      </c>
      <c r="Y1866" s="15" t="s">
        <v>59</v>
      </c>
      <c r="Z1866" s="206">
        <v>43518</v>
      </c>
      <c r="AA1866" s="15">
        <v>2400</v>
      </c>
      <c r="AB1866" s="206"/>
      <c r="AC1866" s="15"/>
      <c r="AD1866" s="206"/>
      <c r="AE1866" s="15"/>
      <c r="AF1866" s="244"/>
      <c r="AG1866" s="15"/>
      <c r="AH1866" s="15">
        <f t="shared" si="310"/>
        <v>2400</v>
      </c>
      <c r="AI1866" s="22">
        <f t="shared" si="311"/>
        <v>0</v>
      </c>
      <c r="AJ1866" s="22">
        <f t="shared" si="312"/>
        <v>0</v>
      </c>
      <c r="AK1866" s="165"/>
    </row>
    <row r="1867" spans="1:37" s="165" customFormat="1" hidden="1">
      <c r="A1867" s="165" t="s">
        <v>331</v>
      </c>
      <c r="B1867" s="13">
        <v>43480</v>
      </c>
      <c r="C1867" s="266" t="s">
        <v>23</v>
      </c>
      <c r="D1867" s="258" t="s">
        <v>223</v>
      </c>
      <c r="E1867" s="252" t="s">
        <v>224</v>
      </c>
      <c r="F1867" s="165" t="str">
        <f t="shared" si="308"/>
        <v>TEBA_16.18_200_NL2018</v>
      </c>
      <c r="G1867" s="165" t="s">
        <v>127</v>
      </c>
      <c r="H1867" s="12"/>
      <c r="I1867" s="12" t="s">
        <v>35</v>
      </c>
      <c r="J1867" s="14">
        <v>200</v>
      </c>
      <c r="K1867" s="15" t="s">
        <v>28</v>
      </c>
      <c r="L1867" s="15"/>
      <c r="M1867" s="16">
        <f t="shared" si="309"/>
        <v>5</v>
      </c>
      <c r="N1867" s="15">
        <v>1000</v>
      </c>
      <c r="O1867" s="15">
        <v>6100</v>
      </c>
      <c r="P1867" s="15">
        <f t="shared" si="307"/>
        <v>6100000</v>
      </c>
      <c r="Q1867" s="15" t="str">
        <f t="shared" si="313"/>
        <v/>
      </c>
      <c r="R1867" s="18" t="s">
        <v>29</v>
      </c>
      <c r="S1867" s="23">
        <v>43709</v>
      </c>
      <c r="T1867" s="20">
        <f>IFERROR(VLOOKUP(S1867,'Date Converter'!$A$4:$C$368,3,0),"")</f>
        <v>43737</v>
      </c>
      <c r="U1867" s="21">
        <f t="shared" si="306"/>
        <v>43737</v>
      </c>
      <c r="V1867" s="253" t="s">
        <v>51</v>
      </c>
      <c r="W1867" s="18"/>
      <c r="X1867" s="18"/>
      <c r="Y1867" s="15"/>
      <c r="Z1867" s="206"/>
      <c r="AA1867" s="15"/>
      <c r="AB1867" s="206"/>
      <c r="AC1867" s="15"/>
      <c r="AD1867" s="206"/>
      <c r="AE1867" s="15"/>
      <c r="AF1867" s="244"/>
      <c r="AG1867" s="15"/>
      <c r="AH1867" s="15">
        <f t="shared" si="310"/>
        <v>0</v>
      </c>
      <c r="AI1867" s="22">
        <f t="shared" si="311"/>
        <v>1000</v>
      </c>
      <c r="AJ1867" s="22">
        <f t="shared" si="312"/>
        <v>6100000</v>
      </c>
    </row>
    <row r="1868" spans="1:37" s="165" customFormat="1" hidden="1">
      <c r="A1868" s="165" t="s">
        <v>331</v>
      </c>
      <c r="B1868" s="13">
        <v>43480</v>
      </c>
      <c r="C1868" s="13" t="s">
        <v>23</v>
      </c>
      <c r="D1868" s="165" t="s">
        <v>223</v>
      </c>
      <c r="E1868" s="165" t="s">
        <v>224</v>
      </c>
      <c r="F1868" s="165" t="str">
        <f t="shared" si="308"/>
        <v>PAVI_12.14_400_NL2018</v>
      </c>
      <c r="G1868" s="165" t="s">
        <v>138</v>
      </c>
      <c r="H1868" s="12"/>
      <c r="I1868" s="12" t="s">
        <v>113</v>
      </c>
      <c r="J1868" s="14">
        <v>400</v>
      </c>
      <c r="K1868" s="15" t="s">
        <v>28</v>
      </c>
      <c r="L1868" s="15"/>
      <c r="M1868" s="16">
        <f t="shared" si="309"/>
        <v>6</v>
      </c>
      <c r="N1868" s="15">
        <v>2400</v>
      </c>
      <c r="O1868" s="15">
        <v>2800</v>
      </c>
      <c r="P1868" s="15">
        <f t="shared" si="307"/>
        <v>6720000</v>
      </c>
      <c r="Q1868" s="15" t="str">
        <f t="shared" si="313"/>
        <v>Done</v>
      </c>
      <c r="R1868" s="18" t="s">
        <v>44</v>
      </c>
      <c r="S1868" s="23">
        <v>43480</v>
      </c>
      <c r="T1868" s="20">
        <f>IFERROR(VLOOKUP(S1868,'Date Converter'!$A$4:$C$368,3,0),"")</f>
        <v>43515</v>
      </c>
      <c r="U1868" s="21">
        <f t="shared" si="306"/>
        <v>43515</v>
      </c>
      <c r="V1868" s="12" t="s">
        <v>45</v>
      </c>
      <c r="W1868" s="18"/>
      <c r="X1868" s="18"/>
      <c r="Y1868" s="15" t="s">
        <v>59</v>
      </c>
      <c r="Z1868" s="206">
        <v>43518</v>
      </c>
      <c r="AA1868" s="15">
        <v>2400</v>
      </c>
      <c r="AB1868" s="206"/>
      <c r="AC1868" s="15"/>
      <c r="AD1868" s="206"/>
      <c r="AE1868" s="15"/>
      <c r="AF1868" s="244"/>
      <c r="AG1868" s="15"/>
      <c r="AH1868" s="15">
        <f t="shared" si="310"/>
        <v>2400</v>
      </c>
      <c r="AI1868" s="22">
        <f t="shared" si="311"/>
        <v>0</v>
      </c>
      <c r="AJ1868" s="22">
        <f t="shared" si="312"/>
        <v>0</v>
      </c>
    </row>
    <row r="1869" spans="1:37" s="165" customFormat="1" hidden="1">
      <c r="A1869" s="165" t="s">
        <v>331</v>
      </c>
      <c r="B1869" s="13">
        <v>43480</v>
      </c>
      <c r="C1869" s="13" t="s">
        <v>23</v>
      </c>
      <c r="D1869" s="165" t="s">
        <v>223</v>
      </c>
      <c r="E1869" s="165" t="s">
        <v>224</v>
      </c>
      <c r="F1869" s="165" t="str">
        <f t="shared" si="308"/>
        <v>PAVI_12.14_400_NL2018</v>
      </c>
      <c r="G1869" s="165" t="s">
        <v>138</v>
      </c>
      <c r="H1869" s="12"/>
      <c r="I1869" s="12" t="s">
        <v>113</v>
      </c>
      <c r="J1869" s="14">
        <v>400</v>
      </c>
      <c r="K1869" s="15" t="s">
        <v>28</v>
      </c>
      <c r="L1869" s="15"/>
      <c r="M1869" s="16">
        <f t="shared" si="309"/>
        <v>6</v>
      </c>
      <c r="N1869" s="15">
        <v>2400</v>
      </c>
      <c r="O1869" s="15">
        <v>2800</v>
      </c>
      <c r="P1869" s="15">
        <f t="shared" si="307"/>
        <v>6720000</v>
      </c>
      <c r="Q1869" s="15" t="str">
        <f t="shared" si="313"/>
        <v>Done</v>
      </c>
      <c r="R1869" s="18" t="s">
        <v>44</v>
      </c>
      <c r="S1869" s="23" t="s">
        <v>53</v>
      </c>
      <c r="T1869" s="20">
        <f>IFERROR(VLOOKUP(S1869,'Date Converter'!$A$4:$C$368,3,0),"")</f>
        <v>43559</v>
      </c>
      <c r="U1869" s="21">
        <f t="shared" si="306"/>
        <v>43559</v>
      </c>
      <c r="V1869" s="12" t="s">
        <v>54</v>
      </c>
      <c r="W1869" s="18" t="s">
        <v>101</v>
      </c>
      <c r="X1869" s="18">
        <v>43555</v>
      </c>
      <c r="Y1869" s="15" t="s">
        <v>59</v>
      </c>
      <c r="Z1869" s="206">
        <v>43558</v>
      </c>
      <c r="AA1869" s="15">
        <v>2400</v>
      </c>
      <c r="AB1869" s="206"/>
      <c r="AC1869" s="15"/>
      <c r="AD1869" s="206"/>
      <c r="AE1869" s="15"/>
      <c r="AF1869" s="244"/>
      <c r="AG1869" s="15"/>
      <c r="AH1869" s="15">
        <f t="shared" si="310"/>
        <v>2400</v>
      </c>
      <c r="AI1869" s="22">
        <f t="shared" si="311"/>
        <v>0</v>
      </c>
      <c r="AJ1869" s="22">
        <f t="shared" si="312"/>
        <v>0</v>
      </c>
    </row>
    <row r="1870" spans="1:37" s="165" customFormat="1" hidden="1">
      <c r="A1870" s="165" t="s">
        <v>331</v>
      </c>
      <c r="B1870" s="13">
        <v>43480</v>
      </c>
      <c r="C1870" s="13" t="s">
        <v>23</v>
      </c>
      <c r="D1870" s="165" t="s">
        <v>223</v>
      </c>
      <c r="E1870" s="165" t="s">
        <v>224</v>
      </c>
      <c r="F1870" s="165" t="str">
        <f t="shared" si="308"/>
        <v>NELL_12.14_400_NL2018</v>
      </c>
      <c r="G1870" s="165" t="s">
        <v>131</v>
      </c>
      <c r="H1870" s="12"/>
      <c r="I1870" s="12" t="s">
        <v>113</v>
      </c>
      <c r="J1870" s="14">
        <v>400</v>
      </c>
      <c r="K1870" s="15" t="s">
        <v>28</v>
      </c>
      <c r="L1870" s="15"/>
      <c r="M1870" s="16">
        <f t="shared" si="309"/>
        <v>6</v>
      </c>
      <c r="N1870" s="15">
        <v>2400</v>
      </c>
      <c r="O1870" s="15">
        <v>3000</v>
      </c>
      <c r="P1870" s="15">
        <f t="shared" si="307"/>
        <v>7200000</v>
      </c>
      <c r="Q1870" s="15" t="str">
        <f t="shared" si="313"/>
        <v>Done</v>
      </c>
      <c r="R1870" s="18" t="s">
        <v>44</v>
      </c>
      <c r="S1870" s="23">
        <v>43480</v>
      </c>
      <c r="T1870" s="20">
        <f>IFERROR(VLOOKUP(S1870,'Date Converter'!$A$4:$C$368,3,0),"")</f>
        <v>43515</v>
      </c>
      <c r="U1870" s="21">
        <f t="shared" si="306"/>
        <v>43515</v>
      </c>
      <c r="V1870" s="12" t="s">
        <v>45</v>
      </c>
      <c r="W1870" s="18"/>
      <c r="X1870" s="18"/>
      <c r="Y1870" s="15" t="s">
        <v>59</v>
      </c>
      <c r="Z1870" s="206">
        <v>43518</v>
      </c>
      <c r="AA1870" s="15">
        <v>2400</v>
      </c>
      <c r="AB1870" s="206"/>
      <c r="AC1870" s="15"/>
      <c r="AD1870" s="206"/>
      <c r="AE1870" s="15"/>
      <c r="AF1870" s="244"/>
      <c r="AG1870" s="15"/>
      <c r="AH1870" s="15">
        <f t="shared" si="310"/>
        <v>2400</v>
      </c>
      <c r="AI1870" s="22">
        <f t="shared" si="311"/>
        <v>0</v>
      </c>
      <c r="AJ1870" s="22">
        <f t="shared" si="312"/>
        <v>0</v>
      </c>
    </row>
    <row r="1871" spans="1:37" s="165" customFormat="1" hidden="1">
      <c r="A1871" s="165" t="s">
        <v>331</v>
      </c>
      <c r="B1871" s="13">
        <v>43480</v>
      </c>
      <c r="C1871" s="13" t="s">
        <v>23</v>
      </c>
      <c r="D1871" s="165" t="s">
        <v>223</v>
      </c>
      <c r="E1871" s="165" t="s">
        <v>224</v>
      </c>
      <c r="F1871" s="165" t="str">
        <f t="shared" si="308"/>
        <v>AMAT_12.14_400_NL2018</v>
      </c>
      <c r="G1871" s="165" t="s">
        <v>112</v>
      </c>
      <c r="H1871" s="12"/>
      <c r="I1871" s="12" t="s">
        <v>113</v>
      </c>
      <c r="J1871" s="14">
        <v>400</v>
      </c>
      <c r="K1871" s="15" t="s">
        <v>28</v>
      </c>
      <c r="L1871" s="15"/>
      <c r="M1871" s="16">
        <f t="shared" si="309"/>
        <v>12</v>
      </c>
      <c r="N1871" s="15">
        <v>4800</v>
      </c>
      <c r="O1871" s="15">
        <v>2800</v>
      </c>
      <c r="P1871" s="15">
        <f t="shared" si="307"/>
        <v>13440000</v>
      </c>
      <c r="Q1871" s="15" t="str">
        <f t="shared" si="313"/>
        <v>Done</v>
      </c>
      <c r="R1871" s="18" t="s">
        <v>44</v>
      </c>
      <c r="S1871" s="23" t="s">
        <v>53</v>
      </c>
      <c r="T1871" s="20">
        <f>IFERROR(VLOOKUP(S1871,'Date Converter'!$A$4:$C$368,3,0),"")</f>
        <v>43559</v>
      </c>
      <c r="U1871" s="21">
        <f t="shared" si="306"/>
        <v>43559</v>
      </c>
      <c r="V1871" s="12" t="s">
        <v>54</v>
      </c>
      <c r="W1871" s="18" t="s">
        <v>107</v>
      </c>
      <c r="X1871" s="18">
        <v>43555</v>
      </c>
      <c r="Y1871" s="15" t="s">
        <v>59</v>
      </c>
      <c r="Z1871" s="206">
        <v>43558</v>
      </c>
      <c r="AA1871" s="15">
        <v>4800</v>
      </c>
      <c r="AB1871" s="206"/>
      <c r="AC1871" s="15"/>
      <c r="AD1871" s="206"/>
      <c r="AE1871" s="15"/>
      <c r="AF1871" s="244"/>
      <c r="AG1871" s="15"/>
      <c r="AH1871" s="15">
        <f t="shared" si="310"/>
        <v>4800</v>
      </c>
      <c r="AI1871" s="22">
        <f t="shared" si="311"/>
        <v>0</v>
      </c>
      <c r="AJ1871" s="22">
        <f t="shared" si="312"/>
        <v>0</v>
      </c>
    </row>
    <row r="1872" spans="1:37" s="165" customFormat="1" hidden="1">
      <c r="A1872" s="165" t="s">
        <v>342</v>
      </c>
      <c r="B1872" s="13">
        <v>43605</v>
      </c>
      <c r="C1872" s="264" t="s">
        <v>23</v>
      </c>
      <c r="D1872" s="258" t="s">
        <v>259</v>
      </c>
      <c r="E1872" s="252" t="s">
        <v>260</v>
      </c>
      <c r="F1872" s="165" t="str">
        <f t="shared" si="308"/>
        <v>ROBI_20.22_125_NL2018</v>
      </c>
      <c r="G1872" s="165" t="s">
        <v>61</v>
      </c>
      <c r="H1872" s="12"/>
      <c r="I1872" s="12" t="s">
        <v>74</v>
      </c>
      <c r="J1872" s="14">
        <v>125</v>
      </c>
      <c r="K1872" s="15" t="s">
        <v>28</v>
      </c>
      <c r="L1872" s="15"/>
      <c r="M1872" s="16">
        <f t="shared" si="309"/>
        <v>80</v>
      </c>
      <c r="N1872" s="15">
        <v>10000</v>
      </c>
      <c r="O1872" s="15">
        <v>10700</v>
      </c>
      <c r="P1872" s="15">
        <f t="shared" si="307"/>
        <v>107000000</v>
      </c>
      <c r="Q1872" s="15" t="str">
        <f t="shared" si="313"/>
        <v/>
      </c>
      <c r="R1872" s="18" t="s">
        <v>29</v>
      </c>
      <c r="S1872" s="23">
        <v>43709</v>
      </c>
      <c r="T1872" s="20">
        <f>IFERROR(VLOOKUP(S1872,'Date Converter'!$A$4:$C$368,3,0),"")</f>
        <v>43737</v>
      </c>
      <c r="U1872" s="21">
        <f t="shared" si="306"/>
        <v>43737</v>
      </c>
      <c r="V1872" s="253" t="s">
        <v>51</v>
      </c>
      <c r="W1872" s="18"/>
      <c r="X1872" s="18"/>
      <c r="Y1872" s="15"/>
      <c r="Z1872" s="206"/>
      <c r="AA1872" s="15"/>
      <c r="AB1872" s="206"/>
      <c r="AC1872" s="15"/>
      <c r="AD1872" s="206"/>
      <c r="AE1872" s="15"/>
      <c r="AF1872" s="244"/>
      <c r="AG1872" s="15"/>
      <c r="AH1872" s="15">
        <f t="shared" si="310"/>
        <v>0</v>
      </c>
      <c r="AI1872" s="22">
        <f t="shared" si="311"/>
        <v>10000</v>
      </c>
      <c r="AJ1872" s="22">
        <f t="shared" si="312"/>
        <v>107000000</v>
      </c>
    </row>
    <row r="1873" spans="1:37" s="165" customFormat="1" hidden="1">
      <c r="A1873" s="165" t="s">
        <v>342</v>
      </c>
      <c r="B1873" s="13">
        <v>43512</v>
      </c>
      <c r="C1873" s="13" t="s">
        <v>23</v>
      </c>
      <c r="D1873" s="165" t="s">
        <v>259</v>
      </c>
      <c r="E1873" s="165" t="s">
        <v>260</v>
      </c>
      <c r="F1873" s="165" t="str">
        <f t="shared" si="308"/>
        <v>CONC_16.18_200_NL2018</v>
      </c>
      <c r="G1873" s="165" t="s">
        <v>43</v>
      </c>
      <c r="H1873" s="12"/>
      <c r="I1873" s="12" t="s">
        <v>35</v>
      </c>
      <c r="J1873" s="14">
        <v>200</v>
      </c>
      <c r="K1873" s="15" t="s">
        <v>28</v>
      </c>
      <c r="L1873" s="15"/>
      <c r="M1873" s="16">
        <f t="shared" si="309"/>
        <v>0</v>
      </c>
      <c r="N1873" s="15">
        <f>10000-10000</f>
        <v>0</v>
      </c>
      <c r="O1873" s="15">
        <v>4700</v>
      </c>
      <c r="P1873" s="15">
        <f t="shared" si="307"/>
        <v>0</v>
      </c>
      <c r="Q1873" s="15" t="str">
        <f t="shared" si="313"/>
        <v>Canceled</v>
      </c>
      <c r="R1873" s="18" t="s">
        <v>71</v>
      </c>
      <c r="S1873" s="23">
        <v>43661</v>
      </c>
      <c r="T1873" s="20">
        <f>IFERROR(VLOOKUP(S1873,'Date Converter'!$A$4:$C$368,3,0),"")</f>
        <v>43692</v>
      </c>
      <c r="U1873" s="21">
        <f t="shared" si="306"/>
        <v>43692</v>
      </c>
      <c r="V1873" s="12" t="s">
        <v>261</v>
      </c>
      <c r="W1873" s="18"/>
      <c r="X1873" s="18"/>
      <c r="Y1873" s="15" t="s">
        <v>262</v>
      </c>
      <c r="Z1873" s="206"/>
      <c r="AA1873" s="15">
        <v>0</v>
      </c>
      <c r="AB1873" s="206"/>
      <c r="AC1873" s="15"/>
      <c r="AD1873" s="206"/>
      <c r="AE1873" s="15"/>
      <c r="AF1873" s="244"/>
      <c r="AG1873" s="15"/>
      <c r="AH1873" s="15">
        <f t="shared" si="310"/>
        <v>0</v>
      </c>
      <c r="AI1873" s="22">
        <f t="shared" si="311"/>
        <v>0</v>
      </c>
      <c r="AJ1873" s="22">
        <f t="shared" si="312"/>
        <v>0</v>
      </c>
    </row>
    <row r="1874" spans="1:37" s="165" customFormat="1" hidden="1">
      <c r="A1874" s="165" t="s">
        <v>342</v>
      </c>
      <c r="B1874" s="13">
        <v>43605</v>
      </c>
      <c r="C1874" s="264" t="s">
        <v>23</v>
      </c>
      <c r="D1874" s="258" t="s">
        <v>259</v>
      </c>
      <c r="E1874" s="252" t="s">
        <v>260</v>
      </c>
      <c r="F1874" s="165" t="str">
        <f t="shared" si="308"/>
        <v>CONC_20.22_125_NL2018</v>
      </c>
      <c r="G1874" s="165" t="s">
        <v>43</v>
      </c>
      <c r="H1874" s="12"/>
      <c r="I1874" s="12" t="s">
        <v>74</v>
      </c>
      <c r="J1874" s="14">
        <v>125</v>
      </c>
      <c r="K1874" s="15" t="s">
        <v>28</v>
      </c>
      <c r="L1874" s="15"/>
      <c r="M1874" s="16">
        <f t="shared" si="309"/>
        <v>80</v>
      </c>
      <c r="N1874" s="15">
        <v>10000</v>
      </c>
      <c r="O1874" s="15">
        <v>10600</v>
      </c>
      <c r="P1874" s="15">
        <f t="shared" si="307"/>
        <v>106000000</v>
      </c>
      <c r="Q1874" s="15" t="str">
        <f t="shared" si="313"/>
        <v/>
      </c>
      <c r="R1874" s="18" t="s">
        <v>29</v>
      </c>
      <c r="S1874" s="23">
        <v>43709</v>
      </c>
      <c r="T1874" s="20">
        <f>IFERROR(VLOOKUP(S1874,'Date Converter'!$A$4:$C$368,3,0),"")</f>
        <v>43737</v>
      </c>
      <c r="U1874" s="21">
        <f t="shared" si="306"/>
        <v>43737</v>
      </c>
      <c r="V1874" s="253" t="s">
        <v>51</v>
      </c>
      <c r="W1874" s="18"/>
      <c r="X1874" s="18"/>
      <c r="Y1874" s="15"/>
      <c r="Z1874" s="206"/>
      <c r="AA1874" s="15"/>
      <c r="AB1874" s="206"/>
      <c r="AC1874" s="15"/>
      <c r="AD1874" s="206"/>
      <c r="AE1874" s="15"/>
      <c r="AF1874" s="244"/>
      <c r="AG1874" s="15"/>
      <c r="AH1874" s="15">
        <f t="shared" si="310"/>
        <v>0</v>
      </c>
      <c r="AI1874" s="22">
        <f t="shared" si="311"/>
        <v>10000</v>
      </c>
      <c r="AJ1874" s="22">
        <f t="shared" si="312"/>
        <v>106000000</v>
      </c>
    </row>
    <row r="1875" spans="1:37" s="165" customFormat="1" hidden="1">
      <c r="A1875" s="165" t="s">
        <v>1794</v>
      </c>
      <c r="B1875" s="13">
        <v>43564</v>
      </c>
      <c r="C1875" s="265" t="s">
        <v>1622</v>
      </c>
      <c r="D1875" s="258" t="s">
        <v>1402</v>
      </c>
      <c r="E1875" s="251" t="s">
        <v>1403</v>
      </c>
      <c r="F1875" s="165" t="str">
        <f t="shared" si="308"/>
        <v>TARR_20.22_125_CL2019</v>
      </c>
      <c r="G1875" s="13" t="s">
        <v>1582</v>
      </c>
      <c r="H1875" s="12"/>
      <c r="I1875" s="12" t="s">
        <v>74</v>
      </c>
      <c r="J1875" s="31" t="s">
        <v>122</v>
      </c>
      <c r="K1875" s="15" t="s">
        <v>1423</v>
      </c>
      <c r="L1875" s="15"/>
      <c r="M1875" s="33">
        <f t="shared" si="309"/>
        <v>160</v>
      </c>
      <c r="N1875" s="15">
        <v>20000</v>
      </c>
      <c r="O1875" s="15">
        <v>12300</v>
      </c>
      <c r="P1875" s="15">
        <f t="shared" si="307"/>
        <v>246000000</v>
      </c>
      <c r="Q1875" s="15" t="str">
        <f t="shared" si="313"/>
        <v/>
      </c>
      <c r="R1875" s="18" t="s">
        <v>29</v>
      </c>
      <c r="S1875" s="23">
        <v>43709</v>
      </c>
      <c r="T1875" s="20">
        <f>IFERROR(VLOOKUP(S1875,'Date Converter'!$A$4:$C$368,3,0),"")</f>
        <v>43737</v>
      </c>
      <c r="U1875" s="21">
        <f t="shared" si="306"/>
        <v>43737</v>
      </c>
      <c r="V1875" s="253" t="s">
        <v>51</v>
      </c>
      <c r="W1875" s="18"/>
      <c r="X1875" s="18"/>
      <c r="Y1875" s="18"/>
      <c r="Z1875" s="206"/>
      <c r="AA1875" s="15">
        <v>0</v>
      </c>
      <c r="AB1875" s="206"/>
      <c r="AC1875" s="12"/>
      <c r="AD1875" s="12"/>
      <c r="AE1875" s="12"/>
      <c r="AF1875" s="245"/>
      <c r="AG1875" s="12"/>
      <c r="AH1875" s="15">
        <f t="shared" si="310"/>
        <v>0</v>
      </c>
      <c r="AI1875" s="22">
        <f t="shared" si="311"/>
        <v>20000</v>
      </c>
      <c r="AJ1875" s="22">
        <f t="shared" si="312"/>
        <v>246000000</v>
      </c>
    </row>
    <row r="1876" spans="1:37" s="165" customFormat="1" hidden="1">
      <c r="A1876" s="165" t="s">
        <v>1794</v>
      </c>
      <c r="B1876" s="13">
        <v>43564</v>
      </c>
      <c r="C1876" s="265" t="s">
        <v>1622</v>
      </c>
      <c r="D1876" s="258" t="s">
        <v>1402</v>
      </c>
      <c r="E1876" s="251" t="s">
        <v>1403</v>
      </c>
      <c r="F1876" s="165" t="str">
        <f t="shared" si="308"/>
        <v>MANI_22.24_100_NL2018</v>
      </c>
      <c r="G1876" s="13" t="s">
        <v>105</v>
      </c>
      <c r="H1876" s="12"/>
      <c r="I1876" s="12" t="s">
        <v>78</v>
      </c>
      <c r="J1876" s="31" t="s">
        <v>206</v>
      </c>
      <c r="K1876" s="15" t="s">
        <v>28</v>
      </c>
      <c r="L1876" s="15"/>
      <c r="M1876" s="33">
        <f t="shared" si="309"/>
        <v>200</v>
      </c>
      <c r="N1876" s="15">
        <v>20000</v>
      </c>
      <c r="O1876" s="15">
        <v>15400</v>
      </c>
      <c r="P1876" s="15">
        <f t="shared" si="307"/>
        <v>308000000</v>
      </c>
      <c r="Q1876" s="15" t="str">
        <f t="shared" si="313"/>
        <v/>
      </c>
      <c r="R1876" s="18" t="s">
        <v>29</v>
      </c>
      <c r="S1876" s="23">
        <v>43709</v>
      </c>
      <c r="T1876" s="20">
        <f>IFERROR(VLOOKUP(S1876,'Date Converter'!$A$4:$C$368,3,0),"")</f>
        <v>43737</v>
      </c>
      <c r="U1876" s="21">
        <f t="shared" si="306"/>
        <v>43737</v>
      </c>
      <c r="V1876" s="253" t="s">
        <v>51</v>
      </c>
      <c r="W1876" s="18"/>
      <c r="X1876" s="18"/>
      <c r="Y1876" s="18"/>
      <c r="Z1876" s="206"/>
      <c r="AA1876" s="15">
        <v>0</v>
      </c>
      <c r="AB1876" s="206"/>
      <c r="AC1876" s="12"/>
      <c r="AD1876" s="12"/>
      <c r="AE1876" s="12"/>
      <c r="AF1876" s="245"/>
      <c r="AG1876" s="12"/>
      <c r="AH1876" s="15">
        <f t="shared" si="310"/>
        <v>0</v>
      </c>
      <c r="AI1876" s="22">
        <f t="shared" si="311"/>
        <v>20000</v>
      </c>
      <c r="AJ1876" s="22">
        <f t="shared" si="312"/>
        <v>308000000</v>
      </c>
    </row>
    <row r="1877" spans="1:37" hidden="1">
      <c r="A1877" s="165" t="s">
        <v>1490</v>
      </c>
      <c r="B1877" s="13">
        <v>43584</v>
      </c>
      <c r="C1877" s="13" t="s">
        <v>23</v>
      </c>
      <c r="D1877" t="s">
        <v>1498</v>
      </c>
      <c r="E1877" s="119" t="s">
        <v>1491</v>
      </c>
      <c r="F1877" s="165" t="str">
        <f t="shared" si="308"/>
        <v>YELL_14.16_300_NL2018</v>
      </c>
      <c r="G1877" s="165" t="s">
        <v>89</v>
      </c>
      <c r="I1877" s="12" t="s">
        <v>47</v>
      </c>
      <c r="J1877" s="31" t="s">
        <v>124</v>
      </c>
      <c r="K1877" s="15" t="s">
        <v>28</v>
      </c>
      <c r="M1877" s="33">
        <f t="shared" si="309"/>
        <v>20</v>
      </c>
      <c r="N1877" s="15">
        <v>6000</v>
      </c>
      <c r="O1877" s="15">
        <v>4000</v>
      </c>
      <c r="P1877" s="15">
        <f t="shared" si="307"/>
        <v>24000000</v>
      </c>
      <c r="Q1877" s="15" t="str">
        <f t="shared" si="313"/>
        <v/>
      </c>
      <c r="R1877" s="18" t="s">
        <v>31</v>
      </c>
      <c r="S1877" s="23">
        <v>43631</v>
      </c>
      <c r="T1877" s="20">
        <f>IFERROR(VLOOKUP(S1877,'Date Converter'!$A$4:$C$368,3,0),"")</f>
        <v>43663</v>
      </c>
      <c r="U1877" s="21">
        <f t="shared" si="306"/>
        <v>43663</v>
      </c>
      <c r="AA1877" s="15"/>
      <c r="AB1877" s="206"/>
      <c r="AD1877" s="206"/>
      <c r="AH1877" s="15">
        <f t="shared" si="310"/>
        <v>0</v>
      </c>
      <c r="AI1877" s="22">
        <f t="shared" si="311"/>
        <v>6000</v>
      </c>
      <c r="AJ1877" s="22">
        <f t="shared" si="312"/>
        <v>24000000</v>
      </c>
      <c r="AK1877" s="165"/>
    </row>
    <row r="1878" spans="1:37" hidden="1">
      <c r="A1878" s="165" t="s">
        <v>1490</v>
      </c>
      <c r="B1878" s="13">
        <v>43584</v>
      </c>
      <c r="C1878" s="13" t="s">
        <v>23</v>
      </c>
      <c r="D1878" t="s">
        <v>1498</v>
      </c>
      <c r="E1878" s="119" t="s">
        <v>1491</v>
      </c>
      <c r="F1878" s="165" t="str">
        <f t="shared" si="308"/>
        <v>PAVI_12.14_400_NL2018</v>
      </c>
      <c r="G1878" s="13" t="s">
        <v>138</v>
      </c>
      <c r="I1878" s="12" t="s">
        <v>113</v>
      </c>
      <c r="J1878" s="31" t="s">
        <v>128</v>
      </c>
      <c r="K1878" s="15" t="s">
        <v>28</v>
      </c>
      <c r="M1878" s="33">
        <f t="shared" si="309"/>
        <v>18</v>
      </c>
      <c r="N1878" s="15">
        <f>5200+2000</f>
        <v>7200</v>
      </c>
      <c r="O1878" s="15">
        <v>2900</v>
      </c>
      <c r="P1878" s="15">
        <f t="shared" si="307"/>
        <v>20880000</v>
      </c>
      <c r="Q1878" s="15" t="str">
        <f t="shared" si="313"/>
        <v>Done</v>
      </c>
      <c r="R1878" s="18" t="s">
        <v>44</v>
      </c>
      <c r="S1878" s="23">
        <v>43590</v>
      </c>
      <c r="T1878" s="20">
        <f>IFERROR(VLOOKUP(S1878,'Date Converter'!$A$4:$C$368,3,0),"")</f>
        <v>43623</v>
      </c>
      <c r="U1878" s="21">
        <f t="shared" si="306"/>
        <v>43623</v>
      </c>
      <c r="V1878" s="12" t="s">
        <v>1454</v>
      </c>
      <c r="Z1878" s="206">
        <v>43624</v>
      </c>
      <c r="AA1878" s="15">
        <v>5200</v>
      </c>
      <c r="AB1878" s="206">
        <v>43634</v>
      </c>
      <c r="AC1878" s="12" t="s">
        <v>1675</v>
      </c>
      <c r="AD1878" s="206"/>
      <c r="AH1878" s="15">
        <f t="shared" si="310"/>
        <v>7200</v>
      </c>
      <c r="AI1878" s="22">
        <f t="shared" si="311"/>
        <v>0</v>
      </c>
      <c r="AJ1878" s="22">
        <f t="shared" si="312"/>
        <v>0</v>
      </c>
      <c r="AK1878" s="165"/>
    </row>
    <row r="1879" spans="1:37" hidden="1">
      <c r="A1879" s="165" t="s">
        <v>1490</v>
      </c>
      <c r="B1879" s="13">
        <v>43593</v>
      </c>
      <c r="C1879" s="13" t="s">
        <v>23</v>
      </c>
      <c r="D1879" t="s">
        <v>1498</v>
      </c>
      <c r="E1879" s="119" t="s">
        <v>1491</v>
      </c>
      <c r="F1879" s="165" t="str">
        <f t="shared" si="308"/>
        <v>PAVI_12.14_400_NL2018</v>
      </c>
      <c r="G1879" s="13" t="s">
        <v>138</v>
      </c>
      <c r="I1879" s="12" t="s">
        <v>113</v>
      </c>
      <c r="J1879" s="31" t="s">
        <v>128</v>
      </c>
      <c r="K1879" s="15" t="s">
        <v>28</v>
      </c>
      <c r="M1879" s="33">
        <f t="shared" si="309"/>
        <v>0</v>
      </c>
      <c r="N1879" s="15">
        <f>13200-13200</f>
        <v>0</v>
      </c>
      <c r="O1879" s="15">
        <v>2900</v>
      </c>
      <c r="P1879" s="15">
        <f t="shared" si="307"/>
        <v>0</v>
      </c>
      <c r="Q1879" s="15" t="str">
        <f t="shared" si="313"/>
        <v>Canceled</v>
      </c>
      <c r="R1879" s="18" t="s">
        <v>71</v>
      </c>
      <c r="S1879" s="23">
        <v>43610</v>
      </c>
      <c r="T1879" s="20">
        <f>IFERROR(VLOOKUP(S1879,'Date Converter'!$A$4:$C$368,3,0),"")</f>
        <v>43643</v>
      </c>
      <c r="U1879" s="21">
        <f t="shared" si="306"/>
        <v>43643</v>
      </c>
      <c r="AA1879" s="15"/>
      <c r="AB1879" s="206"/>
      <c r="AD1879" s="206"/>
      <c r="AH1879" s="15">
        <f t="shared" si="310"/>
        <v>0</v>
      </c>
      <c r="AI1879" s="22">
        <f t="shared" si="311"/>
        <v>0</v>
      </c>
      <c r="AJ1879" s="22">
        <f t="shared" si="312"/>
        <v>0</v>
      </c>
    </row>
    <row r="1880" spans="1:37" hidden="1">
      <c r="A1880" s="165" t="s">
        <v>1490</v>
      </c>
      <c r="B1880" s="13">
        <v>43584</v>
      </c>
      <c r="C1880" s="13" t="s">
        <v>23</v>
      </c>
      <c r="D1880" s="165" t="s">
        <v>1498</v>
      </c>
      <c r="E1880" s="119" t="s">
        <v>1491</v>
      </c>
      <c r="F1880" s="165" t="str">
        <f t="shared" si="308"/>
        <v>NASH_14.16_300_NL2018</v>
      </c>
      <c r="G1880" s="165" t="s">
        <v>123</v>
      </c>
      <c r="I1880" s="12" t="s">
        <v>47</v>
      </c>
      <c r="J1880" s="31" t="s">
        <v>124</v>
      </c>
      <c r="K1880" s="15" t="s">
        <v>28</v>
      </c>
      <c r="M1880" s="33">
        <f t="shared" si="309"/>
        <v>14</v>
      </c>
      <c r="N1880" s="15">
        <v>4200</v>
      </c>
      <c r="O1880" s="15">
        <v>4100</v>
      </c>
      <c r="P1880" s="15">
        <f t="shared" si="307"/>
        <v>17220000</v>
      </c>
      <c r="Q1880" s="15" t="str">
        <f t="shared" si="313"/>
        <v/>
      </c>
      <c r="R1880" s="18" t="s">
        <v>31</v>
      </c>
      <c r="S1880" s="23">
        <v>43631</v>
      </c>
      <c r="T1880" s="20">
        <f>IFERROR(VLOOKUP(S1880,'Date Converter'!$A$4:$C$368,3,0),"")</f>
        <v>43663</v>
      </c>
      <c r="U1880" s="21">
        <f t="shared" si="306"/>
        <v>43663</v>
      </c>
      <c r="AA1880" s="15"/>
      <c r="AB1880" s="206"/>
      <c r="AD1880" s="206"/>
      <c r="AH1880" s="15">
        <f t="shared" si="310"/>
        <v>0</v>
      </c>
      <c r="AI1880" s="22">
        <f t="shared" si="311"/>
        <v>4200</v>
      </c>
      <c r="AJ1880" s="22">
        <f t="shared" si="312"/>
        <v>17220000</v>
      </c>
      <c r="AK1880" s="165"/>
    </row>
    <row r="1881" spans="1:37" hidden="1">
      <c r="A1881" t="s">
        <v>1490</v>
      </c>
      <c r="B1881" s="13">
        <v>43584</v>
      </c>
      <c r="C1881" s="13" t="s">
        <v>23</v>
      </c>
      <c r="D1881" t="s">
        <v>1498</v>
      </c>
      <c r="E1881" s="119" t="s">
        <v>1491</v>
      </c>
      <c r="F1881" s="165" t="str">
        <f t="shared" si="308"/>
        <v>AMAT_14.16_300_NL2018</v>
      </c>
      <c r="G1881" s="13" t="s">
        <v>112</v>
      </c>
      <c r="I1881" s="12" t="s">
        <v>47</v>
      </c>
      <c r="J1881" s="31" t="s">
        <v>124</v>
      </c>
      <c r="K1881" s="15" t="s">
        <v>28</v>
      </c>
      <c r="M1881" s="33">
        <f t="shared" si="309"/>
        <v>50</v>
      </c>
      <c r="N1881" s="15">
        <f>15000</f>
        <v>15000</v>
      </c>
      <c r="O1881" s="15">
        <v>4500</v>
      </c>
      <c r="P1881" s="15">
        <f t="shared" si="307"/>
        <v>67500000</v>
      </c>
      <c r="Q1881" s="15" t="str">
        <f t="shared" si="313"/>
        <v>Done</v>
      </c>
      <c r="R1881" s="18" t="s">
        <v>44</v>
      </c>
      <c r="S1881" s="23">
        <v>43590</v>
      </c>
      <c r="T1881" s="20">
        <f>IFERROR(VLOOKUP(S1881,'Date Converter'!$A$4:$C$368,3,0),"")</f>
        <v>43623</v>
      </c>
      <c r="U1881" s="21">
        <f t="shared" si="306"/>
        <v>43623</v>
      </c>
      <c r="V1881" s="12" t="s">
        <v>1454</v>
      </c>
      <c r="Z1881" s="206">
        <v>43624</v>
      </c>
      <c r="AA1881" s="15">
        <v>15000</v>
      </c>
      <c r="AB1881" s="206"/>
      <c r="AD1881" s="206"/>
      <c r="AH1881" s="15">
        <f t="shared" si="310"/>
        <v>15000</v>
      </c>
      <c r="AI1881" s="22">
        <f t="shared" si="311"/>
        <v>0</v>
      </c>
      <c r="AJ1881" s="22">
        <f t="shared" si="312"/>
        <v>0</v>
      </c>
      <c r="AK1881" s="165"/>
    </row>
    <row r="1882" spans="1:37" hidden="1">
      <c r="A1882" s="165" t="s">
        <v>1490</v>
      </c>
      <c r="B1882" s="13">
        <v>43593</v>
      </c>
      <c r="C1882" s="13" t="s">
        <v>23</v>
      </c>
      <c r="D1882" s="165" t="s">
        <v>1498</v>
      </c>
      <c r="E1882" s="119" t="s">
        <v>1491</v>
      </c>
      <c r="F1882" s="165" t="str">
        <f t="shared" si="308"/>
        <v>AMAT_14.16_275_NL2018</v>
      </c>
      <c r="G1882" s="13" t="s">
        <v>112</v>
      </c>
      <c r="I1882" s="12" t="s">
        <v>47</v>
      </c>
      <c r="J1882" s="31" t="s">
        <v>1427</v>
      </c>
      <c r="K1882" s="15" t="s">
        <v>28</v>
      </c>
      <c r="M1882" s="33">
        <f t="shared" si="309"/>
        <v>0</v>
      </c>
      <c r="N1882" s="15">
        <f>7150-7150</f>
        <v>0</v>
      </c>
      <c r="O1882" s="15">
        <v>4500</v>
      </c>
      <c r="P1882" s="15">
        <f t="shared" si="307"/>
        <v>0</v>
      </c>
      <c r="Q1882" s="15" t="str">
        <f t="shared" si="313"/>
        <v>Canceled</v>
      </c>
      <c r="R1882" s="18" t="s">
        <v>71</v>
      </c>
      <c r="S1882" s="23">
        <v>43603</v>
      </c>
      <c r="T1882" s="20">
        <f>IFERROR(VLOOKUP(S1882,'Date Converter'!$A$4:$C$368,3,0),"")</f>
        <v>43636</v>
      </c>
      <c r="U1882" s="21">
        <f t="shared" si="306"/>
        <v>43636</v>
      </c>
      <c r="AA1882" s="15"/>
      <c r="AB1882" s="206"/>
      <c r="AD1882" s="206"/>
      <c r="AH1882" s="15">
        <f t="shared" si="310"/>
        <v>0</v>
      </c>
      <c r="AI1882" s="22">
        <f t="shared" si="311"/>
        <v>0</v>
      </c>
      <c r="AJ1882" s="22">
        <f t="shared" si="312"/>
        <v>0</v>
      </c>
      <c r="AK1882" s="165"/>
    </row>
    <row r="1883" spans="1:37" s="165" customFormat="1" ht="14.25" hidden="1" customHeight="1">
      <c r="A1883" s="165" t="s">
        <v>307</v>
      </c>
      <c r="B1883" s="13">
        <v>43515</v>
      </c>
      <c r="C1883" s="13" t="s">
        <v>23</v>
      </c>
      <c r="D1883" s="165" t="s">
        <v>155</v>
      </c>
      <c r="E1883" s="165" t="s">
        <v>156</v>
      </c>
      <c r="F1883" s="165" t="str">
        <f t="shared" si="308"/>
        <v>YELL_12.14_400_NL2018</v>
      </c>
      <c r="G1883" s="165" t="s">
        <v>89</v>
      </c>
      <c r="H1883" s="12"/>
      <c r="I1883" s="12" t="s">
        <v>113</v>
      </c>
      <c r="J1883" s="14">
        <v>400</v>
      </c>
      <c r="K1883" s="15" t="s">
        <v>28</v>
      </c>
      <c r="L1883" s="15"/>
      <c r="M1883" s="16">
        <f t="shared" si="309"/>
        <v>10</v>
      </c>
      <c r="N1883" s="15">
        <v>4000</v>
      </c>
      <c r="O1883" s="15">
        <v>2600</v>
      </c>
      <c r="P1883" s="15">
        <f t="shared" si="307"/>
        <v>10400000</v>
      </c>
      <c r="Q1883" s="15" t="str">
        <f t="shared" si="313"/>
        <v>Done</v>
      </c>
      <c r="R1883" s="18" t="s">
        <v>44</v>
      </c>
      <c r="S1883" s="23">
        <v>43480</v>
      </c>
      <c r="T1883" s="20">
        <f>IFERROR(VLOOKUP(S1883,'Date Converter'!$A$4:$C$368,3,0),"")</f>
        <v>43515</v>
      </c>
      <c r="U1883" s="21">
        <f t="shared" si="306"/>
        <v>43515</v>
      </c>
      <c r="V1883" s="12" t="s">
        <v>45</v>
      </c>
      <c r="W1883" s="18"/>
      <c r="X1883" s="18"/>
      <c r="Y1883" s="15" t="s">
        <v>59</v>
      </c>
      <c r="Z1883" s="206">
        <v>43518</v>
      </c>
      <c r="AA1883" s="15">
        <v>4000</v>
      </c>
      <c r="AB1883" s="206"/>
      <c r="AC1883" s="15"/>
      <c r="AD1883" s="206"/>
      <c r="AE1883" s="15"/>
      <c r="AF1883" s="244"/>
      <c r="AG1883" s="15"/>
      <c r="AH1883" s="15">
        <f t="shared" si="310"/>
        <v>4000</v>
      </c>
      <c r="AI1883" s="22">
        <f t="shared" si="311"/>
        <v>0</v>
      </c>
      <c r="AJ1883" s="22">
        <f t="shared" si="312"/>
        <v>0</v>
      </c>
    </row>
    <row r="1884" spans="1:37" hidden="1">
      <c r="A1884" t="s">
        <v>307</v>
      </c>
      <c r="B1884" s="13">
        <v>43515</v>
      </c>
      <c r="C1884" s="13" t="s">
        <v>23</v>
      </c>
      <c r="D1884" t="s">
        <v>155</v>
      </c>
      <c r="E1884" s="165" t="s">
        <v>156</v>
      </c>
      <c r="F1884" t="str">
        <f t="shared" si="308"/>
        <v>YELL_12.14_400_NL2018</v>
      </c>
      <c r="G1884" s="165" t="s">
        <v>89</v>
      </c>
      <c r="I1884" s="12" t="s">
        <v>113</v>
      </c>
      <c r="J1884" s="14">
        <v>400</v>
      </c>
      <c r="K1884" s="15" t="s">
        <v>28</v>
      </c>
      <c r="M1884" s="16">
        <f t="shared" si="309"/>
        <v>5</v>
      </c>
      <c r="N1884" s="15">
        <v>2000</v>
      </c>
      <c r="O1884" s="15">
        <v>2600</v>
      </c>
      <c r="P1884" s="15">
        <f t="shared" si="307"/>
        <v>5200000</v>
      </c>
      <c r="Q1884" s="15" t="str">
        <f t="shared" si="313"/>
        <v>Done</v>
      </c>
      <c r="R1884" s="18" t="s">
        <v>44</v>
      </c>
      <c r="S1884" s="23" t="s">
        <v>53</v>
      </c>
      <c r="T1884" s="20">
        <f>IFERROR(VLOOKUP(S1884,'Date Converter'!$A$4:$C$368,3,0),"")</f>
        <v>43559</v>
      </c>
      <c r="U1884" s="21">
        <f t="shared" si="306"/>
        <v>43559</v>
      </c>
      <c r="V1884" s="12" t="s">
        <v>54</v>
      </c>
      <c r="W1884" s="18" t="s">
        <v>72</v>
      </c>
      <c r="X1884" s="18">
        <v>43555</v>
      </c>
      <c r="Y1884" s="15"/>
      <c r="Z1884" s="206">
        <v>43558</v>
      </c>
      <c r="AA1884" s="15">
        <v>2000</v>
      </c>
      <c r="AB1884" s="206"/>
      <c r="AC1884" s="15"/>
      <c r="AD1884" s="206"/>
      <c r="AE1884" s="15"/>
      <c r="AF1884" s="244"/>
      <c r="AG1884" s="15"/>
      <c r="AH1884" s="15">
        <f t="shared" si="310"/>
        <v>2000</v>
      </c>
      <c r="AI1884" s="22">
        <f t="shared" si="311"/>
        <v>0</v>
      </c>
      <c r="AJ1884" s="22">
        <f t="shared" si="312"/>
        <v>0</v>
      </c>
      <c r="AK1884" s="165"/>
    </row>
    <row r="1885" spans="1:37" s="165" customFormat="1" hidden="1">
      <c r="A1885" s="165" t="s">
        <v>307</v>
      </c>
      <c r="B1885" s="13">
        <v>43638</v>
      </c>
      <c r="C1885" s="13" t="s">
        <v>23</v>
      </c>
      <c r="D1885" s="165" t="s">
        <v>155</v>
      </c>
      <c r="E1885" s="165" t="s">
        <v>156</v>
      </c>
      <c r="F1885" s="165" t="str">
        <f t="shared" si="308"/>
        <v>DALI_14.16_300_NL2018</v>
      </c>
      <c r="G1885" s="165" t="s">
        <v>46</v>
      </c>
      <c r="H1885" s="12"/>
      <c r="I1885" s="12" t="s">
        <v>47</v>
      </c>
      <c r="J1885" s="31" t="s">
        <v>124</v>
      </c>
      <c r="K1885" s="15" t="s">
        <v>28</v>
      </c>
      <c r="L1885" s="15"/>
      <c r="M1885" s="16">
        <f t="shared" si="309"/>
        <v>2</v>
      </c>
      <c r="N1885" s="15">
        <v>600</v>
      </c>
      <c r="O1885" s="15">
        <v>5500</v>
      </c>
      <c r="P1885" s="15">
        <f t="shared" si="307"/>
        <v>3300000</v>
      </c>
      <c r="Q1885" s="15" t="str">
        <f t="shared" si="313"/>
        <v/>
      </c>
      <c r="R1885" s="18" t="s">
        <v>63</v>
      </c>
      <c r="S1885" s="23">
        <v>43608</v>
      </c>
      <c r="T1885" s="20">
        <f>IFERROR(VLOOKUP(S1885,'Date Converter'!$A$4:$C$368,3,0),"")</f>
        <v>43641</v>
      </c>
      <c r="U1885" s="21">
        <f t="shared" si="306"/>
        <v>43641</v>
      </c>
      <c r="V1885" s="12"/>
      <c r="W1885" s="18"/>
      <c r="X1885" s="18"/>
      <c r="Y1885" s="15"/>
      <c r="Z1885" s="206"/>
      <c r="AA1885" s="15"/>
      <c r="AB1885" s="206"/>
      <c r="AC1885" s="15"/>
      <c r="AD1885" s="206"/>
      <c r="AE1885" s="15"/>
      <c r="AF1885" s="244"/>
      <c r="AG1885" s="15"/>
      <c r="AH1885" s="15">
        <f t="shared" si="310"/>
        <v>0</v>
      </c>
      <c r="AI1885" s="22">
        <f t="shared" si="311"/>
        <v>600</v>
      </c>
      <c r="AJ1885" s="22">
        <f t="shared" si="312"/>
        <v>3300000</v>
      </c>
    </row>
    <row r="1886" spans="1:37" s="165" customFormat="1" hidden="1">
      <c r="A1886" s="165" t="s">
        <v>2378</v>
      </c>
      <c r="B1886" s="13">
        <v>43638</v>
      </c>
      <c r="C1886" s="264" t="s">
        <v>23</v>
      </c>
      <c r="D1886" s="258" t="s">
        <v>155</v>
      </c>
      <c r="E1886" s="165" t="s">
        <v>156</v>
      </c>
      <c r="F1886" s="165" t="str">
        <f t="shared" si="308"/>
        <v>MANI_24+_80_NL2018</v>
      </c>
      <c r="G1886" s="165" t="s">
        <v>105</v>
      </c>
      <c r="H1886" s="12"/>
      <c r="I1886" s="12" t="s">
        <v>185</v>
      </c>
      <c r="J1886" s="31" t="s">
        <v>504</v>
      </c>
      <c r="K1886" s="15" t="s">
        <v>28</v>
      </c>
      <c r="L1886" s="15"/>
      <c r="M1886" s="16">
        <f t="shared" si="309"/>
        <v>63</v>
      </c>
      <c r="N1886" s="15">
        <v>5040</v>
      </c>
      <c r="O1886" s="15">
        <v>16500</v>
      </c>
      <c r="P1886" s="15">
        <f t="shared" si="307"/>
        <v>83160000</v>
      </c>
      <c r="Q1886" s="15" t="str">
        <f t="shared" si="313"/>
        <v/>
      </c>
      <c r="R1886" s="18" t="s">
        <v>29</v>
      </c>
      <c r="S1886" s="23">
        <v>43709</v>
      </c>
      <c r="T1886" s="20">
        <f>IFERROR(VLOOKUP(S1886,'Date Converter'!$A$4:$C$368,3,0),"")</f>
        <v>43737</v>
      </c>
      <c r="U1886" s="21">
        <f t="shared" si="306"/>
        <v>43737</v>
      </c>
      <c r="V1886" s="12"/>
      <c r="W1886" s="18"/>
      <c r="X1886" s="18"/>
      <c r="Y1886" s="15"/>
      <c r="Z1886" s="206"/>
      <c r="AA1886" s="15"/>
      <c r="AB1886" s="206"/>
      <c r="AC1886" s="15"/>
      <c r="AD1886" s="206"/>
      <c r="AE1886" s="15"/>
      <c r="AF1886" s="244"/>
      <c r="AG1886" s="15"/>
      <c r="AH1886" s="15">
        <f t="shared" si="310"/>
        <v>0</v>
      </c>
      <c r="AI1886" s="22">
        <f t="shared" si="311"/>
        <v>5040</v>
      </c>
      <c r="AJ1886" s="22">
        <f t="shared" si="312"/>
        <v>83160000</v>
      </c>
    </row>
    <row r="1887" spans="1:37" s="165" customFormat="1" hidden="1">
      <c r="A1887" s="165" t="s">
        <v>2378</v>
      </c>
      <c r="B1887" s="13">
        <v>43638</v>
      </c>
      <c r="C1887" s="264" t="s">
        <v>23</v>
      </c>
      <c r="D1887" s="258" t="s">
        <v>155</v>
      </c>
      <c r="E1887" s="165" t="s">
        <v>156</v>
      </c>
      <c r="F1887" s="165" t="str">
        <f t="shared" si="308"/>
        <v>DALI_20.22_125_NL2018</v>
      </c>
      <c r="G1887" s="165" t="s">
        <v>46</v>
      </c>
      <c r="H1887" s="12"/>
      <c r="I1887" s="24" t="s">
        <v>74</v>
      </c>
      <c r="J1887" s="31" t="s">
        <v>122</v>
      </c>
      <c r="K1887" s="15" t="s">
        <v>28</v>
      </c>
      <c r="L1887" s="15"/>
      <c r="M1887" s="16">
        <f t="shared" si="309"/>
        <v>24</v>
      </c>
      <c r="N1887" s="15">
        <v>3000</v>
      </c>
      <c r="O1887" s="15">
        <v>14300</v>
      </c>
      <c r="P1887" s="15">
        <f t="shared" si="307"/>
        <v>42900000</v>
      </c>
      <c r="Q1887" s="15" t="str">
        <f t="shared" si="313"/>
        <v/>
      </c>
      <c r="R1887" s="18" t="s">
        <v>29</v>
      </c>
      <c r="S1887" s="23">
        <v>43709</v>
      </c>
      <c r="T1887" s="20">
        <f>IFERROR(VLOOKUP(S1887,'Date Converter'!$A$4:$C$368,3,0),"")</f>
        <v>43737</v>
      </c>
      <c r="U1887" s="21">
        <f t="shared" si="306"/>
        <v>43737</v>
      </c>
      <c r="V1887" s="12"/>
      <c r="W1887" s="18"/>
      <c r="X1887" s="18"/>
      <c r="Y1887" s="15"/>
      <c r="Z1887" s="206"/>
      <c r="AA1887" s="15"/>
      <c r="AB1887" s="206"/>
      <c r="AC1887" s="15"/>
      <c r="AD1887" s="206"/>
      <c r="AE1887" s="15"/>
      <c r="AF1887" s="244"/>
      <c r="AG1887" s="15"/>
      <c r="AH1887" s="15">
        <f t="shared" si="310"/>
        <v>0</v>
      </c>
      <c r="AI1887" s="22">
        <f t="shared" si="311"/>
        <v>3000</v>
      </c>
      <c r="AJ1887" s="22">
        <f t="shared" si="312"/>
        <v>42900000</v>
      </c>
    </row>
    <row r="1888" spans="1:37" hidden="1">
      <c r="A1888" t="s">
        <v>307</v>
      </c>
      <c r="B1888" s="13">
        <v>43515</v>
      </c>
      <c r="C1888" s="13" t="s">
        <v>23</v>
      </c>
      <c r="D1888" t="s">
        <v>155</v>
      </c>
      <c r="E1888" s="198" t="s">
        <v>156</v>
      </c>
      <c r="F1888" s="165" t="str">
        <f t="shared" si="308"/>
        <v>NASH_14.16_300_NL2018</v>
      </c>
      <c r="G1888" s="165" t="s">
        <v>123</v>
      </c>
      <c r="I1888" s="12" t="s">
        <v>47</v>
      </c>
      <c r="J1888" s="14">
        <v>300</v>
      </c>
      <c r="K1888" s="15" t="s">
        <v>28</v>
      </c>
      <c r="M1888" s="16">
        <f t="shared" si="309"/>
        <v>14</v>
      </c>
      <c r="N1888" s="15">
        <v>4200</v>
      </c>
      <c r="O1888" s="15">
        <v>3800</v>
      </c>
      <c r="P1888" s="15">
        <f t="shared" si="307"/>
        <v>15960000</v>
      </c>
      <c r="Q1888" s="15" t="str">
        <f t="shared" si="313"/>
        <v>Done</v>
      </c>
      <c r="R1888" s="18" t="s">
        <v>44</v>
      </c>
      <c r="S1888" s="23">
        <v>43572</v>
      </c>
      <c r="T1888" s="20">
        <f>IFERROR(VLOOKUP(S1888,'Date Converter'!$A$4:$C$368,3,0),"")</f>
        <v>43606</v>
      </c>
      <c r="U1888" s="21">
        <f t="shared" si="306"/>
        <v>43606</v>
      </c>
      <c r="V1888" s="12" t="s">
        <v>36</v>
      </c>
      <c r="Y1888" s="15"/>
      <c r="Z1888" s="206">
        <v>43604</v>
      </c>
      <c r="AA1888" s="15">
        <v>4200</v>
      </c>
      <c r="AB1888" s="206"/>
      <c r="AC1888" s="15"/>
      <c r="AD1888" s="206"/>
      <c r="AE1888" s="15"/>
      <c r="AF1888" s="244"/>
      <c r="AG1888" s="15"/>
      <c r="AH1888" s="15">
        <f t="shared" si="310"/>
        <v>4200</v>
      </c>
      <c r="AI1888" s="22">
        <f t="shared" si="311"/>
        <v>0</v>
      </c>
      <c r="AJ1888" s="22">
        <f t="shared" si="312"/>
        <v>0</v>
      </c>
    </row>
    <row r="1889" spans="1:37" hidden="1">
      <c r="A1889" t="s">
        <v>333</v>
      </c>
      <c r="B1889" s="13">
        <v>43518</v>
      </c>
      <c r="C1889" s="13" t="s">
        <v>23</v>
      </c>
      <c r="D1889" t="s">
        <v>485</v>
      </c>
      <c r="E1889" s="198" t="s">
        <v>234</v>
      </c>
      <c r="F1889" s="165" t="str">
        <f t="shared" si="308"/>
        <v>TEBA_14.16_300_NL2018</v>
      </c>
      <c r="G1889" s="165" t="s">
        <v>127</v>
      </c>
      <c r="I1889" s="12" t="s">
        <v>47</v>
      </c>
      <c r="J1889" s="14">
        <v>300</v>
      </c>
      <c r="K1889" s="15" t="s">
        <v>28</v>
      </c>
      <c r="M1889" s="16">
        <f t="shared" si="309"/>
        <v>10</v>
      </c>
      <c r="N1889" s="15">
        <v>3000</v>
      </c>
      <c r="O1889" s="15">
        <v>4100</v>
      </c>
      <c r="P1889" s="15">
        <f t="shared" si="307"/>
        <v>12300000</v>
      </c>
      <c r="Q1889" s="15" t="str">
        <f t="shared" si="313"/>
        <v>Done</v>
      </c>
      <c r="R1889" s="18" t="s">
        <v>44</v>
      </c>
      <c r="S1889" s="23">
        <v>43539</v>
      </c>
      <c r="T1889" s="20">
        <f>IFERROR(VLOOKUP(S1889,'Date Converter'!$A$4:$C$368,3,0),"")</f>
        <v>43574</v>
      </c>
      <c r="U1889" s="21">
        <f t="shared" si="306"/>
        <v>43574</v>
      </c>
      <c r="V1889" s="20" t="s">
        <v>57</v>
      </c>
      <c r="W1889" s="18" t="s">
        <v>143</v>
      </c>
      <c r="X1889" s="18">
        <v>43569</v>
      </c>
      <c r="Y1889" s="15"/>
      <c r="Z1889" s="206">
        <v>43558</v>
      </c>
      <c r="AA1889" s="15">
        <v>3000</v>
      </c>
      <c r="AB1889" s="206"/>
      <c r="AC1889" s="15"/>
      <c r="AD1889" s="206"/>
      <c r="AE1889" s="15"/>
      <c r="AF1889" s="244"/>
      <c r="AG1889" s="15"/>
      <c r="AH1889" s="15">
        <f t="shared" si="310"/>
        <v>3000</v>
      </c>
      <c r="AI1889" s="22">
        <f t="shared" si="311"/>
        <v>0</v>
      </c>
      <c r="AJ1889" s="22">
        <f t="shared" si="312"/>
        <v>0</v>
      </c>
    </row>
    <row r="1890" spans="1:37" s="165" customFormat="1" hidden="1">
      <c r="A1890" s="165" t="s">
        <v>333</v>
      </c>
      <c r="B1890" s="13">
        <v>43518</v>
      </c>
      <c r="C1890" s="13" t="s">
        <v>23</v>
      </c>
      <c r="D1890" s="165" t="s">
        <v>485</v>
      </c>
      <c r="E1890" s="198" t="s">
        <v>234</v>
      </c>
      <c r="F1890" s="165" t="str">
        <f t="shared" si="308"/>
        <v>TEBA_14.16_300_NL2018</v>
      </c>
      <c r="G1890" s="165" t="s">
        <v>127</v>
      </c>
      <c r="H1890" s="12"/>
      <c r="I1890" s="12" t="s">
        <v>47</v>
      </c>
      <c r="J1890" s="14">
        <v>300</v>
      </c>
      <c r="K1890" s="15" t="s">
        <v>28</v>
      </c>
      <c r="L1890" s="15"/>
      <c r="M1890" s="16">
        <f t="shared" si="309"/>
        <v>10</v>
      </c>
      <c r="N1890" s="15">
        <v>3000</v>
      </c>
      <c r="O1890" s="15">
        <v>4100</v>
      </c>
      <c r="P1890" s="15">
        <f t="shared" si="307"/>
        <v>12300000</v>
      </c>
      <c r="Q1890" s="15" t="str">
        <f t="shared" si="313"/>
        <v>Done</v>
      </c>
      <c r="R1890" s="18" t="s">
        <v>44</v>
      </c>
      <c r="S1890" s="23">
        <v>43572</v>
      </c>
      <c r="T1890" s="20">
        <f>IFERROR(VLOOKUP(S1890,'Date Converter'!$A$4:$C$368,3,0),"")</f>
        <v>43606</v>
      </c>
      <c r="U1890" s="21">
        <f t="shared" si="306"/>
        <v>43606</v>
      </c>
      <c r="V1890" s="20" t="s">
        <v>36</v>
      </c>
      <c r="W1890" s="18"/>
      <c r="X1890" s="18"/>
      <c r="Y1890" s="15"/>
      <c r="Z1890" s="206">
        <v>43609</v>
      </c>
      <c r="AA1890" s="15">
        <v>3000</v>
      </c>
      <c r="AB1890" s="206"/>
      <c r="AC1890" s="15"/>
      <c r="AD1890" s="206"/>
      <c r="AE1890" s="15"/>
      <c r="AF1890" s="244"/>
      <c r="AG1890" s="15"/>
      <c r="AH1890" s="15">
        <f t="shared" si="310"/>
        <v>3000</v>
      </c>
      <c r="AI1890" s="22">
        <f t="shared" si="311"/>
        <v>0</v>
      </c>
      <c r="AJ1890" s="22">
        <f t="shared" si="312"/>
        <v>0</v>
      </c>
    </row>
    <row r="1891" spans="1:37" hidden="1">
      <c r="A1891" t="s">
        <v>1355</v>
      </c>
      <c r="B1891" s="13">
        <v>43559</v>
      </c>
      <c r="C1891" s="13" t="s">
        <v>23</v>
      </c>
      <c r="D1891" s="258" t="s">
        <v>485</v>
      </c>
      <c r="E1891" s="97" t="s">
        <v>234</v>
      </c>
      <c r="F1891" s="165" t="str">
        <f t="shared" si="308"/>
        <v>TEBA_16.18_200_NL2018</v>
      </c>
      <c r="G1891" t="s">
        <v>127</v>
      </c>
      <c r="I1891" s="12" t="s">
        <v>35</v>
      </c>
      <c r="J1891" s="14">
        <v>200</v>
      </c>
      <c r="K1891" s="15" t="s">
        <v>28</v>
      </c>
      <c r="M1891" s="16">
        <f t="shared" si="309"/>
        <v>25</v>
      </c>
      <c r="N1891" s="15">
        <v>5000</v>
      </c>
      <c r="O1891" s="15">
        <v>6200</v>
      </c>
      <c r="P1891" s="15">
        <f t="shared" si="307"/>
        <v>31000000</v>
      </c>
      <c r="Q1891" s="15" t="str">
        <f t="shared" si="313"/>
        <v/>
      </c>
      <c r="R1891" s="18" t="s">
        <v>29</v>
      </c>
      <c r="S1891" s="23">
        <v>43709</v>
      </c>
      <c r="T1891" s="20">
        <f>IFERROR(VLOOKUP(S1891,'Date Converter'!$A$4:$C$368,3,0),"")</f>
        <v>43737</v>
      </c>
      <c r="U1891" s="21">
        <f t="shared" si="306"/>
        <v>43737</v>
      </c>
      <c r="V1891" s="20" t="s">
        <v>51</v>
      </c>
      <c r="Y1891" s="15"/>
      <c r="AA1891" s="15"/>
      <c r="AB1891" s="206"/>
      <c r="AC1891" s="15"/>
      <c r="AD1891" s="206"/>
      <c r="AE1891" s="15"/>
      <c r="AF1891" s="244"/>
      <c r="AG1891" s="15"/>
      <c r="AH1891" s="15">
        <f t="shared" si="310"/>
        <v>0</v>
      </c>
      <c r="AI1891" s="22">
        <f t="shared" si="311"/>
        <v>5000</v>
      </c>
      <c r="AJ1891" s="22">
        <f t="shared" si="312"/>
        <v>31000000</v>
      </c>
      <c r="AK1891" s="165"/>
    </row>
    <row r="1892" spans="1:37" s="165" customFormat="1" hidden="1">
      <c r="A1892" s="165" t="s">
        <v>333</v>
      </c>
      <c r="B1892" s="13">
        <v>43518</v>
      </c>
      <c r="C1892" s="13" t="s">
        <v>23</v>
      </c>
      <c r="D1892" s="165" t="s">
        <v>485</v>
      </c>
      <c r="E1892" s="165" t="s">
        <v>234</v>
      </c>
      <c r="F1892" s="165" t="str">
        <f t="shared" si="308"/>
        <v>TEBA_14.16_300_NL2018</v>
      </c>
      <c r="G1892" s="165" t="s">
        <v>127</v>
      </c>
      <c r="H1892" s="12"/>
      <c r="I1892" s="12" t="s">
        <v>47</v>
      </c>
      <c r="J1892" s="14">
        <v>300</v>
      </c>
      <c r="K1892" s="15" t="s">
        <v>28</v>
      </c>
      <c r="L1892" s="15"/>
      <c r="M1892" s="16">
        <f t="shared" si="309"/>
        <v>10</v>
      </c>
      <c r="N1892" s="15">
        <v>3000</v>
      </c>
      <c r="O1892" s="15">
        <v>4100</v>
      </c>
      <c r="P1892" s="15">
        <f t="shared" si="307"/>
        <v>12300000</v>
      </c>
      <c r="Q1892" s="15" t="str">
        <f t="shared" si="313"/>
        <v>Done</v>
      </c>
      <c r="R1892" s="18" t="s">
        <v>44</v>
      </c>
      <c r="S1892" s="23" t="s">
        <v>53</v>
      </c>
      <c r="T1892" s="20">
        <f>IFERROR(VLOOKUP(S1892,'Date Converter'!$A$4:$C$368,3,0),"")</f>
        <v>43559</v>
      </c>
      <c r="U1892" s="21">
        <f t="shared" ref="U1892:U1904" si="314">+T1892</f>
        <v>43559</v>
      </c>
      <c r="V1892" s="20" t="s">
        <v>54</v>
      </c>
      <c r="W1892" s="18" t="s">
        <v>82</v>
      </c>
      <c r="X1892" s="18">
        <v>43555</v>
      </c>
      <c r="Y1892" s="15" t="s">
        <v>59</v>
      </c>
      <c r="Z1892" s="206">
        <v>43594</v>
      </c>
      <c r="AA1892" s="15">
        <v>3000</v>
      </c>
      <c r="AB1892" s="206"/>
      <c r="AC1892" s="15"/>
      <c r="AD1892" s="206"/>
      <c r="AE1892" s="15"/>
      <c r="AF1892" s="244"/>
      <c r="AG1892" s="15"/>
      <c r="AH1892" s="15">
        <f t="shared" si="310"/>
        <v>3000</v>
      </c>
      <c r="AI1892" s="22">
        <f t="shared" si="311"/>
        <v>0</v>
      </c>
      <c r="AJ1892" s="22">
        <f t="shared" si="312"/>
        <v>0</v>
      </c>
    </row>
    <row r="1893" spans="1:37" s="165" customFormat="1" hidden="1">
      <c r="A1893" s="165" t="s">
        <v>333</v>
      </c>
      <c r="B1893" s="13">
        <v>43594</v>
      </c>
      <c r="C1893" s="13" t="s">
        <v>23</v>
      </c>
      <c r="D1893" s="165" t="s">
        <v>485</v>
      </c>
      <c r="E1893" s="198" t="s">
        <v>234</v>
      </c>
      <c r="F1893" s="165" t="str">
        <f t="shared" si="308"/>
        <v>PROF_16.18_200_NL2018</v>
      </c>
      <c r="G1893" s="165" t="s">
        <v>56</v>
      </c>
      <c r="H1893" s="12"/>
      <c r="I1893" s="12" t="s">
        <v>35</v>
      </c>
      <c r="J1893" s="14">
        <v>200</v>
      </c>
      <c r="K1893" s="15" t="s">
        <v>28</v>
      </c>
      <c r="L1893" s="15"/>
      <c r="M1893" s="16">
        <f t="shared" si="309"/>
        <v>5</v>
      </c>
      <c r="N1893" s="15">
        <v>1000</v>
      </c>
      <c r="O1893" s="15">
        <v>7700</v>
      </c>
      <c r="P1893" s="15">
        <f t="shared" ref="P1893:P1904" si="315">+O1893*N1893</f>
        <v>7700000</v>
      </c>
      <c r="Q1893" s="15" t="str">
        <f t="shared" si="313"/>
        <v>Done</v>
      </c>
      <c r="R1893" s="18" t="s">
        <v>44</v>
      </c>
      <c r="S1893" s="23">
        <v>43539</v>
      </c>
      <c r="T1893" s="20">
        <f>IFERROR(VLOOKUP(S1893,'Date Converter'!$A$4:$C$368,3,0),"")</f>
        <v>43574</v>
      </c>
      <c r="U1893" s="21">
        <f t="shared" si="314"/>
        <v>43574</v>
      </c>
      <c r="V1893" s="20" t="s">
        <v>57</v>
      </c>
      <c r="W1893" s="18"/>
      <c r="X1893" s="18"/>
      <c r="Y1893" s="15"/>
      <c r="Z1893" s="206">
        <v>43594</v>
      </c>
      <c r="AA1893" s="15">
        <v>1000</v>
      </c>
      <c r="AB1893" s="206"/>
      <c r="AC1893" s="15"/>
      <c r="AD1893" s="206"/>
      <c r="AE1893" s="15"/>
      <c r="AF1893" s="244"/>
      <c r="AG1893" s="15"/>
      <c r="AH1893" s="15">
        <f t="shared" si="310"/>
        <v>1000</v>
      </c>
      <c r="AI1893" s="22">
        <f t="shared" si="311"/>
        <v>0</v>
      </c>
      <c r="AJ1893" s="22">
        <f t="shared" si="312"/>
        <v>0</v>
      </c>
    </row>
    <row r="1894" spans="1:37" hidden="1">
      <c r="A1894" t="s">
        <v>1355</v>
      </c>
      <c r="B1894" s="13">
        <v>43559</v>
      </c>
      <c r="C1894" s="13" t="s">
        <v>23</v>
      </c>
      <c r="D1894" s="258" t="s">
        <v>485</v>
      </c>
      <c r="E1894" s="97" t="s">
        <v>234</v>
      </c>
      <c r="F1894" s="165" t="str">
        <f t="shared" si="308"/>
        <v>PROF_18.20_150_NL2018</v>
      </c>
      <c r="G1894" t="s">
        <v>56</v>
      </c>
      <c r="I1894" s="12" t="s">
        <v>27</v>
      </c>
      <c r="J1894" s="14">
        <v>150</v>
      </c>
      <c r="K1894" s="15" t="s">
        <v>28</v>
      </c>
      <c r="M1894" s="16">
        <f t="shared" si="309"/>
        <v>34</v>
      </c>
      <c r="N1894" s="15">
        <v>5100</v>
      </c>
      <c r="O1894" s="15">
        <v>10800</v>
      </c>
      <c r="P1894" s="15">
        <f t="shared" si="315"/>
        <v>55080000</v>
      </c>
      <c r="Q1894" s="15" t="str">
        <f t="shared" si="313"/>
        <v/>
      </c>
      <c r="R1894" s="18" t="s">
        <v>29</v>
      </c>
      <c r="S1894" s="23">
        <v>43709</v>
      </c>
      <c r="T1894" s="20">
        <f>IFERROR(VLOOKUP(S1894,'Date Converter'!$A$4:$C$368,3,0),"")</f>
        <v>43737</v>
      </c>
      <c r="U1894" s="21">
        <f t="shared" si="314"/>
        <v>43737</v>
      </c>
      <c r="V1894" s="20" t="s">
        <v>51</v>
      </c>
      <c r="Y1894" s="15"/>
      <c r="AA1894" s="15"/>
      <c r="AB1894" s="206"/>
      <c r="AC1894" s="15"/>
      <c r="AD1894" s="206"/>
      <c r="AE1894" s="15"/>
      <c r="AF1894" s="244"/>
      <c r="AG1894" s="15"/>
      <c r="AH1894" s="15">
        <f t="shared" si="310"/>
        <v>0</v>
      </c>
      <c r="AI1894" s="22">
        <f t="shared" si="311"/>
        <v>5100</v>
      </c>
      <c r="AJ1894" s="22">
        <f t="shared" si="312"/>
        <v>55080000</v>
      </c>
    </row>
    <row r="1895" spans="1:37" hidden="1">
      <c r="A1895" t="s">
        <v>333</v>
      </c>
      <c r="B1895" s="13">
        <v>43518</v>
      </c>
      <c r="C1895" s="13" t="s">
        <v>23</v>
      </c>
      <c r="D1895" t="s">
        <v>485</v>
      </c>
      <c r="E1895" s="198" t="s">
        <v>234</v>
      </c>
      <c r="F1895" s="165" t="str">
        <f t="shared" ref="F1895:F1904" si="316">SUBSTITUTE(LEFT(G1895,4)&amp;"_"&amp;H1895&amp;"_"&amp;I1895&amp;"_"&amp;J1895&amp;"_"&amp;K1895,"__","_")</f>
        <v>PAVI_12.14_400_NL2018</v>
      </c>
      <c r="G1895" t="s">
        <v>138</v>
      </c>
      <c r="I1895" s="12" t="s">
        <v>113</v>
      </c>
      <c r="J1895" s="14">
        <v>400</v>
      </c>
      <c r="K1895" s="15" t="s">
        <v>28</v>
      </c>
      <c r="M1895" s="16">
        <f t="shared" ref="M1895:M1904" si="317">+N1895/J1895</f>
        <v>8</v>
      </c>
      <c r="N1895" s="15">
        <v>3200</v>
      </c>
      <c r="O1895" s="15">
        <v>2800</v>
      </c>
      <c r="P1895" s="15">
        <f t="shared" si="315"/>
        <v>8960000</v>
      </c>
      <c r="Q1895" s="15" t="str">
        <f t="shared" si="313"/>
        <v>Done</v>
      </c>
      <c r="R1895" s="18" t="s">
        <v>44</v>
      </c>
      <c r="S1895" s="23">
        <v>43539</v>
      </c>
      <c r="T1895" s="20">
        <f>IFERROR(VLOOKUP(S1895,'Date Converter'!$A$4:$C$368,3,0),"")</f>
        <v>43574</v>
      </c>
      <c r="U1895" s="21">
        <f t="shared" si="314"/>
        <v>43574</v>
      </c>
      <c r="V1895" s="20" t="s">
        <v>57</v>
      </c>
      <c r="W1895" s="18" t="s">
        <v>132</v>
      </c>
      <c r="X1895" s="18">
        <v>43569</v>
      </c>
      <c r="Y1895" s="15"/>
      <c r="Z1895" s="206">
        <v>43558</v>
      </c>
      <c r="AA1895" s="15">
        <v>3200</v>
      </c>
      <c r="AB1895" s="206"/>
      <c r="AC1895" s="15"/>
      <c r="AD1895" s="206"/>
      <c r="AE1895" s="15"/>
      <c r="AF1895" s="244"/>
      <c r="AG1895" s="15"/>
      <c r="AH1895" s="15">
        <f t="shared" si="310"/>
        <v>3200</v>
      </c>
      <c r="AI1895" s="22">
        <f t="shared" si="311"/>
        <v>0</v>
      </c>
      <c r="AJ1895" s="22">
        <f t="shared" si="312"/>
        <v>0</v>
      </c>
    </row>
    <row r="1896" spans="1:37" hidden="1">
      <c r="A1896" t="s">
        <v>333</v>
      </c>
      <c r="B1896" s="13">
        <v>43518</v>
      </c>
      <c r="C1896" s="13" t="s">
        <v>23</v>
      </c>
      <c r="D1896" t="s">
        <v>485</v>
      </c>
      <c r="E1896" s="165" t="s">
        <v>234</v>
      </c>
      <c r="F1896" s="165" t="str">
        <f t="shared" si="316"/>
        <v>PAVI_12.14_400_NL2018</v>
      </c>
      <c r="G1896" t="s">
        <v>138</v>
      </c>
      <c r="I1896" s="12" t="s">
        <v>113</v>
      </c>
      <c r="J1896" s="14">
        <v>400</v>
      </c>
      <c r="K1896" s="15" t="s">
        <v>28</v>
      </c>
      <c r="M1896" s="16">
        <f t="shared" si="317"/>
        <v>8</v>
      </c>
      <c r="N1896" s="15">
        <v>3200</v>
      </c>
      <c r="O1896" s="15">
        <v>2800</v>
      </c>
      <c r="P1896" s="15">
        <f t="shared" si="315"/>
        <v>8960000</v>
      </c>
      <c r="Q1896" s="15" t="str">
        <f t="shared" si="313"/>
        <v>Done</v>
      </c>
      <c r="R1896" s="18" t="s">
        <v>44</v>
      </c>
      <c r="S1896" s="23" t="s">
        <v>53</v>
      </c>
      <c r="T1896" s="20">
        <f>IFERROR(VLOOKUP(S1896,'Date Converter'!$A$4:$C$368,3,0),"")</f>
        <v>43559</v>
      </c>
      <c r="U1896" s="21">
        <f t="shared" si="314"/>
        <v>43559</v>
      </c>
      <c r="V1896" s="20" t="s">
        <v>54</v>
      </c>
      <c r="W1896" s="18" t="s">
        <v>101</v>
      </c>
      <c r="X1896" s="18">
        <v>43555</v>
      </c>
      <c r="Y1896" s="15" t="s">
        <v>59</v>
      </c>
      <c r="Z1896" s="206">
        <v>43594</v>
      </c>
      <c r="AA1896" s="15">
        <v>3200</v>
      </c>
      <c r="AB1896" s="206"/>
      <c r="AC1896" s="15"/>
      <c r="AD1896" s="206"/>
      <c r="AE1896" s="15"/>
      <c r="AF1896" s="244"/>
      <c r="AG1896" s="15"/>
      <c r="AH1896" s="15">
        <f t="shared" si="310"/>
        <v>3200</v>
      </c>
      <c r="AI1896" s="22">
        <f t="shared" si="311"/>
        <v>0</v>
      </c>
      <c r="AJ1896" s="22">
        <f t="shared" si="312"/>
        <v>0</v>
      </c>
    </row>
    <row r="1897" spans="1:37" hidden="1">
      <c r="A1897" t="s">
        <v>333</v>
      </c>
      <c r="B1897" s="13">
        <v>43615</v>
      </c>
      <c r="C1897" s="13" t="s">
        <v>23</v>
      </c>
      <c r="D1897" t="s">
        <v>485</v>
      </c>
      <c r="E1897" s="198" t="s">
        <v>234</v>
      </c>
      <c r="F1897" s="165" t="str">
        <f t="shared" si="316"/>
        <v>NASH_14.16_300_NL2018</v>
      </c>
      <c r="G1897" t="s">
        <v>123</v>
      </c>
      <c r="I1897" s="12" t="s">
        <v>47</v>
      </c>
      <c r="J1897" s="14">
        <v>300</v>
      </c>
      <c r="K1897" s="15" t="s">
        <v>28</v>
      </c>
      <c r="M1897" s="16">
        <f t="shared" si="317"/>
        <v>0</v>
      </c>
      <c r="N1897" s="15">
        <f>3000-3000</f>
        <v>0</v>
      </c>
      <c r="O1897" s="15">
        <v>4100</v>
      </c>
      <c r="P1897" s="15">
        <f t="shared" si="315"/>
        <v>0</v>
      </c>
      <c r="Q1897" s="15" t="str">
        <f t="shared" si="313"/>
        <v>Canceled</v>
      </c>
      <c r="R1897" s="18" t="s">
        <v>71</v>
      </c>
      <c r="S1897" s="23">
        <v>43631</v>
      </c>
      <c r="T1897" s="20">
        <f>IFERROR(VLOOKUP(S1897,'Date Converter'!$A$4:$C$368,3,0),"")</f>
        <v>43663</v>
      </c>
      <c r="U1897" s="21">
        <f t="shared" si="314"/>
        <v>43663</v>
      </c>
      <c r="V1897" s="20"/>
      <c r="Y1897" s="15"/>
      <c r="AA1897" s="15"/>
      <c r="AB1897" s="206"/>
      <c r="AC1897" s="15"/>
      <c r="AD1897" s="206"/>
      <c r="AE1897" s="15"/>
      <c r="AF1897" s="244"/>
      <c r="AG1897" s="15"/>
      <c r="AH1897" s="15">
        <f t="shared" ref="AH1897:AH1904" si="318">+AA1897+AC1897+AE1897+AG1897</f>
        <v>0</v>
      </c>
      <c r="AI1897" s="22">
        <f t="shared" ref="AI1897:AI1904" si="319">+N1897-AH1897</f>
        <v>0</v>
      </c>
      <c r="AJ1897" s="22">
        <f t="shared" ref="AJ1897:AJ1904" si="320">+AI1897*O1897</f>
        <v>0</v>
      </c>
    </row>
    <row r="1898" spans="1:37" hidden="1">
      <c r="A1898" t="s">
        <v>333</v>
      </c>
      <c r="B1898" s="13">
        <v>43518</v>
      </c>
      <c r="C1898" s="13" t="s">
        <v>23</v>
      </c>
      <c r="D1898" t="s">
        <v>485</v>
      </c>
      <c r="E1898" s="198" t="s">
        <v>234</v>
      </c>
      <c r="F1898" s="165" t="str">
        <f t="shared" si="316"/>
        <v>NASH_14.16_300_NL2018</v>
      </c>
      <c r="G1898" t="s">
        <v>123</v>
      </c>
      <c r="I1898" s="12" t="s">
        <v>47</v>
      </c>
      <c r="J1898" s="14">
        <v>300</v>
      </c>
      <c r="K1898" s="15" t="s">
        <v>28</v>
      </c>
      <c r="M1898" s="16">
        <f t="shared" si="317"/>
        <v>10</v>
      </c>
      <c r="N1898" s="15">
        <v>3000</v>
      </c>
      <c r="O1898" s="15">
        <v>3800</v>
      </c>
      <c r="P1898" s="15">
        <f t="shared" si="315"/>
        <v>11400000</v>
      </c>
      <c r="Q1898" s="15" t="str">
        <f t="shared" si="313"/>
        <v>Done</v>
      </c>
      <c r="R1898" s="18" t="s">
        <v>44</v>
      </c>
      <c r="S1898" s="23">
        <v>43572</v>
      </c>
      <c r="T1898" s="20">
        <f>IFERROR(VLOOKUP(S1898,'Date Converter'!$A$4:$C$368,3,0),"")</f>
        <v>43606</v>
      </c>
      <c r="U1898" s="21">
        <f t="shared" si="314"/>
        <v>43606</v>
      </c>
      <c r="V1898" s="20" t="s">
        <v>36</v>
      </c>
      <c r="Y1898" s="15"/>
      <c r="Z1898" s="206">
        <v>43609</v>
      </c>
      <c r="AA1898" s="15">
        <v>3000</v>
      </c>
      <c r="AB1898" s="206"/>
      <c r="AC1898" s="15"/>
      <c r="AD1898" s="206"/>
      <c r="AE1898" s="15"/>
      <c r="AF1898" s="244"/>
      <c r="AG1898" s="15"/>
      <c r="AH1898" s="15">
        <f t="shared" si="318"/>
        <v>3000</v>
      </c>
      <c r="AI1898" s="22">
        <f t="shared" si="319"/>
        <v>0</v>
      </c>
      <c r="AJ1898" s="22">
        <f t="shared" si="320"/>
        <v>0</v>
      </c>
    </row>
    <row r="1899" spans="1:37" hidden="1">
      <c r="A1899" t="s">
        <v>1355</v>
      </c>
      <c r="B1899" s="13">
        <v>43559</v>
      </c>
      <c r="C1899" s="13" t="s">
        <v>23</v>
      </c>
      <c r="D1899" s="258" t="s">
        <v>485</v>
      </c>
      <c r="E1899" s="97" t="s">
        <v>234</v>
      </c>
      <c r="F1899" s="165" t="str">
        <f t="shared" si="316"/>
        <v>MANI_22.24_100_NL2018</v>
      </c>
      <c r="G1899" t="s">
        <v>105</v>
      </c>
      <c r="I1899" s="12" t="s">
        <v>78</v>
      </c>
      <c r="J1899" s="14">
        <v>100</v>
      </c>
      <c r="K1899" s="15" t="s">
        <v>28</v>
      </c>
      <c r="M1899" s="16">
        <f t="shared" si="317"/>
        <v>50</v>
      </c>
      <c r="N1899" s="15">
        <v>5000</v>
      </c>
      <c r="O1899" s="15">
        <v>15400</v>
      </c>
      <c r="P1899" s="15">
        <f t="shared" si="315"/>
        <v>77000000</v>
      </c>
      <c r="Q1899" s="15" t="str">
        <f t="shared" si="313"/>
        <v/>
      </c>
      <c r="R1899" s="18" t="s">
        <v>29</v>
      </c>
      <c r="S1899" s="23">
        <v>43709</v>
      </c>
      <c r="T1899" s="20">
        <f>IFERROR(VLOOKUP(S1899,'Date Converter'!$A$4:$C$368,3,0),"")</f>
        <v>43737</v>
      </c>
      <c r="U1899" s="21">
        <f t="shared" si="314"/>
        <v>43737</v>
      </c>
      <c r="V1899" s="20" t="s">
        <v>51</v>
      </c>
      <c r="Y1899" s="15"/>
      <c r="AA1899" s="15"/>
      <c r="AB1899" s="206"/>
      <c r="AC1899" s="15"/>
      <c r="AD1899" s="206"/>
      <c r="AE1899" s="15"/>
      <c r="AF1899" s="244"/>
      <c r="AG1899" s="15"/>
      <c r="AH1899" s="15">
        <f t="shared" si="318"/>
        <v>0</v>
      </c>
      <c r="AI1899" s="22">
        <f t="shared" si="319"/>
        <v>5000</v>
      </c>
      <c r="AJ1899" s="22">
        <f t="shared" si="320"/>
        <v>77000000</v>
      </c>
    </row>
    <row r="1900" spans="1:37" hidden="1">
      <c r="A1900" t="s">
        <v>333</v>
      </c>
      <c r="B1900" s="13">
        <v>43594</v>
      </c>
      <c r="C1900" s="13" t="s">
        <v>23</v>
      </c>
      <c r="D1900" t="s">
        <v>485</v>
      </c>
      <c r="E1900" s="198" t="s">
        <v>234</v>
      </c>
      <c r="F1900" s="165" t="str">
        <f t="shared" si="316"/>
        <v>EREM_14.16_300_NL2018</v>
      </c>
      <c r="G1900" s="165" t="s">
        <v>469</v>
      </c>
      <c r="I1900" s="12" t="s">
        <v>47</v>
      </c>
      <c r="J1900" s="14">
        <v>300</v>
      </c>
      <c r="K1900" s="15" t="s">
        <v>28</v>
      </c>
      <c r="M1900" s="16">
        <f t="shared" si="317"/>
        <v>10</v>
      </c>
      <c r="N1900" s="15">
        <v>3000</v>
      </c>
      <c r="O1900" s="15">
        <v>4200</v>
      </c>
      <c r="P1900" s="15">
        <f t="shared" si="315"/>
        <v>12600000</v>
      </c>
      <c r="Q1900" s="15" t="str">
        <f t="shared" si="313"/>
        <v>Done</v>
      </c>
      <c r="R1900" s="18" t="s">
        <v>44</v>
      </c>
      <c r="S1900" s="23">
        <v>43590</v>
      </c>
      <c r="T1900" s="20">
        <f>IFERROR(VLOOKUP(S1900,'Date Converter'!$A$4:$C$368,3,0),"")</f>
        <v>43623</v>
      </c>
      <c r="U1900" s="21">
        <f t="shared" si="314"/>
        <v>43623</v>
      </c>
      <c r="V1900" s="20" t="s">
        <v>1454</v>
      </c>
      <c r="Y1900" s="15"/>
      <c r="Z1900" s="206">
        <v>43624</v>
      </c>
      <c r="AA1900" s="15">
        <v>3000</v>
      </c>
      <c r="AB1900" s="206"/>
      <c r="AC1900" s="15"/>
      <c r="AD1900" s="206"/>
      <c r="AE1900" s="15"/>
      <c r="AF1900" s="244"/>
      <c r="AG1900" s="15"/>
      <c r="AH1900" s="15">
        <f t="shared" si="318"/>
        <v>3000</v>
      </c>
      <c r="AI1900" s="22">
        <f t="shared" si="319"/>
        <v>0</v>
      </c>
      <c r="AJ1900" s="22">
        <f t="shared" si="320"/>
        <v>0</v>
      </c>
    </row>
    <row r="1901" spans="1:37" hidden="1">
      <c r="A1901" t="s">
        <v>333</v>
      </c>
      <c r="B1901" s="13">
        <v>43615</v>
      </c>
      <c r="C1901" s="13" t="s">
        <v>23</v>
      </c>
      <c r="D1901" t="s">
        <v>485</v>
      </c>
      <c r="E1901" s="198" t="s">
        <v>234</v>
      </c>
      <c r="F1901" s="165" t="str">
        <f t="shared" si="316"/>
        <v>EREM_14.16_300_NL2018</v>
      </c>
      <c r="G1901" s="165" t="s">
        <v>469</v>
      </c>
      <c r="I1901" s="12" t="s">
        <v>47</v>
      </c>
      <c r="J1901" s="14">
        <v>300</v>
      </c>
      <c r="K1901" s="15" t="s">
        <v>28</v>
      </c>
      <c r="M1901" s="16">
        <f t="shared" si="317"/>
        <v>0</v>
      </c>
      <c r="N1901" s="15">
        <f>3000-3000</f>
        <v>0</v>
      </c>
      <c r="O1901" s="15">
        <v>4400</v>
      </c>
      <c r="P1901" s="15">
        <f t="shared" si="315"/>
        <v>0</v>
      </c>
      <c r="Q1901" s="15" t="str">
        <f t="shared" si="313"/>
        <v>Canceled</v>
      </c>
      <c r="R1901" s="18" t="s">
        <v>71</v>
      </c>
      <c r="S1901" s="23">
        <v>43631</v>
      </c>
      <c r="T1901" s="20">
        <f>IFERROR(VLOOKUP(S1901,'Date Converter'!$A$4:$C$368,3,0),"")</f>
        <v>43663</v>
      </c>
      <c r="U1901" s="21">
        <f t="shared" si="314"/>
        <v>43663</v>
      </c>
      <c r="V1901" s="20"/>
      <c r="Y1901" s="15"/>
      <c r="AA1901" s="15"/>
      <c r="AB1901" s="206"/>
      <c r="AC1901" s="15"/>
      <c r="AD1901" s="206"/>
      <c r="AE1901" s="15"/>
      <c r="AF1901" s="244"/>
      <c r="AG1901" s="15"/>
      <c r="AH1901" s="15">
        <f t="shared" si="318"/>
        <v>0</v>
      </c>
      <c r="AI1901" s="22">
        <f t="shared" si="319"/>
        <v>0</v>
      </c>
      <c r="AJ1901" s="22">
        <f t="shared" si="320"/>
        <v>0</v>
      </c>
    </row>
    <row r="1902" spans="1:37" hidden="1">
      <c r="A1902" t="s">
        <v>333</v>
      </c>
      <c r="B1902" s="13">
        <v>43580</v>
      </c>
      <c r="C1902" s="13" t="s">
        <v>23</v>
      </c>
      <c r="D1902" t="s">
        <v>485</v>
      </c>
      <c r="E1902" s="198" t="s">
        <v>234</v>
      </c>
      <c r="F1902" s="165" t="str">
        <f t="shared" si="316"/>
        <v>ELDI_14.16_300_NL2018</v>
      </c>
      <c r="G1902" s="165" t="s">
        <v>1480</v>
      </c>
      <c r="I1902" s="12" t="s">
        <v>47</v>
      </c>
      <c r="J1902" s="14">
        <v>300</v>
      </c>
      <c r="K1902" s="15" t="s">
        <v>28</v>
      </c>
      <c r="M1902" s="16">
        <f t="shared" si="317"/>
        <v>10</v>
      </c>
      <c r="N1902" s="15">
        <v>3000</v>
      </c>
      <c r="O1902" s="15">
        <v>4700</v>
      </c>
      <c r="P1902" s="15">
        <f t="shared" si="315"/>
        <v>14100000</v>
      </c>
      <c r="Q1902" s="15" t="str">
        <f t="shared" si="313"/>
        <v>Done</v>
      </c>
      <c r="R1902" s="18" t="s">
        <v>44</v>
      </c>
      <c r="S1902" s="23">
        <v>43590</v>
      </c>
      <c r="T1902" s="20">
        <f>IFERROR(VLOOKUP(S1902,'Date Converter'!$A$4:$C$368,3,0),"")</f>
        <v>43623</v>
      </c>
      <c r="U1902" s="21">
        <f t="shared" si="314"/>
        <v>43623</v>
      </c>
      <c r="V1902" s="20" t="s">
        <v>1454</v>
      </c>
      <c r="Y1902" s="15"/>
      <c r="Z1902" s="206">
        <v>43624</v>
      </c>
      <c r="AA1902" s="15">
        <v>3000</v>
      </c>
      <c r="AB1902" s="206"/>
      <c r="AC1902" s="15"/>
      <c r="AD1902" s="206"/>
      <c r="AE1902" s="15"/>
      <c r="AF1902" s="244"/>
      <c r="AG1902" s="15"/>
      <c r="AH1902" s="15">
        <f t="shared" si="318"/>
        <v>3000</v>
      </c>
      <c r="AI1902" s="22">
        <f t="shared" si="319"/>
        <v>0</v>
      </c>
      <c r="AJ1902" s="22">
        <f t="shared" si="320"/>
        <v>0</v>
      </c>
    </row>
    <row r="1903" spans="1:37" hidden="1">
      <c r="A1903" t="s">
        <v>1355</v>
      </c>
      <c r="B1903" s="13">
        <v>43559</v>
      </c>
      <c r="C1903" s="13" t="s">
        <v>23</v>
      </c>
      <c r="D1903" s="258" t="s">
        <v>485</v>
      </c>
      <c r="E1903" s="97" t="s">
        <v>234</v>
      </c>
      <c r="F1903" s="165" t="str">
        <f t="shared" si="316"/>
        <v>CONC_20.22_125_NL2018</v>
      </c>
      <c r="G1903" t="s">
        <v>40</v>
      </c>
      <c r="I1903" s="12" t="s">
        <v>74</v>
      </c>
      <c r="J1903" s="14">
        <v>125</v>
      </c>
      <c r="K1903" s="15" t="s">
        <v>28</v>
      </c>
      <c r="M1903" s="16">
        <f t="shared" si="317"/>
        <v>80</v>
      </c>
      <c r="N1903" s="15">
        <v>10000</v>
      </c>
      <c r="O1903" s="15">
        <v>10600</v>
      </c>
      <c r="P1903" s="15">
        <f t="shared" si="315"/>
        <v>106000000</v>
      </c>
      <c r="Q1903" s="15" t="str">
        <f t="shared" si="313"/>
        <v/>
      </c>
      <c r="R1903" s="18" t="s">
        <v>29</v>
      </c>
      <c r="S1903" s="23">
        <v>43709</v>
      </c>
      <c r="T1903" s="20">
        <f>IFERROR(VLOOKUP(S1903,'Date Converter'!$A$4:$C$368,3,0),"")</f>
        <v>43737</v>
      </c>
      <c r="U1903" s="21">
        <f t="shared" si="314"/>
        <v>43737</v>
      </c>
      <c r="V1903" s="20" t="s">
        <v>51</v>
      </c>
      <c r="Y1903" s="15"/>
      <c r="AA1903" s="15"/>
      <c r="AB1903" s="206"/>
      <c r="AC1903" s="15"/>
      <c r="AD1903" s="206"/>
      <c r="AE1903" s="15"/>
      <c r="AF1903" s="244"/>
      <c r="AG1903" s="15"/>
      <c r="AH1903" s="15">
        <f t="shared" si="318"/>
        <v>0</v>
      </c>
      <c r="AI1903" s="22">
        <f t="shared" si="319"/>
        <v>10000</v>
      </c>
      <c r="AJ1903" s="22">
        <f t="shared" si="320"/>
        <v>106000000</v>
      </c>
    </row>
    <row r="1904" spans="1:37" hidden="1">
      <c r="A1904" t="s">
        <v>333</v>
      </c>
      <c r="B1904" s="13">
        <v>43630</v>
      </c>
      <c r="C1904" s="13" t="s">
        <v>23</v>
      </c>
      <c r="D1904" t="s">
        <v>485</v>
      </c>
      <c r="E1904" s="165" t="s">
        <v>234</v>
      </c>
      <c r="F1904" s="165" t="str">
        <f t="shared" si="316"/>
        <v>ARVA_16.18_200_NL2018</v>
      </c>
      <c r="G1904" s="165" t="s">
        <v>85</v>
      </c>
      <c r="I1904" s="12" t="s">
        <v>35</v>
      </c>
      <c r="J1904" s="14">
        <v>200</v>
      </c>
      <c r="K1904" s="15" t="s">
        <v>28</v>
      </c>
      <c r="M1904" s="16">
        <f t="shared" si="317"/>
        <v>15</v>
      </c>
      <c r="N1904" s="15">
        <v>3000</v>
      </c>
      <c r="O1904" s="15">
        <v>5400</v>
      </c>
      <c r="P1904" s="15">
        <f t="shared" si="315"/>
        <v>16200000</v>
      </c>
      <c r="Q1904" s="15" t="str">
        <f t="shared" si="313"/>
        <v>Done</v>
      </c>
      <c r="R1904" s="18" t="s">
        <v>44</v>
      </c>
      <c r="S1904" s="23">
        <v>43572</v>
      </c>
      <c r="T1904" s="20">
        <f>IFERROR(VLOOKUP(S1904,'Date Converter'!$A$4:$C$368,3,0),"")</f>
        <v>43606</v>
      </c>
      <c r="U1904" s="21">
        <f t="shared" si="314"/>
        <v>43606</v>
      </c>
      <c r="V1904" s="20"/>
      <c r="Y1904" s="15"/>
      <c r="Z1904" s="206">
        <v>43630</v>
      </c>
      <c r="AA1904" s="15">
        <v>3000</v>
      </c>
      <c r="AB1904" s="206"/>
      <c r="AC1904" s="15"/>
      <c r="AD1904" s="206"/>
      <c r="AE1904" s="15"/>
      <c r="AF1904" s="244"/>
      <c r="AG1904" s="15"/>
      <c r="AH1904" s="15">
        <f t="shared" si="318"/>
        <v>3000</v>
      </c>
      <c r="AI1904" s="22">
        <f t="shared" si="319"/>
        <v>0</v>
      </c>
      <c r="AJ1904" s="22">
        <f t="shared" si="320"/>
        <v>0</v>
      </c>
    </row>
  </sheetData>
  <autoFilter ref="A1:AK1904">
    <filterColumn colId="4">
      <filters>
        <filter val="HUỲNH VĂN HOÀNG"/>
      </filters>
    </filterColumn>
  </autoFilter>
  <phoneticPr fontId="50" type="noConversion"/>
  <conditionalFormatting sqref="R610 R612 R73:R81 R955 R601:R606 R925:R926 R228:R231 R929:R932 R620:R634 R691 R639:R641 R863:R867 R278:R284 R487:R494 R462:R485 R614:R616 R644:R645 R957 R1128 R1310:R1311 R1332:R1334 R1373:R1374 R1392 R1414:R1416 R1447 R1474 R1476:R1478 R1654:R1655 R1660 R1712 R1751:R1754 R1773:R1774 R1811 R1150:R1172 R648:R660 R1674:R1678 R1202:R1205 R961:R966 R581:R592 R1212:R1214 R870:R920 R724:R734 R235:R272 R693:R722 R1878:R1048576 R542:R561 R743:R861 R1:R68 R100:R222 R83:R98 R286:R392 R668:R686 R496:R540 R395:R460 R1359:R1363 R1235:R1243 R969:R1115 R934:R952 R1401:R1403 R1588:R1594 R1573:R1582 R1542:R1545 R1843:R1876 R1790:R1803 R1610:R1616 R1621:R1644 R1484:R1488 R1508:R1536">
    <cfRule type="containsText" dxfId="679" priority="1777" operator="containsText" text="Canceled">
      <formula>NOT(ISERROR(SEARCH("Canceled",R1)))</formula>
    </cfRule>
    <cfRule type="containsText" dxfId="678" priority="1778" operator="containsText" text="In Transit">
      <formula>NOT(ISERROR(SEARCH("In Transit",R1)))</formula>
    </cfRule>
    <cfRule type="containsText" dxfId="677" priority="1779" operator="containsText" text="Pending">
      <formula>NOT(ISERROR(SEARCH("Pending",R1)))</formula>
    </cfRule>
    <cfRule type="containsText" dxfId="676" priority="1780" operator="containsText" text="Done">
      <formula>NOT(ISERROR(SEARCH("Done",R1)))</formula>
    </cfRule>
  </conditionalFormatting>
  <conditionalFormatting sqref="R607:R609">
    <cfRule type="containsText" dxfId="675" priority="1725" operator="containsText" text="Canceled">
      <formula>NOT(ISERROR(SEARCH("Canceled",R607)))</formula>
    </cfRule>
    <cfRule type="containsText" dxfId="674" priority="1726" operator="containsText" text="In Transit">
      <formula>NOT(ISERROR(SEARCH("In Transit",R607)))</formula>
    </cfRule>
    <cfRule type="containsText" dxfId="673" priority="1727" operator="containsText" text="Pending">
      <formula>NOT(ISERROR(SEARCH("Pending",R607)))</formula>
    </cfRule>
    <cfRule type="containsText" dxfId="672" priority="1728" operator="containsText" text="Done">
      <formula>NOT(ISERROR(SEARCH("Done",R607)))</formula>
    </cfRule>
  </conditionalFormatting>
  <conditionalFormatting sqref="R618">
    <cfRule type="containsText" dxfId="671" priority="1717" operator="containsText" text="Canceled">
      <formula>NOT(ISERROR(SEARCH("Canceled",R618)))</formula>
    </cfRule>
    <cfRule type="containsText" dxfId="670" priority="1718" operator="containsText" text="In Transit">
      <formula>NOT(ISERROR(SEARCH("In Transit",R618)))</formula>
    </cfRule>
    <cfRule type="containsText" dxfId="669" priority="1719" operator="containsText" text="Pending">
      <formula>NOT(ISERROR(SEARCH("Pending",R618)))</formula>
    </cfRule>
    <cfRule type="containsText" dxfId="668" priority="1720" operator="containsText" text="Done">
      <formula>NOT(ISERROR(SEARCH("Done",R618)))</formula>
    </cfRule>
  </conditionalFormatting>
  <conditionalFormatting sqref="R541">
    <cfRule type="containsText" dxfId="667" priority="1705" operator="containsText" text="Canceled">
      <formula>NOT(ISERROR(SEARCH("Canceled",R541)))</formula>
    </cfRule>
    <cfRule type="containsText" dxfId="666" priority="1706" operator="containsText" text="In Transit">
      <formula>NOT(ISERROR(SEARCH("In Transit",R541)))</formula>
    </cfRule>
    <cfRule type="containsText" dxfId="665" priority="1707" operator="containsText" text="Pending">
      <formula>NOT(ISERROR(SEARCH("Pending",R541)))</formula>
    </cfRule>
    <cfRule type="containsText" dxfId="664" priority="1708" operator="containsText" text="Done">
      <formula>NOT(ISERROR(SEARCH("Done",R541)))</formula>
    </cfRule>
  </conditionalFormatting>
  <conditionalFormatting sqref="R562:R578">
    <cfRule type="containsText" dxfId="663" priority="1693" operator="containsText" text="Canceled">
      <formula>NOT(ISERROR(SEARCH("Canceled",R562)))</formula>
    </cfRule>
    <cfRule type="containsText" dxfId="662" priority="1694" operator="containsText" text="In Transit">
      <formula>NOT(ISERROR(SEARCH("In Transit",R562)))</formula>
    </cfRule>
    <cfRule type="containsText" dxfId="661" priority="1695" operator="containsText" text="Pending">
      <formula>NOT(ISERROR(SEARCH("Pending",R562)))</formula>
    </cfRule>
    <cfRule type="containsText" dxfId="660" priority="1696" operator="containsText" text="Done">
      <formula>NOT(ISERROR(SEARCH("Done",R562)))</formula>
    </cfRule>
  </conditionalFormatting>
  <conditionalFormatting sqref="R613">
    <cfRule type="containsText" dxfId="659" priority="1697" operator="containsText" text="Canceled">
      <formula>NOT(ISERROR(SEARCH("Canceled",R613)))</formula>
    </cfRule>
    <cfRule type="containsText" dxfId="658" priority="1698" operator="containsText" text="In Transit">
      <formula>NOT(ISERROR(SEARCH("In Transit",R613)))</formula>
    </cfRule>
    <cfRule type="containsText" dxfId="657" priority="1699" operator="containsText" text="Pending">
      <formula>NOT(ISERROR(SEARCH("Pending",R613)))</formula>
    </cfRule>
    <cfRule type="containsText" dxfId="656" priority="1700" operator="containsText" text="Done">
      <formula>NOT(ISERROR(SEARCH("Done",R613)))</formula>
    </cfRule>
  </conditionalFormatting>
  <conditionalFormatting sqref="R579:R580">
    <cfRule type="containsText" dxfId="655" priority="1689" operator="containsText" text="Canceled">
      <formula>NOT(ISERROR(SEARCH("Canceled",R579)))</formula>
    </cfRule>
    <cfRule type="containsText" dxfId="654" priority="1690" operator="containsText" text="In Transit">
      <formula>NOT(ISERROR(SEARCH("In Transit",R579)))</formula>
    </cfRule>
    <cfRule type="containsText" dxfId="653" priority="1691" operator="containsText" text="Pending">
      <formula>NOT(ISERROR(SEARCH("Pending",R579)))</formula>
    </cfRule>
    <cfRule type="containsText" dxfId="652" priority="1692" operator="containsText" text="Done">
      <formula>NOT(ISERROR(SEARCH("Done",R579)))</formula>
    </cfRule>
  </conditionalFormatting>
  <conditionalFormatting sqref="R611">
    <cfRule type="containsText" dxfId="651" priority="1685" operator="containsText" text="Canceled">
      <formula>NOT(ISERROR(SEARCH("Canceled",R611)))</formula>
    </cfRule>
    <cfRule type="containsText" dxfId="650" priority="1686" operator="containsText" text="In Transit">
      <formula>NOT(ISERROR(SEARCH("In Transit",R611)))</formula>
    </cfRule>
    <cfRule type="containsText" dxfId="649" priority="1687" operator="containsText" text="Pending">
      <formula>NOT(ISERROR(SEARCH("Pending",R611)))</formula>
    </cfRule>
    <cfRule type="containsText" dxfId="648" priority="1688" operator="containsText" text="Done">
      <formula>NOT(ISERROR(SEARCH("Done",R611)))</formula>
    </cfRule>
  </conditionalFormatting>
  <conditionalFormatting sqref="R692">
    <cfRule type="containsText" dxfId="647" priority="1677" operator="containsText" text="Canceled">
      <formula>NOT(ISERROR(SEARCH("Canceled",R692)))</formula>
    </cfRule>
    <cfRule type="containsText" dxfId="646" priority="1678" operator="containsText" text="In Transit">
      <formula>NOT(ISERROR(SEARCH("In Transit",R692)))</formula>
    </cfRule>
    <cfRule type="containsText" dxfId="645" priority="1679" operator="containsText" text="Pending">
      <formula>NOT(ISERROR(SEARCH("Pending",R692)))</formula>
    </cfRule>
    <cfRule type="containsText" dxfId="644" priority="1680" operator="containsText" text="Done">
      <formula>NOT(ISERROR(SEARCH("Done",R692)))</formula>
    </cfRule>
  </conditionalFormatting>
  <conditionalFormatting sqref="R933">
    <cfRule type="containsText" dxfId="643" priority="1669" operator="containsText" text="Canceled">
      <formula>NOT(ISERROR(SEARCH("Canceled",R933)))</formula>
    </cfRule>
    <cfRule type="containsText" dxfId="642" priority="1670" operator="containsText" text="In Transit">
      <formula>NOT(ISERROR(SEARCH("In Transit",R933)))</formula>
    </cfRule>
    <cfRule type="containsText" dxfId="641" priority="1671" operator="containsText" text="Pending">
      <formula>NOT(ISERROR(SEARCH("Pending",R933)))</formula>
    </cfRule>
    <cfRule type="containsText" dxfId="640" priority="1672" operator="containsText" text="Done">
      <formula>NOT(ISERROR(SEARCH("Done",R933)))</formula>
    </cfRule>
  </conditionalFormatting>
  <conditionalFormatting sqref="R82">
    <cfRule type="containsText" dxfId="639" priority="1657" operator="containsText" text="Canceled">
      <formula>NOT(ISERROR(SEARCH("Canceled",R82)))</formula>
    </cfRule>
    <cfRule type="containsText" dxfId="638" priority="1658" operator="containsText" text="In Transit">
      <formula>NOT(ISERROR(SEARCH("In Transit",R82)))</formula>
    </cfRule>
    <cfRule type="containsText" dxfId="637" priority="1659" operator="containsText" text="Pending">
      <formula>NOT(ISERROR(SEARCH("Pending",R82)))</formula>
    </cfRule>
    <cfRule type="containsText" dxfId="636" priority="1660" operator="containsText" text="Done">
      <formula>NOT(ISERROR(SEARCH("Done",R82)))</formula>
    </cfRule>
  </conditionalFormatting>
  <conditionalFormatting sqref="R635:R638 R642:R643 R646">
    <cfRule type="containsText" dxfId="635" priority="1645" operator="containsText" text="Canceled">
      <formula>NOT(ISERROR(SEARCH("Canceled",R635)))</formula>
    </cfRule>
    <cfRule type="containsText" dxfId="634" priority="1646" operator="containsText" text="In Transit">
      <formula>NOT(ISERROR(SEARCH("In Transit",R635)))</formula>
    </cfRule>
    <cfRule type="containsText" dxfId="633" priority="1647" operator="containsText" text="Pending">
      <formula>NOT(ISERROR(SEARCH("Pending",R635)))</formula>
    </cfRule>
    <cfRule type="containsText" dxfId="632" priority="1648" operator="containsText" text="Done">
      <formula>NOT(ISERROR(SEARCH("Done",R635)))</formula>
    </cfRule>
  </conditionalFormatting>
  <conditionalFormatting sqref="R647">
    <cfRule type="containsText" dxfId="631" priority="1641" operator="containsText" text="Canceled">
      <formula>NOT(ISERROR(SEARCH("Canceled",R647)))</formula>
    </cfRule>
    <cfRule type="containsText" dxfId="630" priority="1642" operator="containsText" text="In Transit">
      <formula>NOT(ISERROR(SEARCH("In Transit",R647)))</formula>
    </cfRule>
    <cfRule type="containsText" dxfId="629" priority="1643" operator="containsText" text="Pending">
      <formula>NOT(ISERROR(SEARCH("Pending",R647)))</formula>
    </cfRule>
    <cfRule type="containsText" dxfId="628" priority="1644" operator="containsText" text="Done">
      <formula>NOT(ISERROR(SEARCH("Done",R647)))</formula>
    </cfRule>
  </conditionalFormatting>
  <conditionalFormatting sqref="R953:R954">
    <cfRule type="containsText" dxfId="627" priority="1637" operator="containsText" text="Canceled">
      <formula>NOT(ISERROR(SEARCH("Canceled",R953)))</formula>
    </cfRule>
    <cfRule type="containsText" dxfId="626" priority="1638" operator="containsText" text="In Transit">
      <formula>NOT(ISERROR(SEARCH("In Transit",R953)))</formula>
    </cfRule>
    <cfRule type="containsText" dxfId="625" priority="1639" operator="containsText" text="Pending">
      <formula>NOT(ISERROR(SEARCH("Pending",R953)))</formula>
    </cfRule>
    <cfRule type="containsText" dxfId="624" priority="1640" operator="containsText" text="Done">
      <formula>NOT(ISERROR(SEARCH("Done",R953)))</formula>
    </cfRule>
  </conditionalFormatting>
  <conditionalFormatting sqref="R956 R967:R968 R958:R960">
    <cfRule type="containsText" dxfId="623" priority="1629" operator="containsText" text="Canceled">
      <formula>NOT(ISERROR(SEARCH("Canceled",R956)))</formula>
    </cfRule>
    <cfRule type="containsText" dxfId="622" priority="1630" operator="containsText" text="In Transit">
      <formula>NOT(ISERROR(SEARCH("In Transit",R956)))</formula>
    </cfRule>
    <cfRule type="containsText" dxfId="621" priority="1631" operator="containsText" text="Pending">
      <formula>NOT(ISERROR(SEARCH("Pending",R956)))</formula>
    </cfRule>
    <cfRule type="containsText" dxfId="620" priority="1632" operator="containsText" text="Done">
      <formula>NOT(ISERROR(SEARCH("Done",R956)))</formula>
    </cfRule>
  </conditionalFormatting>
  <conditionalFormatting sqref="R461">
    <cfRule type="containsText" dxfId="619" priority="1625" operator="containsText" text="Canceled">
      <formula>NOT(ISERROR(SEARCH("Canceled",R461)))</formula>
    </cfRule>
    <cfRule type="containsText" dxfId="618" priority="1626" operator="containsText" text="In Transit">
      <formula>NOT(ISERROR(SEARCH("In Transit",R461)))</formula>
    </cfRule>
    <cfRule type="containsText" dxfId="617" priority="1627" operator="containsText" text="Pending">
      <formula>NOT(ISERROR(SEARCH("Pending",R461)))</formula>
    </cfRule>
    <cfRule type="containsText" dxfId="616" priority="1628" operator="containsText" text="Done">
      <formula>NOT(ISERROR(SEARCH("Done",R461)))</formula>
    </cfRule>
  </conditionalFormatting>
  <conditionalFormatting sqref="R232:R234">
    <cfRule type="containsText" dxfId="615" priority="1617" operator="containsText" text="Canceled">
      <formula>NOT(ISERROR(SEARCH("Canceled",R232)))</formula>
    </cfRule>
    <cfRule type="containsText" dxfId="614" priority="1618" operator="containsText" text="In Transit">
      <formula>NOT(ISERROR(SEARCH("In Transit",R232)))</formula>
    </cfRule>
    <cfRule type="containsText" dxfId="613" priority="1619" operator="containsText" text="Pending">
      <formula>NOT(ISERROR(SEARCH("Pending",R232)))</formula>
    </cfRule>
    <cfRule type="containsText" dxfId="612" priority="1620" operator="containsText" text="Done">
      <formula>NOT(ISERROR(SEARCH("Done",R232)))</formula>
    </cfRule>
  </conditionalFormatting>
  <conditionalFormatting sqref="R862">
    <cfRule type="containsText" dxfId="611" priority="1613" operator="containsText" text="Canceled">
      <formula>NOT(ISERROR(SEARCH("Canceled",R862)))</formula>
    </cfRule>
    <cfRule type="containsText" dxfId="610" priority="1614" operator="containsText" text="In Transit">
      <formula>NOT(ISERROR(SEARCH("In Transit",R862)))</formula>
    </cfRule>
    <cfRule type="containsText" dxfId="609" priority="1615" operator="containsText" text="Pending">
      <formula>NOT(ISERROR(SEARCH("Pending",R862)))</formula>
    </cfRule>
    <cfRule type="containsText" dxfId="608" priority="1616" operator="containsText" text="Done">
      <formula>NOT(ISERROR(SEARCH("Done",R862)))</formula>
    </cfRule>
  </conditionalFormatting>
  <conditionalFormatting sqref="R69:R72">
    <cfRule type="containsText" dxfId="607" priority="1609" operator="containsText" text="Canceled">
      <formula>NOT(ISERROR(SEARCH("Canceled",R69)))</formula>
    </cfRule>
    <cfRule type="containsText" dxfId="606" priority="1610" operator="containsText" text="In Transit">
      <formula>NOT(ISERROR(SEARCH("In Transit",R69)))</formula>
    </cfRule>
    <cfRule type="containsText" dxfId="605" priority="1611" operator="containsText" text="Pending">
      <formula>NOT(ISERROR(SEARCH("Pending",R69)))</formula>
    </cfRule>
    <cfRule type="containsText" dxfId="604" priority="1612" operator="containsText" text="Done">
      <formula>NOT(ISERROR(SEARCH("Done",R69)))</formula>
    </cfRule>
  </conditionalFormatting>
  <conditionalFormatting sqref="R617">
    <cfRule type="containsText" dxfId="603" priority="1605" operator="containsText" text="Canceled">
      <formula>NOT(ISERROR(SEARCH("Canceled",R617)))</formula>
    </cfRule>
    <cfRule type="containsText" dxfId="602" priority="1606" operator="containsText" text="In Transit">
      <formula>NOT(ISERROR(SEARCH("In Transit",R617)))</formula>
    </cfRule>
    <cfRule type="containsText" dxfId="601" priority="1607" operator="containsText" text="Pending">
      <formula>NOT(ISERROR(SEARCH("Pending",R617)))</formula>
    </cfRule>
    <cfRule type="containsText" dxfId="600" priority="1608" operator="containsText" text="Done">
      <formula>NOT(ISERROR(SEARCH("Done",R617)))</formula>
    </cfRule>
  </conditionalFormatting>
  <conditionalFormatting sqref="S26:S29">
    <cfRule type="containsText" dxfId="599" priority="1601" operator="containsText" text="Canceled">
      <formula>NOT(ISERROR(SEARCH("Canceled",S26)))</formula>
    </cfRule>
    <cfRule type="containsText" dxfId="598" priority="1602" operator="containsText" text="In Transit">
      <formula>NOT(ISERROR(SEARCH("In Transit",S26)))</formula>
    </cfRule>
    <cfRule type="containsText" dxfId="597" priority="1603" operator="containsText" text="Pending">
      <formula>NOT(ISERROR(SEARCH("Pending",S26)))</formula>
    </cfRule>
    <cfRule type="containsText" dxfId="596" priority="1604" operator="containsText" text="Done">
      <formula>NOT(ISERROR(SEARCH("Done",S26)))</formula>
    </cfRule>
  </conditionalFormatting>
  <conditionalFormatting sqref="R486">
    <cfRule type="containsText" dxfId="595" priority="1593" operator="containsText" text="Canceled">
      <formula>NOT(ISERROR(SEARCH("Canceled",R486)))</formula>
    </cfRule>
    <cfRule type="containsText" dxfId="594" priority="1594" operator="containsText" text="In Transit">
      <formula>NOT(ISERROR(SEARCH("In Transit",R486)))</formula>
    </cfRule>
    <cfRule type="containsText" dxfId="593" priority="1595" operator="containsText" text="Pending">
      <formula>NOT(ISERROR(SEARCH("Pending",R486)))</formula>
    </cfRule>
    <cfRule type="containsText" dxfId="592" priority="1596" operator="containsText" text="Done">
      <formula>NOT(ISERROR(SEARCH("Done",R486)))</formula>
    </cfRule>
  </conditionalFormatting>
  <conditionalFormatting sqref="R393">
    <cfRule type="containsText" dxfId="591" priority="1585" operator="containsText" text="Canceled">
      <formula>NOT(ISERROR(SEARCH("Canceled",R393)))</formula>
    </cfRule>
    <cfRule type="containsText" dxfId="590" priority="1586" operator="containsText" text="In Transit">
      <formula>NOT(ISERROR(SEARCH("In Transit",R393)))</formula>
    </cfRule>
    <cfRule type="containsText" dxfId="589" priority="1587" operator="containsText" text="Pending">
      <formula>NOT(ISERROR(SEARCH("Pending",R393)))</formula>
    </cfRule>
    <cfRule type="containsText" dxfId="588" priority="1588" operator="containsText" text="Done">
      <formula>NOT(ISERROR(SEARCH("Done",R393)))</formula>
    </cfRule>
  </conditionalFormatting>
  <conditionalFormatting sqref="R723">
    <cfRule type="containsText" dxfId="587" priority="1581" operator="containsText" text="Canceled">
      <formula>NOT(ISERROR(SEARCH("Canceled",R723)))</formula>
    </cfRule>
    <cfRule type="containsText" dxfId="586" priority="1582" operator="containsText" text="In Transit">
      <formula>NOT(ISERROR(SEARCH("In Transit",R723)))</formula>
    </cfRule>
    <cfRule type="containsText" dxfId="585" priority="1583" operator="containsText" text="Pending">
      <formula>NOT(ISERROR(SEARCH("Pending",R723)))</formula>
    </cfRule>
    <cfRule type="containsText" dxfId="584" priority="1584" operator="containsText" text="Done">
      <formula>NOT(ISERROR(SEARCH("Done",R723)))</formula>
    </cfRule>
  </conditionalFormatting>
  <conditionalFormatting sqref="R927">
    <cfRule type="containsText" dxfId="583" priority="1561" operator="containsText" text="Canceled">
      <formula>NOT(ISERROR(SEARCH("Canceled",R927)))</formula>
    </cfRule>
    <cfRule type="containsText" dxfId="582" priority="1562" operator="containsText" text="In Transit">
      <formula>NOT(ISERROR(SEARCH("In Transit",R927)))</formula>
    </cfRule>
    <cfRule type="containsText" dxfId="581" priority="1563" operator="containsText" text="Pending">
      <formula>NOT(ISERROR(SEARCH("Pending",R927)))</formula>
    </cfRule>
    <cfRule type="containsText" dxfId="580" priority="1564" operator="containsText" text="Done">
      <formula>NOT(ISERROR(SEARCH("Done",R927)))</formula>
    </cfRule>
  </conditionalFormatting>
  <conditionalFormatting sqref="R928">
    <cfRule type="containsText" dxfId="579" priority="1557" operator="containsText" text="Canceled">
      <formula>NOT(ISERROR(SEARCH("Canceled",R928)))</formula>
    </cfRule>
    <cfRule type="containsText" dxfId="578" priority="1558" operator="containsText" text="In Transit">
      <formula>NOT(ISERROR(SEARCH("In Transit",R928)))</formula>
    </cfRule>
    <cfRule type="containsText" dxfId="577" priority="1559" operator="containsText" text="Pending">
      <formula>NOT(ISERROR(SEARCH("Pending",R928)))</formula>
    </cfRule>
    <cfRule type="containsText" dxfId="576" priority="1560" operator="containsText" text="Done">
      <formula>NOT(ISERROR(SEARCH("Done",R928)))</formula>
    </cfRule>
  </conditionalFormatting>
  <conditionalFormatting sqref="R921:R924">
    <cfRule type="containsText" dxfId="575" priority="1541" operator="containsText" text="Canceled">
      <formula>NOT(ISERROR(SEARCH("Canceled",R921)))</formula>
    </cfRule>
    <cfRule type="containsText" dxfId="574" priority="1542" operator="containsText" text="In Transit">
      <formula>NOT(ISERROR(SEARCH("In Transit",R921)))</formula>
    </cfRule>
    <cfRule type="containsText" dxfId="573" priority="1543" operator="containsText" text="Pending">
      <formula>NOT(ISERROR(SEARCH("Pending",R921)))</formula>
    </cfRule>
    <cfRule type="containsText" dxfId="572" priority="1544" operator="containsText" text="Done">
      <formula>NOT(ISERROR(SEARCH("Done",R921)))</formula>
    </cfRule>
  </conditionalFormatting>
  <conditionalFormatting sqref="R273 R276">
    <cfRule type="containsText" dxfId="571" priority="1537" operator="containsText" text="Canceled">
      <formula>NOT(ISERROR(SEARCH("Canceled",R273)))</formula>
    </cfRule>
    <cfRule type="containsText" dxfId="570" priority="1538" operator="containsText" text="In Transit">
      <formula>NOT(ISERROR(SEARCH("In Transit",R273)))</formula>
    </cfRule>
    <cfRule type="containsText" dxfId="569" priority="1539" operator="containsText" text="Pending">
      <formula>NOT(ISERROR(SEARCH("Pending",R273)))</formula>
    </cfRule>
    <cfRule type="containsText" dxfId="568" priority="1540" operator="containsText" text="Done">
      <formula>NOT(ISERROR(SEARCH("Done",R273)))</formula>
    </cfRule>
  </conditionalFormatting>
  <conditionalFormatting sqref="R274:R275">
    <cfRule type="containsText" dxfId="567" priority="1533" operator="containsText" text="Canceled">
      <formula>NOT(ISERROR(SEARCH("Canceled",R274)))</formula>
    </cfRule>
    <cfRule type="containsText" dxfId="566" priority="1534" operator="containsText" text="In Transit">
      <formula>NOT(ISERROR(SEARCH("In Transit",R274)))</formula>
    </cfRule>
    <cfRule type="containsText" dxfId="565" priority="1535" operator="containsText" text="Pending">
      <formula>NOT(ISERROR(SEARCH("Pending",R274)))</formula>
    </cfRule>
    <cfRule type="containsText" dxfId="564" priority="1536" operator="containsText" text="Done">
      <formula>NOT(ISERROR(SEARCH("Done",R274)))</formula>
    </cfRule>
  </conditionalFormatting>
  <conditionalFormatting sqref="R277">
    <cfRule type="containsText" dxfId="563" priority="1529" operator="containsText" text="Canceled">
      <formula>NOT(ISERROR(SEARCH("Canceled",R277)))</formula>
    </cfRule>
    <cfRule type="containsText" dxfId="562" priority="1530" operator="containsText" text="In Transit">
      <formula>NOT(ISERROR(SEARCH("In Transit",R277)))</formula>
    </cfRule>
    <cfRule type="containsText" dxfId="561" priority="1531" operator="containsText" text="Pending">
      <formula>NOT(ISERROR(SEARCH("Pending",R277)))</formula>
    </cfRule>
    <cfRule type="containsText" dxfId="560" priority="1532" operator="containsText" text="Done">
      <formula>NOT(ISERROR(SEARCH("Done",R277)))</formula>
    </cfRule>
  </conditionalFormatting>
  <conditionalFormatting sqref="R223:R227">
    <cfRule type="containsText" dxfId="559" priority="1525" operator="containsText" text="Canceled">
      <formula>NOT(ISERROR(SEARCH("Canceled",R223)))</formula>
    </cfRule>
    <cfRule type="containsText" dxfId="558" priority="1526" operator="containsText" text="In Transit">
      <formula>NOT(ISERROR(SEARCH("In Transit",R223)))</formula>
    </cfRule>
    <cfRule type="containsText" dxfId="557" priority="1527" operator="containsText" text="Pending">
      <formula>NOT(ISERROR(SEARCH("Pending",R223)))</formula>
    </cfRule>
    <cfRule type="containsText" dxfId="556" priority="1528" operator="containsText" text="Done">
      <formula>NOT(ISERROR(SEARCH("Done",R223)))</formula>
    </cfRule>
  </conditionalFormatting>
  <conditionalFormatting sqref="R285">
    <cfRule type="containsText" dxfId="555" priority="1521" operator="containsText" text="Canceled">
      <formula>NOT(ISERROR(SEARCH("Canceled",R285)))</formula>
    </cfRule>
    <cfRule type="containsText" dxfId="554" priority="1522" operator="containsText" text="In Transit">
      <formula>NOT(ISERROR(SEARCH("In Transit",R285)))</formula>
    </cfRule>
    <cfRule type="containsText" dxfId="553" priority="1523" operator="containsText" text="Pending">
      <formula>NOT(ISERROR(SEARCH("Pending",R285)))</formula>
    </cfRule>
    <cfRule type="containsText" dxfId="552" priority="1524" operator="containsText" text="Done">
      <formula>NOT(ISERROR(SEARCH("Done",R285)))</formula>
    </cfRule>
  </conditionalFormatting>
  <conditionalFormatting sqref="R619">
    <cfRule type="containsText" dxfId="551" priority="1509" operator="containsText" text="Canceled">
      <formula>NOT(ISERROR(SEARCH("Canceled",R619)))</formula>
    </cfRule>
    <cfRule type="containsText" dxfId="550" priority="1510" operator="containsText" text="In Transit">
      <formula>NOT(ISERROR(SEARCH("In Transit",R619)))</formula>
    </cfRule>
    <cfRule type="containsText" dxfId="549" priority="1511" operator="containsText" text="Pending">
      <formula>NOT(ISERROR(SEARCH("Pending",R619)))</formula>
    </cfRule>
    <cfRule type="containsText" dxfId="548" priority="1512" operator="containsText" text="Done">
      <formula>NOT(ISERROR(SEARCH("Done",R619)))</formula>
    </cfRule>
  </conditionalFormatting>
  <conditionalFormatting sqref="R394">
    <cfRule type="containsText" dxfId="547" priority="1501" operator="containsText" text="Canceled">
      <formula>NOT(ISERROR(SEARCH("Canceled",R394)))</formula>
    </cfRule>
    <cfRule type="containsText" dxfId="546" priority="1502" operator="containsText" text="In Transit">
      <formula>NOT(ISERROR(SEARCH("In Transit",R394)))</formula>
    </cfRule>
    <cfRule type="containsText" dxfId="545" priority="1503" operator="containsText" text="Pending">
      <formula>NOT(ISERROR(SEARCH("Pending",R394)))</formula>
    </cfRule>
    <cfRule type="containsText" dxfId="544" priority="1504" operator="containsText" text="Done">
      <formula>NOT(ISERROR(SEARCH("Done",R394)))</formula>
    </cfRule>
  </conditionalFormatting>
  <conditionalFormatting sqref="R687:R690">
    <cfRule type="containsText" dxfId="543" priority="1493" operator="containsText" text="Canceled">
      <formula>NOT(ISERROR(SEARCH("Canceled",R687)))</formula>
    </cfRule>
    <cfRule type="containsText" dxfId="542" priority="1494" operator="containsText" text="In Transit">
      <formula>NOT(ISERROR(SEARCH("In Transit",R687)))</formula>
    </cfRule>
    <cfRule type="containsText" dxfId="541" priority="1495" operator="containsText" text="Pending">
      <formula>NOT(ISERROR(SEARCH("Pending",R687)))</formula>
    </cfRule>
    <cfRule type="containsText" dxfId="540" priority="1496" operator="containsText" text="Done">
      <formula>NOT(ISERROR(SEARCH("Done",R687)))</formula>
    </cfRule>
  </conditionalFormatting>
  <conditionalFormatting sqref="R868:R869">
    <cfRule type="containsText" dxfId="539" priority="1489" operator="containsText" text="Canceled">
      <formula>NOT(ISERROR(SEARCH("Canceled",R868)))</formula>
    </cfRule>
    <cfRule type="containsText" dxfId="538" priority="1490" operator="containsText" text="In Transit">
      <formula>NOT(ISERROR(SEARCH("In Transit",R868)))</formula>
    </cfRule>
    <cfRule type="containsText" dxfId="537" priority="1491" operator="containsText" text="Pending">
      <formula>NOT(ISERROR(SEARCH("Pending",R868)))</formula>
    </cfRule>
    <cfRule type="containsText" dxfId="536" priority="1492" operator="containsText" text="Done">
      <formula>NOT(ISERROR(SEARCH("Done",R868)))</formula>
    </cfRule>
  </conditionalFormatting>
  <conditionalFormatting sqref="R495">
    <cfRule type="containsText" dxfId="535" priority="1485" operator="containsText" text="Canceled">
      <formula>NOT(ISERROR(SEARCH("Canceled",R495)))</formula>
    </cfRule>
    <cfRule type="containsText" dxfId="534" priority="1486" operator="containsText" text="In Transit">
      <formula>NOT(ISERROR(SEARCH("In Transit",R495)))</formula>
    </cfRule>
    <cfRule type="containsText" dxfId="533" priority="1487" operator="containsText" text="Pending">
      <formula>NOT(ISERROR(SEARCH("Pending",R495)))</formula>
    </cfRule>
    <cfRule type="containsText" dxfId="532" priority="1488" operator="containsText" text="Done">
      <formula>NOT(ISERROR(SEARCH("Done",R495)))</formula>
    </cfRule>
  </conditionalFormatting>
  <conditionalFormatting sqref="R1693:R1694 R1337:R1341 R1116:R1121 R1766 R1320 R1787:R1788 R1194 R1727:R1728 R1247:R1260 R1364:R1369 R1501:R1503 R1825 R1139:R1147 R1313:R1317 R1584:R1587 R1123:R1127 R1244:R1245 R1661:R1664 R1371 R1772 R1768 R1196 R1210:R1211 R1230:R1234 R1343:R1353 R1386:R1391 R1430:R1446 R1538:R1540 R1759:R1764 R1810 R1818 R1206:R1207 R1557:R1572 R1262:R1269 R1839:R1841 R1597:R1604 R1272:R1286 R1355:R1356 R1705:R1707 R1711 R1475 R1323:R1331 R1215:R1222 R1335 R1448:R1464 R1479:R1483 R1645:R1649 R1679:R1690 R1713 R1812:R1813 R1417:R1427 R1375:R1383 R1489:R1495 R1715:R1723 R1775:R1785 R1666:R1673 R1129:R1137 R1547:R1555 R1289:R1295 R1404:R1413 R1175:R1192">
    <cfRule type="containsText" dxfId="531" priority="561" operator="containsText" text="Canceled">
      <formula>NOT(ISERROR(SEARCH("Canceled",R1116)))</formula>
    </cfRule>
    <cfRule type="containsText" dxfId="530" priority="562" operator="containsText" text="In Transit">
      <formula>NOT(ISERROR(SEARCH("In Transit",R1116)))</formula>
    </cfRule>
    <cfRule type="containsText" dxfId="529" priority="563" operator="containsText" text="Pending">
      <formula>NOT(ISERROR(SEARCH("Pending",R1116)))</formula>
    </cfRule>
    <cfRule type="containsText" dxfId="528" priority="564" operator="containsText" text="Done">
      <formula>NOT(ISERROR(SEARCH("Done",R1116)))</formula>
    </cfRule>
  </conditionalFormatting>
  <conditionalFormatting sqref="R1288">
    <cfRule type="containsText" dxfId="527" priority="557" operator="containsText" text="Canceled">
      <formula>NOT(ISERROR(SEARCH("Canceled",R1288)))</formula>
    </cfRule>
    <cfRule type="containsText" dxfId="526" priority="558" operator="containsText" text="In Transit">
      <formula>NOT(ISERROR(SEARCH("In Transit",R1288)))</formula>
    </cfRule>
    <cfRule type="containsText" dxfId="525" priority="559" operator="containsText" text="Pending">
      <formula>NOT(ISERROR(SEARCH("Pending",R1288)))</formula>
    </cfRule>
    <cfRule type="containsText" dxfId="524" priority="560" operator="containsText" text="Done">
      <formula>NOT(ISERROR(SEARCH("Done",R1288)))</formula>
    </cfRule>
  </conditionalFormatting>
  <conditionalFormatting sqref="R1546">
    <cfRule type="containsText" dxfId="523" priority="553" operator="containsText" text="Canceled">
      <formula>NOT(ISERROR(SEARCH("Canceled",R1546)))</formula>
    </cfRule>
    <cfRule type="containsText" dxfId="522" priority="554" operator="containsText" text="In Transit">
      <formula>NOT(ISERROR(SEARCH("In Transit",R1546)))</formula>
    </cfRule>
    <cfRule type="containsText" dxfId="521" priority="555" operator="containsText" text="Pending">
      <formula>NOT(ISERROR(SEARCH("Pending",R1546)))</formula>
    </cfRule>
    <cfRule type="containsText" dxfId="520" priority="556" operator="containsText" text="Done">
      <formula>NOT(ISERROR(SEARCH("Done",R1546)))</formula>
    </cfRule>
  </conditionalFormatting>
  <conditionalFormatting sqref="R1537">
    <cfRule type="containsText" dxfId="519" priority="549" operator="containsText" text="Canceled">
      <formula>NOT(ISERROR(SEARCH("Canceled",R1537)))</formula>
    </cfRule>
    <cfRule type="containsText" dxfId="518" priority="550" operator="containsText" text="In Transit">
      <formula>NOT(ISERROR(SEARCH("In Transit",R1537)))</formula>
    </cfRule>
    <cfRule type="containsText" dxfId="517" priority="551" operator="containsText" text="Pending">
      <formula>NOT(ISERROR(SEARCH("Pending",R1537)))</formula>
    </cfRule>
    <cfRule type="containsText" dxfId="516" priority="552" operator="containsText" text="Done">
      <formula>NOT(ISERROR(SEARCH("Done",R1537)))</formula>
    </cfRule>
  </conditionalFormatting>
  <conditionalFormatting sqref="R1470:R1471">
    <cfRule type="containsText" dxfId="515" priority="545" operator="containsText" text="Canceled">
      <formula>NOT(ISERROR(SEARCH("Canceled",R1470)))</formula>
    </cfRule>
    <cfRule type="containsText" dxfId="514" priority="546" operator="containsText" text="In Transit">
      <formula>NOT(ISERROR(SEARCH("In Transit",R1470)))</formula>
    </cfRule>
    <cfRule type="containsText" dxfId="513" priority="547" operator="containsText" text="Pending">
      <formula>NOT(ISERROR(SEARCH("Pending",R1470)))</formula>
    </cfRule>
    <cfRule type="containsText" dxfId="512" priority="548" operator="containsText" text="Done">
      <formula>NOT(ISERROR(SEARCH("Done",R1470)))</formula>
    </cfRule>
  </conditionalFormatting>
  <conditionalFormatting sqref="R1496:R1500">
    <cfRule type="containsText" dxfId="511" priority="541" operator="containsText" text="Canceled">
      <formula>NOT(ISERROR(SEARCH("Canceled",R1496)))</formula>
    </cfRule>
    <cfRule type="containsText" dxfId="510" priority="542" operator="containsText" text="In Transit">
      <formula>NOT(ISERROR(SEARCH("In Transit",R1496)))</formula>
    </cfRule>
    <cfRule type="containsText" dxfId="509" priority="543" operator="containsText" text="Pending">
      <formula>NOT(ISERROR(SEARCH("Pending",R1496)))</formula>
    </cfRule>
    <cfRule type="containsText" dxfId="508" priority="544" operator="containsText" text="Done">
      <formula>NOT(ISERROR(SEARCH("Done",R1496)))</formula>
    </cfRule>
  </conditionalFormatting>
  <conditionalFormatting sqref="R1605:R1607">
    <cfRule type="containsText" dxfId="507" priority="537" operator="containsText" text="Canceled">
      <formula>NOT(ISERROR(SEARCH("Canceled",R1605)))</formula>
    </cfRule>
    <cfRule type="containsText" dxfId="506" priority="538" operator="containsText" text="In Transit">
      <formula>NOT(ISERROR(SEARCH("In Transit",R1605)))</formula>
    </cfRule>
    <cfRule type="containsText" dxfId="505" priority="539" operator="containsText" text="Pending">
      <formula>NOT(ISERROR(SEARCH("Pending",R1605)))</formula>
    </cfRule>
    <cfRule type="containsText" dxfId="504" priority="540" operator="containsText" text="Done">
      <formula>NOT(ISERROR(SEARCH("Done",R1605)))</formula>
    </cfRule>
  </conditionalFormatting>
  <conditionalFormatting sqref="R1138">
    <cfRule type="containsText" dxfId="503" priority="533" operator="containsText" text="Canceled">
      <formula>NOT(ISERROR(SEARCH("Canceled",R1138)))</formula>
    </cfRule>
    <cfRule type="containsText" dxfId="502" priority="534" operator="containsText" text="In Transit">
      <formula>NOT(ISERROR(SEARCH("In Transit",R1138)))</formula>
    </cfRule>
    <cfRule type="containsText" dxfId="501" priority="535" operator="containsText" text="Pending">
      <formula>NOT(ISERROR(SEARCH("Pending",R1138)))</formula>
    </cfRule>
    <cfRule type="containsText" dxfId="500" priority="536" operator="containsText" text="Done">
      <formula>NOT(ISERROR(SEARCH("Done",R1138)))</formula>
    </cfRule>
  </conditionalFormatting>
  <conditionalFormatting sqref="R1608">
    <cfRule type="containsText" dxfId="499" priority="521" operator="containsText" text="Canceled">
      <formula>NOT(ISERROR(SEARCH("Canceled",R1608)))</formula>
    </cfRule>
    <cfRule type="containsText" dxfId="498" priority="522" operator="containsText" text="In Transit">
      <formula>NOT(ISERROR(SEARCH("In Transit",R1608)))</formula>
    </cfRule>
    <cfRule type="containsText" dxfId="497" priority="523" operator="containsText" text="Pending">
      <formula>NOT(ISERROR(SEARCH("Pending",R1608)))</formula>
    </cfRule>
    <cfRule type="containsText" dxfId="496" priority="524" operator="containsText" text="Done">
      <formula>NOT(ISERROR(SEARCH("Done",R1608)))</formula>
    </cfRule>
  </conditionalFormatting>
  <conditionalFormatting sqref="R1691:R1692">
    <cfRule type="containsText" dxfId="495" priority="517" operator="containsText" text="Canceled">
      <formula>NOT(ISERROR(SEARCH("Canceled",R1691)))</formula>
    </cfRule>
    <cfRule type="containsText" dxfId="494" priority="518" operator="containsText" text="In Transit">
      <formula>NOT(ISERROR(SEARCH("In Transit",R1691)))</formula>
    </cfRule>
    <cfRule type="containsText" dxfId="493" priority="519" operator="containsText" text="Pending">
      <formula>NOT(ISERROR(SEARCH("Pending",R1691)))</formula>
    </cfRule>
    <cfRule type="containsText" dxfId="492" priority="520" operator="containsText" text="Done">
      <formula>NOT(ISERROR(SEARCH("Done",R1691)))</formula>
    </cfRule>
  </conditionalFormatting>
  <conditionalFormatting sqref="R1193">
    <cfRule type="containsText" dxfId="491" priority="513" operator="containsText" text="Canceled">
      <formula>NOT(ISERROR(SEARCH("Canceled",R1193)))</formula>
    </cfRule>
    <cfRule type="containsText" dxfId="490" priority="514" operator="containsText" text="In Transit">
      <formula>NOT(ISERROR(SEARCH("In Transit",R1193)))</formula>
    </cfRule>
    <cfRule type="containsText" dxfId="489" priority="515" operator="containsText" text="Pending">
      <formula>NOT(ISERROR(SEARCH("Pending",R1193)))</formula>
    </cfRule>
    <cfRule type="containsText" dxfId="488" priority="516" operator="containsText" text="Done">
      <formula>NOT(ISERROR(SEARCH("Done",R1193)))</formula>
    </cfRule>
  </conditionalFormatting>
  <conditionalFormatting sqref="R1336">
    <cfRule type="containsText" dxfId="487" priority="509" operator="containsText" text="Canceled">
      <formula>NOT(ISERROR(SEARCH("Canceled",R1336)))</formula>
    </cfRule>
    <cfRule type="containsText" dxfId="486" priority="510" operator="containsText" text="In Transit">
      <formula>NOT(ISERROR(SEARCH("In Transit",R1336)))</formula>
    </cfRule>
    <cfRule type="containsText" dxfId="485" priority="511" operator="containsText" text="Pending">
      <formula>NOT(ISERROR(SEARCH("Pending",R1336)))</formula>
    </cfRule>
    <cfRule type="containsText" dxfId="484" priority="512" operator="containsText" text="Done">
      <formula>NOT(ISERROR(SEARCH("Done",R1336)))</formula>
    </cfRule>
  </conditionalFormatting>
  <conditionalFormatting sqref="R1227">
    <cfRule type="containsText" dxfId="483" priority="505" operator="containsText" text="Canceled">
      <formula>NOT(ISERROR(SEARCH("Canceled",R1227)))</formula>
    </cfRule>
    <cfRule type="containsText" dxfId="482" priority="506" operator="containsText" text="In Transit">
      <formula>NOT(ISERROR(SEARCH("In Transit",R1227)))</formula>
    </cfRule>
    <cfRule type="containsText" dxfId="481" priority="507" operator="containsText" text="Pending">
      <formula>NOT(ISERROR(SEARCH("Pending",R1227)))</formula>
    </cfRule>
    <cfRule type="containsText" dxfId="480" priority="508" operator="containsText" text="Done">
      <formula>NOT(ISERROR(SEARCH("Done",R1227)))</formula>
    </cfRule>
  </conditionalFormatting>
  <conditionalFormatting sqref="R1505 R1507">
    <cfRule type="containsText" dxfId="479" priority="501" operator="containsText" text="Canceled">
      <formula>NOT(ISERROR(SEARCH("Canceled",R1505)))</formula>
    </cfRule>
    <cfRule type="containsText" dxfId="478" priority="502" operator="containsText" text="In Transit">
      <formula>NOT(ISERROR(SEARCH("In Transit",R1505)))</formula>
    </cfRule>
    <cfRule type="containsText" dxfId="477" priority="503" operator="containsText" text="Pending">
      <formula>NOT(ISERROR(SEARCH("Pending",R1505)))</formula>
    </cfRule>
    <cfRule type="containsText" dxfId="476" priority="504" operator="containsText" text="Done">
      <formula>NOT(ISERROR(SEARCH("Done",R1505)))</formula>
    </cfRule>
  </conditionalFormatting>
  <conditionalFormatting sqref="R1195">
    <cfRule type="containsText" dxfId="475" priority="497" operator="containsText" text="Canceled">
      <formula>NOT(ISERROR(SEARCH("Canceled",R1195)))</formula>
    </cfRule>
    <cfRule type="containsText" dxfId="474" priority="498" operator="containsText" text="In Transit">
      <formula>NOT(ISERROR(SEARCH("In Transit",R1195)))</formula>
    </cfRule>
    <cfRule type="containsText" dxfId="473" priority="499" operator="containsText" text="Pending">
      <formula>NOT(ISERROR(SEARCH("Pending",R1195)))</formula>
    </cfRule>
    <cfRule type="containsText" dxfId="472" priority="500" operator="containsText" text="Done">
      <formula>NOT(ISERROR(SEARCH("Done",R1195)))</formula>
    </cfRule>
  </conditionalFormatting>
  <conditionalFormatting sqref="R1208:R1209">
    <cfRule type="containsText" dxfId="471" priority="493" operator="containsText" text="Canceled">
      <formula>NOT(ISERROR(SEARCH("Canceled",R1208)))</formula>
    </cfRule>
    <cfRule type="containsText" dxfId="470" priority="494" operator="containsText" text="In Transit">
      <formula>NOT(ISERROR(SEARCH("In Transit",R1208)))</formula>
    </cfRule>
    <cfRule type="containsText" dxfId="469" priority="495" operator="containsText" text="Pending">
      <formula>NOT(ISERROR(SEARCH("Pending",R1208)))</formula>
    </cfRule>
    <cfRule type="containsText" dxfId="468" priority="496" operator="containsText" text="Done">
      <formula>NOT(ISERROR(SEARCH("Done",R1208)))</formula>
    </cfRule>
  </conditionalFormatting>
  <conditionalFormatting sqref="R1270:R1271">
    <cfRule type="containsText" dxfId="467" priority="485" operator="containsText" text="Canceled">
      <formula>NOT(ISERROR(SEARCH("Canceled",R1270)))</formula>
    </cfRule>
    <cfRule type="containsText" dxfId="466" priority="486" operator="containsText" text="In Transit">
      <formula>NOT(ISERROR(SEARCH("In Transit",R1270)))</formula>
    </cfRule>
    <cfRule type="containsText" dxfId="465" priority="487" operator="containsText" text="Pending">
      <formula>NOT(ISERROR(SEARCH("Pending",R1270)))</formula>
    </cfRule>
    <cfRule type="containsText" dxfId="464" priority="488" operator="containsText" text="Done">
      <formula>NOT(ISERROR(SEARCH("Done",R1270)))</formula>
    </cfRule>
  </conditionalFormatting>
  <conditionalFormatting sqref="R1695:R1704 R1725:R1726 R1714 R1737:R1750 R1755:R1758 R1729:R1735">
    <cfRule type="containsText" dxfId="463" priority="481" operator="containsText" text="Canceled">
      <formula>NOT(ISERROR(SEARCH("Canceled",R1695)))</formula>
    </cfRule>
    <cfRule type="containsText" dxfId="462" priority="482" operator="containsText" text="In Transit">
      <formula>NOT(ISERROR(SEARCH("In Transit",R1695)))</formula>
    </cfRule>
    <cfRule type="containsText" dxfId="461" priority="483" operator="containsText" text="Pending">
      <formula>NOT(ISERROR(SEARCH("Pending",R1695)))</formula>
    </cfRule>
    <cfRule type="containsText" dxfId="460" priority="484" operator="containsText" text="Done">
      <formula>NOT(ISERROR(SEARCH("Done",R1695)))</formula>
    </cfRule>
  </conditionalFormatting>
  <conditionalFormatting sqref="R1541">
    <cfRule type="containsText" dxfId="459" priority="477" operator="containsText" text="Canceled">
      <formula>NOT(ISERROR(SEARCH("Canceled",R1541)))</formula>
    </cfRule>
    <cfRule type="containsText" dxfId="458" priority="478" operator="containsText" text="In Transit">
      <formula>NOT(ISERROR(SEARCH("In Transit",R1541)))</formula>
    </cfRule>
    <cfRule type="containsText" dxfId="457" priority="479" operator="containsText" text="Pending">
      <formula>NOT(ISERROR(SEARCH("Pending",R1541)))</formula>
    </cfRule>
    <cfRule type="containsText" dxfId="456" priority="480" operator="containsText" text="Done">
      <formula>NOT(ISERROR(SEARCH("Done",R1541)))</formula>
    </cfRule>
  </conditionalFormatting>
  <conditionalFormatting sqref="R1318:R1319">
    <cfRule type="containsText" dxfId="455" priority="473" operator="containsText" text="Canceled">
      <formula>NOT(ISERROR(SEARCH("Canceled",R1318)))</formula>
    </cfRule>
    <cfRule type="containsText" dxfId="454" priority="474" operator="containsText" text="In Transit">
      <formula>NOT(ISERROR(SEARCH("In Transit",R1318)))</formula>
    </cfRule>
    <cfRule type="containsText" dxfId="453" priority="475" operator="containsText" text="Pending">
      <formula>NOT(ISERROR(SEARCH("Pending",R1318)))</formula>
    </cfRule>
    <cfRule type="containsText" dxfId="452" priority="476" operator="containsText" text="Done">
      <formula>NOT(ISERROR(SEARCH("Done",R1318)))</formula>
    </cfRule>
  </conditionalFormatting>
  <conditionalFormatting sqref="R1769">
    <cfRule type="containsText" dxfId="451" priority="469" operator="containsText" text="Canceled">
      <formula>NOT(ISERROR(SEARCH("Canceled",R1769)))</formula>
    </cfRule>
    <cfRule type="containsText" dxfId="450" priority="470" operator="containsText" text="In Transit">
      <formula>NOT(ISERROR(SEARCH("In Transit",R1769)))</formula>
    </cfRule>
    <cfRule type="containsText" dxfId="449" priority="471" operator="containsText" text="Pending">
      <formula>NOT(ISERROR(SEARCH("Pending",R1769)))</formula>
    </cfRule>
    <cfRule type="containsText" dxfId="448" priority="472" operator="containsText" text="Done">
      <formula>NOT(ISERROR(SEARCH("Done",R1769)))</formula>
    </cfRule>
  </conditionalFormatting>
  <conditionalFormatting sqref="R1770">
    <cfRule type="containsText" dxfId="447" priority="465" operator="containsText" text="Canceled">
      <formula>NOT(ISERROR(SEARCH("Canceled",R1770)))</formula>
    </cfRule>
    <cfRule type="containsText" dxfId="446" priority="466" operator="containsText" text="In Transit">
      <formula>NOT(ISERROR(SEARCH("In Transit",R1770)))</formula>
    </cfRule>
    <cfRule type="containsText" dxfId="445" priority="467" operator="containsText" text="Pending">
      <formula>NOT(ISERROR(SEARCH("Pending",R1770)))</formula>
    </cfRule>
    <cfRule type="containsText" dxfId="444" priority="468" operator="containsText" text="Done">
      <formula>NOT(ISERROR(SEARCH("Done",R1770)))</formula>
    </cfRule>
  </conditionalFormatting>
  <conditionalFormatting sqref="R1765">
    <cfRule type="containsText" dxfId="443" priority="461" operator="containsText" text="Canceled">
      <formula>NOT(ISERROR(SEARCH("Canceled",R1765)))</formula>
    </cfRule>
    <cfRule type="containsText" dxfId="442" priority="462" operator="containsText" text="In Transit">
      <formula>NOT(ISERROR(SEARCH("In Transit",R1765)))</formula>
    </cfRule>
    <cfRule type="containsText" dxfId="441" priority="463" operator="containsText" text="Pending">
      <formula>NOT(ISERROR(SEARCH("Pending",R1765)))</formula>
    </cfRule>
    <cfRule type="containsText" dxfId="440" priority="464" operator="containsText" text="Done">
      <formula>NOT(ISERROR(SEARCH("Done",R1765)))</formula>
    </cfRule>
  </conditionalFormatting>
  <conditionalFormatting sqref="R1504">
    <cfRule type="containsText" dxfId="439" priority="457" operator="containsText" text="Canceled">
      <formula>NOT(ISERROR(SEARCH("Canceled",R1504)))</formula>
    </cfRule>
    <cfRule type="containsText" dxfId="438" priority="458" operator="containsText" text="In Transit">
      <formula>NOT(ISERROR(SEARCH("In Transit",R1504)))</formula>
    </cfRule>
    <cfRule type="containsText" dxfId="437" priority="459" operator="containsText" text="Pending">
      <formula>NOT(ISERROR(SEARCH("Pending",R1504)))</formula>
    </cfRule>
    <cfRule type="containsText" dxfId="436" priority="460" operator="containsText" text="Done">
      <formula>NOT(ISERROR(SEARCH("Done",R1504)))</formula>
    </cfRule>
  </conditionalFormatting>
  <conditionalFormatting sqref="R1122:R1124">
    <cfRule type="containsText" dxfId="435" priority="453" operator="containsText" text="Canceled">
      <formula>NOT(ISERROR(SEARCH("Canceled",R1122)))</formula>
    </cfRule>
    <cfRule type="containsText" dxfId="434" priority="454" operator="containsText" text="In Transit">
      <formula>NOT(ISERROR(SEARCH("In Transit",R1122)))</formula>
    </cfRule>
    <cfRule type="containsText" dxfId="433" priority="455" operator="containsText" text="Pending">
      <formula>NOT(ISERROR(SEARCH("Pending",R1122)))</formula>
    </cfRule>
    <cfRule type="containsText" dxfId="432" priority="456" operator="containsText" text="Done">
      <formula>NOT(ISERROR(SEARCH("Done",R1122)))</formula>
    </cfRule>
  </conditionalFormatting>
  <conditionalFormatting sqref="R1358">
    <cfRule type="containsText" dxfId="431" priority="449" operator="containsText" text="Canceled">
      <formula>NOT(ISERROR(SEARCH("Canceled",R1358)))</formula>
    </cfRule>
    <cfRule type="containsText" dxfId="430" priority="450" operator="containsText" text="In Transit">
      <formula>NOT(ISERROR(SEARCH("In Transit",R1358)))</formula>
    </cfRule>
    <cfRule type="containsText" dxfId="429" priority="451" operator="containsText" text="Pending">
      <formula>NOT(ISERROR(SEARCH("Pending",R1358)))</formula>
    </cfRule>
    <cfRule type="containsText" dxfId="428" priority="452" operator="containsText" text="Done">
      <formula>NOT(ISERROR(SEARCH("Done",R1358)))</formula>
    </cfRule>
  </conditionalFormatting>
  <conditionalFormatting sqref="R1228:R1229">
    <cfRule type="containsText" dxfId="427" priority="445" operator="containsText" text="Canceled">
      <formula>NOT(ISERROR(SEARCH("Canceled",R1228)))</formula>
    </cfRule>
    <cfRule type="containsText" dxfId="426" priority="446" operator="containsText" text="In Transit">
      <formula>NOT(ISERROR(SEARCH("In Transit",R1228)))</formula>
    </cfRule>
    <cfRule type="containsText" dxfId="425" priority="447" operator="containsText" text="Pending">
      <formula>NOT(ISERROR(SEARCH("Pending",R1228)))</formula>
    </cfRule>
    <cfRule type="containsText" dxfId="424" priority="448" operator="containsText" text="Done">
      <formula>NOT(ISERROR(SEARCH("Done",R1228)))</formula>
    </cfRule>
  </conditionalFormatting>
  <conditionalFormatting sqref="R1342">
    <cfRule type="containsText" dxfId="423" priority="441" operator="containsText" text="Canceled">
      <formula>NOT(ISERROR(SEARCH("Canceled",R1342)))</formula>
    </cfRule>
    <cfRule type="containsText" dxfId="422" priority="442" operator="containsText" text="In Transit">
      <formula>NOT(ISERROR(SEARCH("In Transit",R1342)))</formula>
    </cfRule>
    <cfRule type="containsText" dxfId="421" priority="443" operator="containsText" text="Pending">
      <formula>NOT(ISERROR(SEARCH("Pending",R1342)))</formula>
    </cfRule>
    <cfRule type="containsText" dxfId="420" priority="444" operator="containsText" text="Done">
      <formula>NOT(ISERROR(SEARCH("Done",R1342)))</formula>
    </cfRule>
  </conditionalFormatting>
  <conditionalFormatting sqref="R1124">
    <cfRule type="containsText" dxfId="419" priority="437" operator="containsText" text="Canceled">
      <formula>NOT(ISERROR(SEARCH("Canceled",R1124)))</formula>
    </cfRule>
    <cfRule type="containsText" dxfId="418" priority="438" operator="containsText" text="In Transit">
      <formula>NOT(ISERROR(SEARCH("In Transit",R1124)))</formula>
    </cfRule>
    <cfRule type="containsText" dxfId="417" priority="439" operator="containsText" text="Pending">
      <formula>NOT(ISERROR(SEARCH("Pending",R1124)))</formula>
    </cfRule>
    <cfRule type="containsText" dxfId="416" priority="440" operator="containsText" text="Done">
      <formula>NOT(ISERROR(SEARCH("Done",R1124)))</formula>
    </cfRule>
  </conditionalFormatting>
  <conditionalFormatting sqref="R1786">
    <cfRule type="containsText" dxfId="415" priority="433" operator="containsText" text="Canceled">
      <formula>NOT(ISERROR(SEARCH("Canceled",R1786)))</formula>
    </cfRule>
    <cfRule type="containsText" dxfId="414" priority="434" operator="containsText" text="In Transit">
      <formula>NOT(ISERROR(SEARCH("In Transit",R1786)))</formula>
    </cfRule>
    <cfRule type="containsText" dxfId="413" priority="435" operator="containsText" text="Pending">
      <formula>NOT(ISERROR(SEARCH("Pending",R1786)))</formula>
    </cfRule>
    <cfRule type="containsText" dxfId="412" priority="436" operator="containsText" text="Done">
      <formula>NOT(ISERROR(SEARCH("Done",R1786)))</formula>
    </cfRule>
  </conditionalFormatting>
  <conditionalFormatting sqref="R1789">
    <cfRule type="containsText" dxfId="411" priority="429" operator="containsText" text="Canceled">
      <formula>NOT(ISERROR(SEARCH("Canceled",R1789)))</formula>
    </cfRule>
    <cfRule type="containsText" dxfId="410" priority="430" operator="containsText" text="In Transit">
      <formula>NOT(ISERROR(SEARCH("In Transit",R1789)))</formula>
    </cfRule>
    <cfRule type="containsText" dxfId="409" priority="431" operator="containsText" text="Pending">
      <formula>NOT(ISERROR(SEARCH("Pending",R1789)))</formula>
    </cfRule>
    <cfRule type="containsText" dxfId="408" priority="432" operator="containsText" text="Done">
      <formula>NOT(ISERROR(SEARCH("Done",R1789)))</formula>
    </cfRule>
  </conditionalFormatting>
  <conditionalFormatting sqref="R1148:R1149">
    <cfRule type="containsText" dxfId="407" priority="425" operator="containsText" text="Canceled">
      <formula>NOT(ISERROR(SEARCH("Canceled",R1148)))</formula>
    </cfRule>
    <cfRule type="containsText" dxfId="406" priority="426" operator="containsText" text="In Transit">
      <formula>NOT(ISERROR(SEARCH("In Transit",R1148)))</formula>
    </cfRule>
    <cfRule type="containsText" dxfId="405" priority="427" operator="containsText" text="Pending">
      <formula>NOT(ISERROR(SEARCH("Pending",R1148)))</formula>
    </cfRule>
    <cfRule type="containsText" dxfId="404" priority="428" operator="containsText" text="Done">
      <formula>NOT(ISERROR(SEARCH("Done",R1148)))</formula>
    </cfRule>
  </conditionalFormatting>
  <conditionalFormatting sqref="R1595:R1596">
    <cfRule type="containsText" dxfId="403" priority="421" operator="containsText" text="Canceled">
      <formula>NOT(ISERROR(SEARCH("Canceled",R1595)))</formula>
    </cfRule>
    <cfRule type="containsText" dxfId="402" priority="422" operator="containsText" text="In Transit">
      <formula>NOT(ISERROR(SEARCH("In Transit",R1595)))</formula>
    </cfRule>
    <cfRule type="containsText" dxfId="401" priority="423" operator="containsText" text="Pending">
      <formula>NOT(ISERROR(SEARCH("Pending",R1595)))</formula>
    </cfRule>
    <cfRule type="containsText" dxfId="400" priority="424" operator="containsText" text="Done">
      <formula>NOT(ISERROR(SEARCH("Done",R1595)))</formula>
    </cfRule>
  </conditionalFormatting>
  <conditionalFormatting sqref="R1246">
    <cfRule type="containsText" dxfId="399" priority="413" operator="containsText" text="Canceled">
      <formula>NOT(ISERROR(SEARCH("Canceled",R1246)))</formula>
    </cfRule>
    <cfRule type="containsText" dxfId="398" priority="414" operator="containsText" text="In Transit">
      <formula>NOT(ISERROR(SEARCH("In Transit",R1246)))</formula>
    </cfRule>
    <cfRule type="containsText" dxfId="397" priority="415" operator="containsText" text="Pending">
      <formula>NOT(ISERROR(SEARCH("Pending",R1246)))</formula>
    </cfRule>
    <cfRule type="containsText" dxfId="396" priority="416" operator="containsText" text="Done">
      <formula>NOT(ISERROR(SEARCH("Done",R1246)))</formula>
    </cfRule>
  </conditionalFormatting>
  <conditionalFormatting sqref="R1822 R1824">
    <cfRule type="containsText" dxfId="395" priority="409" operator="containsText" text="Canceled">
      <formula>NOT(ISERROR(SEARCH("Canceled",R1822)))</formula>
    </cfRule>
    <cfRule type="containsText" dxfId="394" priority="410" operator="containsText" text="In Transit">
      <formula>NOT(ISERROR(SEARCH("In Transit",R1822)))</formula>
    </cfRule>
    <cfRule type="containsText" dxfId="393" priority="411" operator="containsText" text="Pending">
      <formula>NOT(ISERROR(SEARCH("Pending",R1822)))</formula>
    </cfRule>
    <cfRule type="containsText" dxfId="392" priority="412" operator="containsText" text="Done">
      <formula>NOT(ISERROR(SEARCH("Done",R1822)))</formula>
    </cfRule>
  </conditionalFormatting>
  <conditionalFormatting sqref="R1820:R1821">
    <cfRule type="containsText" dxfId="391" priority="405" operator="containsText" text="Canceled">
      <formula>NOT(ISERROR(SEARCH("Canceled",R1820)))</formula>
    </cfRule>
    <cfRule type="containsText" dxfId="390" priority="406" operator="containsText" text="In Transit">
      <formula>NOT(ISERROR(SEARCH("In Transit",R1820)))</formula>
    </cfRule>
    <cfRule type="containsText" dxfId="389" priority="407" operator="containsText" text="Pending">
      <formula>NOT(ISERROR(SEARCH("Pending",R1820)))</formula>
    </cfRule>
    <cfRule type="containsText" dxfId="388" priority="408" operator="containsText" text="Done">
      <formula>NOT(ISERROR(SEARCH("Done",R1820)))</formula>
    </cfRule>
  </conditionalFormatting>
  <conditionalFormatting sqref="R1823">
    <cfRule type="containsText" dxfId="387" priority="401" operator="containsText" text="Canceled">
      <formula>NOT(ISERROR(SEARCH("Canceled",R1823)))</formula>
    </cfRule>
    <cfRule type="containsText" dxfId="386" priority="402" operator="containsText" text="In Transit">
      <formula>NOT(ISERROR(SEARCH("In Transit",R1823)))</formula>
    </cfRule>
    <cfRule type="containsText" dxfId="385" priority="403" operator="containsText" text="Pending">
      <formula>NOT(ISERROR(SEARCH("Pending",R1823)))</formula>
    </cfRule>
    <cfRule type="containsText" dxfId="384" priority="404" operator="containsText" text="Done">
      <formula>NOT(ISERROR(SEARCH("Done",R1823)))</formula>
    </cfRule>
  </conditionalFormatting>
  <conditionalFormatting sqref="R1814">
    <cfRule type="containsText" dxfId="383" priority="397" operator="containsText" text="Canceled">
      <formula>NOT(ISERROR(SEARCH("Canceled",R1814)))</formula>
    </cfRule>
    <cfRule type="containsText" dxfId="382" priority="398" operator="containsText" text="In Transit">
      <formula>NOT(ISERROR(SEARCH("In Transit",R1814)))</formula>
    </cfRule>
    <cfRule type="containsText" dxfId="381" priority="399" operator="containsText" text="Pending">
      <formula>NOT(ISERROR(SEARCH("Pending",R1814)))</formula>
    </cfRule>
    <cfRule type="containsText" dxfId="380" priority="400" operator="containsText" text="Done">
      <formula>NOT(ISERROR(SEARCH("Done",R1814)))</formula>
    </cfRule>
  </conditionalFormatting>
  <conditionalFormatting sqref="R1816:R1817">
    <cfRule type="containsText" dxfId="379" priority="393" operator="containsText" text="Canceled">
      <formula>NOT(ISERROR(SEARCH("Canceled",R1816)))</formula>
    </cfRule>
    <cfRule type="containsText" dxfId="378" priority="394" operator="containsText" text="In Transit">
      <formula>NOT(ISERROR(SEARCH("In Transit",R1816)))</formula>
    </cfRule>
    <cfRule type="containsText" dxfId="377" priority="395" operator="containsText" text="Pending">
      <formula>NOT(ISERROR(SEARCH("Pending",R1816)))</formula>
    </cfRule>
    <cfRule type="containsText" dxfId="376" priority="396" operator="containsText" text="Done">
      <formula>NOT(ISERROR(SEARCH("Done",R1816)))</formula>
    </cfRule>
  </conditionalFormatting>
  <conditionalFormatting sqref="R1556">
    <cfRule type="containsText" dxfId="375" priority="389" operator="containsText" text="Canceled">
      <formula>NOT(ISERROR(SEARCH("Canceled",R1556)))</formula>
    </cfRule>
    <cfRule type="containsText" dxfId="374" priority="390" operator="containsText" text="In Transit">
      <formula>NOT(ISERROR(SEARCH("In Transit",R1556)))</formula>
    </cfRule>
    <cfRule type="containsText" dxfId="373" priority="391" operator="containsText" text="Pending">
      <formula>NOT(ISERROR(SEARCH("Pending",R1556)))</formula>
    </cfRule>
    <cfRule type="containsText" dxfId="372" priority="392" operator="containsText" text="Done">
      <formula>NOT(ISERROR(SEARCH("Done",R1556)))</formula>
    </cfRule>
  </conditionalFormatting>
  <conditionalFormatting sqref="R1296">
    <cfRule type="containsText" dxfId="371" priority="385" operator="containsText" text="Canceled">
      <formula>NOT(ISERROR(SEARCH("Canceled",R1296)))</formula>
    </cfRule>
    <cfRule type="containsText" dxfId="370" priority="386" operator="containsText" text="In Transit">
      <formula>NOT(ISERROR(SEARCH("In Transit",R1296)))</formula>
    </cfRule>
    <cfRule type="containsText" dxfId="369" priority="387" operator="containsText" text="Pending">
      <formula>NOT(ISERROR(SEARCH("Pending",R1296)))</formula>
    </cfRule>
    <cfRule type="containsText" dxfId="368" priority="388" operator="containsText" text="Done">
      <formula>NOT(ISERROR(SEARCH("Done",R1296)))</formula>
    </cfRule>
  </conditionalFormatting>
  <conditionalFormatting sqref="R1354 R1357">
    <cfRule type="containsText" dxfId="367" priority="381" operator="containsText" text="Canceled">
      <formula>NOT(ISERROR(SEARCH("Canceled",R1354)))</formula>
    </cfRule>
    <cfRule type="containsText" dxfId="366" priority="382" operator="containsText" text="In Transit">
      <formula>NOT(ISERROR(SEARCH("In Transit",R1354)))</formula>
    </cfRule>
    <cfRule type="containsText" dxfId="365" priority="383" operator="containsText" text="Pending">
      <formula>NOT(ISERROR(SEARCH("Pending",R1354)))</formula>
    </cfRule>
    <cfRule type="containsText" dxfId="364" priority="384" operator="containsText" text="Done">
      <formula>NOT(ISERROR(SEARCH("Done",R1354)))</formula>
    </cfRule>
  </conditionalFormatting>
  <conditionalFormatting sqref="R1829">
    <cfRule type="containsText" dxfId="363" priority="377" operator="containsText" text="Canceled">
      <formula>NOT(ISERROR(SEARCH("Canceled",R1829)))</formula>
    </cfRule>
    <cfRule type="containsText" dxfId="362" priority="378" operator="containsText" text="In Transit">
      <formula>NOT(ISERROR(SEARCH("In Transit",R1829)))</formula>
    </cfRule>
    <cfRule type="containsText" dxfId="361" priority="379" operator="containsText" text="Pending">
      <formula>NOT(ISERROR(SEARCH("Pending",R1829)))</formula>
    </cfRule>
    <cfRule type="containsText" dxfId="360" priority="380" operator="containsText" text="Done">
      <formula>NOT(ISERROR(SEARCH("Done",R1829)))</formula>
    </cfRule>
  </conditionalFormatting>
  <conditionalFormatting sqref="R1583">
    <cfRule type="containsText" dxfId="359" priority="373" operator="containsText" text="Canceled">
      <formula>NOT(ISERROR(SEARCH("Canceled",R1583)))</formula>
    </cfRule>
    <cfRule type="containsText" dxfId="358" priority="374" operator="containsText" text="In Transit">
      <formula>NOT(ISERROR(SEARCH("In Transit",R1583)))</formula>
    </cfRule>
    <cfRule type="containsText" dxfId="357" priority="375" operator="containsText" text="Pending">
      <formula>NOT(ISERROR(SEARCH("Pending",R1583)))</formula>
    </cfRule>
    <cfRule type="containsText" dxfId="356" priority="376" operator="containsText" text="Done">
      <formula>NOT(ISERROR(SEARCH("Done",R1583)))</formula>
    </cfRule>
  </conditionalFormatting>
  <conditionalFormatting sqref="R1473">
    <cfRule type="containsText" dxfId="355" priority="349" operator="containsText" text="Canceled">
      <formula>NOT(ISERROR(SEARCH("Canceled",R1473)))</formula>
    </cfRule>
    <cfRule type="containsText" dxfId="354" priority="350" operator="containsText" text="In Transit">
      <formula>NOT(ISERROR(SEARCH("In Transit",R1473)))</formula>
    </cfRule>
    <cfRule type="containsText" dxfId="353" priority="351" operator="containsText" text="Pending">
      <formula>NOT(ISERROR(SEARCH("Pending",R1473)))</formula>
    </cfRule>
    <cfRule type="containsText" dxfId="352" priority="352" operator="containsText" text="Done">
      <formula>NOT(ISERROR(SEARCH("Done",R1473)))</formula>
    </cfRule>
  </conditionalFormatting>
  <conditionalFormatting sqref="R1832:R1833">
    <cfRule type="containsText" dxfId="351" priority="357" operator="containsText" text="Canceled">
      <formula>NOT(ISERROR(SEARCH("Canceled",R1832)))</formula>
    </cfRule>
    <cfRule type="containsText" dxfId="350" priority="358" operator="containsText" text="In Transit">
      <formula>NOT(ISERROR(SEARCH("In Transit",R1832)))</formula>
    </cfRule>
    <cfRule type="containsText" dxfId="349" priority="359" operator="containsText" text="Pending">
      <formula>NOT(ISERROR(SEARCH("Pending",R1832)))</formula>
    </cfRule>
    <cfRule type="containsText" dxfId="348" priority="360" operator="containsText" text="Done">
      <formula>NOT(ISERROR(SEARCH("Done",R1832)))</formula>
    </cfRule>
  </conditionalFormatting>
  <conditionalFormatting sqref="R1834">
    <cfRule type="containsText" dxfId="347" priority="353" operator="containsText" text="Canceled">
      <formula>NOT(ISERROR(SEARCH("Canceled",R1834)))</formula>
    </cfRule>
    <cfRule type="containsText" dxfId="346" priority="354" operator="containsText" text="In Transit">
      <formula>NOT(ISERROR(SEARCH("In Transit",R1834)))</formula>
    </cfRule>
    <cfRule type="containsText" dxfId="345" priority="355" operator="containsText" text="Pending">
      <formula>NOT(ISERROR(SEARCH("Pending",R1834)))</formula>
    </cfRule>
    <cfRule type="containsText" dxfId="344" priority="356" operator="containsText" text="Done">
      <formula>NOT(ISERROR(SEARCH("Done",R1834)))</formula>
    </cfRule>
  </conditionalFormatting>
  <conditionalFormatting sqref="R1197">
    <cfRule type="containsText" dxfId="343" priority="341" operator="containsText" text="Canceled">
      <formula>NOT(ISERROR(SEARCH("Canceled",R1197)))</formula>
    </cfRule>
    <cfRule type="containsText" dxfId="342" priority="342" operator="containsText" text="In Transit">
      <formula>NOT(ISERROR(SEARCH("In Transit",R1197)))</formula>
    </cfRule>
    <cfRule type="containsText" dxfId="341" priority="343" operator="containsText" text="Pending">
      <formula>NOT(ISERROR(SEARCH("Pending",R1197)))</formula>
    </cfRule>
    <cfRule type="containsText" dxfId="340" priority="344" operator="containsText" text="Done">
      <formula>NOT(ISERROR(SEARCH("Done",R1197)))</formula>
    </cfRule>
  </conditionalFormatting>
  <conditionalFormatting sqref="R1656:R1657">
    <cfRule type="containsText" dxfId="339" priority="333" operator="containsText" text="Canceled">
      <formula>NOT(ISERROR(SEARCH("Canceled",R1656)))</formula>
    </cfRule>
    <cfRule type="containsText" dxfId="338" priority="334" operator="containsText" text="In Transit">
      <formula>NOT(ISERROR(SEARCH("In Transit",R1656)))</formula>
    </cfRule>
    <cfRule type="containsText" dxfId="337" priority="335" operator="containsText" text="Pending">
      <formula>NOT(ISERROR(SEARCH("Pending",R1656)))</formula>
    </cfRule>
    <cfRule type="containsText" dxfId="336" priority="336" operator="containsText" text="Done">
      <formula>NOT(ISERROR(SEARCH("Done",R1656)))</formula>
    </cfRule>
  </conditionalFormatting>
  <conditionalFormatting sqref="R1658">
    <cfRule type="containsText" dxfId="335" priority="329" operator="containsText" text="Canceled">
      <formula>NOT(ISERROR(SEARCH("Canceled",R1658)))</formula>
    </cfRule>
    <cfRule type="containsText" dxfId="334" priority="330" operator="containsText" text="In Transit">
      <formula>NOT(ISERROR(SEARCH("In Transit",R1658)))</formula>
    </cfRule>
    <cfRule type="containsText" dxfId="333" priority="331" operator="containsText" text="Pending">
      <formula>NOT(ISERROR(SEARCH("Pending",R1658)))</formula>
    </cfRule>
    <cfRule type="containsText" dxfId="332" priority="332" operator="containsText" text="Done">
      <formula>NOT(ISERROR(SEARCH("Done",R1658)))</formula>
    </cfRule>
  </conditionalFormatting>
  <conditionalFormatting sqref="R1659">
    <cfRule type="containsText" dxfId="331" priority="325" operator="containsText" text="Canceled">
      <formula>NOT(ISERROR(SEARCH("Canceled",R1659)))</formula>
    </cfRule>
    <cfRule type="containsText" dxfId="330" priority="326" operator="containsText" text="In Transit">
      <formula>NOT(ISERROR(SEARCH("In Transit",R1659)))</formula>
    </cfRule>
    <cfRule type="containsText" dxfId="329" priority="327" operator="containsText" text="Pending">
      <formula>NOT(ISERROR(SEARCH("Pending",R1659)))</formula>
    </cfRule>
    <cfRule type="containsText" dxfId="328" priority="328" operator="containsText" text="Done">
      <formula>NOT(ISERROR(SEARCH("Done",R1659)))</formula>
    </cfRule>
  </conditionalFormatting>
  <conditionalFormatting sqref="R1724">
    <cfRule type="containsText" dxfId="327" priority="321" operator="containsText" text="Canceled">
      <formula>NOT(ISERROR(SEARCH("Canceled",R1724)))</formula>
    </cfRule>
    <cfRule type="containsText" dxfId="326" priority="322" operator="containsText" text="In Transit">
      <formula>NOT(ISERROR(SEARCH("In Transit",R1724)))</formula>
    </cfRule>
    <cfRule type="containsText" dxfId="325" priority="323" operator="containsText" text="Pending">
      <formula>NOT(ISERROR(SEARCH("Pending",R1724)))</formula>
    </cfRule>
    <cfRule type="containsText" dxfId="324" priority="324" operator="containsText" text="Done">
      <formula>NOT(ISERROR(SEARCH("Done",R1724)))</formula>
    </cfRule>
  </conditionalFormatting>
  <conditionalFormatting sqref="R1767:R1770">
    <cfRule type="containsText" dxfId="323" priority="317" operator="containsText" text="Canceled">
      <formula>NOT(ISERROR(SEARCH("Canceled",R1767)))</formula>
    </cfRule>
    <cfRule type="containsText" dxfId="322" priority="318" operator="containsText" text="In Transit">
      <formula>NOT(ISERROR(SEARCH("In Transit",R1767)))</formula>
    </cfRule>
    <cfRule type="containsText" dxfId="321" priority="319" operator="containsText" text="Pending">
      <formula>NOT(ISERROR(SEARCH("Pending",R1767)))</formula>
    </cfRule>
    <cfRule type="containsText" dxfId="320" priority="320" operator="containsText" text="Done">
      <formula>NOT(ISERROR(SEARCH("Done",R1767)))</formula>
    </cfRule>
  </conditionalFormatting>
  <conditionalFormatting sqref="R1831">
    <cfRule type="containsText" dxfId="319" priority="313" operator="containsText" text="Canceled">
      <formula>NOT(ISERROR(SEARCH("Canceled",R1831)))</formula>
    </cfRule>
    <cfRule type="containsText" dxfId="318" priority="314" operator="containsText" text="In Transit">
      <formula>NOT(ISERROR(SEARCH("In Transit",R1831)))</formula>
    </cfRule>
    <cfRule type="containsText" dxfId="317" priority="315" operator="containsText" text="Pending">
      <formula>NOT(ISERROR(SEARCH("Pending",R1831)))</formula>
    </cfRule>
    <cfRule type="containsText" dxfId="316" priority="316" operator="containsText" text="Done">
      <formula>NOT(ISERROR(SEARCH("Done",R1831)))</formula>
    </cfRule>
  </conditionalFormatting>
  <conditionalFormatting sqref="R1465">
    <cfRule type="containsText" dxfId="315" priority="309" operator="containsText" text="Canceled">
      <formula>NOT(ISERROR(SEARCH("Canceled",R1465)))</formula>
    </cfRule>
    <cfRule type="containsText" dxfId="314" priority="310" operator="containsText" text="In Transit">
      <formula>NOT(ISERROR(SEARCH("In Transit",R1465)))</formula>
    </cfRule>
    <cfRule type="containsText" dxfId="313" priority="311" operator="containsText" text="Pending">
      <formula>NOT(ISERROR(SEARCH("Pending",R1465)))</formula>
    </cfRule>
    <cfRule type="containsText" dxfId="312" priority="312" operator="containsText" text="Done">
      <formula>NOT(ISERROR(SEARCH("Done",R1465)))</formula>
    </cfRule>
  </conditionalFormatting>
  <conditionalFormatting sqref="R1466">
    <cfRule type="containsText" dxfId="311" priority="305" operator="containsText" text="Canceled">
      <formula>NOT(ISERROR(SEARCH("Canceled",R1466)))</formula>
    </cfRule>
    <cfRule type="containsText" dxfId="310" priority="306" operator="containsText" text="In Transit">
      <formula>NOT(ISERROR(SEARCH("In Transit",R1466)))</formula>
    </cfRule>
    <cfRule type="containsText" dxfId="309" priority="307" operator="containsText" text="Pending">
      <formula>NOT(ISERROR(SEARCH("Pending",R1466)))</formula>
    </cfRule>
    <cfRule type="containsText" dxfId="308" priority="308" operator="containsText" text="Done">
      <formula>NOT(ISERROR(SEARCH("Done",R1466)))</formula>
    </cfRule>
  </conditionalFormatting>
  <conditionalFormatting sqref="R1467">
    <cfRule type="containsText" dxfId="307" priority="301" operator="containsText" text="Canceled">
      <formula>NOT(ISERROR(SEARCH("Canceled",R1467)))</formula>
    </cfRule>
    <cfRule type="containsText" dxfId="306" priority="302" operator="containsText" text="In Transit">
      <formula>NOT(ISERROR(SEARCH("In Transit",R1467)))</formula>
    </cfRule>
    <cfRule type="containsText" dxfId="305" priority="303" operator="containsText" text="Pending">
      <formula>NOT(ISERROR(SEARCH("Pending",R1467)))</formula>
    </cfRule>
    <cfRule type="containsText" dxfId="304" priority="304" operator="containsText" text="Done">
      <formula>NOT(ISERROR(SEARCH("Done",R1467)))</formula>
    </cfRule>
  </conditionalFormatting>
  <conditionalFormatting sqref="R1468">
    <cfRule type="containsText" dxfId="303" priority="297" operator="containsText" text="Canceled">
      <formula>NOT(ISERROR(SEARCH("Canceled",R1468)))</formula>
    </cfRule>
    <cfRule type="containsText" dxfId="302" priority="298" operator="containsText" text="In Transit">
      <formula>NOT(ISERROR(SEARCH("In Transit",R1468)))</formula>
    </cfRule>
    <cfRule type="containsText" dxfId="301" priority="299" operator="containsText" text="Pending">
      <formula>NOT(ISERROR(SEARCH("Pending",R1468)))</formula>
    </cfRule>
    <cfRule type="containsText" dxfId="300" priority="300" operator="containsText" text="Done">
      <formula>NOT(ISERROR(SEARCH("Done",R1468)))</formula>
    </cfRule>
  </conditionalFormatting>
  <conditionalFormatting sqref="R1226">
    <cfRule type="containsText" dxfId="299" priority="281" operator="containsText" text="Canceled">
      <formula>NOT(ISERROR(SEARCH("Canceled",R1226)))</formula>
    </cfRule>
    <cfRule type="containsText" dxfId="298" priority="282" operator="containsText" text="In Transit">
      <formula>NOT(ISERROR(SEARCH("In Transit",R1226)))</formula>
    </cfRule>
    <cfRule type="containsText" dxfId="297" priority="283" operator="containsText" text="Pending">
      <formula>NOT(ISERROR(SEARCH("Pending",R1226)))</formula>
    </cfRule>
    <cfRule type="containsText" dxfId="296" priority="284" operator="containsText" text="Done">
      <formula>NOT(ISERROR(SEARCH("Done",R1226)))</formula>
    </cfRule>
  </conditionalFormatting>
  <conditionalFormatting sqref="R1312">
    <cfRule type="containsText" dxfId="295" priority="293" operator="containsText" text="Canceled">
      <formula>NOT(ISERROR(SEARCH("Canceled",R1312)))</formula>
    </cfRule>
    <cfRule type="containsText" dxfId="294" priority="294" operator="containsText" text="In Transit">
      <formula>NOT(ISERROR(SEARCH("In Transit",R1312)))</formula>
    </cfRule>
    <cfRule type="containsText" dxfId="293" priority="295" operator="containsText" text="Pending">
      <formula>NOT(ISERROR(SEARCH("Pending",R1312)))</formula>
    </cfRule>
    <cfRule type="containsText" dxfId="292" priority="296" operator="containsText" text="Done">
      <formula>NOT(ISERROR(SEARCH("Done",R1312)))</formula>
    </cfRule>
  </conditionalFormatting>
  <conditionalFormatting sqref="R1830">
    <cfRule type="containsText" dxfId="291" priority="289" operator="containsText" text="Canceled">
      <formula>NOT(ISERROR(SEARCH("Canceled",R1830)))</formula>
    </cfRule>
    <cfRule type="containsText" dxfId="290" priority="290" operator="containsText" text="In Transit">
      <formula>NOT(ISERROR(SEARCH("In Transit",R1830)))</formula>
    </cfRule>
    <cfRule type="containsText" dxfId="289" priority="291" operator="containsText" text="Pending">
      <formula>NOT(ISERROR(SEARCH("Pending",R1830)))</formula>
    </cfRule>
    <cfRule type="containsText" dxfId="288" priority="292" operator="containsText" text="Done">
      <formula>NOT(ISERROR(SEARCH("Done",R1830)))</formula>
    </cfRule>
  </conditionalFormatting>
  <conditionalFormatting sqref="R1223">
    <cfRule type="containsText" dxfId="287" priority="285" operator="containsText" text="Canceled">
      <formula>NOT(ISERROR(SEARCH("Canceled",R1223)))</formula>
    </cfRule>
    <cfRule type="containsText" dxfId="286" priority="286" operator="containsText" text="In Transit">
      <formula>NOT(ISERROR(SEARCH("In Transit",R1223)))</formula>
    </cfRule>
    <cfRule type="containsText" dxfId="285" priority="287" operator="containsText" text="Pending">
      <formula>NOT(ISERROR(SEARCH("Pending",R1223)))</formula>
    </cfRule>
    <cfRule type="containsText" dxfId="284" priority="288" operator="containsText" text="Done">
      <formula>NOT(ISERROR(SEARCH("Done",R1223)))</formula>
    </cfRule>
  </conditionalFormatting>
  <conditionalFormatting sqref="R1837">
    <cfRule type="containsText" dxfId="283" priority="277" operator="containsText" text="Canceled">
      <formula>NOT(ISERROR(SEARCH("Canceled",R1837)))</formula>
    </cfRule>
    <cfRule type="containsText" dxfId="282" priority="278" operator="containsText" text="In Transit">
      <formula>NOT(ISERROR(SEARCH("In Transit",R1837)))</formula>
    </cfRule>
    <cfRule type="containsText" dxfId="281" priority="279" operator="containsText" text="Pending">
      <formula>NOT(ISERROR(SEARCH("Pending",R1837)))</formula>
    </cfRule>
    <cfRule type="containsText" dxfId="280" priority="280" operator="containsText" text="Done">
      <formula>NOT(ISERROR(SEARCH("Done",R1837)))</formula>
    </cfRule>
  </conditionalFormatting>
  <conditionalFormatting sqref="R1838">
    <cfRule type="containsText" dxfId="279" priority="273" operator="containsText" text="Canceled">
      <formula>NOT(ISERROR(SEARCH("Canceled",R1838)))</formula>
    </cfRule>
    <cfRule type="containsText" dxfId="278" priority="274" operator="containsText" text="In Transit">
      <formula>NOT(ISERROR(SEARCH("In Transit",R1838)))</formula>
    </cfRule>
    <cfRule type="containsText" dxfId="277" priority="275" operator="containsText" text="Pending">
      <formula>NOT(ISERROR(SEARCH("Pending",R1838)))</formula>
    </cfRule>
    <cfRule type="containsText" dxfId="276" priority="276" operator="containsText" text="Done">
      <formula>NOT(ISERROR(SEARCH("Done",R1838)))</formula>
    </cfRule>
  </conditionalFormatting>
  <conditionalFormatting sqref="R1384:R1385">
    <cfRule type="containsText" dxfId="275" priority="269" operator="containsText" text="Canceled">
      <formula>NOT(ISERROR(SEARCH("Canceled",R1384)))</formula>
    </cfRule>
    <cfRule type="containsText" dxfId="274" priority="270" operator="containsText" text="In Transit">
      <formula>NOT(ISERROR(SEARCH("In Transit",R1384)))</formula>
    </cfRule>
    <cfRule type="containsText" dxfId="273" priority="271" operator="containsText" text="Pending">
      <formula>NOT(ISERROR(SEARCH("Pending",R1384)))</formula>
    </cfRule>
    <cfRule type="containsText" dxfId="272" priority="272" operator="containsText" text="Done">
      <formula>NOT(ISERROR(SEARCH("Done",R1384)))</formula>
    </cfRule>
  </conditionalFormatting>
  <conditionalFormatting sqref="R1828">
    <cfRule type="containsText" dxfId="271" priority="265" operator="containsText" text="Canceled">
      <formula>NOT(ISERROR(SEARCH("Canceled",R1828)))</formula>
    </cfRule>
    <cfRule type="containsText" dxfId="270" priority="266" operator="containsText" text="In Transit">
      <formula>NOT(ISERROR(SEARCH("In Transit",R1828)))</formula>
    </cfRule>
    <cfRule type="containsText" dxfId="269" priority="267" operator="containsText" text="Pending">
      <formula>NOT(ISERROR(SEARCH("Pending",R1828)))</formula>
    </cfRule>
    <cfRule type="containsText" dxfId="268" priority="268" operator="containsText" text="Done">
      <formula>NOT(ISERROR(SEARCH("Done",R1828)))</formula>
    </cfRule>
  </conditionalFormatting>
  <conditionalFormatting sqref="R1287">
    <cfRule type="containsText" dxfId="267" priority="261" operator="containsText" text="Canceled">
      <formula>NOT(ISERROR(SEARCH("Canceled",R1287)))</formula>
    </cfRule>
    <cfRule type="containsText" dxfId="266" priority="262" operator="containsText" text="In Transit">
      <formula>NOT(ISERROR(SEARCH("In Transit",R1287)))</formula>
    </cfRule>
    <cfRule type="containsText" dxfId="265" priority="263" operator="containsText" text="Pending">
      <formula>NOT(ISERROR(SEARCH("Pending",R1287)))</formula>
    </cfRule>
    <cfRule type="containsText" dxfId="264" priority="264" operator="containsText" text="Done">
      <formula>NOT(ISERROR(SEARCH("Done",R1287)))</formula>
    </cfRule>
  </conditionalFormatting>
  <conditionalFormatting sqref="R1393">
    <cfRule type="containsText" dxfId="263" priority="257" operator="containsText" text="Canceled">
      <formula>NOT(ISERROR(SEARCH("Canceled",R1393)))</formula>
    </cfRule>
    <cfRule type="containsText" dxfId="262" priority="258" operator="containsText" text="In Transit">
      <formula>NOT(ISERROR(SEARCH("In Transit",R1393)))</formula>
    </cfRule>
    <cfRule type="containsText" dxfId="261" priority="259" operator="containsText" text="Pending">
      <formula>NOT(ISERROR(SEARCH("Pending",R1393)))</formula>
    </cfRule>
    <cfRule type="containsText" dxfId="260" priority="260" operator="containsText" text="Done">
      <formula>NOT(ISERROR(SEARCH("Done",R1393)))</formula>
    </cfRule>
  </conditionalFormatting>
  <conditionalFormatting sqref="R1261">
    <cfRule type="containsText" dxfId="259" priority="253" operator="containsText" text="Canceled">
      <formula>NOT(ISERROR(SEARCH("Canceled",R1261)))</formula>
    </cfRule>
    <cfRule type="containsText" dxfId="258" priority="254" operator="containsText" text="In Transit">
      <formula>NOT(ISERROR(SEARCH("In Transit",R1261)))</formula>
    </cfRule>
    <cfRule type="containsText" dxfId="257" priority="255" operator="containsText" text="Pending">
      <formula>NOT(ISERROR(SEARCH("Pending",R1261)))</formula>
    </cfRule>
    <cfRule type="containsText" dxfId="256" priority="256" operator="containsText" text="Done">
      <formula>NOT(ISERROR(SEARCH("Done",R1261)))</formula>
    </cfRule>
  </conditionalFormatting>
  <conditionalFormatting sqref="R1826:R1827">
    <cfRule type="containsText" dxfId="255" priority="249" operator="containsText" text="Canceled">
      <formula>NOT(ISERROR(SEARCH("Canceled",R1826)))</formula>
    </cfRule>
    <cfRule type="containsText" dxfId="254" priority="250" operator="containsText" text="In Transit">
      <formula>NOT(ISERROR(SEARCH("In Transit",R1826)))</formula>
    </cfRule>
    <cfRule type="containsText" dxfId="253" priority="251" operator="containsText" text="Pending">
      <formula>NOT(ISERROR(SEARCH("Pending",R1826)))</formula>
    </cfRule>
    <cfRule type="containsText" dxfId="252" priority="252" operator="containsText" text="Done">
      <formula>NOT(ISERROR(SEARCH("Done",R1826)))</formula>
    </cfRule>
  </conditionalFormatting>
  <conditionalFormatting sqref="R1370">
    <cfRule type="containsText" dxfId="251" priority="245" operator="containsText" text="Canceled">
      <formula>NOT(ISERROR(SEARCH("Canceled",R1370)))</formula>
    </cfRule>
    <cfRule type="containsText" dxfId="250" priority="246" operator="containsText" text="In Transit">
      <formula>NOT(ISERROR(SEARCH("In Transit",R1370)))</formula>
    </cfRule>
    <cfRule type="containsText" dxfId="249" priority="247" operator="containsText" text="Pending">
      <formula>NOT(ISERROR(SEARCH("Pending",R1370)))</formula>
    </cfRule>
    <cfRule type="containsText" dxfId="248" priority="248" operator="containsText" text="Done">
      <formula>NOT(ISERROR(SEARCH("Done",R1370)))</formula>
    </cfRule>
  </conditionalFormatting>
  <conditionalFormatting sqref="R1372">
    <cfRule type="containsText" dxfId="247" priority="241" operator="containsText" text="Canceled">
      <formula>NOT(ISERROR(SEARCH("Canceled",R1372)))</formula>
    </cfRule>
    <cfRule type="containsText" dxfId="246" priority="242" operator="containsText" text="In Transit">
      <formula>NOT(ISERROR(SEARCH("In Transit",R1372)))</formula>
    </cfRule>
    <cfRule type="containsText" dxfId="245" priority="243" operator="containsText" text="Pending">
      <formula>NOT(ISERROR(SEARCH("Pending",R1372)))</formula>
    </cfRule>
    <cfRule type="containsText" dxfId="244" priority="244" operator="containsText" text="Done">
      <formula>NOT(ISERROR(SEARCH("Done",R1372)))</formula>
    </cfRule>
  </conditionalFormatting>
  <conditionalFormatting sqref="R1506">
    <cfRule type="containsText" dxfId="243" priority="237" operator="containsText" text="Canceled">
      <formula>NOT(ISERROR(SEARCH("Canceled",R1506)))</formula>
    </cfRule>
    <cfRule type="containsText" dxfId="242" priority="238" operator="containsText" text="In Transit">
      <formula>NOT(ISERROR(SEARCH("In Transit",R1506)))</formula>
    </cfRule>
    <cfRule type="containsText" dxfId="241" priority="239" operator="containsText" text="Pending">
      <formula>NOT(ISERROR(SEARCH("Pending",R1506)))</formula>
    </cfRule>
    <cfRule type="containsText" dxfId="240" priority="240" operator="containsText" text="Done">
      <formula>NOT(ISERROR(SEARCH("Done",R1506)))</formula>
    </cfRule>
  </conditionalFormatting>
  <conditionalFormatting sqref="R1201">
    <cfRule type="containsText" dxfId="239" priority="233" operator="containsText" text="Canceled">
      <formula>NOT(ISERROR(SEARCH("Canceled",R1201)))</formula>
    </cfRule>
    <cfRule type="containsText" dxfId="238" priority="234" operator="containsText" text="In Transit">
      <formula>NOT(ISERROR(SEARCH("In Transit",R1201)))</formula>
    </cfRule>
    <cfRule type="containsText" dxfId="237" priority="235" operator="containsText" text="Pending">
      <formula>NOT(ISERROR(SEARCH("Pending",R1201)))</formula>
    </cfRule>
    <cfRule type="containsText" dxfId="236" priority="236" operator="containsText" text="Done">
      <formula>NOT(ISERROR(SEARCH("Done",R1201)))</formula>
    </cfRule>
  </conditionalFormatting>
  <conditionalFormatting sqref="R1200">
    <cfRule type="containsText" dxfId="235" priority="229" operator="containsText" text="Canceled">
      <formula>NOT(ISERROR(SEARCH("Canceled",R1200)))</formula>
    </cfRule>
    <cfRule type="containsText" dxfId="234" priority="230" operator="containsText" text="In Transit">
      <formula>NOT(ISERROR(SEARCH("In Transit",R1200)))</formula>
    </cfRule>
    <cfRule type="containsText" dxfId="233" priority="231" operator="containsText" text="Pending">
      <formula>NOT(ISERROR(SEARCH("Pending",R1200)))</formula>
    </cfRule>
    <cfRule type="containsText" dxfId="232" priority="232" operator="containsText" text="Done">
      <formula>NOT(ISERROR(SEARCH("Done",R1200)))</formula>
    </cfRule>
  </conditionalFormatting>
  <conditionalFormatting sqref="R1199">
    <cfRule type="containsText" dxfId="231" priority="225" operator="containsText" text="Canceled">
      <formula>NOT(ISERROR(SEARCH("Canceled",R1199)))</formula>
    </cfRule>
    <cfRule type="containsText" dxfId="230" priority="226" operator="containsText" text="In Transit">
      <formula>NOT(ISERROR(SEARCH("In Transit",R1199)))</formula>
    </cfRule>
    <cfRule type="containsText" dxfId="229" priority="227" operator="containsText" text="Pending">
      <formula>NOT(ISERROR(SEARCH("Pending",R1199)))</formula>
    </cfRule>
    <cfRule type="containsText" dxfId="228" priority="228" operator="containsText" text="Done">
      <formula>NOT(ISERROR(SEARCH("Done",R1199)))</formula>
    </cfRule>
  </conditionalFormatting>
  <conditionalFormatting sqref="R1771">
    <cfRule type="containsText" dxfId="227" priority="221" operator="containsText" text="Canceled">
      <formula>NOT(ISERROR(SEARCH("Canceled",R1771)))</formula>
    </cfRule>
    <cfRule type="containsText" dxfId="226" priority="222" operator="containsText" text="In Transit">
      <formula>NOT(ISERROR(SEARCH("In Transit",R1771)))</formula>
    </cfRule>
    <cfRule type="containsText" dxfId="225" priority="223" operator="containsText" text="Pending">
      <formula>NOT(ISERROR(SEARCH("Pending",R1771)))</formula>
    </cfRule>
    <cfRule type="containsText" dxfId="224" priority="224" operator="containsText" text="Done">
      <formula>NOT(ISERROR(SEARCH("Done",R1771)))</formula>
    </cfRule>
  </conditionalFormatting>
  <conditionalFormatting sqref="R1771">
    <cfRule type="containsText" dxfId="223" priority="217" operator="containsText" text="Canceled">
      <formula>NOT(ISERROR(SEARCH("Canceled",R1771)))</formula>
    </cfRule>
    <cfRule type="containsText" dxfId="222" priority="218" operator="containsText" text="In Transit">
      <formula>NOT(ISERROR(SEARCH("In Transit",R1771)))</formula>
    </cfRule>
    <cfRule type="containsText" dxfId="221" priority="219" operator="containsText" text="Pending">
      <formula>NOT(ISERROR(SEARCH("Pending",R1771)))</formula>
    </cfRule>
    <cfRule type="containsText" dxfId="220" priority="220" operator="containsText" text="Done">
      <formula>NOT(ISERROR(SEARCH("Done",R1771)))</formula>
    </cfRule>
  </conditionalFormatting>
  <conditionalFormatting sqref="R1650:R1652">
    <cfRule type="containsText" dxfId="219" priority="201" operator="containsText" text="Canceled">
      <formula>NOT(ISERROR(SEARCH("Canceled",R1650)))</formula>
    </cfRule>
    <cfRule type="containsText" dxfId="218" priority="202" operator="containsText" text="In Transit">
      <formula>NOT(ISERROR(SEARCH("In Transit",R1650)))</formula>
    </cfRule>
    <cfRule type="containsText" dxfId="217" priority="203" operator="containsText" text="Pending">
      <formula>NOT(ISERROR(SEARCH("Pending",R1650)))</formula>
    </cfRule>
    <cfRule type="containsText" dxfId="216" priority="204" operator="containsText" text="Done">
      <formula>NOT(ISERROR(SEARCH("Done",R1650)))</formula>
    </cfRule>
  </conditionalFormatting>
  <conditionalFormatting sqref="R1736">
    <cfRule type="containsText" dxfId="215" priority="209" operator="containsText" text="Canceled">
      <formula>NOT(ISERROR(SEARCH("Canceled",R1736)))</formula>
    </cfRule>
    <cfRule type="containsText" dxfId="214" priority="210" operator="containsText" text="In Transit">
      <formula>NOT(ISERROR(SEARCH("In Transit",R1736)))</formula>
    </cfRule>
    <cfRule type="containsText" dxfId="213" priority="211" operator="containsText" text="Pending">
      <formula>NOT(ISERROR(SEARCH("Pending",R1736)))</formula>
    </cfRule>
    <cfRule type="containsText" dxfId="212" priority="212" operator="containsText" text="Done">
      <formula>NOT(ISERROR(SEARCH("Done",R1736)))</formula>
    </cfRule>
  </conditionalFormatting>
  <conditionalFormatting sqref="R1653">
    <cfRule type="containsText" dxfId="211" priority="205" operator="containsText" text="Canceled">
      <formula>NOT(ISERROR(SEARCH("Canceled",R1653)))</formula>
    </cfRule>
    <cfRule type="containsText" dxfId="210" priority="206" operator="containsText" text="In Transit">
      <formula>NOT(ISERROR(SEARCH("In Transit",R1653)))</formula>
    </cfRule>
    <cfRule type="containsText" dxfId="209" priority="207" operator="containsText" text="Pending">
      <formula>NOT(ISERROR(SEARCH("Pending",R1653)))</formula>
    </cfRule>
    <cfRule type="containsText" dxfId="208" priority="208" operator="containsText" text="Done">
      <formula>NOT(ISERROR(SEARCH("Done",R1653)))</formula>
    </cfRule>
  </conditionalFormatting>
  <conditionalFormatting sqref="R1297:R1302">
    <cfRule type="containsText" dxfId="207" priority="197" operator="containsText" text="Canceled">
      <formula>NOT(ISERROR(SEARCH("Canceled",R1297)))</formula>
    </cfRule>
    <cfRule type="containsText" dxfId="206" priority="198" operator="containsText" text="In Transit">
      <formula>NOT(ISERROR(SEARCH("In Transit",R1297)))</formula>
    </cfRule>
    <cfRule type="containsText" dxfId="205" priority="199" operator="containsText" text="Pending">
      <formula>NOT(ISERROR(SEARCH("Pending",R1297)))</formula>
    </cfRule>
    <cfRule type="containsText" dxfId="204" priority="200" operator="containsText" text="Done">
      <formula>NOT(ISERROR(SEARCH("Done",R1297)))</formula>
    </cfRule>
  </conditionalFormatting>
  <conditionalFormatting sqref="R1609">
    <cfRule type="containsText" dxfId="203" priority="193" operator="containsText" text="Canceled">
      <formula>NOT(ISERROR(SEARCH("Canceled",R1609)))</formula>
    </cfRule>
    <cfRule type="containsText" dxfId="202" priority="194" operator="containsText" text="In Transit">
      <formula>NOT(ISERROR(SEARCH("In Transit",R1609)))</formula>
    </cfRule>
    <cfRule type="containsText" dxfId="201" priority="195" operator="containsText" text="Pending">
      <formula>NOT(ISERROR(SEARCH("Pending",R1609)))</formula>
    </cfRule>
    <cfRule type="containsText" dxfId="200" priority="196" operator="containsText" text="Done">
      <formula>NOT(ISERROR(SEARCH("Done",R1609)))</formula>
    </cfRule>
  </conditionalFormatting>
  <conditionalFormatting sqref="R1618:R1620">
    <cfRule type="containsText" dxfId="199" priority="189" operator="containsText" text="Canceled">
      <formula>NOT(ISERROR(SEARCH("Canceled",R1618)))</formula>
    </cfRule>
    <cfRule type="containsText" dxfId="198" priority="190" operator="containsText" text="In Transit">
      <formula>NOT(ISERROR(SEARCH("In Transit",R1618)))</formula>
    </cfRule>
    <cfRule type="containsText" dxfId="197" priority="191" operator="containsText" text="Pending">
      <formula>NOT(ISERROR(SEARCH("Pending",R1618)))</formula>
    </cfRule>
    <cfRule type="containsText" dxfId="196" priority="192" operator="containsText" text="Done">
      <formula>NOT(ISERROR(SEARCH("Done",R1618)))</formula>
    </cfRule>
  </conditionalFormatting>
  <conditionalFormatting sqref="R1665">
    <cfRule type="containsText" dxfId="195" priority="185" operator="containsText" text="Canceled">
      <formula>NOT(ISERROR(SEARCH("Canceled",R1665)))</formula>
    </cfRule>
    <cfRule type="containsText" dxfId="194" priority="186" operator="containsText" text="In Transit">
      <formula>NOT(ISERROR(SEARCH("In Transit",R1665)))</formula>
    </cfRule>
    <cfRule type="containsText" dxfId="193" priority="187" operator="containsText" text="Pending">
      <formula>NOT(ISERROR(SEARCH("Pending",R1665)))</formula>
    </cfRule>
    <cfRule type="containsText" dxfId="192" priority="188" operator="containsText" text="Done">
      <formula>NOT(ISERROR(SEARCH("Done",R1665)))</formula>
    </cfRule>
  </conditionalFormatting>
  <conditionalFormatting sqref="R1804:R1805">
    <cfRule type="containsText" dxfId="191" priority="181" operator="containsText" text="Canceled">
      <formula>NOT(ISERROR(SEARCH("Canceled",R1804)))</formula>
    </cfRule>
    <cfRule type="containsText" dxfId="190" priority="182" operator="containsText" text="In Transit">
      <formula>NOT(ISERROR(SEARCH("In Transit",R1804)))</formula>
    </cfRule>
    <cfRule type="containsText" dxfId="189" priority="183" operator="containsText" text="Pending">
      <formula>NOT(ISERROR(SEARCH("Pending",R1804)))</formula>
    </cfRule>
    <cfRule type="containsText" dxfId="188" priority="184" operator="containsText" text="Done">
      <formula>NOT(ISERROR(SEARCH("Done",R1804)))</formula>
    </cfRule>
  </conditionalFormatting>
  <conditionalFormatting sqref="R1428">
    <cfRule type="containsText" dxfId="187" priority="177" operator="containsText" text="Canceled">
      <formula>NOT(ISERROR(SEARCH("Canceled",R1428)))</formula>
    </cfRule>
    <cfRule type="containsText" dxfId="186" priority="178" operator="containsText" text="In Transit">
      <formula>NOT(ISERROR(SEARCH("In Transit",R1428)))</formula>
    </cfRule>
    <cfRule type="containsText" dxfId="185" priority="179" operator="containsText" text="Pending">
      <formula>NOT(ISERROR(SEARCH("Pending",R1428)))</formula>
    </cfRule>
    <cfRule type="containsText" dxfId="184" priority="180" operator="containsText" text="Done">
      <formula>NOT(ISERROR(SEARCH("Done",R1428)))</formula>
    </cfRule>
  </conditionalFormatting>
  <conditionalFormatting sqref="R1429">
    <cfRule type="containsText" dxfId="183" priority="173" operator="containsText" text="Canceled">
      <formula>NOT(ISERROR(SEARCH("Canceled",R1429)))</formula>
    </cfRule>
    <cfRule type="containsText" dxfId="182" priority="174" operator="containsText" text="In Transit">
      <formula>NOT(ISERROR(SEARCH("In Transit",R1429)))</formula>
    </cfRule>
    <cfRule type="containsText" dxfId="181" priority="175" operator="containsText" text="Pending">
      <formula>NOT(ISERROR(SEARCH("Pending",R1429)))</formula>
    </cfRule>
    <cfRule type="containsText" dxfId="180" priority="176" operator="containsText" text="Done">
      <formula>NOT(ISERROR(SEARCH("Done",R1429)))</formula>
    </cfRule>
  </conditionalFormatting>
  <conditionalFormatting sqref="R1806:R1809">
    <cfRule type="containsText" dxfId="179" priority="169" operator="containsText" text="Canceled">
      <formula>NOT(ISERROR(SEARCH("Canceled",R1806)))</formula>
    </cfRule>
    <cfRule type="containsText" dxfId="178" priority="170" operator="containsText" text="In Transit">
      <formula>NOT(ISERROR(SEARCH("In Transit",R1806)))</formula>
    </cfRule>
    <cfRule type="containsText" dxfId="177" priority="171" operator="containsText" text="Pending">
      <formula>NOT(ISERROR(SEARCH("Pending",R1806)))</formula>
    </cfRule>
    <cfRule type="containsText" dxfId="176" priority="172" operator="containsText" text="Done">
      <formula>NOT(ISERROR(SEARCH("Done",R1806)))</formula>
    </cfRule>
  </conditionalFormatting>
  <conditionalFormatting sqref="R1617">
    <cfRule type="containsText" dxfId="175" priority="165" operator="containsText" text="Canceled">
      <formula>NOT(ISERROR(SEARCH("Canceled",R1617)))</formula>
    </cfRule>
    <cfRule type="containsText" dxfId="174" priority="166" operator="containsText" text="In Transit">
      <formula>NOT(ISERROR(SEARCH("In Transit",R1617)))</formula>
    </cfRule>
    <cfRule type="containsText" dxfId="173" priority="167" operator="containsText" text="Pending">
      <formula>NOT(ISERROR(SEARCH("Pending",R1617)))</formula>
    </cfRule>
    <cfRule type="containsText" dxfId="172" priority="168" operator="containsText" text="Done">
      <formula>NOT(ISERROR(SEARCH("Done",R1617)))</formula>
    </cfRule>
  </conditionalFormatting>
  <conditionalFormatting sqref="R1224">
    <cfRule type="containsText" dxfId="171" priority="161" operator="containsText" text="Canceled">
      <formula>NOT(ISERROR(SEARCH("Canceled",R1224)))</formula>
    </cfRule>
    <cfRule type="containsText" dxfId="170" priority="162" operator="containsText" text="In Transit">
      <formula>NOT(ISERROR(SEARCH("In Transit",R1224)))</formula>
    </cfRule>
    <cfRule type="containsText" dxfId="169" priority="163" operator="containsText" text="Pending">
      <formula>NOT(ISERROR(SEARCH("Pending",R1224)))</formula>
    </cfRule>
    <cfRule type="containsText" dxfId="168" priority="164" operator="containsText" text="Done">
      <formula>NOT(ISERROR(SEARCH("Done",R1224)))</formula>
    </cfRule>
  </conditionalFormatting>
  <conditionalFormatting sqref="R1225">
    <cfRule type="containsText" dxfId="167" priority="157" operator="containsText" text="Canceled">
      <formula>NOT(ISERROR(SEARCH("Canceled",R1225)))</formula>
    </cfRule>
    <cfRule type="containsText" dxfId="166" priority="158" operator="containsText" text="In Transit">
      <formula>NOT(ISERROR(SEARCH("In Transit",R1225)))</formula>
    </cfRule>
    <cfRule type="containsText" dxfId="165" priority="159" operator="containsText" text="Pending">
      <formula>NOT(ISERROR(SEARCH("Pending",R1225)))</formula>
    </cfRule>
    <cfRule type="containsText" dxfId="164" priority="160" operator="containsText" text="Done">
      <formula>NOT(ISERROR(SEARCH("Done",R1225)))</formula>
    </cfRule>
  </conditionalFormatting>
  <conditionalFormatting sqref="R1815">
    <cfRule type="containsText" dxfId="163" priority="153" operator="containsText" text="Canceled">
      <formula>NOT(ISERROR(SEARCH("Canceled",R1815)))</formula>
    </cfRule>
    <cfRule type="containsText" dxfId="162" priority="154" operator="containsText" text="In Transit">
      <formula>NOT(ISERROR(SEARCH("In Transit",R1815)))</formula>
    </cfRule>
    <cfRule type="containsText" dxfId="161" priority="155" operator="containsText" text="Pending">
      <formula>NOT(ISERROR(SEARCH("Pending",R1815)))</formula>
    </cfRule>
    <cfRule type="containsText" dxfId="160" priority="156" operator="containsText" text="Done">
      <formula>NOT(ISERROR(SEARCH("Done",R1815)))</formula>
    </cfRule>
  </conditionalFormatting>
  <conditionalFormatting sqref="R1173:R1174">
    <cfRule type="containsText" dxfId="159" priority="149" operator="containsText" text="Canceled">
      <formula>NOT(ISERROR(SEARCH("Canceled",R1173)))</formula>
    </cfRule>
    <cfRule type="containsText" dxfId="158" priority="150" operator="containsText" text="In Transit">
      <formula>NOT(ISERROR(SEARCH("In Transit",R1173)))</formula>
    </cfRule>
    <cfRule type="containsText" dxfId="157" priority="151" operator="containsText" text="Pending">
      <formula>NOT(ISERROR(SEARCH("Pending",R1173)))</formula>
    </cfRule>
    <cfRule type="containsText" dxfId="156" priority="152" operator="containsText" text="Done">
      <formula>NOT(ISERROR(SEARCH("Done",R1173)))</formula>
    </cfRule>
  </conditionalFormatting>
  <conditionalFormatting sqref="R1469">
    <cfRule type="containsText" dxfId="155" priority="145" operator="containsText" text="Canceled">
      <formula>NOT(ISERROR(SEARCH("Canceled",R1469)))</formula>
    </cfRule>
    <cfRule type="containsText" dxfId="154" priority="146" operator="containsText" text="In Transit">
      <formula>NOT(ISERROR(SEARCH("In Transit",R1469)))</formula>
    </cfRule>
    <cfRule type="containsText" dxfId="153" priority="147" operator="containsText" text="Pending">
      <formula>NOT(ISERROR(SEARCH("Pending",R1469)))</formula>
    </cfRule>
    <cfRule type="containsText" dxfId="152" priority="148" operator="containsText" text="Done">
      <formula>NOT(ISERROR(SEARCH("Done",R1469)))</formula>
    </cfRule>
  </conditionalFormatting>
  <conditionalFormatting sqref="R1472">
    <cfRule type="containsText" dxfId="151" priority="141" operator="containsText" text="Canceled">
      <formula>NOT(ISERROR(SEARCH("Canceled",R1472)))</formula>
    </cfRule>
    <cfRule type="containsText" dxfId="150" priority="142" operator="containsText" text="In Transit">
      <formula>NOT(ISERROR(SEARCH("In Transit",R1472)))</formula>
    </cfRule>
    <cfRule type="containsText" dxfId="149" priority="143" operator="containsText" text="Pending">
      <formula>NOT(ISERROR(SEARCH("Pending",R1472)))</formula>
    </cfRule>
    <cfRule type="containsText" dxfId="148" priority="144" operator="containsText" text="Done">
      <formula>NOT(ISERROR(SEARCH("Done",R1472)))</formula>
    </cfRule>
  </conditionalFormatting>
  <conditionalFormatting sqref="R1842">
    <cfRule type="containsText" dxfId="147" priority="133" operator="containsText" text="Canceled">
      <formula>NOT(ISERROR(SEARCH("Canceled",R1842)))</formula>
    </cfRule>
    <cfRule type="containsText" dxfId="146" priority="134" operator="containsText" text="In Transit">
      <formula>NOT(ISERROR(SEARCH("In Transit",R1842)))</formula>
    </cfRule>
    <cfRule type="containsText" dxfId="145" priority="135" operator="containsText" text="Pending">
      <formula>NOT(ISERROR(SEARCH("Pending",R1842)))</formula>
    </cfRule>
    <cfRule type="containsText" dxfId="144" priority="136" operator="containsText" text="Done">
      <formula>NOT(ISERROR(SEARCH("Done",R1842)))</formula>
    </cfRule>
  </conditionalFormatting>
  <conditionalFormatting sqref="R1394:R1400">
    <cfRule type="containsText" dxfId="143" priority="129" operator="containsText" text="Canceled">
      <formula>NOT(ISERROR(SEARCH("Canceled",R1394)))</formula>
    </cfRule>
    <cfRule type="containsText" dxfId="142" priority="130" operator="containsText" text="In Transit">
      <formula>NOT(ISERROR(SEARCH("In Transit",R1394)))</formula>
    </cfRule>
    <cfRule type="containsText" dxfId="141" priority="131" operator="containsText" text="Pending">
      <formula>NOT(ISERROR(SEARCH("Pending",R1394)))</formula>
    </cfRule>
    <cfRule type="containsText" dxfId="140" priority="132" operator="containsText" text="Done">
      <formula>NOT(ISERROR(SEARCH("Done",R1394)))</formula>
    </cfRule>
  </conditionalFormatting>
  <conditionalFormatting sqref="R1321:R1322">
    <cfRule type="containsText" dxfId="139" priority="125" operator="containsText" text="Canceled">
      <formula>NOT(ISERROR(SEARCH("Canceled",R1321)))</formula>
    </cfRule>
    <cfRule type="containsText" dxfId="138" priority="126" operator="containsText" text="In Transit">
      <formula>NOT(ISERROR(SEARCH("In Transit",R1321)))</formula>
    </cfRule>
    <cfRule type="containsText" dxfId="137" priority="127" operator="containsText" text="Pending">
      <formula>NOT(ISERROR(SEARCH("Pending",R1321)))</formula>
    </cfRule>
    <cfRule type="containsText" dxfId="136" priority="128" operator="containsText" text="Done">
      <formula>NOT(ISERROR(SEARCH("Done",R1321)))</formula>
    </cfRule>
  </conditionalFormatting>
  <conditionalFormatting sqref="R1708">
    <cfRule type="containsText" dxfId="135" priority="121" operator="containsText" text="Canceled">
      <formula>NOT(ISERROR(SEARCH("Canceled",R1708)))</formula>
    </cfRule>
    <cfRule type="containsText" dxfId="134" priority="122" operator="containsText" text="In Transit">
      <formula>NOT(ISERROR(SEARCH("In Transit",R1708)))</formula>
    </cfRule>
    <cfRule type="containsText" dxfId="133" priority="123" operator="containsText" text="Pending">
      <formula>NOT(ISERROR(SEARCH("Pending",R1708)))</formula>
    </cfRule>
    <cfRule type="containsText" dxfId="132" priority="124" operator="containsText" text="Done">
      <formula>NOT(ISERROR(SEARCH("Done",R1708)))</formula>
    </cfRule>
  </conditionalFormatting>
  <conditionalFormatting sqref="R1709:R1710">
    <cfRule type="containsText" dxfId="131" priority="117" operator="containsText" text="Canceled">
      <formula>NOT(ISERROR(SEARCH("Canceled",R1709)))</formula>
    </cfRule>
    <cfRule type="containsText" dxfId="130" priority="118" operator="containsText" text="In Transit">
      <formula>NOT(ISERROR(SEARCH("In Transit",R1709)))</formula>
    </cfRule>
    <cfRule type="containsText" dxfId="129" priority="119" operator="containsText" text="Pending">
      <formula>NOT(ISERROR(SEARCH("Pending",R1709)))</formula>
    </cfRule>
    <cfRule type="containsText" dxfId="128" priority="120" operator="containsText" text="Done">
      <formula>NOT(ISERROR(SEARCH("Done",R1709)))</formula>
    </cfRule>
  </conditionalFormatting>
  <conditionalFormatting sqref="R1819">
    <cfRule type="containsText" dxfId="127" priority="113" operator="containsText" text="Canceled">
      <formula>NOT(ISERROR(SEARCH("Canceled",R1819)))</formula>
    </cfRule>
    <cfRule type="containsText" dxfId="126" priority="114" operator="containsText" text="In Transit">
      <formula>NOT(ISERROR(SEARCH("In Transit",R1819)))</formula>
    </cfRule>
    <cfRule type="containsText" dxfId="125" priority="115" operator="containsText" text="Pending">
      <formula>NOT(ISERROR(SEARCH("Pending",R1819)))</formula>
    </cfRule>
    <cfRule type="containsText" dxfId="124" priority="116" operator="containsText" text="Done">
      <formula>NOT(ISERROR(SEARCH("Done",R1819)))</formula>
    </cfRule>
  </conditionalFormatting>
  <conditionalFormatting sqref="R1835">
    <cfRule type="containsText" dxfId="123" priority="109" operator="containsText" text="Canceled">
      <formula>NOT(ISERROR(SEARCH("Canceled",R1835)))</formula>
    </cfRule>
    <cfRule type="containsText" dxfId="122" priority="110" operator="containsText" text="In Transit">
      <formula>NOT(ISERROR(SEARCH("In Transit",R1835)))</formula>
    </cfRule>
    <cfRule type="containsText" dxfId="121" priority="111" operator="containsText" text="Pending">
      <formula>NOT(ISERROR(SEARCH("Pending",R1835)))</formula>
    </cfRule>
    <cfRule type="containsText" dxfId="120" priority="112" operator="containsText" text="Done">
      <formula>NOT(ISERROR(SEARCH("Done",R1835)))</formula>
    </cfRule>
  </conditionalFormatting>
  <conditionalFormatting sqref="R1836">
    <cfRule type="containsText" dxfId="119" priority="105" operator="containsText" text="Canceled">
      <formula>NOT(ISERROR(SEARCH("Canceled",R1836)))</formula>
    </cfRule>
    <cfRule type="containsText" dxfId="118" priority="106" operator="containsText" text="In Transit">
      <formula>NOT(ISERROR(SEARCH("In Transit",R1836)))</formula>
    </cfRule>
    <cfRule type="containsText" dxfId="117" priority="107" operator="containsText" text="Pending">
      <formula>NOT(ISERROR(SEARCH("Pending",R1836)))</formula>
    </cfRule>
    <cfRule type="containsText" dxfId="116" priority="108" operator="containsText" text="Done">
      <formula>NOT(ISERROR(SEARCH("Done",R1836)))</formula>
    </cfRule>
  </conditionalFormatting>
  <conditionalFormatting sqref="R735:R742">
    <cfRule type="containsText" dxfId="115" priority="85" operator="containsText" text="Canceled">
      <formula>NOT(ISERROR(SEARCH("Canceled",R735)))</formula>
    </cfRule>
    <cfRule type="containsText" dxfId="114" priority="86" operator="containsText" text="In Transit">
      <formula>NOT(ISERROR(SEARCH("In Transit",R735)))</formula>
    </cfRule>
    <cfRule type="containsText" dxfId="113" priority="87" operator="containsText" text="Pending">
      <formula>NOT(ISERROR(SEARCH("Pending",R735)))</formula>
    </cfRule>
    <cfRule type="containsText" dxfId="112" priority="88" operator="containsText" text="Done">
      <formula>NOT(ISERROR(SEARCH("Done",R735)))</formula>
    </cfRule>
  </conditionalFormatting>
  <conditionalFormatting sqref="R1877">
    <cfRule type="containsText" dxfId="111" priority="81" operator="containsText" text="Canceled">
      <formula>NOT(ISERROR(SEARCH("Canceled",R1877)))</formula>
    </cfRule>
    <cfRule type="containsText" dxfId="110" priority="82" operator="containsText" text="In Transit">
      <formula>NOT(ISERROR(SEARCH("In Transit",R1877)))</formula>
    </cfRule>
    <cfRule type="containsText" dxfId="109" priority="83" operator="containsText" text="Pending">
      <formula>NOT(ISERROR(SEARCH("Pending",R1877)))</formula>
    </cfRule>
    <cfRule type="containsText" dxfId="108" priority="84" operator="containsText" text="Done">
      <formula>NOT(ISERROR(SEARCH("Done",R1877)))</formula>
    </cfRule>
  </conditionalFormatting>
  <conditionalFormatting sqref="R1304">
    <cfRule type="containsText" dxfId="107" priority="65" operator="containsText" text="Canceled">
      <formula>NOT(ISERROR(SEARCH("Canceled",R1304)))</formula>
    </cfRule>
    <cfRule type="containsText" dxfId="106" priority="66" operator="containsText" text="In Transit">
      <formula>NOT(ISERROR(SEARCH("In Transit",R1304)))</formula>
    </cfRule>
    <cfRule type="containsText" dxfId="105" priority="67" operator="containsText" text="Pending">
      <formula>NOT(ISERROR(SEARCH("Pending",R1304)))</formula>
    </cfRule>
    <cfRule type="containsText" dxfId="104" priority="68" operator="containsText" text="Done">
      <formula>NOT(ISERROR(SEARCH("Done",R1304)))</formula>
    </cfRule>
  </conditionalFormatting>
  <conditionalFormatting sqref="R1307:R1308">
    <cfRule type="containsText" dxfId="103" priority="61" operator="containsText" text="Canceled">
      <formula>NOT(ISERROR(SEARCH("Canceled",R1307)))</formula>
    </cfRule>
    <cfRule type="containsText" dxfId="102" priority="62" operator="containsText" text="In Transit">
      <formula>NOT(ISERROR(SEARCH("In Transit",R1307)))</formula>
    </cfRule>
    <cfRule type="containsText" dxfId="101" priority="63" operator="containsText" text="Pending">
      <formula>NOT(ISERROR(SEARCH("Pending",R1307)))</formula>
    </cfRule>
    <cfRule type="containsText" dxfId="100" priority="64" operator="containsText" text="Done">
      <formula>NOT(ISERROR(SEARCH("Done",R1307)))</formula>
    </cfRule>
  </conditionalFormatting>
  <conditionalFormatting sqref="R1303">
    <cfRule type="containsText" dxfId="99" priority="57" operator="containsText" text="Canceled">
      <formula>NOT(ISERROR(SEARCH("Canceled",R1303)))</formula>
    </cfRule>
    <cfRule type="containsText" dxfId="98" priority="58" operator="containsText" text="In Transit">
      <formula>NOT(ISERROR(SEARCH("In Transit",R1303)))</formula>
    </cfRule>
    <cfRule type="containsText" dxfId="97" priority="59" operator="containsText" text="Pending">
      <formula>NOT(ISERROR(SEARCH("Pending",R1303)))</formula>
    </cfRule>
    <cfRule type="containsText" dxfId="96" priority="60" operator="containsText" text="Done">
      <formula>NOT(ISERROR(SEARCH("Done",R1303)))</formula>
    </cfRule>
  </conditionalFormatting>
  <conditionalFormatting sqref="R1309">
    <cfRule type="containsText" dxfId="95" priority="53" operator="containsText" text="Canceled">
      <formula>NOT(ISERROR(SEARCH("Canceled",R1309)))</formula>
    </cfRule>
    <cfRule type="containsText" dxfId="94" priority="54" operator="containsText" text="In Transit">
      <formula>NOT(ISERROR(SEARCH("In Transit",R1309)))</formula>
    </cfRule>
    <cfRule type="containsText" dxfId="93" priority="55" operator="containsText" text="Pending">
      <formula>NOT(ISERROR(SEARCH("Pending",R1309)))</formula>
    </cfRule>
    <cfRule type="containsText" dxfId="92" priority="56" operator="containsText" text="Done">
      <formula>NOT(ISERROR(SEARCH("Done",R1309)))</formula>
    </cfRule>
  </conditionalFormatting>
  <conditionalFormatting sqref="R1306">
    <cfRule type="containsText" dxfId="91" priority="49" operator="containsText" text="Canceled">
      <formula>NOT(ISERROR(SEARCH("Canceled",R1306)))</formula>
    </cfRule>
    <cfRule type="containsText" dxfId="90" priority="50" operator="containsText" text="In Transit">
      <formula>NOT(ISERROR(SEARCH("In Transit",R1306)))</formula>
    </cfRule>
    <cfRule type="containsText" dxfId="89" priority="51" operator="containsText" text="Pending">
      <formula>NOT(ISERROR(SEARCH("Pending",R1306)))</formula>
    </cfRule>
    <cfRule type="containsText" dxfId="88" priority="52" operator="containsText" text="Done">
      <formula>NOT(ISERROR(SEARCH("Done",R1306)))</formula>
    </cfRule>
  </conditionalFormatting>
  <conditionalFormatting sqref="R1305">
    <cfRule type="containsText" dxfId="87" priority="45" operator="containsText" text="Canceled">
      <formula>NOT(ISERROR(SEARCH("Canceled",R1305)))</formula>
    </cfRule>
    <cfRule type="containsText" dxfId="86" priority="46" operator="containsText" text="In Transit">
      <formula>NOT(ISERROR(SEARCH("In Transit",R1305)))</formula>
    </cfRule>
    <cfRule type="containsText" dxfId="85" priority="47" operator="containsText" text="Pending">
      <formula>NOT(ISERROR(SEARCH("Pending",R1305)))</formula>
    </cfRule>
    <cfRule type="containsText" dxfId="84" priority="48" operator="containsText" text="Done">
      <formula>NOT(ISERROR(SEARCH("Done",R1305)))</formula>
    </cfRule>
  </conditionalFormatting>
  <conditionalFormatting sqref="R593:R594">
    <cfRule type="containsText" dxfId="83" priority="41" operator="containsText" text="Canceled">
      <formula>NOT(ISERROR(SEARCH("Canceled",R593)))</formula>
    </cfRule>
    <cfRule type="containsText" dxfId="82" priority="42" operator="containsText" text="In Transit">
      <formula>NOT(ISERROR(SEARCH("In Transit",R593)))</formula>
    </cfRule>
    <cfRule type="containsText" dxfId="81" priority="43" operator="containsText" text="Pending">
      <formula>NOT(ISERROR(SEARCH("Pending",R593)))</formula>
    </cfRule>
    <cfRule type="containsText" dxfId="80" priority="44" operator="containsText" text="Done">
      <formula>NOT(ISERROR(SEARCH("Done",R593)))</formula>
    </cfRule>
  </conditionalFormatting>
  <conditionalFormatting sqref="R595">
    <cfRule type="containsText" dxfId="79" priority="37" operator="containsText" text="Canceled">
      <formula>NOT(ISERROR(SEARCH("Canceled",R595)))</formula>
    </cfRule>
    <cfRule type="containsText" dxfId="78" priority="38" operator="containsText" text="In Transit">
      <formula>NOT(ISERROR(SEARCH("In Transit",R595)))</formula>
    </cfRule>
    <cfRule type="containsText" dxfId="77" priority="39" operator="containsText" text="Pending">
      <formula>NOT(ISERROR(SEARCH("Pending",R595)))</formula>
    </cfRule>
    <cfRule type="containsText" dxfId="76" priority="40" operator="containsText" text="Done">
      <formula>NOT(ISERROR(SEARCH("Done",R595)))</formula>
    </cfRule>
  </conditionalFormatting>
  <conditionalFormatting sqref="R596 R599">
    <cfRule type="containsText" dxfId="75" priority="33" operator="containsText" text="Canceled">
      <formula>NOT(ISERROR(SEARCH("Canceled",R596)))</formula>
    </cfRule>
    <cfRule type="containsText" dxfId="74" priority="34" operator="containsText" text="In Transit">
      <formula>NOT(ISERROR(SEARCH("In Transit",R596)))</formula>
    </cfRule>
    <cfRule type="containsText" dxfId="73" priority="35" operator="containsText" text="Pending">
      <formula>NOT(ISERROR(SEARCH("Pending",R596)))</formula>
    </cfRule>
    <cfRule type="containsText" dxfId="72" priority="36" operator="containsText" text="Done">
      <formula>NOT(ISERROR(SEARCH("Done",R596)))</formula>
    </cfRule>
  </conditionalFormatting>
  <conditionalFormatting sqref="R600">
    <cfRule type="containsText" dxfId="71" priority="29" operator="containsText" text="Canceled">
      <formula>NOT(ISERROR(SEARCH("Canceled",R600)))</formula>
    </cfRule>
    <cfRule type="containsText" dxfId="70" priority="30" operator="containsText" text="In Transit">
      <formula>NOT(ISERROR(SEARCH("In Transit",R600)))</formula>
    </cfRule>
    <cfRule type="containsText" dxfId="69" priority="31" operator="containsText" text="Pending">
      <formula>NOT(ISERROR(SEARCH("Pending",R600)))</formula>
    </cfRule>
    <cfRule type="containsText" dxfId="68" priority="32" operator="containsText" text="Done">
      <formula>NOT(ISERROR(SEARCH("Done",R600)))</formula>
    </cfRule>
  </conditionalFormatting>
  <conditionalFormatting sqref="R597:R598">
    <cfRule type="containsText" dxfId="67" priority="25" operator="containsText" text="Canceled">
      <formula>NOT(ISERROR(SEARCH("Canceled",R597)))</formula>
    </cfRule>
    <cfRule type="containsText" dxfId="66" priority="26" operator="containsText" text="In Transit">
      <formula>NOT(ISERROR(SEARCH("In Transit",R597)))</formula>
    </cfRule>
    <cfRule type="containsText" dxfId="65" priority="27" operator="containsText" text="Pending">
      <formula>NOT(ISERROR(SEARCH("Pending",R597)))</formula>
    </cfRule>
    <cfRule type="containsText" dxfId="64" priority="28" operator="containsText" text="Done">
      <formula>NOT(ISERROR(SEARCH("Done",R597)))</formula>
    </cfRule>
  </conditionalFormatting>
  <conditionalFormatting sqref="R661:R665 R667">
    <cfRule type="containsText" dxfId="63" priority="21" operator="containsText" text="Canceled">
      <formula>NOT(ISERROR(SEARCH("Canceled",R661)))</formula>
    </cfRule>
    <cfRule type="containsText" dxfId="62" priority="22" operator="containsText" text="In Transit">
      <formula>NOT(ISERROR(SEARCH("In Transit",R661)))</formula>
    </cfRule>
    <cfRule type="containsText" dxfId="61" priority="23" operator="containsText" text="Pending">
      <formula>NOT(ISERROR(SEARCH("Pending",R661)))</formula>
    </cfRule>
    <cfRule type="containsText" dxfId="60" priority="24" operator="containsText" text="Done">
      <formula>NOT(ISERROR(SEARCH("Done",R661)))</formula>
    </cfRule>
  </conditionalFormatting>
  <conditionalFormatting sqref="R666">
    <cfRule type="containsText" dxfId="59" priority="17" operator="containsText" text="Canceled">
      <formula>NOT(ISERROR(SEARCH("Canceled",R666)))</formula>
    </cfRule>
    <cfRule type="containsText" dxfId="58" priority="18" operator="containsText" text="In Transit">
      <formula>NOT(ISERROR(SEARCH("In Transit",R666)))</formula>
    </cfRule>
    <cfRule type="containsText" dxfId="57" priority="19" operator="containsText" text="Pending">
      <formula>NOT(ISERROR(SEARCH("Pending",R666)))</formula>
    </cfRule>
    <cfRule type="containsText" dxfId="56" priority="20" operator="containsText" text="Done">
      <formula>NOT(ISERROR(SEARCH("Done",R666)))</formula>
    </cfRule>
  </conditionalFormatting>
  <conditionalFormatting sqref="R1885:R1888">
    <cfRule type="containsText" dxfId="55" priority="13" operator="containsText" text="Canceled">
      <formula>NOT(ISERROR(SEARCH("Canceled",R1885)))</formula>
    </cfRule>
    <cfRule type="containsText" dxfId="54" priority="14" operator="containsText" text="In Transit">
      <formula>NOT(ISERROR(SEARCH("In Transit",R1885)))</formula>
    </cfRule>
    <cfRule type="containsText" dxfId="53" priority="15" operator="containsText" text="Pending">
      <formula>NOT(ISERROR(SEARCH("Pending",R1885)))</formula>
    </cfRule>
    <cfRule type="containsText" dxfId="52" priority="16" operator="containsText" text="Done">
      <formula>NOT(ISERROR(SEARCH("Done",R1885)))</formula>
    </cfRule>
  </conditionalFormatting>
  <conditionalFormatting sqref="R1198">
    <cfRule type="containsText" dxfId="51" priority="9" operator="containsText" text="Canceled">
      <formula>NOT(ISERROR(SEARCH("Canceled",R1198)))</formula>
    </cfRule>
    <cfRule type="containsText" dxfId="50" priority="10" operator="containsText" text="In Transit">
      <formula>NOT(ISERROR(SEARCH("In Transit",R1198)))</formula>
    </cfRule>
    <cfRule type="containsText" dxfId="49" priority="11" operator="containsText" text="Pending">
      <formula>NOT(ISERROR(SEARCH("Pending",R1198)))</formula>
    </cfRule>
    <cfRule type="containsText" dxfId="48" priority="12" operator="containsText" text="Done">
      <formula>NOT(ISERROR(SEARCH("Done",R1198)))</formula>
    </cfRule>
  </conditionalFormatting>
  <conditionalFormatting sqref="R99">
    <cfRule type="containsText" dxfId="47" priority="5" operator="containsText" text="Canceled">
      <formula>NOT(ISERROR(SEARCH("Canceled",R99)))</formula>
    </cfRule>
    <cfRule type="containsText" dxfId="46" priority="6" operator="containsText" text="In Transit">
      <formula>NOT(ISERROR(SEARCH("In Transit",R99)))</formula>
    </cfRule>
    <cfRule type="containsText" dxfId="45" priority="7" operator="containsText" text="Pending">
      <formula>NOT(ISERROR(SEARCH("Pending",R99)))</formula>
    </cfRule>
    <cfRule type="containsText" dxfId="44" priority="8" operator="containsText" text="Done">
      <formula>NOT(ISERROR(SEARCH("Done",R99)))</formula>
    </cfRule>
  </conditionalFormatting>
  <conditionalFormatting sqref="Q1">
    <cfRule type="containsText" dxfId="43" priority="1" operator="containsText" text="Canceled">
      <formula>NOT(ISERROR(SEARCH("Canceled",Q1)))</formula>
    </cfRule>
    <cfRule type="containsText" dxfId="42" priority="2" operator="containsText" text="In Transit">
      <formula>NOT(ISERROR(SEARCH("In Transit",Q1)))</formula>
    </cfRule>
    <cfRule type="containsText" dxfId="41" priority="3" operator="containsText" text="Pending">
      <formula>NOT(ISERROR(SEARCH("Pending",Q1)))</formula>
    </cfRule>
    <cfRule type="containsText" dxfId="40" priority="4" operator="containsText" text="Done">
      <formula>NOT(ISERROR(SEARCH("Done",Q1)))</formula>
    </cfRule>
  </conditionalFormatting>
  <dataValidations count="1">
    <dataValidation type="list" allowBlank="1" showInputMessage="1" showErrorMessage="1" sqref="R1:R1048576 Q1">
      <formula1>"Done, Pending, Canceled, Inventory, In Transit"</formula1>
    </dataValidation>
  </dataValidations>
  <pageMargins left="0.28999999999999998" right="0.17" top="0.75" bottom="0.41" header="0.3" footer="0.3"/>
  <pageSetup paperSize="9" scale="66" fitToHeight="0" orientation="landscape" r:id="rId1"/>
  <legacy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40"/>
  <sheetViews>
    <sheetView workbookViewId="0">
      <selection activeCell="H21" sqref="H21"/>
    </sheetView>
  </sheetViews>
  <sheetFormatPr defaultRowHeight="15"/>
  <cols>
    <col min="1" max="1" width="11.140625" customWidth="1"/>
    <col min="2" max="2" width="9.85546875" bestFit="1" customWidth="1"/>
    <col min="3" max="3" width="12.28515625" bestFit="1" customWidth="1"/>
    <col min="5" max="5" width="25.85546875" bestFit="1" customWidth="1"/>
    <col min="6" max="6" width="23.42578125" bestFit="1" customWidth="1"/>
    <col min="7" max="7" width="11.42578125" bestFit="1" customWidth="1"/>
    <col min="16" max="16" width="11.5703125" bestFit="1" customWidth="1"/>
    <col min="18" max="18" width="10.42578125" bestFit="1" customWidth="1"/>
    <col min="19" max="20" width="11.85546875" bestFit="1" customWidth="1"/>
    <col min="22" max="22" width="13.42578125" bestFit="1" customWidth="1"/>
    <col min="23" max="23" width="9.85546875" bestFit="1" customWidth="1"/>
    <col min="35" max="35" width="12.85546875" bestFit="1" customWidth="1"/>
    <col min="36" max="36" width="9.7109375" bestFit="1" customWidth="1"/>
  </cols>
  <sheetData>
    <row r="1" spans="1:36" ht="60">
      <c r="A1" s="1" t="s">
        <v>1</v>
      </c>
      <c r="B1" s="2" t="s">
        <v>2</v>
      </c>
      <c r="C1" s="2" t="s">
        <v>3</v>
      </c>
      <c r="D1" s="2" t="s">
        <v>4</v>
      </c>
      <c r="E1" s="2" t="s">
        <v>5</v>
      </c>
      <c r="F1" s="2" t="s">
        <v>6</v>
      </c>
      <c r="G1" s="2" t="s">
        <v>7</v>
      </c>
      <c r="H1" s="1" t="s">
        <v>0</v>
      </c>
      <c r="I1" s="1" t="s">
        <v>8</v>
      </c>
      <c r="J1" s="3" t="s">
        <v>9</v>
      </c>
      <c r="K1" s="4" t="s">
        <v>10</v>
      </c>
      <c r="L1" s="4" t="s">
        <v>11</v>
      </c>
      <c r="M1" s="5">
        <v>0</v>
      </c>
      <c r="N1" s="4" t="s">
        <v>1420</v>
      </c>
      <c r="O1" s="4" t="s">
        <v>12</v>
      </c>
      <c r="P1" s="4" t="s">
        <v>1421</v>
      </c>
      <c r="Q1" s="6" t="s">
        <v>13</v>
      </c>
      <c r="R1" s="7" t="s">
        <v>14</v>
      </c>
      <c r="S1" s="7" t="s">
        <v>15</v>
      </c>
      <c r="T1" s="7" t="s">
        <v>16</v>
      </c>
      <c r="U1" s="8" t="s">
        <v>17</v>
      </c>
      <c r="V1" s="9" t="s">
        <v>18</v>
      </c>
      <c r="W1" s="9" t="s">
        <v>19</v>
      </c>
      <c r="X1" s="10" t="s">
        <v>20</v>
      </c>
      <c r="Y1" s="205" t="s">
        <v>1598</v>
      </c>
      <c r="Z1" s="204" t="s">
        <v>1596</v>
      </c>
      <c r="AA1" s="204" t="s">
        <v>1599</v>
      </c>
      <c r="AB1" s="204" t="s">
        <v>1597</v>
      </c>
      <c r="AC1" s="243" t="s">
        <v>1605</v>
      </c>
      <c r="AD1" s="204" t="s">
        <v>1606</v>
      </c>
      <c r="AE1" s="243" t="s">
        <v>2013</v>
      </c>
      <c r="AF1" s="204" t="s">
        <v>2014</v>
      </c>
      <c r="AG1" s="11" t="s">
        <v>21</v>
      </c>
      <c r="AH1" s="11" t="s">
        <v>22</v>
      </c>
      <c r="AI1" s="227" t="s">
        <v>1856</v>
      </c>
      <c r="AJ1" s="208" t="s">
        <v>1602</v>
      </c>
    </row>
    <row r="2" spans="1:36">
      <c r="A2" s="165" t="s">
        <v>325</v>
      </c>
      <c r="B2" s="13">
        <v>43537</v>
      </c>
      <c r="C2" s="13" t="s">
        <v>23</v>
      </c>
      <c r="D2" s="165" t="s">
        <v>204</v>
      </c>
      <c r="E2" s="13" t="s">
        <v>205</v>
      </c>
      <c r="F2" s="165" t="s">
        <v>2187</v>
      </c>
      <c r="G2" s="13" t="s">
        <v>89</v>
      </c>
      <c r="H2" s="12"/>
      <c r="I2" s="12" t="s">
        <v>47</v>
      </c>
      <c r="J2" s="31" t="s">
        <v>124</v>
      </c>
      <c r="K2" s="15" t="s">
        <v>97</v>
      </c>
      <c r="L2" s="15"/>
      <c r="M2" s="16">
        <v>34</v>
      </c>
      <c r="N2" s="15">
        <v>10200</v>
      </c>
      <c r="O2" s="15">
        <v>3000</v>
      </c>
      <c r="P2" s="15">
        <v>30600000</v>
      </c>
      <c r="Q2" s="18" t="s">
        <v>44</v>
      </c>
      <c r="R2" s="23">
        <v>43503</v>
      </c>
      <c r="S2" s="20">
        <v>43536</v>
      </c>
      <c r="T2" s="21">
        <v>43536</v>
      </c>
      <c r="U2" s="12" t="s">
        <v>98</v>
      </c>
      <c r="V2" s="18" t="s">
        <v>64</v>
      </c>
      <c r="W2" s="18"/>
      <c r="X2" s="12"/>
      <c r="Y2" s="206">
        <v>43537</v>
      </c>
      <c r="Z2" s="15">
        <v>5100</v>
      </c>
      <c r="AA2" s="206">
        <v>43550</v>
      </c>
      <c r="AB2" s="12" t="s">
        <v>1604</v>
      </c>
      <c r="AC2" s="12"/>
      <c r="AD2" s="12"/>
      <c r="AE2" s="245"/>
      <c r="AF2" s="12"/>
      <c r="AG2" s="15">
        <v>10200</v>
      </c>
      <c r="AH2" s="22">
        <v>0</v>
      </c>
      <c r="AI2" s="22">
        <v>0</v>
      </c>
      <c r="AJ2" s="165"/>
    </row>
    <row r="3" spans="1:36">
      <c r="A3" s="165" t="s">
        <v>1635</v>
      </c>
      <c r="B3" s="13">
        <v>43471</v>
      </c>
      <c r="C3" s="13" t="s">
        <v>1622</v>
      </c>
      <c r="D3" s="165" t="s">
        <v>1240</v>
      </c>
      <c r="E3" s="165" t="s">
        <v>1241</v>
      </c>
      <c r="F3" s="165" t="s">
        <v>2124</v>
      </c>
      <c r="G3" s="165" t="s">
        <v>138</v>
      </c>
      <c r="H3" s="12"/>
      <c r="I3" s="12" t="s">
        <v>113</v>
      </c>
      <c r="J3" s="14">
        <v>400</v>
      </c>
      <c r="K3" s="15" t="s">
        <v>97</v>
      </c>
      <c r="L3" s="15"/>
      <c r="M3" s="16">
        <v>115</v>
      </c>
      <c r="N3" s="15">
        <v>46000</v>
      </c>
      <c r="O3" s="15">
        <v>2000</v>
      </c>
      <c r="P3" s="15">
        <v>92000000</v>
      </c>
      <c r="Q3" s="18" t="s">
        <v>44</v>
      </c>
      <c r="R3" s="117">
        <v>43511</v>
      </c>
      <c r="S3" s="20">
        <v>43544</v>
      </c>
      <c r="T3" s="21">
        <v>43544</v>
      </c>
      <c r="U3" s="12" t="s">
        <v>32</v>
      </c>
      <c r="V3" s="18" t="s">
        <v>39</v>
      </c>
      <c r="W3" s="18"/>
      <c r="X3" s="18"/>
      <c r="Y3" s="210">
        <v>43544</v>
      </c>
      <c r="Z3" s="15">
        <v>26000</v>
      </c>
      <c r="AA3" s="210">
        <v>43546</v>
      </c>
      <c r="AB3" s="15">
        <v>20000</v>
      </c>
      <c r="AC3" s="15"/>
      <c r="AD3" s="15"/>
      <c r="AE3" s="244"/>
      <c r="AF3" s="15"/>
      <c r="AG3" s="15">
        <v>46000</v>
      </c>
      <c r="AH3" s="22">
        <v>0</v>
      </c>
      <c r="AI3" s="22">
        <v>0</v>
      </c>
      <c r="AJ3" s="13">
        <v>43827</v>
      </c>
    </row>
    <row r="4" spans="1:36">
      <c r="A4" s="165" t="s">
        <v>1635</v>
      </c>
      <c r="B4" s="13">
        <v>43471</v>
      </c>
      <c r="C4" s="13" t="s">
        <v>1622</v>
      </c>
      <c r="D4" s="165" t="s">
        <v>1240</v>
      </c>
      <c r="E4" s="165" t="s">
        <v>1241</v>
      </c>
      <c r="F4" s="165" t="s">
        <v>2083</v>
      </c>
      <c r="G4" s="165" t="s">
        <v>470</v>
      </c>
      <c r="H4" s="12"/>
      <c r="I4" s="12" t="s">
        <v>35</v>
      </c>
      <c r="J4" s="14">
        <v>200</v>
      </c>
      <c r="K4" s="15" t="s">
        <v>97</v>
      </c>
      <c r="L4" s="15"/>
      <c r="M4" s="16">
        <v>46</v>
      </c>
      <c r="N4" s="15">
        <v>9200</v>
      </c>
      <c r="O4" s="15">
        <v>3000</v>
      </c>
      <c r="P4" s="15">
        <v>27600000</v>
      </c>
      <c r="Q4" s="18" t="s">
        <v>44</v>
      </c>
      <c r="R4" s="117">
        <v>43503</v>
      </c>
      <c r="S4" s="20">
        <v>43536</v>
      </c>
      <c r="T4" s="21">
        <v>43536</v>
      </c>
      <c r="U4" s="12" t="s">
        <v>146</v>
      </c>
      <c r="V4" s="18"/>
      <c r="W4" s="18"/>
      <c r="X4" s="18"/>
      <c r="Y4" s="210">
        <v>43543</v>
      </c>
      <c r="Z4" s="15">
        <v>9200</v>
      </c>
      <c r="AA4" s="210"/>
      <c r="AB4" s="15"/>
      <c r="AC4" s="15"/>
      <c r="AD4" s="15"/>
      <c r="AE4" s="244"/>
      <c r="AF4" s="15"/>
      <c r="AG4" s="15">
        <v>9200</v>
      </c>
      <c r="AH4" s="22">
        <v>0</v>
      </c>
      <c r="AI4" s="22">
        <v>0</v>
      </c>
      <c r="AJ4" s="13">
        <v>43826</v>
      </c>
    </row>
    <row r="5" spans="1:36">
      <c r="A5" s="165" t="s">
        <v>1649</v>
      </c>
      <c r="B5" s="13">
        <v>43470</v>
      </c>
      <c r="C5" s="13" t="s">
        <v>1622</v>
      </c>
      <c r="D5" s="165" t="s">
        <v>910</v>
      </c>
      <c r="E5" s="165" t="s">
        <v>911</v>
      </c>
      <c r="F5" s="165" t="s">
        <v>2189</v>
      </c>
      <c r="G5" s="165" t="s">
        <v>89</v>
      </c>
      <c r="H5" s="12"/>
      <c r="I5" s="12" t="s">
        <v>35</v>
      </c>
      <c r="J5" s="14">
        <v>200</v>
      </c>
      <c r="K5" s="15" t="s">
        <v>97</v>
      </c>
      <c r="L5" s="15"/>
      <c r="M5" s="16">
        <v>15</v>
      </c>
      <c r="N5" s="15">
        <v>3000</v>
      </c>
      <c r="O5" s="15">
        <v>3800</v>
      </c>
      <c r="P5" s="15">
        <v>11400000</v>
      </c>
      <c r="Q5" s="18" t="s">
        <v>44</v>
      </c>
      <c r="R5" s="117">
        <v>43476</v>
      </c>
      <c r="S5" s="20">
        <v>43511</v>
      </c>
      <c r="T5" s="21">
        <v>43511</v>
      </c>
      <c r="U5" s="12" t="s">
        <v>1651</v>
      </c>
      <c r="V5" s="18"/>
      <c r="W5" s="18"/>
      <c r="X5" s="18"/>
      <c r="Y5" s="210">
        <v>43530</v>
      </c>
      <c r="Z5" s="15">
        <v>3000</v>
      </c>
      <c r="AA5" s="210"/>
      <c r="AB5" s="15"/>
      <c r="AC5" s="15"/>
      <c r="AD5" s="15"/>
      <c r="AE5" s="244"/>
      <c r="AF5" s="15"/>
      <c r="AG5" s="15">
        <v>3000</v>
      </c>
      <c r="AH5" s="22">
        <v>0</v>
      </c>
      <c r="AI5" s="22">
        <v>0</v>
      </c>
      <c r="AJ5" s="13">
        <v>43831</v>
      </c>
    </row>
    <row r="6" spans="1:36">
      <c r="A6" s="165" t="s">
        <v>2361</v>
      </c>
      <c r="B6" s="13">
        <v>43515</v>
      </c>
      <c r="C6" s="13" t="s">
        <v>1622</v>
      </c>
      <c r="D6" s="165" t="s">
        <v>709</v>
      </c>
      <c r="E6" s="165" t="s">
        <v>710</v>
      </c>
      <c r="F6" s="165" t="s">
        <v>2184</v>
      </c>
      <c r="G6" s="165" t="s">
        <v>1658</v>
      </c>
      <c r="H6" s="12"/>
      <c r="I6" s="12" t="s">
        <v>27</v>
      </c>
      <c r="J6" s="14">
        <v>150</v>
      </c>
      <c r="K6" s="15" t="s">
        <v>97</v>
      </c>
      <c r="L6" s="15"/>
      <c r="M6" s="16">
        <v>103</v>
      </c>
      <c r="N6" s="15">
        <v>15450</v>
      </c>
      <c r="O6" s="15">
        <v>4000</v>
      </c>
      <c r="P6" s="15">
        <v>61800000</v>
      </c>
      <c r="Q6" s="18" t="s">
        <v>44</v>
      </c>
      <c r="R6" s="23">
        <v>43503</v>
      </c>
      <c r="S6" s="20">
        <v>43536</v>
      </c>
      <c r="T6" s="21">
        <v>43536</v>
      </c>
      <c r="U6" s="20"/>
      <c r="V6" s="18"/>
      <c r="W6" s="18"/>
      <c r="X6" s="18"/>
      <c r="Y6" s="210"/>
      <c r="Z6" s="15">
        <v>0</v>
      </c>
      <c r="AA6" s="210"/>
      <c r="AB6" s="15"/>
      <c r="AC6" s="15"/>
      <c r="AD6" s="15"/>
      <c r="AE6" s="244"/>
      <c r="AF6" s="15"/>
      <c r="AG6" s="15">
        <v>0</v>
      </c>
      <c r="AH6" s="22">
        <v>15450</v>
      </c>
      <c r="AI6" s="22">
        <v>61800000</v>
      </c>
      <c r="AJ6" s="13"/>
    </row>
    <row r="7" spans="1:36">
      <c r="A7" s="165" t="s">
        <v>2361</v>
      </c>
      <c r="B7" s="13">
        <v>43515</v>
      </c>
      <c r="C7" s="13" t="s">
        <v>1622</v>
      </c>
      <c r="D7" s="165" t="s">
        <v>709</v>
      </c>
      <c r="E7" s="165" t="s">
        <v>710</v>
      </c>
      <c r="F7" s="165" t="s">
        <v>2185</v>
      </c>
      <c r="G7" s="165" t="s">
        <v>1658</v>
      </c>
      <c r="H7" s="12"/>
      <c r="I7" s="12" t="s">
        <v>74</v>
      </c>
      <c r="J7" s="14">
        <v>125</v>
      </c>
      <c r="K7" s="15" t="s">
        <v>97</v>
      </c>
      <c r="L7" s="15"/>
      <c r="M7" s="16">
        <v>17</v>
      </c>
      <c r="N7" s="15">
        <v>2125</v>
      </c>
      <c r="O7" s="15">
        <v>4000</v>
      </c>
      <c r="P7" s="15">
        <v>8500000</v>
      </c>
      <c r="Q7" s="18" t="s">
        <v>44</v>
      </c>
      <c r="R7" s="23">
        <v>43503</v>
      </c>
      <c r="S7" s="20">
        <v>43536</v>
      </c>
      <c r="T7" s="21">
        <v>43536</v>
      </c>
      <c r="U7" s="12"/>
      <c r="V7" s="18"/>
      <c r="W7" s="18"/>
      <c r="X7" s="18"/>
      <c r="Y7" s="210"/>
      <c r="Z7" s="15">
        <v>0</v>
      </c>
      <c r="AA7" s="210"/>
      <c r="AB7" s="15"/>
      <c r="AC7" s="15"/>
      <c r="AD7" s="15"/>
      <c r="AE7" s="244"/>
      <c r="AF7" s="15"/>
      <c r="AG7" s="15">
        <v>0</v>
      </c>
      <c r="AH7" s="22">
        <v>2125</v>
      </c>
      <c r="AI7" s="22">
        <v>8500000</v>
      </c>
      <c r="AJ7" s="13">
        <v>43836</v>
      </c>
    </row>
    <row r="8" spans="1:36">
      <c r="A8" s="165" t="s">
        <v>488</v>
      </c>
      <c r="B8" s="13">
        <v>43551</v>
      </c>
      <c r="C8" s="13" t="s">
        <v>23</v>
      </c>
      <c r="D8" s="165" t="s">
        <v>225</v>
      </c>
      <c r="E8" s="13" t="s">
        <v>226</v>
      </c>
      <c r="F8" s="165" t="s">
        <v>2187</v>
      </c>
      <c r="G8" s="165" t="s">
        <v>89</v>
      </c>
      <c r="H8" s="12"/>
      <c r="I8" s="24" t="s">
        <v>47</v>
      </c>
      <c r="J8" s="31" t="s">
        <v>124</v>
      </c>
      <c r="K8" s="15" t="s">
        <v>97</v>
      </c>
      <c r="L8" s="15"/>
      <c r="M8" s="16">
        <v>0</v>
      </c>
      <c r="N8" s="15">
        <v>0</v>
      </c>
      <c r="O8" s="15">
        <v>10200</v>
      </c>
      <c r="P8" s="15">
        <v>0</v>
      </c>
      <c r="Q8" s="18" t="s">
        <v>71</v>
      </c>
      <c r="R8" s="23">
        <v>43503</v>
      </c>
      <c r="S8" s="20">
        <v>43536</v>
      </c>
      <c r="T8" s="21">
        <v>43536</v>
      </c>
      <c r="U8" s="12" t="s">
        <v>98</v>
      </c>
      <c r="V8" s="18" t="s">
        <v>64</v>
      </c>
      <c r="W8" s="18"/>
      <c r="X8" s="12"/>
      <c r="Y8" s="206"/>
      <c r="Z8" s="15"/>
      <c r="AA8" s="206"/>
      <c r="AB8" s="12"/>
      <c r="AC8" s="206"/>
      <c r="AD8" s="12"/>
      <c r="AE8" s="245"/>
      <c r="AF8" s="12"/>
      <c r="AG8" s="15">
        <v>0</v>
      </c>
      <c r="AH8" s="22">
        <v>0</v>
      </c>
      <c r="AI8" s="22">
        <v>0</v>
      </c>
      <c r="AJ8" s="165"/>
    </row>
    <row r="9" spans="1:36">
      <c r="A9" s="165" t="s">
        <v>488</v>
      </c>
      <c r="B9" s="13">
        <v>43551</v>
      </c>
      <c r="C9" s="13" t="s">
        <v>23</v>
      </c>
      <c r="D9" s="165" t="s">
        <v>225</v>
      </c>
      <c r="E9" s="13" t="s">
        <v>226</v>
      </c>
      <c r="F9" s="165" t="s">
        <v>2152</v>
      </c>
      <c r="G9" s="165" t="s">
        <v>227</v>
      </c>
      <c r="H9" s="12"/>
      <c r="I9" s="24" t="s">
        <v>47</v>
      </c>
      <c r="J9" s="31" t="s">
        <v>124</v>
      </c>
      <c r="K9" s="15" t="s">
        <v>97</v>
      </c>
      <c r="L9" s="15"/>
      <c r="M9" s="16">
        <v>17</v>
      </c>
      <c r="N9" s="15">
        <v>5100</v>
      </c>
      <c r="O9" s="15">
        <v>3600</v>
      </c>
      <c r="P9" s="15">
        <v>18360000</v>
      </c>
      <c r="Q9" s="18" t="s">
        <v>44</v>
      </c>
      <c r="R9" s="23"/>
      <c r="S9" s="20" t="s">
        <v>2403</v>
      </c>
      <c r="T9" s="21" t="s">
        <v>2403</v>
      </c>
      <c r="U9" s="12"/>
      <c r="V9" s="18"/>
      <c r="W9" s="18"/>
      <c r="X9" s="12"/>
      <c r="Y9" s="206">
        <v>43558</v>
      </c>
      <c r="Z9" s="15">
        <v>5100</v>
      </c>
      <c r="AA9" s="206"/>
      <c r="AB9" s="12"/>
      <c r="AC9" s="206"/>
      <c r="AD9" s="12"/>
      <c r="AE9" s="245"/>
      <c r="AF9" s="12"/>
      <c r="AG9" s="15">
        <v>5100</v>
      </c>
      <c r="AH9" s="22">
        <v>0</v>
      </c>
      <c r="AI9" s="22">
        <v>0</v>
      </c>
      <c r="AJ9" s="165"/>
    </row>
    <row r="10" spans="1:36">
      <c r="A10" s="165" t="s">
        <v>488</v>
      </c>
      <c r="B10" s="13">
        <v>43551</v>
      </c>
      <c r="C10" s="13" t="s">
        <v>23</v>
      </c>
      <c r="D10" s="165" t="s">
        <v>225</v>
      </c>
      <c r="E10" s="13" t="s">
        <v>226</v>
      </c>
      <c r="F10" s="165" t="s">
        <v>2085</v>
      </c>
      <c r="G10" s="165" t="s">
        <v>154</v>
      </c>
      <c r="H10" s="12"/>
      <c r="I10" s="24" t="s">
        <v>47</v>
      </c>
      <c r="J10" s="31" t="s">
        <v>124</v>
      </c>
      <c r="K10" s="15" t="s">
        <v>97</v>
      </c>
      <c r="L10" s="15"/>
      <c r="M10" s="16">
        <v>20</v>
      </c>
      <c r="N10" s="15">
        <v>6000</v>
      </c>
      <c r="O10" s="15">
        <v>4700</v>
      </c>
      <c r="P10" s="15">
        <v>28200000</v>
      </c>
      <c r="Q10" s="18" t="s">
        <v>44</v>
      </c>
      <c r="R10" s="23" t="s">
        <v>500</v>
      </c>
      <c r="S10" s="20" t="s">
        <v>2403</v>
      </c>
      <c r="T10" s="21" t="s">
        <v>2403</v>
      </c>
      <c r="U10" s="12" t="s">
        <v>32</v>
      </c>
      <c r="V10" s="18"/>
      <c r="W10" s="18"/>
      <c r="X10" s="12"/>
      <c r="Y10" s="206">
        <v>43558</v>
      </c>
      <c r="Z10" s="15">
        <v>6000</v>
      </c>
      <c r="AA10" s="206"/>
      <c r="AB10" s="12"/>
      <c r="AC10" s="206"/>
      <c r="AD10" s="12"/>
      <c r="AE10" s="245"/>
      <c r="AF10" s="12"/>
      <c r="AG10" s="15">
        <v>6000</v>
      </c>
      <c r="AH10" s="22">
        <v>0</v>
      </c>
      <c r="AI10" s="22">
        <v>0</v>
      </c>
      <c r="AJ10" s="165"/>
    </row>
    <row r="11" spans="1:36">
      <c r="A11" s="165" t="s">
        <v>492</v>
      </c>
      <c r="B11" s="13">
        <v>43480</v>
      </c>
      <c r="C11" s="13" t="s">
        <v>23</v>
      </c>
      <c r="D11" s="165" t="s">
        <v>281</v>
      </c>
      <c r="E11" s="165" t="s">
        <v>282</v>
      </c>
      <c r="F11" s="165" t="s">
        <v>2189</v>
      </c>
      <c r="G11" s="165" t="s">
        <v>89</v>
      </c>
      <c r="H11" s="12"/>
      <c r="I11" s="12" t="s">
        <v>35</v>
      </c>
      <c r="J11" s="14">
        <v>200</v>
      </c>
      <c r="K11" s="15" t="s">
        <v>97</v>
      </c>
      <c r="L11" s="15"/>
      <c r="M11" s="16">
        <v>25</v>
      </c>
      <c r="N11" s="15">
        <v>5000</v>
      </c>
      <c r="O11" s="15">
        <v>3800</v>
      </c>
      <c r="P11" s="15">
        <v>19000000</v>
      </c>
      <c r="Q11" s="18" t="s">
        <v>44</v>
      </c>
      <c r="R11" s="23">
        <v>43480</v>
      </c>
      <c r="S11" s="20">
        <v>43515</v>
      </c>
      <c r="T11" s="21">
        <v>43515</v>
      </c>
      <c r="U11" s="20" t="s">
        <v>45</v>
      </c>
      <c r="V11" s="18"/>
      <c r="W11" s="18"/>
      <c r="X11" s="15"/>
      <c r="Y11" s="206">
        <v>43533</v>
      </c>
      <c r="Z11" s="15">
        <v>5000</v>
      </c>
      <c r="AA11" s="206"/>
      <c r="AB11" s="15"/>
      <c r="AC11" s="206"/>
      <c r="AD11" s="15"/>
      <c r="AE11" s="244"/>
      <c r="AF11" s="15"/>
      <c r="AG11" s="15">
        <v>5000</v>
      </c>
      <c r="AH11" s="22">
        <v>0</v>
      </c>
      <c r="AI11" s="22">
        <v>0</v>
      </c>
      <c r="AJ11" s="165"/>
    </row>
    <row r="12" spans="1:36">
      <c r="A12" s="165" t="s">
        <v>339</v>
      </c>
      <c r="B12" s="13">
        <v>43480</v>
      </c>
      <c r="C12" s="13" t="s">
        <v>23</v>
      </c>
      <c r="D12" s="165" t="s">
        <v>252</v>
      </c>
      <c r="E12" s="165" t="s">
        <v>253</v>
      </c>
      <c r="F12" s="165" t="s">
        <v>2187</v>
      </c>
      <c r="G12" s="165" t="s">
        <v>89</v>
      </c>
      <c r="H12" s="12"/>
      <c r="I12" s="12" t="s">
        <v>47</v>
      </c>
      <c r="J12" s="14">
        <v>300</v>
      </c>
      <c r="K12" s="15" t="s">
        <v>97</v>
      </c>
      <c r="L12" s="15"/>
      <c r="M12" s="16">
        <v>18</v>
      </c>
      <c r="N12" s="15">
        <v>5400</v>
      </c>
      <c r="O12" s="15">
        <v>3000</v>
      </c>
      <c r="P12" s="15">
        <v>16200000</v>
      </c>
      <c r="Q12" s="18" t="s">
        <v>44</v>
      </c>
      <c r="R12" s="19">
        <v>43503</v>
      </c>
      <c r="S12" s="20">
        <v>43536</v>
      </c>
      <c r="T12" s="21">
        <v>43536</v>
      </c>
      <c r="U12" s="20"/>
      <c r="V12" s="18" t="s">
        <v>64</v>
      </c>
      <c r="W12" s="18"/>
      <c r="X12" s="15"/>
      <c r="Y12" s="206">
        <v>43536</v>
      </c>
      <c r="Z12" s="15">
        <v>2100</v>
      </c>
      <c r="AA12" s="206">
        <v>43540</v>
      </c>
      <c r="AB12" s="15">
        <v>300</v>
      </c>
      <c r="AC12" s="206">
        <v>43549</v>
      </c>
      <c r="AD12" s="15">
        <v>3000</v>
      </c>
      <c r="AE12" s="244"/>
      <c r="AF12" s="15"/>
      <c r="AG12" s="15">
        <v>5400</v>
      </c>
      <c r="AH12" s="22">
        <v>0</v>
      </c>
      <c r="AI12" s="22">
        <v>0</v>
      </c>
      <c r="AJ12" s="165"/>
    </row>
    <row r="13" spans="1:36">
      <c r="A13" s="165" t="s">
        <v>339</v>
      </c>
      <c r="B13" s="13">
        <v>43480</v>
      </c>
      <c r="C13" s="13" t="s">
        <v>23</v>
      </c>
      <c r="D13" s="165" t="s">
        <v>252</v>
      </c>
      <c r="E13" s="165" t="s">
        <v>253</v>
      </c>
      <c r="F13" s="165" t="s">
        <v>2189</v>
      </c>
      <c r="G13" s="165" t="s">
        <v>89</v>
      </c>
      <c r="H13" s="12"/>
      <c r="I13" s="12" t="s">
        <v>35</v>
      </c>
      <c r="J13" s="14">
        <v>200</v>
      </c>
      <c r="K13" s="15" t="s">
        <v>97</v>
      </c>
      <c r="L13" s="15"/>
      <c r="M13" s="16">
        <v>10</v>
      </c>
      <c r="N13" s="15">
        <v>2000</v>
      </c>
      <c r="O13" s="15">
        <v>3800</v>
      </c>
      <c r="P13" s="15">
        <v>7600000</v>
      </c>
      <c r="Q13" s="18" t="s">
        <v>44</v>
      </c>
      <c r="R13" s="19"/>
      <c r="S13" s="20" t="s">
        <v>2403</v>
      </c>
      <c r="T13" s="21" t="s">
        <v>2403</v>
      </c>
      <c r="U13" s="20"/>
      <c r="V13" s="18"/>
      <c r="W13" s="18"/>
      <c r="X13" s="15"/>
      <c r="Y13" s="206">
        <v>43526</v>
      </c>
      <c r="Z13" s="15">
        <v>1000</v>
      </c>
      <c r="AA13" s="206">
        <v>43536</v>
      </c>
      <c r="AB13" s="15">
        <v>1000</v>
      </c>
      <c r="AC13" s="206"/>
      <c r="AD13" s="15"/>
      <c r="AE13" s="244"/>
      <c r="AF13" s="15"/>
      <c r="AG13" s="15">
        <v>2000</v>
      </c>
      <c r="AH13" s="22">
        <v>0</v>
      </c>
      <c r="AI13" s="22">
        <v>0</v>
      </c>
      <c r="AJ13" s="165"/>
    </row>
    <row r="14" spans="1:36">
      <c r="A14" s="165" t="s">
        <v>1363</v>
      </c>
      <c r="B14" s="13">
        <v>43563</v>
      </c>
      <c r="C14" s="13" t="s">
        <v>23</v>
      </c>
      <c r="D14" s="165" t="s">
        <v>466</v>
      </c>
      <c r="E14" s="13" t="s">
        <v>465</v>
      </c>
      <c r="F14" s="165" t="s">
        <v>2124</v>
      </c>
      <c r="G14" s="13" t="s">
        <v>138</v>
      </c>
      <c r="H14" s="12"/>
      <c r="I14" s="12" t="s">
        <v>113</v>
      </c>
      <c r="J14" s="14">
        <v>400</v>
      </c>
      <c r="K14" s="15" t="s">
        <v>97</v>
      </c>
      <c r="L14" s="15"/>
      <c r="M14" s="16">
        <v>75</v>
      </c>
      <c r="N14" s="15">
        <v>30000</v>
      </c>
      <c r="O14" s="15">
        <v>2000</v>
      </c>
      <c r="P14" s="15">
        <v>60000000</v>
      </c>
      <c r="Q14" s="18" t="s">
        <v>44</v>
      </c>
      <c r="R14" s="117">
        <v>43511</v>
      </c>
      <c r="S14" s="20">
        <v>43544</v>
      </c>
      <c r="T14" s="21">
        <v>43544</v>
      </c>
      <c r="U14" s="12" t="s">
        <v>32</v>
      </c>
      <c r="V14" s="18"/>
      <c r="W14" s="18"/>
      <c r="X14" s="15"/>
      <c r="Y14" s="206">
        <v>43564</v>
      </c>
      <c r="Z14" s="15">
        <v>30000</v>
      </c>
      <c r="AA14" s="206"/>
      <c r="AB14" s="15"/>
      <c r="AC14" s="206"/>
      <c r="AD14" s="15"/>
      <c r="AE14" s="244"/>
      <c r="AF14" s="15"/>
      <c r="AG14" s="15">
        <v>30000</v>
      </c>
      <c r="AH14" s="22">
        <v>0</v>
      </c>
      <c r="AI14" s="22">
        <v>0</v>
      </c>
      <c r="AJ14" s="165"/>
    </row>
    <row r="15" spans="1:36">
      <c r="A15" s="165" t="s">
        <v>468</v>
      </c>
      <c r="B15" s="13">
        <v>43531</v>
      </c>
      <c r="C15" s="13" t="s">
        <v>23</v>
      </c>
      <c r="D15" s="165" t="s">
        <v>466</v>
      </c>
      <c r="E15" s="13" t="s">
        <v>465</v>
      </c>
      <c r="F15" s="165" t="s">
        <v>2124</v>
      </c>
      <c r="G15" s="13" t="s">
        <v>138</v>
      </c>
      <c r="H15" s="12"/>
      <c r="I15" s="12" t="s">
        <v>113</v>
      </c>
      <c r="J15" s="14">
        <v>400</v>
      </c>
      <c r="K15" s="15" t="s">
        <v>97</v>
      </c>
      <c r="L15" s="15"/>
      <c r="M15" s="16">
        <v>25</v>
      </c>
      <c r="N15" s="15">
        <v>10000</v>
      </c>
      <c r="O15" s="15">
        <v>2000</v>
      </c>
      <c r="P15" s="15">
        <v>20000000</v>
      </c>
      <c r="Q15" s="18" t="s">
        <v>44</v>
      </c>
      <c r="R15" s="117">
        <v>43511</v>
      </c>
      <c r="S15" s="20">
        <v>43544</v>
      </c>
      <c r="T15" s="21">
        <v>43544</v>
      </c>
      <c r="U15" s="12" t="s">
        <v>32</v>
      </c>
      <c r="V15" s="18" t="s">
        <v>39</v>
      </c>
      <c r="W15" s="18">
        <v>43543</v>
      </c>
      <c r="X15" s="15" t="s">
        <v>59</v>
      </c>
      <c r="Y15" s="206">
        <v>43543</v>
      </c>
      <c r="Z15" s="15">
        <v>10000</v>
      </c>
      <c r="AA15" s="206"/>
      <c r="AB15" s="15"/>
      <c r="AC15" s="206"/>
      <c r="AD15" s="15"/>
      <c r="AE15" s="244"/>
      <c r="AF15" s="15"/>
      <c r="AG15" s="15">
        <v>10000</v>
      </c>
      <c r="AH15" s="22">
        <v>0</v>
      </c>
      <c r="AI15" s="22">
        <v>0</v>
      </c>
      <c r="AJ15" s="165"/>
    </row>
    <row r="16" spans="1:36">
      <c r="A16" s="165" t="s">
        <v>468</v>
      </c>
      <c r="B16" s="13">
        <v>43531</v>
      </c>
      <c r="C16" s="13" t="s">
        <v>23</v>
      </c>
      <c r="D16" s="165" t="s">
        <v>466</v>
      </c>
      <c r="E16" s="13" t="s">
        <v>465</v>
      </c>
      <c r="F16" s="165" t="s">
        <v>2083</v>
      </c>
      <c r="G16" s="13" t="s">
        <v>470</v>
      </c>
      <c r="H16" s="12"/>
      <c r="I16" s="12" t="s">
        <v>35</v>
      </c>
      <c r="J16" s="14">
        <v>200</v>
      </c>
      <c r="K16" s="15" t="s">
        <v>97</v>
      </c>
      <c r="L16" s="15"/>
      <c r="M16" s="16">
        <v>50</v>
      </c>
      <c r="N16" s="15">
        <v>10000</v>
      </c>
      <c r="O16" s="15">
        <v>3300</v>
      </c>
      <c r="P16" s="15">
        <v>33000000</v>
      </c>
      <c r="Q16" s="18" t="s">
        <v>44</v>
      </c>
      <c r="R16" s="117">
        <v>43503</v>
      </c>
      <c r="S16" s="20">
        <v>43536</v>
      </c>
      <c r="T16" s="21">
        <v>43536</v>
      </c>
      <c r="U16" s="12" t="s">
        <v>146</v>
      </c>
      <c r="V16" s="18"/>
      <c r="W16" s="18"/>
      <c r="X16" s="15" t="s">
        <v>59</v>
      </c>
      <c r="Y16" s="206">
        <v>43536</v>
      </c>
      <c r="Z16" s="15">
        <v>10000</v>
      </c>
      <c r="AA16" s="206"/>
      <c r="AB16" s="15"/>
      <c r="AC16" s="206"/>
      <c r="AD16" s="15"/>
      <c r="AE16" s="244"/>
      <c r="AF16" s="15"/>
      <c r="AG16" s="15">
        <v>10000</v>
      </c>
      <c r="AH16" s="22">
        <v>0</v>
      </c>
      <c r="AI16" s="22">
        <v>0</v>
      </c>
      <c r="AJ16" s="165"/>
    </row>
    <row r="17" spans="1:36">
      <c r="A17" s="165" t="s">
        <v>1680</v>
      </c>
      <c r="B17" s="13">
        <v>43508</v>
      </c>
      <c r="C17" s="13" t="s">
        <v>1622</v>
      </c>
      <c r="D17" s="165" t="s">
        <v>1213</v>
      </c>
      <c r="E17" s="165" t="s">
        <v>1214</v>
      </c>
      <c r="F17" s="165" t="s">
        <v>2189</v>
      </c>
      <c r="G17" s="165" t="s">
        <v>89</v>
      </c>
      <c r="H17" s="12"/>
      <c r="I17" s="12" t="s">
        <v>35</v>
      </c>
      <c r="J17" s="14">
        <v>200</v>
      </c>
      <c r="K17" s="15" t="s">
        <v>97</v>
      </c>
      <c r="L17" s="15"/>
      <c r="M17" s="16">
        <v>25</v>
      </c>
      <c r="N17" s="15">
        <v>5000</v>
      </c>
      <c r="O17" s="15">
        <v>3800</v>
      </c>
      <c r="P17" s="15">
        <v>19000000</v>
      </c>
      <c r="Q17" s="18" t="s">
        <v>44</v>
      </c>
      <c r="R17" s="117">
        <v>43498</v>
      </c>
      <c r="S17" s="20">
        <v>43531</v>
      </c>
      <c r="T17" s="21">
        <v>43531</v>
      </c>
      <c r="U17" s="12" t="s">
        <v>179</v>
      </c>
      <c r="V17" s="18"/>
      <c r="W17" s="18"/>
      <c r="X17" s="18"/>
      <c r="Y17" s="210">
        <v>43530</v>
      </c>
      <c r="Z17" s="15">
        <v>5000</v>
      </c>
      <c r="AA17" s="210"/>
      <c r="AB17" s="15"/>
      <c r="AC17" s="15"/>
      <c r="AD17" s="15"/>
      <c r="AE17" s="244"/>
      <c r="AF17" s="15"/>
      <c r="AG17" s="15">
        <v>5000</v>
      </c>
      <c r="AH17" s="22">
        <v>0</v>
      </c>
      <c r="AI17" s="22">
        <v>0</v>
      </c>
      <c r="AJ17" s="13">
        <v>43835</v>
      </c>
    </row>
    <row r="18" spans="1:36">
      <c r="A18" s="165" t="s">
        <v>304</v>
      </c>
      <c r="B18" s="13">
        <v>43507</v>
      </c>
      <c r="C18" s="13" t="s">
        <v>23</v>
      </c>
      <c r="D18" s="165" t="s">
        <v>144</v>
      </c>
      <c r="E18" s="165" t="s">
        <v>145</v>
      </c>
      <c r="F18" s="165" t="s">
        <v>2142</v>
      </c>
      <c r="G18" s="165" t="s">
        <v>61</v>
      </c>
      <c r="H18" s="12"/>
      <c r="I18" s="12" t="s">
        <v>74</v>
      </c>
      <c r="J18" s="14">
        <v>125</v>
      </c>
      <c r="K18" s="15" t="s">
        <v>97</v>
      </c>
      <c r="L18" s="15"/>
      <c r="M18" s="16">
        <v>96</v>
      </c>
      <c r="N18" s="15">
        <v>12000</v>
      </c>
      <c r="O18" s="15">
        <v>6000</v>
      </c>
      <c r="P18" s="15">
        <v>72000000</v>
      </c>
      <c r="Q18" s="18" t="s">
        <v>44</v>
      </c>
      <c r="R18" s="23">
        <v>43503</v>
      </c>
      <c r="S18" s="20">
        <v>43536</v>
      </c>
      <c r="T18" s="21">
        <v>43536</v>
      </c>
      <c r="U18" s="12" t="s">
        <v>146</v>
      </c>
      <c r="V18" s="18" t="s">
        <v>64</v>
      </c>
      <c r="W18" s="18"/>
      <c r="X18" s="15" t="s">
        <v>59</v>
      </c>
      <c r="Y18" s="206">
        <v>43544</v>
      </c>
      <c r="Z18" s="15">
        <v>12000</v>
      </c>
      <c r="AA18" s="206"/>
      <c r="AB18" s="15"/>
      <c r="AC18" s="206"/>
      <c r="AD18" s="15"/>
      <c r="AE18" s="244"/>
      <c r="AF18" s="15"/>
      <c r="AG18" s="15">
        <v>12000</v>
      </c>
      <c r="AH18" s="22">
        <v>0</v>
      </c>
      <c r="AI18" s="22">
        <v>0</v>
      </c>
      <c r="AJ18" s="165"/>
    </row>
    <row r="19" spans="1:36">
      <c r="A19" s="165" t="s">
        <v>1700</v>
      </c>
      <c r="B19" s="13">
        <v>43509</v>
      </c>
      <c r="C19" s="13" t="s">
        <v>1622</v>
      </c>
      <c r="D19" s="165" t="s">
        <v>1029</v>
      </c>
      <c r="E19" s="165" t="s">
        <v>1030</v>
      </c>
      <c r="F19" s="165" t="s">
        <v>2187</v>
      </c>
      <c r="G19" s="165" t="s">
        <v>89</v>
      </c>
      <c r="H19" s="12"/>
      <c r="I19" s="12" t="s">
        <v>47</v>
      </c>
      <c r="J19" s="14">
        <v>300</v>
      </c>
      <c r="K19" s="15" t="s">
        <v>97</v>
      </c>
      <c r="L19" s="15"/>
      <c r="M19" s="16">
        <v>17</v>
      </c>
      <c r="N19" s="15">
        <v>5100</v>
      </c>
      <c r="O19" s="15">
        <v>3000</v>
      </c>
      <c r="P19" s="15">
        <v>15300000</v>
      </c>
      <c r="Q19" s="18" t="s">
        <v>44</v>
      </c>
      <c r="R19" s="117">
        <v>43504</v>
      </c>
      <c r="S19" s="20">
        <v>43537</v>
      </c>
      <c r="T19" s="21">
        <v>43537</v>
      </c>
      <c r="U19" s="12" t="s">
        <v>98</v>
      </c>
      <c r="V19" s="18"/>
      <c r="W19" s="18"/>
      <c r="X19" s="18"/>
      <c r="Y19" s="210">
        <v>43545</v>
      </c>
      <c r="Z19" s="15">
        <v>5100</v>
      </c>
      <c r="AA19" s="210"/>
      <c r="AB19" s="15"/>
      <c r="AC19" s="15"/>
      <c r="AD19" s="15"/>
      <c r="AE19" s="244"/>
      <c r="AF19" s="15"/>
      <c r="AG19" s="15">
        <v>5100</v>
      </c>
      <c r="AH19" s="22">
        <v>0</v>
      </c>
      <c r="AI19" s="22">
        <v>0</v>
      </c>
      <c r="AJ19" s="13">
        <v>43870</v>
      </c>
    </row>
    <row r="20" spans="1:36">
      <c r="A20" s="165" t="s">
        <v>1712</v>
      </c>
      <c r="B20" s="13">
        <v>43470</v>
      </c>
      <c r="C20" s="13" t="s">
        <v>1622</v>
      </c>
      <c r="D20" s="165" t="s">
        <v>1088</v>
      </c>
      <c r="E20" s="165" t="s">
        <v>1086</v>
      </c>
      <c r="F20" s="165" t="s">
        <v>2124</v>
      </c>
      <c r="G20" s="165" t="s">
        <v>138</v>
      </c>
      <c r="H20" s="12"/>
      <c r="I20" s="12" t="s">
        <v>113</v>
      </c>
      <c r="J20" s="14">
        <v>400</v>
      </c>
      <c r="K20" s="15" t="s">
        <v>97</v>
      </c>
      <c r="L20" s="15"/>
      <c r="M20" s="16">
        <v>75</v>
      </c>
      <c r="N20" s="15">
        <v>30000</v>
      </c>
      <c r="O20" s="15">
        <v>2000</v>
      </c>
      <c r="P20" s="15">
        <v>60000000</v>
      </c>
      <c r="Q20" s="18" t="s">
        <v>44</v>
      </c>
      <c r="R20" s="117">
        <v>43511</v>
      </c>
      <c r="S20" s="20">
        <v>43544</v>
      </c>
      <c r="T20" s="21">
        <v>43544</v>
      </c>
      <c r="U20" s="12" t="s">
        <v>32</v>
      </c>
      <c r="V20" s="18" t="s">
        <v>39</v>
      </c>
      <c r="W20" s="18"/>
      <c r="X20" s="18"/>
      <c r="Y20" s="210">
        <v>43543</v>
      </c>
      <c r="Z20" s="15">
        <v>30000</v>
      </c>
      <c r="AA20" s="210"/>
      <c r="AB20" s="15"/>
      <c r="AC20" s="15"/>
      <c r="AD20" s="15"/>
      <c r="AE20" s="244"/>
      <c r="AF20" s="15"/>
      <c r="AG20" s="15">
        <v>30000</v>
      </c>
      <c r="AH20" s="22">
        <v>0</v>
      </c>
      <c r="AI20" s="22">
        <v>0</v>
      </c>
      <c r="AJ20" s="13">
        <v>43872</v>
      </c>
    </row>
    <row r="21" spans="1:36">
      <c r="A21" s="165" t="s">
        <v>1741</v>
      </c>
      <c r="B21" s="13">
        <v>43507</v>
      </c>
      <c r="C21" s="13" t="s">
        <v>1622</v>
      </c>
      <c r="D21" s="165" t="s">
        <v>1208</v>
      </c>
      <c r="E21" s="165" t="s">
        <v>1209</v>
      </c>
      <c r="F21" s="165" t="s">
        <v>2187</v>
      </c>
      <c r="G21" s="165" t="s">
        <v>89</v>
      </c>
      <c r="H21" s="12"/>
      <c r="I21" s="12" t="s">
        <v>47</v>
      </c>
      <c r="J21" s="14">
        <v>300</v>
      </c>
      <c r="K21" s="15" t="s">
        <v>97</v>
      </c>
      <c r="L21" s="15"/>
      <c r="M21" s="16">
        <v>26</v>
      </c>
      <c r="N21" s="15">
        <v>7800</v>
      </c>
      <c r="O21" s="15"/>
      <c r="P21" s="15">
        <v>0</v>
      </c>
      <c r="Q21" s="18" t="s">
        <v>44</v>
      </c>
      <c r="R21" s="117"/>
      <c r="S21" s="20" t="s">
        <v>2403</v>
      </c>
      <c r="T21" s="21" t="s">
        <v>2403</v>
      </c>
      <c r="U21" s="12"/>
      <c r="V21" s="18"/>
      <c r="W21" s="18"/>
      <c r="X21" s="18"/>
      <c r="Y21" s="210">
        <v>43557</v>
      </c>
      <c r="Z21" s="15">
        <v>7800</v>
      </c>
      <c r="AA21" s="210"/>
      <c r="AB21" s="15"/>
      <c r="AC21" s="15"/>
      <c r="AD21" s="15"/>
      <c r="AE21" s="244"/>
      <c r="AF21" s="15"/>
      <c r="AG21" s="15">
        <v>7800</v>
      </c>
      <c r="AH21" s="22">
        <v>0</v>
      </c>
      <c r="AI21" s="22">
        <v>0</v>
      </c>
      <c r="AJ21" s="13">
        <v>43874</v>
      </c>
    </row>
    <row r="22" spans="1:36">
      <c r="A22" s="165" t="s">
        <v>460</v>
      </c>
      <c r="B22" s="13">
        <v>43547</v>
      </c>
      <c r="C22" s="13" t="s">
        <v>23</v>
      </c>
      <c r="D22" s="165" t="s">
        <v>461</v>
      </c>
      <c r="E22" s="13" t="s">
        <v>462</v>
      </c>
      <c r="F22" s="165" t="s">
        <v>2187</v>
      </c>
      <c r="G22" s="13" t="s">
        <v>89</v>
      </c>
      <c r="H22" s="12"/>
      <c r="I22" s="12" t="s">
        <v>47</v>
      </c>
      <c r="J22" s="31" t="s">
        <v>124</v>
      </c>
      <c r="K22" s="15" t="s">
        <v>97</v>
      </c>
      <c r="L22" s="15"/>
      <c r="M22" s="16">
        <v>0</v>
      </c>
      <c r="N22" s="15">
        <v>0</v>
      </c>
      <c r="O22" s="15"/>
      <c r="P22" s="15">
        <v>0</v>
      </c>
      <c r="Q22" s="18" t="s">
        <v>71</v>
      </c>
      <c r="R22" s="23"/>
      <c r="S22" s="20" t="s">
        <v>2403</v>
      </c>
      <c r="T22" s="21" t="s">
        <v>2403</v>
      </c>
      <c r="U22" s="12"/>
      <c r="V22" s="18"/>
      <c r="W22" s="18"/>
      <c r="X22" s="12"/>
      <c r="Y22" s="206"/>
      <c r="Z22" s="15"/>
      <c r="AA22" s="206"/>
      <c r="AB22" s="12"/>
      <c r="AC22" s="206"/>
      <c r="AD22" s="12"/>
      <c r="AE22" s="245"/>
      <c r="AF22" s="12"/>
      <c r="AG22" s="15">
        <v>0</v>
      </c>
      <c r="AH22" s="22">
        <v>0</v>
      </c>
      <c r="AI22" s="22">
        <v>0</v>
      </c>
      <c r="AJ22" s="165"/>
    </row>
    <row r="23" spans="1:36">
      <c r="A23" s="165" t="s">
        <v>460</v>
      </c>
      <c r="B23" s="13">
        <v>43547</v>
      </c>
      <c r="C23" s="13" t="s">
        <v>23</v>
      </c>
      <c r="D23" s="165" t="s">
        <v>461</v>
      </c>
      <c r="E23" s="13" t="s">
        <v>462</v>
      </c>
      <c r="F23" s="165" t="s">
        <v>2189</v>
      </c>
      <c r="G23" s="13" t="s">
        <v>89</v>
      </c>
      <c r="H23" s="12"/>
      <c r="I23" s="12" t="s">
        <v>35</v>
      </c>
      <c r="J23" s="31" t="s">
        <v>121</v>
      </c>
      <c r="K23" s="15" t="s">
        <v>97</v>
      </c>
      <c r="L23" s="15"/>
      <c r="M23" s="16">
        <v>0</v>
      </c>
      <c r="N23" s="15">
        <v>0</v>
      </c>
      <c r="O23" s="15">
        <v>3500</v>
      </c>
      <c r="P23" s="15">
        <v>0</v>
      </c>
      <c r="Q23" s="18" t="s">
        <v>71</v>
      </c>
      <c r="R23" s="23"/>
      <c r="S23" s="20" t="s">
        <v>2403</v>
      </c>
      <c r="T23" s="21" t="s">
        <v>2403</v>
      </c>
      <c r="U23" s="12"/>
      <c r="V23" s="18"/>
      <c r="W23" s="18"/>
      <c r="X23" s="12"/>
      <c r="Y23" s="206"/>
      <c r="Z23" s="15"/>
      <c r="AA23" s="206"/>
      <c r="AB23" s="12"/>
      <c r="AC23" s="206"/>
      <c r="AD23" s="12"/>
      <c r="AE23" s="245"/>
      <c r="AF23" s="12"/>
      <c r="AG23" s="15">
        <v>0</v>
      </c>
      <c r="AH23" s="22">
        <v>0</v>
      </c>
      <c r="AI23" s="22">
        <v>0</v>
      </c>
      <c r="AJ23" s="165"/>
    </row>
    <row r="24" spans="1:36">
      <c r="A24" s="165" t="s">
        <v>460</v>
      </c>
      <c r="B24" s="13">
        <v>43547</v>
      </c>
      <c r="C24" s="13" t="s">
        <v>23</v>
      </c>
      <c r="D24" s="165" t="s">
        <v>461</v>
      </c>
      <c r="E24" s="13" t="s">
        <v>462</v>
      </c>
      <c r="F24" s="165" t="s">
        <v>2161</v>
      </c>
      <c r="G24" s="13" t="s">
        <v>96</v>
      </c>
      <c r="H24" s="12"/>
      <c r="I24" s="12" t="s">
        <v>35</v>
      </c>
      <c r="J24" s="31" t="s">
        <v>121</v>
      </c>
      <c r="K24" s="15" t="s">
        <v>97</v>
      </c>
      <c r="L24" s="15"/>
      <c r="M24" s="16">
        <v>6</v>
      </c>
      <c r="N24" s="15">
        <v>1200</v>
      </c>
      <c r="O24" s="15"/>
      <c r="P24" s="15">
        <v>0</v>
      </c>
      <c r="Q24" s="18" t="s">
        <v>44</v>
      </c>
      <c r="R24" s="23"/>
      <c r="S24" s="20" t="s">
        <v>2403</v>
      </c>
      <c r="T24" s="21" t="s">
        <v>2403</v>
      </c>
      <c r="U24" s="12"/>
      <c r="V24" s="18"/>
      <c r="W24" s="18"/>
      <c r="X24" s="12"/>
      <c r="Y24" s="206">
        <v>43577</v>
      </c>
      <c r="Z24" s="15">
        <v>1200</v>
      </c>
      <c r="AA24" s="206"/>
      <c r="AB24" s="12"/>
      <c r="AC24" s="206"/>
      <c r="AD24" s="12"/>
      <c r="AE24" s="245"/>
      <c r="AF24" s="12"/>
      <c r="AG24" s="15">
        <v>1200</v>
      </c>
      <c r="AH24" s="22">
        <v>0</v>
      </c>
      <c r="AI24" s="22">
        <v>0</v>
      </c>
      <c r="AJ24" s="165"/>
    </row>
    <row r="25" spans="1:36">
      <c r="A25" s="165" t="s">
        <v>460</v>
      </c>
      <c r="B25" s="13">
        <v>43547</v>
      </c>
      <c r="C25" s="13" t="s">
        <v>23</v>
      </c>
      <c r="D25" s="165" t="s">
        <v>461</v>
      </c>
      <c r="E25" s="13" t="s">
        <v>462</v>
      </c>
      <c r="F25" s="165" t="s">
        <v>2163</v>
      </c>
      <c r="G25" s="13" t="s">
        <v>96</v>
      </c>
      <c r="H25" s="12"/>
      <c r="I25" s="12" t="s">
        <v>27</v>
      </c>
      <c r="J25" s="31" t="s">
        <v>126</v>
      </c>
      <c r="K25" s="15" t="s">
        <v>97</v>
      </c>
      <c r="L25" s="15"/>
      <c r="M25" s="16">
        <v>41</v>
      </c>
      <c r="N25" s="15">
        <v>6150</v>
      </c>
      <c r="O25" s="15"/>
      <c r="P25" s="15">
        <v>0</v>
      </c>
      <c r="Q25" s="18" t="s">
        <v>44</v>
      </c>
      <c r="R25" s="23"/>
      <c r="S25" s="20" t="s">
        <v>2403</v>
      </c>
      <c r="T25" s="21" t="s">
        <v>2403</v>
      </c>
      <c r="U25" s="12"/>
      <c r="V25" s="18"/>
      <c r="W25" s="18"/>
      <c r="X25" s="12"/>
      <c r="Y25" s="206">
        <v>43577</v>
      </c>
      <c r="Z25" s="15">
        <v>6150</v>
      </c>
      <c r="AA25" s="206"/>
      <c r="AB25" s="12"/>
      <c r="AC25" s="206"/>
      <c r="AD25" s="12"/>
      <c r="AE25" s="245"/>
      <c r="AF25" s="12"/>
      <c r="AG25" s="15">
        <v>6150</v>
      </c>
      <c r="AH25" s="22">
        <v>0</v>
      </c>
      <c r="AI25" s="22">
        <v>0</v>
      </c>
      <c r="AJ25" s="165"/>
    </row>
    <row r="26" spans="1:36">
      <c r="A26" s="165" t="s">
        <v>1755</v>
      </c>
      <c r="B26" s="13">
        <v>43507</v>
      </c>
      <c r="C26" s="13" t="s">
        <v>1622</v>
      </c>
      <c r="D26" s="165" t="s">
        <v>1244</v>
      </c>
      <c r="E26" s="165" t="s">
        <v>1245</v>
      </c>
      <c r="F26" s="165" t="s">
        <v>2189</v>
      </c>
      <c r="G26" s="165" t="s">
        <v>89</v>
      </c>
      <c r="H26" s="12"/>
      <c r="I26" s="12" t="s">
        <v>35</v>
      </c>
      <c r="J26" s="14">
        <v>200</v>
      </c>
      <c r="K26" s="15" t="s">
        <v>97</v>
      </c>
      <c r="L26" s="15"/>
      <c r="M26" s="16">
        <v>10</v>
      </c>
      <c r="N26" s="15">
        <v>2000</v>
      </c>
      <c r="O26" s="15">
        <v>3800</v>
      </c>
      <c r="P26" s="15">
        <v>7600000</v>
      </c>
      <c r="Q26" s="18" t="s">
        <v>44</v>
      </c>
      <c r="R26" s="117">
        <v>43480</v>
      </c>
      <c r="S26" s="20">
        <v>43515</v>
      </c>
      <c r="T26" s="21">
        <v>43515</v>
      </c>
      <c r="U26" s="12" t="s">
        <v>45</v>
      </c>
      <c r="V26" s="18"/>
      <c r="W26" s="18"/>
      <c r="X26" s="18"/>
      <c r="Y26" s="210">
        <v>43528</v>
      </c>
      <c r="Z26" s="15">
        <v>2000</v>
      </c>
      <c r="AA26" s="210"/>
      <c r="AB26" s="15"/>
      <c r="AC26" s="15"/>
      <c r="AD26" s="15"/>
      <c r="AE26" s="244"/>
      <c r="AF26" s="15"/>
      <c r="AG26" s="15">
        <v>2000</v>
      </c>
      <c r="AH26" s="22">
        <v>0</v>
      </c>
      <c r="AI26" s="22">
        <v>0</v>
      </c>
      <c r="AJ26" s="13">
        <v>43882</v>
      </c>
    </row>
    <row r="27" spans="1:36">
      <c r="A27" s="165" t="s">
        <v>1755</v>
      </c>
      <c r="B27" s="13">
        <v>43507</v>
      </c>
      <c r="C27" s="13" t="s">
        <v>1622</v>
      </c>
      <c r="D27" s="165" t="s">
        <v>1244</v>
      </c>
      <c r="E27" s="165" t="s">
        <v>1245</v>
      </c>
      <c r="F27" s="165" t="s">
        <v>2189</v>
      </c>
      <c r="G27" s="165" t="s">
        <v>89</v>
      </c>
      <c r="H27" s="12"/>
      <c r="I27" s="12" t="s">
        <v>35</v>
      </c>
      <c r="J27" s="14">
        <v>200</v>
      </c>
      <c r="K27" s="15" t="s">
        <v>97</v>
      </c>
      <c r="L27" s="15"/>
      <c r="M27" s="16">
        <v>15</v>
      </c>
      <c r="N27" s="15">
        <v>3000</v>
      </c>
      <c r="O27" s="15">
        <v>3800</v>
      </c>
      <c r="P27" s="15">
        <v>11400000</v>
      </c>
      <c r="Q27" s="18" t="s">
        <v>44</v>
      </c>
      <c r="R27" s="117">
        <v>43480</v>
      </c>
      <c r="S27" s="20">
        <v>43515</v>
      </c>
      <c r="T27" s="21">
        <v>43515</v>
      </c>
      <c r="U27" s="12" t="s">
        <v>45</v>
      </c>
      <c r="V27" s="18"/>
      <c r="W27" s="18"/>
      <c r="X27" s="18"/>
      <c r="Y27" s="210">
        <v>43530</v>
      </c>
      <c r="Z27" s="15">
        <v>3000</v>
      </c>
      <c r="AA27" s="210"/>
      <c r="AB27" s="15"/>
      <c r="AC27" s="15"/>
      <c r="AD27" s="15"/>
      <c r="AE27" s="244"/>
      <c r="AF27" s="15"/>
      <c r="AG27" s="15">
        <v>3000</v>
      </c>
      <c r="AH27" s="22">
        <v>0</v>
      </c>
      <c r="AI27" s="22">
        <v>0</v>
      </c>
      <c r="AJ27" s="13">
        <v>43882</v>
      </c>
    </row>
    <row r="28" spans="1:36">
      <c r="A28" s="165" t="s">
        <v>299</v>
      </c>
      <c r="B28" s="13">
        <v>43509</v>
      </c>
      <c r="C28" s="13" t="s">
        <v>23</v>
      </c>
      <c r="D28" s="165" t="s">
        <v>99</v>
      </c>
      <c r="E28" s="165" t="s">
        <v>100</v>
      </c>
      <c r="F28" s="165" t="s">
        <v>2187</v>
      </c>
      <c r="G28" s="165" t="s">
        <v>89</v>
      </c>
      <c r="H28" s="12"/>
      <c r="I28" s="12" t="s">
        <v>47</v>
      </c>
      <c r="J28" s="14">
        <v>300</v>
      </c>
      <c r="K28" s="15" t="s">
        <v>97</v>
      </c>
      <c r="L28" s="15"/>
      <c r="M28" s="16">
        <v>84</v>
      </c>
      <c r="N28" s="15">
        <v>25200</v>
      </c>
      <c r="O28" s="15">
        <v>3000</v>
      </c>
      <c r="P28" s="15">
        <v>75600000</v>
      </c>
      <c r="Q28" s="18" t="s">
        <v>44</v>
      </c>
      <c r="R28" s="23">
        <v>43503</v>
      </c>
      <c r="S28" s="20">
        <v>43536</v>
      </c>
      <c r="T28" s="21">
        <v>43536</v>
      </c>
      <c r="U28" s="12" t="s">
        <v>98</v>
      </c>
      <c r="V28" s="18" t="s">
        <v>64</v>
      </c>
      <c r="W28" s="18"/>
      <c r="X28" s="15" t="s">
        <v>59</v>
      </c>
      <c r="Y28" s="206">
        <v>43509</v>
      </c>
      <c r="Z28" s="15">
        <v>15900</v>
      </c>
      <c r="AA28" s="206">
        <v>43538</v>
      </c>
      <c r="AB28" s="15">
        <v>9000</v>
      </c>
      <c r="AC28" s="206">
        <v>43542</v>
      </c>
      <c r="AD28" s="15">
        <v>300</v>
      </c>
      <c r="AE28" s="244"/>
      <c r="AF28" s="15"/>
      <c r="AG28" s="15">
        <v>25200</v>
      </c>
      <c r="AH28" s="22">
        <v>0</v>
      </c>
      <c r="AI28" s="22">
        <v>0</v>
      </c>
      <c r="AJ28" s="165"/>
    </row>
    <row r="29" spans="1:36">
      <c r="A29" s="165" t="s">
        <v>317</v>
      </c>
      <c r="B29" s="13">
        <v>43514</v>
      </c>
      <c r="C29" s="13" t="s">
        <v>23</v>
      </c>
      <c r="D29" s="165" t="s">
        <v>183</v>
      </c>
      <c r="E29" s="165" t="s">
        <v>184</v>
      </c>
      <c r="F29" s="165" t="s">
        <v>2161</v>
      </c>
      <c r="G29" s="165" t="s">
        <v>96</v>
      </c>
      <c r="H29" s="12"/>
      <c r="I29" s="12" t="s">
        <v>35</v>
      </c>
      <c r="J29" s="14">
        <v>200</v>
      </c>
      <c r="K29" s="15" t="s">
        <v>97</v>
      </c>
      <c r="L29" s="15"/>
      <c r="M29" s="16">
        <v>5</v>
      </c>
      <c r="N29" s="15">
        <v>1000</v>
      </c>
      <c r="O29" s="15">
        <v>5000</v>
      </c>
      <c r="P29" s="15">
        <v>5000000</v>
      </c>
      <c r="Q29" s="18" t="s">
        <v>44</v>
      </c>
      <c r="R29" s="23">
        <v>43511</v>
      </c>
      <c r="S29" s="20">
        <v>43544</v>
      </c>
      <c r="T29" s="21">
        <v>43544</v>
      </c>
      <c r="U29" s="12" t="s">
        <v>32</v>
      </c>
      <c r="V29" s="18" t="s">
        <v>64</v>
      </c>
      <c r="W29" s="18"/>
      <c r="X29" s="15" t="s">
        <v>59</v>
      </c>
      <c r="Y29" s="206">
        <v>43543</v>
      </c>
      <c r="Z29" s="15">
        <v>1000</v>
      </c>
      <c r="AA29" s="206"/>
      <c r="AB29" s="15"/>
      <c r="AC29" s="206"/>
      <c r="AD29" s="15"/>
      <c r="AE29" s="244"/>
      <c r="AF29" s="15"/>
      <c r="AG29" s="15">
        <v>1000</v>
      </c>
      <c r="AH29" s="22">
        <v>0</v>
      </c>
      <c r="AI29" s="22">
        <v>0</v>
      </c>
      <c r="AJ29" s="165"/>
    </row>
    <row r="30" spans="1:36">
      <c r="A30" s="165" t="s">
        <v>317</v>
      </c>
      <c r="B30" s="13">
        <v>43514</v>
      </c>
      <c r="C30" s="13" t="s">
        <v>23</v>
      </c>
      <c r="D30" s="165" t="s">
        <v>183</v>
      </c>
      <c r="E30" s="165" t="s">
        <v>184</v>
      </c>
      <c r="F30" s="165" t="s">
        <v>2163</v>
      </c>
      <c r="G30" s="165" t="s">
        <v>96</v>
      </c>
      <c r="H30" s="12"/>
      <c r="I30" s="12" t="s">
        <v>27</v>
      </c>
      <c r="J30" s="14">
        <v>150</v>
      </c>
      <c r="K30" s="15" t="s">
        <v>97</v>
      </c>
      <c r="L30" s="15"/>
      <c r="M30" s="16">
        <v>4</v>
      </c>
      <c r="N30" s="15">
        <v>600</v>
      </c>
      <c r="O30" s="15">
        <v>5500</v>
      </c>
      <c r="P30" s="15">
        <v>3300000</v>
      </c>
      <c r="Q30" s="18" t="s">
        <v>44</v>
      </c>
      <c r="R30" s="23">
        <v>43511</v>
      </c>
      <c r="S30" s="20">
        <v>43544</v>
      </c>
      <c r="T30" s="21">
        <v>43544</v>
      </c>
      <c r="U30" s="12" t="s">
        <v>32</v>
      </c>
      <c r="V30" s="18" t="s">
        <v>64</v>
      </c>
      <c r="W30" s="18"/>
      <c r="X30" s="15" t="s">
        <v>59</v>
      </c>
      <c r="Y30" s="206">
        <v>43543</v>
      </c>
      <c r="Z30" s="15">
        <v>600</v>
      </c>
      <c r="AA30" s="206"/>
      <c r="AB30" s="15"/>
      <c r="AC30" s="206"/>
      <c r="AD30" s="15"/>
      <c r="AE30" s="244"/>
      <c r="AF30" s="15"/>
      <c r="AG30" s="15">
        <v>600</v>
      </c>
      <c r="AH30" s="22">
        <v>0</v>
      </c>
      <c r="AI30" s="22">
        <v>0</v>
      </c>
      <c r="AJ30" s="165"/>
    </row>
    <row r="31" spans="1:36">
      <c r="A31" s="165" t="s">
        <v>1764</v>
      </c>
      <c r="B31" s="13">
        <v>43470</v>
      </c>
      <c r="C31" s="13" t="s">
        <v>1622</v>
      </c>
      <c r="D31" s="165" t="s">
        <v>1162</v>
      </c>
      <c r="E31" s="165" t="s">
        <v>1163</v>
      </c>
      <c r="F31" s="165" t="s">
        <v>2124</v>
      </c>
      <c r="G31" s="165" t="s">
        <v>1765</v>
      </c>
      <c r="H31" s="12"/>
      <c r="I31" s="24" t="s">
        <v>113</v>
      </c>
      <c r="J31" s="14">
        <v>400</v>
      </c>
      <c r="K31" s="15" t="s">
        <v>97</v>
      </c>
      <c r="L31" s="15"/>
      <c r="M31" s="16">
        <v>0</v>
      </c>
      <c r="N31" s="15">
        <v>0</v>
      </c>
      <c r="O31" s="15">
        <v>2000</v>
      </c>
      <c r="P31" s="15">
        <v>0</v>
      </c>
      <c r="Q31" s="18" t="s">
        <v>71</v>
      </c>
      <c r="R31" s="117">
        <v>43511</v>
      </c>
      <c r="S31" s="20">
        <v>43544</v>
      </c>
      <c r="T31" s="21">
        <v>43544</v>
      </c>
      <c r="U31" s="12" t="s">
        <v>32</v>
      </c>
      <c r="V31" s="18" t="s">
        <v>39</v>
      </c>
      <c r="W31" s="18"/>
      <c r="X31" s="18"/>
      <c r="Y31" s="210"/>
      <c r="Z31" s="15">
        <v>0</v>
      </c>
      <c r="AA31" s="210"/>
      <c r="AB31" s="15"/>
      <c r="AC31" s="15"/>
      <c r="AD31" s="15"/>
      <c r="AE31" s="244"/>
      <c r="AF31" s="15"/>
      <c r="AG31" s="15">
        <v>0</v>
      </c>
      <c r="AH31" s="22">
        <v>0</v>
      </c>
      <c r="AI31" s="22">
        <v>0</v>
      </c>
      <c r="AJ31" s="13">
        <v>43884</v>
      </c>
    </row>
    <row r="32" spans="1:36">
      <c r="A32" s="165" t="s">
        <v>1770</v>
      </c>
      <c r="B32" s="13">
        <v>43509</v>
      </c>
      <c r="C32" s="13" t="s">
        <v>1622</v>
      </c>
      <c r="D32" s="165" t="s">
        <v>1065</v>
      </c>
      <c r="E32" s="165" t="s">
        <v>1066</v>
      </c>
      <c r="F32" s="165" t="s">
        <v>2189</v>
      </c>
      <c r="G32" s="165" t="s">
        <v>89</v>
      </c>
      <c r="H32" s="12"/>
      <c r="I32" s="12" t="s">
        <v>35</v>
      </c>
      <c r="J32" s="14">
        <v>200</v>
      </c>
      <c r="K32" s="15" t="s">
        <v>97</v>
      </c>
      <c r="L32" s="15"/>
      <c r="M32" s="16">
        <v>100</v>
      </c>
      <c r="N32" s="15">
        <v>20000</v>
      </c>
      <c r="O32" s="15">
        <v>3750</v>
      </c>
      <c r="P32" s="15">
        <v>75000000</v>
      </c>
      <c r="Q32" s="18" t="s">
        <v>44</v>
      </c>
      <c r="R32" s="117">
        <v>43486</v>
      </c>
      <c r="S32" s="20">
        <v>43521</v>
      </c>
      <c r="T32" s="21">
        <v>43521</v>
      </c>
      <c r="U32" s="12" t="s">
        <v>1771</v>
      </c>
      <c r="V32" s="18"/>
      <c r="W32" s="18"/>
      <c r="X32" s="18"/>
      <c r="Y32" s="210">
        <v>43521</v>
      </c>
      <c r="Z32" s="15">
        <v>20000</v>
      </c>
      <c r="AA32" s="210"/>
      <c r="AB32" s="15"/>
      <c r="AC32" s="15"/>
      <c r="AD32" s="15"/>
      <c r="AE32" s="244"/>
      <c r="AF32" s="15"/>
      <c r="AG32" s="15">
        <v>20000</v>
      </c>
      <c r="AH32" s="22">
        <v>0</v>
      </c>
      <c r="AI32" s="22">
        <v>0</v>
      </c>
      <c r="AJ32" s="13">
        <v>43886</v>
      </c>
    </row>
    <row r="33" spans="1:36">
      <c r="A33" s="165" t="s">
        <v>1770</v>
      </c>
      <c r="B33" s="13">
        <v>43509</v>
      </c>
      <c r="C33" s="13" t="s">
        <v>1622</v>
      </c>
      <c r="D33" s="165" t="s">
        <v>1065</v>
      </c>
      <c r="E33" s="165" t="s">
        <v>1066</v>
      </c>
      <c r="F33" s="165" t="s">
        <v>2124</v>
      </c>
      <c r="G33" s="165" t="s">
        <v>138</v>
      </c>
      <c r="H33" s="12"/>
      <c r="I33" s="12" t="s">
        <v>113</v>
      </c>
      <c r="J33" s="14">
        <v>400</v>
      </c>
      <c r="K33" s="15" t="s">
        <v>97</v>
      </c>
      <c r="L33" s="15"/>
      <c r="M33" s="16">
        <v>27</v>
      </c>
      <c r="N33" s="15">
        <v>10800</v>
      </c>
      <c r="O33" s="15">
        <v>2000</v>
      </c>
      <c r="P33" s="15">
        <v>21600000</v>
      </c>
      <c r="Q33" s="18" t="s">
        <v>44</v>
      </c>
      <c r="R33" s="117">
        <v>43511</v>
      </c>
      <c r="S33" s="20">
        <v>43544</v>
      </c>
      <c r="T33" s="21">
        <v>43544</v>
      </c>
      <c r="U33" s="12" t="s">
        <v>32</v>
      </c>
      <c r="V33" s="18" t="s">
        <v>39</v>
      </c>
      <c r="W33" s="18"/>
      <c r="X33" s="18"/>
      <c r="Y33" s="210">
        <v>43544</v>
      </c>
      <c r="Z33" s="15">
        <v>10800</v>
      </c>
      <c r="AA33" s="210"/>
      <c r="AB33" s="15"/>
      <c r="AC33" s="15"/>
      <c r="AD33" s="15"/>
      <c r="AE33" s="244"/>
      <c r="AF33" s="15"/>
      <c r="AG33" s="15">
        <v>10800</v>
      </c>
      <c r="AH33" s="22">
        <v>0</v>
      </c>
      <c r="AI33" s="22">
        <v>0</v>
      </c>
      <c r="AJ33" s="13">
        <v>43886</v>
      </c>
    </row>
    <row r="34" spans="1:36">
      <c r="A34" s="165" t="s">
        <v>1770</v>
      </c>
      <c r="B34" s="13">
        <v>43509</v>
      </c>
      <c r="C34" s="13" t="s">
        <v>1622</v>
      </c>
      <c r="D34" s="165" t="s">
        <v>1065</v>
      </c>
      <c r="E34" s="165" t="s">
        <v>1066</v>
      </c>
      <c r="F34" s="165" t="s">
        <v>2094</v>
      </c>
      <c r="G34" s="165" t="s">
        <v>1772</v>
      </c>
      <c r="H34" s="12"/>
      <c r="I34" s="12" t="s">
        <v>27</v>
      </c>
      <c r="J34" s="14">
        <v>150</v>
      </c>
      <c r="K34" s="15" t="s">
        <v>97</v>
      </c>
      <c r="L34" s="15"/>
      <c r="M34" s="16">
        <v>47</v>
      </c>
      <c r="N34" s="15">
        <v>7050</v>
      </c>
      <c r="O34" s="15">
        <v>4800</v>
      </c>
      <c r="P34" s="15">
        <v>33840000</v>
      </c>
      <c r="Q34" s="18" t="s">
        <v>44</v>
      </c>
      <c r="R34" s="117">
        <v>43497</v>
      </c>
      <c r="S34" s="20">
        <v>43530</v>
      </c>
      <c r="T34" s="21">
        <v>43530</v>
      </c>
      <c r="U34" s="12" t="s">
        <v>1773</v>
      </c>
      <c r="V34" s="18"/>
      <c r="W34" s="18"/>
      <c r="X34" s="18"/>
      <c r="Y34" s="210">
        <v>43530</v>
      </c>
      <c r="Z34" s="15">
        <v>7050</v>
      </c>
      <c r="AA34" s="210"/>
      <c r="AB34" s="15"/>
      <c r="AC34" s="15"/>
      <c r="AD34" s="15"/>
      <c r="AE34" s="244"/>
      <c r="AF34" s="15"/>
      <c r="AG34" s="15">
        <v>7050</v>
      </c>
      <c r="AH34" s="22">
        <v>0</v>
      </c>
      <c r="AI34" s="22">
        <v>0</v>
      </c>
      <c r="AJ34" s="13">
        <v>43884</v>
      </c>
    </row>
    <row r="35" spans="1:36">
      <c r="A35" s="165" t="s">
        <v>1776</v>
      </c>
      <c r="B35" s="13">
        <v>43336</v>
      </c>
      <c r="C35" s="13" t="s">
        <v>1622</v>
      </c>
      <c r="D35" s="165" t="s">
        <v>1025</v>
      </c>
      <c r="E35" s="165" t="s">
        <v>1026</v>
      </c>
      <c r="F35" s="165" t="s">
        <v>2187</v>
      </c>
      <c r="G35" s="165" t="s">
        <v>89</v>
      </c>
      <c r="H35" s="12"/>
      <c r="I35" s="12" t="s">
        <v>47</v>
      </c>
      <c r="J35" s="14">
        <v>300</v>
      </c>
      <c r="K35" s="15" t="s">
        <v>97</v>
      </c>
      <c r="L35" s="15"/>
      <c r="M35" s="16">
        <v>34</v>
      </c>
      <c r="N35" s="17">
        <v>10200</v>
      </c>
      <c r="O35" s="15">
        <v>3000</v>
      </c>
      <c r="P35" s="15">
        <v>30600000</v>
      </c>
      <c r="Q35" s="18" t="s">
        <v>44</v>
      </c>
      <c r="R35" s="117">
        <v>43501</v>
      </c>
      <c r="S35" s="20">
        <v>43534</v>
      </c>
      <c r="T35" s="21">
        <v>43534</v>
      </c>
      <c r="U35" s="12" t="s">
        <v>146</v>
      </c>
      <c r="V35" s="18"/>
      <c r="W35" s="18"/>
      <c r="X35" s="18"/>
      <c r="Y35" s="210">
        <v>43536</v>
      </c>
      <c r="Z35" s="15">
        <v>10200</v>
      </c>
      <c r="AA35" s="210"/>
      <c r="AB35" s="15"/>
      <c r="AC35" s="15"/>
      <c r="AD35" s="15"/>
      <c r="AE35" s="244"/>
      <c r="AF35" s="15"/>
      <c r="AG35" s="15">
        <v>10200</v>
      </c>
      <c r="AH35" s="22">
        <v>0</v>
      </c>
      <c r="AI35" s="22">
        <v>0</v>
      </c>
      <c r="AJ35" s="13"/>
    </row>
    <row r="36" spans="1:36">
      <c r="A36" s="165" t="s">
        <v>1776</v>
      </c>
      <c r="B36" s="13">
        <v>43336</v>
      </c>
      <c r="C36" s="13" t="s">
        <v>1622</v>
      </c>
      <c r="D36" s="165" t="s">
        <v>1025</v>
      </c>
      <c r="E36" s="165" t="s">
        <v>1026</v>
      </c>
      <c r="F36" s="165" t="s">
        <v>2094</v>
      </c>
      <c r="G36" s="165" t="s">
        <v>1772</v>
      </c>
      <c r="H36" s="12"/>
      <c r="I36" s="12" t="s">
        <v>27</v>
      </c>
      <c r="J36" s="14">
        <v>150</v>
      </c>
      <c r="K36" s="15" t="s">
        <v>97</v>
      </c>
      <c r="L36" s="15"/>
      <c r="M36" s="16">
        <v>53</v>
      </c>
      <c r="N36" s="15">
        <v>7950</v>
      </c>
      <c r="O36" s="15">
        <v>4800</v>
      </c>
      <c r="P36" s="15">
        <v>38160000</v>
      </c>
      <c r="Q36" s="18" t="s">
        <v>44</v>
      </c>
      <c r="R36" s="117"/>
      <c r="S36" s="20" t="s">
        <v>2403</v>
      </c>
      <c r="T36" s="21" t="s">
        <v>2403</v>
      </c>
      <c r="U36" s="12"/>
      <c r="V36" s="18"/>
      <c r="W36" s="18"/>
      <c r="X36" s="18"/>
      <c r="Y36" s="210">
        <v>43558</v>
      </c>
      <c r="Z36" s="15">
        <v>7950</v>
      </c>
      <c r="AA36" s="210"/>
      <c r="AB36" s="15"/>
      <c r="AC36" s="15"/>
      <c r="AD36" s="15"/>
      <c r="AE36" s="244"/>
      <c r="AF36" s="15"/>
      <c r="AG36" s="15">
        <v>7950</v>
      </c>
      <c r="AH36" s="22">
        <v>0</v>
      </c>
      <c r="AI36" s="22">
        <v>0</v>
      </c>
      <c r="AJ36" s="13">
        <v>43886</v>
      </c>
    </row>
    <row r="37" spans="1:36">
      <c r="A37" s="165" t="s">
        <v>323</v>
      </c>
      <c r="B37" s="13">
        <v>43512</v>
      </c>
      <c r="C37" s="13" t="s">
        <v>23</v>
      </c>
      <c r="D37" s="165" t="s">
        <v>200</v>
      </c>
      <c r="E37" s="165" t="s">
        <v>201</v>
      </c>
      <c r="F37" s="165" t="s">
        <v>2124</v>
      </c>
      <c r="G37" s="165" t="s">
        <v>138</v>
      </c>
      <c r="H37" s="12"/>
      <c r="I37" s="12" t="s">
        <v>113</v>
      </c>
      <c r="J37" s="14">
        <v>400</v>
      </c>
      <c r="K37" s="15" t="s">
        <v>97</v>
      </c>
      <c r="L37" s="15"/>
      <c r="M37" s="16">
        <v>28</v>
      </c>
      <c r="N37" s="15">
        <v>11200</v>
      </c>
      <c r="O37" s="15">
        <v>2000</v>
      </c>
      <c r="P37" s="15">
        <v>22400000</v>
      </c>
      <c r="Q37" s="18" t="s">
        <v>44</v>
      </c>
      <c r="R37" s="23">
        <v>43511</v>
      </c>
      <c r="S37" s="20">
        <v>43544</v>
      </c>
      <c r="T37" s="21">
        <v>43544</v>
      </c>
      <c r="U37" s="12" t="s">
        <v>32</v>
      </c>
      <c r="V37" s="18" t="s">
        <v>39</v>
      </c>
      <c r="W37" s="18">
        <v>43541</v>
      </c>
      <c r="X37" s="15" t="s">
        <v>59</v>
      </c>
      <c r="Y37" s="206">
        <v>43547</v>
      </c>
      <c r="Z37" s="15">
        <v>7200</v>
      </c>
      <c r="AA37" s="206">
        <v>43558</v>
      </c>
      <c r="AB37" s="15">
        <v>4000</v>
      </c>
      <c r="AC37" s="206"/>
      <c r="AD37" s="15"/>
      <c r="AE37" s="244"/>
      <c r="AF37" s="15"/>
      <c r="AG37" s="15">
        <v>11200</v>
      </c>
      <c r="AH37" s="22">
        <v>0</v>
      </c>
      <c r="AI37" s="22">
        <v>0</v>
      </c>
      <c r="AJ37" s="165"/>
    </row>
    <row r="38" spans="1:36">
      <c r="A38" s="165" t="s">
        <v>1790</v>
      </c>
      <c r="B38" s="13">
        <v>43563</v>
      </c>
      <c r="C38" s="13" t="s">
        <v>1622</v>
      </c>
      <c r="D38" s="165" t="s">
        <v>671</v>
      </c>
      <c r="E38" s="165" t="s">
        <v>1788</v>
      </c>
      <c r="F38" s="165" t="s">
        <v>2124</v>
      </c>
      <c r="G38" s="225" t="s">
        <v>1791</v>
      </c>
      <c r="H38" s="12"/>
      <c r="I38" s="12" t="s">
        <v>113</v>
      </c>
      <c r="J38" s="14">
        <v>400</v>
      </c>
      <c r="K38" s="15" t="s">
        <v>97</v>
      </c>
      <c r="L38" s="15"/>
      <c r="M38" s="16">
        <v>13</v>
      </c>
      <c r="N38" s="15">
        <v>5200</v>
      </c>
      <c r="O38" s="15">
        <v>2000</v>
      </c>
      <c r="P38" s="15">
        <v>10400000</v>
      </c>
      <c r="Q38" s="18" t="s">
        <v>44</v>
      </c>
      <c r="R38" s="117">
        <v>43528</v>
      </c>
      <c r="S38" s="20">
        <v>43563</v>
      </c>
      <c r="T38" s="21">
        <v>43563</v>
      </c>
      <c r="U38" s="12" t="s">
        <v>1792</v>
      </c>
      <c r="V38" s="18"/>
      <c r="W38" s="18"/>
      <c r="X38" s="18"/>
      <c r="Y38" s="210">
        <v>43563</v>
      </c>
      <c r="Z38" s="15">
        <v>5200</v>
      </c>
      <c r="AA38" s="210"/>
      <c r="AB38" s="15"/>
      <c r="AC38" s="244"/>
      <c r="AD38" s="15"/>
      <c r="AE38" s="244"/>
      <c r="AF38" s="15"/>
      <c r="AG38" s="15">
        <v>5200</v>
      </c>
      <c r="AH38" s="22">
        <v>0</v>
      </c>
      <c r="AI38" s="22">
        <v>0</v>
      </c>
      <c r="AJ38" s="165"/>
    </row>
    <row r="39" spans="1:36">
      <c r="A39" s="165" t="s">
        <v>331</v>
      </c>
      <c r="B39" s="13">
        <v>43480</v>
      </c>
      <c r="C39" s="13" t="s">
        <v>23</v>
      </c>
      <c r="D39" s="165" t="s">
        <v>223</v>
      </c>
      <c r="E39" s="165" t="s">
        <v>224</v>
      </c>
      <c r="F39" s="165" t="s">
        <v>2161</v>
      </c>
      <c r="G39" s="165" t="s">
        <v>96</v>
      </c>
      <c r="H39" s="12"/>
      <c r="I39" s="12" t="s">
        <v>35</v>
      </c>
      <c r="J39" s="14">
        <v>200</v>
      </c>
      <c r="K39" s="15" t="s">
        <v>97</v>
      </c>
      <c r="L39" s="15"/>
      <c r="M39" s="16">
        <v>25</v>
      </c>
      <c r="N39" s="15">
        <v>5000</v>
      </c>
      <c r="O39" s="15">
        <v>5000</v>
      </c>
      <c r="P39" s="15">
        <v>25000000</v>
      </c>
      <c r="Q39" s="18" t="s">
        <v>44</v>
      </c>
      <c r="R39" s="23">
        <v>43503</v>
      </c>
      <c r="S39" s="20">
        <v>43536</v>
      </c>
      <c r="T39" s="21">
        <v>43536</v>
      </c>
      <c r="U39" s="12" t="s">
        <v>146</v>
      </c>
      <c r="V39" s="18" t="s">
        <v>64</v>
      </c>
      <c r="W39" s="18"/>
      <c r="X39" s="15" t="s">
        <v>59</v>
      </c>
      <c r="Y39" s="206">
        <v>43540</v>
      </c>
      <c r="Z39" s="15">
        <v>5000</v>
      </c>
      <c r="AA39" s="206"/>
      <c r="AB39" s="15"/>
      <c r="AC39" s="206"/>
      <c r="AD39" s="15"/>
      <c r="AE39" s="244"/>
      <c r="AF39" s="15"/>
      <c r="AG39" s="15">
        <v>5000</v>
      </c>
      <c r="AH39" s="22">
        <v>0</v>
      </c>
      <c r="AI39" s="22">
        <v>0</v>
      </c>
      <c r="AJ39" s="165"/>
    </row>
    <row r="40" spans="1:36">
      <c r="A40" s="165" t="s">
        <v>331</v>
      </c>
      <c r="B40" s="13">
        <v>43480</v>
      </c>
      <c r="C40" s="13" t="s">
        <v>23</v>
      </c>
      <c r="D40" s="165" t="s">
        <v>223</v>
      </c>
      <c r="E40" s="165" t="s">
        <v>224</v>
      </c>
      <c r="F40" s="165" t="s">
        <v>2124</v>
      </c>
      <c r="G40" s="165" t="s">
        <v>138</v>
      </c>
      <c r="H40" s="12"/>
      <c r="I40" s="12" t="s">
        <v>113</v>
      </c>
      <c r="J40" s="14">
        <v>400</v>
      </c>
      <c r="K40" s="15" t="s">
        <v>97</v>
      </c>
      <c r="L40" s="15"/>
      <c r="M40" s="16">
        <v>18</v>
      </c>
      <c r="N40" s="15">
        <v>7200</v>
      </c>
      <c r="O40" s="15">
        <v>2000</v>
      </c>
      <c r="P40" s="15">
        <v>14400000</v>
      </c>
      <c r="Q40" s="18" t="s">
        <v>44</v>
      </c>
      <c r="R40" s="23">
        <v>43511</v>
      </c>
      <c r="S40" s="20">
        <v>43544</v>
      </c>
      <c r="T40" s="21">
        <v>43544</v>
      </c>
      <c r="U40" s="12" t="s">
        <v>32</v>
      </c>
      <c r="V40" s="18" t="s">
        <v>39</v>
      </c>
      <c r="W40" s="18">
        <v>43541</v>
      </c>
      <c r="X40" s="15" t="s">
        <v>59</v>
      </c>
      <c r="Y40" s="206">
        <v>43543</v>
      </c>
      <c r="Z40" s="15">
        <v>7200</v>
      </c>
      <c r="AA40" s="206"/>
      <c r="AB40" s="15"/>
      <c r="AC40" s="206"/>
      <c r="AD40" s="15"/>
      <c r="AE40" s="244"/>
      <c r="AF40" s="15"/>
      <c r="AG40" s="15">
        <v>7200</v>
      </c>
      <c r="AH40" s="22">
        <v>0</v>
      </c>
      <c r="AI40" s="22">
        <v>0</v>
      </c>
      <c r="AJ40" s="165"/>
    </row>
  </sheetData>
  <autoFilter ref="A1:AJ1"/>
  <conditionalFormatting sqref="Q39:Q40 Q17:Q19 Q13:Q15 Q1:Q11">
    <cfRule type="containsText" dxfId="39" priority="37" operator="containsText" text="Canceled">
      <formula>NOT(ISERROR(SEARCH("Canceled",Q1)))</formula>
    </cfRule>
    <cfRule type="containsText" dxfId="38" priority="38" operator="containsText" text="In Transit">
      <formula>NOT(ISERROR(SEARCH("In Transit",Q1)))</formula>
    </cfRule>
    <cfRule type="containsText" dxfId="37" priority="39" operator="containsText" text="Pending">
      <formula>NOT(ISERROR(SEARCH("Pending",Q1)))</formula>
    </cfRule>
    <cfRule type="containsText" dxfId="36" priority="40" operator="containsText" text="Done">
      <formula>NOT(ISERROR(SEARCH("Done",Q1)))</formula>
    </cfRule>
  </conditionalFormatting>
  <conditionalFormatting sqref="Q12">
    <cfRule type="containsText" dxfId="35" priority="33" operator="containsText" text="Canceled">
      <formula>NOT(ISERROR(SEARCH("Canceled",Q12)))</formula>
    </cfRule>
    <cfRule type="containsText" dxfId="34" priority="34" operator="containsText" text="In Transit">
      <formula>NOT(ISERROR(SEARCH("In Transit",Q12)))</formula>
    </cfRule>
    <cfRule type="containsText" dxfId="33" priority="35" operator="containsText" text="Pending">
      <formula>NOT(ISERROR(SEARCH("Pending",Q12)))</formula>
    </cfRule>
    <cfRule type="containsText" dxfId="32" priority="36" operator="containsText" text="Done">
      <formula>NOT(ISERROR(SEARCH("Done",Q12)))</formula>
    </cfRule>
  </conditionalFormatting>
  <conditionalFormatting sqref="Q16">
    <cfRule type="containsText" dxfId="31" priority="29" operator="containsText" text="Canceled">
      <formula>NOT(ISERROR(SEARCH("Canceled",Q16)))</formula>
    </cfRule>
    <cfRule type="containsText" dxfId="30" priority="30" operator="containsText" text="In Transit">
      <formula>NOT(ISERROR(SEARCH("In Transit",Q16)))</formula>
    </cfRule>
    <cfRule type="containsText" dxfId="29" priority="31" operator="containsText" text="Pending">
      <formula>NOT(ISERROR(SEARCH("Pending",Q16)))</formula>
    </cfRule>
    <cfRule type="containsText" dxfId="28" priority="32" operator="containsText" text="Done">
      <formula>NOT(ISERROR(SEARCH("Done",Q16)))</formula>
    </cfRule>
  </conditionalFormatting>
  <conditionalFormatting sqref="Q20">
    <cfRule type="containsText" dxfId="27" priority="25" operator="containsText" text="Canceled">
      <formula>NOT(ISERROR(SEARCH("Canceled",Q20)))</formula>
    </cfRule>
    <cfRule type="containsText" dxfId="26" priority="26" operator="containsText" text="In Transit">
      <formula>NOT(ISERROR(SEARCH("In Transit",Q20)))</formula>
    </cfRule>
    <cfRule type="containsText" dxfId="25" priority="27" operator="containsText" text="Pending">
      <formula>NOT(ISERROR(SEARCH("Pending",Q20)))</formula>
    </cfRule>
    <cfRule type="containsText" dxfId="24" priority="28" operator="containsText" text="Done">
      <formula>NOT(ISERROR(SEARCH("Done",Q20)))</formula>
    </cfRule>
  </conditionalFormatting>
  <conditionalFormatting sqref="Q21">
    <cfRule type="containsText" dxfId="23" priority="21" operator="containsText" text="Canceled">
      <formula>NOT(ISERROR(SEARCH("Canceled",Q21)))</formula>
    </cfRule>
    <cfRule type="containsText" dxfId="22" priority="22" operator="containsText" text="In Transit">
      <formula>NOT(ISERROR(SEARCH("In Transit",Q21)))</formula>
    </cfRule>
    <cfRule type="containsText" dxfId="21" priority="23" operator="containsText" text="Pending">
      <formula>NOT(ISERROR(SEARCH("Pending",Q21)))</formula>
    </cfRule>
    <cfRule type="containsText" dxfId="20" priority="24" operator="containsText" text="Done">
      <formula>NOT(ISERROR(SEARCH("Done",Q21)))</formula>
    </cfRule>
  </conditionalFormatting>
  <conditionalFormatting sqref="Q37 Q34 Q22:Q32">
    <cfRule type="containsText" dxfId="19" priority="17" operator="containsText" text="Canceled">
      <formula>NOT(ISERROR(SEARCH("Canceled",Q22)))</formula>
    </cfRule>
    <cfRule type="containsText" dxfId="18" priority="18" operator="containsText" text="In Transit">
      <formula>NOT(ISERROR(SEARCH("In Transit",Q22)))</formula>
    </cfRule>
    <cfRule type="containsText" dxfId="17" priority="19" operator="containsText" text="Pending">
      <formula>NOT(ISERROR(SEARCH("Pending",Q22)))</formula>
    </cfRule>
    <cfRule type="containsText" dxfId="16" priority="20" operator="containsText" text="Done">
      <formula>NOT(ISERROR(SEARCH("Done",Q22)))</formula>
    </cfRule>
  </conditionalFormatting>
  <conditionalFormatting sqref="Q33">
    <cfRule type="containsText" dxfId="15" priority="13" operator="containsText" text="Canceled">
      <formula>NOT(ISERROR(SEARCH("Canceled",Q33)))</formula>
    </cfRule>
    <cfRule type="containsText" dxfId="14" priority="14" operator="containsText" text="In Transit">
      <formula>NOT(ISERROR(SEARCH("In Transit",Q33)))</formula>
    </cfRule>
    <cfRule type="containsText" dxfId="13" priority="15" operator="containsText" text="Pending">
      <formula>NOT(ISERROR(SEARCH("Pending",Q33)))</formula>
    </cfRule>
    <cfRule type="containsText" dxfId="12" priority="16" operator="containsText" text="Done">
      <formula>NOT(ISERROR(SEARCH("Done",Q33)))</formula>
    </cfRule>
  </conditionalFormatting>
  <conditionalFormatting sqref="Q35">
    <cfRule type="containsText" dxfId="11" priority="9" operator="containsText" text="Canceled">
      <formula>NOT(ISERROR(SEARCH("Canceled",Q35)))</formula>
    </cfRule>
    <cfRule type="containsText" dxfId="10" priority="10" operator="containsText" text="In Transit">
      <formula>NOT(ISERROR(SEARCH("In Transit",Q35)))</formula>
    </cfRule>
    <cfRule type="containsText" dxfId="9" priority="11" operator="containsText" text="Pending">
      <formula>NOT(ISERROR(SEARCH("Pending",Q35)))</formula>
    </cfRule>
    <cfRule type="containsText" dxfId="8" priority="12" operator="containsText" text="Done">
      <formula>NOT(ISERROR(SEARCH("Done",Q35)))</formula>
    </cfRule>
  </conditionalFormatting>
  <conditionalFormatting sqref="Q36">
    <cfRule type="containsText" dxfId="7" priority="5" operator="containsText" text="Canceled">
      <formula>NOT(ISERROR(SEARCH("Canceled",Q36)))</formula>
    </cfRule>
    <cfRule type="containsText" dxfId="6" priority="6" operator="containsText" text="In Transit">
      <formula>NOT(ISERROR(SEARCH("In Transit",Q36)))</formula>
    </cfRule>
    <cfRule type="containsText" dxfId="5" priority="7" operator="containsText" text="Pending">
      <formula>NOT(ISERROR(SEARCH("Pending",Q36)))</formula>
    </cfRule>
    <cfRule type="containsText" dxfId="4" priority="8" operator="containsText" text="Done">
      <formula>NOT(ISERROR(SEARCH("Done",Q36)))</formula>
    </cfRule>
  </conditionalFormatting>
  <conditionalFormatting sqref="Q38">
    <cfRule type="containsText" dxfId="3" priority="1" operator="containsText" text="Canceled">
      <formula>NOT(ISERROR(SEARCH("Canceled",Q38)))</formula>
    </cfRule>
    <cfRule type="containsText" dxfId="2" priority="2" operator="containsText" text="In Transit">
      <formula>NOT(ISERROR(SEARCH("In Transit",Q38)))</formula>
    </cfRule>
    <cfRule type="containsText" dxfId="1" priority="3" operator="containsText" text="Pending">
      <formula>NOT(ISERROR(SEARCH("Pending",Q38)))</formula>
    </cfRule>
    <cfRule type="containsText" dxfId="0" priority="4" operator="containsText" text="Done">
      <formula>NOT(ISERROR(SEARCH("Done",Q38)))</formula>
    </cfRule>
  </conditionalFormatting>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368"/>
  <sheetViews>
    <sheetView showGridLines="0" zoomScale="90" zoomScaleNormal="90" workbookViewId="0">
      <pane xSplit="3" ySplit="3" topLeftCell="D112" activePane="bottomRight" state="frozen"/>
      <selection activeCell="G17" sqref="G17"/>
      <selection pane="topRight" activeCell="G17" sqref="G17"/>
      <selection pane="bottomLeft" activeCell="G17" sqref="G17"/>
      <selection pane="bottomRight" activeCell="D112" sqref="D112"/>
    </sheetView>
  </sheetViews>
  <sheetFormatPr defaultRowHeight="15" outlineLevelCol="1"/>
  <cols>
    <col min="1" max="1" width="10.42578125" style="13" customWidth="1" outlineLevel="1"/>
    <col min="2" max="2" width="15.140625" style="13" customWidth="1" outlineLevel="1"/>
    <col min="3" max="3" width="30.42578125" bestFit="1" customWidth="1"/>
    <col min="4" max="4" width="11.85546875" style="13" customWidth="1"/>
    <col min="5" max="5" width="9.140625" style="86"/>
    <col min="6" max="6" width="6.85546875" style="86" hidden="1" customWidth="1" outlineLevel="1"/>
    <col min="7" max="9" width="10.42578125" hidden="1" customWidth="1" outlineLevel="1"/>
    <col min="10" max="10" width="7.7109375" style="15" customWidth="1" collapsed="1"/>
    <col min="11" max="16" width="7.7109375" style="15" customWidth="1"/>
    <col min="18" max="18" width="12.28515625" bestFit="1" customWidth="1"/>
    <col min="20" max="20" width="6.85546875" bestFit="1" customWidth="1"/>
    <col min="21" max="21" width="8.85546875" bestFit="1" customWidth="1"/>
    <col min="22" max="24" width="11.28515625" customWidth="1"/>
    <col min="25" max="26" width="9.140625" style="85" hidden="1" customWidth="1" outlineLevel="1"/>
    <col min="27" max="30" width="0" hidden="1" customWidth="1" outlineLevel="1"/>
    <col min="31" max="31" width="9.140625" collapsed="1"/>
  </cols>
  <sheetData>
    <row r="1" spans="1:30">
      <c r="J1" s="285" t="s">
        <v>441</v>
      </c>
      <c r="K1" s="285"/>
      <c r="L1" s="285"/>
      <c r="M1" s="285"/>
      <c r="N1" s="285"/>
      <c r="O1" s="285"/>
      <c r="P1" s="285"/>
    </row>
    <row r="2" spans="1:30">
      <c r="J2" s="113" t="s">
        <v>113</v>
      </c>
      <c r="K2" s="113" t="s">
        <v>47</v>
      </c>
      <c r="L2" s="113" t="s">
        <v>35</v>
      </c>
      <c r="M2" s="113" t="s">
        <v>27</v>
      </c>
      <c r="N2" s="113" t="s">
        <v>74</v>
      </c>
      <c r="O2" s="113" t="s">
        <v>78</v>
      </c>
      <c r="P2" s="113" t="s">
        <v>220</v>
      </c>
    </row>
    <row r="3" spans="1:30" s="101" customFormat="1" ht="30">
      <c r="A3" s="111" t="s">
        <v>438</v>
      </c>
      <c r="B3" s="112" t="s">
        <v>440</v>
      </c>
      <c r="C3" s="110" t="s">
        <v>439</v>
      </c>
      <c r="D3" s="111" t="s">
        <v>438</v>
      </c>
      <c r="E3" s="110" t="s">
        <v>408</v>
      </c>
      <c r="F3" s="110" t="s">
        <v>423</v>
      </c>
      <c r="G3" s="109" t="s">
        <v>437</v>
      </c>
      <c r="H3" s="109" t="s">
        <v>436</v>
      </c>
      <c r="I3" s="109" t="s">
        <v>435</v>
      </c>
      <c r="J3" s="108">
        <v>400</v>
      </c>
      <c r="K3" s="108">
        <v>300</v>
      </c>
      <c r="L3" s="108">
        <v>200</v>
      </c>
      <c r="M3" s="108">
        <v>150</v>
      </c>
      <c r="N3" s="108">
        <v>125</v>
      </c>
      <c r="O3" s="108">
        <v>100</v>
      </c>
      <c r="P3" s="108">
        <v>75</v>
      </c>
      <c r="R3" s="107" t="s">
        <v>434</v>
      </c>
      <c r="S3" s="105" t="s">
        <v>433</v>
      </c>
      <c r="T3" s="106" t="s">
        <v>432</v>
      </c>
      <c r="U3" s="106" t="s">
        <v>431</v>
      </c>
      <c r="V3" s="105" t="s">
        <v>430</v>
      </c>
      <c r="W3" s="105" t="s">
        <v>429</v>
      </c>
      <c r="X3" s="104" t="s">
        <v>428</v>
      </c>
      <c r="Y3" s="103" t="s">
        <v>427</v>
      </c>
      <c r="Z3" s="103" t="s">
        <v>426</v>
      </c>
      <c r="AC3" s="102" t="s">
        <v>423</v>
      </c>
      <c r="AD3" s="102" t="s">
        <v>425</v>
      </c>
    </row>
    <row r="4" spans="1:30">
      <c r="A4" s="13">
        <v>43430</v>
      </c>
      <c r="B4" s="13">
        <f t="shared" ref="B4:B67" si="0">DATE(2019,MONTH(C4),1)</f>
        <v>43466</v>
      </c>
      <c r="C4" s="88">
        <v>43466</v>
      </c>
      <c r="D4" s="13">
        <v>43430</v>
      </c>
      <c r="E4" s="86" t="str">
        <f t="shared" ref="E4:E67" si="1">"W"&amp;WEEKNUM(C4)</f>
        <v>W1</v>
      </c>
      <c r="F4" s="86" t="str">
        <f t="shared" ref="F4:F67" si="2">TEXT(C4,"MMM")</f>
        <v>Jan</v>
      </c>
      <c r="G4">
        <v>1</v>
      </c>
      <c r="H4">
        <f t="shared" ref="H4:H67" si="3">WEEKNUM(C4)</f>
        <v>1</v>
      </c>
      <c r="I4" s="87">
        <f t="shared" ref="I4:I67" si="4">(DATEDIF(B4,C4,"D")+1)/VLOOKUP(F4,$AC$4:$AD$15,2,0)+(MONTH(C4)*1-1)</f>
        <v>3.2258064516129031E-2</v>
      </c>
      <c r="J4" s="15">
        <f>IF($H4&lt;=9,0,(($H4-6)*0.16*26700)/J$3)</f>
        <v>0</v>
      </c>
      <c r="K4" s="15">
        <f t="shared" ref="K4:P19" si="5">IF($H4&lt;=9,0,(($H4-6)*0.16*26700)/K$3)</f>
        <v>0</v>
      </c>
      <c r="L4" s="15">
        <f t="shared" si="5"/>
        <v>0</v>
      </c>
      <c r="M4" s="15">
        <f t="shared" si="5"/>
        <v>0</v>
      </c>
      <c r="N4" s="15">
        <f t="shared" si="5"/>
        <v>0</v>
      </c>
      <c r="O4" s="15">
        <f t="shared" si="5"/>
        <v>0</v>
      </c>
      <c r="P4" s="15">
        <f t="shared" si="5"/>
        <v>0</v>
      </c>
      <c r="R4" s="99" t="s">
        <v>424</v>
      </c>
      <c r="S4" s="98">
        <v>0.6</v>
      </c>
      <c r="T4" s="97" t="s">
        <v>423</v>
      </c>
      <c r="U4" s="100">
        <v>43525</v>
      </c>
      <c r="V4">
        <f t="shared" ref="V4:V12" si="6">VLOOKUP($U4-1,$C:$I,5,0)</f>
        <v>59</v>
      </c>
      <c r="W4">
        <f t="shared" ref="W4:W12" si="7">VLOOKUP($U4-1,$C:$I,6,0)</f>
        <v>9</v>
      </c>
      <c r="X4" s="95">
        <f t="shared" ref="X4:X12" si="8">VLOOKUP($U4-1,$C:$I,7,0)</f>
        <v>2</v>
      </c>
      <c r="Y4" s="85">
        <f>COUNTA($C$3:I$3)</f>
        <v>7</v>
      </c>
      <c r="Z4" s="85">
        <f>COUNTA($R$3:X$3)</f>
        <v>7</v>
      </c>
      <c r="AC4" t="s">
        <v>422</v>
      </c>
      <c r="AD4">
        <v>31</v>
      </c>
    </row>
    <row r="5" spans="1:30">
      <c r="A5" s="13">
        <v>43431</v>
      </c>
      <c r="B5" s="13">
        <f t="shared" si="0"/>
        <v>43466</v>
      </c>
      <c r="C5" s="88">
        <v>43467</v>
      </c>
      <c r="D5" s="13">
        <v>43431</v>
      </c>
      <c r="E5" s="86" t="str">
        <f t="shared" si="1"/>
        <v>W1</v>
      </c>
      <c r="F5" s="86" t="str">
        <f t="shared" si="2"/>
        <v>Jan</v>
      </c>
      <c r="G5">
        <v>2</v>
      </c>
      <c r="H5">
        <f t="shared" si="3"/>
        <v>1</v>
      </c>
      <c r="I5" s="87">
        <f t="shared" si="4"/>
        <v>6.4516129032258063E-2</v>
      </c>
      <c r="J5" s="15">
        <f t="shared" ref="J5:P54" si="9">IF($H5&lt;=9,0,(($H5-6)*0.16*26700)/J$3)</f>
        <v>0</v>
      </c>
      <c r="K5" s="15">
        <f t="shared" si="5"/>
        <v>0</v>
      </c>
      <c r="L5" s="15">
        <f t="shared" si="5"/>
        <v>0</v>
      </c>
      <c r="M5" s="15">
        <f t="shared" si="5"/>
        <v>0</v>
      </c>
      <c r="N5" s="15">
        <f t="shared" si="5"/>
        <v>0</v>
      </c>
      <c r="O5" s="15">
        <f t="shared" si="5"/>
        <v>0</v>
      </c>
      <c r="P5" s="15">
        <f t="shared" si="5"/>
        <v>0</v>
      </c>
      <c r="R5" s="99" t="s">
        <v>421</v>
      </c>
      <c r="S5" s="98">
        <v>0.02</v>
      </c>
      <c r="T5" s="97" t="s">
        <v>405</v>
      </c>
      <c r="U5" s="96">
        <v>43497</v>
      </c>
      <c r="V5">
        <f t="shared" si="6"/>
        <v>31</v>
      </c>
      <c r="W5">
        <f t="shared" si="7"/>
        <v>5</v>
      </c>
      <c r="X5" s="95">
        <f t="shared" si="8"/>
        <v>1</v>
      </c>
      <c r="Y5" s="85">
        <f>COUNTA($C$3:G$3)</f>
        <v>5</v>
      </c>
      <c r="Z5" s="85">
        <f>COUNTA($R$3:V$3)</f>
        <v>5</v>
      </c>
      <c r="AC5" t="s">
        <v>420</v>
      </c>
      <c r="AD5">
        <v>28</v>
      </c>
    </row>
    <row r="6" spans="1:30">
      <c r="A6" s="13">
        <v>43432</v>
      </c>
      <c r="B6" s="13">
        <f t="shared" si="0"/>
        <v>43466</v>
      </c>
      <c r="C6" s="88">
        <v>43468</v>
      </c>
      <c r="D6" s="13">
        <v>43432</v>
      </c>
      <c r="E6" s="86" t="str">
        <f t="shared" si="1"/>
        <v>W1</v>
      </c>
      <c r="F6" s="86" t="str">
        <f t="shared" si="2"/>
        <v>Jan</v>
      </c>
      <c r="G6">
        <v>3</v>
      </c>
      <c r="H6">
        <f t="shared" si="3"/>
        <v>1</v>
      </c>
      <c r="I6" s="87">
        <f t="shared" si="4"/>
        <v>9.6774193548387094E-2</v>
      </c>
      <c r="J6" s="15">
        <f t="shared" si="9"/>
        <v>0</v>
      </c>
      <c r="K6" s="15">
        <f t="shared" si="5"/>
        <v>0</v>
      </c>
      <c r="L6" s="15">
        <f t="shared" si="5"/>
        <v>0</v>
      </c>
      <c r="M6" s="15">
        <f t="shared" si="5"/>
        <v>0</v>
      </c>
      <c r="N6" s="15">
        <f t="shared" si="5"/>
        <v>0</v>
      </c>
      <c r="O6" s="15">
        <f t="shared" si="5"/>
        <v>0</v>
      </c>
      <c r="P6" s="15">
        <f t="shared" si="5"/>
        <v>0</v>
      </c>
      <c r="R6" s="99" t="s">
        <v>419</v>
      </c>
      <c r="S6" s="98">
        <v>0.15</v>
      </c>
      <c r="T6" s="97" t="s">
        <v>408</v>
      </c>
      <c r="U6" s="96">
        <v>43525</v>
      </c>
      <c r="V6">
        <f t="shared" si="6"/>
        <v>59</v>
      </c>
      <c r="W6">
        <f t="shared" si="7"/>
        <v>9</v>
      </c>
      <c r="X6" s="95">
        <f t="shared" si="8"/>
        <v>2</v>
      </c>
      <c r="Y6" s="85">
        <f>COUNTA($C$3:H$3)</f>
        <v>6</v>
      </c>
      <c r="Z6" s="85">
        <f>COUNTA($R$3:W$3)</f>
        <v>6</v>
      </c>
      <c r="AC6" t="s">
        <v>418</v>
      </c>
      <c r="AD6">
        <v>31</v>
      </c>
    </row>
    <row r="7" spans="1:30">
      <c r="A7" s="13">
        <v>43433</v>
      </c>
      <c r="B7" s="13">
        <f t="shared" si="0"/>
        <v>43466</v>
      </c>
      <c r="C7" s="88">
        <v>43469</v>
      </c>
      <c r="D7" s="13">
        <v>43433</v>
      </c>
      <c r="E7" s="86" t="str">
        <f t="shared" si="1"/>
        <v>W1</v>
      </c>
      <c r="F7" s="86" t="str">
        <f t="shared" si="2"/>
        <v>Jan</v>
      </c>
      <c r="G7">
        <v>4</v>
      </c>
      <c r="H7">
        <f t="shared" si="3"/>
        <v>1</v>
      </c>
      <c r="I7" s="87">
        <f t="shared" si="4"/>
        <v>0.12903225806451613</v>
      </c>
      <c r="J7" s="15">
        <f t="shared" si="9"/>
        <v>0</v>
      </c>
      <c r="K7" s="15">
        <f t="shared" si="5"/>
        <v>0</v>
      </c>
      <c r="L7" s="15">
        <f t="shared" si="5"/>
        <v>0</v>
      </c>
      <c r="M7" s="15">
        <f t="shared" si="5"/>
        <v>0</v>
      </c>
      <c r="N7" s="15">
        <f t="shared" si="5"/>
        <v>0</v>
      </c>
      <c r="O7" s="15">
        <f t="shared" si="5"/>
        <v>0</v>
      </c>
      <c r="P7" s="15">
        <f t="shared" si="5"/>
        <v>0</v>
      </c>
      <c r="R7" s="99" t="s">
        <v>417</v>
      </c>
      <c r="S7" s="98">
        <v>0.15</v>
      </c>
      <c r="T7" s="97" t="s">
        <v>408</v>
      </c>
      <c r="U7" s="96">
        <v>43525</v>
      </c>
      <c r="V7">
        <f t="shared" si="6"/>
        <v>59</v>
      </c>
      <c r="W7">
        <f t="shared" si="7"/>
        <v>9</v>
      </c>
      <c r="X7" s="95">
        <f t="shared" si="8"/>
        <v>2</v>
      </c>
      <c r="Y7" s="85">
        <f>COUNTA($C$3:H$3)</f>
        <v>6</v>
      </c>
      <c r="Z7" s="85">
        <f>COUNTA($R$3:W$3)</f>
        <v>6</v>
      </c>
      <c r="AC7" t="s">
        <v>416</v>
      </c>
      <c r="AD7">
        <v>30</v>
      </c>
    </row>
    <row r="8" spans="1:30">
      <c r="A8" s="13">
        <v>43434</v>
      </c>
      <c r="B8" s="13">
        <f t="shared" si="0"/>
        <v>43466</v>
      </c>
      <c r="C8" s="88">
        <v>43470</v>
      </c>
      <c r="D8" s="13">
        <v>43434</v>
      </c>
      <c r="E8" s="86" t="str">
        <f t="shared" si="1"/>
        <v>W1</v>
      </c>
      <c r="F8" s="86" t="str">
        <f t="shared" si="2"/>
        <v>Jan</v>
      </c>
      <c r="G8">
        <v>5</v>
      </c>
      <c r="H8">
        <f t="shared" si="3"/>
        <v>1</v>
      </c>
      <c r="I8" s="87">
        <f t="shared" si="4"/>
        <v>0.16129032258064516</v>
      </c>
      <c r="J8" s="15">
        <f t="shared" si="9"/>
        <v>0</v>
      </c>
      <c r="K8" s="15">
        <f t="shared" si="5"/>
        <v>0</v>
      </c>
      <c r="L8" s="15">
        <f t="shared" si="5"/>
        <v>0</v>
      </c>
      <c r="M8" s="15">
        <f t="shared" si="5"/>
        <v>0</v>
      </c>
      <c r="N8" s="15">
        <f t="shared" si="5"/>
        <v>0</v>
      </c>
      <c r="O8" s="15">
        <f t="shared" si="5"/>
        <v>0</v>
      </c>
      <c r="P8" s="15">
        <f t="shared" si="5"/>
        <v>0</v>
      </c>
      <c r="R8" s="99" t="s">
        <v>415</v>
      </c>
      <c r="S8" s="98">
        <v>0.15</v>
      </c>
      <c r="T8" s="97" t="s">
        <v>408</v>
      </c>
      <c r="U8" s="96">
        <v>43525</v>
      </c>
      <c r="V8">
        <f t="shared" si="6"/>
        <v>59</v>
      </c>
      <c r="W8">
        <f t="shared" si="7"/>
        <v>9</v>
      </c>
      <c r="X8" s="95">
        <f t="shared" si="8"/>
        <v>2</v>
      </c>
      <c r="Y8" s="85">
        <f>COUNTA($C$3:H$3)</f>
        <v>6</v>
      </c>
      <c r="Z8" s="85">
        <f>COUNTA($R$3:W$3)</f>
        <v>6</v>
      </c>
      <c r="AC8" t="s">
        <v>414</v>
      </c>
      <c r="AD8">
        <v>31</v>
      </c>
    </row>
    <row r="9" spans="1:30">
      <c r="A9" s="13">
        <v>43435</v>
      </c>
      <c r="B9" s="13">
        <f t="shared" si="0"/>
        <v>43466</v>
      </c>
      <c r="C9" s="88">
        <v>43471</v>
      </c>
      <c r="D9" s="13">
        <v>43435</v>
      </c>
      <c r="E9" s="86" t="str">
        <f t="shared" si="1"/>
        <v>W2</v>
      </c>
      <c r="F9" s="86" t="str">
        <f t="shared" si="2"/>
        <v>Jan</v>
      </c>
      <c r="G9">
        <v>6</v>
      </c>
      <c r="H9">
        <f t="shared" si="3"/>
        <v>2</v>
      </c>
      <c r="I9" s="87">
        <f t="shared" si="4"/>
        <v>0.19354838709677419</v>
      </c>
      <c r="J9" s="15">
        <f t="shared" si="9"/>
        <v>0</v>
      </c>
      <c r="K9" s="15">
        <f t="shared" si="5"/>
        <v>0</v>
      </c>
      <c r="L9" s="15">
        <f t="shared" si="5"/>
        <v>0</v>
      </c>
      <c r="M9" s="15">
        <f t="shared" si="5"/>
        <v>0</v>
      </c>
      <c r="N9" s="15">
        <f t="shared" si="5"/>
        <v>0</v>
      </c>
      <c r="O9" s="15">
        <f t="shared" si="5"/>
        <v>0</v>
      </c>
      <c r="P9" s="15">
        <f t="shared" si="5"/>
        <v>0</v>
      </c>
      <c r="R9" s="99" t="s">
        <v>413</v>
      </c>
      <c r="S9" s="98">
        <v>0.15</v>
      </c>
      <c r="T9" s="97" t="s">
        <v>408</v>
      </c>
      <c r="U9" s="96">
        <v>43525</v>
      </c>
      <c r="V9">
        <f t="shared" si="6"/>
        <v>59</v>
      </c>
      <c r="W9">
        <f t="shared" si="7"/>
        <v>9</v>
      </c>
      <c r="X9" s="95">
        <f t="shared" si="8"/>
        <v>2</v>
      </c>
      <c r="Y9" s="85">
        <f>COUNTA($C$3:H$3)</f>
        <v>6</v>
      </c>
      <c r="Z9" s="85">
        <f>COUNTA($R$3:W$3)</f>
        <v>6</v>
      </c>
      <c r="AC9" t="s">
        <v>412</v>
      </c>
      <c r="AD9">
        <v>30</v>
      </c>
    </row>
    <row r="10" spans="1:30">
      <c r="A10" s="13">
        <v>43436</v>
      </c>
      <c r="B10" s="13">
        <f t="shared" si="0"/>
        <v>43466</v>
      </c>
      <c r="C10" s="88">
        <v>43472</v>
      </c>
      <c r="D10" s="13">
        <v>43436</v>
      </c>
      <c r="E10" s="86" t="str">
        <f t="shared" si="1"/>
        <v>W2</v>
      </c>
      <c r="F10" s="86" t="str">
        <f t="shared" si="2"/>
        <v>Jan</v>
      </c>
      <c r="G10">
        <v>7</v>
      </c>
      <c r="H10">
        <f t="shared" si="3"/>
        <v>2</v>
      </c>
      <c r="I10" s="87">
        <f t="shared" si="4"/>
        <v>0.22580645161290322</v>
      </c>
      <c r="J10" s="15">
        <f t="shared" si="9"/>
        <v>0</v>
      </c>
      <c r="K10" s="15">
        <f t="shared" si="5"/>
        <v>0</v>
      </c>
      <c r="L10" s="15">
        <f t="shared" si="5"/>
        <v>0</v>
      </c>
      <c r="M10" s="15">
        <f t="shared" si="5"/>
        <v>0</v>
      </c>
      <c r="N10" s="15">
        <f t="shared" si="5"/>
        <v>0</v>
      </c>
      <c r="O10" s="15">
        <f t="shared" si="5"/>
        <v>0</v>
      </c>
      <c r="P10" s="15">
        <f t="shared" si="5"/>
        <v>0</v>
      </c>
      <c r="R10" s="99" t="s">
        <v>411</v>
      </c>
      <c r="S10" s="98">
        <v>0.17</v>
      </c>
      <c r="T10" s="97" t="s">
        <v>408</v>
      </c>
      <c r="U10" s="96">
        <v>43497</v>
      </c>
      <c r="V10">
        <f t="shared" si="6"/>
        <v>31</v>
      </c>
      <c r="W10">
        <f t="shared" si="7"/>
        <v>5</v>
      </c>
      <c r="X10" s="95">
        <f t="shared" si="8"/>
        <v>1</v>
      </c>
      <c r="Y10" s="85">
        <f>COUNTA($C$3:H$3)</f>
        <v>6</v>
      </c>
      <c r="Z10" s="85">
        <f>COUNTA($R$3:W$3)</f>
        <v>6</v>
      </c>
      <c r="AC10" t="s">
        <v>410</v>
      </c>
      <c r="AD10">
        <v>31</v>
      </c>
    </row>
    <row r="11" spans="1:30">
      <c r="A11" s="13">
        <v>43437</v>
      </c>
      <c r="B11" s="13">
        <f t="shared" si="0"/>
        <v>43466</v>
      </c>
      <c r="C11" s="88">
        <v>43473</v>
      </c>
      <c r="D11" s="13">
        <v>43437</v>
      </c>
      <c r="E11" s="86" t="str">
        <f t="shared" si="1"/>
        <v>W2</v>
      </c>
      <c r="F11" s="86" t="str">
        <f t="shared" si="2"/>
        <v>Jan</v>
      </c>
      <c r="G11">
        <v>8</v>
      </c>
      <c r="H11">
        <f t="shared" si="3"/>
        <v>2</v>
      </c>
      <c r="I11" s="87">
        <f t="shared" si="4"/>
        <v>0.25806451612903225</v>
      </c>
      <c r="J11" s="15">
        <f t="shared" si="9"/>
        <v>0</v>
      </c>
      <c r="K11" s="15">
        <f t="shared" si="5"/>
        <v>0</v>
      </c>
      <c r="L11" s="15">
        <f t="shared" si="5"/>
        <v>0</v>
      </c>
      <c r="M11" s="15">
        <f t="shared" si="5"/>
        <v>0</v>
      </c>
      <c r="N11" s="15">
        <f t="shared" si="5"/>
        <v>0</v>
      </c>
      <c r="O11" s="15">
        <f t="shared" si="5"/>
        <v>0</v>
      </c>
      <c r="P11" s="15">
        <f t="shared" si="5"/>
        <v>0</v>
      </c>
      <c r="R11" s="99" t="s">
        <v>409</v>
      </c>
      <c r="S11" s="98">
        <v>0.16</v>
      </c>
      <c r="T11" s="97" t="s">
        <v>408</v>
      </c>
      <c r="U11" s="96">
        <v>43525</v>
      </c>
      <c r="V11">
        <f t="shared" si="6"/>
        <v>59</v>
      </c>
      <c r="W11">
        <f t="shared" si="7"/>
        <v>9</v>
      </c>
      <c r="X11" s="95">
        <f t="shared" si="8"/>
        <v>2</v>
      </c>
      <c r="Y11" s="85">
        <f>COUNTA($C$3:H$3)</f>
        <v>6</v>
      </c>
      <c r="Z11" s="85">
        <f>COUNTA($R$3:W$3)</f>
        <v>6</v>
      </c>
      <c r="AC11" t="s">
        <v>407</v>
      </c>
      <c r="AD11">
        <v>31</v>
      </c>
    </row>
    <row r="12" spans="1:30">
      <c r="A12" s="13">
        <v>43438</v>
      </c>
      <c r="B12" s="13">
        <f t="shared" si="0"/>
        <v>43466</v>
      </c>
      <c r="C12" s="88">
        <v>43474</v>
      </c>
      <c r="D12" s="13">
        <v>43438</v>
      </c>
      <c r="E12" s="86" t="str">
        <f t="shared" si="1"/>
        <v>W2</v>
      </c>
      <c r="F12" s="86" t="str">
        <f t="shared" si="2"/>
        <v>Jan</v>
      </c>
      <c r="G12">
        <v>9</v>
      </c>
      <c r="H12">
        <f t="shared" si="3"/>
        <v>2</v>
      </c>
      <c r="I12" s="87">
        <f t="shared" si="4"/>
        <v>0.29032258064516131</v>
      </c>
      <c r="J12" s="15">
        <f t="shared" si="9"/>
        <v>0</v>
      </c>
      <c r="K12" s="15">
        <f t="shared" si="5"/>
        <v>0</v>
      </c>
      <c r="L12" s="15">
        <f t="shared" si="5"/>
        <v>0</v>
      </c>
      <c r="M12" s="15">
        <f t="shared" si="5"/>
        <v>0</v>
      </c>
      <c r="N12" s="15">
        <f t="shared" si="5"/>
        <v>0</v>
      </c>
      <c r="O12" s="15">
        <f t="shared" si="5"/>
        <v>0</v>
      </c>
      <c r="P12" s="15">
        <f t="shared" si="5"/>
        <v>0</v>
      </c>
      <c r="R12" s="94" t="s">
        <v>406</v>
      </c>
      <c r="S12" s="93">
        <v>1.4999999999999999E-2</v>
      </c>
      <c r="T12" s="92" t="s">
        <v>405</v>
      </c>
      <c r="U12" s="91">
        <v>43525</v>
      </c>
      <c r="V12" s="90">
        <f t="shared" si="6"/>
        <v>59</v>
      </c>
      <c r="W12" s="90">
        <f t="shared" si="7"/>
        <v>9</v>
      </c>
      <c r="X12" s="89">
        <f t="shared" si="8"/>
        <v>2</v>
      </c>
      <c r="Y12" s="85">
        <f>COUNTA($C$3:G$3)</f>
        <v>5</v>
      </c>
      <c r="Z12" s="85">
        <f>COUNTA($R$3:V$3)</f>
        <v>5</v>
      </c>
      <c r="AC12" t="s">
        <v>404</v>
      </c>
      <c r="AD12">
        <v>30</v>
      </c>
    </row>
    <row r="13" spans="1:30">
      <c r="A13" s="13">
        <v>43439</v>
      </c>
      <c r="B13" s="13">
        <f t="shared" si="0"/>
        <v>43466</v>
      </c>
      <c r="C13" s="88">
        <v>43475</v>
      </c>
      <c r="D13" s="13">
        <v>43439</v>
      </c>
      <c r="E13" s="86" t="str">
        <f t="shared" si="1"/>
        <v>W2</v>
      </c>
      <c r="F13" s="86" t="str">
        <f t="shared" si="2"/>
        <v>Jan</v>
      </c>
      <c r="G13">
        <v>10</v>
      </c>
      <c r="H13">
        <f t="shared" si="3"/>
        <v>2</v>
      </c>
      <c r="I13" s="87">
        <f t="shared" si="4"/>
        <v>0.32258064516129031</v>
      </c>
      <c r="J13" s="15">
        <f t="shared" si="9"/>
        <v>0</v>
      </c>
      <c r="K13" s="15">
        <f t="shared" si="5"/>
        <v>0</v>
      </c>
      <c r="L13" s="15">
        <f t="shared" si="5"/>
        <v>0</v>
      </c>
      <c r="M13" s="15">
        <f t="shared" si="5"/>
        <v>0</v>
      </c>
      <c r="N13" s="15">
        <f t="shared" si="5"/>
        <v>0</v>
      </c>
      <c r="O13" s="15">
        <f t="shared" si="5"/>
        <v>0</v>
      </c>
      <c r="P13" s="15">
        <f t="shared" si="5"/>
        <v>0</v>
      </c>
      <c r="AC13" t="s">
        <v>403</v>
      </c>
      <c r="AD13">
        <v>31</v>
      </c>
    </row>
    <row r="14" spans="1:30">
      <c r="A14" s="13">
        <v>43440</v>
      </c>
      <c r="B14" s="13">
        <f t="shared" si="0"/>
        <v>43466</v>
      </c>
      <c r="C14" s="88">
        <v>43476</v>
      </c>
      <c r="D14" s="13">
        <v>43440</v>
      </c>
      <c r="E14" s="86" t="str">
        <f t="shared" si="1"/>
        <v>W2</v>
      </c>
      <c r="F14" s="86" t="str">
        <f t="shared" si="2"/>
        <v>Jan</v>
      </c>
      <c r="G14">
        <v>11</v>
      </c>
      <c r="H14">
        <f t="shared" si="3"/>
        <v>2</v>
      </c>
      <c r="I14" s="87">
        <f t="shared" si="4"/>
        <v>0.35483870967741937</v>
      </c>
      <c r="J14" s="15">
        <f t="shared" si="9"/>
        <v>0</v>
      </c>
      <c r="K14" s="15">
        <f t="shared" si="5"/>
        <v>0</v>
      </c>
      <c r="L14" s="15">
        <f t="shared" si="5"/>
        <v>0</v>
      </c>
      <c r="M14" s="15">
        <f t="shared" si="5"/>
        <v>0</v>
      </c>
      <c r="N14" s="15">
        <f t="shared" si="5"/>
        <v>0</v>
      </c>
      <c r="O14" s="15">
        <f t="shared" si="5"/>
        <v>0</v>
      </c>
      <c r="P14" s="15">
        <f t="shared" si="5"/>
        <v>0</v>
      </c>
      <c r="AC14" t="s">
        <v>402</v>
      </c>
      <c r="AD14">
        <v>30</v>
      </c>
    </row>
    <row r="15" spans="1:30">
      <c r="A15" s="13">
        <v>43441</v>
      </c>
      <c r="B15" s="13">
        <f t="shared" si="0"/>
        <v>43466</v>
      </c>
      <c r="C15" s="88">
        <v>43477</v>
      </c>
      <c r="D15" s="13">
        <v>43441</v>
      </c>
      <c r="E15" s="86" t="str">
        <f t="shared" si="1"/>
        <v>W2</v>
      </c>
      <c r="F15" s="86" t="str">
        <f t="shared" si="2"/>
        <v>Jan</v>
      </c>
      <c r="G15">
        <v>12</v>
      </c>
      <c r="H15">
        <f t="shared" si="3"/>
        <v>2</v>
      </c>
      <c r="I15" s="87">
        <f t="shared" si="4"/>
        <v>0.38709677419354838</v>
      </c>
      <c r="J15" s="15">
        <f t="shared" si="9"/>
        <v>0</v>
      </c>
      <c r="K15" s="15">
        <f t="shared" si="5"/>
        <v>0</v>
      </c>
      <c r="L15" s="15">
        <f t="shared" si="5"/>
        <v>0</v>
      </c>
      <c r="M15" s="15">
        <f t="shared" si="5"/>
        <v>0</v>
      </c>
      <c r="N15" s="15">
        <f t="shared" si="5"/>
        <v>0</v>
      </c>
      <c r="O15" s="15">
        <f t="shared" si="5"/>
        <v>0</v>
      </c>
      <c r="P15" s="15">
        <f t="shared" si="5"/>
        <v>0</v>
      </c>
      <c r="AC15" t="s">
        <v>401</v>
      </c>
      <c r="AD15">
        <v>31</v>
      </c>
    </row>
    <row r="16" spans="1:30">
      <c r="A16" s="13">
        <v>43442</v>
      </c>
      <c r="B16" s="13">
        <f t="shared" si="0"/>
        <v>43466</v>
      </c>
      <c r="C16" s="88">
        <v>43478</v>
      </c>
      <c r="D16" s="13">
        <v>43442</v>
      </c>
      <c r="E16" s="86" t="str">
        <f t="shared" si="1"/>
        <v>W3</v>
      </c>
      <c r="F16" s="86" t="str">
        <f t="shared" si="2"/>
        <v>Jan</v>
      </c>
      <c r="G16">
        <v>13</v>
      </c>
      <c r="H16">
        <f t="shared" si="3"/>
        <v>3</v>
      </c>
      <c r="I16" s="87">
        <f t="shared" si="4"/>
        <v>0.41935483870967744</v>
      </c>
      <c r="J16" s="15">
        <f t="shared" si="9"/>
        <v>0</v>
      </c>
      <c r="K16" s="15">
        <f t="shared" si="5"/>
        <v>0</v>
      </c>
      <c r="L16" s="15">
        <f t="shared" si="5"/>
        <v>0</v>
      </c>
      <c r="M16" s="15">
        <f t="shared" si="5"/>
        <v>0</v>
      </c>
      <c r="N16" s="15">
        <f t="shared" si="5"/>
        <v>0</v>
      </c>
      <c r="O16" s="15">
        <f t="shared" si="5"/>
        <v>0</v>
      </c>
      <c r="P16" s="15">
        <f t="shared" si="5"/>
        <v>0</v>
      </c>
    </row>
    <row r="17" spans="1:16">
      <c r="A17" s="13">
        <v>43443</v>
      </c>
      <c r="B17" s="13">
        <f t="shared" si="0"/>
        <v>43466</v>
      </c>
      <c r="C17" s="88">
        <v>43479</v>
      </c>
      <c r="D17" s="13">
        <v>43443</v>
      </c>
      <c r="E17" s="86" t="str">
        <f t="shared" si="1"/>
        <v>W3</v>
      </c>
      <c r="F17" s="86" t="str">
        <f t="shared" si="2"/>
        <v>Jan</v>
      </c>
      <c r="G17">
        <v>14</v>
      </c>
      <c r="H17">
        <f t="shared" si="3"/>
        <v>3</v>
      </c>
      <c r="I17" s="87">
        <f t="shared" si="4"/>
        <v>0.45161290322580644</v>
      </c>
      <c r="J17" s="15">
        <f t="shared" si="9"/>
        <v>0</v>
      </c>
      <c r="K17" s="15">
        <f t="shared" si="5"/>
        <v>0</v>
      </c>
      <c r="L17" s="15">
        <f t="shared" si="5"/>
        <v>0</v>
      </c>
      <c r="M17" s="15">
        <f t="shared" si="5"/>
        <v>0</v>
      </c>
      <c r="N17" s="15">
        <f t="shared" si="5"/>
        <v>0</v>
      </c>
      <c r="O17" s="15">
        <f t="shared" si="5"/>
        <v>0</v>
      </c>
      <c r="P17" s="15">
        <f t="shared" si="5"/>
        <v>0</v>
      </c>
    </row>
    <row r="18" spans="1:16">
      <c r="A18" s="13">
        <v>43444</v>
      </c>
      <c r="B18" s="13">
        <f t="shared" si="0"/>
        <v>43466</v>
      </c>
      <c r="C18" s="88">
        <v>43480</v>
      </c>
      <c r="D18" s="13">
        <v>43444</v>
      </c>
      <c r="E18" s="86" t="str">
        <f t="shared" si="1"/>
        <v>W3</v>
      </c>
      <c r="F18" s="86" t="str">
        <f t="shared" si="2"/>
        <v>Jan</v>
      </c>
      <c r="G18">
        <v>15</v>
      </c>
      <c r="H18">
        <f t="shared" si="3"/>
        <v>3</v>
      </c>
      <c r="I18" s="87">
        <f t="shared" si="4"/>
        <v>0.4838709677419355</v>
      </c>
      <c r="J18" s="15">
        <f t="shared" si="9"/>
        <v>0</v>
      </c>
      <c r="K18" s="15">
        <f t="shared" si="5"/>
        <v>0</v>
      </c>
      <c r="L18" s="15">
        <f t="shared" si="5"/>
        <v>0</v>
      </c>
      <c r="M18" s="15">
        <f t="shared" si="5"/>
        <v>0</v>
      </c>
      <c r="N18" s="15">
        <f t="shared" si="5"/>
        <v>0</v>
      </c>
      <c r="O18" s="15">
        <f t="shared" si="5"/>
        <v>0</v>
      </c>
      <c r="P18" s="15">
        <f t="shared" si="5"/>
        <v>0</v>
      </c>
    </row>
    <row r="19" spans="1:16">
      <c r="A19" s="13">
        <v>43445</v>
      </c>
      <c r="B19" s="13">
        <f t="shared" si="0"/>
        <v>43466</v>
      </c>
      <c r="C19" s="88">
        <v>43481</v>
      </c>
      <c r="D19" s="13">
        <v>43445</v>
      </c>
      <c r="E19" s="86" t="str">
        <f t="shared" si="1"/>
        <v>W3</v>
      </c>
      <c r="F19" s="86" t="str">
        <f t="shared" si="2"/>
        <v>Jan</v>
      </c>
      <c r="G19">
        <v>16</v>
      </c>
      <c r="H19">
        <f t="shared" si="3"/>
        <v>3</v>
      </c>
      <c r="I19" s="87">
        <f t="shared" si="4"/>
        <v>0.5161290322580645</v>
      </c>
      <c r="J19" s="15">
        <f t="shared" si="9"/>
        <v>0</v>
      </c>
      <c r="K19" s="15">
        <f t="shared" si="5"/>
        <v>0</v>
      </c>
      <c r="L19" s="15">
        <f t="shared" si="5"/>
        <v>0</v>
      </c>
      <c r="M19" s="15">
        <f t="shared" si="5"/>
        <v>0</v>
      </c>
      <c r="N19" s="15">
        <f t="shared" si="5"/>
        <v>0</v>
      </c>
      <c r="O19" s="15">
        <f t="shared" si="5"/>
        <v>0</v>
      </c>
      <c r="P19" s="15">
        <f t="shared" si="5"/>
        <v>0</v>
      </c>
    </row>
    <row r="20" spans="1:16">
      <c r="A20" s="13">
        <v>43446</v>
      </c>
      <c r="B20" s="13">
        <f t="shared" si="0"/>
        <v>43466</v>
      </c>
      <c r="C20" s="88">
        <v>43482</v>
      </c>
      <c r="D20" s="13">
        <v>43446</v>
      </c>
      <c r="E20" s="86" t="str">
        <f t="shared" si="1"/>
        <v>W3</v>
      </c>
      <c r="F20" s="86" t="str">
        <f t="shared" si="2"/>
        <v>Jan</v>
      </c>
      <c r="G20">
        <v>17</v>
      </c>
      <c r="H20">
        <f t="shared" si="3"/>
        <v>3</v>
      </c>
      <c r="I20" s="87">
        <f t="shared" si="4"/>
        <v>0.54838709677419351</v>
      </c>
      <c r="J20" s="15">
        <f t="shared" si="9"/>
        <v>0</v>
      </c>
      <c r="K20" s="15">
        <f t="shared" si="9"/>
        <v>0</v>
      </c>
      <c r="L20" s="15">
        <f t="shared" si="9"/>
        <v>0</v>
      </c>
      <c r="M20" s="15">
        <f t="shared" si="9"/>
        <v>0</v>
      </c>
      <c r="N20" s="15">
        <f t="shared" si="9"/>
        <v>0</v>
      </c>
      <c r="O20" s="15">
        <f t="shared" si="9"/>
        <v>0</v>
      </c>
      <c r="P20" s="15">
        <f t="shared" si="9"/>
        <v>0</v>
      </c>
    </row>
    <row r="21" spans="1:16">
      <c r="A21" s="13">
        <v>43447</v>
      </c>
      <c r="B21" s="13">
        <f t="shared" si="0"/>
        <v>43466</v>
      </c>
      <c r="C21" s="88">
        <v>43483</v>
      </c>
      <c r="D21" s="13">
        <v>43447</v>
      </c>
      <c r="E21" s="86" t="str">
        <f t="shared" si="1"/>
        <v>W3</v>
      </c>
      <c r="F21" s="86" t="str">
        <f t="shared" si="2"/>
        <v>Jan</v>
      </c>
      <c r="G21">
        <v>18</v>
      </c>
      <c r="H21">
        <f t="shared" si="3"/>
        <v>3</v>
      </c>
      <c r="I21" s="87">
        <f t="shared" si="4"/>
        <v>0.58064516129032262</v>
      </c>
      <c r="J21" s="15">
        <f t="shared" si="9"/>
        <v>0</v>
      </c>
      <c r="K21" s="15">
        <f t="shared" si="9"/>
        <v>0</v>
      </c>
      <c r="L21" s="15">
        <f t="shared" si="9"/>
        <v>0</v>
      </c>
      <c r="M21" s="15">
        <f t="shared" si="9"/>
        <v>0</v>
      </c>
      <c r="N21" s="15">
        <f t="shared" si="9"/>
        <v>0</v>
      </c>
      <c r="O21" s="15">
        <f t="shared" si="9"/>
        <v>0</v>
      </c>
      <c r="P21" s="15">
        <f t="shared" si="9"/>
        <v>0</v>
      </c>
    </row>
    <row r="22" spans="1:16">
      <c r="A22" s="13">
        <v>43448</v>
      </c>
      <c r="B22" s="13">
        <f t="shared" si="0"/>
        <v>43466</v>
      </c>
      <c r="C22" s="88">
        <v>43484</v>
      </c>
      <c r="D22" s="13">
        <v>43448</v>
      </c>
      <c r="E22" s="86" t="str">
        <f t="shared" si="1"/>
        <v>W3</v>
      </c>
      <c r="F22" s="86" t="str">
        <f t="shared" si="2"/>
        <v>Jan</v>
      </c>
      <c r="G22">
        <v>19</v>
      </c>
      <c r="H22">
        <f t="shared" si="3"/>
        <v>3</v>
      </c>
      <c r="I22" s="87">
        <f t="shared" si="4"/>
        <v>0.61290322580645162</v>
      </c>
      <c r="J22" s="15">
        <f t="shared" si="9"/>
        <v>0</v>
      </c>
      <c r="K22" s="15">
        <f t="shared" si="9"/>
        <v>0</v>
      </c>
      <c r="L22" s="15">
        <f t="shared" si="9"/>
        <v>0</v>
      </c>
      <c r="M22" s="15">
        <f t="shared" si="9"/>
        <v>0</v>
      </c>
      <c r="N22" s="15">
        <f t="shared" si="9"/>
        <v>0</v>
      </c>
      <c r="O22" s="15">
        <f t="shared" si="9"/>
        <v>0</v>
      </c>
      <c r="P22" s="15">
        <f t="shared" si="9"/>
        <v>0</v>
      </c>
    </row>
    <row r="23" spans="1:16">
      <c r="A23" s="13">
        <v>43449</v>
      </c>
      <c r="B23" s="13">
        <f t="shared" si="0"/>
        <v>43466</v>
      </c>
      <c r="C23" s="88">
        <v>43485</v>
      </c>
      <c r="D23" s="13">
        <v>43449</v>
      </c>
      <c r="E23" s="86" t="str">
        <f t="shared" si="1"/>
        <v>W4</v>
      </c>
      <c r="F23" s="86" t="str">
        <f t="shared" si="2"/>
        <v>Jan</v>
      </c>
      <c r="G23">
        <v>20</v>
      </c>
      <c r="H23">
        <f t="shared" si="3"/>
        <v>4</v>
      </c>
      <c r="I23" s="87">
        <f t="shared" si="4"/>
        <v>0.64516129032258063</v>
      </c>
      <c r="J23" s="15">
        <f t="shared" si="9"/>
        <v>0</v>
      </c>
      <c r="K23" s="15">
        <f t="shared" si="9"/>
        <v>0</v>
      </c>
      <c r="L23" s="15">
        <f t="shared" si="9"/>
        <v>0</v>
      </c>
      <c r="M23" s="15">
        <f t="shared" si="9"/>
        <v>0</v>
      </c>
      <c r="N23" s="15">
        <f t="shared" si="9"/>
        <v>0</v>
      </c>
      <c r="O23" s="15">
        <f t="shared" si="9"/>
        <v>0</v>
      </c>
      <c r="P23" s="15">
        <f t="shared" si="9"/>
        <v>0</v>
      </c>
    </row>
    <row r="24" spans="1:16">
      <c r="A24" s="13">
        <v>43450</v>
      </c>
      <c r="B24" s="13">
        <f t="shared" si="0"/>
        <v>43466</v>
      </c>
      <c r="C24" s="88">
        <v>43486</v>
      </c>
      <c r="D24" s="13">
        <v>43450</v>
      </c>
      <c r="E24" s="86" t="str">
        <f t="shared" si="1"/>
        <v>W4</v>
      </c>
      <c r="F24" s="86" t="str">
        <f t="shared" si="2"/>
        <v>Jan</v>
      </c>
      <c r="G24">
        <v>21</v>
      </c>
      <c r="H24">
        <f t="shared" si="3"/>
        <v>4</v>
      </c>
      <c r="I24" s="87">
        <f t="shared" si="4"/>
        <v>0.67741935483870963</v>
      </c>
      <c r="J24" s="15">
        <f t="shared" si="9"/>
        <v>0</v>
      </c>
      <c r="K24" s="15">
        <f t="shared" si="9"/>
        <v>0</v>
      </c>
      <c r="L24" s="15">
        <f t="shared" si="9"/>
        <v>0</v>
      </c>
      <c r="M24" s="15">
        <f t="shared" si="9"/>
        <v>0</v>
      </c>
      <c r="N24" s="15">
        <f t="shared" si="9"/>
        <v>0</v>
      </c>
      <c r="O24" s="15">
        <f t="shared" si="9"/>
        <v>0</v>
      </c>
      <c r="P24" s="15">
        <f t="shared" si="9"/>
        <v>0</v>
      </c>
    </row>
    <row r="25" spans="1:16">
      <c r="A25" s="13">
        <v>43451</v>
      </c>
      <c r="B25" s="13">
        <f t="shared" si="0"/>
        <v>43466</v>
      </c>
      <c r="C25" s="88">
        <v>43487</v>
      </c>
      <c r="D25" s="13">
        <v>43451</v>
      </c>
      <c r="E25" s="86" t="str">
        <f t="shared" si="1"/>
        <v>W4</v>
      </c>
      <c r="F25" s="86" t="str">
        <f t="shared" si="2"/>
        <v>Jan</v>
      </c>
      <c r="G25">
        <v>22</v>
      </c>
      <c r="H25">
        <f t="shared" si="3"/>
        <v>4</v>
      </c>
      <c r="I25" s="87">
        <f t="shared" si="4"/>
        <v>0.70967741935483875</v>
      </c>
      <c r="J25" s="15">
        <f t="shared" si="9"/>
        <v>0</v>
      </c>
      <c r="K25" s="15">
        <f t="shared" si="9"/>
        <v>0</v>
      </c>
      <c r="L25" s="15">
        <f t="shared" si="9"/>
        <v>0</v>
      </c>
      <c r="M25" s="15">
        <f t="shared" si="9"/>
        <v>0</v>
      </c>
      <c r="N25" s="15">
        <f t="shared" si="9"/>
        <v>0</v>
      </c>
      <c r="O25" s="15">
        <f t="shared" si="9"/>
        <v>0</v>
      </c>
      <c r="P25" s="15">
        <f t="shared" si="9"/>
        <v>0</v>
      </c>
    </row>
    <row r="26" spans="1:16">
      <c r="A26" s="13">
        <v>43452</v>
      </c>
      <c r="B26" s="13">
        <f t="shared" si="0"/>
        <v>43466</v>
      </c>
      <c r="C26" s="88">
        <v>43488</v>
      </c>
      <c r="D26" s="13">
        <v>43452</v>
      </c>
      <c r="E26" s="86" t="str">
        <f t="shared" si="1"/>
        <v>W4</v>
      </c>
      <c r="F26" s="86" t="str">
        <f t="shared" si="2"/>
        <v>Jan</v>
      </c>
      <c r="G26">
        <v>23</v>
      </c>
      <c r="H26">
        <f t="shared" si="3"/>
        <v>4</v>
      </c>
      <c r="I26" s="87">
        <f t="shared" si="4"/>
        <v>0.74193548387096775</v>
      </c>
      <c r="J26" s="15">
        <f t="shared" si="9"/>
        <v>0</v>
      </c>
      <c r="K26" s="15">
        <f t="shared" si="9"/>
        <v>0</v>
      </c>
      <c r="L26" s="15">
        <f t="shared" si="9"/>
        <v>0</v>
      </c>
      <c r="M26" s="15">
        <f t="shared" si="9"/>
        <v>0</v>
      </c>
      <c r="N26" s="15">
        <f t="shared" si="9"/>
        <v>0</v>
      </c>
      <c r="O26" s="15">
        <f t="shared" si="9"/>
        <v>0</v>
      </c>
      <c r="P26" s="15">
        <f t="shared" si="9"/>
        <v>0</v>
      </c>
    </row>
    <row r="27" spans="1:16">
      <c r="A27" s="13">
        <v>43453</v>
      </c>
      <c r="B27" s="13">
        <f t="shared" si="0"/>
        <v>43466</v>
      </c>
      <c r="C27" s="88">
        <v>43489</v>
      </c>
      <c r="D27" s="13">
        <v>43453</v>
      </c>
      <c r="E27" s="86" t="str">
        <f t="shared" si="1"/>
        <v>W4</v>
      </c>
      <c r="F27" s="86" t="str">
        <f t="shared" si="2"/>
        <v>Jan</v>
      </c>
      <c r="G27">
        <v>24</v>
      </c>
      <c r="H27">
        <f t="shared" si="3"/>
        <v>4</v>
      </c>
      <c r="I27" s="87">
        <f t="shared" si="4"/>
        <v>0.77419354838709675</v>
      </c>
      <c r="J27" s="15">
        <f t="shared" si="9"/>
        <v>0</v>
      </c>
      <c r="K27" s="15">
        <f t="shared" si="9"/>
        <v>0</v>
      </c>
      <c r="L27" s="15">
        <f t="shared" si="9"/>
        <v>0</v>
      </c>
      <c r="M27" s="15">
        <f t="shared" si="9"/>
        <v>0</v>
      </c>
      <c r="N27" s="15">
        <f t="shared" si="9"/>
        <v>0</v>
      </c>
      <c r="O27" s="15">
        <f t="shared" si="9"/>
        <v>0</v>
      </c>
      <c r="P27" s="15">
        <f t="shared" si="9"/>
        <v>0</v>
      </c>
    </row>
    <row r="28" spans="1:16">
      <c r="A28" s="13">
        <v>43454</v>
      </c>
      <c r="B28" s="13">
        <f t="shared" si="0"/>
        <v>43466</v>
      </c>
      <c r="C28" s="88">
        <v>43490</v>
      </c>
      <c r="D28" s="13">
        <v>43454</v>
      </c>
      <c r="E28" s="86" t="str">
        <f t="shared" si="1"/>
        <v>W4</v>
      </c>
      <c r="F28" s="86" t="str">
        <f t="shared" si="2"/>
        <v>Jan</v>
      </c>
      <c r="G28">
        <v>25</v>
      </c>
      <c r="H28">
        <f t="shared" si="3"/>
        <v>4</v>
      </c>
      <c r="I28" s="87">
        <f t="shared" si="4"/>
        <v>0.80645161290322576</v>
      </c>
      <c r="J28" s="15">
        <f t="shared" si="9"/>
        <v>0</v>
      </c>
      <c r="K28" s="15">
        <f t="shared" si="9"/>
        <v>0</v>
      </c>
      <c r="L28" s="15">
        <f t="shared" si="9"/>
        <v>0</v>
      </c>
      <c r="M28" s="15">
        <f t="shared" si="9"/>
        <v>0</v>
      </c>
      <c r="N28" s="15">
        <f t="shared" si="9"/>
        <v>0</v>
      </c>
      <c r="O28" s="15">
        <f t="shared" si="9"/>
        <v>0</v>
      </c>
      <c r="P28" s="15">
        <f t="shared" si="9"/>
        <v>0</v>
      </c>
    </row>
    <row r="29" spans="1:16">
      <c r="A29" s="13">
        <v>43455</v>
      </c>
      <c r="B29" s="13">
        <f t="shared" si="0"/>
        <v>43466</v>
      </c>
      <c r="C29" s="88">
        <v>43491</v>
      </c>
      <c r="D29" s="13">
        <v>43455</v>
      </c>
      <c r="E29" s="86" t="str">
        <f t="shared" si="1"/>
        <v>W4</v>
      </c>
      <c r="F29" s="86" t="str">
        <f t="shared" si="2"/>
        <v>Jan</v>
      </c>
      <c r="G29">
        <v>26</v>
      </c>
      <c r="H29">
        <f t="shared" si="3"/>
        <v>4</v>
      </c>
      <c r="I29" s="87">
        <f t="shared" si="4"/>
        <v>0.83870967741935487</v>
      </c>
      <c r="J29" s="15">
        <f t="shared" si="9"/>
        <v>0</v>
      </c>
      <c r="K29" s="15">
        <f t="shared" si="9"/>
        <v>0</v>
      </c>
      <c r="L29" s="15">
        <f t="shared" si="9"/>
        <v>0</v>
      </c>
      <c r="M29" s="15">
        <f t="shared" si="9"/>
        <v>0</v>
      </c>
      <c r="N29" s="15">
        <f t="shared" si="9"/>
        <v>0</v>
      </c>
      <c r="O29" s="15">
        <f t="shared" si="9"/>
        <v>0</v>
      </c>
      <c r="P29" s="15">
        <f t="shared" si="9"/>
        <v>0</v>
      </c>
    </row>
    <row r="30" spans="1:16">
      <c r="A30" s="13">
        <v>43456</v>
      </c>
      <c r="B30" s="13">
        <f t="shared" si="0"/>
        <v>43466</v>
      </c>
      <c r="C30" s="88">
        <v>43492</v>
      </c>
      <c r="D30" s="13">
        <v>43456</v>
      </c>
      <c r="E30" s="86" t="str">
        <f t="shared" si="1"/>
        <v>W5</v>
      </c>
      <c r="F30" s="86" t="str">
        <f t="shared" si="2"/>
        <v>Jan</v>
      </c>
      <c r="G30">
        <v>27</v>
      </c>
      <c r="H30">
        <f t="shared" si="3"/>
        <v>5</v>
      </c>
      <c r="I30" s="87">
        <f t="shared" si="4"/>
        <v>0.87096774193548387</v>
      </c>
      <c r="J30" s="15">
        <f t="shared" si="9"/>
        <v>0</v>
      </c>
      <c r="K30" s="15">
        <f t="shared" si="9"/>
        <v>0</v>
      </c>
      <c r="L30" s="15">
        <f t="shared" si="9"/>
        <v>0</v>
      </c>
      <c r="M30" s="15">
        <f t="shared" si="9"/>
        <v>0</v>
      </c>
      <c r="N30" s="15">
        <f t="shared" si="9"/>
        <v>0</v>
      </c>
      <c r="O30" s="15">
        <f t="shared" si="9"/>
        <v>0</v>
      </c>
      <c r="P30" s="15">
        <f t="shared" si="9"/>
        <v>0</v>
      </c>
    </row>
    <row r="31" spans="1:16">
      <c r="A31" s="13">
        <v>43457</v>
      </c>
      <c r="B31" s="13">
        <f t="shared" si="0"/>
        <v>43466</v>
      </c>
      <c r="C31" s="88">
        <v>43493</v>
      </c>
      <c r="D31" s="13">
        <v>43457</v>
      </c>
      <c r="E31" s="86" t="str">
        <f t="shared" si="1"/>
        <v>W5</v>
      </c>
      <c r="F31" s="86" t="str">
        <f t="shared" si="2"/>
        <v>Jan</v>
      </c>
      <c r="G31">
        <v>28</v>
      </c>
      <c r="H31">
        <f t="shared" si="3"/>
        <v>5</v>
      </c>
      <c r="I31" s="87">
        <f t="shared" si="4"/>
        <v>0.90322580645161288</v>
      </c>
      <c r="J31" s="15">
        <f t="shared" si="9"/>
        <v>0</v>
      </c>
      <c r="K31" s="15">
        <f t="shared" si="9"/>
        <v>0</v>
      </c>
      <c r="L31" s="15">
        <f t="shared" si="9"/>
        <v>0</v>
      </c>
      <c r="M31" s="15">
        <f t="shared" si="9"/>
        <v>0</v>
      </c>
      <c r="N31" s="15">
        <f t="shared" si="9"/>
        <v>0</v>
      </c>
      <c r="O31" s="15">
        <f t="shared" si="9"/>
        <v>0</v>
      </c>
      <c r="P31" s="15">
        <f t="shared" si="9"/>
        <v>0</v>
      </c>
    </row>
    <row r="32" spans="1:16">
      <c r="A32" s="13">
        <v>43458</v>
      </c>
      <c r="B32" s="13">
        <f t="shared" si="0"/>
        <v>43466</v>
      </c>
      <c r="C32" s="88">
        <v>43494</v>
      </c>
      <c r="D32" s="13">
        <v>43458</v>
      </c>
      <c r="E32" s="86" t="str">
        <f t="shared" si="1"/>
        <v>W5</v>
      </c>
      <c r="F32" s="86" t="str">
        <f t="shared" si="2"/>
        <v>Jan</v>
      </c>
      <c r="G32">
        <v>29</v>
      </c>
      <c r="H32">
        <f t="shared" si="3"/>
        <v>5</v>
      </c>
      <c r="I32" s="87">
        <f t="shared" si="4"/>
        <v>0.93548387096774188</v>
      </c>
      <c r="J32" s="15">
        <f t="shared" si="9"/>
        <v>0</v>
      </c>
      <c r="K32" s="15">
        <f t="shared" si="9"/>
        <v>0</v>
      </c>
      <c r="L32" s="15">
        <f t="shared" si="9"/>
        <v>0</v>
      </c>
      <c r="M32" s="15">
        <f t="shared" si="9"/>
        <v>0</v>
      </c>
      <c r="N32" s="15">
        <f t="shared" si="9"/>
        <v>0</v>
      </c>
      <c r="O32" s="15">
        <f t="shared" si="9"/>
        <v>0</v>
      </c>
      <c r="P32" s="15">
        <f t="shared" si="9"/>
        <v>0</v>
      </c>
    </row>
    <row r="33" spans="1:16">
      <c r="A33" s="13">
        <v>43459</v>
      </c>
      <c r="B33" s="13">
        <f t="shared" si="0"/>
        <v>43466</v>
      </c>
      <c r="C33" s="88">
        <v>43495</v>
      </c>
      <c r="D33" s="13">
        <v>43459</v>
      </c>
      <c r="E33" s="86" t="str">
        <f t="shared" si="1"/>
        <v>W5</v>
      </c>
      <c r="F33" s="86" t="str">
        <f t="shared" si="2"/>
        <v>Jan</v>
      </c>
      <c r="G33">
        <v>30</v>
      </c>
      <c r="H33">
        <f t="shared" si="3"/>
        <v>5</v>
      </c>
      <c r="I33" s="87">
        <f t="shared" si="4"/>
        <v>0.967741935483871</v>
      </c>
      <c r="J33" s="15">
        <f t="shared" si="9"/>
        <v>0</v>
      </c>
      <c r="K33" s="15">
        <f t="shared" si="9"/>
        <v>0</v>
      </c>
      <c r="L33" s="15">
        <f t="shared" si="9"/>
        <v>0</v>
      </c>
      <c r="M33" s="15">
        <f t="shared" si="9"/>
        <v>0</v>
      </c>
      <c r="N33" s="15">
        <f t="shared" si="9"/>
        <v>0</v>
      </c>
      <c r="O33" s="15">
        <f t="shared" si="9"/>
        <v>0</v>
      </c>
      <c r="P33" s="15">
        <f t="shared" si="9"/>
        <v>0</v>
      </c>
    </row>
    <row r="34" spans="1:16">
      <c r="A34" s="13">
        <v>43460</v>
      </c>
      <c r="B34" s="13">
        <f t="shared" si="0"/>
        <v>43466</v>
      </c>
      <c r="C34" s="88">
        <v>43496</v>
      </c>
      <c r="D34" s="13">
        <v>43460</v>
      </c>
      <c r="E34" s="86" t="str">
        <f t="shared" si="1"/>
        <v>W5</v>
      </c>
      <c r="F34" s="86" t="str">
        <f t="shared" si="2"/>
        <v>Jan</v>
      </c>
      <c r="G34">
        <v>31</v>
      </c>
      <c r="H34">
        <f t="shared" si="3"/>
        <v>5</v>
      </c>
      <c r="I34" s="87">
        <f t="shared" si="4"/>
        <v>1</v>
      </c>
      <c r="J34" s="15">
        <f t="shared" si="9"/>
        <v>0</v>
      </c>
      <c r="K34" s="15">
        <f t="shared" si="9"/>
        <v>0</v>
      </c>
      <c r="L34" s="15">
        <f t="shared" si="9"/>
        <v>0</v>
      </c>
      <c r="M34" s="15">
        <f t="shared" si="9"/>
        <v>0</v>
      </c>
      <c r="N34" s="15">
        <f t="shared" si="9"/>
        <v>0</v>
      </c>
      <c r="O34" s="15">
        <f t="shared" si="9"/>
        <v>0</v>
      </c>
      <c r="P34" s="15">
        <f t="shared" si="9"/>
        <v>0</v>
      </c>
    </row>
    <row r="35" spans="1:16">
      <c r="A35" s="13">
        <v>43461</v>
      </c>
      <c r="B35" s="13">
        <f t="shared" si="0"/>
        <v>43497</v>
      </c>
      <c r="C35" s="88">
        <v>43497</v>
      </c>
      <c r="D35" s="13">
        <v>43461</v>
      </c>
      <c r="E35" s="86" t="str">
        <f t="shared" si="1"/>
        <v>W5</v>
      </c>
      <c r="F35" s="86" t="str">
        <f t="shared" si="2"/>
        <v>Feb</v>
      </c>
      <c r="G35">
        <v>32</v>
      </c>
      <c r="H35">
        <f t="shared" si="3"/>
        <v>5</v>
      </c>
      <c r="I35" s="87">
        <f t="shared" si="4"/>
        <v>1.0357142857142858</v>
      </c>
      <c r="J35" s="15">
        <f t="shared" si="9"/>
        <v>0</v>
      </c>
      <c r="K35" s="15">
        <f t="shared" si="9"/>
        <v>0</v>
      </c>
      <c r="L35" s="15">
        <f t="shared" si="9"/>
        <v>0</v>
      </c>
      <c r="M35" s="15">
        <f t="shared" si="9"/>
        <v>0</v>
      </c>
      <c r="N35" s="15">
        <f t="shared" si="9"/>
        <v>0</v>
      </c>
      <c r="O35" s="15">
        <f t="shared" si="9"/>
        <v>0</v>
      </c>
      <c r="P35" s="15">
        <f t="shared" si="9"/>
        <v>0</v>
      </c>
    </row>
    <row r="36" spans="1:16">
      <c r="A36" s="13">
        <v>43462</v>
      </c>
      <c r="B36" s="13">
        <f t="shared" si="0"/>
        <v>43497</v>
      </c>
      <c r="C36" s="88">
        <v>43498</v>
      </c>
      <c r="D36" s="13">
        <v>43462</v>
      </c>
      <c r="E36" s="86" t="str">
        <f t="shared" si="1"/>
        <v>W5</v>
      </c>
      <c r="F36" s="86" t="str">
        <f t="shared" si="2"/>
        <v>Feb</v>
      </c>
      <c r="G36">
        <v>33</v>
      </c>
      <c r="H36">
        <f t="shared" si="3"/>
        <v>5</v>
      </c>
      <c r="I36" s="87">
        <f t="shared" si="4"/>
        <v>1.0714285714285714</v>
      </c>
      <c r="J36" s="15">
        <f t="shared" si="9"/>
        <v>0</v>
      </c>
      <c r="K36" s="15">
        <f t="shared" si="9"/>
        <v>0</v>
      </c>
      <c r="L36" s="15">
        <f t="shared" si="9"/>
        <v>0</v>
      </c>
      <c r="M36" s="15">
        <f t="shared" si="9"/>
        <v>0</v>
      </c>
      <c r="N36" s="15">
        <f t="shared" si="9"/>
        <v>0</v>
      </c>
      <c r="O36" s="15">
        <f t="shared" si="9"/>
        <v>0</v>
      </c>
      <c r="P36" s="15">
        <f t="shared" si="9"/>
        <v>0</v>
      </c>
    </row>
    <row r="37" spans="1:16">
      <c r="A37" s="13">
        <v>43463</v>
      </c>
      <c r="B37" s="13">
        <f t="shared" si="0"/>
        <v>43497</v>
      </c>
      <c r="C37" s="88">
        <v>43499</v>
      </c>
      <c r="D37" s="13">
        <v>43463</v>
      </c>
      <c r="E37" s="86" t="str">
        <f t="shared" si="1"/>
        <v>W6</v>
      </c>
      <c r="F37" s="86" t="str">
        <f t="shared" si="2"/>
        <v>Feb</v>
      </c>
      <c r="G37">
        <v>34</v>
      </c>
      <c r="H37">
        <f t="shared" si="3"/>
        <v>6</v>
      </c>
      <c r="I37" s="87">
        <f t="shared" si="4"/>
        <v>1.1071428571428572</v>
      </c>
      <c r="J37" s="15">
        <f t="shared" si="9"/>
        <v>0</v>
      </c>
      <c r="K37" s="15">
        <f t="shared" si="9"/>
        <v>0</v>
      </c>
      <c r="L37" s="15">
        <f t="shared" si="9"/>
        <v>0</v>
      </c>
      <c r="M37" s="15">
        <f t="shared" si="9"/>
        <v>0</v>
      </c>
      <c r="N37" s="15">
        <f t="shared" si="9"/>
        <v>0</v>
      </c>
      <c r="O37" s="15">
        <f t="shared" si="9"/>
        <v>0</v>
      </c>
      <c r="P37" s="15">
        <f t="shared" si="9"/>
        <v>0</v>
      </c>
    </row>
    <row r="38" spans="1:16">
      <c r="A38" s="13">
        <v>43464</v>
      </c>
      <c r="B38" s="13">
        <f t="shared" si="0"/>
        <v>43497</v>
      </c>
      <c r="C38" s="88">
        <v>43500</v>
      </c>
      <c r="D38" s="13">
        <v>43464</v>
      </c>
      <c r="E38" s="86" t="str">
        <f t="shared" si="1"/>
        <v>W6</v>
      </c>
      <c r="F38" s="86" t="str">
        <f t="shared" si="2"/>
        <v>Feb</v>
      </c>
      <c r="G38">
        <v>35</v>
      </c>
      <c r="H38">
        <f t="shared" si="3"/>
        <v>6</v>
      </c>
      <c r="I38" s="87">
        <f t="shared" si="4"/>
        <v>1.1428571428571428</v>
      </c>
      <c r="J38" s="15">
        <f t="shared" si="9"/>
        <v>0</v>
      </c>
      <c r="K38" s="15">
        <f t="shared" si="9"/>
        <v>0</v>
      </c>
      <c r="L38" s="15">
        <f t="shared" si="9"/>
        <v>0</v>
      </c>
      <c r="M38" s="15">
        <f t="shared" si="9"/>
        <v>0</v>
      </c>
      <c r="N38" s="15">
        <f t="shared" si="9"/>
        <v>0</v>
      </c>
      <c r="O38" s="15">
        <f t="shared" si="9"/>
        <v>0</v>
      </c>
      <c r="P38" s="15">
        <f t="shared" si="9"/>
        <v>0</v>
      </c>
    </row>
    <row r="39" spans="1:16">
      <c r="A39" s="13">
        <v>43466</v>
      </c>
      <c r="B39" s="13">
        <f t="shared" si="0"/>
        <v>43497</v>
      </c>
      <c r="C39" s="88">
        <v>43501</v>
      </c>
      <c r="D39" s="13">
        <v>43466</v>
      </c>
      <c r="E39" s="86" t="str">
        <f t="shared" si="1"/>
        <v>W6</v>
      </c>
      <c r="F39" s="86" t="str">
        <f t="shared" si="2"/>
        <v>Feb</v>
      </c>
      <c r="G39">
        <v>36</v>
      </c>
      <c r="H39">
        <f t="shared" si="3"/>
        <v>6</v>
      </c>
      <c r="I39" s="87">
        <f t="shared" si="4"/>
        <v>1.1785714285714286</v>
      </c>
      <c r="J39" s="15">
        <f t="shared" si="9"/>
        <v>0</v>
      </c>
      <c r="K39" s="15">
        <f t="shared" si="9"/>
        <v>0</v>
      </c>
      <c r="L39" s="15">
        <f t="shared" si="9"/>
        <v>0</v>
      </c>
      <c r="M39" s="15">
        <f t="shared" si="9"/>
        <v>0</v>
      </c>
      <c r="N39" s="15">
        <f t="shared" si="9"/>
        <v>0</v>
      </c>
      <c r="O39" s="15">
        <f t="shared" si="9"/>
        <v>0</v>
      </c>
      <c r="P39" s="15">
        <f t="shared" si="9"/>
        <v>0</v>
      </c>
    </row>
    <row r="40" spans="1:16">
      <c r="A40" s="13">
        <v>43467</v>
      </c>
      <c r="B40" s="13">
        <f t="shared" si="0"/>
        <v>43497</v>
      </c>
      <c r="C40" s="88">
        <v>43502</v>
      </c>
      <c r="D40" s="13">
        <v>43467</v>
      </c>
      <c r="E40" s="86" t="str">
        <f t="shared" si="1"/>
        <v>W6</v>
      </c>
      <c r="F40" s="86" t="str">
        <f t="shared" si="2"/>
        <v>Feb</v>
      </c>
      <c r="G40">
        <v>37</v>
      </c>
      <c r="H40">
        <f t="shared" si="3"/>
        <v>6</v>
      </c>
      <c r="I40" s="87">
        <f t="shared" si="4"/>
        <v>1.2142857142857142</v>
      </c>
      <c r="J40" s="15">
        <f t="shared" si="9"/>
        <v>0</v>
      </c>
      <c r="K40" s="15">
        <f t="shared" si="9"/>
        <v>0</v>
      </c>
      <c r="L40" s="15">
        <f t="shared" si="9"/>
        <v>0</v>
      </c>
      <c r="M40" s="15">
        <f t="shared" si="9"/>
        <v>0</v>
      </c>
      <c r="N40" s="15">
        <f t="shared" si="9"/>
        <v>0</v>
      </c>
      <c r="O40" s="15">
        <f t="shared" si="9"/>
        <v>0</v>
      </c>
      <c r="P40" s="15">
        <f t="shared" si="9"/>
        <v>0</v>
      </c>
    </row>
    <row r="41" spans="1:16">
      <c r="A41" s="13">
        <v>43468</v>
      </c>
      <c r="B41" s="13">
        <f t="shared" si="0"/>
        <v>43497</v>
      </c>
      <c r="C41" s="88">
        <v>43503</v>
      </c>
      <c r="D41" s="13">
        <v>43468</v>
      </c>
      <c r="E41" s="86" t="str">
        <f t="shared" si="1"/>
        <v>W6</v>
      </c>
      <c r="F41" s="86" t="str">
        <f t="shared" si="2"/>
        <v>Feb</v>
      </c>
      <c r="G41">
        <v>38</v>
      </c>
      <c r="H41">
        <f t="shared" si="3"/>
        <v>6</v>
      </c>
      <c r="I41" s="87">
        <f t="shared" si="4"/>
        <v>1.25</v>
      </c>
      <c r="J41" s="15">
        <f t="shared" si="9"/>
        <v>0</v>
      </c>
      <c r="K41" s="15">
        <f t="shared" si="9"/>
        <v>0</v>
      </c>
      <c r="L41" s="15">
        <f t="shared" si="9"/>
        <v>0</v>
      </c>
      <c r="M41" s="15">
        <f t="shared" si="9"/>
        <v>0</v>
      </c>
      <c r="N41" s="15">
        <f t="shared" si="9"/>
        <v>0</v>
      </c>
      <c r="O41" s="15">
        <f t="shared" si="9"/>
        <v>0</v>
      </c>
      <c r="P41" s="15">
        <f t="shared" si="9"/>
        <v>0</v>
      </c>
    </row>
    <row r="42" spans="1:16">
      <c r="A42" s="13">
        <v>43469</v>
      </c>
      <c r="B42" s="13">
        <f t="shared" si="0"/>
        <v>43497</v>
      </c>
      <c r="C42" s="88">
        <v>43504</v>
      </c>
      <c r="D42" s="13">
        <v>43469</v>
      </c>
      <c r="E42" s="86" t="str">
        <f t="shared" si="1"/>
        <v>W6</v>
      </c>
      <c r="F42" s="86" t="str">
        <f t="shared" si="2"/>
        <v>Feb</v>
      </c>
      <c r="G42">
        <v>39</v>
      </c>
      <c r="H42">
        <f t="shared" si="3"/>
        <v>6</v>
      </c>
      <c r="I42" s="87">
        <f t="shared" si="4"/>
        <v>1.2857142857142856</v>
      </c>
      <c r="J42" s="15">
        <f t="shared" si="9"/>
        <v>0</v>
      </c>
      <c r="K42" s="15">
        <f t="shared" si="9"/>
        <v>0</v>
      </c>
      <c r="L42" s="15">
        <f t="shared" si="9"/>
        <v>0</v>
      </c>
      <c r="M42" s="15">
        <f t="shared" si="9"/>
        <v>0</v>
      </c>
      <c r="N42" s="15">
        <f t="shared" si="9"/>
        <v>0</v>
      </c>
      <c r="O42" s="15">
        <f t="shared" si="9"/>
        <v>0</v>
      </c>
      <c r="P42" s="15">
        <f t="shared" si="9"/>
        <v>0</v>
      </c>
    </row>
    <row r="43" spans="1:16">
      <c r="A43" s="13">
        <v>43470</v>
      </c>
      <c r="B43" s="13">
        <f t="shared" si="0"/>
        <v>43497</v>
      </c>
      <c r="C43" s="88">
        <v>43505</v>
      </c>
      <c r="D43" s="13">
        <v>43470</v>
      </c>
      <c r="E43" s="86" t="str">
        <f t="shared" si="1"/>
        <v>W6</v>
      </c>
      <c r="F43" s="86" t="str">
        <f t="shared" si="2"/>
        <v>Feb</v>
      </c>
      <c r="G43">
        <v>40</v>
      </c>
      <c r="H43">
        <f t="shared" si="3"/>
        <v>6</v>
      </c>
      <c r="I43" s="87">
        <f t="shared" si="4"/>
        <v>1.3214285714285714</v>
      </c>
      <c r="J43" s="15">
        <f t="shared" si="9"/>
        <v>0</v>
      </c>
      <c r="K43" s="15">
        <f t="shared" si="9"/>
        <v>0</v>
      </c>
      <c r="L43" s="15">
        <f t="shared" si="9"/>
        <v>0</v>
      </c>
      <c r="M43" s="15">
        <f t="shared" si="9"/>
        <v>0</v>
      </c>
      <c r="N43" s="15">
        <f t="shared" si="9"/>
        <v>0</v>
      </c>
      <c r="O43" s="15">
        <f t="shared" si="9"/>
        <v>0</v>
      </c>
      <c r="P43" s="15">
        <f t="shared" si="9"/>
        <v>0</v>
      </c>
    </row>
    <row r="44" spans="1:16">
      <c r="A44" s="13">
        <v>43471</v>
      </c>
      <c r="B44" s="13">
        <f t="shared" si="0"/>
        <v>43497</v>
      </c>
      <c r="C44" s="88">
        <v>43506</v>
      </c>
      <c r="D44" s="13">
        <v>43471</v>
      </c>
      <c r="E44" s="86" t="str">
        <f t="shared" si="1"/>
        <v>W7</v>
      </c>
      <c r="F44" s="86" t="str">
        <f t="shared" si="2"/>
        <v>Feb</v>
      </c>
      <c r="G44">
        <v>41</v>
      </c>
      <c r="H44">
        <f t="shared" si="3"/>
        <v>7</v>
      </c>
      <c r="I44" s="87">
        <f t="shared" si="4"/>
        <v>1.3571428571428572</v>
      </c>
      <c r="J44" s="15">
        <f t="shared" si="9"/>
        <v>0</v>
      </c>
      <c r="K44" s="15">
        <f t="shared" si="9"/>
        <v>0</v>
      </c>
      <c r="L44" s="15">
        <f t="shared" si="9"/>
        <v>0</v>
      </c>
      <c r="M44" s="15">
        <f t="shared" si="9"/>
        <v>0</v>
      </c>
      <c r="N44" s="15">
        <f t="shared" si="9"/>
        <v>0</v>
      </c>
      <c r="O44" s="15">
        <f t="shared" si="9"/>
        <v>0</v>
      </c>
      <c r="P44" s="15">
        <f t="shared" si="9"/>
        <v>0</v>
      </c>
    </row>
    <row r="45" spans="1:16">
      <c r="A45" s="13">
        <v>43472</v>
      </c>
      <c r="B45" s="13">
        <f t="shared" si="0"/>
        <v>43497</v>
      </c>
      <c r="C45" s="88">
        <v>43507</v>
      </c>
      <c r="D45" s="13">
        <v>43472</v>
      </c>
      <c r="E45" s="86" t="str">
        <f t="shared" si="1"/>
        <v>W7</v>
      </c>
      <c r="F45" s="86" t="str">
        <f t="shared" si="2"/>
        <v>Feb</v>
      </c>
      <c r="G45">
        <v>42</v>
      </c>
      <c r="H45">
        <f t="shared" si="3"/>
        <v>7</v>
      </c>
      <c r="I45" s="87">
        <f t="shared" si="4"/>
        <v>1.3928571428571428</v>
      </c>
      <c r="J45" s="15">
        <f t="shared" si="9"/>
        <v>0</v>
      </c>
      <c r="K45" s="15">
        <f t="shared" si="9"/>
        <v>0</v>
      </c>
      <c r="L45" s="15">
        <f t="shared" si="9"/>
        <v>0</v>
      </c>
      <c r="M45" s="15">
        <f t="shared" si="9"/>
        <v>0</v>
      </c>
      <c r="N45" s="15">
        <f t="shared" si="9"/>
        <v>0</v>
      </c>
      <c r="O45" s="15">
        <f t="shared" si="9"/>
        <v>0</v>
      </c>
      <c r="P45" s="15">
        <f t="shared" si="9"/>
        <v>0</v>
      </c>
    </row>
    <row r="46" spans="1:16">
      <c r="A46" s="13">
        <v>43473</v>
      </c>
      <c r="B46" s="13">
        <f t="shared" si="0"/>
        <v>43497</v>
      </c>
      <c r="C46" s="88">
        <v>43508</v>
      </c>
      <c r="D46" s="13">
        <v>43473</v>
      </c>
      <c r="E46" s="86" t="str">
        <f t="shared" si="1"/>
        <v>W7</v>
      </c>
      <c r="F46" s="86" t="str">
        <f t="shared" si="2"/>
        <v>Feb</v>
      </c>
      <c r="G46">
        <v>43</v>
      </c>
      <c r="H46">
        <f t="shared" si="3"/>
        <v>7</v>
      </c>
      <c r="I46" s="87">
        <f t="shared" si="4"/>
        <v>1.4285714285714286</v>
      </c>
      <c r="J46" s="15">
        <f t="shared" si="9"/>
        <v>0</v>
      </c>
      <c r="K46" s="15">
        <f t="shared" si="9"/>
        <v>0</v>
      </c>
      <c r="L46" s="15">
        <f t="shared" si="9"/>
        <v>0</v>
      </c>
      <c r="M46" s="15">
        <f t="shared" si="9"/>
        <v>0</v>
      </c>
      <c r="N46" s="15">
        <f t="shared" si="9"/>
        <v>0</v>
      </c>
      <c r="O46" s="15">
        <f t="shared" si="9"/>
        <v>0</v>
      </c>
      <c r="P46" s="15">
        <f t="shared" si="9"/>
        <v>0</v>
      </c>
    </row>
    <row r="47" spans="1:16">
      <c r="A47" s="13">
        <v>43474</v>
      </c>
      <c r="B47" s="13">
        <f t="shared" si="0"/>
        <v>43497</v>
      </c>
      <c r="C47" s="88">
        <v>43509</v>
      </c>
      <c r="D47" s="13">
        <v>43474</v>
      </c>
      <c r="E47" s="86" t="str">
        <f t="shared" si="1"/>
        <v>W7</v>
      </c>
      <c r="F47" s="86" t="str">
        <f t="shared" si="2"/>
        <v>Feb</v>
      </c>
      <c r="G47">
        <v>44</v>
      </c>
      <c r="H47">
        <f t="shared" si="3"/>
        <v>7</v>
      </c>
      <c r="I47" s="87">
        <f t="shared" si="4"/>
        <v>1.4642857142857144</v>
      </c>
      <c r="J47" s="15">
        <f t="shared" si="9"/>
        <v>0</v>
      </c>
      <c r="K47" s="15">
        <f t="shared" si="9"/>
        <v>0</v>
      </c>
      <c r="L47" s="15">
        <f t="shared" si="9"/>
        <v>0</v>
      </c>
      <c r="M47" s="15">
        <f t="shared" si="9"/>
        <v>0</v>
      </c>
      <c r="N47" s="15">
        <f t="shared" si="9"/>
        <v>0</v>
      </c>
      <c r="O47" s="15">
        <f t="shared" si="9"/>
        <v>0</v>
      </c>
      <c r="P47" s="15">
        <f t="shared" si="9"/>
        <v>0</v>
      </c>
    </row>
    <row r="48" spans="1:16">
      <c r="A48" s="13">
        <v>43475</v>
      </c>
      <c r="B48" s="13">
        <f t="shared" si="0"/>
        <v>43497</v>
      </c>
      <c r="C48" s="88">
        <v>43510</v>
      </c>
      <c r="D48" s="13">
        <v>43475</v>
      </c>
      <c r="E48" s="86" t="str">
        <f t="shared" si="1"/>
        <v>W7</v>
      </c>
      <c r="F48" s="86" t="str">
        <f t="shared" si="2"/>
        <v>Feb</v>
      </c>
      <c r="G48">
        <v>45</v>
      </c>
      <c r="H48">
        <f t="shared" si="3"/>
        <v>7</v>
      </c>
      <c r="I48" s="87">
        <f t="shared" si="4"/>
        <v>1.5</v>
      </c>
      <c r="J48" s="15">
        <f t="shared" si="9"/>
        <v>0</v>
      </c>
      <c r="K48" s="15">
        <f t="shared" si="9"/>
        <v>0</v>
      </c>
      <c r="L48" s="15">
        <f t="shared" si="9"/>
        <v>0</v>
      </c>
      <c r="M48" s="15">
        <f t="shared" si="9"/>
        <v>0</v>
      </c>
      <c r="N48" s="15">
        <f t="shared" si="9"/>
        <v>0</v>
      </c>
      <c r="O48" s="15">
        <f t="shared" si="9"/>
        <v>0</v>
      </c>
      <c r="P48" s="15">
        <f t="shared" si="9"/>
        <v>0</v>
      </c>
    </row>
    <row r="49" spans="1:16">
      <c r="A49" s="13">
        <v>43476</v>
      </c>
      <c r="B49" s="13">
        <f t="shared" si="0"/>
        <v>43497</v>
      </c>
      <c r="C49" s="88">
        <v>43511</v>
      </c>
      <c r="D49" s="13">
        <v>43476</v>
      </c>
      <c r="E49" s="86" t="str">
        <f t="shared" si="1"/>
        <v>W7</v>
      </c>
      <c r="F49" s="86" t="str">
        <f t="shared" si="2"/>
        <v>Feb</v>
      </c>
      <c r="G49">
        <v>46</v>
      </c>
      <c r="H49">
        <f t="shared" si="3"/>
        <v>7</v>
      </c>
      <c r="I49" s="87">
        <f t="shared" si="4"/>
        <v>1.5357142857142856</v>
      </c>
      <c r="J49" s="15">
        <f t="shared" si="9"/>
        <v>0</v>
      </c>
      <c r="K49" s="15">
        <f t="shared" si="9"/>
        <v>0</v>
      </c>
      <c r="L49" s="15">
        <f t="shared" si="9"/>
        <v>0</v>
      </c>
      <c r="M49" s="15">
        <f t="shared" si="9"/>
        <v>0</v>
      </c>
      <c r="N49" s="15">
        <f t="shared" si="9"/>
        <v>0</v>
      </c>
      <c r="O49" s="15">
        <f t="shared" si="9"/>
        <v>0</v>
      </c>
      <c r="P49" s="15">
        <f t="shared" si="9"/>
        <v>0</v>
      </c>
    </row>
    <row r="50" spans="1:16">
      <c r="A50" s="13">
        <v>43477</v>
      </c>
      <c r="B50" s="13">
        <f t="shared" si="0"/>
        <v>43497</v>
      </c>
      <c r="C50" s="88">
        <v>43512</v>
      </c>
      <c r="D50" s="13">
        <v>43477</v>
      </c>
      <c r="E50" s="86" t="str">
        <f t="shared" si="1"/>
        <v>W7</v>
      </c>
      <c r="F50" s="86" t="str">
        <f t="shared" si="2"/>
        <v>Feb</v>
      </c>
      <c r="G50">
        <v>47</v>
      </c>
      <c r="H50">
        <f t="shared" si="3"/>
        <v>7</v>
      </c>
      <c r="I50" s="87">
        <f t="shared" si="4"/>
        <v>1.5714285714285714</v>
      </c>
      <c r="J50" s="15">
        <f t="shared" si="9"/>
        <v>0</v>
      </c>
      <c r="K50" s="15">
        <f t="shared" si="9"/>
        <v>0</v>
      </c>
      <c r="L50" s="15">
        <f t="shared" si="9"/>
        <v>0</v>
      </c>
      <c r="M50" s="15">
        <f t="shared" si="9"/>
        <v>0</v>
      </c>
      <c r="N50" s="15">
        <f t="shared" si="9"/>
        <v>0</v>
      </c>
      <c r="O50" s="15">
        <f t="shared" si="9"/>
        <v>0</v>
      </c>
      <c r="P50" s="15">
        <f t="shared" si="9"/>
        <v>0</v>
      </c>
    </row>
    <row r="51" spans="1:16">
      <c r="A51" s="13">
        <v>43478</v>
      </c>
      <c r="B51" s="13">
        <f t="shared" si="0"/>
        <v>43497</v>
      </c>
      <c r="C51" s="88">
        <v>43513</v>
      </c>
      <c r="D51" s="13">
        <v>43478</v>
      </c>
      <c r="E51" s="86" t="str">
        <f t="shared" si="1"/>
        <v>W8</v>
      </c>
      <c r="F51" s="86" t="str">
        <f t="shared" si="2"/>
        <v>Feb</v>
      </c>
      <c r="G51">
        <v>48</v>
      </c>
      <c r="H51">
        <f t="shared" si="3"/>
        <v>8</v>
      </c>
      <c r="I51" s="87">
        <f t="shared" si="4"/>
        <v>1.6071428571428572</v>
      </c>
      <c r="J51" s="15">
        <f t="shared" si="9"/>
        <v>0</v>
      </c>
      <c r="K51" s="15">
        <f t="shared" si="9"/>
        <v>0</v>
      </c>
      <c r="L51" s="15">
        <f t="shared" si="9"/>
        <v>0</v>
      </c>
      <c r="M51" s="15">
        <f t="shared" si="9"/>
        <v>0</v>
      </c>
      <c r="N51" s="15">
        <f t="shared" si="9"/>
        <v>0</v>
      </c>
      <c r="O51" s="15">
        <f t="shared" si="9"/>
        <v>0</v>
      </c>
      <c r="P51" s="15">
        <f t="shared" si="9"/>
        <v>0</v>
      </c>
    </row>
    <row r="52" spans="1:16">
      <c r="A52" s="13">
        <v>43479</v>
      </c>
      <c r="B52" s="13">
        <f t="shared" si="0"/>
        <v>43497</v>
      </c>
      <c r="C52" s="88">
        <v>43514</v>
      </c>
      <c r="D52" s="13">
        <v>43479</v>
      </c>
      <c r="E52" s="86" t="str">
        <f t="shared" si="1"/>
        <v>W8</v>
      </c>
      <c r="F52" s="86" t="str">
        <f t="shared" si="2"/>
        <v>Feb</v>
      </c>
      <c r="G52">
        <v>49</v>
      </c>
      <c r="H52">
        <f t="shared" si="3"/>
        <v>8</v>
      </c>
      <c r="I52" s="87">
        <f t="shared" si="4"/>
        <v>1.6428571428571428</v>
      </c>
      <c r="J52" s="15">
        <f t="shared" si="9"/>
        <v>0</v>
      </c>
      <c r="K52" s="15">
        <f t="shared" si="9"/>
        <v>0</v>
      </c>
      <c r="L52" s="15">
        <f t="shared" si="9"/>
        <v>0</v>
      </c>
      <c r="M52" s="15">
        <f t="shared" si="9"/>
        <v>0</v>
      </c>
      <c r="N52" s="15">
        <f t="shared" si="9"/>
        <v>0</v>
      </c>
      <c r="O52" s="15">
        <f t="shared" si="9"/>
        <v>0</v>
      </c>
      <c r="P52" s="15">
        <f t="shared" si="9"/>
        <v>0</v>
      </c>
    </row>
    <row r="53" spans="1:16">
      <c r="A53" s="13">
        <v>43480</v>
      </c>
      <c r="B53" s="13">
        <f t="shared" si="0"/>
        <v>43497</v>
      </c>
      <c r="C53" s="88">
        <v>43515</v>
      </c>
      <c r="D53" s="13">
        <v>43480</v>
      </c>
      <c r="E53" s="86" t="str">
        <f t="shared" si="1"/>
        <v>W8</v>
      </c>
      <c r="F53" s="86" t="str">
        <f t="shared" si="2"/>
        <v>Feb</v>
      </c>
      <c r="G53">
        <v>50</v>
      </c>
      <c r="H53">
        <f t="shared" si="3"/>
        <v>8</v>
      </c>
      <c r="I53" s="87">
        <f t="shared" si="4"/>
        <v>1.6785714285714286</v>
      </c>
      <c r="J53" s="15">
        <f t="shared" si="9"/>
        <v>0</v>
      </c>
      <c r="K53" s="15">
        <f t="shared" si="9"/>
        <v>0</v>
      </c>
      <c r="L53" s="15">
        <f t="shared" si="9"/>
        <v>0</v>
      </c>
      <c r="M53" s="15">
        <f t="shared" si="9"/>
        <v>0</v>
      </c>
      <c r="N53" s="15">
        <f t="shared" si="9"/>
        <v>0</v>
      </c>
      <c r="O53" s="15">
        <f t="shared" si="9"/>
        <v>0</v>
      </c>
      <c r="P53" s="15">
        <f t="shared" si="9"/>
        <v>0</v>
      </c>
    </row>
    <row r="54" spans="1:16">
      <c r="A54" s="13">
        <v>43481</v>
      </c>
      <c r="B54" s="13">
        <f t="shared" si="0"/>
        <v>43497</v>
      </c>
      <c r="C54" s="88">
        <v>43516</v>
      </c>
      <c r="D54" s="13">
        <v>43481</v>
      </c>
      <c r="E54" s="86" t="str">
        <f t="shared" si="1"/>
        <v>W8</v>
      </c>
      <c r="F54" s="86" t="str">
        <f t="shared" si="2"/>
        <v>Feb</v>
      </c>
      <c r="G54">
        <v>51</v>
      </c>
      <c r="H54">
        <f t="shared" si="3"/>
        <v>8</v>
      </c>
      <c r="I54" s="87">
        <f t="shared" si="4"/>
        <v>1.7142857142857144</v>
      </c>
      <c r="J54" s="15">
        <f t="shared" si="9"/>
        <v>0</v>
      </c>
      <c r="K54" s="15">
        <f t="shared" si="9"/>
        <v>0</v>
      </c>
      <c r="L54" s="15">
        <f t="shared" ref="K54:P96" si="10">IF($H54&lt;=9,0,(($H54-6)*0.16*26700)/L$3)</f>
        <v>0</v>
      </c>
      <c r="M54" s="15">
        <f t="shared" si="10"/>
        <v>0</v>
      </c>
      <c r="N54" s="15">
        <f t="shared" si="10"/>
        <v>0</v>
      </c>
      <c r="O54" s="15">
        <f t="shared" si="10"/>
        <v>0</v>
      </c>
      <c r="P54" s="15">
        <f t="shared" si="10"/>
        <v>0</v>
      </c>
    </row>
    <row r="55" spans="1:16">
      <c r="A55" s="13">
        <v>43482</v>
      </c>
      <c r="B55" s="13">
        <f t="shared" si="0"/>
        <v>43497</v>
      </c>
      <c r="C55" s="88">
        <v>43517</v>
      </c>
      <c r="D55" s="13">
        <v>43482</v>
      </c>
      <c r="E55" s="86" t="str">
        <f t="shared" si="1"/>
        <v>W8</v>
      </c>
      <c r="F55" s="86" t="str">
        <f t="shared" si="2"/>
        <v>Feb</v>
      </c>
      <c r="G55">
        <v>52</v>
      </c>
      <c r="H55">
        <f t="shared" si="3"/>
        <v>8</v>
      </c>
      <c r="I55" s="87">
        <f t="shared" si="4"/>
        <v>1.75</v>
      </c>
      <c r="J55" s="15">
        <f t="shared" ref="J55:J118" si="11">IF($H55&lt;=9,0,(($H55-6)*0.16*26700)/J$3)</f>
        <v>0</v>
      </c>
      <c r="K55" s="15">
        <f t="shared" si="10"/>
        <v>0</v>
      </c>
      <c r="L55" s="15">
        <f t="shared" si="10"/>
        <v>0</v>
      </c>
      <c r="M55" s="15">
        <f t="shared" si="10"/>
        <v>0</v>
      </c>
      <c r="N55" s="15">
        <f t="shared" si="10"/>
        <v>0</v>
      </c>
      <c r="O55" s="15">
        <f t="shared" si="10"/>
        <v>0</v>
      </c>
      <c r="P55" s="15">
        <f t="shared" si="10"/>
        <v>0</v>
      </c>
    </row>
    <row r="56" spans="1:16">
      <c r="A56" s="13">
        <v>43483</v>
      </c>
      <c r="B56" s="13">
        <f t="shared" si="0"/>
        <v>43497</v>
      </c>
      <c r="C56" s="88">
        <v>43518</v>
      </c>
      <c r="D56" s="13">
        <v>43483</v>
      </c>
      <c r="E56" s="86" t="str">
        <f t="shared" si="1"/>
        <v>W8</v>
      </c>
      <c r="F56" s="86" t="str">
        <f t="shared" si="2"/>
        <v>Feb</v>
      </c>
      <c r="G56">
        <v>53</v>
      </c>
      <c r="H56">
        <f t="shared" si="3"/>
        <v>8</v>
      </c>
      <c r="I56" s="87">
        <f t="shared" si="4"/>
        <v>1.7857142857142856</v>
      </c>
      <c r="J56" s="15">
        <f t="shared" si="11"/>
        <v>0</v>
      </c>
      <c r="K56" s="15">
        <f t="shared" si="10"/>
        <v>0</v>
      </c>
      <c r="L56" s="15">
        <f t="shared" si="10"/>
        <v>0</v>
      </c>
      <c r="M56" s="15">
        <f t="shared" si="10"/>
        <v>0</v>
      </c>
      <c r="N56" s="15">
        <f t="shared" si="10"/>
        <v>0</v>
      </c>
      <c r="O56" s="15">
        <f t="shared" si="10"/>
        <v>0</v>
      </c>
      <c r="P56" s="15">
        <f t="shared" si="10"/>
        <v>0</v>
      </c>
    </row>
    <row r="57" spans="1:16">
      <c r="A57" s="13">
        <v>43484</v>
      </c>
      <c r="B57" s="13">
        <f t="shared" si="0"/>
        <v>43497</v>
      </c>
      <c r="C57" s="88">
        <v>43519</v>
      </c>
      <c r="D57" s="13">
        <v>43484</v>
      </c>
      <c r="E57" s="86" t="str">
        <f t="shared" si="1"/>
        <v>W8</v>
      </c>
      <c r="F57" s="86" t="str">
        <f t="shared" si="2"/>
        <v>Feb</v>
      </c>
      <c r="G57">
        <v>54</v>
      </c>
      <c r="H57">
        <f t="shared" si="3"/>
        <v>8</v>
      </c>
      <c r="I57" s="87">
        <f t="shared" si="4"/>
        <v>1.8214285714285714</v>
      </c>
      <c r="J57" s="15">
        <f t="shared" si="11"/>
        <v>0</v>
      </c>
      <c r="K57" s="15">
        <f t="shared" si="10"/>
        <v>0</v>
      </c>
      <c r="L57" s="15">
        <f t="shared" si="10"/>
        <v>0</v>
      </c>
      <c r="M57" s="15">
        <f t="shared" si="10"/>
        <v>0</v>
      </c>
      <c r="N57" s="15">
        <f t="shared" si="10"/>
        <v>0</v>
      </c>
      <c r="O57" s="15">
        <f t="shared" si="10"/>
        <v>0</v>
      </c>
      <c r="P57" s="15">
        <f t="shared" si="10"/>
        <v>0</v>
      </c>
    </row>
    <row r="58" spans="1:16">
      <c r="A58" s="13">
        <v>43485</v>
      </c>
      <c r="B58" s="13">
        <f t="shared" si="0"/>
        <v>43497</v>
      </c>
      <c r="C58" s="88">
        <v>43520</v>
      </c>
      <c r="D58" s="13">
        <v>43485</v>
      </c>
      <c r="E58" s="86" t="str">
        <f t="shared" si="1"/>
        <v>W9</v>
      </c>
      <c r="F58" s="86" t="str">
        <f t="shared" si="2"/>
        <v>Feb</v>
      </c>
      <c r="G58">
        <v>55</v>
      </c>
      <c r="H58">
        <f t="shared" si="3"/>
        <v>9</v>
      </c>
      <c r="I58" s="87">
        <f t="shared" si="4"/>
        <v>1.8571428571428572</v>
      </c>
      <c r="J58" s="15">
        <f t="shared" si="11"/>
        <v>0</v>
      </c>
      <c r="K58" s="15">
        <f t="shared" si="10"/>
        <v>0</v>
      </c>
      <c r="L58" s="15">
        <f t="shared" si="10"/>
        <v>0</v>
      </c>
      <c r="M58" s="15">
        <f t="shared" si="10"/>
        <v>0</v>
      </c>
      <c r="N58" s="15">
        <f t="shared" si="10"/>
        <v>0</v>
      </c>
      <c r="O58" s="15">
        <f t="shared" si="10"/>
        <v>0</v>
      </c>
      <c r="P58" s="15">
        <f t="shared" si="10"/>
        <v>0</v>
      </c>
    </row>
    <row r="59" spans="1:16">
      <c r="A59" s="13">
        <v>43486</v>
      </c>
      <c r="B59" s="13">
        <f t="shared" si="0"/>
        <v>43497</v>
      </c>
      <c r="C59" s="88">
        <v>43521</v>
      </c>
      <c r="D59" s="13">
        <v>43486</v>
      </c>
      <c r="E59" s="86" t="str">
        <f t="shared" si="1"/>
        <v>W9</v>
      </c>
      <c r="F59" s="86" t="str">
        <f t="shared" si="2"/>
        <v>Feb</v>
      </c>
      <c r="G59">
        <v>56</v>
      </c>
      <c r="H59">
        <f t="shared" si="3"/>
        <v>9</v>
      </c>
      <c r="I59" s="87">
        <f t="shared" si="4"/>
        <v>1.8928571428571428</v>
      </c>
      <c r="J59" s="15">
        <f t="shared" si="11"/>
        <v>0</v>
      </c>
      <c r="K59" s="15">
        <f t="shared" si="10"/>
        <v>0</v>
      </c>
      <c r="L59" s="15">
        <f t="shared" si="10"/>
        <v>0</v>
      </c>
      <c r="M59" s="15">
        <f t="shared" si="10"/>
        <v>0</v>
      </c>
      <c r="N59" s="15">
        <f t="shared" si="10"/>
        <v>0</v>
      </c>
      <c r="O59" s="15">
        <f t="shared" si="10"/>
        <v>0</v>
      </c>
      <c r="P59" s="15">
        <f t="shared" si="10"/>
        <v>0</v>
      </c>
    </row>
    <row r="60" spans="1:16">
      <c r="A60" s="13">
        <v>43487</v>
      </c>
      <c r="B60" s="13">
        <f t="shared" si="0"/>
        <v>43497</v>
      </c>
      <c r="C60" s="88">
        <v>43522</v>
      </c>
      <c r="D60" s="13">
        <v>43487</v>
      </c>
      <c r="E60" s="86" t="str">
        <f t="shared" si="1"/>
        <v>W9</v>
      </c>
      <c r="F60" s="86" t="str">
        <f t="shared" si="2"/>
        <v>Feb</v>
      </c>
      <c r="G60">
        <v>57</v>
      </c>
      <c r="H60">
        <f t="shared" si="3"/>
        <v>9</v>
      </c>
      <c r="I60" s="87">
        <f t="shared" si="4"/>
        <v>1.9285714285714286</v>
      </c>
      <c r="J60" s="15">
        <f t="shared" si="11"/>
        <v>0</v>
      </c>
      <c r="K60" s="15">
        <f t="shared" si="10"/>
        <v>0</v>
      </c>
      <c r="L60" s="15">
        <f t="shared" si="10"/>
        <v>0</v>
      </c>
      <c r="M60" s="15">
        <f t="shared" si="10"/>
        <v>0</v>
      </c>
      <c r="N60" s="15">
        <f t="shared" si="10"/>
        <v>0</v>
      </c>
      <c r="O60" s="15">
        <f t="shared" si="10"/>
        <v>0</v>
      </c>
      <c r="P60" s="15">
        <f t="shared" si="10"/>
        <v>0</v>
      </c>
    </row>
    <row r="61" spans="1:16">
      <c r="A61" s="13">
        <v>43488</v>
      </c>
      <c r="B61" s="13">
        <f t="shared" si="0"/>
        <v>43497</v>
      </c>
      <c r="C61" s="88">
        <v>43523</v>
      </c>
      <c r="D61" s="13">
        <v>43488</v>
      </c>
      <c r="E61" s="86" t="str">
        <f t="shared" si="1"/>
        <v>W9</v>
      </c>
      <c r="F61" s="86" t="str">
        <f t="shared" si="2"/>
        <v>Feb</v>
      </c>
      <c r="G61">
        <v>58</v>
      </c>
      <c r="H61">
        <f t="shared" si="3"/>
        <v>9</v>
      </c>
      <c r="I61" s="87">
        <f t="shared" si="4"/>
        <v>1.9642857142857144</v>
      </c>
      <c r="J61" s="15">
        <f t="shared" si="11"/>
        <v>0</v>
      </c>
      <c r="K61" s="15">
        <f t="shared" si="10"/>
        <v>0</v>
      </c>
      <c r="L61" s="15">
        <f t="shared" si="10"/>
        <v>0</v>
      </c>
      <c r="M61" s="15">
        <f t="shared" si="10"/>
        <v>0</v>
      </c>
      <c r="N61" s="15">
        <f t="shared" si="10"/>
        <v>0</v>
      </c>
      <c r="O61" s="15">
        <f t="shared" si="10"/>
        <v>0</v>
      </c>
      <c r="P61" s="15">
        <f t="shared" si="10"/>
        <v>0</v>
      </c>
    </row>
    <row r="62" spans="1:16">
      <c r="A62" s="13">
        <v>43489</v>
      </c>
      <c r="B62" s="13">
        <f t="shared" si="0"/>
        <v>43497</v>
      </c>
      <c r="C62" s="88">
        <v>43524</v>
      </c>
      <c r="D62" s="13">
        <v>43489</v>
      </c>
      <c r="E62" s="86" t="str">
        <f t="shared" si="1"/>
        <v>W9</v>
      </c>
      <c r="F62" s="86" t="str">
        <f t="shared" si="2"/>
        <v>Feb</v>
      </c>
      <c r="G62">
        <v>59</v>
      </c>
      <c r="H62">
        <f t="shared" si="3"/>
        <v>9</v>
      </c>
      <c r="I62" s="87">
        <f t="shared" si="4"/>
        <v>2</v>
      </c>
      <c r="J62" s="15">
        <f t="shared" si="11"/>
        <v>0</v>
      </c>
      <c r="K62" s="15">
        <f t="shared" si="10"/>
        <v>0</v>
      </c>
      <c r="L62" s="15">
        <f t="shared" si="10"/>
        <v>0</v>
      </c>
      <c r="M62" s="15">
        <f t="shared" si="10"/>
        <v>0</v>
      </c>
      <c r="N62" s="15">
        <f t="shared" si="10"/>
        <v>0</v>
      </c>
      <c r="O62" s="15">
        <f t="shared" si="10"/>
        <v>0</v>
      </c>
      <c r="P62" s="15">
        <f t="shared" si="10"/>
        <v>0</v>
      </c>
    </row>
    <row r="63" spans="1:16">
      <c r="A63" s="13">
        <v>43490</v>
      </c>
      <c r="B63" s="13">
        <f t="shared" si="0"/>
        <v>43525</v>
      </c>
      <c r="C63" s="88">
        <v>43525</v>
      </c>
      <c r="D63" s="13">
        <v>43490</v>
      </c>
      <c r="E63" s="86" t="str">
        <f t="shared" si="1"/>
        <v>W9</v>
      </c>
      <c r="F63" s="86" t="str">
        <f t="shared" si="2"/>
        <v>Mar</v>
      </c>
      <c r="G63">
        <v>60</v>
      </c>
      <c r="H63">
        <f t="shared" si="3"/>
        <v>9</v>
      </c>
      <c r="I63" s="87">
        <f t="shared" si="4"/>
        <v>2.032258064516129</v>
      </c>
      <c r="J63" s="15">
        <f t="shared" si="11"/>
        <v>0</v>
      </c>
      <c r="K63" s="15">
        <f t="shared" si="10"/>
        <v>0</v>
      </c>
      <c r="L63" s="15">
        <f t="shared" si="10"/>
        <v>0</v>
      </c>
      <c r="M63" s="15">
        <f t="shared" si="10"/>
        <v>0</v>
      </c>
      <c r="N63" s="15">
        <f t="shared" si="10"/>
        <v>0</v>
      </c>
      <c r="O63" s="15">
        <f t="shared" si="10"/>
        <v>0</v>
      </c>
      <c r="P63" s="15">
        <f t="shared" si="10"/>
        <v>0</v>
      </c>
    </row>
    <row r="64" spans="1:16">
      <c r="A64" s="13">
        <v>43491</v>
      </c>
      <c r="B64" s="13">
        <f t="shared" si="0"/>
        <v>43525</v>
      </c>
      <c r="C64" s="88">
        <v>43526</v>
      </c>
      <c r="D64" s="13">
        <v>43491</v>
      </c>
      <c r="E64" s="86" t="str">
        <f t="shared" si="1"/>
        <v>W9</v>
      </c>
      <c r="F64" s="86" t="str">
        <f t="shared" si="2"/>
        <v>Mar</v>
      </c>
      <c r="G64">
        <v>61</v>
      </c>
      <c r="H64">
        <f t="shared" si="3"/>
        <v>9</v>
      </c>
      <c r="I64" s="87">
        <f t="shared" si="4"/>
        <v>2.064516129032258</v>
      </c>
      <c r="J64" s="15">
        <f t="shared" si="11"/>
        <v>0</v>
      </c>
      <c r="K64" s="15">
        <f t="shared" si="10"/>
        <v>0</v>
      </c>
      <c r="L64" s="15">
        <f t="shared" si="10"/>
        <v>0</v>
      </c>
      <c r="M64" s="15">
        <f t="shared" si="10"/>
        <v>0</v>
      </c>
      <c r="N64" s="15">
        <f t="shared" si="10"/>
        <v>0</v>
      </c>
      <c r="O64" s="15">
        <f t="shared" si="10"/>
        <v>0</v>
      </c>
      <c r="P64" s="15">
        <f t="shared" si="10"/>
        <v>0</v>
      </c>
    </row>
    <row r="65" spans="1:16">
      <c r="A65" s="13">
        <v>43492</v>
      </c>
      <c r="B65" s="13">
        <f t="shared" si="0"/>
        <v>43525</v>
      </c>
      <c r="C65" s="88">
        <v>43527</v>
      </c>
      <c r="D65" s="13">
        <v>43492</v>
      </c>
      <c r="E65" s="86" t="str">
        <f t="shared" si="1"/>
        <v>W10</v>
      </c>
      <c r="F65" s="86" t="str">
        <f t="shared" si="2"/>
        <v>Mar</v>
      </c>
      <c r="G65">
        <v>62</v>
      </c>
      <c r="H65">
        <f t="shared" si="3"/>
        <v>10</v>
      </c>
      <c r="I65" s="87">
        <f t="shared" si="4"/>
        <v>2.096774193548387</v>
      </c>
      <c r="J65" s="15">
        <f t="shared" si="11"/>
        <v>42.72</v>
      </c>
      <c r="K65" s="15">
        <f t="shared" si="10"/>
        <v>56.96</v>
      </c>
      <c r="L65" s="15">
        <f t="shared" si="10"/>
        <v>85.44</v>
      </c>
      <c r="M65" s="15">
        <f t="shared" si="10"/>
        <v>113.92</v>
      </c>
      <c r="N65" s="15">
        <f t="shared" si="10"/>
        <v>136.70400000000001</v>
      </c>
      <c r="O65" s="15">
        <f t="shared" si="10"/>
        <v>170.88</v>
      </c>
      <c r="P65" s="15">
        <f t="shared" si="10"/>
        <v>227.84</v>
      </c>
    </row>
    <row r="66" spans="1:16">
      <c r="A66" s="13">
        <v>43493</v>
      </c>
      <c r="B66" s="13">
        <f t="shared" si="0"/>
        <v>43525</v>
      </c>
      <c r="C66" s="88">
        <v>43528</v>
      </c>
      <c r="D66" s="13">
        <v>43493</v>
      </c>
      <c r="E66" s="86" t="str">
        <f t="shared" si="1"/>
        <v>W10</v>
      </c>
      <c r="F66" s="86" t="str">
        <f t="shared" si="2"/>
        <v>Mar</v>
      </c>
      <c r="G66">
        <v>63</v>
      </c>
      <c r="H66">
        <f t="shared" si="3"/>
        <v>10</v>
      </c>
      <c r="I66" s="87">
        <f t="shared" si="4"/>
        <v>2.129032258064516</v>
      </c>
      <c r="J66" s="15">
        <f t="shared" si="11"/>
        <v>42.72</v>
      </c>
      <c r="K66" s="15">
        <f t="shared" si="10"/>
        <v>56.96</v>
      </c>
      <c r="L66" s="15">
        <f t="shared" si="10"/>
        <v>85.44</v>
      </c>
      <c r="M66" s="15">
        <f t="shared" si="10"/>
        <v>113.92</v>
      </c>
      <c r="N66" s="15">
        <f t="shared" si="10"/>
        <v>136.70400000000001</v>
      </c>
      <c r="O66" s="15">
        <f t="shared" si="10"/>
        <v>170.88</v>
      </c>
      <c r="P66" s="15">
        <f t="shared" si="10"/>
        <v>227.84</v>
      </c>
    </row>
    <row r="67" spans="1:16">
      <c r="A67" s="13">
        <v>43494</v>
      </c>
      <c r="B67" s="13">
        <f t="shared" si="0"/>
        <v>43525</v>
      </c>
      <c r="C67" s="88">
        <v>43529</v>
      </c>
      <c r="D67" s="13">
        <v>43494</v>
      </c>
      <c r="E67" s="86" t="str">
        <f t="shared" si="1"/>
        <v>W10</v>
      </c>
      <c r="F67" s="86" t="str">
        <f t="shared" si="2"/>
        <v>Mar</v>
      </c>
      <c r="G67">
        <v>64</v>
      </c>
      <c r="H67">
        <f t="shared" si="3"/>
        <v>10</v>
      </c>
      <c r="I67" s="87">
        <f t="shared" si="4"/>
        <v>2.161290322580645</v>
      </c>
      <c r="J67" s="15">
        <f t="shared" si="11"/>
        <v>42.72</v>
      </c>
      <c r="K67" s="15">
        <f t="shared" si="10"/>
        <v>56.96</v>
      </c>
      <c r="L67" s="15">
        <f t="shared" si="10"/>
        <v>85.44</v>
      </c>
      <c r="M67" s="15">
        <f t="shared" si="10"/>
        <v>113.92</v>
      </c>
      <c r="N67" s="15">
        <f t="shared" si="10"/>
        <v>136.70400000000001</v>
      </c>
      <c r="O67" s="15">
        <f t="shared" si="10"/>
        <v>170.88</v>
      </c>
      <c r="P67" s="15">
        <f t="shared" si="10"/>
        <v>227.84</v>
      </c>
    </row>
    <row r="68" spans="1:16">
      <c r="A68" s="13">
        <v>43497</v>
      </c>
      <c r="B68" s="13">
        <f t="shared" ref="B68:B131" si="12">DATE(2019,MONTH(C68),1)</f>
        <v>43525</v>
      </c>
      <c r="C68" s="88">
        <v>43530</v>
      </c>
      <c r="D68" s="13">
        <v>43497</v>
      </c>
      <c r="E68" s="86" t="str">
        <f t="shared" ref="E68:E131" si="13">"W"&amp;WEEKNUM(C68)</f>
        <v>W10</v>
      </c>
      <c r="F68" s="86" t="str">
        <f t="shared" ref="F68:F131" si="14">TEXT(C68,"MMM")</f>
        <v>Mar</v>
      </c>
      <c r="G68">
        <v>65</v>
      </c>
      <c r="H68">
        <f t="shared" ref="H68:H131" si="15">WEEKNUM(C68)</f>
        <v>10</v>
      </c>
      <c r="I68" s="87">
        <f t="shared" ref="I68:I131" si="16">(DATEDIF(B68,C68,"D")+1)/VLOOKUP(F68,$AC$4:$AD$15,2,0)+(MONTH(C68)*1-1)</f>
        <v>2.193548387096774</v>
      </c>
      <c r="J68" s="15">
        <f t="shared" si="11"/>
        <v>42.72</v>
      </c>
      <c r="K68" s="15">
        <f t="shared" si="10"/>
        <v>56.96</v>
      </c>
      <c r="L68" s="15">
        <f t="shared" si="10"/>
        <v>85.44</v>
      </c>
      <c r="M68" s="15">
        <f t="shared" si="10"/>
        <v>113.92</v>
      </c>
      <c r="N68" s="15">
        <f t="shared" si="10"/>
        <v>136.70400000000001</v>
      </c>
      <c r="O68" s="15">
        <f t="shared" si="10"/>
        <v>170.88</v>
      </c>
      <c r="P68" s="15">
        <f t="shared" si="10"/>
        <v>227.84</v>
      </c>
    </row>
    <row r="69" spans="1:16">
      <c r="A69" s="13">
        <v>43498</v>
      </c>
      <c r="B69" s="13">
        <f t="shared" si="12"/>
        <v>43525</v>
      </c>
      <c r="C69" s="88">
        <v>43531</v>
      </c>
      <c r="D69" s="13">
        <v>43498</v>
      </c>
      <c r="E69" s="86" t="str">
        <f t="shared" si="13"/>
        <v>W10</v>
      </c>
      <c r="F69" s="86" t="str">
        <f t="shared" si="14"/>
        <v>Mar</v>
      </c>
      <c r="G69">
        <v>66</v>
      </c>
      <c r="H69">
        <f t="shared" si="15"/>
        <v>10</v>
      </c>
      <c r="I69" s="87">
        <f t="shared" si="16"/>
        <v>2.225806451612903</v>
      </c>
      <c r="J69" s="15">
        <f t="shared" si="11"/>
        <v>42.72</v>
      </c>
      <c r="K69" s="15">
        <f t="shared" si="10"/>
        <v>56.96</v>
      </c>
      <c r="L69" s="15">
        <f t="shared" si="10"/>
        <v>85.44</v>
      </c>
      <c r="M69" s="15">
        <f t="shared" si="10"/>
        <v>113.92</v>
      </c>
      <c r="N69" s="15">
        <f t="shared" si="10"/>
        <v>136.70400000000001</v>
      </c>
      <c r="O69" s="15">
        <f t="shared" si="10"/>
        <v>170.88</v>
      </c>
      <c r="P69" s="15">
        <f t="shared" si="10"/>
        <v>227.84</v>
      </c>
    </row>
    <row r="70" spans="1:16">
      <c r="A70" s="13">
        <v>43499</v>
      </c>
      <c r="B70" s="13">
        <f t="shared" si="12"/>
        <v>43525</v>
      </c>
      <c r="C70" s="88">
        <v>43532</v>
      </c>
      <c r="D70" s="13">
        <v>43499</v>
      </c>
      <c r="E70" s="86" t="str">
        <f t="shared" si="13"/>
        <v>W10</v>
      </c>
      <c r="F70" s="86" t="str">
        <f t="shared" si="14"/>
        <v>Mar</v>
      </c>
      <c r="G70">
        <v>67</v>
      </c>
      <c r="H70">
        <f t="shared" si="15"/>
        <v>10</v>
      </c>
      <c r="I70" s="87">
        <f t="shared" si="16"/>
        <v>2.258064516129032</v>
      </c>
      <c r="J70" s="15">
        <f t="shared" si="11"/>
        <v>42.72</v>
      </c>
      <c r="K70" s="15">
        <f t="shared" si="10"/>
        <v>56.96</v>
      </c>
      <c r="L70" s="15">
        <f t="shared" si="10"/>
        <v>85.44</v>
      </c>
      <c r="M70" s="15">
        <f t="shared" si="10"/>
        <v>113.92</v>
      </c>
      <c r="N70" s="15">
        <f t="shared" si="10"/>
        <v>136.70400000000001</v>
      </c>
      <c r="O70" s="15">
        <f t="shared" si="10"/>
        <v>170.88</v>
      </c>
      <c r="P70" s="15">
        <f t="shared" si="10"/>
        <v>227.84</v>
      </c>
    </row>
    <row r="71" spans="1:16">
      <c r="A71" s="13">
        <v>43500</v>
      </c>
      <c r="B71" s="13">
        <f t="shared" si="12"/>
        <v>43525</v>
      </c>
      <c r="C71" s="88">
        <v>43533</v>
      </c>
      <c r="D71" s="13">
        <v>43500</v>
      </c>
      <c r="E71" s="86" t="str">
        <f t="shared" si="13"/>
        <v>W10</v>
      </c>
      <c r="F71" s="86" t="str">
        <f t="shared" si="14"/>
        <v>Mar</v>
      </c>
      <c r="G71">
        <v>68</v>
      </c>
      <c r="H71">
        <f t="shared" si="15"/>
        <v>10</v>
      </c>
      <c r="I71" s="87">
        <f t="shared" si="16"/>
        <v>2.2903225806451615</v>
      </c>
      <c r="J71" s="15">
        <f t="shared" si="11"/>
        <v>42.72</v>
      </c>
      <c r="K71" s="15">
        <f t="shared" si="10"/>
        <v>56.96</v>
      </c>
      <c r="L71" s="15">
        <f t="shared" si="10"/>
        <v>85.44</v>
      </c>
      <c r="M71" s="15">
        <f t="shared" si="10"/>
        <v>113.92</v>
      </c>
      <c r="N71" s="15">
        <f t="shared" si="10"/>
        <v>136.70400000000001</v>
      </c>
      <c r="O71" s="15">
        <f t="shared" si="10"/>
        <v>170.88</v>
      </c>
      <c r="P71" s="15">
        <f t="shared" si="10"/>
        <v>227.84</v>
      </c>
    </row>
    <row r="72" spans="1:16">
      <c r="A72" s="13">
        <v>43501</v>
      </c>
      <c r="B72" s="13">
        <f t="shared" si="12"/>
        <v>43525</v>
      </c>
      <c r="C72" s="88">
        <v>43534</v>
      </c>
      <c r="D72" s="13">
        <v>43501</v>
      </c>
      <c r="E72" s="86" t="str">
        <f t="shared" si="13"/>
        <v>W11</v>
      </c>
      <c r="F72" s="86" t="str">
        <f t="shared" si="14"/>
        <v>Mar</v>
      </c>
      <c r="G72">
        <v>69</v>
      </c>
      <c r="H72">
        <f t="shared" si="15"/>
        <v>11</v>
      </c>
      <c r="I72" s="87">
        <f t="shared" si="16"/>
        <v>2.3225806451612905</v>
      </c>
      <c r="J72" s="15">
        <f t="shared" si="11"/>
        <v>53.4</v>
      </c>
      <c r="K72" s="15">
        <f t="shared" si="10"/>
        <v>71.2</v>
      </c>
      <c r="L72" s="15">
        <f t="shared" si="10"/>
        <v>106.8</v>
      </c>
      <c r="M72" s="15">
        <f t="shared" si="10"/>
        <v>142.4</v>
      </c>
      <c r="N72" s="15">
        <f t="shared" si="10"/>
        <v>170.88</v>
      </c>
      <c r="O72" s="15">
        <f t="shared" si="10"/>
        <v>213.6</v>
      </c>
      <c r="P72" s="15">
        <f t="shared" si="10"/>
        <v>284.8</v>
      </c>
    </row>
    <row r="73" spans="1:16">
      <c r="A73" s="13">
        <v>43502</v>
      </c>
      <c r="B73" s="13">
        <f t="shared" si="12"/>
        <v>43525</v>
      </c>
      <c r="C73" s="88">
        <v>43535</v>
      </c>
      <c r="D73" s="13">
        <v>43502</v>
      </c>
      <c r="E73" s="86" t="str">
        <f t="shared" si="13"/>
        <v>W11</v>
      </c>
      <c r="F73" s="86" t="str">
        <f t="shared" si="14"/>
        <v>Mar</v>
      </c>
      <c r="G73">
        <v>70</v>
      </c>
      <c r="H73">
        <f t="shared" si="15"/>
        <v>11</v>
      </c>
      <c r="I73" s="87">
        <f t="shared" si="16"/>
        <v>2.3548387096774195</v>
      </c>
      <c r="J73" s="15">
        <f t="shared" si="11"/>
        <v>53.4</v>
      </c>
      <c r="K73" s="15">
        <f t="shared" si="10"/>
        <v>71.2</v>
      </c>
      <c r="L73" s="15">
        <f t="shared" si="10"/>
        <v>106.8</v>
      </c>
      <c r="M73" s="15">
        <f t="shared" si="10"/>
        <v>142.4</v>
      </c>
      <c r="N73" s="15">
        <f t="shared" si="10"/>
        <v>170.88</v>
      </c>
      <c r="O73" s="15">
        <f t="shared" si="10"/>
        <v>213.6</v>
      </c>
      <c r="P73" s="15">
        <f t="shared" si="10"/>
        <v>284.8</v>
      </c>
    </row>
    <row r="74" spans="1:16">
      <c r="A74" s="13">
        <v>43503</v>
      </c>
      <c r="B74" s="13">
        <f t="shared" si="12"/>
        <v>43525</v>
      </c>
      <c r="C74" s="88">
        <v>43536</v>
      </c>
      <c r="D74" s="13">
        <v>43503</v>
      </c>
      <c r="E74" s="86" t="str">
        <f t="shared" si="13"/>
        <v>W11</v>
      </c>
      <c r="F74" s="86" t="str">
        <f t="shared" si="14"/>
        <v>Mar</v>
      </c>
      <c r="G74">
        <v>71</v>
      </c>
      <c r="H74">
        <f t="shared" si="15"/>
        <v>11</v>
      </c>
      <c r="I74" s="87">
        <f t="shared" si="16"/>
        <v>2.3870967741935485</v>
      </c>
      <c r="J74" s="15">
        <f t="shared" si="11"/>
        <v>53.4</v>
      </c>
      <c r="K74" s="15">
        <f t="shared" si="10"/>
        <v>71.2</v>
      </c>
      <c r="L74" s="15">
        <f t="shared" si="10"/>
        <v>106.8</v>
      </c>
      <c r="M74" s="15">
        <f t="shared" si="10"/>
        <v>142.4</v>
      </c>
      <c r="N74" s="15">
        <f t="shared" si="10"/>
        <v>170.88</v>
      </c>
      <c r="O74" s="15">
        <f t="shared" si="10"/>
        <v>213.6</v>
      </c>
      <c r="P74" s="15">
        <f t="shared" si="10"/>
        <v>284.8</v>
      </c>
    </row>
    <row r="75" spans="1:16">
      <c r="A75" s="13">
        <v>43504</v>
      </c>
      <c r="B75" s="13">
        <f t="shared" si="12"/>
        <v>43525</v>
      </c>
      <c r="C75" s="88">
        <v>43537</v>
      </c>
      <c r="D75" s="13">
        <v>43504</v>
      </c>
      <c r="E75" s="86" t="str">
        <f t="shared" si="13"/>
        <v>W11</v>
      </c>
      <c r="F75" s="86" t="str">
        <f t="shared" si="14"/>
        <v>Mar</v>
      </c>
      <c r="G75">
        <v>72</v>
      </c>
      <c r="H75">
        <f t="shared" si="15"/>
        <v>11</v>
      </c>
      <c r="I75" s="87">
        <f t="shared" si="16"/>
        <v>2.4193548387096775</v>
      </c>
      <c r="J75" s="15">
        <f t="shared" si="11"/>
        <v>53.4</v>
      </c>
      <c r="K75" s="15">
        <f t="shared" si="10"/>
        <v>71.2</v>
      </c>
      <c r="L75" s="15">
        <f t="shared" si="10"/>
        <v>106.8</v>
      </c>
      <c r="M75" s="15">
        <f t="shared" si="10"/>
        <v>142.4</v>
      </c>
      <c r="N75" s="15">
        <f t="shared" si="10"/>
        <v>170.88</v>
      </c>
      <c r="O75" s="15">
        <f t="shared" si="10"/>
        <v>213.6</v>
      </c>
      <c r="P75" s="15">
        <f t="shared" si="10"/>
        <v>284.8</v>
      </c>
    </row>
    <row r="76" spans="1:16">
      <c r="A76" s="13">
        <v>43505</v>
      </c>
      <c r="B76" s="13">
        <f t="shared" si="12"/>
        <v>43525</v>
      </c>
      <c r="C76" s="88">
        <v>43538</v>
      </c>
      <c r="D76" s="13">
        <v>43505</v>
      </c>
      <c r="E76" s="86" t="str">
        <f t="shared" si="13"/>
        <v>W11</v>
      </c>
      <c r="F76" s="86" t="str">
        <f t="shared" si="14"/>
        <v>Mar</v>
      </c>
      <c r="G76">
        <v>73</v>
      </c>
      <c r="H76">
        <f t="shared" si="15"/>
        <v>11</v>
      </c>
      <c r="I76" s="87">
        <f t="shared" si="16"/>
        <v>2.4516129032258065</v>
      </c>
      <c r="J76" s="15">
        <f t="shared" si="11"/>
        <v>53.4</v>
      </c>
      <c r="K76" s="15">
        <f t="shared" si="10"/>
        <v>71.2</v>
      </c>
      <c r="L76" s="15">
        <f t="shared" si="10"/>
        <v>106.8</v>
      </c>
      <c r="M76" s="15">
        <f t="shared" si="10"/>
        <v>142.4</v>
      </c>
      <c r="N76" s="15">
        <f t="shared" si="10"/>
        <v>170.88</v>
      </c>
      <c r="O76" s="15">
        <f t="shared" si="10"/>
        <v>213.6</v>
      </c>
      <c r="P76" s="15">
        <f t="shared" si="10"/>
        <v>284.8</v>
      </c>
    </row>
    <row r="77" spans="1:16">
      <c r="A77" s="13">
        <v>43506</v>
      </c>
      <c r="B77" s="13">
        <f t="shared" si="12"/>
        <v>43525</v>
      </c>
      <c r="C77" s="88">
        <v>43539</v>
      </c>
      <c r="D77" s="13">
        <v>43506</v>
      </c>
      <c r="E77" s="86" t="str">
        <f t="shared" si="13"/>
        <v>W11</v>
      </c>
      <c r="F77" s="86" t="str">
        <f t="shared" si="14"/>
        <v>Mar</v>
      </c>
      <c r="G77">
        <v>74</v>
      </c>
      <c r="H77">
        <f t="shared" si="15"/>
        <v>11</v>
      </c>
      <c r="I77" s="87">
        <f t="shared" si="16"/>
        <v>2.4838709677419355</v>
      </c>
      <c r="J77" s="15">
        <f t="shared" si="11"/>
        <v>53.4</v>
      </c>
      <c r="K77" s="15">
        <f t="shared" si="10"/>
        <v>71.2</v>
      </c>
      <c r="L77" s="15">
        <f t="shared" si="10"/>
        <v>106.8</v>
      </c>
      <c r="M77" s="15">
        <f t="shared" si="10"/>
        <v>142.4</v>
      </c>
      <c r="N77" s="15">
        <f t="shared" si="10"/>
        <v>170.88</v>
      </c>
      <c r="O77" s="15">
        <f t="shared" si="10"/>
        <v>213.6</v>
      </c>
      <c r="P77" s="15">
        <f t="shared" si="10"/>
        <v>284.8</v>
      </c>
    </row>
    <row r="78" spans="1:16">
      <c r="A78" s="13">
        <v>43507</v>
      </c>
      <c r="B78" s="13">
        <f t="shared" si="12"/>
        <v>43525</v>
      </c>
      <c r="C78" s="88">
        <v>43540</v>
      </c>
      <c r="D78" s="13">
        <v>43507</v>
      </c>
      <c r="E78" s="86" t="str">
        <f t="shared" si="13"/>
        <v>W11</v>
      </c>
      <c r="F78" s="86" t="str">
        <f t="shared" si="14"/>
        <v>Mar</v>
      </c>
      <c r="G78">
        <v>75</v>
      </c>
      <c r="H78">
        <f t="shared" si="15"/>
        <v>11</v>
      </c>
      <c r="I78" s="87">
        <f t="shared" si="16"/>
        <v>2.5161290322580645</v>
      </c>
      <c r="J78" s="15">
        <f t="shared" si="11"/>
        <v>53.4</v>
      </c>
      <c r="K78" s="15">
        <f t="shared" si="10"/>
        <v>71.2</v>
      </c>
      <c r="L78" s="15">
        <f t="shared" si="10"/>
        <v>106.8</v>
      </c>
      <c r="M78" s="15">
        <f t="shared" si="10"/>
        <v>142.4</v>
      </c>
      <c r="N78" s="15">
        <f t="shared" si="10"/>
        <v>170.88</v>
      </c>
      <c r="O78" s="15">
        <f t="shared" si="10"/>
        <v>213.6</v>
      </c>
      <c r="P78" s="15">
        <f t="shared" si="10"/>
        <v>284.8</v>
      </c>
    </row>
    <row r="79" spans="1:16">
      <c r="A79" s="13">
        <v>43508</v>
      </c>
      <c r="B79" s="13">
        <f t="shared" si="12"/>
        <v>43525</v>
      </c>
      <c r="C79" s="88">
        <v>43541</v>
      </c>
      <c r="D79" s="13">
        <v>43508</v>
      </c>
      <c r="E79" s="86" t="str">
        <f t="shared" si="13"/>
        <v>W12</v>
      </c>
      <c r="F79" s="86" t="str">
        <f t="shared" si="14"/>
        <v>Mar</v>
      </c>
      <c r="G79">
        <v>76</v>
      </c>
      <c r="H79">
        <f t="shared" si="15"/>
        <v>12</v>
      </c>
      <c r="I79" s="87">
        <f t="shared" si="16"/>
        <v>2.5483870967741935</v>
      </c>
      <c r="J79" s="15">
        <f t="shared" si="11"/>
        <v>64.08</v>
      </c>
      <c r="K79" s="15">
        <f t="shared" si="10"/>
        <v>85.44</v>
      </c>
      <c r="L79" s="15">
        <f t="shared" si="10"/>
        <v>128.16</v>
      </c>
      <c r="M79" s="15">
        <f t="shared" si="10"/>
        <v>170.88</v>
      </c>
      <c r="N79" s="15">
        <f t="shared" si="10"/>
        <v>205.05600000000001</v>
      </c>
      <c r="O79" s="15">
        <f t="shared" si="10"/>
        <v>256.32</v>
      </c>
      <c r="P79" s="15">
        <f t="shared" si="10"/>
        <v>341.76</v>
      </c>
    </row>
    <row r="80" spans="1:16">
      <c r="A80" s="13">
        <v>43509</v>
      </c>
      <c r="B80" s="13">
        <f t="shared" si="12"/>
        <v>43525</v>
      </c>
      <c r="C80" s="88">
        <v>43542</v>
      </c>
      <c r="D80" s="13">
        <v>43509</v>
      </c>
      <c r="E80" s="86" t="str">
        <f t="shared" si="13"/>
        <v>W12</v>
      </c>
      <c r="F80" s="86" t="str">
        <f t="shared" si="14"/>
        <v>Mar</v>
      </c>
      <c r="G80">
        <v>77</v>
      </c>
      <c r="H80">
        <f t="shared" si="15"/>
        <v>12</v>
      </c>
      <c r="I80" s="87">
        <f t="shared" si="16"/>
        <v>2.5806451612903225</v>
      </c>
      <c r="J80" s="15">
        <f t="shared" si="11"/>
        <v>64.08</v>
      </c>
      <c r="K80" s="15">
        <f t="shared" si="10"/>
        <v>85.44</v>
      </c>
      <c r="L80" s="15">
        <f t="shared" si="10"/>
        <v>128.16</v>
      </c>
      <c r="M80" s="15">
        <f t="shared" si="10"/>
        <v>170.88</v>
      </c>
      <c r="N80" s="15">
        <f t="shared" si="10"/>
        <v>205.05600000000001</v>
      </c>
      <c r="O80" s="15">
        <f t="shared" si="10"/>
        <v>256.32</v>
      </c>
      <c r="P80" s="15">
        <f t="shared" si="10"/>
        <v>341.76</v>
      </c>
    </row>
    <row r="81" spans="1:16">
      <c r="A81" s="13">
        <v>43510</v>
      </c>
      <c r="B81" s="13">
        <f t="shared" si="12"/>
        <v>43525</v>
      </c>
      <c r="C81" s="88">
        <v>43543</v>
      </c>
      <c r="D81" s="13">
        <v>43510</v>
      </c>
      <c r="E81" s="86" t="str">
        <f t="shared" si="13"/>
        <v>W12</v>
      </c>
      <c r="F81" s="86" t="str">
        <f t="shared" si="14"/>
        <v>Mar</v>
      </c>
      <c r="G81">
        <v>78</v>
      </c>
      <c r="H81">
        <f t="shared" si="15"/>
        <v>12</v>
      </c>
      <c r="I81" s="87">
        <f t="shared" si="16"/>
        <v>2.6129032258064515</v>
      </c>
      <c r="J81" s="15">
        <f t="shared" si="11"/>
        <v>64.08</v>
      </c>
      <c r="K81" s="15">
        <f t="shared" si="10"/>
        <v>85.44</v>
      </c>
      <c r="L81" s="15">
        <f t="shared" si="10"/>
        <v>128.16</v>
      </c>
      <c r="M81" s="15">
        <f t="shared" si="10"/>
        <v>170.88</v>
      </c>
      <c r="N81" s="15">
        <f t="shared" si="10"/>
        <v>205.05600000000001</v>
      </c>
      <c r="O81" s="15">
        <f t="shared" si="10"/>
        <v>256.32</v>
      </c>
      <c r="P81" s="15">
        <f t="shared" si="10"/>
        <v>341.76</v>
      </c>
    </row>
    <row r="82" spans="1:16">
      <c r="A82" s="13">
        <v>43511</v>
      </c>
      <c r="B82" s="13">
        <f t="shared" si="12"/>
        <v>43525</v>
      </c>
      <c r="C82" s="88">
        <v>43544</v>
      </c>
      <c r="D82" s="13">
        <v>43511</v>
      </c>
      <c r="E82" s="86" t="str">
        <f t="shared" si="13"/>
        <v>W12</v>
      </c>
      <c r="F82" s="86" t="str">
        <f t="shared" si="14"/>
        <v>Mar</v>
      </c>
      <c r="G82">
        <v>79</v>
      </c>
      <c r="H82">
        <f t="shared" si="15"/>
        <v>12</v>
      </c>
      <c r="I82" s="87">
        <f t="shared" si="16"/>
        <v>2.6451612903225805</v>
      </c>
      <c r="J82" s="15">
        <f t="shared" si="11"/>
        <v>64.08</v>
      </c>
      <c r="K82" s="15">
        <f t="shared" si="10"/>
        <v>85.44</v>
      </c>
      <c r="L82" s="15">
        <f t="shared" si="10"/>
        <v>128.16</v>
      </c>
      <c r="M82" s="15">
        <f t="shared" si="10"/>
        <v>170.88</v>
      </c>
      <c r="N82" s="15">
        <f t="shared" si="10"/>
        <v>205.05600000000001</v>
      </c>
      <c r="O82" s="15">
        <f t="shared" si="10"/>
        <v>256.32</v>
      </c>
      <c r="P82" s="15">
        <f t="shared" si="10"/>
        <v>341.76</v>
      </c>
    </row>
    <row r="83" spans="1:16">
      <c r="A83" s="13">
        <v>43512</v>
      </c>
      <c r="B83" s="13">
        <f t="shared" si="12"/>
        <v>43525</v>
      </c>
      <c r="C83" s="88">
        <v>43545</v>
      </c>
      <c r="D83" s="13">
        <v>43512</v>
      </c>
      <c r="E83" s="86" t="str">
        <f t="shared" si="13"/>
        <v>W12</v>
      </c>
      <c r="F83" s="86" t="str">
        <f t="shared" si="14"/>
        <v>Mar</v>
      </c>
      <c r="G83">
        <v>80</v>
      </c>
      <c r="H83">
        <f t="shared" si="15"/>
        <v>12</v>
      </c>
      <c r="I83" s="87">
        <f t="shared" si="16"/>
        <v>2.6774193548387095</v>
      </c>
      <c r="J83" s="15">
        <f t="shared" si="11"/>
        <v>64.08</v>
      </c>
      <c r="K83" s="15">
        <f t="shared" si="10"/>
        <v>85.44</v>
      </c>
      <c r="L83" s="15">
        <f t="shared" si="10"/>
        <v>128.16</v>
      </c>
      <c r="M83" s="15">
        <f t="shared" si="10"/>
        <v>170.88</v>
      </c>
      <c r="N83" s="15">
        <f t="shared" si="10"/>
        <v>205.05600000000001</v>
      </c>
      <c r="O83" s="15">
        <f t="shared" si="10"/>
        <v>256.32</v>
      </c>
      <c r="P83" s="15">
        <f t="shared" si="10"/>
        <v>341.76</v>
      </c>
    </row>
    <row r="84" spans="1:16">
      <c r="A84" s="13">
        <v>43513</v>
      </c>
      <c r="B84" s="13">
        <f t="shared" si="12"/>
        <v>43525</v>
      </c>
      <c r="C84" s="88">
        <v>43546</v>
      </c>
      <c r="D84" s="13">
        <v>43513</v>
      </c>
      <c r="E84" s="86" t="str">
        <f t="shared" si="13"/>
        <v>W12</v>
      </c>
      <c r="F84" s="86" t="str">
        <f t="shared" si="14"/>
        <v>Mar</v>
      </c>
      <c r="G84">
        <v>81</v>
      </c>
      <c r="H84">
        <f t="shared" si="15"/>
        <v>12</v>
      </c>
      <c r="I84" s="87">
        <f t="shared" si="16"/>
        <v>2.709677419354839</v>
      </c>
      <c r="J84" s="15">
        <f t="shared" si="11"/>
        <v>64.08</v>
      </c>
      <c r="K84" s="15">
        <f t="shared" si="10"/>
        <v>85.44</v>
      </c>
      <c r="L84" s="15">
        <f t="shared" si="10"/>
        <v>128.16</v>
      </c>
      <c r="M84" s="15">
        <f t="shared" si="10"/>
        <v>170.88</v>
      </c>
      <c r="N84" s="15">
        <f t="shared" si="10"/>
        <v>205.05600000000001</v>
      </c>
      <c r="O84" s="15">
        <f t="shared" si="10"/>
        <v>256.32</v>
      </c>
      <c r="P84" s="15">
        <f t="shared" si="10"/>
        <v>341.76</v>
      </c>
    </row>
    <row r="85" spans="1:16">
      <c r="A85" s="13">
        <v>43514</v>
      </c>
      <c r="B85" s="13">
        <f t="shared" si="12"/>
        <v>43525</v>
      </c>
      <c r="C85" s="88">
        <v>43547</v>
      </c>
      <c r="D85" s="13">
        <v>43514</v>
      </c>
      <c r="E85" s="86" t="str">
        <f t="shared" si="13"/>
        <v>W12</v>
      </c>
      <c r="F85" s="86" t="str">
        <f t="shared" si="14"/>
        <v>Mar</v>
      </c>
      <c r="G85">
        <v>82</v>
      </c>
      <c r="H85">
        <f t="shared" si="15"/>
        <v>12</v>
      </c>
      <c r="I85" s="87">
        <f t="shared" si="16"/>
        <v>2.741935483870968</v>
      </c>
      <c r="J85" s="15">
        <f t="shared" si="11"/>
        <v>64.08</v>
      </c>
      <c r="K85" s="15">
        <f t="shared" si="10"/>
        <v>85.44</v>
      </c>
      <c r="L85" s="15">
        <f t="shared" si="10"/>
        <v>128.16</v>
      </c>
      <c r="M85" s="15">
        <f t="shared" si="10"/>
        <v>170.88</v>
      </c>
      <c r="N85" s="15">
        <f t="shared" si="10"/>
        <v>205.05600000000001</v>
      </c>
      <c r="O85" s="15">
        <f t="shared" si="10"/>
        <v>256.32</v>
      </c>
      <c r="P85" s="15">
        <f t="shared" si="10"/>
        <v>341.76</v>
      </c>
    </row>
    <row r="86" spans="1:16">
      <c r="A86" s="13">
        <v>43515</v>
      </c>
      <c r="B86" s="13">
        <f t="shared" si="12"/>
        <v>43525</v>
      </c>
      <c r="C86" s="88">
        <v>43548</v>
      </c>
      <c r="D86" s="13">
        <v>43515</v>
      </c>
      <c r="E86" s="86" t="str">
        <f t="shared" si="13"/>
        <v>W13</v>
      </c>
      <c r="F86" s="86" t="str">
        <f t="shared" si="14"/>
        <v>Mar</v>
      </c>
      <c r="G86">
        <v>83</v>
      </c>
      <c r="H86">
        <f t="shared" si="15"/>
        <v>13</v>
      </c>
      <c r="I86" s="87">
        <f t="shared" si="16"/>
        <v>2.774193548387097</v>
      </c>
      <c r="J86" s="15">
        <f t="shared" si="11"/>
        <v>74.760000000000005</v>
      </c>
      <c r="K86" s="15">
        <f t="shared" si="10"/>
        <v>99.68</v>
      </c>
      <c r="L86" s="15">
        <f t="shared" si="10"/>
        <v>149.52000000000001</v>
      </c>
      <c r="M86" s="15">
        <f t="shared" si="10"/>
        <v>199.36</v>
      </c>
      <c r="N86" s="15">
        <f t="shared" si="10"/>
        <v>239.23200000000003</v>
      </c>
      <c r="O86" s="15">
        <f t="shared" si="10"/>
        <v>299.04000000000002</v>
      </c>
      <c r="P86" s="15">
        <f t="shared" si="10"/>
        <v>398.72</v>
      </c>
    </row>
    <row r="87" spans="1:16">
      <c r="A87" s="13">
        <v>43516</v>
      </c>
      <c r="B87" s="13">
        <f t="shared" si="12"/>
        <v>43525</v>
      </c>
      <c r="C87" s="88">
        <v>43549</v>
      </c>
      <c r="D87" s="13">
        <v>43516</v>
      </c>
      <c r="E87" s="86" t="str">
        <f t="shared" si="13"/>
        <v>W13</v>
      </c>
      <c r="F87" s="86" t="str">
        <f t="shared" si="14"/>
        <v>Mar</v>
      </c>
      <c r="G87">
        <v>84</v>
      </c>
      <c r="H87">
        <f t="shared" si="15"/>
        <v>13</v>
      </c>
      <c r="I87" s="87">
        <f t="shared" si="16"/>
        <v>2.806451612903226</v>
      </c>
      <c r="J87" s="15">
        <f t="shared" si="11"/>
        <v>74.760000000000005</v>
      </c>
      <c r="K87" s="15">
        <f t="shared" si="10"/>
        <v>99.68</v>
      </c>
      <c r="L87" s="15">
        <f t="shared" si="10"/>
        <v>149.52000000000001</v>
      </c>
      <c r="M87" s="15">
        <f t="shared" si="10"/>
        <v>199.36</v>
      </c>
      <c r="N87" s="15">
        <f t="shared" si="10"/>
        <v>239.23200000000003</v>
      </c>
      <c r="O87" s="15">
        <f t="shared" si="10"/>
        <v>299.04000000000002</v>
      </c>
      <c r="P87" s="15">
        <f t="shared" si="10"/>
        <v>398.72</v>
      </c>
    </row>
    <row r="88" spans="1:16">
      <c r="A88" s="13">
        <v>43517</v>
      </c>
      <c r="B88" s="13">
        <f t="shared" si="12"/>
        <v>43525</v>
      </c>
      <c r="C88" s="88">
        <v>43550</v>
      </c>
      <c r="D88" s="13">
        <v>43517</v>
      </c>
      <c r="E88" s="86" t="str">
        <f t="shared" si="13"/>
        <v>W13</v>
      </c>
      <c r="F88" s="86" t="str">
        <f t="shared" si="14"/>
        <v>Mar</v>
      </c>
      <c r="G88">
        <v>85</v>
      </c>
      <c r="H88">
        <f t="shared" si="15"/>
        <v>13</v>
      </c>
      <c r="I88" s="87">
        <f t="shared" si="16"/>
        <v>2.838709677419355</v>
      </c>
      <c r="J88" s="15">
        <f t="shared" si="11"/>
        <v>74.760000000000005</v>
      </c>
      <c r="K88" s="15">
        <f t="shared" si="10"/>
        <v>99.68</v>
      </c>
      <c r="L88" s="15">
        <f t="shared" si="10"/>
        <v>149.52000000000001</v>
      </c>
      <c r="M88" s="15">
        <f t="shared" si="10"/>
        <v>199.36</v>
      </c>
      <c r="N88" s="15">
        <f t="shared" si="10"/>
        <v>239.23200000000003</v>
      </c>
      <c r="O88" s="15">
        <f t="shared" si="10"/>
        <v>299.04000000000002</v>
      </c>
      <c r="P88" s="15">
        <f t="shared" si="10"/>
        <v>398.72</v>
      </c>
    </row>
    <row r="89" spans="1:16">
      <c r="A89" s="13">
        <v>43518</v>
      </c>
      <c r="B89" s="13">
        <f t="shared" si="12"/>
        <v>43525</v>
      </c>
      <c r="C89" s="88">
        <v>43551</v>
      </c>
      <c r="D89" s="13">
        <v>43518</v>
      </c>
      <c r="E89" s="86" t="str">
        <f t="shared" si="13"/>
        <v>W13</v>
      </c>
      <c r="F89" s="86" t="str">
        <f t="shared" si="14"/>
        <v>Mar</v>
      </c>
      <c r="G89">
        <v>86</v>
      </c>
      <c r="H89">
        <f t="shared" si="15"/>
        <v>13</v>
      </c>
      <c r="I89" s="87">
        <f t="shared" si="16"/>
        <v>2.870967741935484</v>
      </c>
      <c r="J89" s="15">
        <f t="shared" si="11"/>
        <v>74.760000000000005</v>
      </c>
      <c r="K89" s="15">
        <f t="shared" si="10"/>
        <v>99.68</v>
      </c>
      <c r="L89" s="15">
        <f t="shared" si="10"/>
        <v>149.52000000000001</v>
      </c>
      <c r="M89" s="15">
        <f t="shared" si="10"/>
        <v>199.36</v>
      </c>
      <c r="N89" s="15">
        <f t="shared" si="10"/>
        <v>239.23200000000003</v>
      </c>
      <c r="O89" s="15">
        <f t="shared" si="10"/>
        <v>299.04000000000002</v>
      </c>
      <c r="P89" s="15">
        <f t="shared" si="10"/>
        <v>398.72</v>
      </c>
    </row>
    <row r="90" spans="1:16">
      <c r="A90" s="13">
        <v>43519</v>
      </c>
      <c r="B90" s="13">
        <f t="shared" si="12"/>
        <v>43525</v>
      </c>
      <c r="C90" s="88">
        <v>43552</v>
      </c>
      <c r="D90" s="13">
        <v>43519</v>
      </c>
      <c r="E90" s="86" t="str">
        <f t="shared" si="13"/>
        <v>W13</v>
      </c>
      <c r="F90" s="86" t="str">
        <f t="shared" si="14"/>
        <v>Mar</v>
      </c>
      <c r="G90">
        <v>87</v>
      </c>
      <c r="H90">
        <f t="shared" si="15"/>
        <v>13</v>
      </c>
      <c r="I90" s="87">
        <f t="shared" si="16"/>
        <v>2.903225806451613</v>
      </c>
      <c r="J90" s="15">
        <f t="shared" si="11"/>
        <v>74.760000000000005</v>
      </c>
      <c r="K90" s="15">
        <f t="shared" si="10"/>
        <v>99.68</v>
      </c>
      <c r="L90" s="15">
        <f t="shared" si="10"/>
        <v>149.52000000000001</v>
      </c>
      <c r="M90" s="15">
        <f t="shared" si="10"/>
        <v>199.36</v>
      </c>
      <c r="N90" s="15">
        <f t="shared" si="10"/>
        <v>239.23200000000003</v>
      </c>
      <c r="O90" s="15">
        <f t="shared" si="10"/>
        <v>299.04000000000002</v>
      </c>
      <c r="P90" s="15">
        <f t="shared" si="10"/>
        <v>398.72</v>
      </c>
    </row>
    <row r="91" spans="1:16">
      <c r="A91" s="13">
        <v>43520</v>
      </c>
      <c r="B91" s="13">
        <f t="shared" si="12"/>
        <v>43525</v>
      </c>
      <c r="C91" s="88">
        <v>43553</v>
      </c>
      <c r="D91" s="13">
        <v>43520</v>
      </c>
      <c r="E91" s="86" t="str">
        <f t="shared" si="13"/>
        <v>W13</v>
      </c>
      <c r="F91" s="86" t="str">
        <f t="shared" si="14"/>
        <v>Mar</v>
      </c>
      <c r="G91">
        <v>88</v>
      </c>
      <c r="H91">
        <f t="shared" si="15"/>
        <v>13</v>
      </c>
      <c r="I91" s="87">
        <f t="shared" si="16"/>
        <v>2.935483870967742</v>
      </c>
      <c r="J91" s="15">
        <f t="shared" si="11"/>
        <v>74.760000000000005</v>
      </c>
      <c r="K91" s="15">
        <f t="shared" si="10"/>
        <v>99.68</v>
      </c>
      <c r="L91" s="15">
        <f t="shared" si="10"/>
        <v>149.52000000000001</v>
      </c>
      <c r="M91" s="15">
        <f t="shared" si="10"/>
        <v>199.36</v>
      </c>
      <c r="N91" s="15">
        <f t="shared" si="10"/>
        <v>239.23200000000003</v>
      </c>
      <c r="O91" s="15">
        <f t="shared" si="10"/>
        <v>299.04000000000002</v>
      </c>
      <c r="P91" s="15">
        <f t="shared" si="10"/>
        <v>398.72</v>
      </c>
    </row>
    <row r="92" spans="1:16">
      <c r="A92" s="13">
        <v>43521</v>
      </c>
      <c r="B92" s="13">
        <f t="shared" si="12"/>
        <v>43525</v>
      </c>
      <c r="C92" s="88">
        <v>43554</v>
      </c>
      <c r="D92" s="13">
        <v>43521</v>
      </c>
      <c r="E92" s="86" t="str">
        <f t="shared" si="13"/>
        <v>W13</v>
      </c>
      <c r="F92" s="86" t="str">
        <f t="shared" si="14"/>
        <v>Mar</v>
      </c>
      <c r="G92">
        <v>89</v>
      </c>
      <c r="H92">
        <f t="shared" si="15"/>
        <v>13</v>
      </c>
      <c r="I92" s="87">
        <f t="shared" si="16"/>
        <v>2.967741935483871</v>
      </c>
      <c r="J92" s="15">
        <f t="shared" si="11"/>
        <v>74.760000000000005</v>
      </c>
      <c r="K92" s="15">
        <f t="shared" si="10"/>
        <v>99.68</v>
      </c>
      <c r="L92" s="15">
        <f t="shared" si="10"/>
        <v>149.52000000000001</v>
      </c>
      <c r="M92" s="15">
        <f t="shared" si="10"/>
        <v>199.36</v>
      </c>
      <c r="N92" s="15">
        <f t="shared" si="10"/>
        <v>239.23200000000003</v>
      </c>
      <c r="O92" s="15">
        <f t="shared" si="10"/>
        <v>299.04000000000002</v>
      </c>
      <c r="P92" s="15">
        <f t="shared" si="10"/>
        <v>398.72</v>
      </c>
    </row>
    <row r="93" spans="1:16">
      <c r="A93" s="13">
        <v>43522</v>
      </c>
      <c r="B93" s="13">
        <f t="shared" si="12"/>
        <v>43525</v>
      </c>
      <c r="C93" s="88">
        <v>43555</v>
      </c>
      <c r="D93" s="13">
        <v>43522</v>
      </c>
      <c r="E93" s="86" t="str">
        <f t="shared" si="13"/>
        <v>W14</v>
      </c>
      <c r="F93" s="86" t="str">
        <f t="shared" si="14"/>
        <v>Mar</v>
      </c>
      <c r="G93">
        <v>90</v>
      </c>
      <c r="H93">
        <f t="shared" si="15"/>
        <v>14</v>
      </c>
      <c r="I93" s="87">
        <f t="shared" si="16"/>
        <v>3</v>
      </c>
      <c r="J93" s="15">
        <f t="shared" si="11"/>
        <v>85.44</v>
      </c>
      <c r="K93" s="15">
        <f t="shared" si="10"/>
        <v>113.92</v>
      </c>
      <c r="L93" s="15">
        <f t="shared" si="10"/>
        <v>170.88</v>
      </c>
      <c r="M93" s="15">
        <f t="shared" si="10"/>
        <v>227.84</v>
      </c>
      <c r="N93" s="15">
        <f t="shared" si="10"/>
        <v>273.40800000000002</v>
      </c>
      <c r="O93" s="15">
        <f t="shared" si="10"/>
        <v>341.76</v>
      </c>
      <c r="P93" s="15">
        <f t="shared" si="10"/>
        <v>455.68</v>
      </c>
    </row>
    <row r="94" spans="1:16">
      <c r="A94" s="13">
        <v>43523</v>
      </c>
      <c r="B94" s="13">
        <f t="shared" si="12"/>
        <v>43556</v>
      </c>
      <c r="C94" s="88">
        <v>43556</v>
      </c>
      <c r="D94" s="13">
        <v>43523</v>
      </c>
      <c r="E94" s="86" t="str">
        <f t="shared" si="13"/>
        <v>W14</v>
      </c>
      <c r="F94" s="86" t="str">
        <f t="shared" si="14"/>
        <v>Apr</v>
      </c>
      <c r="G94">
        <v>91</v>
      </c>
      <c r="H94">
        <f t="shared" si="15"/>
        <v>14</v>
      </c>
      <c r="I94" s="87">
        <f t="shared" si="16"/>
        <v>3.0333333333333332</v>
      </c>
      <c r="J94" s="15">
        <f t="shared" si="11"/>
        <v>85.44</v>
      </c>
      <c r="K94" s="15">
        <f t="shared" si="10"/>
        <v>113.92</v>
      </c>
      <c r="L94" s="15">
        <f t="shared" si="10"/>
        <v>170.88</v>
      </c>
      <c r="M94" s="15">
        <f t="shared" si="10"/>
        <v>227.84</v>
      </c>
      <c r="N94" s="15">
        <f t="shared" si="10"/>
        <v>273.40800000000002</v>
      </c>
      <c r="O94" s="15">
        <f t="shared" si="10"/>
        <v>341.76</v>
      </c>
      <c r="P94" s="15">
        <f t="shared" si="10"/>
        <v>455.68</v>
      </c>
    </row>
    <row r="95" spans="1:16">
      <c r="A95" s="13">
        <v>43524</v>
      </c>
      <c r="B95" s="13">
        <f t="shared" si="12"/>
        <v>43556</v>
      </c>
      <c r="C95" s="88">
        <v>43557</v>
      </c>
      <c r="D95" s="13">
        <v>43524</v>
      </c>
      <c r="E95" s="86" t="str">
        <f t="shared" si="13"/>
        <v>W14</v>
      </c>
      <c r="F95" s="86" t="str">
        <f t="shared" si="14"/>
        <v>Apr</v>
      </c>
      <c r="G95">
        <v>92</v>
      </c>
      <c r="H95">
        <f t="shared" si="15"/>
        <v>14</v>
      </c>
      <c r="I95" s="87">
        <f t="shared" si="16"/>
        <v>3.0666666666666669</v>
      </c>
      <c r="J95" s="15">
        <f t="shared" si="11"/>
        <v>85.44</v>
      </c>
      <c r="K95" s="15">
        <f t="shared" si="10"/>
        <v>113.92</v>
      </c>
      <c r="L95" s="15">
        <f t="shared" si="10"/>
        <v>170.88</v>
      </c>
      <c r="M95" s="15">
        <f t="shared" si="10"/>
        <v>227.84</v>
      </c>
      <c r="N95" s="15">
        <f t="shared" si="10"/>
        <v>273.40800000000002</v>
      </c>
      <c r="O95" s="15">
        <f t="shared" si="10"/>
        <v>341.76</v>
      </c>
      <c r="P95" s="15">
        <f t="shared" si="10"/>
        <v>455.68</v>
      </c>
    </row>
    <row r="96" spans="1:16">
      <c r="A96" s="23" t="s">
        <v>151</v>
      </c>
      <c r="B96" s="13">
        <f t="shared" si="12"/>
        <v>43556</v>
      </c>
      <c r="C96" s="88">
        <v>43558</v>
      </c>
      <c r="D96" s="23" t="s">
        <v>151</v>
      </c>
      <c r="E96" s="86" t="str">
        <f t="shared" si="13"/>
        <v>W14</v>
      </c>
      <c r="F96" s="86" t="str">
        <f t="shared" si="14"/>
        <v>Apr</v>
      </c>
      <c r="G96">
        <v>93</v>
      </c>
      <c r="H96">
        <f t="shared" si="15"/>
        <v>14</v>
      </c>
      <c r="I96" s="87">
        <f t="shared" si="16"/>
        <v>3.1</v>
      </c>
      <c r="J96" s="15">
        <f t="shared" si="11"/>
        <v>85.44</v>
      </c>
      <c r="K96" s="15">
        <f t="shared" si="10"/>
        <v>113.92</v>
      </c>
      <c r="L96" s="15">
        <f t="shared" si="10"/>
        <v>170.88</v>
      </c>
      <c r="M96" s="15">
        <f t="shared" si="10"/>
        <v>227.84</v>
      </c>
      <c r="N96" s="15">
        <f t="shared" si="10"/>
        <v>273.40800000000002</v>
      </c>
      <c r="O96" s="15">
        <f t="shared" ref="K96:P139" si="17">IF($H96&lt;=9,0,(($H96-6)*0.16*26700)/O$3)</f>
        <v>341.76</v>
      </c>
      <c r="P96" s="15">
        <f t="shared" si="17"/>
        <v>455.68</v>
      </c>
    </row>
    <row r="97" spans="1:16">
      <c r="A97" s="23" t="s">
        <v>53</v>
      </c>
      <c r="B97" s="13">
        <f t="shared" si="12"/>
        <v>43556</v>
      </c>
      <c r="C97" s="88">
        <v>43559</v>
      </c>
      <c r="D97" s="23" t="s">
        <v>53</v>
      </c>
      <c r="E97" s="86" t="str">
        <f t="shared" si="13"/>
        <v>W14</v>
      </c>
      <c r="F97" s="86" t="str">
        <f t="shared" si="14"/>
        <v>Apr</v>
      </c>
      <c r="G97">
        <v>94</v>
      </c>
      <c r="H97">
        <f t="shared" si="15"/>
        <v>14</v>
      </c>
      <c r="I97" s="87">
        <f t="shared" si="16"/>
        <v>3.1333333333333333</v>
      </c>
      <c r="J97" s="15">
        <f t="shared" si="11"/>
        <v>85.44</v>
      </c>
      <c r="K97" s="15">
        <f t="shared" si="17"/>
        <v>113.92</v>
      </c>
      <c r="L97" s="15">
        <f t="shared" si="17"/>
        <v>170.88</v>
      </c>
      <c r="M97" s="15">
        <f t="shared" si="17"/>
        <v>227.84</v>
      </c>
      <c r="N97" s="15">
        <f t="shared" si="17"/>
        <v>273.40800000000002</v>
      </c>
      <c r="O97" s="15">
        <f t="shared" si="17"/>
        <v>341.76</v>
      </c>
      <c r="P97" s="15">
        <f t="shared" si="17"/>
        <v>455.68</v>
      </c>
    </row>
    <row r="98" spans="1:16">
      <c r="A98" s="13">
        <v>43525</v>
      </c>
      <c r="B98" s="13">
        <f t="shared" si="12"/>
        <v>43556</v>
      </c>
      <c r="C98" s="88">
        <v>43560</v>
      </c>
      <c r="D98" s="13">
        <v>43525</v>
      </c>
      <c r="E98" s="86" t="str">
        <f t="shared" si="13"/>
        <v>W14</v>
      </c>
      <c r="F98" s="86" t="str">
        <f t="shared" si="14"/>
        <v>Apr</v>
      </c>
      <c r="G98">
        <v>95</v>
      </c>
      <c r="H98">
        <f t="shared" si="15"/>
        <v>14</v>
      </c>
      <c r="I98" s="87">
        <f t="shared" si="16"/>
        <v>3.1666666666666665</v>
      </c>
      <c r="J98" s="15">
        <f t="shared" si="11"/>
        <v>85.44</v>
      </c>
      <c r="K98" s="15">
        <f t="shared" si="17"/>
        <v>113.92</v>
      </c>
      <c r="L98" s="15">
        <f t="shared" si="17"/>
        <v>170.88</v>
      </c>
      <c r="M98" s="15">
        <f t="shared" si="17"/>
        <v>227.84</v>
      </c>
      <c r="N98" s="15">
        <f t="shared" si="17"/>
        <v>273.40800000000002</v>
      </c>
      <c r="O98" s="15">
        <f t="shared" si="17"/>
        <v>341.76</v>
      </c>
      <c r="P98" s="15">
        <f t="shared" si="17"/>
        <v>455.68</v>
      </c>
    </row>
    <row r="99" spans="1:16">
      <c r="A99" s="13">
        <v>43526</v>
      </c>
      <c r="B99" s="13">
        <f t="shared" si="12"/>
        <v>43556</v>
      </c>
      <c r="C99" s="88">
        <v>43561</v>
      </c>
      <c r="D99" s="13">
        <v>43526</v>
      </c>
      <c r="E99" s="86" t="str">
        <f t="shared" si="13"/>
        <v>W14</v>
      </c>
      <c r="F99" s="86" t="str">
        <f t="shared" si="14"/>
        <v>Apr</v>
      </c>
      <c r="G99">
        <v>96</v>
      </c>
      <c r="H99">
        <f t="shared" si="15"/>
        <v>14</v>
      </c>
      <c r="I99" s="87">
        <f t="shared" si="16"/>
        <v>3.2</v>
      </c>
      <c r="J99" s="15">
        <f t="shared" si="11"/>
        <v>85.44</v>
      </c>
      <c r="K99" s="15">
        <f t="shared" si="17"/>
        <v>113.92</v>
      </c>
      <c r="L99" s="15">
        <f t="shared" si="17"/>
        <v>170.88</v>
      </c>
      <c r="M99" s="15">
        <f t="shared" si="17"/>
        <v>227.84</v>
      </c>
      <c r="N99" s="15">
        <f t="shared" si="17"/>
        <v>273.40800000000002</v>
      </c>
      <c r="O99" s="15">
        <f t="shared" si="17"/>
        <v>341.76</v>
      </c>
      <c r="P99" s="15">
        <f t="shared" si="17"/>
        <v>455.68</v>
      </c>
    </row>
    <row r="100" spans="1:16">
      <c r="A100" s="13">
        <v>43527</v>
      </c>
      <c r="B100" s="13">
        <f t="shared" si="12"/>
        <v>43556</v>
      </c>
      <c r="C100" s="88">
        <v>43562</v>
      </c>
      <c r="D100" s="13">
        <v>43527</v>
      </c>
      <c r="E100" s="86" t="str">
        <f t="shared" si="13"/>
        <v>W15</v>
      </c>
      <c r="F100" s="86" t="str">
        <f t="shared" si="14"/>
        <v>Apr</v>
      </c>
      <c r="G100">
        <v>97</v>
      </c>
      <c r="H100">
        <f t="shared" si="15"/>
        <v>15</v>
      </c>
      <c r="I100" s="87">
        <f t="shared" si="16"/>
        <v>3.2333333333333334</v>
      </c>
      <c r="J100" s="15">
        <f t="shared" si="11"/>
        <v>96.12</v>
      </c>
      <c r="K100" s="15">
        <f t="shared" si="17"/>
        <v>128.16</v>
      </c>
      <c r="L100" s="15">
        <f t="shared" si="17"/>
        <v>192.24</v>
      </c>
      <c r="M100" s="15">
        <f t="shared" si="17"/>
        <v>256.32</v>
      </c>
      <c r="N100" s="15">
        <f t="shared" si="17"/>
        <v>307.584</v>
      </c>
      <c r="O100" s="15">
        <f t="shared" si="17"/>
        <v>384.48</v>
      </c>
      <c r="P100" s="15">
        <f t="shared" si="17"/>
        <v>512.64</v>
      </c>
    </row>
    <row r="101" spans="1:16">
      <c r="A101" s="13">
        <v>43528</v>
      </c>
      <c r="B101" s="13">
        <f t="shared" si="12"/>
        <v>43556</v>
      </c>
      <c r="C101" s="88">
        <v>43563</v>
      </c>
      <c r="D101" s="13">
        <v>43528</v>
      </c>
      <c r="E101" s="86" t="str">
        <f t="shared" si="13"/>
        <v>W15</v>
      </c>
      <c r="F101" s="86" t="str">
        <f t="shared" si="14"/>
        <v>Apr</v>
      </c>
      <c r="G101">
        <v>98</v>
      </c>
      <c r="H101">
        <f t="shared" si="15"/>
        <v>15</v>
      </c>
      <c r="I101" s="87">
        <f t="shared" si="16"/>
        <v>3.2666666666666666</v>
      </c>
      <c r="J101" s="15">
        <f t="shared" si="11"/>
        <v>96.12</v>
      </c>
      <c r="K101" s="15">
        <f t="shared" si="17"/>
        <v>128.16</v>
      </c>
      <c r="L101" s="15">
        <f t="shared" si="17"/>
        <v>192.24</v>
      </c>
      <c r="M101" s="15">
        <f t="shared" si="17"/>
        <v>256.32</v>
      </c>
      <c r="N101" s="15">
        <f t="shared" si="17"/>
        <v>307.584</v>
      </c>
      <c r="O101" s="15">
        <f t="shared" si="17"/>
        <v>384.48</v>
      </c>
      <c r="P101" s="15">
        <f t="shared" si="17"/>
        <v>512.64</v>
      </c>
    </row>
    <row r="102" spans="1:16">
      <c r="A102" s="13">
        <v>43529</v>
      </c>
      <c r="B102" s="13">
        <f t="shared" si="12"/>
        <v>43556</v>
      </c>
      <c r="C102" s="88">
        <v>43564</v>
      </c>
      <c r="D102" s="13">
        <v>43529</v>
      </c>
      <c r="E102" s="86" t="str">
        <f t="shared" si="13"/>
        <v>W15</v>
      </c>
      <c r="F102" s="86" t="str">
        <f t="shared" si="14"/>
        <v>Apr</v>
      </c>
      <c r="G102">
        <v>99</v>
      </c>
      <c r="H102">
        <f t="shared" si="15"/>
        <v>15</v>
      </c>
      <c r="I102" s="87">
        <f t="shared" si="16"/>
        <v>3.3</v>
      </c>
      <c r="J102" s="15">
        <f t="shared" si="11"/>
        <v>96.12</v>
      </c>
      <c r="K102" s="15">
        <f t="shared" si="17"/>
        <v>128.16</v>
      </c>
      <c r="L102" s="15">
        <f t="shared" si="17"/>
        <v>192.24</v>
      </c>
      <c r="M102" s="15">
        <f t="shared" si="17"/>
        <v>256.32</v>
      </c>
      <c r="N102" s="15">
        <f t="shared" si="17"/>
        <v>307.584</v>
      </c>
      <c r="O102" s="15">
        <f t="shared" si="17"/>
        <v>384.48</v>
      </c>
      <c r="P102" s="15">
        <f t="shared" si="17"/>
        <v>512.64</v>
      </c>
    </row>
    <row r="103" spans="1:16">
      <c r="A103" s="13">
        <v>43530</v>
      </c>
      <c r="B103" s="13">
        <f t="shared" si="12"/>
        <v>43556</v>
      </c>
      <c r="C103" s="88">
        <v>43565</v>
      </c>
      <c r="D103" s="13">
        <v>43530</v>
      </c>
      <c r="E103" s="86" t="str">
        <f t="shared" si="13"/>
        <v>W15</v>
      </c>
      <c r="F103" s="86" t="str">
        <f t="shared" si="14"/>
        <v>Apr</v>
      </c>
      <c r="G103">
        <v>100</v>
      </c>
      <c r="H103">
        <f t="shared" si="15"/>
        <v>15</v>
      </c>
      <c r="I103" s="87">
        <f t="shared" si="16"/>
        <v>3.3333333333333335</v>
      </c>
      <c r="J103" s="15">
        <f t="shared" si="11"/>
        <v>96.12</v>
      </c>
      <c r="K103" s="15">
        <f t="shared" si="17"/>
        <v>128.16</v>
      </c>
      <c r="L103" s="15">
        <f t="shared" si="17"/>
        <v>192.24</v>
      </c>
      <c r="M103" s="15">
        <f t="shared" si="17"/>
        <v>256.32</v>
      </c>
      <c r="N103" s="15">
        <f t="shared" si="17"/>
        <v>307.584</v>
      </c>
      <c r="O103" s="15">
        <f t="shared" si="17"/>
        <v>384.48</v>
      </c>
      <c r="P103" s="15">
        <f t="shared" si="17"/>
        <v>512.64</v>
      </c>
    </row>
    <row r="104" spans="1:16">
      <c r="A104" s="13">
        <v>43531</v>
      </c>
      <c r="B104" s="13">
        <f t="shared" si="12"/>
        <v>43556</v>
      </c>
      <c r="C104" s="88">
        <v>43566</v>
      </c>
      <c r="D104" s="13">
        <v>43531</v>
      </c>
      <c r="E104" s="86" t="str">
        <f t="shared" si="13"/>
        <v>W15</v>
      </c>
      <c r="F104" s="86" t="str">
        <f t="shared" si="14"/>
        <v>Apr</v>
      </c>
      <c r="G104">
        <v>101</v>
      </c>
      <c r="H104">
        <f t="shared" si="15"/>
        <v>15</v>
      </c>
      <c r="I104" s="87">
        <f t="shared" si="16"/>
        <v>3.3666666666666667</v>
      </c>
      <c r="J104" s="15">
        <f t="shared" si="11"/>
        <v>96.12</v>
      </c>
      <c r="K104" s="15">
        <f t="shared" si="17"/>
        <v>128.16</v>
      </c>
      <c r="L104" s="15">
        <f t="shared" si="17"/>
        <v>192.24</v>
      </c>
      <c r="M104" s="15">
        <f t="shared" si="17"/>
        <v>256.32</v>
      </c>
      <c r="N104" s="15">
        <f t="shared" si="17"/>
        <v>307.584</v>
      </c>
      <c r="O104" s="15">
        <f t="shared" si="17"/>
        <v>384.48</v>
      </c>
      <c r="P104" s="15">
        <f t="shared" si="17"/>
        <v>512.64</v>
      </c>
    </row>
    <row r="105" spans="1:16">
      <c r="A105" s="13">
        <v>43532</v>
      </c>
      <c r="B105" s="13">
        <f t="shared" si="12"/>
        <v>43556</v>
      </c>
      <c r="C105" s="88">
        <v>43567</v>
      </c>
      <c r="D105" s="13">
        <v>43532</v>
      </c>
      <c r="E105" s="86" t="str">
        <f t="shared" si="13"/>
        <v>W15</v>
      </c>
      <c r="F105" s="86" t="str">
        <f t="shared" si="14"/>
        <v>Apr</v>
      </c>
      <c r="G105">
        <v>102</v>
      </c>
      <c r="H105">
        <f t="shared" si="15"/>
        <v>15</v>
      </c>
      <c r="I105" s="87">
        <f t="shared" si="16"/>
        <v>3.4</v>
      </c>
      <c r="J105" s="15">
        <f t="shared" si="11"/>
        <v>96.12</v>
      </c>
      <c r="K105" s="15">
        <f t="shared" si="17"/>
        <v>128.16</v>
      </c>
      <c r="L105" s="15">
        <f t="shared" si="17"/>
        <v>192.24</v>
      </c>
      <c r="M105" s="15">
        <f t="shared" si="17"/>
        <v>256.32</v>
      </c>
      <c r="N105" s="15">
        <f t="shared" si="17"/>
        <v>307.584</v>
      </c>
      <c r="O105" s="15">
        <f t="shared" si="17"/>
        <v>384.48</v>
      </c>
      <c r="P105" s="15">
        <f t="shared" si="17"/>
        <v>512.64</v>
      </c>
    </row>
    <row r="106" spans="1:16">
      <c r="A106" s="13">
        <v>43533</v>
      </c>
      <c r="B106" s="13">
        <f t="shared" si="12"/>
        <v>43556</v>
      </c>
      <c r="C106" s="88">
        <v>43568</v>
      </c>
      <c r="D106" s="13">
        <v>43533</v>
      </c>
      <c r="E106" s="86" t="str">
        <f t="shared" si="13"/>
        <v>W15</v>
      </c>
      <c r="F106" s="86" t="str">
        <f t="shared" si="14"/>
        <v>Apr</v>
      </c>
      <c r="G106">
        <v>103</v>
      </c>
      <c r="H106">
        <f t="shared" si="15"/>
        <v>15</v>
      </c>
      <c r="I106" s="87">
        <f t="shared" si="16"/>
        <v>3.4333333333333336</v>
      </c>
      <c r="J106" s="15">
        <f t="shared" si="11"/>
        <v>96.12</v>
      </c>
      <c r="K106" s="15">
        <f t="shared" si="17"/>
        <v>128.16</v>
      </c>
      <c r="L106" s="15">
        <f t="shared" si="17"/>
        <v>192.24</v>
      </c>
      <c r="M106" s="15">
        <f t="shared" si="17"/>
        <v>256.32</v>
      </c>
      <c r="N106" s="15">
        <f t="shared" si="17"/>
        <v>307.584</v>
      </c>
      <c r="O106" s="15">
        <f t="shared" si="17"/>
        <v>384.48</v>
      </c>
      <c r="P106" s="15">
        <f t="shared" si="17"/>
        <v>512.64</v>
      </c>
    </row>
    <row r="107" spans="1:16">
      <c r="A107" s="13">
        <v>43534</v>
      </c>
      <c r="B107" s="13">
        <f t="shared" si="12"/>
        <v>43556</v>
      </c>
      <c r="C107" s="88">
        <v>43569</v>
      </c>
      <c r="D107" s="13">
        <v>43534</v>
      </c>
      <c r="E107" s="86" t="str">
        <f t="shared" si="13"/>
        <v>W16</v>
      </c>
      <c r="F107" s="86" t="str">
        <f t="shared" si="14"/>
        <v>Apr</v>
      </c>
      <c r="G107">
        <v>104</v>
      </c>
      <c r="H107">
        <f t="shared" si="15"/>
        <v>16</v>
      </c>
      <c r="I107" s="87">
        <f t="shared" si="16"/>
        <v>3.4666666666666668</v>
      </c>
      <c r="J107" s="15">
        <f t="shared" si="11"/>
        <v>106.8</v>
      </c>
      <c r="K107" s="15">
        <f t="shared" si="17"/>
        <v>142.4</v>
      </c>
      <c r="L107" s="15">
        <f t="shared" si="17"/>
        <v>213.6</v>
      </c>
      <c r="M107" s="15">
        <f t="shared" si="17"/>
        <v>284.8</v>
      </c>
      <c r="N107" s="15">
        <f t="shared" si="17"/>
        <v>341.76</v>
      </c>
      <c r="O107" s="15">
        <f t="shared" si="17"/>
        <v>427.2</v>
      </c>
      <c r="P107" s="15">
        <f t="shared" si="17"/>
        <v>569.6</v>
      </c>
    </row>
    <row r="108" spans="1:16">
      <c r="A108" s="13">
        <v>43535</v>
      </c>
      <c r="B108" s="13">
        <f t="shared" si="12"/>
        <v>43556</v>
      </c>
      <c r="C108" s="88">
        <v>43570</v>
      </c>
      <c r="D108" s="13">
        <v>43535</v>
      </c>
      <c r="E108" s="86" t="str">
        <f t="shared" si="13"/>
        <v>W16</v>
      </c>
      <c r="F108" s="86" t="str">
        <f t="shared" si="14"/>
        <v>Apr</v>
      </c>
      <c r="G108">
        <v>105</v>
      </c>
      <c r="H108">
        <f t="shared" si="15"/>
        <v>16</v>
      </c>
      <c r="I108" s="87">
        <f t="shared" si="16"/>
        <v>3.5</v>
      </c>
      <c r="J108" s="15">
        <f t="shared" si="11"/>
        <v>106.8</v>
      </c>
      <c r="K108" s="15">
        <f t="shared" si="17"/>
        <v>142.4</v>
      </c>
      <c r="L108" s="15">
        <f t="shared" si="17"/>
        <v>213.6</v>
      </c>
      <c r="M108" s="15">
        <f t="shared" si="17"/>
        <v>284.8</v>
      </c>
      <c r="N108" s="15">
        <f t="shared" si="17"/>
        <v>341.76</v>
      </c>
      <c r="O108" s="15">
        <f t="shared" si="17"/>
        <v>427.2</v>
      </c>
      <c r="P108" s="15">
        <f t="shared" si="17"/>
        <v>569.6</v>
      </c>
    </row>
    <row r="109" spans="1:16">
      <c r="A109" s="13">
        <v>43536</v>
      </c>
      <c r="B109" s="13">
        <f t="shared" si="12"/>
        <v>43556</v>
      </c>
      <c r="C109" s="88">
        <v>43571</v>
      </c>
      <c r="D109" s="13">
        <v>43536</v>
      </c>
      <c r="E109" s="86" t="str">
        <f t="shared" si="13"/>
        <v>W16</v>
      </c>
      <c r="F109" s="86" t="str">
        <f t="shared" si="14"/>
        <v>Apr</v>
      </c>
      <c r="G109">
        <v>106</v>
      </c>
      <c r="H109">
        <f t="shared" si="15"/>
        <v>16</v>
      </c>
      <c r="I109" s="87">
        <f t="shared" si="16"/>
        <v>3.5333333333333332</v>
      </c>
      <c r="J109" s="15">
        <f t="shared" si="11"/>
        <v>106.8</v>
      </c>
      <c r="K109" s="15">
        <f t="shared" si="17"/>
        <v>142.4</v>
      </c>
      <c r="L109" s="15">
        <f t="shared" si="17"/>
        <v>213.6</v>
      </c>
      <c r="M109" s="15">
        <f t="shared" si="17"/>
        <v>284.8</v>
      </c>
      <c r="N109" s="15">
        <f t="shared" si="17"/>
        <v>341.76</v>
      </c>
      <c r="O109" s="15">
        <f t="shared" si="17"/>
        <v>427.2</v>
      </c>
      <c r="P109" s="15">
        <f t="shared" si="17"/>
        <v>569.6</v>
      </c>
    </row>
    <row r="110" spans="1:16">
      <c r="A110" s="13">
        <v>43537</v>
      </c>
      <c r="B110" s="13">
        <f t="shared" si="12"/>
        <v>43556</v>
      </c>
      <c r="C110" s="88">
        <v>43572</v>
      </c>
      <c r="D110" s="13">
        <v>43537</v>
      </c>
      <c r="E110" s="86" t="str">
        <f t="shared" si="13"/>
        <v>W16</v>
      </c>
      <c r="F110" s="86" t="str">
        <f t="shared" si="14"/>
        <v>Apr</v>
      </c>
      <c r="G110">
        <v>107</v>
      </c>
      <c r="H110">
        <f t="shared" si="15"/>
        <v>16</v>
      </c>
      <c r="I110" s="87">
        <f t="shared" si="16"/>
        <v>3.5666666666666664</v>
      </c>
      <c r="J110" s="15">
        <f t="shared" si="11"/>
        <v>106.8</v>
      </c>
      <c r="K110" s="15">
        <f t="shared" si="17"/>
        <v>142.4</v>
      </c>
      <c r="L110" s="15">
        <f t="shared" si="17"/>
        <v>213.6</v>
      </c>
      <c r="M110" s="15">
        <f t="shared" si="17"/>
        <v>284.8</v>
      </c>
      <c r="N110" s="15">
        <f t="shared" si="17"/>
        <v>341.76</v>
      </c>
      <c r="O110" s="15">
        <f t="shared" si="17"/>
        <v>427.2</v>
      </c>
      <c r="P110" s="15">
        <f t="shared" si="17"/>
        <v>569.6</v>
      </c>
    </row>
    <row r="111" spans="1:16">
      <c r="A111" s="13">
        <v>43538</v>
      </c>
      <c r="B111" s="13">
        <f t="shared" si="12"/>
        <v>43556</v>
      </c>
      <c r="C111" s="88">
        <v>43573</v>
      </c>
      <c r="D111" s="13">
        <v>43538</v>
      </c>
      <c r="E111" s="86" t="str">
        <f t="shared" si="13"/>
        <v>W16</v>
      </c>
      <c r="F111" s="86" t="str">
        <f t="shared" si="14"/>
        <v>Apr</v>
      </c>
      <c r="G111">
        <v>108</v>
      </c>
      <c r="H111">
        <f t="shared" si="15"/>
        <v>16</v>
      </c>
      <c r="I111" s="87">
        <f t="shared" si="16"/>
        <v>3.6</v>
      </c>
      <c r="J111" s="15">
        <f t="shared" si="11"/>
        <v>106.8</v>
      </c>
      <c r="K111" s="15">
        <f t="shared" si="17"/>
        <v>142.4</v>
      </c>
      <c r="L111" s="15">
        <f t="shared" si="17"/>
        <v>213.6</v>
      </c>
      <c r="M111" s="15">
        <f t="shared" si="17"/>
        <v>284.8</v>
      </c>
      <c r="N111" s="15">
        <f t="shared" si="17"/>
        <v>341.76</v>
      </c>
      <c r="O111" s="15">
        <f t="shared" si="17"/>
        <v>427.2</v>
      </c>
      <c r="P111" s="15">
        <f t="shared" si="17"/>
        <v>569.6</v>
      </c>
    </row>
    <row r="112" spans="1:16">
      <c r="A112" s="13">
        <v>43539</v>
      </c>
      <c r="B112" s="13">
        <f t="shared" si="12"/>
        <v>43556</v>
      </c>
      <c r="C112" s="88">
        <v>43574</v>
      </c>
      <c r="D112" s="13">
        <v>43539</v>
      </c>
      <c r="E112" s="86" t="str">
        <f t="shared" si="13"/>
        <v>W16</v>
      </c>
      <c r="F112" s="86" t="str">
        <f t="shared" si="14"/>
        <v>Apr</v>
      </c>
      <c r="G112">
        <v>109</v>
      </c>
      <c r="H112">
        <f t="shared" si="15"/>
        <v>16</v>
      </c>
      <c r="I112" s="87">
        <f t="shared" si="16"/>
        <v>3.6333333333333333</v>
      </c>
      <c r="J112" s="15">
        <f t="shared" si="11"/>
        <v>106.8</v>
      </c>
      <c r="K112" s="15">
        <f t="shared" si="17"/>
        <v>142.4</v>
      </c>
      <c r="L112" s="15">
        <f t="shared" si="17"/>
        <v>213.6</v>
      </c>
      <c r="M112" s="15">
        <f t="shared" si="17"/>
        <v>284.8</v>
      </c>
      <c r="N112" s="15">
        <f t="shared" si="17"/>
        <v>341.76</v>
      </c>
      <c r="O112" s="15">
        <f t="shared" si="17"/>
        <v>427.2</v>
      </c>
      <c r="P112" s="15">
        <f t="shared" si="17"/>
        <v>569.6</v>
      </c>
    </row>
    <row r="113" spans="1:16">
      <c r="A113" s="13">
        <v>43540</v>
      </c>
      <c r="B113" s="13">
        <f t="shared" si="12"/>
        <v>43556</v>
      </c>
      <c r="C113" s="88">
        <v>43575</v>
      </c>
      <c r="D113" s="13">
        <v>43540</v>
      </c>
      <c r="E113" s="86" t="str">
        <f t="shared" si="13"/>
        <v>W16</v>
      </c>
      <c r="F113" s="86" t="str">
        <f t="shared" si="14"/>
        <v>Apr</v>
      </c>
      <c r="G113">
        <v>110</v>
      </c>
      <c r="H113">
        <f t="shared" si="15"/>
        <v>16</v>
      </c>
      <c r="I113" s="87">
        <f t="shared" si="16"/>
        <v>3.6666666666666665</v>
      </c>
      <c r="J113" s="15">
        <f t="shared" si="11"/>
        <v>106.8</v>
      </c>
      <c r="K113" s="15">
        <f t="shared" si="17"/>
        <v>142.4</v>
      </c>
      <c r="L113" s="15">
        <f t="shared" si="17"/>
        <v>213.6</v>
      </c>
      <c r="M113" s="15">
        <f t="shared" si="17"/>
        <v>284.8</v>
      </c>
      <c r="N113" s="15">
        <f t="shared" si="17"/>
        <v>341.76</v>
      </c>
      <c r="O113" s="15">
        <f t="shared" si="17"/>
        <v>427.2</v>
      </c>
      <c r="P113" s="15">
        <f t="shared" si="17"/>
        <v>569.6</v>
      </c>
    </row>
    <row r="114" spans="1:16">
      <c r="A114" s="13">
        <v>43541</v>
      </c>
      <c r="B114" s="13">
        <f t="shared" si="12"/>
        <v>43556</v>
      </c>
      <c r="C114" s="88">
        <v>43576</v>
      </c>
      <c r="D114" s="13">
        <v>43541</v>
      </c>
      <c r="E114" s="86" t="str">
        <f t="shared" si="13"/>
        <v>W17</v>
      </c>
      <c r="F114" s="86" t="str">
        <f t="shared" si="14"/>
        <v>Apr</v>
      </c>
      <c r="G114">
        <v>111</v>
      </c>
      <c r="H114">
        <f t="shared" si="15"/>
        <v>17</v>
      </c>
      <c r="I114" s="87">
        <f t="shared" si="16"/>
        <v>3.7</v>
      </c>
      <c r="J114" s="15">
        <f t="shared" si="11"/>
        <v>117.48</v>
      </c>
      <c r="K114" s="15">
        <f t="shared" si="17"/>
        <v>156.63999999999999</v>
      </c>
      <c r="L114" s="15">
        <f t="shared" si="17"/>
        <v>234.96</v>
      </c>
      <c r="M114" s="15">
        <f t="shared" si="17"/>
        <v>313.27999999999997</v>
      </c>
      <c r="N114" s="15">
        <f t="shared" si="17"/>
        <v>375.93599999999998</v>
      </c>
      <c r="O114" s="15">
        <f t="shared" si="17"/>
        <v>469.92</v>
      </c>
      <c r="P114" s="15">
        <f t="shared" si="17"/>
        <v>626.55999999999995</v>
      </c>
    </row>
    <row r="115" spans="1:16">
      <c r="A115" s="13">
        <v>43542</v>
      </c>
      <c r="B115" s="13">
        <f t="shared" si="12"/>
        <v>43556</v>
      </c>
      <c r="C115" s="88">
        <v>43577</v>
      </c>
      <c r="D115" s="13">
        <v>43542</v>
      </c>
      <c r="E115" s="86" t="str">
        <f t="shared" si="13"/>
        <v>W17</v>
      </c>
      <c r="F115" s="86" t="str">
        <f t="shared" si="14"/>
        <v>Apr</v>
      </c>
      <c r="G115">
        <v>112</v>
      </c>
      <c r="H115">
        <f t="shared" si="15"/>
        <v>17</v>
      </c>
      <c r="I115" s="87">
        <f t="shared" si="16"/>
        <v>3.7333333333333334</v>
      </c>
      <c r="J115" s="15">
        <f t="shared" si="11"/>
        <v>117.48</v>
      </c>
      <c r="K115" s="15">
        <f t="shared" si="17"/>
        <v>156.63999999999999</v>
      </c>
      <c r="L115" s="15">
        <f t="shared" si="17"/>
        <v>234.96</v>
      </c>
      <c r="M115" s="15">
        <f t="shared" si="17"/>
        <v>313.27999999999997</v>
      </c>
      <c r="N115" s="15">
        <f t="shared" si="17"/>
        <v>375.93599999999998</v>
      </c>
      <c r="O115" s="15">
        <f t="shared" si="17"/>
        <v>469.92</v>
      </c>
      <c r="P115" s="15">
        <f t="shared" si="17"/>
        <v>626.55999999999995</v>
      </c>
    </row>
    <row r="116" spans="1:16">
      <c r="A116" s="13">
        <v>43543</v>
      </c>
      <c r="B116" s="13">
        <f t="shared" si="12"/>
        <v>43556</v>
      </c>
      <c r="C116" s="88">
        <v>43578</v>
      </c>
      <c r="D116" s="13">
        <v>43543</v>
      </c>
      <c r="E116" s="86" t="str">
        <f t="shared" si="13"/>
        <v>W17</v>
      </c>
      <c r="F116" s="86" t="str">
        <f t="shared" si="14"/>
        <v>Apr</v>
      </c>
      <c r="G116">
        <v>113</v>
      </c>
      <c r="H116">
        <f t="shared" si="15"/>
        <v>17</v>
      </c>
      <c r="I116" s="87">
        <f t="shared" si="16"/>
        <v>3.7666666666666666</v>
      </c>
      <c r="J116" s="15">
        <f t="shared" si="11"/>
        <v>117.48</v>
      </c>
      <c r="K116" s="15">
        <f t="shared" si="17"/>
        <v>156.63999999999999</v>
      </c>
      <c r="L116" s="15">
        <f t="shared" si="17"/>
        <v>234.96</v>
      </c>
      <c r="M116" s="15">
        <f t="shared" si="17"/>
        <v>313.27999999999997</v>
      </c>
      <c r="N116" s="15">
        <f t="shared" si="17"/>
        <v>375.93599999999998</v>
      </c>
      <c r="O116" s="15">
        <f t="shared" si="17"/>
        <v>469.92</v>
      </c>
      <c r="P116" s="15">
        <f t="shared" si="17"/>
        <v>626.55999999999995</v>
      </c>
    </row>
    <row r="117" spans="1:16">
      <c r="A117" s="13">
        <v>43544</v>
      </c>
      <c r="B117" s="13">
        <f t="shared" si="12"/>
        <v>43556</v>
      </c>
      <c r="C117" s="88">
        <v>43579</v>
      </c>
      <c r="D117" s="13">
        <v>43544</v>
      </c>
      <c r="E117" s="86" t="str">
        <f t="shared" si="13"/>
        <v>W17</v>
      </c>
      <c r="F117" s="86" t="str">
        <f t="shared" si="14"/>
        <v>Apr</v>
      </c>
      <c r="G117">
        <v>114</v>
      </c>
      <c r="H117">
        <f t="shared" si="15"/>
        <v>17</v>
      </c>
      <c r="I117" s="87">
        <f t="shared" si="16"/>
        <v>3.8</v>
      </c>
      <c r="J117" s="15">
        <f t="shared" si="11"/>
        <v>117.48</v>
      </c>
      <c r="K117" s="15">
        <f t="shared" si="17"/>
        <v>156.63999999999999</v>
      </c>
      <c r="L117" s="15">
        <f t="shared" si="17"/>
        <v>234.96</v>
      </c>
      <c r="M117" s="15">
        <f t="shared" si="17"/>
        <v>313.27999999999997</v>
      </c>
      <c r="N117" s="15">
        <f t="shared" si="17"/>
        <v>375.93599999999998</v>
      </c>
      <c r="O117" s="15">
        <f t="shared" si="17"/>
        <v>469.92</v>
      </c>
      <c r="P117" s="15">
        <f t="shared" si="17"/>
        <v>626.55999999999995</v>
      </c>
    </row>
    <row r="118" spans="1:16">
      <c r="A118" s="13">
        <v>43545</v>
      </c>
      <c r="B118" s="13">
        <f t="shared" si="12"/>
        <v>43556</v>
      </c>
      <c r="C118" s="88">
        <v>43580</v>
      </c>
      <c r="D118" s="13">
        <v>43545</v>
      </c>
      <c r="E118" s="86" t="str">
        <f t="shared" si="13"/>
        <v>W17</v>
      </c>
      <c r="F118" s="86" t="str">
        <f t="shared" si="14"/>
        <v>Apr</v>
      </c>
      <c r="G118">
        <v>115</v>
      </c>
      <c r="H118">
        <f t="shared" si="15"/>
        <v>17</v>
      </c>
      <c r="I118" s="87">
        <f t="shared" si="16"/>
        <v>3.8333333333333335</v>
      </c>
      <c r="J118" s="15">
        <f t="shared" si="11"/>
        <v>117.48</v>
      </c>
      <c r="K118" s="15">
        <f t="shared" si="17"/>
        <v>156.63999999999999</v>
      </c>
      <c r="L118" s="15">
        <f t="shared" si="17"/>
        <v>234.96</v>
      </c>
      <c r="M118" s="15">
        <f t="shared" si="17"/>
        <v>313.27999999999997</v>
      </c>
      <c r="N118" s="15">
        <f t="shared" si="17"/>
        <v>375.93599999999998</v>
      </c>
      <c r="O118" s="15">
        <f t="shared" si="17"/>
        <v>469.92</v>
      </c>
      <c r="P118" s="15">
        <f t="shared" si="17"/>
        <v>626.55999999999995</v>
      </c>
    </row>
    <row r="119" spans="1:16">
      <c r="A119" s="13">
        <v>43546</v>
      </c>
      <c r="B119" s="13">
        <f t="shared" si="12"/>
        <v>43556</v>
      </c>
      <c r="C119" s="88">
        <v>43581</v>
      </c>
      <c r="D119" s="13">
        <v>43546</v>
      </c>
      <c r="E119" s="86" t="str">
        <f t="shared" si="13"/>
        <v>W17</v>
      </c>
      <c r="F119" s="86" t="str">
        <f t="shared" si="14"/>
        <v>Apr</v>
      </c>
      <c r="G119">
        <v>116</v>
      </c>
      <c r="H119">
        <f t="shared" si="15"/>
        <v>17</v>
      </c>
      <c r="I119" s="87">
        <f t="shared" si="16"/>
        <v>3.8666666666666667</v>
      </c>
      <c r="J119" s="15">
        <f t="shared" ref="J119:J182" si="18">IF($H119&lt;=9,0,(($H119-6)*0.16*26700)/J$3)</f>
        <v>117.48</v>
      </c>
      <c r="K119" s="15">
        <f t="shared" si="17"/>
        <v>156.63999999999999</v>
      </c>
      <c r="L119" s="15">
        <f t="shared" si="17"/>
        <v>234.96</v>
      </c>
      <c r="M119" s="15">
        <f t="shared" si="17"/>
        <v>313.27999999999997</v>
      </c>
      <c r="N119" s="15">
        <f t="shared" si="17"/>
        <v>375.93599999999998</v>
      </c>
      <c r="O119" s="15">
        <f t="shared" si="17"/>
        <v>469.92</v>
      </c>
      <c r="P119" s="15">
        <f t="shared" si="17"/>
        <v>626.55999999999995</v>
      </c>
    </row>
    <row r="120" spans="1:16">
      <c r="A120" s="13">
        <v>43547</v>
      </c>
      <c r="B120" s="13">
        <f t="shared" si="12"/>
        <v>43556</v>
      </c>
      <c r="C120" s="88">
        <v>43582</v>
      </c>
      <c r="D120" s="13">
        <v>43547</v>
      </c>
      <c r="E120" s="86" t="str">
        <f t="shared" si="13"/>
        <v>W17</v>
      </c>
      <c r="F120" s="86" t="str">
        <f t="shared" si="14"/>
        <v>Apr</v>
      </c>
      <c r="G120">
        <v>117</v>
      </c>
      <c r="H120">
        <f t="shared" si="15"/>
        <v>17</v>
      </c>
      <c r="I120" s="87">
        <f t="shared" si="16"/>
        <v>3.9</v>
      </c>
      <c r="J120" s="15">
        <f t="shared" si="18"/>
        <v>117.48</v>
      </c>
      <c r="K120" s="15">
        <f t="shared" si="17"/>
        <v>156.63999999999999</v>
      </c>
      <c r="L120" s="15">
        <f t="shared" si="17"/>
        <v>234.96</v>
      </c>
      <c r="M120" s="15">
        <f t="shared" si="17"/>
        <v>313.27999999999997</v>
      </c>
      <c r="N120" s="15">
        <f t="shared" si="17"/>
        <v>375.93599999999998</v>
      </c>
      <c r="O120" s="15">
        <f t="shared" si="17"/>
        <v>469.92</v>
      </c>
      <c r="P120" s="15">
        <f t="shared" si="17"/>
        <v>626.55999999999995</v>
      </c>
    </row>
    <row r="121" spans="1:16">
      <c r="A121" s="13">
        <v>43548</v>
      </c>
      <c r="B121" s="13">
        <f t="shared" si="12"/>
        <v>43556</v>
      </c>
      <c r="C121" s="88">
        <v>43583</v>
      </c>
      <c r="D121" s="13">
        <v>43548</v>
      </c>
      <c r="E121" s="86" t="str">
        <f t="shared" si="13"/>
        <v>W18</v>
      </c>
      <c r="F121" s="86" t="str">
        <f t="shared" si="14"/>
        <v>Apr</v>
      </c>
      <c r="G121">
        <v>118</v>
      </c>
      <c r="H121">
        <f t="shared" si="15"/>
        <v>18</v>
      </c>
      <c r="I121" s="87">
        <f t="shared" si="16"/>
        <v>3.9333333333333336</v>
      </c>
      <c r="J121" s="15">
        <f t="shared" si="18"/>
        <v>128.16</v>
      </c>
      <c r="K121" s="15">
        <f t="shared" si="17"/>
        <v>170.88</v>
      </c>
      <c r="L121" s="15">
        <f t="shared" si="17"/>
        <v>256.32</v>
      </c>
      <c r="M121" s="15">
        <f t="shared" si="17"/>
        <v>341.76</v>
      </c>
      <c r="N121" s="15">
        <f t="shared" si="17"/>
        <v>410.11200000000002</v>
      </c>
      <c r="O121" s="15">
        <f t="shared" si="17"/>
        <v>512.64</v>
      </c>
      <c r="P121" s="15">
        <f t="shared" si="17"/>
        <v>683.52</v>
      </c>
    </row>
    <row r="122" spans="1:16">
      <c r="A122" s="13">
        <v>43549</v>
      </c>
      <c r="B122" s="13">
        <f t="shared" si="12"/>
        <v>43556</v>
      </c>
      <c r="C122" s="88">
        <v>43584</v>
      </c>
      <c r="D122" s="13">
        <v>43549</v>
      </c>
      <c r="E122" s="86" t="str">
        <f t="shared" si="13"/>
        <v>W18</v>
      </c>
      <c r="F122" s="86" t="str">
        <f t="shared" si="14"/>
        <v>Apr</v>
      </c>
      <c r="G122">
        <v>119</v>
      </c>
      <c r="H122">
        <f t="shared" si="15"/>
        <v>18</v>
      </c>
      <c r="I122" s="87">
        <f t="shared" si="16"/>
        <v>3.9666666666666668</v>
      </c>
      <c r="J122" s="15">
        <f t="shared" si="18"/>
        <v>128.16</v>
      </c>
      <c r="K122" s="15">
        <f t="shared" si="17"/>
        <v>170.88</v>
      </c>
      <c r="L122" s="15">
        <f t="shared" si="17"/>
        <v>256.32</v>
      </c>
      <c r="M122" s="15">
        <f t="shared" si="17"/>
        <v>341.76</v>
      </c>
      <c r="N122" s="15">
        <f t="shared" si="17"/>
        <v>410.11200000000002</v>
      </c>
      <c r="O122" s="15">
        <f t="shared" si="17"/>
        <v>512.64</v>
      </c>
      <c r="P122" s="15">
        <f t="shared" si="17"/>
        <v>683.52</v>
      </c>
    </row>
    <row r="123" spans="1:16">
      <c r="A123" s="13">
        <v>43550</v>
      </c>
      <c r="B123" s="13">
        <f t="shared" si="12"/>
        <v>43556</v>
      </c>
      <c r="C123" s="88">
        <v>43585</v>
      </c>
      <c r="D123" s="13">
        <v>43550</v>
      </c>
      <c r="E123" s="86" t="str">
        <f t="shared" si="13"/>
        <v>W18</v>
      </c>
      <c r="F123" s="86" t="str">
        <f t="shared" si="14"/>
        <v>Apr</v>
      </c>
      <c r="G123">
        <v>120</v>
      </c>
      <c r="H123">
        <f t="shared" si="15"/>
        <v>18</v>
      </c>
      <c r="I123" s="87">
        <f t="shared" si="16"/>
        <v>4</v>
      </c>
      <c r="J123" s="15">
        <f t="shared" si="18"/>
        <v>128.16</v>
      </c>
      <c r="K123" s="15">
        <f t="shared" si="17"/>
        <v>170.88</v>
      </c>
      <c r="L123" s="15">
        <f t="shared" si="17"/>
        <v>256.32</v>
      </c>
      <c r="M123" s="15">
        <f t="shared" si="17"/>
        <v>341.76</v>
      </c>
      <c r="N123" s="15">
        <f t="shared" si="17"/>
        <v>410.11200000000002</v>
      </c>
      <c r="O123" s="15">
        <f t="shared" si="17"/>
        <v>512.64</v>
      </c>
      <c r="P123" s="15">
        <f t="shared" si="17"/>
        <v>683.52</v>
      </c>
    </row>
    <row r="124" spans="1:16">
      <c r="A124" s="13">
        <v>43551</v>
      </c>
      <c r="B124" s="13">
        <f t="shared" si="12"/>
        <v>43586</v>
      </c>
      <c r="C124" s="88">
        <v>43586</v>
      </c>
      <c r="D124" s="13">
        <v>43551</v>
      </c>
      <c r="E124" s="86" t="str">
        <f t="shared" si="13"/>
        <v>W18</v>
      </c>
      <c r="F124" s="86" t="str">
        <f t="shared" si="14"/>
        <v>May</v>
      </c>
      <c r="G124">
        <v>121</v>
      </c>
      <c r="H124">
        <f t="shared" si="15"/>
        <v>18</v>
      </c>
      <c r="I124" s="87">
        <f t="shared" si="16"/>
        <v>4.032258064516129</v>
      </c>
      <c r="J124" s="15">
        <f t="shared" si="18"/>
        <v>128.16</v>
      </c>
      <c r="K124" s="15">
        <f t="shared" si="17"/>
        <v>170.88</v>
      </c>
      <c r="L124" s="15">
        <f t="shared" si="17"/>
        <v>256.32</v>
      </c>
      <c r="M124" s="15">
        <f t="shared" si="17"/>
        <v>341.76</v>
      </c>
      <c r="N124" s="15">
        <f t="shared" si="17"/>
        <v>410.11200000000002</v>
      </c>
      <c r="O124" s="15">
        <f t="shared" si="17"/>
        <v>512.64</v>
      </c>
      <c r="P124" s="15">
        <f t="shared" si="17"/>
        <v>683.52</v>
      </c>
    </row>
    <row r="125" spans="1:16">
      <c r="A125" s="13">
        <v>43552</v>
      </c>
      <c r="B125" s="13">
        <f t="shared" si="12"/>
        <v>43586</v>
      </c>
      <c r="C125" s="88">
        <v>43587</v>
      </c>
      <c r="D125" s="13">
        <v>43552</v>
      </c>
      <c r="E125" s="86" t="str">
        <f t="shared" si="13"/>
        <v>W18</v>
      </c>
      <c r="F125" s="86" t="str">
        <f t="shared" si="14"/>
        <v>May</v>
      </c>
      <c r="G125">
        <v>122</v>
      </c>
      <c r="H125">
        <f t="shared" si="15"/>
        <v>18</v>
      </c>
      <c r="I125" s="87">
        <f t="shared" si="16"/>
        <v>4.064516129032258</v>
      </c>
      <c r="J125" s="15">
        <f t="shared" si="18"/>
        <v>128.16</v>
      </c>
      <c r="K125" s="15">
        <f t="shared" si="17"/>
        <v>170.88</v>
      </c>
      <c r="L125" s="15">
        <f t="shared" si="17"/>
        <v>256.32</v>
      </c>
      <c r="M125" s="15">
        <f t="shared" si="17"/>
        <v>341.76</v>
      </c>
      <c r="N125" s="15">
        <f t="shared" si="17"/>
        <v>410.11200000000002</v>
      </c>
      <c r="O125" s="15">
        <f t="shared" si="17"/>
        <v>512.64</v>
      </c>
      <c r="P125" s="15">
        <f t="shared" si="17"/>
        <v>683.52</v>
      </c>
    </row>
    <row r="126" spans="1:16">
      <c r="A126" s="13">
        <v>43553</v>
      </c>
      <c r="B126" s="13">
        <f t="shared" si="12"/>
        <v>43586</v>
      </c>
      <c r="C126" s="88">
        <v>43588</v>
      </c>
      <c r="D126" s="13">
        <v>43553</v>
      </c>
      <c r="E126" s="86" t="str">
        <f t="shared" si="13"/>
        <v>W18</v>
      </c>
      <c r="F126" s="86" t="str">
        <f t="shared" si="14"/>
        <v>May</v>
      </c>
      <c r="G126">
        <v>123</v>
      </c>
      <c r="H126">
        <f t="shared" si="15"/>
        <v>18</v>
      </c>
      <c r="I126" s="87">
        <f t="shared" si="16"/>
        <v>4.096774193548387</v>
      </c>
      <c r="J126" s="15">
        <f t="shared" si="18"/>
        <v>128.16</v>
      </c>
      <c r="K126" s="15">
        <f t="shared" si="17"/>
        <v>170.88</v>
      </c>
      <c r="L126" s="15">
        <f t="shared" si="17"/>
        <v>256.32</v>
      </c>
      <c r="M126" s="15">
        <f t="shared" si="17"/>
        <v>341.76</v>
      </c>
      <c r="N126" s="15">
        <f t="shared" si="17"/>
        <v>410.11200000000002</v>
      </c>
      <c r="O126" s="15">
        <f t="shared" si="17"/>
        <v>512.64</v>
      </c>
      <c r="P126" s="15">
        <f t="shared" si="17"/>
        <v>683.52</v>
      </c>
    </row>
    <row r="127" spans="1:16">
      <c r="A127" s="13">
        <v>43554</v>
      </c>
      <c r="B127" s="13">
        <f t="shared" si="12"/>
        <v>43586</v>
      </c>
      <c r="C127" s="88">
        <v>43589</v>
      </c>
      <c r="D127" s="13">
        <v>43554</v>
      </c>
      <c r="E127" s="86" t="str">
        <f t="shared" si="13"/>
        <v>W18</v>
      </c>
      <c r="F127" s="86" t="str">
        <f t="shared" si="14"/>
        <v>May</v>
      </c>
      <c r="G127">
        <v>124</v>
      </c>
      <c r="H127">
        <f t="shared" si="15"/>
        <v>18</v>
      </c>
      <c r="I127" s="87">
        <f t="shared" si="16"/>
        <v>4.129032258064516</v>
      </c>
      <c r="J127" s="15">
        <f t="shared" si="18"/>
        <v>128.16</v>
      </c>
      <c r="K127" s="15">
        <f t="shared" si="17"/>
        <v>170.88</v>
      </c>
      <c r="L127" s="15">
        <f t="shared" si="17"/>
        <v>256.32</v>
      </c>
      <c r="M127" s="15">
        <f t="shared" si="17"/>
        <v>341.76</v>
      </c>
      <c r="N127" s="15">
        <f t="shared" si="17"/>
        <v>410.11200000000002</v>
      </c>
      <c r="O127" s="15">
        <f t="shared" si="17"/>
        <v>512.64</v>
      </c>
      <c r="P127" s="15">
        <f t="shared" si="17"/>
        <v>683.52</v>
      </c>
    </row>
    <row r="128" spans="1:16">
      <c r="A128" s="13">
        <v>43556</v>
      </c>
      <c r="B128" s="13">
        <f t="shared" si="12"/>
        <v>43586</v>
      </c>
      <c r="C128" s="88">
        <v>43590</v>
      </c>
      <c r="D128" s="13">
        <v>43556</v>
      </c>
      <c r="E128" s="86" t="str">
        <f t="shared" si="13"/>
        <v>W19</v>
      </c>
      <c r="F128" s="86" t="str">
        <f t="shared" si="14"/>
        <v>May</v>
      </c>
      <c r="G128">
        <v>125</v>
      </c>
      <c r="H128">
        <f t="shared" si="15"/>
        <v>19</v>
      </c>
      <c r="I128" s="87">
        <f t="shared" si="16"/>
        <v>4.161290322580645</v>
      </c>
      <c r="J128" s="15">
        <f t="shared" si="18"/>
        <v>138.84</v>
      </c>
      <c r="K128" s="15">
        <f t="shared" si="17"/>
        <v>185.12</v>
      </c>
      <c r="L128" s="15">
        <f t="shared" si="17"/>
        <v>277.68</v>
      </c>
      <c r="M128" s="15">
        <f t="shared" si="17"/>
        <v>370.24</v>
      </c>
      <c r="N128" s="15">
        <f t="shared" si="17"/>
        <v>444.28800000000001</v>
      </c>
      <c r="O128" s="15">
        <f t="shared" si="17"/>
        <v>555.36</v>
      </c>
      <c r="P128" s="15">
        <f t="shared" si="17"/>
        <v>740.48</v>
      </c>
    </row>
    <row r="129" spans="1:16">
      <c r="A129" s="13">
        <v>43557</v>
      </c>
      <c r="B129" s="13">
        <f t="shared" si="12"/>
        <v>43586</v>
      </c>
      <c r="C129" s="88">
        <v>43591</v>
      </c>
      <c r="D129" s="13">
        <v>43557</v>
      </c>
      <c r="E129" s="86" t="str">
        <f t="shared" si="13"/>
        <v>W19</v>
      </c>
      <c r="F129" s="86" t="str">
        <f t="shared" si="14"/>
        <v>May</v>
      </c>
      <c r="G129">
        <v>126</v>
      </c>
      <c r="H129">
        <f t="shared" si="15"/>
        <v>19</v>
      </c>
      <c r="I129" s="87">
        <f t="shared" si="16"/>
        <v>4.193548387096774</v>
      </c>
      <c r="J129" s="15">
        <f t="shared" si="18"/>
        <v>138.84</v>
      </c>
      <c r="K129" s="15">
        <f t="shared" si="17"/>
        <v>185.12</v>
      </c>
      <c r="L129" s="15">
        <f t="shared" si="17"/>
        <v>277.68</v>
      </c>
      <c r="M129" s="15">
        <f t="shared" si="17"/>
        <v>370.24</v>
      </c>
      <c r="N129" s="15">
        <f t="shared" si="17"/>
        <v>444.28800000000001</v>
      </c>
      <c r="O129" s="15">
        <f t="shared" si="17"/>
        <v>555.36</v>
      </c>
      <c r="P129" s="15">
        <f t="shared" si="17"/>
        <v>740.48</v>
      </c>
    </row>
    <row r="130" spans="1:16">
      <c r="A130" s="13">
        <v>43558</v>
      </c>
      <c r="B130" s="13">
        <f t="shared" si="12"/>
        <v>43586</v>
      </c>
      <c r="C130" s="88">
        <v>43592</v>
      </c>
      <c r="D130" s="13">
        <v>43558</v>
      </c>
      <c r="E130" s="86" t="str">
        <f t="shared" si="13"/>
        <v>W19</v>
      </c>
      <c r="F130" s="86" t="str">
        <f t="shared" si="14"/>
        <v>May</v>
      </c>
      <c r="G130">
        <v>127</v>
      </c>
      <c r="H130">
        <f t="shared" si="15"/>
        <v>19</v>
      </c>
      <c r="I130" s="87">
        <f t="shared" si="16"/>
        <v>4.225806451612903</v>
      </c>
      <c r="J130" s="15">
        <f t="shared" si="18"/>
        <v>138.84</v>
      </c>
      <c r="K130" s="15">
        <f t="shared" si="17"/>
        <v>185.12</v>
      </c>
      <c r="L130" s="15">
        <f t="shared" si="17"/>
        <v>277.68</v>
      </c>
      <c r="M130" s="15">
        <f t="shared" si="17"/>
        <v>370.24</v>
      </c>
      <c r="N130" s="15">
        <f t="shared" si="17"/>
        <v>444.28800000000001</v>
      </c>
      <c r="O130" s="15">
        <f t="shared" si="17"/>
        <v>555.36</v>
      </c>
      <c r="P130" s="15">
        <f t="shared" si="17"/>
        <v>740.48</v>
      </c>
    </row>
    <row r="131" spans="1:16">
      <c r="A131" s="13">
        <v>43559</v>
      </c>
      <c r="B131" s="13">
        <f t="shared" si="12"/>
        <v>43586</v>
      </c>
      <c r="C131" s="88">
        <v>43593</v>
      </c>
      <c r="D131" s="13">
        <v>43559</v>
      </c>
      <c r="E131" s="86" t="str">
        <f t="shared" si="13"/>
        <v>W19</v>
      </c>
      <c r="F131" s="86" t="str">
        <f t="shared" si="14"/>
        <v>May</v>
      </c>
      <c r="G131">
        <v>128</v>
      </c>
      <c r="H131">
        <f t="shared" si="15"/>
        <v>19</v>
      </c>
      <c r="I131" s="87">
        <f t="shared" si="16"/>
        <v>4.258064516129032</v>
      </c>
      <c r="J131" s="15">
        <f t="shared" si="18"/>
        <v>138.84</v>
      </c>
      <c r="K131" s="15">
        <f t="shared" si="17"/>
        <v>185.12</v>
      </c>
      <c r="L131" s="15">
        <f t="shared" si="17"/>
        <v>277.68</v>
      </c>
      <c r="M131" s="15">
        <f t="shared" si="17"/>
        <v>370.24</v>
      </c>
      <c r="N131" s="15">
        <f t="shared" si="17"/>
        <v>444.28800000000001</v>
      </c>
      <c r="O131" s="15">
        <f t="shared" si="17"/>
        <v>555.36</v>
      </c>
      <c r="P131" s="15">
        <f t="shared" si="17"/>
        <v>740.48</v>
      </c>
    </row>
    <row r="132" spans="1:16">
      <c r="A132" s="13">
        <v>43560</v>
      </c>
      <c r="B132" s="13">
        <f t="shared" ref="B132:B195" si="19">DATE(2019,MONTH(C132),1)</f>
        <v>43586</v>
      </c>
      <c r="C132" s="88">
        <v>43594</v>
      </c>
      <c r="D132" s="13">
        <v>43560</v>
      </c>
      <c r="E132" s="86" t="str">
        <f t="shared" ref="E132:E195" si="20">"W"&amp;WEEKNUM(C132)</f>
        <v>W19</v>
      </c>
      <c r="F132" s="86" t="str">
        <f t="shared" ref="F132:F195" si="21">TEXT(C132,"MMM")</f>
        <v>May</v>
      </c>
      <c r="G132">
        <v>129</v>
      </c>
      <c r="H132">
        <f t="shared" ref="H132:H195" si="22">WEEKNUM(C132)</f>
        <v>19</v>
      </c>
      <c r="I132" s="87">
        <f t="shared" ref="I132:I195" si="23">(DATEDIF(B132,C132,"D")+1)/VLOOKUP(F132,$AC$4:$AD$15,2,0)+(MONTH(C132)*1-1)</f>
        <v>4.290322580645161</v>
      </c>
      <c r="J132" s="15">
        <f t="shared" si="18"/>
        <v>138.84</v>
      </c>
      <c r="K132" s="15">
        <f t="shared" si="17"/>
        <v>185.12</v>
      </c>
      <c r="L132" s="15">
        <f t="shared" si="17"/>
        <v>277.68</v>
      </c>
      <c r="M132" s="15">
        <f t="shared" si="17"/>
        <v>370.24</v>
      </c>
      <c r="N132" s="15">
        <f t="shared" si="17"/>
        <v>444.28800000000001</v>
      </c>
      <c r="O132" s="15">
        <f t="shared" si="17"/>
        <v>555.36</v>
      </c>
      <c r="P132" s="15">
        <f t="shared" si="17"/>
        <v>740.48</v>
      </c>
    </row>
    <row r="133" spans="1:16">
      <c r="A133" s="13">
        <v>43561</v>
      </c>
      <c r="B133" s="13">
        <f t="shared" si="19"/>
        <v>43586</v>
      </c>
      <c r="C133" s="88">
        <v>43595</v>
      </c>
      <c r="D133" s="13">
        <v>43561</v>
      </c>
      <c r="E133" s="86" t="str">
        <f t="shared" si="20"/>
        <v>W19</v>
      </c>
      <c r="F133" s="86" t="str">
        <f t="shared" si="21"/>
        <v>May</v>
      </c>
      <c r="G133">
        <v>130</v>
      </c>
      <c r="H133">
        <f t="shared" si="22"/>
        <v>19</v>
      </c>
      <c r="I133" s="87">
        <f t="shared" si="23"/>
        <v>4.32258064516129</v>
      </c>
      <c r="J133" s="15">
        <f t="shared" si="18"/>
        <v>138.84</v>
      </c>
      <c r="K133" s="15">
        <f t="shared" si="17"/>
        <v>185.12</v>
      </c>
      <c r="L133" s="15">
        <f t="shared" si="17"/>
        <v>277.68</v>
      </c>
      <c r="M133" s="15">
        <f t="shared" si="17"/>
        <v>370.24</v>
      </c>
      <c r="N133" s="15">
        <f t="shared" si="17"/>
        <v>444.28800000000001</v>
      </c>
      <c r="O133" s="15">
        <f t="shared" si="17"/>
        <v>555.36</v>
      </c>
      <c r="P133" s="15">
        <f t="shared" si="17"/>
        <v>740.48</v>
      </c>
    </row>
    <row r="134" spans="1:16">
      <c r="A134" s="13">
        <v>43562</v>
      </c>
      <c r="B134" s="13">
        <f t="shared" si="19"/>
        <v>43586</v>
      </c>
      <c r="C134" s="88">
        <v>43596</v>
      </c>
      <c r="D134" s="13">
        <v>43562</v>
      </c>
      <c r="E134" s="86" t="str">
        <f t="shared" si="20"/>
        <v>W19</v>
      </c>
      <c r="F134" s="86" t="str">
        <f t="shared" si="21"/>
        <v>May</v>
      </c>
      <c r="G134">
        <v>131</v>
      </c>
      <c r="H134">
        <f t="shared" si="22"/>
        <v>19</v>
      </c>
      <c r="I134" s="87">
        <f t="shared" si="23"/>
        <v>4.354838709677419</v>
      </c>
      <c r="J134" s="15">
        <f t="shared" si="18"/>
        <v>138.84</v>
      </c>
      <c r="K134" s="15">
        <f t="shared" si="17"/>
        <v>185.12</v>
      </c>
      <c r="L134" s="15">
        <f t="shared" si="17"/>
        <v>277.68</v>
      </c>
      <c r="M134" s="15">
        <f t="shared" si="17"/>
        <v>370.24</v>
      </c>
      <c r="N134" s="15">
        <f t="shared" si="17"/>
        <v>444.28800000000001</v>
      </c>
      <c r="O134" s="15">
        <f t="shared" si="17"/>
        <v>555.36</v>
      </c>
      <c r="P134" s="15">
        <f t="shared" si="17"/>
        <v>740.48</v>
      </c>
    </row>
    <row r="135" spans="1:16">
      <c r="A135" s="13">
        <v>43563</v>
      </c>
      <c r="B135" s="13">
        <f t="shared" si="19"/>
        <v>43586</v>
      </c>
      <c r="C135" s="88">
        <v>43597</v>
      </c>
      <c r="D135" s="13">
        <v>43563</v>
      </c>
      <c r="E135" s="86" t="str">
        <f t="shared" si="20"/>
        <v>W20</v>
      </c>
      <c r="F135" s="86" t="str">
        <f t="shared" si="21"/>
        <v>May</v>
      </c>
      <c r="G135">
        <v>132</v>
      </c>
      <c r="H135">
        <f t="shared" si="22"/>
        <v>20</v>
      </c>
      <c r="I135" s="87">
        <f t="shared" si="23"/>
        <v>4.387096774193548</v>
      </c>
      <c r="J135" s="15">
        <f t="shared" si="18"/>
        <v>149.52000000000001</v>
      </c>
      <c r="K135" s="15">
        <f t="shared" si="17"/>
        <v>199.36</v>
      </c>
      <c r="L135" s="15">
        <f t="shared" si="17"/>
        <v>299.04000000000002</v>
      </c>
      <c r="M135" s="15">
        <f t="shared" si="17"/>
        <v>398.72</v>
      </c>
      <c r="N135" s="15">
        <f t="shared" si="17"/>
        <v>478.46400000000006</v>
      </c>
      <c r="O135" s="15">
        <f t="shared" si="17"/>
        <v>598.08000000000004</v>
      </c>
      <c r="P135" s="15">
        <f t="shared" si="17"/>
        <v>797.44</v>
      </c>
    </row>
    <row r="136" spans="1:16">
      <c r="A136" s="13">
        <v>43564</v>
      </c>
      <c r="B136" s="13">
        <f t="shared" si="19"/>
        <v>43586</v>
      </c>
      <c r="C136" s="88">
        <v>43598</v>
      </c>
      <c r="D136" s="13">
        <v>43564</v>
      </c>
      <c r="E136" s="86" t="str">
        <f t="shared" si="20"/>
        <v>W20</v>
      </c>
      <c r="F136" s="86" t="str">
        <f t="shared" si="21"/>
        <v>May</v>
      </c>
      <c r="G136">
        <v>133</v>
      </c>
      <c r="H136">
        <f t="shared" si="22"/>
        <v>20</v>
      </c>
      <c r="I136" s="87">
        <f t="shared" si="23"/>
        <v>4.419354838709677</v>
      </c>
      <c r="J136" s="15">
        <f t="shared" si="18"/>
        <v>149.52000000000001</v>
      </c>
      <c r="K136" s="15">
        <f t="shared" si="17"/>
        <v>199.36</v>
      </c>
      <c r="L136" s="15">
        <f t="shared" si="17"/>
        <v>299.04000000000002</v>
      </c>
      <c r="M136" s="15">
        <f t="shared" si="17"/>
        <v>398.72</v>
      </c>
      <c r="N136" s="15">
        <f t="shared" si="17"/>
        <v>478.46400000000006</v>
      </c>
      <c r="O136" s="15">
        <f t="shared" si="17"/>
        <v>598.08000000000004</v>
      </c>
      <c r="P136" s="15">
        <f t="shared" si="17"/>
        <v>797.44</v>
      </c>
    </row>
    <row r="137" spans="1:16">
      <c r="A137" s="13">
        <v>43565</v>
      </c>
      <c r="B137" s="13">
        <f t="shared" si="19"/>
        <v>43586</v>
      </c>
      <c r="C137" s="88">
        <v>43599</v>
      </c>
      <c r="D137" s="13">
        <v>43565</v>
      </c>
      <c r="E137" s="86" t="str">
        <f t="shared" si="20"/>
        <v>W20</v>
      </c>
      <c r="F137" s="86" t="str">
        <f t="shared" si="21"/>
        <v>May</v>
      </c>
      <c r="G137">
        <v>134</v>
      </c>
      <c r="H137">
        <f t="shared" si="22"/>
        <v>20</v>
      </c>
      <c r="I137" s="87">
        <f t="shared" si="23"/>
        <v>4.4516129032258061</v>
      </c>
      <c r="J137" s="15">
        <f t="shared" si="18"/>
        <v>149.52000000000001</v>
      </c>
      <c r="K137" s="15">
        <f t="shared" si="17"/>
        <v>199.36</v>
      </c>
      <c r="L137" s="15">
        <f t="shared" si="17"/>
        <v>299.04000000000002</v>
      </c>
      <c r="M137" s="15">
        <f t="shared" si="17"/>
        <v>398.72</v>
      </c>
      <c r="N137" s="15">
        <f t="shared" si="17"/>
        <v>478.46400000000006</v>
      </c>
      <c r="O137" s="15">
        <f t="shared" si="17"/>
        <v>598.08000000000004</v>
      </c>
      <c r="P137" s="15">
        <f t="shared" si="17"/>
        <v>797.44</v>
      </c>
    </row>
    <row r="138" spans="1:16">
      <c r="A138" s="13">
        <v>43566</v>
      </c>
      <c r="B138" s="13">
        <f t="shared" si="19"/>
        <v>43586</v>
      </c>
      <c r="C138" s="88">
        <v>43600</v>
      </c>
      <c r="D138" s="13">
        <v>43566</v>
      </c>
      <c r="E138" s="86" t="str">
        <f t="shared" si="20"/>
        <v>W20</v>
      </c>
      <c r="F138" s="86" t="str">
        <f t="shared" si="21"/>
        <v>May</v>
      </c>
      <c r="G138">
        <v>135</v>
      </c>
      <c r="H138">
        <f t="shared" si="22"/>
        <v>20</v>
      </c>
      <c r="I138" s="87">
        <f t="shared" si="23"/>
        <v>4.4838709677419359</v>
      </c>
      <c r="J138" s="15">
        <f t="shared" si="18"/>
        <v>149.52000000000001</v>
      </c>
      <c r="K138" s="15">
        <f t="shared" si="17"/>
        <v>199.36</v>
      </c>
      <c r="L138" s="15">
        <f t="shared" si="17"/>
        <v>299.04000000000002</v>
      </c>
      <c r="M138" s="15">
        <f t="shared" si="17"/>
        <v>398.72</v>
      </c>
      <c r="N138" s="15">
        <f t="shared" si="17"/>
        <v>478.46400000000006</v>
      </c>
      <c r="O138" s="15">
        <f t="shared" si="17"/>
        <v>598.08000000000004</v>
      </c>
      <c r="P138" s="15">
        <f t="shared" si="17"/>
        <v>797.44</v>
      </c>
    </row>
    <row r="139" spans="1:16">
      <c r="A139" s="13">
        <v>43567</v>
      </c>
      <c r="B139" s="13">
        <f t="shared" si="19"/>
        <v>43586</v>
      </c>
      <c r="C139" s="88">
        <v>43601</v>
      </c>
      <c r="D139" s="13">
        <v>43567</v>
      </c>
      <c r="E139" s="86" t="str">
        <f t="shared" si="20"/>
        <v>W20</v>
      </c>
      <c r="F139" s="86" t="str">
        <f t="shared" si="21"/>
        <v>May</v>
      </c>
      <c r="G139">
        <v>136</v>
      </c>
      <c r="H139">
        <f t="shared" si="22"/>
        <v>20</v>
      </c>
      <c r="I139" s="87">
        <f t="shared" si="23"/>
        <v>4.5161290322580641</v>
      </c>
      <c r="J139" s="15">
        <f t="shared" si="18"/>
        <v>149.52000000000001</v>
      </c>
      <c r="K139" s="15">
        <f t="shared" si="17"/>
        <v>199.36</v>
      </c>
      <c r="L139" s="15">
        <f t="shared" ref="K139:P181" si="24">IF($H139&lt;=9,0,(($H139-6)*0.16*26700)/L$3)</f>
        <v>299.04000000000002</v>
      </c>
      <c r="M139" s="15">
        <f t="shared" si="24"/>
        <v>398.72</v>
      </c>
      <c r="N139" s="15">
        <f t="shared" si="24"/>
        <v>478.46400000000006</v>
      </c>
      <c r="O139" s="15">
        <f t="shared" si="24"/>
        <v>598.08000000000004</v>
      </c>
      <c r="P139" s="15">
        <f t="shared" si="24"/>
        <v>797.44</v>
      </c>
    </row>
    <row r="140" spans="1:16">
      <c r="A140" s="13">
        <v>43568</v>
      </c>
      <c r="B140" s="13">
        <f t="shared" si="19"/>
        <v>43586</v>
      </c>
      <c r="C140" s="88">
        <v>43602</v>
      </c>
      <c r="D140" s="13">
        <v>43568</v>
      </c>
      <c r="E140" s="86" t="str">
        <f t="shared" si="20"/>
        <v>W20</v>
      </c>
      <c r="F140" s="86" t="str">
        <f t="shared" si="21"/>
        <v>May</v>
      </c>
      <c r="G140">
        <v>137</v>
      </c>
      <c r="H140">
        <f t="shared" si="22"/>
        <v>20</v>
      </c>
      <c r="I140" s="87">
        <f t="shared" si="23"/>
        <v>4.5483870967741939</v>
      </c>
      <c r="J140" s="15">
        <f t="shared" si="18"/>
        <v>149.52000000000001</v>
      </c>
      <c r="K140" s="15">
        <f t="shared" si="24"/>
        <v>199.36</v>
      </c>
      <c r="L140" s="15">
        <f t="shared" si="24"/>
        <v>299.04000000000002</v>
      </c>
      <c r="M140" s="15">
        <f t="shared" si="24"/>
        <v>398.72</v>
      </c>
      <c r="N140" s="15">
        <f t="shared" si="24"/>
        <v>478.46400000000006</v>
      </c>
      <c r="O140" s="15">
        <f t="shared" si="24"/>
        <v>598.08000000000004</v>
      </c>
      <c r="P140" s="15">
        <f t="shared" si="24"/>
        <v>797.44</v>
      </c>
    </row>
    <row r="141" spans="1:16">
      <c r="A141" s="13">
        <v>43569</v>
      </c>
      <c r="B141" s="13">
        <f t="shared" si="19"/>
        <v>43586</v>
      </c>
      <c r="C141" s="88">
        <v>43603</v>
      </c>
      <c r="D141" s="13">
        <v>43569</v>
      </c>
      <c r="E141" s="86" t="str">
        <f t="shared" si="20"/>
        <v>W20</v>
      </c>
      <c r="F141" s="86" t="str">
        <f t="shared" si="21"/>
        <v>May</v>
      </c>
      <c r="G141">
        <v>138</v>
      </c>
      <c r="H141">
        <f t="shared" si="22"/>
        <v>20</v>
      </c>
      <c r="I141" s="87">
        <f t="shared" si="23"/>
        <v>4.580645161290323</v>
      </c>
      <c r="J141" s="15">
        <f t="shared" si="18"/>
        <v>149.52000000000001</v>
      </c>
      <c r="K141" s="15">
        <f t="shared" si="24"/>
        <v>199.36</v>
      </c>
      <c r="L141" s="15">
        <f t="shared" si="24"/>
        <v>299.04000000000002</v>
      </c>
      <c r="M141" s="15">
        <f t="shared" si="24"/>
        <v>398.72</v>
      </c>
      <c r="N141" s="15">
        <f t="shared" si="24"/>
        <v>478.46400000000006</v>
      </c>
      <c r="O141" s="15">
        <f t="shared" si="24"/>
        <v>598.08000000000004</v>
      </c>
      <c r="P141" s="15">
        <f t="shared" si="24"/>
        <v>797.44</v>
      </c>
    </row>
    <row r="142" spans="1:16">
      <c r="A142" s="13">
        <v>43570</v>
      </c>
      <c r="B142" s="13">
        <f t="shared" si="19"/>
        <v>43586</v>
      </c>
      <c r="C142" s="88">
        <v>43604</v>
      </c>
      <c r="D142" s="13">
        <v>43570</v>
      </c>
      <c r="E142" s="86" t="str">
        <f t="shared" si="20"/>
        <v>W21</v>
      </c>
      <c r="F142" s="86" t="str">
        <f t="shared" si="21"/>
        <v>May</v>
      </c>
      <c r="G142">
        <v>139</v>
      </c>
      <c r="H142">
        <f t="shared" si="22"/>
        <v>21</v>
      </c>
      <c r="I142" s="87">
        <f t="shared" si="23"/>
        <v>4.612903225806452</v>
      </c>
      <c r="J142" s="15">
        <f t="shared" si="18"/>
        <v>160.19999999999999</v>
      </c>
      <c r="K142" s="15">
        <f t="shared" si="24"/>
        <v>213.6</v>
      </c>
      <c r="L142" s="15">
        <f t="shared" si="24"/>
        <v>320.39999999999998</v>
      </c>
      <c r="M142" s="15">
        <f t="shared" si="24"/>
        <v>427.2</v>
      </c>
      <c r="N142" s="15">
        <f t="shared" si="24"/>
        <v>512.64</v>
      </c>
      <c r="O142" s="15">
        <f t="shared" si="24"/>
        <v>640.79999999999995</v>
      </c>
      <c r="P142" s="15">
        <f t="shared" si="24"/>
        <v>854.4</v>
      </c>
    </row>
    <row r="143" spans="1:16">
      <c r="A143" s="13">
        <v>43571</v>
      </c>
      <c r="B143" s="13">
        <f t="shared" si="19"/>
        <v>43586</v>
      </c>
      <c r="C143" s="88">
        <v>43605</v>
      </c>
      <c r="D143" s="13">
        <v>43571</v>
      </c>
      <c r="E143" s="86" t="str">
        <f t="shared" si="20"/>
        <v>W21</v>
      </c>
      <c r="F143" s="86" t="str">
        <f t="shared" si="21"/>
        <v>May</v>
      </c>
      <c r="G143">
        <v>140</v>
      </c>
      <c r="H143">
        <f t="shared" si="22"/>
        <v>21</v>
      </c>
      <c r="I143" s="87">
        <f t="shared" si="23"/>
        <v>4.645161290322581</v>
      </c>
      <c r="J143" s="15">
        <f t="shared" si="18"/>
        <v>160.19999999999999</v>
      </c>
      <c r="K143" s="15">
        <f t="shared" si="24"/>
        <v>213.6</v>
      </c>
      <c r="L143" s="15">
        <f t="shared" si="24"/>
        <v>320.39999999999998</v>
      </c>
      <c r="M143" s="15">
        <f t="shared" si="24"/>
        <v>427.2</v>
      </c>
      <c r="N143" s="15">
        <f t="shared" si="24"/>
        <v>512.64</v>
      </c>
      <c r="O143" s="15">
        <f t="shared" si="24"/>
        <v>640.79999999999995</v>
      </c>
      <c r="P143" s="15">
        <f t="shared" si="24"/>
        <v>854.4</v>
      </c>
    </row>
    <row r="144" spans="1:16">
      <c r="A144" s="13">
        <v>43572</v>
      </c>
      <c r="B144" s="13">
        <f t="shared" si="19"/>
        <v>43586</v>
      </c>
      <c r="C144" s="88">
        <v>43606</v>
      </c>
      <c r="D144" s="13">
        <v>43572</v>
      </c>
      <c r="E144" s="86" t="str">
        <f t="shared" si="20"/>
        <v>W21</v>
      </c>
      <c r="F144" s="86" t="str">
        <f t="shared" si="21"/>
        <v>May</v>
      </c>
      <c r="G144">
        <v>141</v>
      </c>
      <c r="H144">
        <f t="shared" si="22"/>
        <v>21</v>
      </c>
      <c r="I144" s="87">
        <f t="shared" si="23"/>
        <v>4.67741935483871</v>
      </c>
      <c r="J144" s="15">
        <f t="shared" si="18"/>
        <v>160.19999999999999</v>
      </c>
      <c r="K144" s="15">
        <f t="shared" si="24"/>
        <v>213.6</v>
      </c>
      <c r="L144" s="15">
        <f t="shared" si="24"/>
        <v>320.39999999999998</v>
      </c>
      <c r="M144" s="15">
        <f t="shared" si="24"/>
        <v>427.2</v>
      </c>
      <c r="N144" s="15">
        <f t="shared" si="24"/>
        <v>512.64</v>
      </c>
      <c r="O144" s="15">
        <f t="shared" si="24"/>
        <v>640.79999999999995</v>
      </c>
      <c r="P144" s="15">
        <f t="shared" si="24"/>
        <v>854.4</v>
      </c>
    </row>
    <row r="145" spans="1:16">
      <c r="A145" s="13">
        <v>43573</v>
      </c>
      <c r="B145" s="13">
        <f t="shared" si="19"/>
        <v>43586</v>
      </c>
      <c r="C145" s="88">
        <v>43607</v>
      </c>
      <c r="D145" s="13">
        <v>43573</v>
      </c>
      <c r="E145" s="86" t="str">
        <f t="shared" si="20"/>
        <v>W21</v>
      </c>
      <c r="F145" s="86" t="str">
        <f t="shared" si="21"/>
        <v>May</v>
      </c>
      <c r="G145">
        <v>142</v>
      </c>
      <c r="H145">
        <f t="shared" si="22"/>
        <v>21</v>
      </c>
      <c r="I145" s="87">
        <f t="shared" si="23"/>
        <v>4.709677419354839</v>
      </c>
      <c r="J145" s="15">
        <f t="shared" si="18"/>
        <v>160.19999999999999</v>
      </c>
      <c r="K145" s="15">
        <f t="shared" si="24"/>
        <v>213.6</v>
      </c>
      <c r="L145" s="15">
        <f t="shared" si="24"/>
        <v>320.39999999999998</v>
      </c>
      <c r="M145" s="15">
        <f t="shared" si="24"/>
        <v>427.2</v>
      </c>
      <c r="N145" s="15">
        <f t="shared" si="24"/>
        <v>512.64</v>
      </c>
      <c r="O145" s="15">
        <f t="shared" si="24"/>
        <v>640.79999999999995</v>
      </c>
      <c r="P145" s="15">
        <f t="shared" si="24"/>
        <v>854.4</v>
      </c>
    </row>
    <row r="146" spans="1:16">
      <c r="A146" s="13">
        <v>43574</v>
      </c>
      <c r="B146" s="13">
        <f t="shared" si="19"/>
        <v>43586</v>
      </c>
      <c r="C146" s="88">
        <v>43608</v>
      </c>
      <c r="D146" s="13">
        <v>43574</v>
      </c>
      <c r="E146" s="86" t="str">
        <f t="shared" si="20"/>
        <v>W21</v>
      </c>
      <c r="F146" s="86" t="str">
        <f t="shared" si="21"/>
        <v>May</v>
      </c>
      <c r="G146">
        <v>143</v>
      </c>
      <c r="H146">
        <f t="shared" si="22"/>
        <v>21</v>
      </c>
      <c r="I146" s="87">
        <f t="shared" si="23"/>
        <v>4.741935483870968</v>
      </c>
      <c r="J146" s="15">
        <f t="shared" si="18"/>
        <v>160.19999999999999</v>
      </c>
      <c r="K146" s="15">
        <f t="shared" si="24"/>
        <v>213.6</v>
      </c>
      <c r="L146" s="15">
        <f t="shared" si="24"/>
        <v>320.39999999999998</v>
      </c>
      <c r="M146" s="15">
        <f t="shared" si="24"/>
        <v>427.2</v>
      </c>
      <c r="N146" s="15">
        <f t="shared" si="24"/>
        <v>512.64</v>
      </c>
      <c r="O146" s="15">
        <f t="shared" si="24"/>
        <v>640.79999999999995</v>
      </c>
      <c r="P146" s="15">
        <f t="shared" si="24"/>
        <v>854.4</v>
      </c>
    </row>
    <row r="147" spans="1:16">
      <c r="A147" s="13">
        <v>43575</v>
      </c>
      <c r="B147" s="13">
        <f t="shared" si="19"/>
        <v>43586</v>
      </c>
      <c r="C147" s="88">
        <v>43609</v>
      </c>
      <c r="D147" s="13">
        <v>43575</v>
      </c>
      <c r="E147" s="86" t="str">
        <f t="shared" si="20"/>
        <v>W21</v>
      </c>
      <c r="F147" s="86" t="str">
        <f t="shared" si="21"/>
        <v>May</v>
      </c>
      <c r="G147">
        <v>144</v>
      </c>
      <c r="H147">
        <f t="shared" si="22"/>
        <v>21</v>
      </c>
      <c r="I147" s="87">
        <f t="shared" si="23"/>
        <v>4.774193548387097</v>
      </c>
      <c r="J147" s="15">
        <f t="shared" si="18"/>
        <v>160.19999999999999</v>
      </c>
      <c r="K147" s="15">
        <f t="shared" si="24"/>
        <v>213.6</v>
      </c>
      <c r="L147" s="15">
        <f t="shared" si="24"/>
        <v>320.39999999999998</v>
      </c>
      <c r="M147" s="15">
        <f t="shared" si="24"/>
        <v>427.2</v>
      </c>
      <c r="N147" s="15">
        <f t="shared" si="24"/>
        <v>512.64</v>
      </c>
      <c r="O147" s="15">
        <f t="shared" si="24"/>
        <v>640.79999999999995</v>
      </c>
      <c r="P147" s="15">
        <f t="shared" si="24"/>
        <v>854.4</v>
      </c>
    </row>
    <row r="148" spans="1:16">
      <c r="A148" s="13">
        <v>43576</v>
      </c>
      <c r="B148" s="13">
        <f t="shared" si="19"/>
        <v>43586</v>
      </c>
      <c r="C148" s="88">
        <v>43610</v>
      </c>
      <c r="D148" s="13">
        <v>43576</v>
      </c>
      <c r="E148" s="86" t="str">
        <f t="shared" si="20"/>
        <v>W21</v>
      </c>
      <c r="F148" s="86" t="str">
        <f t="shared" si="21"/>
        <v>May</v>
      </c>
      <c r="G148">
        <v>145</v>
      </c>
      <c r="H148">
        <f t="shared" si="22"/>
        <v>21</v>
      </c>
      <c r="I148" s="87">
        <f t="shared" si="23"/>
        <v>4.806451612903226</v>
      </c>
      <c r="J148" s="15">
        <f t="shared" si="18"/>
        <v>160.19999999999999</v>
      </c>
      <c r="K148" s="15">
        <f t="shared" si="24"/>
        <v>213.6</v>
      </c>
      <c r="L148" s="15">
        <f t="shared" si="24"/>
        <v>320.39999999999998</v>
      </c>
      <c r="M148" s="15">
        <f t="shared" si="24"/>
        <v>427.2</v>
      </c>
      <c r="N148" s="15">
        <f t="shared" si="24"/>
        <v>512.64</v>
      </c>
      <c r="O148" s="15">
        <f t="shared" si="24"/>
        <v>640.79999999999995</v>
      </c>
      <c r="P148" s="15">
        <f t="shared" si="24"/>
        <v>854.4</v>
      </c>
    </row>
    <row r="149" spans="1:16">
      <c r="A149" s="13">
        <v>43577</v>
      </c>
      <c r="B149" s="13">
        <f t="shared" si="19"/>
        <v>43586</v>
      </c>
      <c r="C149" s="88">
        <v>43611</v>
      </c>
      <c r="D149" s="13">
        <v>43577</v>
      </c>
      <c r="E149" s="86" t="str">
        <f t="shared" si="20"/>
        <v>W22</v>
      </c>
      <c r="F149" s="86" t="str">
        <f t="shared" si="21"/>
        <v>May</v>
      </c>
      <c r="G149">
        <v>146</v>
      </c>
      <c r="H149">
        <f t="shared" si="22"/>
        <v>22</v>
      </c>
      <c r="I149" s="87">
        <f t="shared" si="23"/>
        <v>4.838709677419355</v>
      </c>
      <c r="J149" s="15">
        <f t="shared" si="18"/>
        <v>170.88</v>
      </c>
      <c r="K149" s="15">
        <f t="shared" si="24"/>
        <v>227.84</v>
      </c>
      <c r="L149" s="15">
        <f t="shared" si="24"/>
        <v>341.76</v>
      </c>
      <c r="M149" s="15">
        <f t="shared" si="24"/>
        <v>455.68</v>
      </c>
      <c r="N149" s="15">
        <f t="shared" si="24"/>
        <v>546.81600000000003</v>
      </c>
      <c r="O149" s="15">
        <f t="shared" si="24"/>
        <v>683.52</v>
      </c>
      <c r="P149" s="15">
        <f t="shared" si="24"/>
        <v>911.36</v>
      </c>
    </row>
    <row r="150" spans="1:16">
      <c r="A150" s="13">
        <v>43578</v>
      </c>
      <c r="B150" s="13">
        <f t="shared" si="19"/>
        <v>43586</v>
      </c>
      <c r="C150" s="88">
        <v>43612</v>
      </c>
      <c r="D150" s="13">
        <v>43578</v>
      </c>
      <c r="E150" s="86" t="str">
        <f t="shared" si="20"/>
        <v>W22</v>
      </c>
      <c r="F150" s="86" t="str">
        <f t="shared" si="21"/>
        <v>May</v>
      </c>
      <c r="G150">
        <v>147</v>
      </c>
      <c r="H150">
        <f t="shared" si="22"/>
        <v>22</v>
      </c>
      <c r="I150" s="87">
        <f t="shared" si="23"/>
        <v>4.870967741935484</v>
      </c>
      <c r="J150" s="15">
        <f t="shared" si="18"/>
        <v>170.88</v>
      </c>
      <c r="K150" s="15">
        <f t="shared" si="24"/>
        <v>227.84</v>
      </c>
      <c r="L150" s="15">
        <f t="shared" si="24"/>
        <v>341.76</v>
      </c>
      <c r="M150" s="15">
        <f t="shared" si="24"/>
        <v>455.68</v>
      </c>
      <c r="N150" s="15">
        <f t="shared" si="24"/>
        <v>546.81600000000003</v>
      </c>
      <c r="O150" s="15">
        <f t="shared" si="24"/>
        <v>683.52</v>
      </c>
      <c r="P150" s="15">
        <f t="shared" si="24"/>
        <v>911.36</v>
      </c>
    </row>
    <row r="151" spans="1:16">
      <c r="A151" s="13">
        <v>43579</v>
      </c>
      <c r="B151" s="13">
        <f t="shared" si="19"/>
        <v>43586</v>
      </c>
      <c r="C151" s="88">
        <v>43613</v>
      </c>
      <c r="D151" s="13">
        <v>43579</v>
      </c>
      <c r="E151" s="86" t="str">
        <f t="shared" si="20"/>
        <v>W22</v>
      </c>
      <c r="F151" s="86" t="str">
        <f t="shared" si="21"/>
        <v>May</v>
      </c>
      <c r="G151">
        <v>148</v>
      </c>
      <c r="H151">
        <f t="shared" si="22"/>
        <v>22</v>
      </c>
      <c r="I151" s="87">
        <f t="shared" si="23"/>
        <v>4.903225806451613</v>
      </c>
      <c r="J151" s="15">
        <f t="shared" si="18"/>
        <v>170.88</v>
      </c>
      <c r="K151" s="15">
        <f t="shared" si="24"/>
        <v>227.84</v>
      </c>
      <c r="L151" s="15">
        <f t="shared" si="24"/>
        <v>341.76</v>
      </c>
      <c r="M151" s="15">
        <f t="shared" si="24"/>
        <v>455.68</v>
      </c>
      <c r="N151" s="15">
        <f t="shared" si="24"/>
        <v>546.81600000000003</v>
      </c>
      <c r="O151" s="15">
        <f t="shared" si="24"/>
        <v>683.52</v>
      </c>
      <c r="P151" s="15">
        <f t="shared" si="24"/>
        <v>911.36</v>
      </c>
    </row>
    <row r="152" spans="1:16">
      <c r="A152" s="13">
        <v>43580</v>
      </c>
      <c r="B152" s="13">
        <f t="shared" si="19"/>
        <v>43586</v>
      </c>
      <c r="C152" s="88">
        <v>43614</v>
      </c>
      <c r="D152" s="13">
        <v>43580</v>
      </c>
      <c r="E152" s="86" t="str">
        <f t="shared" si="20"/>
        <v>W22</v>
      </c>
      <c r="F152" s="86" t="str">
        <f t="shared" si="21"/>
        <v>May</v>
      </c>
      <c r="G152">
        <v>149</v>
      </c>
      <c r="H152">
        <f t="shared" si="22"/>
        <v>22</v>
      </c>
      <c r="I152" s="87">
        <f t="shared" si="23"/>
        <v>4.935483870967742</v>
      </c>
      <c r="J152" s="15">
        <f t="shared" si="18"/>
        <v>170.88</v>
      </c>
      <c r="K152" s="15">
        <f t="shared" si="24"/>
        <v>227.84</v>
      </c>
      <c r="L152" s="15">
        <f t="shared" si="24"/>
        <v>341.76</v>
      </c>
      <c r="M152" s="15">
        <f t="shared" si="24"/>
        <v>455.68</v>
      </c>
      <c r="N152" s="15">
        <f t="shared" si="24"/>
        <v>546.81600000000003</v>
      </c>
      <c r="O152" s="15">
        <f t="shared" si="24"/>
        <v>683.52</v>
      </c>
      <c r="P152" s="15">
        <f t="shared" si="24"/>
        <v>911.36</v>
      </c>
    </row>
    <row r="153" spans="1:16">
      <c r="A153" s="13">
        <v>43581</v>
      </c>
      <c r="B153" s="13">
        <f t="shared" si="19"/>
        <v>43586</v>
      </c>
      <c r="C153" s="88">
        <v>43615</v>
      </c>
      <c r="D153" s="13">
        <v>43581</v>
      </c>
      <c r="E153" s="86" t="str">
        <f t="shared" si="20"/>
        <v>W22</v>
      </c>
      <c r="F153" s="86" t="str">
        <f t="shared" si="21"/>
        <v>May</v>
      </c>
      <c r="G153">
        <v>150</v>
      </c>
      <c r="H153">
        <f t="shared" si="22"/>
        <v>22</v>
      </c>
      <c r="I153" s="87">
        <f t="shared" si="23"/>
        <v>4.967741935483871</v>
      </c>
      <c r="J153" s="15">
        <f t="shared" si="18"/>
        <v>170.88</v>
      </c>
      <c r="K153" s="15">
        <f t="shared" si="24"/>
        <v>227.84</v>
      </c>
      <c r="L153" s="15">
        <f t="shared" si="24"/>
        <v>341.76</v>
      </c>
      <c r="M153" s="15">
        <f t="shared" si="24"/>
        <v>455.68</v>
      </c>
      <c r="N153" s="15">
        <f t="shared" si="24"/>
        <v>546.81600000000003</v>
      </c>
      <c r="O153" s="15">
        <f t="shared" si="24"/>
        <v>683.52</v>
      </c>
      <c r="P153" s="15">
        <f t="shared" si="24"/>
        <v>911.36</v>
      </c>
    </row>
    <row r="154" spans="1:16">
      <c r="A154" s="13">
        <v>43582</v>
      </c>
      <c r="B154" s="13">
        <f t="shared" si="19"/>
        <v>43586</v>
      </c>
      <c r="C154" s="88">
        <v>43616</v>
      </c>
      <c r="D154" s="13">
        <v>43582</v>
      </c>
      <c r="E154" s="86" t="str">
        <f t="shared" si="20"/>
        <v>W22</v>
      </c>
      <c r="F154" s="86" t="str">
        <f t="shared" si="21"/>
        <v>May</v>
      </c>
      <c r="G154">
        <v>151</v>
      </c>
      <c r="H154">
        <f t="shared" si="22"/>
        <v>22</v>
      </c>
      <c r="I154" s="87">
        <f t="shared" si="23"/>
        <v>5</v>
      </c>
      <c r="J154" s="15">
        <f t="shared" si="18"/>
        <v>170.88</v>
      </c>
      <c r="K154" s="15">
        <f t="shared" si="24"/>
        <v>227.84</v>
      </c>
      <c r="L154" s="15">
        <f t="shared" si="24"/>
        <v>341.76</v>
      </c>
      <c r="M154" s="15">
        <f t="shared" si="24"/>
        <v>455.68</v>
      </c>
      <c r="N154" s="15">
        <f t="shared" si="24"/>
        <v>546.81600000000003</v>
      </c>
      <c r="O154" s="15">
        <f t="shared" si="24"/>
        <v>683.52</v>
      </c>
      <c r="P154" s="15">
        <f t="shared" si="24"/>
        <v>911.36</v>
      </c>
    </row>
    <row r="155" spans="1:16">
      <c r="A155" s="13">
        <v>43583</v>
      </c>
      <c r="B155" s="13">
        <f t="shared" si="19"/>
        <v>43617</v>
      </c>
      <c r="C155" s="88">
        <v>43617</v>
      </c>
      <c r="D155" s="13">
        <v>43583</v>
      </c>
      <c r="E155" s="86" t="str">
        <f t="shared" si="20"/>
        <v>W22</v>
      </c>
      <c r="F155" s="86" t="str">
        <f t="shared" si="21"/>
        <v>Jun</v>
      </c>
      <c r="G155">
        <v>152</v>
      </c>
      <c r="H155">
        <f t="shared" si="22"/>
        <v>22</v>
      </c>
      <c r="I155" s="87">
        <f t="shared" si="23"/>
        <v>5.0333333333333332</v>
      </c>
      <c r="J155" s="15">
        <f t="shared" si="18"/>
        <v>170.88</v>
      </c>
      <c r="K155" s="15">
        <f t="shared" si="24"/>
        <v>227.84</v>
      </c>
      <c r="L155" s="15">
        <f t="shared" si="24"/>
        <v>341.76</v>
      </c>
      <c r="M155" s="15">
        <f t="shared" si="24"/>
        <v>455.68</v>
      </c>
      <c r="N155" s="15">
        <f t="shared" si="24"/>
        <v>546.81600000000003</v>
      </c>
      <c r="O155" s="15">
        <f t="shared" si="24"/>
        <v>683.52</v>
      </c>
      <c r="P155" s="15">
        <f t="shared" si="24"/>
        <v>911.36</v>
      </c>
    </row>
    <row r="156" spans="1:16">
      <c r="A156" s="13">
        <v>43584</v>
      </c>
      <c r="B156" s="13">
        <f t="shared" si="19"/>
        <v>43617</v>
      </c>
      <c r="C156" s="88">
        <v>43618</v>
      </c>
      <c r="D156" s="13">
        <v>43584</v>
      </c>
      <c r="E156" s="86" t="str">
        <f t="shared" si="20"/>
        <v>W23</v>
      </c>
      <c r="F156" s="86" t="str">
        <f t="shared" si="21"/>
        <v>Jun</v>
      </c>
      <c r="G156">
        <v>153</v>
      </c>
      <c r="H156">
        <f t="shared" si="22"/>
        <v>23</v>
      </c>
      <c r="I156" s="87">
        <f t="shared" si="23"/>
        <v>5.0666666666666664</v>
      </c>
      <c r="J156" s="15">
        <f t="shared" si="18"/>
        <v>181.56</v>
      </c>
      <c r="K156" s="15">
        <f t="shared" si="24"/>
        <v>242.08</v>
      </c>
      <c r="L156" s="15">
        <f t="shared" si="24"/>
        <v>363.12</v>
      </c>
      <c r="M156" s="15">
        <f t="shared" si="24"/>
        <v>484.16</v>
      </c>
      <c r="N156" s="15">
        <f t="shared" si="24"/>
        <v>580.99199999999996</v>
      </c>
      <c r="O156" s="15">
        <f t="shared" si="24"/>
        <v>726.24</v>
      </c>
      <c r="P156" s="15">
        <f t="shared" si="24"/>
        <v>968.32</v>
      </c>
    </row>
    <row r="157" spans="1:16">
      <c r="A157" s="13">
        <v>43586</v>
      </c>
      <c r="B157" s="13">
        <f t="shared" si="19"/>
        <v>43617</v>
      </c>
      <c r="C157" s="88">
        <v>43619</v>
      </c>
      <c r="D157" s="13">
        <v>43586</v>
      </c>
      <c r="E157" s="86" t="str">
        <f t="shared" si="20"/>
        <v>W23</v>
      </c>
      <c r="F157" s="86" t="str">
        <f t="shared" si="21"/>
        <v>Jun</v>
      </c>
      <c r="G157">
        <v>154</v>
      </c>
      <c r="H157">
        <f t="shared" si="22"/>
        <v>23</v>
      </c>
      <c r="I157" s="87">
        <f t="shared" si="23"/>
        <v>5.0999999999999996</v>
      </c>
      <c r="J157" s="15">
        <f t="shared" si="18"/>
        <v>181.56</v>
      </c>
      <c r="K157" s="15">
        <f t="shared" si="24"/>
        <v>242.08</v>
      </c>
      <c r="L157" s="15">
        <f t="shared" si="24"/>
        <v>363.12</v>
      </c>
      <c r="M157" s="15">
        <f t="shared" si="24"/>
        <v>484.16</v>
      </c>
      <c r="N157" s="15">
        <f t="shared" si="24"/>
        <v>580.99199999999996</v>
      </c>
      <c r="O157" s="15">
        <f t="shared" si="24"/>
        <v>726.24</v>
      </c>
      <c r="P157" s="15">
        <f t="shared" si="24"/>
        <v>968.32</v>
      </c>
    </row>
    <row r="158" spans="1:16">
      <c r="A158" s="13">
        <v>43587</v>
      </c>
      <c r="B158" s="13">
        <f t="shared" si="19"/>
        <v>43617</v>
      </c>
      <c r="C158" s="88">
        <v>43620</v>
      </c>
      <c r="D158" s="13">
        <v>43587</v>
      </c>
      <c r="E158" s="86" t="str">
        <f t="shared" si="20"/>
        <v>W23</v>
      </c>
      <c r="F158" s="86" t="str">
        <f t="shared" si="21"/>
        <v>Jun</v>
      </c>
      <c r="G158">
        <v>155</v>
      </c>
      <c r="H158">
        <f t="shared" si="22"/>
        <v>23</v>
      </c>
      <c r="I158" s="87">
        <f t="shared" si="23"/>
        <v>5.1333333333333337</v>
      </c>
      <c r="J158" s="15">
        <f t="shared" si="18"/>
        <v>181.56</v>
      </c>
      <c r="K158" s="15">
        <f t="shared" si="24"/>
        <v>242.08</v>
      </c>
      <c r="L158" s="15">
        <f t="shared" si="24"/>
        <v>363.12</v>
      </c>
      <c r="M158" s="15">
        <f t="shared" si="24"/>
        <v>484.16</v>
      </c>
      <c r="N158" s="15">
        <f t="shared" si="24"/>
        <v>580.99199999999996</v>
      </c>
      <c r="O158" s="15">
        <f t="shared" si="24"/>
        <v>726.24</v>
      </c>
      <c r="P158" s="15">
        <f t="shared" si="24"/>
        <v>968.32</v>
      </c>
    </row>
    <row r="159" spans="1:16">
      <c r="A159" s="13">
        <v>43588</v>
      </c>
      <c r="B159" s="13">
        <f t="shared" si="19"/>
        <v>43617</v>
      </c>
      <c r="C159" s="88">
        <v>43621</v>
      </c>
      <c r="D159" s="13">
        <v>43588</v>
      </c>
      <c r="E159" s="86" t="str">
        <f t="shared" si="20"/>
        <v>W23</v>
      </c>
      <c r="F159" s="86" t="str">
        <f t="shared" si="21"/>
        <v>Jun</v>
      </c>
      <c r="G159">
        <v>156</v>
      </c>
      <c r="H159">
        <f t="shared" si="22"/>
        <v>23</v>
      </c>
      <c r="I159" s="87">
        <f t="shared" si="23"/>
        <v>5.166666666666667</v>
      </c>
      <c r="J159" s="15">
        <f t="shared" si="18"/>
        <v>181.56</v>
      </c>
      <c r="K159" s="15">
        <f t="shared" si="24"/>
        <v>242.08</v>
      </c>
      <c r="L159" s="15">
        <f t="shared" si="24"/>
        <v>363.12</v>
      </c>
      <c r="M159" s="15">
        <f t="shared" si="24"/>
        <v>484.16</v>
      </c>
      <c r="N159" s="15">
        <f t="shared" si="24"/>
        <v>580.99199999999996</v>
      </c>
      <c r="O159" s="15">
        <f t="shared" si="24"/>
        <v>726.24</v>
      </c>
      <c r="P159" s="15">
        <f t="shared" si="24"/>
        <v>968.32</v>
      </c>
    </row>
    <row r="160" spans="1:16">
      <c r="A160" s="13">
        <v>43589</v>
      </c>
      <c r="B160" s="13">
        <f t="shared" si="19"/>
        <v>43617</v>
      </c>
      <c r="C160" s="88">
        <v>43622</v>
      </c>
      <c r="D160" s="13">
        <v>43589</v>
      </c>
      <c r="E160" s="86" t="str">
        <f t="shared" si="20"/>
        <v>W23</v>
      </c>
      <c r="F160" s="86" t="str">
        <f t="shared" si="21"/>
        <v>Jun</v>
      </c>
      <c r="G160">
        <v>157</v>
      </c>
      <c r="H160">
        <f t="shared" si="22"/>
        <v>23</v>
      </c>
      <c r="I160" s="87">
        <f t="shared" si="23"/>
        <v>5.2</v>
      </c>
      <c r="J160" s="15">
        <f t="shared" si="18"/>
        <v>181.56</v>
      </c>
      <c r="K160" s="15">
        <f t="shared" si="24"/>
        <v>242.08</v>
      </c>
      <c r="L160" s="15">
        <f t="shared" si="24"/>
        <v>363.12</v>
      </c>
      <c r="M160" s="15">
        <f t="shared" si="24"/>
        <v>484.16</v>
      </c>
      <c r="N160" s="15">
        <f t="shared" si="24"/>
        <v>580.99199999999996</v>
      </c>
      <c r="O160" s="15">
        <f t="shared" si="24"/>
        <v>726.24</v>
      </c>
      <c r="P160" s="15">
        <f t="shared" si="24"/>
        <v>968.32</v>
      </c>
    </row>
    <row r="161" spans="1:16">
      <c r="A161" s="13">
        <v>43590</v>
      </c>
      <c r="B161" s="13">
        <f t="shared" si="19"/>
        <v>43617</v>
      </c>
      <c r="C161" s="88">
        <v>43623</v>
      </c>
      <c r="D161" s="13">
        <v>43590</v>
      </c>
      <c r="E161" s="86" t="str">
        <f t="shared" si="20"/>
        <v>W23</v>
      </c>
      <c r="F161" s="86" t="str">
        <f t="shared" si="21"/>
        <v>Jun</v>
      </c>
      <c r="G161">
        <v>158</v>
      </c>
      <c r="H161">
        <f t="shared" si="22"/>
        <v>23</v>
      </c>
      <c r="I161" s="87">
        <f t="shared" si="23"/>
        <v>5.2333333333333334</v>
      </c>
      <c r="J161" s="15">
        <f t="shared" si="18"/>
        <v>181.56</v>
      </c>
      <c r="K161" s="15">
        <f t="shared" si="24"/>
        <v>242.08</v>
      </c>
      <c r="L161" s="15">
        <f t="shared" si="24"/>
        <v>363.12</v>
      </c>
      <c r="M161" s="15">
        <f t="shared" si="24"/>
        <v>484.16</v>
      </c>
      <c r="N161" s="15">
        <f t="shared" si="24"/>
        <v>580.99199999999996</v>
      </c>
      <c r="O161" s="15">
        <f t="shared" si="24"/>
        <v>726.24</v>
      </c>
      <c r="P161" s="15">
        <f t="shared" si="24"/>
        <v>968.32</v>
      </c>
    </row>
    <row r="162" spans="1:16">
      <c r="A162" s="13">
        <v>43591</v>
      </c>
      <c r="B162" s="13">
        <f t="shared" si="19"/>
        <v>43617</v>
      </c>
      <c r="C162" s="88">
        <v>43624</v>
      </c>
      <c r="D162" s="13">
        <v>43591</v>
      </c>
      <c r="E162" s="86" t="str">
        <f t="shared" si="20"/>
        <v>W23</v>
      </c>
      <c r="F162" s="86" t="str">
        <f t="shared" si="21"/>
        <v>Jun</v>
      </c>
      <c r="G162">
        <v>159</v>
      </c>
      <c r="H162">
        <f t="shared" si="22"/>
        <v>23</v>
      </c>
      <c r="I162" s="87">
        <f t="shared" si="23"/>
        <v>5.2666666666666666</v>
      </c>
      <c r="J162" s="15">
        <f t="shared" si="18"/>
        <v>181.56</v>
      </c>
      <c r="K162" s="15">
        <f t="shared" si="24"/>
        <v>242.08</v>
      </c>
      <c r="L162" s="15">
        <f t="shared" si="24"/>
        <v>363.12</v>
      </c>
      <c r="M162" s="15">
        <f t="shared" si="24"/>
        <v>484.16</v>
      </c>
      <c r="N162" s="15">
        <f t="shared" si="24"/>
        <v>580.99199999999996</v>
      </c>
      <c r="O162" s="15">
        <f t="shared" si="24"/>
        <v>726.24</v>
      </c>
      <c r="P162" s="15">
        <f t="shared" si="24"/>
        <v>968.32</v>
      </c>
    </row>
    <row r="163" spans="1:16">
      <c r="A163" s="13">
        <v>43592</v>
      </c>
      <c r="B163" s="13">
        <f t="shared" si="19"/>
        <v>43617</v>
      </c>
      <c r="C163" s="88">
        <v>43625</v>
      </c>
      <c r="D163" s="13">
        <v>43592</v>
      </c>
      <c r="E163" s="86" t="str">
        <f t="shared" si="20"/>
        <v>W24</v>
      </c>
      <c r="F163" s="86" t="str">
        <f t="shared" si="21"/>
        <v>Jun</v>
      </c>
      <c r="G163">
        <v>160</v>
      </c>
      <c r="H163">
        <f t="shared" si="22"/>
        <v>24</v>
      </c>
      <c r="I163" s="87">
        <f t="shared" si="23"/>
        <v>5.3</v>
      </c>
      <c r="J163" s="15">
        <f t="shared" si="18"/>
        <v>192.24</v>
      </c>
      <c r="K163" s="15">
        <f t="shared" si="24"/>
        <v>256.32</v>
      </c>
      <c r="L163" s="15">
        <f t="shared" si="24"/>
        <v>384.48</v>
      </c>
      <c r="M163" s="15">
        <f t="shared" si="24"/>
        <v>512.64</v>
      </c>
      <c r="N163" s="15">
        <f t="shared" si="24"/>
        <v>615.16800000000001</v>
      </c>
      <c r="O163" s="15">
        <f t="shared" si="24"/>
        <v>768.96</v>
      </c>
      <c r="P163" s="15">
        <f t="shared" si="24"/>
        <v>1025.28</v>
      </c>
    </row>
    <row r="164" spans="1:16">
      <c r="A164" s="13">
        <v>43593</v>
      </c>
      <c r="B164" s="13">
        <f t="shared" si="19"/>
        <v>43617</v>
      </c>
      <c r="C164" s="88">
        <v>43626</v>
      </c>
      <c r="D164" s="13">
        <v>43593</v>
      </c>
      <c r="E164" s="86" t="str">
        <f t="shared" si="20"/>
        <v>W24</v>
      </c>
      <c r="F164" s="86" t="str">
        <f t="shared" si="21"/>
        <v>Jun</v>
      </c>
      <c r="G164">
        <v>161</v>
      </c>
      <c r="H164">
        <f t="shared" si="22"/>
        <v>24</v>
      </c>
      <c r="I164" s="87">
        <f t="shared" si="23"/>
        <v>5.333333333333333</v>
      </c>
      <c r="J164" s="15">
        <f t="shared" si="18"/>
        <v>192.24</v>
      </c>
      <c r="K164" s="15">
        <f t="shared" si="24"/>
        <v>256.32</v>
      </c>
      <c r="L164" s="15">
        <f t="shared" si="24"/>
        <v>384.48</v>
      </c>
      <c r="M164" s="15">
        <f t="shared" si="24"/>
        <v>512.64</v>
      </c>
      <c r="N164" s="15">
        <f t="shared" si="24"/>
        <v>615.16800000000001</v>
      </c>
      <c r="O164" s="15">
        <f t="shared" si="24"/>
        <v>768.96</v>
      </c>
      <c r="P164" s="15">
        <f t="shared" si="24"/>
        <v>1025.28</v>
      </c>
    </row>
    <row r="165" spans="1:16">
      <c r="A165" s="13">
        <v>43594</v>
      </c>
      <c r="B165" s="13">
        <f t="shared" si="19"/>
        <v>43617</v>
      </c>
      <c r="C165" s="88">
        <v>43627</v>
      </c>
      <c r="D165" s="13">
        <v>43594</v>
      </c>
      <c r="E165" s="86" t="str">
        <f t="shared" si="20"/>
        <v>W24</v>
      </c>
      <c r="F165" s="86" t="str">
        <f t="shared" si="21"/>
        <v>Jun</v>
      </c>
      <c r="G165">
        <v>162</v>
      </c>
      <c r="H165">
        <f t="shared" si="22"/>
        <v>24</v>
      </c>
      <c r="I165" s="87">
        <f t="shared" si="23"/>
        <v>5.3666666666666663</v>
      </c>
      <c r="J165" s="15">
        <f t="shared" si="18"/>
        <v>192.24</v>
      </c>
      <c r="K165" s="15">
        <f t="shared" si="24"/>
        <v>256.32</v>
      </c>
      <c r="L165" s="15">
        <f t="shared" si="24"/>
        <v>384.48</v>
      </c>
      <c r="M165" s="15">
        <f t="shared" si="24"/>
        <v>512.64</v>
      </c>
      <c r="N165" s="15">
        <f t="shared" si="24"/>
        <v>615.16800000000001</v>
      </c>
      <c r="O165" s="15">
        <f t="shared" si="24"/>
        <v>768.96</v>
      </c>
      <c r="P165" s="15">
        <f t="shared" si="24"/>
        <v>1025.28</v>
      </c>
    </row>
    <row r="166" spans="1:16">
      <c r="A166" s="13">
        <v>43595</v>
      </c>
      <c r="B166" s="13">
        <f t="shared" si="19"/>
        <v>43617</v>
      </c>
      <c r="C166" s="88">
        <v>43628</v>
      </c>
      <c r="D166" s="13">
        <v>43595</v>
      </c>
      <c r="E166" s="86" t="str">
        <f t="shared" si="20"/>
        <v>W24</v>
      </c>
      <c r="F166" s="86" t="str">
        <f t="shared" si="21"/>
        <v>Jun</v>
      </c>
      <c r="G166">
        <v>163</v>
      </c>
      <c r="H166">
        <f t="shared" si="22"/>
        <v>24</v>
      </c>
      <c r="I166" s="87">
        <f t="shared" si="23"/>
        <v>5.4</v>
      </c>
      <c r="J166" s="15">
        <f t="shared" si="18"/>
        <v>192.24</v>
      </c>
      <c r="K166" s="15">
        <f t="shared" si="24"/>
        <v>256.32</v>
      </c>
      <c r="L166" s="15">
        <f t="shared" si="24"/>
        <v>384.48</v>
      </c>
      <c r="M166" s="15">
        <f t="shared" si="24"/>
        <v>512.64</v>
      </c>
      <c r="N166" s="15">
        <f t="shared" si="24"/>
        <v>615.16800000000001</v>
      </c>
      <c r="O166" s="15">
        <f t="shared" si="24"/>
        <v>768.96</v>
      </c>
      <c r="P166" s="15">
        <f t="shared" si="24"/>
        <v>1025.28</v>
      </c>
    </row>
    <row r="167" spans="1:16">
      <c r="A167" s="13">
        <v>43596</v>
      </c>
      <c r="B167" s="13">
        <f t="shared" si="19"/>
        <v>43617</v>
      </c>
      <c r="C167" s="88">
        <v>43629</v>
      </c>
      <c r="D167" s="13">
        <v>43596</v>
      </c>
      <c r="E167" s="86" t="str">
        <f t="shared" si="20"/>
        <v>W24</v>
      </c>
      <c r="F167" s="86" t="str">
        <f t="shared" si="21"/>
        <v>Jun</v>
      </c>
      <c r="G167">
        <v>164</v>
      </c>
      <c r="H167">
        <f t="shared" si="22"/>
        <v>24</v>
      </c>
      <c r="I167" s="87">
        <f t="shared" si="23"/>
        <v>5.4333333333333336</v>
      </c>
      <c r="J167" s="15">
        <f t="shared" si="18"/>
        <v>192.24</v>
      </c>
      <c r="K167" s="15">
        <f t="shared" si="24"/>
        <v>256.32</v>
      </c>
      <c r="L167" s="15">
        <f t="shared" si="24"/>
        <v>384.48</v>
      </c>
      <c r="M167" s="15">
        <f t="shared" si="24"/>
        <v>512.64</v>
      </c>
      <c r="N167" s="15">
        <f t="shared" si="24"/>
        <v>615.16800000000001</v>
      </c>
      <c r="O167" s="15">
        <f t="shared" si="24"/>
        <v>768.96</v>
      </c>
      <c r="P167" s="15">
        <f t="shared" si="24"/>
        <v>1025.28</v>
      </c>
    </row>
    <row r="168" spans="1:16">
      <c r="A168" s="13">
        <v>43597</v>
      </c>
      <c r="B168" s="13">
        <f t="shared" si="19"/>
        <v>43617</v>
      </c>
      <c r="C168" s="88">
        <v>43630</v>
      </c>
      <c r="D168" s="13">
        <v>43597</v>
      </c>
      <c r="E168" s="86" t="str">
        <f t="shared" si="20"/>
        <v>W24</v>
      </c>
      <c r="F168" s="86" t="str">
        <f t="shared" si="21"/>
        <v>Jun</v>
      </c>
      <c r="G168">
        <v>165</v>
      </c>
      <c r="H168">
        <f t="shared" si="22"/>
        <v>24</v>
      </c>
      <c r="I168" s="87">
        <f t="shared" si="23"/>
        <v>5.4666666666666668</v>
      </c>
      <c r="J168" s="15">
        <f t="shared" si="18"/>
        <v>192.24</v>
      </c>
      <c r="K168" s="15">
        <f t="shared" si="24"/>
        <v>256.32</v>
      </c>
      <c r="L168" s="15">
        <f t="shared" si="24"/>
        <v>384.48</v>
      </c>
      <c r="M168" s="15">
        <f t="shared" si="24"/>
        <v>512.64</v>
      </c>
      <c r="N168" s="15">
        <f t="shared" si="24"/>
        <v>615.16800000000001</v>
      </c>
      <c r="O168" s="15">
        <f t="shared" si="24"/>
        <v>768.96</v>
      </c>
      <c r="P168" s="15">
        <f t="shared" si="24"/>
        <v>1025.28</v>
      </c>
    </row>
    <row r="169" spans="1:16">
      <c r="A169" s="13">
        <v>43598</v>
      </c>
      <c r="B169" s="13">
        <f t="shared" si="19"/>
        <v>43617</v>
      </c>
      <c r="C169" s="88">
        <v>43631</v>
      </c>
      <c r="D169" s="13">
        <v>43598</v>
      </c>
      <c r="E169" s="86" t="str">
        <f t="shared" si="20"/>
        <v>W24</v>
      </c>
      <c r="F169" s="86" t="str">
        <f t="shared" si="21"/>
        <v>Jun</v>
      </c>
      <c r="G169">
        <v>166</v>
      </c>
      <c r="H169">
        <f t="shared" si="22"/>
        <v>24</v>
      </c>
      <c r="I169" s="87">
        <f t="shared" si="23"/>
        <v>5.5</v>
      </c>
      <c r="J169" s="15">
        <f t="shared" si="18"/>
        <v>192.24</v>
      </c>
      <c r="K169" s="15">
        <f t="shared" si="24"/>
        <v>256.32</v>
      </c>
      <c r="L169" s="15">
        <f t="shared" si="24"/>
        <v>384.48</v>
      </c>
      <c r="M169" s="15">
        <f t="shared" si="24"/>
        <v>512.64</v>
      </c>
      <c r="N169" s="15">
        <f t="shared" si="24"/>
        <v>615.16800000000001</v>
      </c>
      <c r="O169" s="15">
        <f t="shared" si="24"/>
        <v>768.96</v>
      </c>
      <c r="P169" s="15">
        <f t="shared" si="24"/>
        <v>1025.28</v>
      </c>
    </row>
    <row r="170" spans="1:16">
      <c r="A170" s="13">
        <v>43599</v>
      </c>
      <c r="B170" s="13">
        <f t="shared" si="19"/>
        <v>43617</v>
      </c>
      <c r="C170" s="88">
        <v>43632</v>
      </c>
      <c r="D170" s="13">
        <v>43599</v>
      </c>
      <c r="E170" s="86" t="str">
        <f t="shared" si="20"/>
        <v>W25</v>
      </c>
      <c r="F170" s="86" t="str">
        <f t="shared" si="21"/>
        <v>Jun</v>
      </c>
      <c r="G170">
        <v>167</v>
      </c>
      <c r="H170">
        <f t="shared" si="22"/>
        <v>25</v>
      </c>
      <c r="I170" s="87">
        <f t="shared" si="23"/>
        <v>5.5333333333333332</v>
      </c>
      <c r="J170" s="15">
        <f t="shared" si="18"/>
        <v>202.92</v>
      </c>
      <c r="K170" s="15">
        <f t="shared" si="24"/>
        <v>270.56</v>
      </c>
      <c r="L170" s="15">
        <f t="shared" si="24"/>
        <v>405.84</v>
      </c>
      <c r="M170" s="15">
        <f t="shared" si="24"/>
        <v>541.12</v>
      </c>
      <c r="N170" s="15">
        <f t="shared" si="24"/>
        <v>649.34400000000005</v>
      </c>
      <c r="O170" s="15">
        <f t="shared" si="24"/>
        <v>811.68</v>
      </c>
      <c r="P170" s="15">
        <f t="shared" si="24"/>
        <v>1082.24</v>
      </c>
    </row>
    <row r="171" spans="1:16">
      <c r="A171" s="13">
        <v>43600</v>
      </c>
      <c r="B171" s="13">
        <f t="shared" si="19"/>
        <v>43617</v>
      </c>
      <c r="C171" s="88">
        <v>43633</v>
      </c>
      <c r="D171" s="13">
        <v>43600</v>
      </c>
      <c r="E171" s="86" t="str">
        <f t="shared" si="20"/>
        <v>W25</v>
      </c>
      <c r="F171" s="86" t="str">
        <f t="shared" si="21"/>
        <v>Jun</v>
      </c>
      <c r="G171">
        <v>168</v>
      </c>
      <c r="H171">
        <f t="shared" si="22"/>
        <v>25</v>
      </c>
      <c r="I171" s="87">
        <f t="shared" si="23"/>
        <v>5.5666666666666664</v>
      </c>
      <c r="J171" s="15">
        <f t="shared" si="18"/>
        <v>202.92</v>
      </c>
      <c r="K171" s="15">
        <f t="shared" si="24"/>
        <v>270.56</v>
      </c>
      <c r="L171" s="15">
        <f t="shared" si="24"/>
        <v>405.84</v>
      </c>
      <c r="M171" s="15">
        <f t="shared" si="24"/>
        <v>541.12</v>
      </c>
      <c r="N171" s="15">
        <f t="shared" si="24"/>
        <v>649.34400000000005</v>
      </c>
      <c r="O171" s="15">
        <f t="shared" si="24"/>
        <v>811.68</v>
      </c>
      <c r="P171" s="15">
        <f t="shared" si="24"/>
        <v>1082.24</v>
      </c>
    </row>
    <row r="172" spans="1:16">
      <c r="A172" s="13">
        <v>43601</v>
      </c>
      <c r="B172" s="13">
        <f t="shared" si="19"/>
        <v>43617</v>
      </c>
      <c r="C172" s="88">
        <v>43634</v>
      </c>
      <c r="D172" s="13">
        <v>43601</v>
      </c>
      <c r="E172" s="86" t="str">
        <f t="shared" si="20"/>
        <v>W25</v>
      </c>
      <c r="F172" s="86" t="str">
        <f t="shared" si="21"/>
        <v>Jun</v>
      </c>
      <c r="G172">
        <v>169</v>
      </c>
      <c r="H172">
        <f t="shared" si="22"/>
        <v>25</v>
      </c>
      <c r="I172" s="87">
        <f t="shared" si="23"/>
        <v>5.6</v>
      </c>
      <c r="J172" s="15">
        <f t="shared" si="18"/>
        <v>202.92</v>
      </c>
      <c r="K172" s="15">
        <f t="shared" si="24"/>
        <v>270.56</v>
      </c>
      <c r="L172" s="15">
        <f t="shared" si="24"/>
        <v>405.84</v>
      </c>
      <c r="M172" s="15">
        <f t="shared" si="24"/>
        <v>541.12</v>
      </c>
      <c r="N172" s="15">
        <f t="shared" si="24"/>
        <v>649.34400000000005</v>
      </c>
      <c r="O172" s="15">
        <f t="shared" si="24"/>
        <v>811.68</v>
      </c>
      <c r="P172" s="15">
        <f t="shared" si="24"/>
        <v>1082.24</v>
      </c>
    </row>
    <row r="173" spans="1:16">
      <c r="A173" s="13">
        <v>43602</v>
      </c>
      <c r="B173" s="13">
        <f t="shared" si="19"/>
        <v>43617</v>
      </c>
      <c r="C173" s="88">
        <v>43635</v>
      </c>
      <c r="D173" s="13">
        <v>43602</v>
      </c>
      <c r="E173" s="86" t="str">
        <f t="shared" si="20"/>
        <v>W25</v>
      </c>
      <c r="F173" s="86" t="str">
        <f t="shared" si="21"/>
        <v>Jun</v>
      </c>
      <c r="G173">
        <v>170</v>
      </c>
      <c r="H173">
        <f t="shared" si="22"/>
        <v>25</v>
      </c>
      <c r="I173" s="87">
        <f t="shared" si="23"/>
        <v>5.6333333333333329</v>
      </c>
      <c r="J173" s="15">
        <f t="shared" si="18"/>
        <v>202.92</v>
      </c>
      <c r="K173" s="15">
        <f t="shared" si="24"/>
        <v>270.56</v>
      </c>
      <c r="L173" s="15">
        <f t="shared" si="24"/>
        <v>405.84</v>
      </c>
      <c r="M173" s="15">
        <f t="shared" si="24"/>
        <v>541.12</v>
      </c>
      <c r="N173" s="15">
        <f t="shared" si="24"/>
        <v>649.34400000000005</v>
      </c>
      <c r="O173" s="15">
        <f t="shared" si="24"/>
        <v>811.68</v>
      </c>
      <c r="P173" s="15">
        <f t="shared" si="24"/>
        <v>1082.24</v>
      </c>
    </row>
    <row r="174" spans="1:16">
      <c r="A174" s="13">
        <v>43603</v>
      </c>
      <c r="B174" s="13">
        <f t="shared" si="19"/>
        <v>43617</v>
      </c>
      <c r="C174" s="88">
        <v>43636</v>
      </c>
      <c r="D174" s="13">
        <v>43603</v>
      </c>
      <c r="E174" s="86" t="str">
        <f t="shared" si="20"/>
        <v>W25</v>
      </c>
      <c r="F174" s="86" t="str">
        <f t="shared" si="21"/>
        <v>Jun</v>
      </c>
      <c r="G174">
        <v>171</v>
      </c>
      <c r="H174">
        <f t="shared" si="22"/>
        <v>25</v>
      </c>
      <c r="I174" s="87">
        <f t="shared" si="23"/>
        <v>5.666666666666667</v>
      </c>
      <c r="J174" s="15">
        <f t="shared" si="18"/>
        <v>202.92</v>
      </c>
      <c r="K174" s="15">
        <f t="shared" si="24"/>
        <v>270.56</v>
      </c>
      <c r="L174" s="15">
        <f t="shared" si="24"/>
        <v>405.84</v>
      </c>
      <c r="M174" s="15">
        <f t="shared" si="24"/>
        <v>541.12</v>
      </c>
      <c r="N174" s="15">
        <f t="shared" si="24"/>
        <v>649.34400000000005</v>
      </c>
      <c r="O174" s="15">
        <f t="shared" si="24"/>
        <v>811.68</v>
      </c>
      <c r="P174" s="15">
        <f t="shared" si="24"/>
        <v>1082.24</v>
      </c>
    </row>
    <row r="175" spans="1:16">
      <c r="A175" s="13">
        <v>43604</v>
      </c>
      <c r="B175" s="13">
        <f t="shared" si="19"/>
        <v>43617</v>
      </c>
      <c r="C175" s="88">
        <v>43637</v>
      </c>
      <c r="D175" s="13">
        <v>43604</v>
      </c>
      <c r="E175" s="86" t="str">
        <f t="shared" si="20"/>
        <v>W25</v>
      </c>
      <c r="F175" s="86" t="str">
        <f t="shared" si="21"/>
        <v>Jun</v>
      </c>
      <c r="G175">
        <v>172</v>
      </c>
      <c r="H175">
        <f t="shared" si="22"/>
        <v>25</v>
      </c>
      <c r="I175" s="87">
        <f t="shared" si="23"/>
        <v>5.7</v>
      </c>
      <c r="J175" s="15">
        <f t="shared" si="18"/>
        <v>202.92</v>
      </c>
      <c r="K175" s="15">
        <f t="shared" si="24"/>
        <v>270.56</v>
      </c>
      <c r="L175" s="15">
        <f t="shared" si="24"/>
        <v>405.84</v>
      </c>
      <c r="M175" s="15">
        <f t="shared" si="24"/>
        <v>541.12</v>
      </c>
      <c r="N175" s="15">
        <f t="shared" si="24"/>
        <v>649.34400000000005</v>
      </c>
      <c r="O175" s="15">
        <f t="shared" si="24"/>
        <v>811.68</v>
      </c>
      <c r="P175" s="15">
        <f t="shared" si="24"/>
        <v>1082.24</v>
      </c>
    </row>
    <row r="176" spans="1:16">
      <c r="A176" s="13">
        <v>43605</v>
      </c>
      <c r="B176" s="13">
        <f t="shared" si="19"/>
        <v>43617</v>
      </c>
      <c r="C176" s="88">
        <v>43638</v>
      </c>
      <c r="D176" s="13">
        <v>43605</v>
      </c>
      <c r="E176" s="86" t="str">
        <f t="shared" si="20"/>
        <v>W25</v>
      </c>
      <c r="F176" s="86" t="str">
        <f t="shared" si="21"/>
        <v>Jun</v>
      </c>
      <c r="G176">
        <v>173</v>
      </c>
      <c r="H176">
        <f t="shared" si="22"/>
        <v>25</v>
      </c>
      <c r="I176" s="87">
        <f t="shared" si="23"/>
        <v>5.7333333333333334</v>
      </c>
      <c r="J176" s="15">
        <f t="shared" si="18"/>
        <v>202.92</v>
      </c>
      <c r="K176" s="15">
        <f t="shared" si="24"/>
        <v>270.56</v>
      </c>
      <c r="L176" s="15">
        <f t="shared" si="24"/>
        <v>405.84</v>
      </c>
      <c r="M176" s="15">
        <f t="shared" si="24"/>
        <v>541.12</v>
      </c>
      <c r="N176" s="15">
        <f t="shared" si="24"/>
        <v>649.34400000000005</v>
      </c>
      <c r="O176" s="15">
        <f t="shared" si="24"/>
        <v>811.68</v>
      </c>
      <c r="P176" s="15">
        <f t="shared" si="24"/>
        <v>1082.24</v>
      </c>
    </row>
    <row r="177" spans="1:16">
      <c r="A177" s="13">
        <v>43606</v>
      </c>
      <c r="B177" s="13">
        <f t="shared" si="19"/>
        <v>43617</v>
      </c>
      <c r="C177" s="88">
        <v>43639</v>
      </c>
      <c r="D177" s="13">
        <v>43606</v>
      </c>
      <c r="E177" s="86" t="str">
        <f t="shared" si="20"/>
        <v>W26</v>
      </c>
      <c r="F177" s="86" t="str">
        <f t="shared" si="21"/>
        <v>Jun</v>
      </c>
      <c r="G177">
        <v>174</v>
      </c>
      <c r="H177">
        <f t="shared" si="22"/>
        <v>26</v>
      </c>
      <c r="I177" s="87">
        <f t="shared" si="23"/>
        <v>5.7666666666666666</v>
      </c>
      <c r="J177" s="15">
        <f t="shared" si="18"/>
        <v>213.6</v>
      </c>
      <c r="K177" s="15">
        <f t="shared" si="24"/>
        <v>284.8</v>
      </c>
      <c r="L177" s="15">
        <f t="shared" si="24"/>
        <v>427.2</v>
      </c>
      <c r="M177" s="15">
        <f t="shared" si="24"/>
        <v>569.6</v>
      </c>
      <c r="N177" s="15">
        <f t="shared" si="24"/>
        <v>683.52</v>
      </c>
      <c r="O177" s="15">
        <f t="shared" si="24"/>
        <v>854.4</v>
      </c>
      <c r="P177" s="15">
        <f t="shared" si="24"/>
        <v>1139.2</v>
      </c>
    </row>
    <row r="178" spans="1:16">
      <c r="A178" s="13">
        <v>43607</v>
      </c>
      <c r="B178" s="13">
        <f t="shared" si="19"/>
        <v>43617</v>
      </c>
      <c r="C178" s="88">
        <v>43640</v>
      </c>
      <c r="D178" s="13">
        <v>43607</v>
      </c>
      <c r="E178" s="86" t="str">
        <f t="shared" si="20"/>
        <v>W26</v>
      </c>
      <c r="F178" s="86" t="str">
        <f t="shared" si="21"/>
        <v>Jun</v>
      </c>
      <c r="G178">
        <v>175</v>
      </c>
      <c r="H178">
        <f t="shared" si="22"/>
        <v>26</v>
      </c>
      <c r="I178" s="87">
        <f t="shared" si="23"/>
        <v>5.8</v>
      </c>
      <c r="J178" s="15">
        <f t="shared" si="18"/>
        <v>213.6</v>
      </c>
      <c r="K178" s="15">
        <f t="shared" si="24"/>
        <v>284.8</v>
      </c>
      <c r="L178" s="15">
        <f t="shared" si="24"/>
        <v>427.2</v>
      </c>
      <c r="M178" s="15">
        <f t="shared" si="24"/>
        <v>569.6</v>
      </c>
      <c r="N178" s="15">
        <f t="shared" si="24"/>
        <v>683.52</v>
      </c>
      <c r="O178" s="15">
        <f t="shared" si="24"/>
        <v>854.4</v>
      </c>
      <c r="P178" s="15">
        <f t="shared" si="24"/>
        <v>1139.2</v>
      </c>
    </row>
    <row r="179" spans="1:16">
      <c r="A179" s="13">
        <v>43608</v>
      </c>
      <c r="B179" s="13">
        <f t="shared" si="19"/>
        <v>43617</v>
      </c>
      <c r="C179" s="88">
        <v>43641</v>
      </c>
      <c r="D179" s="13">
        <v>43608</v>
      </c>
      <c r="E179" s="86" t="str">
        <f t="shared" si="20"/>
        <v>W26</v>
      </c>
      <c r="F179" s="86" t="str">
        <f t="shared" si="21"/>
        <v>Jun</v>
      </c>
      <c r="G179">
        <v>176</v>
      </c>
      <c r="H179">
        <f t="shared" si="22"/>
        <v>26</v>
      </c>
      <c r="I179" s="87">
        <f t="shared" si="23"/>
        <v>5.833333333333333</v>
      </c>
      <c r="J179" s="15">
        <f t="shared" si="18"/>
        <v>213.6</v>
      </c>
      <c r="K179" s="15">
        <f t="shared" si="24"/>
        <v>284.8</v>
      </c>
      <c r="L179" s="15">
        <f t="shared" si="24"/>
        <v>427.2</v>
      </c>
      <c r="M179" s="15">
        <f t="shared" si="24"/>
        <v>569.6</v>
      </c>
      <c r="N179" s="15">
        <f t="shared" si="24"/>
        <v>683.52</v>
      </c>
      <c r="O179" s="15">
        <f t="shared" si="24"/>
        <v>854.4</v>
      </c>
      <c r="P179" s="15">
        <f t="shared" si="24"/>
        <v>1139.2</v>
      </c>
    </row>
    <row r="180" spans="1:16">
      <c r="A180" s="13">
        <v>43609</v>
      </c>
      <c r="B180" s="13">
        <f t="shared" si="19"/>
        <v>43617</v>
      </c>
      <c r="C180" s="88">
        <v>43642</v>
      </c>
      <c r="D180" s="13">
        <v>43609</v>
      </c>
      <c r="E180" s="86" t="str">
        <f t="shared" si="20"/>
        <v>W26</v>
      </c>
      <c r="F180" s="86" t="str">
        <f t="shared" si="21"/>
        <v>Jun</v>
      </c>
      <c r="G180">
        <v>177</v>
      </c>
      <c r="H180">
        <f t="shared" si="22"/>
        <v>26</v>
      </c>
      <c r="I180" s="87">
        <f t="shared" si="23"/>
        <v>5.8666666666666671</v>
      </c>
      <c r="J180" s="15">
        <f t="shared" si="18"/>
        <v>213.6</v>
      </c>
      <c r="K180" s="15">
        <f t="shared" si="24"/>
        <v>284.8</v>
      </c>
      <c r="L180" s="15">
        <f t="shared" si="24"/>
        <v>427.2</v>
      </c>
      <c r="M180" s="15">
        <f t="shared" si="24"/>
        <v>569.6</v>
      </c>
      <c r="N180" s="15">
        <f t="shared" si="24"/>
        <v>683.52</v>
      </c>
      <c r="O180" s="15">
        <f t="shared" si="24"/>
        <v>854.4</v>
      </c>
      <c r="P180" s="15">
        <f t="shared" si="24"/>
        <v>1139.2</v>
      </c>
    </row>
    <row r="181" spans="1:16">
      <c r="A181" s="13">
        <v>43610</v>
      </c>
      <c r="B181" s="13">
        <f t="shared" si="19"/>
        <v>43617</v>
      </c>
      <c r="C181" s="88">
        <v>43643</v>
      </c>
      <c r="D181" s="13">
        <v>43610</v>
      </c>
      <c r="E181" s="86" t="str">
        <f t="shared" si="20"/>
        <v>W26</v>
      </c>
      <c r="F181" s="86" t="str">
        <f t="shared" si="21"/>
        <v>Jun</v>
      </c>
      <c r="G181">
        <v>178</v>
      </c>
      <c r="H181">
        <f t="shared" si="22"/>
        <v>26</v>
      </c>
      <c r="I181" s="87">
        <f t="shared" si="23"/>
        <v>5.9</v>
      </c>
      <c r="J181" s="15">
        <f t="shared" si="18"/>
        <v>213.6</v>
      </c>
      <c r="K181" s="15">
        <f t="shared" si="24"/>
        <v>284.8</v>
      </c>
      <c r="L181" s="15">
        <f t="shared" si="24"/>
        <v>427.2</v>
      </c>
      <c r="M181" s="15">
        <f t="shared" si="24"/>
        <v>569.6</v>
      </c>
      <c r="N181" s="15">
        <f t="shared" si="24"/>
        <v>683.52</v>
      </c>
      <c r="O181" s="15">
        <f t="shared" ref="K181:P224" si="25">IF($H181&lt;=9,0,(($H181-6)*0.16*26700)/O$3)</f>
        <v>854.4</v>
      </c>
      <c r="P181" s="15">
        <f t="shared" si="25"/>
        <v>1139.2</v>
      </c>
    </row>
    <row r="182" spans="1:16">
      <c r="A182" s="13">
        <v>43611</v>
      </c>
      <c r="B182" s="13">
        <f t="shared" si="19"/>
        <v>43617</v>
      </c>
      <c r="C182" s="88">
        <v>43644</v>
      </c>
      <c r="D182" s="13">
        <v>43611</v>
      </c>
      <c r="E182" s="86" t="str">
        <f t="shared" si="20"/>
        <v>W26</v>
      </c>
      <c r="F182" s="86" t="str">
        <f t="shared" si="21"/>
        <v>Jun</v>
      </c>
      <c r="G182">
        <v>179</v>
      </c>
      <c r="H182">
        <f t="shared" si="22"/>
        <v>26</v>
      </c>
      <c r="I182" s="87">
        <f t="shared" si="23"/>
        <v>5.9333333333333336</v>
      </c>
      <c r="J182" s="15">
        <f t="shared" si="18"/>
        <v>213.6</v>
      </c>
      <c r="K182" s="15">
        <f t="shared" si="25"/>
        <v>284.8</v>
      </c>
      <c r="L182" s="15">
        <f t="shared" si="25"/>
        <v>427.2</v>
      </c>
      <c r="M182" s="15">
        <f t="shared" si="25"/>
        <v>569.6</v>
      </c>
      <c r="N182" s="15">
        <f t="shared" si="25"/>
        <v>683.52</v>
      </c>
      <c r="O182" s="15">
        <f t="shared" si="25"/>
        <v>854.4</v>
      </c>
      <c r="P182" s="15">
        <f t="shared" si="25"/>
        <v>1139.2</v>
      </c>
    </row>
    <row r="183" spans="1:16">
      <c r="A183" s="13">
        <v>43612</v>
      </c>
      <c r="B183" s="13">
        <f t="shared" si="19"/>
        <v>43617</v>
      </c>
      <c r="C183" s="88">
        <v>43645</v>
      </c>
      <c r="D183" s="13">
        <v>43612</v>
      </c>
      <c r="E183" s="86" t="str">
        <f t="shared" si="20"/>
        <v>W26</v>
      </c>
      <c r="F183" s="86" t="str">
        <f t="shared" si="21"/>
        <v>Jun</v>
      </c>
      <c r="G183">
        <v>180</v>
      </c>
      <c r="H183">
        <f t="shared" si="22"/>
        <v>26</v>
      </c>
      <c r="I183" s="87">
        <f t="shared" si="23"/>
        <v>5.9666666666666668</v>
      </c>
      <c r="J183" s="15">
        <f t="shared" ref="J183:J246" si="26">IF($H183&lt;=9,0,(($H183-6)*0.16*26700)/J$3)</f>
        <v>213.6</v>
      </c>
      <c r="K183" s="15">
        <f t="shared" si="25"/>
        <v>284.8</v>
      </c>
      <c r="L183" s="15">
        <f t="shared" si="25"/>
        <v>427.2</v>
      </c>
      <c r="M183" s="15">
        <f t="shared" si="25"/>
        <v>569.6</v>
      </c>
      <c r="N183" s="15">
        <f t="shared" si="25"/>
        <v>683.52</v>
      </c>
      <c r="O183" s="15">
        <f t="shared" si="25"/>
        <v>854.4</v>
      </c>
      <c r="P183" s="15">
        <f t="shared" si="25"/>
        <v>1139.2</v>
      </c>
    </row>
    <row r="184" spans="1:16">
      <c r="A184" s="13">
        <v>43613</v>
      </c>
      <c r="B184" s="13">
        <f t="shared" si="19"/>
        <v>43617</v>
      </c>
      <c r="C184" s="88">
        <v>43646</v>
      </c>
      <c r="D184" s="13">
        <v>43613</v>
      </c>
      <c r="E184" s="86" t="str">
        <f t="shared" si="20"/>
        <v>W27</v>
      </c>
      <c r="F184" s="86" t="str">
        <f t="shared" si="21"/>
        <v>Jun</v>
      </c>
      <c r="G184">
        <v>181</v>
      </c>
      <c r="H184">
        <f t="shared" si="22"/>
        <v>27</v>
      </c>
      <c r="I184" s="87">
        <f t="shared" si="23"/>
        <v>6</v>
      </c>
      <c r="J184" s="15">
        <f t="shared" si="26"/>
        <v>224.28</v>
      </c>
      <c r="K184" s="15">
        <f t="shared" si="25"/>
        <v>299.04000000000002</v>
      </c>
      <c r="L184" s="15">
        <f t="shared" si="25"/>
        <v>448.56</v>
      </c>
      <c r="M184" s="15">
        <f t="shared" si="25"/>
        <v>598.08000000000004</v>
      </c>
      <c r="N184" s="15">
        <f t="shared" si="25"/>
        <v>717.69600000000003</v>
      </c>
      <c r="O184" s="15">
        <f t="shared" si="25"/>
        <v>897.12</v>
      </c>
      <c r="P184" s="15">
        <f t="shared" si="25"/>
        <v>1196.1600000000001</v>
      </c>
    </row>
    <row r="185" spans="1:16">
      <c r="A185" s="13">
        <v>43614</v>
      </c>
      <c r="B185" s="13">
        <f t="shared" si="19"/>
        <v>43647</v>
      </c>
      <c r="C185" s="88">
        <v>43647</v>
      </c>
      <c r="D185" s="13">
        <v>43614</v>
      </c>
      <c r="E185" s="86" t="str">
        <f t="shared" si="20"/>
        <v>W27</v>
      </c>
      <c r="F185" s="86" t="str">
        <f t="shared" si="21"/>
        <v>Jul</v>
      </c>
      <c r="G185">
        <v>182</v>
      </c>
      <c r="H185">
        <f t="shared" si="22"/>
        <v>27</v>
      </c>
      <c r="I185" s="87">
        <f t="shared" si="23"/>
        <v>6.032258064516129</v>
      </c>
      <c r="J185" s="15">
        <f t="shared" si="26"/>
        <v>224.28</v>
      </c>
      <c r="K185" s="15">
        <f t="shared" si="25"/>
        <v>299.04000000000002</v>
      </c>
      <c r="L185" s="15">
        <f t="shared" si="25"/>
        <v>448.56</v>
      </c>
      <c r="M185" s="15">
        <f t="shared" si="25"/>
        <v>598.08000000000004</v>
      </c>
      <c r="N185" s="15">
        <f t="shared" si="25"/>
        <v>717.69600000000003</v>
      </c>
      <c r="O185" s="15">
        <f t="shared" si="25"/>
        <v>897.12</v>
      </c>
      <c r="P185" s="15">
        <f t="shared" si="25"/>
        <v>1196.1600000000001</v>
      </c>
    </row>
    <row r="186" spans="1:16">
      <c r="A186" s="13">
        <v>43615</v>
      </c>
      <c r="B186" s="13">
        <f t="shared" si="19"/>
        <v>43647</v>
      </c>
      <c r="C186" s="88">
        <v>43648</v>
      </c>
      <c r="D186" s="13">
        <v>43615</v>
      </c>
      <c r="E186" s="86" t="str">
        <f t="shared" si="20"/>
        <v>W27</v>
      </c>
      <c r="F186" s="86" t="str">
        <f t="shared" si="21"/>
        <v>Jul</v>
      </c>
      <c r="G186">
        <v>183</v>
      </c>
      <c r="H186">
        <f t="shared" si="22"/>
        <v>27</v>
      </c>
      <c r="I186" s="87">
        <f t="shared" si="23"/>
        <v>6.064516129032258</v>
      </c>
      <c r="J186" s="15">
        <f t="shared" si="26"/>
        <v>224.28</v>
      </c>
      <c r="K186" s="15">
        <f t="shared" si="25"/>
        <v>299.04000000000002</v>
      </c>
      <c r="L186" s="15">
        <f t="shared" si="25"/>
        <v>448.56</v>
      </c>
      <c r="M186" s="15">
        <f t="shared" si="25"/>
        <v>598.08000000000004</v>
      </c>
      <c r="N186" s="15">
        <f t="shared" si="25"/>
        <v>717.69600000000003</v>
      </c>
      <c r="O186" s="15">
        <f t="shared" si="25"/>
        <v>897.12</v>
      </c>
      <c r="P186" s="15">
        <f t="shared" si="25"/>
        <v>1196.1600000000001</v>
      </c>
    </row>
    <row r="187" spans="1:16">
      <c r="A187" s="13">
        <v>43617</v>
      </c>
      <c r="B187" s="13">
        <f t="shared" si="19"/>
        <v>43647</v>
      </c>
      <c r="C187" s="88">
        <v>43649</v>
      </c>
      <c r="D187" s="13">
        <v>43617</v>
      </c>
      <c r="E187" s="86" t="str">
        <f t="shared" si="20"/>
        <v>W27</v>
      </c>
      <c r="F187" s="86" t="str">
        <f t="shared" si="21"/>
        <v>Jul</v>
      </c>
      <c r="G187">
        <v>184</v>
      </c>
      <c r="H187">
        <f t="shared" si="22"/>
        <v>27</v>
      </c>
      <c r="I187" s="87">
        <f t="shared" si="23"/>
        <v>6.096774193548387</v>
      </c>
      <c r="J187" s="15">
        <f t="shared" si="26"/>
        <v>224.28</v>
      </c>
      <c r="K187" s="15">
        <f t="shared" si="25"/>
        <v>299.04000000000002</v>
      </c>
      <c r="L187" s="15">
        <f t="shared" si="25"/>
        <v>448.56</v>
      </c>
      <c r="M187" s="15">
        <f t="shared" si="25"/>
        <v>598.08000000000004</v>
      </c>
      <c r="N187" s="15">
        <f t="shared" si="25"/>
        <v>717.69600000000003</v>
      </c>
      <c r="O187" s="15">
        <f t="shared" si="25"/>
        <v>897.12</v>
      </c>
      <c r="P187" s="15">
        <f t="shared" si="25"/>
        <v>1196.1600000000001</v>
      </c>
    </row>
    <row r="188" spans="1:16">
      <c r="A188" s="13">
        <v>43618</v>
      </c>
      <c r="B188" s="13">
        <f t="shared" si="19"/>
        <v>43647</v>
      </c>
      <c r="C188" s="88">
        <v>43650</v>
      </c>
      <c r="D188" s="13">
        <v>43618</v>
      </c>
      <c r="E188" s="86" t="str">
        <f t="shared" si="20"/>
        <v>W27</v>
      </c>
      <c r="F188" s="86" t="str">
        <f t="shared" si="21"/>
        <v>Jul</v>
      </c>
      <c r="G188">
        <v>185</v>
      </c>
      <c r="H188">
        <f t="shared" si="22"/>
        <v>27</v>
      </c>
      <c r="I188" s="87">
        <f t="shared" si="23"/>
        <v>6.129032258064516</v>
      </c>
      <c r="J188" s="15">
        <f t="shared" si="26"/>
        <v>224.28</v>
      </c>
      <c r="K188" s="15">
        <f t="shared" si="25"/>
        <v>299.04000000000002</v>
      </c>
      <c r="L188" s="15">
        <f t="shared" si="25"/>
        <v>448.56</v>
      </c>
      <c r="M188" s="15">
        <f t="shared" si="25"/>
        <v>598.08000000000004</v>
      </c>
      <c r="N188" s="15">
        <f t="shared" si="25"/>
        <v>717.69600000000003</v>
      </c>
      <c r="O188" s="15">
        <f t="shared" si="25"/>
        <v>897.12</v>
      </c>
      <c r="P188" s="15">
        <f t="shared" si="25"/>
        <v>1196.1600000000001</v>
      </c>
    </row>
    <row r="189" spans="1:16">
      <c r="A189" s="13">
        <v>43619</v>
      </c>
      <c r="B189" s="13">
        <f t="shared" si="19"/>
        <v>43647</v>
      </c>
      <c r="C189" s="88">
        <v>43651</v>
      </c>
      <c r="D189" s="13">
        <v>43619</v>
      </c>
      <c r="E189" s="86" t="str">
        <f t="shared" si="20"/>
        <v>W27</v>
      </c>
      <c r="F189" s="86" t="str">
        <f t="shared" si="21"/>
        <v>Jul</v>
      </c>
      <c r="G189">
        <v>186</v>
      </c>
      <c r="H189">
        <f t="shared" si="22"/>
        <v>27</v>
      </c>
      <c r="I189" s="87">
        <f t="shared" si="23"/>
        <v>6.161290322580645</v>
      </c>
      <c r="J189" s="15">
        <f t="shared" si="26"/>
        <v>224.28</v>
      </c>
      <c r="K189" s="15">
        <f t="shared" si="25"/>
        <v>299.04000000000002</v>
      </c>
      <c r="L189" s="15">
        <f t="shared" si="25"/>
        <v>448.56</v>
      </c>
      <c r="M189" s="15">
        <f t="shared" si="25"/>
        <v>598.08000000000004</v>
      </c>
      <c r="N189" s="15">
        <f t="shared" si="25"/>
        <v>717.69600000000003</v>
      </c>
      <c r="O189" s="15">
        <f t="shared" si="25"/>
        <v>897.12</v>
      </c>
      <c r="P189" s="15">
        <f t="shared" si="25"/>
        <v>1196.1600000000001</v>
      </c>
    </row>
    <row r="190" spans="1:16">
      <c r="A190" s="13">
        <v>43620</v>
      </c>
      <c r="B190" s="13">
        <f t="shared" si="19"/>
        <v>43647</v>
      </c>
      <c r="C190" s="88">
        <v>43652</v>
      </c>
      <c r="D190" s="13">
        <v>43620</v>
      </c>
      <c r="E190" s="86" t="str">
        <f t="shared" si="20"/>
        <v>W27</v>
      </c>
      <c r="F190" s="86" t="str">
        <f t="shared" si="21"/>
        <v>Jul</v>
      </c>
      <c r="G190">
        <v>187</v>
      </c>
      <c r="H190">
        <f t="shared" si="22"/>
        <v>27</v>
      </c>
      <c r="I190" s="87">
        <f t="shared" si="23"/>
        <v>6.193548387096774</v>
      </c>
      <c r="J190" s="15">
        <f t="shared" si="26"/>
        <v>224.28</v>
      </c>
      <c r="K190" s="15">
        <f t="shared" si="25"/>
        <v>299.04000000000002</v>
      </c>
      <c r="L190" s="15">
        <f t="shared" si="25"/>
        <v>448.56</v>
      </c>
      <c r="M190" s="15">
        <f t="shared" si="25"/>
        <v>598.08000000000004</v>
      </c>
      <c r="N190" s="15">
        <f t="shared" si="25"/>
        <v>717.69600000000003</v>
      </c>
      <c r="O190" s="15">
        <f t="shared" si="25"/>
        <v>897.12</v>
      </c>
      <c r="P190" s="15">
        <f t="shared" si="25"/>
        <v>1196.1600000000001</v>
      </c>
    </row>
    <row r="191" spans="1:16">
      <c r="A191" s="13">
        <v>43621</v>
      </c>
      <c r="B191" s="13">
        <f t="shared" si="19"/>
        <v>43647</v>
      </c>
      <c r="C191" s="88">
        <v>43653</v>
      </c>
      <c r="D191" s="13">
        <v>43621</v>
      </c>
      <c r="E191" s="86" t="str">
        <f t="shared" si="20"/>
        <v>W28</v>
      </c>
      <c r="F191" s="86" t="str">
        <f t="shared" si="21"/>
        <v>Jul</v>
      </c>
      <c r="G191">
        <v>188</v>
      </c>
      <c r="H191">
        <f t="shared" si="22"/>
        <v>28</v>
      </c>
      <c r="I191" s="87">
        <f t="shared" si="23"/>
        <v>6.225806451612903</v>
      </c>
      <c r="J191" s="15">
        <f t="shared" si="26"/>
        <v>234.96</v>
      </c>
      <c r="K191" s="15">
        <f t="shared" si="25"/>
        <v>313.27999999999997</v>
      </c>
      <c r="L191" s="15">
        <f t="shared" si="25"/>
        <v>469.92</v>
      </c>
      <c r="M191" s="15">
        <f t="shared" si="25"/>
        <v>626.55999999999995</v>
      </c>
      <c r="N191" s="15">
        <f t="shared" si="25"/>
        <v>751.87199999999996</v>
      </c>
      <c r="O191" s="15">
        <f t="shared" si="25"/>
        <v>939.84</v>
      </c>
      <c r="P191" s="15">
        <f t="shared" si="25"/>
        <v>1253.1199999999999</v>
      </c>
    </row>
    <row r="192" spans="1:16">
      <c r="A192" s="13">
        <v>43622</v>
      </c>
      <c r="B192" s="13">
        <f t="shared" si="19"/>
        <v>43647</v>
      </c>
      <c r="C192" s="88">
        <v>43654</v>
      </c>
      <c r="D192" s="13">
        <v>43622</v>
      </c>
      <c r="E192" s="86" t="str">
        <f t="shared" si="20"/>
        <v>W28</v>
      </c>
      <c r="F192" s="86" t="str">
        <f t="shared" si="21"/>
        <v>Jul</v>
      </c>
      <c r="G192">
        <v>189</v>
      </c>
      <c r="H192">
        <f t="shared" si="22"/>
        <v>28</v>
      </c>
      <c r="I192" s="87">
        <f t="shared" si="23"/>
        <v>6.258064516129032</v>
      </c>
      <c r="J192" s="15">
        <f t="shared" si="26"/>
        <v>234.96</v>
      </c>
      <c r="K192" s="15">
        <f t="shared" si="25"/>
        <v>313.27999999999997</v>
      </c>
      <c r="L192" s="15">
        <f t="shared" si="25"/>
        <v>469.92</v>
      </c>
      <c r="M192" s="15">
        <f t="shared" si="25"/>
        <v>626.55999999999995</v>
      </c>
      <c r="N192" s="15">
        <f t="shared" si="25"/>
        <v>751.87199999999996</v>
      </c>
      <c r="O192" s="15">
        <f t="shared" si="25"/>
        <v>939.84</v>
      </c>
      <c r="P192" s="15">
        <f t="shared" si="25"/>
        <v>1253.1199999999999</v>
      </c>
    </row>
    <row r="193" spans="1:16">
      <c r="A193" s="13">
        <v>43623</v>
      </c>
      <c r="B193" s="13">
        <f t="shared" si="19"/>
        <v>43647</v>
      </c>
      <c r="C193" s="88">
        <v>43655</v>
      </c>
      <c r="D193" s="13">
        <v>43623</v>
      </c>
      <c r="E193" s="86" t="str">
        <f t="shared" si="20"/>
        <v>W28</v>
      </c>
      <c r="F193" s="86" t="str">
        <f t="shared" si="21"/>
        <v>Jul</v>
      </c>
      <c r="G193">
        <v>190</v>
      </c>
      <c r="H193">
        <f t="shared" si="22"/>
        <v>28</v>
      </c>
      <c r="I193" s="87">
        <f t="shared" si="23"/>
        <v>6.290322580645161</v>
      </c>
      <c r="J193" s="15">
        <f t="shared" si="26"/>
        <v>234.96</v>
      </c>
      <c r="K193" s="15">
        <f t="shared" si="25"/>
        <v>313.27999999999997</v>
      </c>
      <c r="L193" s="15">
        <f t="shared" si="25"/>
        <v>469.92</v>
      </c>
      <c r="M193" s="15">
        <f t="shared" si="25"/>
        <v>626.55999999999995</v>
      </c>
      <c r="N193" s="15">
        <f t="shared" si="25"/>
        <v>751.87199999999996</v>
      </c>
      <c r="O193" s="15">
        <f t="shared" si="25"/>
        <v>939.84</v>
      </c>
      <c r="P193" s="15">
        <f t="shared" si="25"/>
        <v>1253.1199999999999</v>
      </c>
    </row>
    <row r="194" spans="1:16">
      <c r="A194" s="13">
        <v>43624</v>
      </c>
      <c r="B194" s="13">
        <f t="shared" si="19"/>
        <v>43647</v>
      </c>
      <c r="C194" s="88">
        <v>43656</v>
      </c>
      <c r="D194" s="13">
        <v>43624</v>
      </c>
      <c r="E194" s="86" t="str">
        <f t="shared" si="20"/>
        <v>W28</v>
      </c>
      <c r="F194" s="86" t="str">
        <f t="shared" si="21"/>
        <v>Jul</v>
      </c>
      <c r="G194">
        <v>191</v>
      </c>
      <c r="H194">
        <f t="shared" si="22"/>
        <v>28</v>
      </c>
      <c r="I194" s="87">
        <f t="shared" si="23"/>
        <v>6.32258064516129</v>
      </c>
      <c r="J194" s="15">
        <f t="shared" si="26"/>
        <v>234.96</v>
      </c>
      <c r="K194" s="15">
        <f t="shared" si="25"/>
        <v>313.27999999999997</v>
      </c>
      <c r="L194" s="15">
        <f t="shared" si="25"/>
        <v>469.92</v>
      </c>
      <c r="M194" s="15">
        <f t="shared" si="25"/>
        <v>626.55999999999995</v>
      </c>
      <c r="N194" s="15">
        <f t="shared" si="25"/>
        <v>751.87199999999996</v>
      </c>
      <c r="O194" s="15">
        <f t="shared" si="25"/>
        <v>939.84</v>
      </c>
      <c r="P194" s="15">
        <f t="shared" si="25"/>
        <v>1253.1199999999999</v>
      </c>
    </row>
    <row r="195" spans="1:16">
      <c r="A195" s="13">
        <v>43625</v>
      </c>
      <c r="B195" s="13">
        <f t="shared" si="19"/>
        <v>43647</v>
      </c>
      <c r="C195" s="88">
        <v>43657</v>
      </c>
      <c r="D195" s="13">
        <v>43625</v>
      </c>
      <c r="E195" s="86" t="str">
        <f t="shared" si="20"/>
        <v>W28</v>
      </c>
      <c r="F195" s="86" t="str">
        <f t="shared" si="21"/>
        <v>Jul</v>
      </c>
      <c r="G195">
        <v>192</v>
      </c>
      <c r="H195">
        <f t="shared" si="22"/>
        <v>28</v>
      </c>
      <c r="I195" s="87">
        <f t="shared" si="23"/>
        <v>6.354838709677419</v>
      </c>
      <c r="J195" s="15">
        <f t="shared" si="26"/>
        <v>234.96</v>
      </c>
      <c r="K195" s="15">
        <f t="shared" si="25"/>
        <v>313.27999999999997</v>
      </c>
      <c r="L195" s="15">
        <f t="shared" si="25"/>
        <v>469.92</v>
      </c>
      <c r="M195" s="15">
        <f t="shared" si="25"/>
        <v>626.55999999999995</v>
      </c>
      <c r="N195" s="15">
        <f t="shared" si="25"/>
        <v>751.87199999999996</v>
      </c>
      <c r="O195" s="15">
        <f t="shared" si="25"/>
        <v>939.84</v>
      </c>
      <c r="P195" s="15">
        <f t="shared" si="25"/>
        <v>1253.1199999999999</v>
      </c>
    </row>
    <row r="196" spans="1:16">
      <c r="A196" s="13">
        <v>43626</v>
      </c>
      <c r="B196" s="13">
        <f t="shared" ref="B196:B259" si="27">DATE(2019,MONTH(C196),1)</f>
        <v>43647</v>
      </c>
      <c r="C196" s="88">
        <v>43658</v>
      </c>
      <c r="D196" s="13">
        <v>43626</v>
      </c>
      <c r="E196" s="86" t="str">
        <f t="shared" ref="E196:E259" si="28">"W"&amp;WEEKNUM(C196)</f>
        <v>W28</v>
      </c>
      <c r="F196" s="86" t="str">
        <f t="shared" ref="F196:F259" si="29">TEXT(C196,"MMM")</f>
        <v>Jul</v>
      </c>
      <c r="G196">
        <v>193</v>
      </c>
      <c r="H196">
        <f t="shared" ref="H196:H259" si="30">WEEKNUM(C196)</f>
        <v>28</v>
      </c>
      <c r="I196" s="87">
        <f t="shared" ref="I196:I259" si="31">(DATEDIF(B196,C196,"D")+1)/VLOOKUP(F196,$AC$4:$AD$15,2,0)+(MONTH(C196)*1-1)</f>
        <v>6.387096774193548</v>
      </c>
      <c r="J196" s="15">
        <f t="shared" si="26"/>
        <v>234.96</v>
      </c>
      <c r="K196" s="15">
        <f t="shared" si="25"/>
        <v>313.27999999999997</v>
      </c>
      <c r="L196" s="15">
        <f t="shared" si="25"/>
        <v>469.92</v>
      </c>
      <c r="M196" s="15">
        <f t="shared" si="25"/>
        <v>626.55999999999995</v>
      </c>
      <c r="N196" s="15">
        <f t="shared" si="25"/>
        <v>751.87199999999996</v>
      </c>
      <c r="O196" s="15">
        <f t="shared" si="25"/>
        <v>939.84</v>
      </c>
      <c r="P196" s="15">
        <f t="shared" si="25"/>
        <v>1253.1199999999999</v>
      </c>
    </row>
    <row r="197" spans="1:16">
      <c r="A197" s="13">
        <v>43627</v>
      </c>
      <c r="B197" s="13">
        <f t="shared" si="27"/>
        <v>43647</v>
      </c>
      <c r="C197" s="88">
        <v>43659</v>
      </c>
      <c r="D197" s="13">
        <v>43627</v>
      </c>
      <c r="E197" s="86" t="str">
        <f t="shared" si="28"/>
        <v>W28</v>
      </c>
      <c r="F197" s="86" t="str">
        <f t="shared" si="29"/>
        <v>Jul</v>
      </c>
      <c r="G197">
        <v>194</v>
      </c>
      <c r="H197">
        <f t="shared" si="30"/>
        <v>28</v>
      </c>
      <c r="I197" s="87">
        <f t="shared" si="31"/>
        <v>6.419354838709677</v>
      </c>
      <c r="J197" s="15">
        <f t="shared" si="26"/>
        <v>234.96</v>
      </c>
      <c r="K197" s="15">
        <f t="shared" si="25"/>
        <v>313.27999999999997</v>
      </c>
      <c r="L197" s="15">
        <f t="shared" si="25"/>
        <v>469.92</v>
      </c>
      <c r="M197" s="15">
        <f t="shared" si="25"/>
        <v>626.55999999999995</v>
      </c>
      <c r="N197" s="15">
        <f t="shared" si="25"/>
        <v>751.87199999999996</v>
      </c>
      <c r="O197" s="15">
        <f t="shared" si="25"/>
        <v>939.84</v>
      </c>
      <c r="P197" s="15">
        <f t="shared" si="25"/>
        <v>1253.1199999999999</v>
      </c>
    </row>
    <row r="198" spans="1:16">
      <c r="A198" s="13">
        <v>43628</v>
      </c>
      <c r="B198" s="13">
        <f t="shared" si="27"/>
        <v>43647</v>
      </c>
      <c r="C198" s="88">
        <v>43660</v>
      </c>
      <c r="D198" s="13">
        <v>43628</v>
      </c>
      <c r="E198" s="86" t="str">
        <f t="shared" si="28"/>
        <v>W29</v>
      </c>
      <c r="F198" s="86" t="str">
        <f t="shared" si="29"/>
        <v>Jul</v>
      </c>
      <c r="G198">
        <v>195</v>
      </c>
      <c r="H198">
        <f t="shared" si="30"/>
        <v>29</v>
      </c>
      <c r="I198" s="87">
        <f t="shared" si="31"/>
        <v>6.4516129032258061</v>
      </c>
      <c r="J198" s="15">
        <f t="shared" si="26"/>
        <v>245.64</v>
      </c>
      <c r="K198" s="15">
        <f t="shared" si="25"/>
        <v>327.52</v>
      </c>
      <c r="L198" s="15">
        <f t="shared" si="25"/>
        <v>491.28</v>
      </c>
      <c r="M198" s="15">
        <f t="shared" si="25"/>
        <v>655.04</v>
      </c>
      <c r="N198" s="15">
        <f t="shared" si="25"/>
        <v>786.048</v>
      </c>
      <c r="O198" s="15">
        <f t="shared" si="25"/>
        <v>982.56</v>
      </c>
      <c r="P198" s="15">
        <f t="shared" si="25"/>
        <v>1310.08</v>
      </c>
    </row>
    <row r="199" spans="1:16">
      <c r="A199" s="13">
        <v>43629</v>
      </c>
      <c r="B199" s="13">
        <f t="shared" si="27"/>
        <v>43647</v>
      </c>
      <c r="C199" s="88">
        <v>43661</v>
      </c>
      <c r="D199" s="13">
        <v>43629</v>
      </c>
      <c r="E199" s="86" t="str">
        <f t="shared" si="28"/>
        <v>W29</v>
      </c>
      <c r="F199" s="86" t="str">
        <f t="shared" si="29"/>
        <v>Jul</v>
      </c>
      <c r="G199">
        <v>196</v>
      </c>
      <c r="H199">
        <f t="shared" si="30"/>
        <v>29</v>
      </c>
      <c r="I199" s="87">
        <f t="shared" si="31"/>
        <v>6.4838709677419359</v>
      </c>
      <c r="J199" s="15">
        <f t="shared" si="26"/>
        <v>245.64</v>
      </c>
      <c r="K199" s="15">
        <f t="shared" si="25"/>
        <v>327.52</v>
      </c>
      <c r="L199" s="15">
        <f t="shared" si="25"/>
        <v>491.28</v>
      </c>
      <c r="M199" s="15">
        <f t="shared" si="25"/>
        <v>655.04</v>
      </c>
      <c r="N199" s="15">
        <f t="shared" si="25"/>
        <v>786.048</v>
      </c>
      <c r="O199" s="15">
        <f t="shared" si="25"/>
        <v>982.56</v>
      </c>
      <c r="P199" s="15">
        <f t="shared" si="25"/>
        <v>1310.08</v>
      </c>
    </row>
    <row r="200" spans="1:16">
      <c r="A200" s="13">
        <v>43630</v>
      </c>
      <c r="B200" s="13">
        <f t="shared" si="27"/>
        <v>43647</v>
      </c>
      <c r="C200" s="88">
        <v>43662</v>
      </c>
      <c r="D200" s="13">
        <v>43630</v>
      </c>
      <c r="E200" s="86" t="str">
        <f t="shared" si="28"/>
        <v>W29</v>
      </c>
      <c r="F200" s="86" t="str">
        <f t="shared" si="29"/>
        <v>Jul</v>
      </c>
      <c r="G200">
        <v>197</v>
      </c>
      <c r="H200">
        <f t="shared" si="30"/>
        <v>29</v>
      </c>
      <c r="I200" s="87">
        <f t="shared" si="31"/>
        <v>6.5161290322580641</v>
      </c>
      <c r="J200" s="15">
        <f t="shared" si="26"/>
        <v>245.64</v>
      </c>
      <c r="K200" s="15">
        <f t="shared" si="25"/>
        <v>327.52</v>
      </c>
      <c r="L200" s="15">
        <f t="shared" si="25"/>
        <v>491.28</v>
      </c>
      <c r="M200" s="15">
        <f t="shared" si="25"/>
        <v>655.04</v>
      </c>
      <c r="N200" s="15">
        <f t="shared" si="25"/>
        <v>786.048</v>
      </c>
      <c r="O200" s="15">
        <f t="shared" si="25"/>
        <v>982.56</v>
      </c>
      <c r="P200" s="15">
        <f t="shared" si="25"/>
        <v>1310.08</v>
      </c>
    </row>
    <row r="201" spans="1:16">
      <c r="A201" s="13">
        <v>43631</v>
      </c>
      <c r="B201" s="13">
        <f t="shared" si="27"/>
        <v>43647</v>
      </c>
      <c r="C201" s="88">
        <v>43663</v>
      </c>
      <c r="D201" s="13">
        <v>43631</v>
      </c>
      <c r="E201" s="86" t="str">
        <f t="shared" si="28"/>
        <v>W29</v>
      </c>
      <c r="F201" s="86" t="str">
        <f t="shared" si="29"/>
        <v>Jul</v>
      </c>
      <c r="G201">
        <v>198</v>
      </c>
      <c r="H201">
        <f t="shared" si="30"/>
        <v>29</v>
      </c>
      <c r="I201" s="87">
        <f t="shared" si="31"/>
        <v>6.5483870967741939</v>
      </c>
      <c r="J201" s="15">
        <f t="shared" si="26"/>
        <v>245.64</v>
      </c>
      <c r="K201" s="15">
        <f t="shared" si="25"/>
        <v>327.52</v>
      </c>
      <c r="L201" s="15">
        <f t="shared" si="25"/>
        <v>491.28</v>
      </c>
      <c r="M201" s="15">
        <f t="shared" si="25"/>
        <v>655.04</v>
      </c>
      <c r="N201" s="15">
        <f t="shared" si="25"/>
        <v>786.048</v>
      </c>
      <c r="O201" s="15">
        <f t="shared" si="25"/>
        <v>982.56</v>
      </c>
      <c r="P201" s="15">
        <f t="shared" si="25"/>
        <v>1310.08</v>
      </c>
    </row>
    <row r="202" spans="1:16">
      <c r="A202" s="13">
        <v>43632</v>
      </c>
      <c r="B202" s="13">
        <f t="shared" si="27"/>
        <v>43647</v>
      </c>
      <c r="C202" s="88">
        <v>43664</v>
      </c>
      <c r="D202" s="13">
        <v>43632</v>
      </c>
      <c r="E202" s="86" t="str">
        <f t="shared" si="28"/>
        <v>W29</v>
      </c>
      <c r="F202" s="86" t="str">
        <f t="shared" si="29"/>
        <v>Jul</v>
      </c>
      <c r="G202">
        <v>199</v>
      </c>
      <c r="H202">
        <f t="shared" si="30"/>
        <v>29</v>
      </c>
      <c r="I202" s="87">
        <f t="shared" si="31"/>
        <v>6.580645161290323</v>
      </c>
      <c r="J202" s="15">
        <f t="shared" si="26"/>
        <v>245.64</v>
      </c>
      <c r="K202" s="15">
        <f t="shared" si="25"/>
        <v>327.52</v>
      </c>
      <c r="L202" s="15">
        <f t="shared" si="25"/>
        <v>491.28</v>
      </c>
      <c r="M202" s="15">
        <f t="shared" si="25"/>
        <v>655.04</v>
      </c>
      <c r="N202" s="15">
        <f t="shared" si="25"/>
        <v>786.048</v>
      </c>
      <c r="O202" s="15">
        <f t="shared" si="25"/>
        <v>982.56</v>
      </c>
      <c r="P202" s="15">
        <f t="shared" si="25"/>
        <v>1310.08</v>
      </c>
    </row>
    <row r="203" spans="1:16">
      <c r="A203" s="13">
        <v>43633</v>
      </c>
      <c r="B203" s="13">
        <f t="shared" si="27"/>
        <v>43647</v>
      </c>
      <c r="C203" s="88">
        <v>43665</v>
      </c>
      <c r="D203" s="13">
        <v>43633</v>
      </c>
      <c r="E203" s="86" t="str">
        <f t="shared" si="28"/>
        <v>W29</v>
      </c>
      <c r="F203" s="86" t="str">
        <f t="shared" si="29"/>
        <v>Jul</v>
      </c>
      <c r="G203">
        <v>200</v>
      </c>
      <c r="H203">
        <f t="shared" si="30"/>
        <v>29</v>
      </c>
      <c r="I203" s="87">
        <f t="shared" si="31"/>
        <v>6.612903225806452</v>
      </c>
      <c r="J203" s="15">
        <f t="shared" si="26"/>
        <v>245.64</v>
      </c>
      <c r="K203" s="15">
        <f t="shared" si="25"/>
        <v>327.52</v>
      </c>
      <c r="L203" s="15">
        <f t="shared" si="25"/>
        <v>491.28</v>
      </c>
      <c r="M203" s="15">
        <f t="shared" si="25"/>
        <v>655.04</v>
      </c>
      <c r="N203" s="15">
        <f t="shared" si="25"/>
        <v>786.048</v>
      </c>
      <c r="O203" s="15">
        <f t="shared" si="25"/>
        <v>982.56</v>
      </c>
      <c r="P203" s="15">
        <f t="shared" si="25"/>
        <v>1310.08</v>
      </c>
    </row>
    <row r="204" spans="1:16">
      <c r="A204" s="13">
        <v>43634</v>
      </c>
      <c r="B204" s="13">
        <f t="shared" si="27"/>
        <v>43647</v>
      </c>
      <c r="C204" s="88">
        <v>43666</v>
      </c>
      <c r="D204" s="13">
        <v>43634</v>
      </c>
      <c r="E204" s="86" t="str">
        <f t="shared" si="28"/>
        <v>W29</v>
      </c>
      <c r="F204" s="86" t="str">
        <f t="shared" si="29"/>
        <v>Jul</v>
      </c>
      <c r="G204">
        <v>201</v>
      </c>
      <c r="H204">
        <f t="shared" si="30"/>
        <v>29</v>
      </c>
      <c r="I204" s="87">
        <f t="shared" si="31"/>
        <v>6.645161290322581</v>
      </c>
      <c r="J204" s="15">
        <f t="shared" si="26"/>
        <v>245.64</v>
      </c>
      <c r="K204" s="15">
        <f t="shared" si="25"/>
        <v>327.52</v>
      </c>
      <c r="L204" s="15">
        <f t="shared" si="25"/>
        <v>491.28</v>
      </c>
      <c r="M204" s="15">
        <f t="shared" si="25"/>
        <v>655.04</v>
      </c>
      <c r="N204" s="15">
        <f t="shared" si="25"/>
        <v>786.048</v>
      </c>
      <c r="O204" s="15">
        <f t="shared" si="25"/>
        <v>982.56</v>
      </c>
      <c r="P204" s="15">
        <f t="shared" si="25"/>
        <v>1310.08</v>
      </c>
    </row>
    <row r="205" spans="1:16">
      <c r="A205" s="13">
        <v>43635</v>
      </c>
      <c r="B205" s="13">
        <f t="shared" si="27"/>
        <v>43647</v>
      </c>
      <c r="C205" s="88">
        <v>43667</v>
      </c>
      <c r="D205" s="13">
        <v>43635</v>
      </c>
      <c r="E205" s="86" t="str">
        <f t="shared" si="28"/>
        <v>W30</v>
      </c>
      <c r="F205" s="86" t="str">
        <f t="shared" si="29"/>
        <v>Jul</v>
      </c>
      <c r="G205">
        <v>202</v>
      </c>
      <c r="H205">
        <f t="shared" si="30"/>
        <v>30</v>
      </c>
      <c r="I205" s="87">
        <f t="shared" si="31"/>
        <v>6.67741935483871</v>
      </c>
      <c r="J205" s="15">
        <f t="shared" si="26"/>
        <v>256.32</v>
      </c>
      <c r="K205" s="15">
        <f t="shared" si="25"/>
        <v>341.76</v>
      </c>
      <c r="L205" s="15">
        <f t="shared" si="25"/>
        <v>512.64</v>
      </c>
      <c r="M205" s="15">
        <f t="shared" si="25"/>
        <v>683.52</v>
      </c>
      <c r="N205" s="15">
        <f t="shared" si="25"/>
        <v>820.22400000000005</v>
      </c>
      <c r="O205" s="15">
        <f t="shared" si="25"/>
        <v>1025.28</v>
      </c>
      <c r="P205" s="15">
        <f t="shared" si="25"/>
        <v>1367.04</v>
      </c>
    </row>
    <row r="206" spans="1:16">
      <c r="A206" s="13">
        <v>43636</v>
      </c>
      <c r="B206" s="13">
        <f t="shared" si="27"/>
        <v>43647</v>
      </c>
      <c r="C206" s="88">
        <v>43668</v>
      </c>
      <c r="D206" s="13">
        <v>43636</v>
      </c>
      <c r="E206" s="86" t="str">
        <f t="shared" si="28"/>
        <v>W30</v>
      </c>
      <c r="F206" s="86" t="str">
        <f t="shared" si="29"/>
        <v>Jul</v>
      </c>
      <c r="G206">
        <v>203</v>
      </c>
      <c r="H206">
        <f t="shared" si="30"/>
        <v>30</v>
      </c>
      <c r="I206" s="87">
        <f t="shared" si="31"/>
        <v>6.709677419354839</v>
      </c>
      <c r="J206" s="15">
        <f t="shared" si="26"/>
        <v>256.32</v>
      </c>
      <c r="K206" s="15">
        <f t="shared" si="25"/>
        <v>341.76</v>
      </c>
      <c r="L206" s="15">
        <f t="shared" si="25"/>
        <v>512.64</v>
      </c>
      <c r="M206" s="15">
        <f t="shared" si="25"/>
        <v>683.52</v>
      </c>
      <c r="N206" s="15">
        <f t="shared" si="25"/>
        <v>820.22400000000005</v>
      </c>
      <c r="O206" s="15">
        <f t="shared" si="25"/>
        <v>1025.28</v>
      </c>
      <c r="P206" s="15">
        <f t="shared" si="25"/>
        <v>1367.04</v>
      </c>
    </row>
    <row r="207" spans="1:16">
      <c r="A207" s="13">
        <v>43637</v>
      </c>
      <c r="B207" s="13">
        <f t="shared" si="27"/>
        <v>43647</v>
      </c>
      <c r="C207" s="88">
        <v>43669</v>
      </c>
      <c r="D207" s="13">
        <v>43637</v>
      </c>
      <c r="E207" s="86" t="str">
        <f t="shared" si="28"/>
        <v>W30</v>
      </c>
      <c r="F207" s="86" t="str">
        <f t="shared" si="29"/>
        <v>Jul</v>
      </c>
      <c r="G207">
        <v>204</v>
      </c>
      <c r="H207">
        <f t="shared" si="30"/>
        <v>30</v>
      </c>
      <c r="I207" s="87">
        <f t="shared" si="31"/>
        <v>6.741935483870968</v>
      </c>
      <c r="J207" s="15">
        <f t="shared" si="26"/>
        <v>256.32</v>
      </c>
      <c r="K207" s="15">
        <f t="shared" si="25"/>
        <v>341.76</v>
      </c>
      <c r="L207" s="15">
        <f t="shared" si="25"/>
        <v>512.64</v>
      </c>
      <c r="M207" s="15">
        <f t="shared" si="25"/>
        <v>683.52</v>
      </c>
      <c r="N207" s="15">
        <f t="shared" si="25"/>
        <v>820.22400000000005</v>
      </c>
      <c r="O207" s="15">
        <f t="shared" si="25"/>
        <v>1025.28</v>
      </c>
      <c r="P207" s="15">
        <f t="shared" si="25"/>
        <v>1367.04</v>
      </c>
    </row>
    <row r="208" spans="1:16">
      <c r="A208" s="13">
        <v>43638</v>
      </c>
      <c r="B208" s="13">
        <f t="shared" si="27"/>
        <v>43647</v>
      </c>
      <c r="C208" s="88">
        <v>43670</v>
      </c>
      <c r="D208" s="13">
        <v>43638</v>
      </c>
      <c r="E208" s="86" t="str">
        <f t="shared" si="28"/>
        <v>W30</v>
      </c>
      <c r="F208" s="86" t="str">
        <f t="shared" si="29"/>
        <v>Jul</v>
      </c>
      <c r="G208">
        <v>205</v>
      </c>
      <c r="H208">
        <f t="shared" si="30"/>
        <v>30</v>
      </c>
      <c r="I208" s="87">
        <f t="shared" si="31"/>
        <v>6.774193548387097</v>
      </c>
      <c r="J208" s="15">
        <f t="shared" si="26"/>
        <v>256.32</v>
      </c>
      <c r="K208" s="15">
        <f t="shared" si="25"/>
        <v>341.76</v>
      </c>
      <c r="L208" s="15">
        <f t="shared" si="25"/>
        <v>512.64</v>
      </c>
      <c r="M208" s="15">
        <f t="shared" si="25"/>
        <v>683.52</v>
      </c>
      <c r="N208" s="15">
        <f t="shared" si="25"/>
        <v>820.22400000000005</v>
      </c>
      <c r="O208" s="15">
        <f t="shared" si="25"/>
        <v>1025.28</v>
      </c>
      <c r="P208" s="15">
        <f t="shared" si="25"/>
        <v>1367.04</v>
      </c>
    </row>
    <row r="209" spans="1:16">
      <c r="A209" s="13">
        <v>43639</v>
      </c>
      <c r="B209" s="13">
        <f t="shared" si="27"/>
        <v>43647</v>
      </c>
      <c r="C209" s="88">
        <v>43671</v>
      </c>
      <c r="D209" s="13">
        <v>43639</v>
      </c>
      <c r="E209" s="86" t="str">
        <f t="shared" si="28"/>
        <v>W30</v>
      </c>
      <c r="F209" s="86" t="str">
        <f t="shared" si="29"/>
        <v>Jul</v>
      </c>
      <c r="G209">
        <v>206</v>
      </c>
      <c r="H209">
        <f t="shared" si="30"/>
        <v>30</v>
      </c>
      <c r="I209" s="87">
        <f t="shared" si="31"/>
        <v>6.806451612903226</v>
      </c>
      <c r="J209" s="15">
        <f t="shared" si="26"/>
        <v>256.32</v>
      </c>
      <c r="K209" s="15">
        <f t="shared" si="25"/>
        <v>341.76</v>
      </c>
      <c r="L209" s="15">
        <f t="shared" si="25"/>
        <v>512.64</v>
      </c>
      <c r="M209" s="15">
        <f t="shared" si="25"/>
        <v>683.52</v>
      </c>
      <c r="N209" s="15">
        <f t="shared" si="25"/>
        <v>820.22400000000005</v>
      </c>
      <c r="O209" s="15">
        <f t="shared" si="25"/>
        <v>1025.28</v>
      </c>
      <c r="P209" s="15">
        <f t="shared" si="25"/>
        <v>1367.04</v>
      </c>
    </row>
    <row r="210" spans="1:16">
      <c r="A210" s="13">
        <v>43640</v>
      </c>
      <c r="B210" s="13">
        <f t="shared" si="27"/>
        <v>43647</v>
      </c>
      <c r="C210" s="88">
        <v>43672</v>
      </c>
      <c r="D210" s="13">
        <v>43640</v>
      </c>
      <c r="E210" s="86" t="str">
        <f t="shared" si="28"/>
        <v>W30</v>
      </c>
      <c r="F210" s="86" t="str">
        <f t="shared" si="29"/>
        <v>Jul</v>
      </c>
      <c r="G210">
        <v>207</v>
      </c>
      <c r="H210">
        <f t="shared" si="30"/>
        <v>30</v>
      </c>
      <c r="I210" s="87">
        <f t="shared" si="31"/>
        <v>6.838709677419355</v>
      </c>
      <c r="J210" s="15">
        <f t="shared" si="26"/>
        <v>256.32</v>
      </c>
      <c r="K210" s="15">
        <f t="shared" si="25"/>
        <v>341.76</v>
      </c>
      <c r="L210" s="15">
        <f t="shared" si="25"/>
        <v>512.64</v>
      </c>
      <c r="M210" s="15">
        <f t="shared" si="25"/>
        <v>683.52</v>
      </c>
      <c r="N210" s="15">
        <f t="shared" si="25"/>
        <v>820.22400000000005</v>
      </c>
      <c r="O210" s="15">
        <f t="shared" si="25"/>
        <v>1025.28</v>
      </c>
      <c r="P210" s="15">
        <f t="shared" si="25"/>
        <v>1367.04</v>
      </c>
    </row>
    <row r="211" spans="1:16">
      <c r="A211" s="13">
        <v>43641</v>
      </c>
      <c r="B211" s="13">
        <f t="shared" si="27"/>
        <v>43647</v>
      </c>
      <c r="C211" s="88">
        <v>43673</v>
      </c>
      <c r="D211" s="13">
        <v>43641</v>
      </c>
      <c r="E211" s="86" t="str">
        <f t="shared" si="28"/>
        <v>W30</v>
      </c>
      <c r="F211" s="86" t="str">
        <f t="shared" si="29"/>
        <v>Jul</v>
      </c>
      <c r="G211">
        <v>208</v>
      </c>
      <c r="H211">
        <f t="shared" si="30"/>
        <v>30</v>
      </c>
      <c r="I211" s="87">
        <f t="shared" si="31"/>
        <v>6.870967741935484</v>
      </c>
      <c r="J211" s="15">
        <f t="shared" si="26"/>
        <v>256.32</v>
      </c>
      <c r="K211" s="15">
        <f t="shared" si="25"/>
        <v>341.76</v>
      </c>
      <c r="L211" s="15">
        <f t="shared" si="25"/>
        <v>512.64</v>
      </c>
      <c r="M211" s="15">
        <f t="shared" si="25"/>
        <v>683.52</v>
      </c>
      <c r="N211" s="15">
        <f t="shared" si="25"/>
        <v>820.22400000000005</v>
      </c>
      <c r="O211" s="15">
        <f t="shared" si="25"/>
        <v>1025.28</v>
      </c>
      <c r="P211" s="15">
        <f t="shared" si="25"/>
        <v>1367.04</v>
      </c>
    </row>
    <row r="212" spans="1:16">
      <c r="A212" s="13">
        <v>43642</v>
      </c>
      <c r="B212" s="13">
        <f t="shared" si="27"/>
        <v>43647</v>
      </c>
      <c r="C212" s="88">
        <v>43674</v>
      </c>
      <c r="D212" s="13">
        <v>43642</v>
      </c>
      <c r="E212" s="86" t="str">
        <f t="shared" si="28"/>
        <v>W31</v>
      </c>
      <c r="F212" s="86" t="str">
        <f t="shared" si="29"/>
        <v>Jul</v>
      </c>
      <c r="G212">
        <v>209</v>
      </c>
      <c r="H212">
        <f t="shared" si="30"/>
        <v>31</v>
      </c>
      <c r="I212" s="87">
        <f t="shared" si="31"/>
        <v>6.903225806451613</v>
      </c>
      <c r="J212" s="15">
        <f t="shared" si="26"/>
        <v>267</v>
      </c>
      <c r="K212" s="15">
        <f t="shared" si="25"/>
        <v>356</v>
      </c>
      <c r="L212" s="15">
        <f t="shared" si="25"/>
        <v>534</v>
      </c>
      <c r="M212" s="15">
        <f t="shared" si="25"/>
        <v>712</v>
      </c>
      <c r="N212" s="15">
        <f t="shared" si="25"/>
        <v>854.4</v>
      </c>
      <c r="O212" s="15">
        <f t="shared" si="25"/>
        <v>1068</v>
      </c>
      <c r="P212" s="15">
        <f t="shared" si="25"/>
        <v>1424</v>
      </c>
    </row>
    <row r="213" spans="1:16">
      <c r="A213" s="13">
        <v>43643</v>
      </c>
      <c r="B213" s="13">
        <f t="shared" si="27"/>
        <v>43647</v>
      </c>
      <c r="C213" s="88">
        <v>43675</v>
      </c>
      <c r="D213" s="13">
        <v>43643</v>
      </c>
      <c r="E213" s="86" t="str">
        <f t="shared" si="28"/>
        <v>W31</v>
      </c>
      <c r="F213" s="86" t="str">
        <f t="shared" si="29"/>
        <v>Jul</v>
      </c>
      <c r="G213">
        <v>210</v>
      </c>
      <c r="H213">
        <f t="shared" si="30"/>
        <v>31</v>
      </c>
      <c r="I213" s="87">
        <f t="shared" si="31"/>
        <v>6.935483870967742</v>
      </c>
      <c r="J213" s="15">
        <f t="shared" si="26"/>
        <v>267</v>
      </c>
      <c r="K213" s="15">
        <f t="shared" si="25"/>
        <v>356</v>
      </c>
      <c r="L213" s="15">
        <f t="shared" si="25"/>
        <v>534</v>
      </c>
      <c r="M213" s="15">
        <f t="shared" si="25"/>
        <v>712</v>
      </c>
      <c r="N213" s="15">
        <f t="shared" si="25"/>
        <v>854.4</v>
      </c>
      <c r="O213" s="15">
        <f t="shared" si="25"/>
        <v>1068</v>
      </c>
      <c r="P213" s="15">
        <f t="shared" si="25"/>
        <v>1424</v>
      </c>
    </row>
    <row r="214" spans="1:16">
      <c r="A214" s="13">
        <v>43644</v>
      </c>
      <c r="B214" s="13">
        <f t="shared" si="27"/>
        <v>43647</v>
      </c>
      <c r="C214" s="88">
        <v>43676</v>
      </c>
      <c r="D214" s="13">
        <v>43644</v>
      </c>
      <c r="E214" s="86" t="str">
        <f t="shared" si="28"/>
        <v>W31</v>
      </c>
      <c r="F214" s="86" t="str">
        <f t="shared" si="29"/>
        <v>Jul</v>
      </c>
      <c r="G214">
        <v>211</v>
      </c>
      <c r="H214">
        <f t="shared" si="30"/>
        <v>31</v>
      </c>
      <c r="I214" s="87">
        <f t="shared" si="31"/>
        <v>6.967741935483871</v>
      </c>
      <c r="J214" s="15">
        <f t="shared" si="26"/>
        <v>267</v>
      </c>
      <c r="K214" s="15">
        <f t="shared" si="25"/>
        <v>356</v>
      </c>
      <c r="L214" s="15">
        <f t="shared" si="25"/>
        <v>534</v>
      </c>
      <c r="M214" s="15">
        <f t="shared" si="25"/>
        <v>712</v>
      </c>
      <c r="N214" s="15">
        <f t="shared" si="25"/>
        <v>854.4</v>
      </c>
      <c r="O214" s="15">
        <f t="shared" si="25"/>
        <v>1068</v>
      </c>
      <c r="P214" s="15">
        <f t="shared" si="25"/>
        <v>1424</v>
      </c>
    </row>
    <row r="215" spans="1:16">
      <c r="A215" s="13">
        <v>43645</v>
      </c>
      <c r="B215" s="13">
        <f t="shared" si="27"/>
        <v>43647</v>
      </c>
      <c r="C215" s="88">
        <v>43677</v>
      </c>
      <c r="D215" s="13">
        <v>43645</v>
      </c>
      <c r="E215" s="86" t="str">
        <f t="shared" si="28"/>
        <v>W31</v>
      </c>
      <c r="F215" s="86" t="str">
        <f t="shared" si="29"/>
        <v>Jul</v>
      </c>
      <c r="G215">
        <v>212</v>
      </c>
      <c r="H215">
        <f t="shared" si="30"/>
        <v>31</v>
      </c>
      <c r="I215" s="87">
        <f t="shared" si="31"/>
        <v>7</v>
      </c>
      <c r="J215" s="15">
        <f t="shared" si="26"/>
        <v>267</v>
      </c>
      <c r="K215" s="15">
        <f t="shared" si="25"/>
        <v>356</v>
      </c>
      <c r="L215" s="15">
        <f t="shared" si="25"/>
        <v>534</v>
      </c>
      <c r="M215" s="15">
        <f t="shared" si="25"/>
        <v>712</v>
      </c>
      <c r="N215" s="15">
        <f t="shared" si="25"/>
        <v>854.4</v>
      </c>
      <c r="O215" s="15">
        <f t="shared" si="25"/>
        <v>1068</v>
      </c>
      <c r="P215" s="15">
        <f t="shared" si="25"/>
        <v>1424</v>
      </c>
    </row>
    <row r="216" spans="1:16">
      <c r="A216" s="13">
        <v>43647</v>
      </c>
      <c r="B216" s="13">
        <f t="shared" si="27"/>
        <v>43678</v>
      </c>
      <c r="C216" s="88">
        <v>43678</v>
      </c>
      <c r="D216" s="13">
        <v>43647</v>
      </c>
      <c r="E216" s="86" t="str">
        <f t="shared" si="28"/>
        <v>W31</v>
      </c>
      <c r="F216" s="86" t="str">
        <f t="shared" si="29"/>
        <v>Aug</v>
      </c>
      <c r="G216">
        <v>213</v>
      </c>
      <c r="H216">
        <f t="shared" si="30"/>
        <v>31</v>
      </c>
      <c r="I216" s="87">
        <f t="shared" si="31"/>
        <v>7.032258064516129</v>
      </c>
      <c r="J216" s="15">
        <f t="shared" si="26"/>
        <v>267</v>
      </c>
      <c r="K216" s="15">
        <f t="shared" si="25"/>
        <v>356</v>
      </c>
      <c r="L216" s="15">
        <f t="shared" si="25"/>
        <v>534</v>
      </c>
      <c r="M216" s="15">
        <f t="shared" si="25"/>
        <v>712</v>
      </c>
      <c r="N216" s="15">
        <f t="shared" si="25"/>
        <v>854.4</v>
      </c>
      <c r="O216" s="15">
        <f t="shared" si="25"/>
        <v>1068</v>
      </c>
      <c r="P216" s="15">
        <f t="shared" si="25"/>
        <v>1424</v>
      </c>
    </row>
    <row r="217" spans="1:16">
      <c r="A217" s="13">
        <v>43648</v>
      </c>
      <c r="B217" s="13">
        <f t="shared" si="27"/>
        <v>43678</v>
      </c>
      <c r="C217" s="88">
        <v>43679</v>
      </c>
      <c r="D217" s="13">
        <v>43648</v>
      </c>
      <c r="E217" s="86" t="str">
        <f t="shared" si="28"/>
        <v>W31</v>
      </c>
      <c r="F217" s="86" t="str">
        <f t="shared" si="29"/>
        <v>Aug</v>
      </c>
      <c r="G217">
        <v>214</v>
      </c>
      <c r="H217">
        <f t="shared" si="30"/>
        <v>31</v>
      </c>
      <c r="I217" s="87">
        <f t="shared" si="31"/>
        <v>7.064516129032258</v>
      </c>
      <c r="J217" s="15">
        <f t="shared" si="26"/>
        <v>267</v>
      </c>
      <c r="K217" s="15">
        <f t="shared" si="25"/>
        <v>356</v>
      </c>
      <c r="L217" s="15">
        <f t="shared" si="25"/>
        <v>534</v>
      </c>
      <c r="M217" s="15">
        <f t="shared" si="25"/>
        <v>712</v>
      </c>
      <c r="N217" s="15">
        <f t="shared" si="25"/>
        <v>854.4</v>
      </c>
      <c r="O217" s="15">
        <f t="shared" si="25"/>
        <v>1068</v>
      </c>
      <c r="P217" s="15">
        <f t="shared" si="25"/>
        <v>1424</v>
      </c>
    </row>
    <row r="218" spans="1:16">
      <c r="A218" s="13">
        <v>43649</v>
      </c>
      <c r="B218" s="13">
        <f t="shared" si="27"/>
        <v>43678</v>
      </c>
      <c r="C218" s="88">
        <v>43680</v>
      </c>
      <c r="D218" s="13">
        <v>43649</v>
      </c>
      <c r="E218" s="86" t="str">
        <f t="shared" si="28"/>
        <v>W31</v>
      </c>
      <c r="F218" s="86" t="str">
        <f t="shared" si="29"/>
        <v>Aug</v>
      </c>
      <c r="G218">
        <v>215</v>
      </c>
      <c r="H218">
        <f t="shared" si="30"/>
        <v>31</v>
      </c>
      <c r="I218" s="87">
        <f t="shared" si="31"/>
        <v>7.096774193548387</v>
      </c>
      <c r="J218" s="15">
        <f t="shared" si="26"/>
        <v>267</v>
      </c>
      <c r="K218" s="15">
        <f t="shared" si="25"/>
        <v>356</v>
      </c>
      <c r="L218" s="15">
        <f t="shared" si="25"/>
        <v>534</v>
      </c>
      <c r="M218" s="15">
        <f t="shared" si="25"/>
        <v>712</v>
      </c>
      <c r="N218" s="15">
        <f t="shared" si="25"/>
        <v>854.4</v>
      </c>
      <c r="O218" s="15">
        <f t="shared" si="25"/>
        <v>1068</v>
      </c>
      <c r="P218" s="15">
        <f t="shared" si="25"/>
        <v>1424</v>
      </c>
    </row>
    <row r="219" spans="1:16">
      <c r="A219" s="13">
        <v>43650</v>
      </c>
      <c r="B219" s="13">
        <f t="shared" si="27"/>
        <v>43678</v>
      </c>
      <c r="C219" s="88">
        <v>43681</v>
      </c>
      <c r="D219" s="13">
        <v>43650</v>
      </c>
      <c r="E219" s="86" t="str">
        <f t="shared" si="28"/>
        <v>W32</v>
      </c>
      <c r="F219" s="86" t="str">
        <f t="shared" si="29"/>
        <v>Aug</v>
      </c>
      <c r="G219">
        <v>216</v>
      </c>
      <c r="H219">
        <f t="shared" si="30"/>
        <v>32</v>
      </c>
      <c r="I219" s="87">
        <f t="shared" si="31"/>
        <v>7.129032258064516</v>
      </c>
      <c r="J219" s="15">
        <f t="shared" si="26"/>
        <v>277.68</v>
      </c>
      <c r="K219" s="15">
        <f t="shared" si="25"/>
        <v>370.24</v>
      </c>
      <c r="L219" s="15">
        <f t="shared" si="25"/>
        <v>555.36</v>
      </c>
      <c r="M219" s="15">
        <f t="shared" si="25"/>
        <v>740.48</v>
      </c>
      <c r="N219" s="15">
        <f t="shared" si="25"/>
        <v>888.57600000000002</v>
      </c>
      <c r="O219" s="15">
        <f t="shared" si="25"/>
        <v>1110.72</v>
      </c>
      <c r="P219" s="15">
        <f t="shared" si="25"/>
        <v>1480.96</v>
      </c>
    </row>
    <row r="220" spans="1:16">
      <c r="A220" s="13">
        <v>43651</v>
      </c>
      <c r="B220" s="13">
        <f t="shared" si="27"/>
        <v>43678</v>
      </c>
      <c r="C220" s="88">
        <v>43682</v>
      </c>
      <c r="D220" s="13">
        <v>43651</v>
      </c>
      <c r="E220" s="86" t="str">
        <f t="shared" si="28"/>
        <v>W32</v>
      </c>
      <c r="F220" s="86" t="str">
        <f t="shared" si="29"/>
        <v>Aug</v>
      </c>
      <c r="G220">
        <v>217</v>
      </c>
      <c r="H220">
        <f t="shared" si="30"/>
        <v>32</v>
      </c>
      <c r="I220" s="87">
        <f t="shared" si="31"/>
        <v>7.161290322580645</v>
      </c>
      <c r="J220" s="15">
        <f t="shared" si="26"/>
        <v>277.68</v>
      </c>
      <c r="K220" s="15">
        <f t="shared" si="25"/>
        <v>370.24</v>
      </c>
      <c r="L220" s="15">
        <f t="shared" si="25"/>
        <v>555.36</v>
      </c>
      <c r="M220" s="15">
        <f t="shared" si="25"/>
        <v>740.48</v>
      </c>
      <c r="N220" s="15">
        <f t="shared" si="25"/>
        <v>888.57600000000002</v>
      </c>
      <c r="O220" s="15">
        <f t="shared" si="25"/>
        <v>1110.72</v>
      </c>
      <c r="P220" s="15">
        <f t="shared" si="25"/>
        <v>1480.96</v>
      </c>
    </row>
    <row r="221" spans="1:16">
      <c r="A221" s="13">
        <v>43652</v>
      </c>
      <c r="B221" s="13">
        <f t="shared" si="27"/>
        <v>43678</v>
      </c>
      <c r="C221" s="88">
        <v>43683</v>
      </c>
      <c r="D221" s="13">
        <v>43652</v>
      </c>
      <c r="E221" s="86" t="str">
        <f t="shared" si="28"/>
        <v>W32</v>
      </c>
      <c r="F221" s="86" t="str">
        <f t="shared" si="29"/>
        <v>Aug</v>
      </c>
      <c r="G221">
        <v>218</v>
      </c>
      <c r="H221">
        <f t="shared" si="30"/>
        <v>32</v>
      </c>
      <c r="I221" s="87">
        <f t="shared" si="31"/>
        <v>7.193548387096774</v>
      </c>
      <c r="J221" s="15">
        <f t="shared" si="26"/>
        <v>277.68</v>
      </c>
      <c r="K221" s="15">
        <f t="shared" si="25"/>
        <v>370.24</v>
      </c>
      <c r="L221" s="15">
        <f t="shared" si="25"/>
        <v>555.36</v>
      </c>
      <c r="M221" s="15">
        <f t="shared" si="25"/>
        <v>740.48</v>
      </c>
      <c r="N221" s="15">
        <f t="shared" si="25"/>
        <v>888.57600000000002</v>
      </c>
      <c r="O221" s="15">
        <f t="shared" si="25"/>
        <v>1110.72</v>
      </c>
      <c r="P221" s="15">
        <f t="shared" si="25"/>
        <v>1480.96</v>
      </c>
    </row>
    <row r="222" spans="1:16">
      <c r="A222" s="13">
        <v>43653</v>
      </c>
      <c r="B222" s="13">
        <f t="shared" si="27"/>
        <v>43678</v>
      </c>
      <c r="C222" s="88">
        <v>43684</v>
      </c>
      <c r="D222" s="13">
        <v>43653</v>
      </c>
      <c r="E222" s="86" t="str">
        <f t="shared" si="28"/>
        <v>W32</v>
      </c>
      <c r="F222" s="86" t="str">
        <f t="shared" si="29"/>
        <v>Aug</v>
      </c>
      <c r="G222">
        <v>219</v>
      </c>
      <c r="H222">
        <f t="shared" si="30"/>
        <v>32</v>
      </c>
      <c r="I222" s="87">
        <f t="shared" si="31"/>
        <v>7.225806451612903</v>
      </c>
      <c r="J222" s="15">
        <f t="shared" si="26"/>
        <v>277.68</v>
      </c>
      <c r="K222" s="15">
        <f t="shared" si="25"/>
        <v>370.24</v>
      </c>
      <c r="L222" s="15">
        <f t="shared" si="25"/>
        <v>555.36</v>
      </c>
      <c r="M222" s="15">
        <f t="shared" si="25"/>
        <v>740.48</v>
      </c>
      <c r="N222" s="15">
        <f t="shared" si="25"/>
        <v>888.57600000000002</v>
      </c>
      <c r="O222" s="15">
        <f t="shared" si="25"/>
        <v>1110.72</v>
      </c>
      <c r="P222" s="15">
        <f t="shared" si="25"/>
        <v>1480.96</v>
      </c>
    </row>
    <row r="223" spans="1:16">
      <c r="A223" s="13">
        <v>43654</v>
      </c>
      <c r="B223" s="13">
        <f t="shared" si="27"/>
        <v>43678</v>
      </c>
      <c r="C223" s="88">
        <v>43685</v>
      </c>
      <c r="D223" s="13">
        <v>43654</v>
      </c>
      <c r="E223" s="86" t="str">
        <f t="shared" si="28"/>
        <v>W32</v>
      </c>
      <c r="F223" s="86" t="str">
        <f t="shared" si="29"/>
        <v>Aug</v>
      </c>
      <c r="G223">
        <v>220</v>
      </c>
      <c r="H223">
        <f t="shared" si="30"/>
        <v>32</v>
      </c>
      <c r="I223" s="87">
        <f t="shared" si="31"/>
        <v>7.258064516129032</v>
      </c>
      <c r="J223" s="15">
        <f t="shared" si="26"/>
        <v>277.68</v>
      </c>
      <c r="K223" s="15">
        <f t="shared" si="25"/>
        <v>370.24</v>
      </c>
      <c r="L223" s="15">
        <f t="shared" si="25"/>
        <v>555.36</v>
      </c>
      <c r="M223" s="15">
        <f t="shared" si="25"/>
        <v>740.48</v>
      </c>
      <c r="N223" s="15">
        <f t="shared" si="25"/>
        <v>888.57600000000002</v>
      </c>
      <c r="O223" s="15">
        <f t="shared" si="25"/>
        <v>1110.72</v>
      </c>
      <c r="P223" s="15">
        <f t="shared" si="25"/>
        <v>1480.96</v>
      </c>
    </row>
    <row r="224" spans="1:16">
      <c r="A224" s="13">
        <v>43655</v>
      </c>
      <c r="B224" s="13">
        <f t="shared" si="27"/>
        <v>43678</v>
      </c>
      <c r="C224" s="88">
        <v>43686</v>
      </c>
      <c r="D224" s="13">
        <v>43655</v>
      </c>
      <c r="E224" s="86" t="str">
        <f t="shared" si="28"/>
        <v>W32</v>
      </c>
      <c r="F224" s="86" t="str">
        <f t="shared" si="29"/>
        <v>Aug</v>
      </c>
      <c r="G224">
        <v>221</v>
      </c>
      <c r="H224">
        <f t="shared" si="30"/>
        <v>32</v>
      </c>
      <c r="I224" s="87">
        <f t="shared" si="31"/>
        <v>7.290322580645161</v>
      </c>
      <c r="J224" s="15">
        <f t="shared" si="26"/>
        <v>277.68</v>
      </c>
      <c r="K224" s="15">
        <f t="shared" si="25"/>
        <v>370.24</v>
      </c>
      <c r="L224" s="15">
        <f t="shared" ref="K224:P266" si="32">IF($H224&lt;=9,0,(($H224-6)*0.16*26700)/L$3)</f>
        <v>555.36</v>
      </c>
      <c r="M224" s="15">
        <f t="shared" si="32"/>
        <v>740.48</v>
      </c>
      <c r="N224" s="15">
        <f t="shared" si="32"/>
        <v>888.57600000000002</v>
      </c>
      <c r="O224" s="15">
        <f t="shared" si="32"/>
        <v>1110.72</v>
      </c>
      <c r="P224" s="15">
        <f t="shared" si="32"/>
        <v>1480.96</v>
      </c>
    </row>
    <row r="225" spans="1:16">
      <c r="A225" s="13">
        <v>43656</v>
      </c>
      <c r="B225" s="13">
        <f t="shared" si="27"/>
        <v>43678</v>
      </c>
      <c r="C225" s="88">
        <v>43687</v>
      </c>
      <c r="D225" s="13">
        <v>43656</v>
      </c>
      <c r="E225" s="86" t="str">
        <f t="shared" si="28"/>
        <v>W32</v>
      </c>
      <c r="F225" s="86" t="str">
        <f t="shared" si="29"/>
        <v>Aug</v>
      </c>
      <c r="G225">
        <v>222</v>
      </c>
      <c r="H225">
        <f t="shared" si="30"/>
        <v>32</v>
      </c>
      <c r="I225" s="87">
        <f t="shared" si="31"/>
        <v>7.32258064516129</v>
      </c>
      <c r="J225" s="15">
        <f t="shared" si="26"/>
        <v>277.68</v>
      </c>
      <c r="K225" s="15">
        <f t="shared" si="32"/>
        <v>370.24</v>
      </c>
      <c r="L225" s="15">
        <f t="shared" si="32"/>
        <v>555.36</v>
      </c>
      <c r="M225" s="15">
        <f t="shared" si="32"/>
        <v>740.48</v>
      </c>
      <c r="N225" s="15">
        <f t="shared" si="32"/>
        <v>888.57600000000002</v>
      </c>
      <c r="O225" s="15">
        <f t="shared" si="32"/>
        <v>1110.72</v>
      </c>
      <c r="P225" s="15">
        <f t="shared" si="32"/>
        <v>1480.96</v>
      </c>
    </row>
    <row r="226" spans="1:16">
      <c r="A226" s="13">
        <v>43657</v>
      </c>
      <c r="B226" s="13">
        <f t="shared" si="27"/>
        <v>43678</v>
      </c>
      <c r="C226" s="88">
        <v>43688</v>
      </c>
      <c r="D226" s="13">
        <v>43657</v>
      </c>
      <c r="E226" s="86" t="str">
        <f t="shared" si="28"/>
        <v>W33</v>
      </c>
      <c r="F226" s="86" t="str">
        <f t="shared" si="29"/>
        <v>Aug</v>
      </c>
      <c r="G226">
        <v>223</v>
      </c>
      <c r="H226">
        <f t="shared" si="30"/>
        <v>33</v>
      </c>
      <c r="I226" s="87">
        <f t="shared" si="31"/>
        <v>7.354838709677419</v>
      </c>
      <c r="J226" s="15">
        <f t="shared" si="26"/>
        <v>288.36</v>
      </c>
      <c r="K226" s="15">
        <f t="shared" si="32"/>
        <v>384.48000000000008</v>
      </c>
      <c r="L226" s="15">
        <f t="shared" si="32"/>
        <v>576.72</v>
      </c>
      <c r="M226" s="15">
        <f t="shared" si="32"/>
        <v>768.96000000000015</v>
      </c>
      <c r="N226" s="15">
        <f t="shared" si="32"/>
        <v>922.75200000000007</v>
      </c>
      <c r="O226" s="15">
        <f t="shared" si="32"/>
        <v>1153.44</v>
      </c>
      <c r="P226" s="15">
        <f t="shared" si="32"/>
        <v>1537.9200000000003</v>
      </c>
    </row>
    <row r="227" spans="1:16">
      <c r="A227" s="13">
        <v>43658</v>
      </c>
      <c r="B227" s="13">
        <f t="shared" si="27"/>
        <v>43678</v>
      </c>
      <c r="C227" s="88">
        <v>43689</v>
      </c>
      <c r="D227" s="13">
        <v>43658</v>
      </c>
      <c r="E227" s="86" t="str">
        <f t="shared" si="28"/>
        <v>W33</v>
      </c>
      <c r="F227" s="86" t="str">
        <f t="shared" si="29"/>
        <v>Aug</v>
      </c>
      <c r="G227">
        <v>224</v>
      </c>
      <c r="H227">
        <f t="shared" si="30"/>
        <v>33</v>
      </c>
      <c r="I227" s="87">
        <f t="shared" si="31"/>
        <v>7.387096774193548</v>
      </c>
      <c r="J227" s="15">
        <f t="shared" si="26"/>
        <v>288.36</v>
      </c>
      <c r="K227" s="15">
        <f t="shared" si="32"/>
        <v>384.48000000000008</v>
      </c>
      <c r="L227" s="15">
        <f t="shared" si="32"/>
        <v>576.72</v>
      </c>
      <c r="M227" s="15">
        <f t="shared" si="32"/>
        <v>768.96000000000015</v>
      </c>
      <c r="N227" s="15">
        <f t="shared" si="32"/>
        <v>922.75200000000007</v>
      </c>
      <c r="O227" s="15">
        <f t="shared" si="32"/>
        <v>1153.44</v>
      </c>
      <c r="P227" s="15">
        <f t="shared" si="32"/>
        <v>1537.9200000000003</v>
      </c>
    </row>
    <row r="228" spans="1:16">
      <c r="A228" s="13">
        <v>43659</v>
      </c>
      <c r="B228" s="13">
        <f t="shared" si="27"/>
        <v>43678</v>
      </c>
      <c r="C228" s="88">
        <v>43690</v>
      </c>
      <c r="D228" s="13">
        <v>43659</v>
      </c>
      <c r="E228" s="86" t="str">
        <f t="shared" si="28"/>
        <v>W33</v>
      </c>
      <c r="F228" s="86" t="str">
        <f t="shared" si="29"/>
        <v>Aug</v>
      </c>
      <c r="G228">
        <v>225</v>
      </c>
      <c r="H228">
        <f t="shared" si="30"/>
        <v>33</v>
      </c>
      <c r="I228" s="87">
        <f t="shared" si="31"/>
        <v>7.419354838709677</v>
      </c>
      <c r="J228" s="15">
        <f t="shared" si="26"/>
        <v>288.36</v>
      </c>
      <c r="K228" s="15">
        <f t="shared" si="32"/>
        <v>384.48000000000008</v>
      </c>
      <c r="L228" s="15">
        <f t="shared" si="32"/>
        <v>576.72</v>
      </c>
      <c r="M228" s="15">
        <f t="shared" si="32"/>
        <v>768.96000000000015</v>
      </c>
      <c r="N228" s="15">
        <f t="shared" si="32"/>
        <v>922.75200000000007</v>
      </c>
      <c r="O228" s="15">
        <f t="shared" si="32"/>
        <v>1153.44</v>
      </c>
      <c r="P228" s="15">
        <f t="shared" si="32"/>
        <v>1537.9200000000003</v>
      </c>
    </row>
    <row r="229" spans="1:16">
      <c r="A229" s="13">
        <v>43660</v>
      </c>
      <c r="B229" s="13">
        <f t="shared" si="27"/>
        <v>43678</v>
      </c>
      <c r="C229" s="88">
        <v>43691</v>
      </c>
      <c r="D229" s="13">
        <v>43660</v>
      </c>
      <c r="E229" s="86" t="str">
        <f t="shared" si="28"/>
        <v>W33</v>
      </c>
      <c r="F229" s="86" t="str">
        <f t="shared" si="29"/>
        <v>Aug</v>
      </c>
      <c r="G229">
        <v>226</v>
      </c>
      <c r="H229">
        <f t="shared" si="30"/>
        <v>33</v>
      </c>
      <c r="I229" s="87">
        <f t="shared" si="31"/>
        <v>7.4516129032258061</v>
      </c>
      <c r="J229" s="15">
        <f t="shared" si="26"/>
        <v>288.36</v>
      </c>
      <c r="K229" s="15">
        <f t="shared" si="32"/>
        <v>384.48000000000008</v>
      </c>
      <c r="L229" s="15">
        <f t="shared" si="32"/>
        <v>576.72</v>
      </c>
      <c r="M229" s="15">
        <f t="shared" si="32"/>
        <v>768.96000000000015</v>
      </c>
      <c r="N229" s="15">
        <f t="shared" si="32"/>
        <v>922.75200000000007</v>
      </c>
      <c r="O229" s="15">
        <f t="shared" si="32"/>
        <v>1153.44</v>
      </c>
      <c r="P229" s="15">
        <f t="shared" si="32"/>
        <v>1537.9200000000003</v>
      </c>
    </row>
    <row r="230" spans="1:16">
      <c r="A230" s="13">
        <v>43661</v>
      </c>
      <c r="B230" s="13">
        <f t="shared" si="27"/>
        <v>43678</v>
      </c>
      <c r="C230" s="88">
        <v>43692</v>
      </c>
      <c r="D230" s="13">
        <v>43661</v>
      </c>
      <c r="E230" s="86" t="str">
        <f t="shared" si="28"/>
        <v>W33</v>
      </c>
      <c r="F230" s="86" t="str">
        <f t="shared" si="29"/>
        <v>Aug</v>
      </c>
      <c r="G230">
        <v>227</v>
      </c>
      <c r="H230">
        <f t="shared" si="30"/>
        <v>33</v>
      </c>
      <c r="I230" s="87">
        <f t="shared" si="31"/>
        <v>7.4838709677419359</v>
      </c>
      <c r="J230" s="15">
        <f t="shared" si="26"/>
        <v>288.36</v>
      </c>
      <c r="K230" s="15">
        <f t="shared" si="32"/>
        <v>384.48000000000008</v>
      </c>
      <c r="L230" s="15">
        <f t="shared" si="32"/>
        <v>576.72</v>
      </c>
      <c r="M230" s="15">
        <f t="shared" si="32"/>
        <v>768.96000000000015</v>
      </c>
      <c r="N230" s="15">
        <f t="shared" si="32"/>
        <v>922.75200000000007</v>
      </c>
      <c r="O230" s="15">
        <f t="shared" si="32"/>
        <v>1153.44</v>
      </c>
      <c r="P230" s="15">
        <f t="shared" si="32"/>
        <v>1537.9200000000003</v>
      </c>
    </row>
    <row r="231" spans="1:16">
      <c r="A231" s="13">
        <v>43662</v>
      </c>
      <c r="B231" s="13">
        <f t="shared" si="27"/>
        <v>43678</v>
      </c>
      <c r="C231" s="88">
        <v>43693</v>
      </c>
      <c r="D231" s="13">
        <v>43662</v>
      </c>
      <c r="E231" s="86" t="str">
        <f t="shared" si="28"/>
        <v>W33</v>
      </c>
      <c r="F231" s="86" t="str">
        <f t="shared" si="29"/>
        <v>Aug</v>
      </c>
      <c r="G231">
        <v>228</v>
      </c>
      <c r="H231">
        <f t="shared" si="30"/>
        <v>33</v>
      </c>
      <c r="I231" s="87">
        <f t="shared" si="31"/>
        <v>7.5161290322580641</v>
      </c>
      <c r="J231" s="15">
        <f t="shared" si="26"/>
        <v>288.36</v>
      </c>
      <c r="K231" s="15">
        <f t="shared" si="32"/>
        <v>384.48000000000008</v>
      </c>
      <c r="L231" s="15">
        <f t="shared" si="32"/>
        <v>576.72</v>
      </c>
      <c r="M231" s="15">
        <f t="shared" si="32"/>
        <v>768.96000000000015</v>
      </c>
      <c r="N231" s="15">
        <f t="shared" si="32"/>
        <v>922.75200000000007</v>
      </c>
      <c r="O231" s="15">
        <f t="shared" si="32"/>
        <v>1153.44</v>
      </c>
      <c r="P231" s="15">
        <f t="shared" si="32"/>
        <v>1537.9200000000003</v>
      </c>
    </row>
    <row r="232" spans="1:16">
      <c r="A232" s="13">
        <v>43663</v>
      </c>
      <c r="B232" s="13">
        <f t="shared" si="27"/>
        <v>43678</v>
      </c>
      <c r="C232" s="88">
        <v>43694</v>
      </c>
      <c r="D232" s="13">
        <v>43663</v>
      </c>
      <c r="E232" s="86" t="str">
        <f t="shared" si="28"/>
        <v>W33</v>
      </c>
      <c r="F232" s="86" t="str">
        <f t="shared" si="29"/>
        <v>Aug</v>
      </c>
      <c r="G232">
        <v>229</v>
      </c>
      <c r="H232">
        <f t="shared" si="30"/>
        <v>33</v>
      </c>
      <c r="I232" s="87">
        <f t="shared" si="31"/>
        <v>7.5483870967741939</v>
      </c>
      <c r="J232" s="15">
        <f t="shared" si="26"/>
        <v>288.36</v>
      </c>
      <c r="K232" s="15">
        <f t="shared" si="32"/>
        <v>384.48000000000008</v>
      </c>
      <c r="L232" s="15">
        <f t="shared" si="32"/>
        <v>576.72</v>
      </c>
      <c r="M232" s="15">
        <f t="shared" si="32"/>
        <v>768.96000000000015</v>
      </c>
      <c r="N232" s="15">
        <f t="shared" si="32"/>
        <v>922.75200000000007</v>
      </c>
      <c r="O232" s="15">
        <f t="shared" si="32"/>
        <v>1153.44</v>
      </c>
      <c r="P232" s="15">
        <f t="shared" si="32"/>
        <v>1537.9200000000003</v>
      </c>
    </row>
    <row r="233" spans="1:16">
      <c r="A233" s="13">
        <v>43664</v>
      </c>
      <c r="B233" s="13">
        <f t="shared" si="27"/>
        <v>43678</v>
      </c>
      <c r="C233" s="88">
        <v>43695</v>
      </c>
      <c r="D233" s="13">
        <v>43664</v>
      </c>
      <c r="E233" s="86" t="str">
        <f t="shared" si="28"/>
        <v>W34</v>
      </c>
      <c r="F233" s="86" t="str">
        <f t="shared" si="29"/>
        <v>Aug</v>
      </c>
      <c r="G233">
        <v>230</v>
      </c>
      <c r="H233">
        <f t="shared" si="30"/>
        <v>34</v>
      </c>
      <c r="I233" s="87">
        <f t="shared" si="31"/>
        <v>7.580645161290323</v>
      </c>
      <c r="J233" s="15">
        <f t="shared" si="26"/>
        <v>299.04000000000002</v>
      </c>
      <c r="K233" s="15">
        <f t="shared" si="32"/>
        <v>398.72</v>
      </c>
      <c r="L233" s="15">
        <f t="shared" si="32"/>
        <v>598.08000000000004</v>
      </c>
      <c r="M233" s="15">
        <f t="shared" si="32"/>
        <v>797.44</v>
      </c>
      <c r="N233" s="15">
        <f t="shared" si="32"/>
        <v>956.92800000000011</v>
      </c>
      <c r="O233" s="15">
        <f t="shared" si="32"/>
        <v>1196.1600000000001</v>
      </c>
      <c r="P233" s="15">
        <f t="shared" si="32"/>
        <v>1594.88</v>
      </c>
    </row>
    <row r="234" spans="1:16">
      <c r="A234" s="13">
        <v>43665</v>
      </c>
      <c r="B234" s="13">
        <f t="shared" si="27"/>
        <v>43678</v>
      </c>
      <c r="C234" s="88">
        <v>43696</v>
      </c>
      <c r="D234" s="13">
        <v>43665</v>
      </c>
      <c r="E234" s="86" t="str">
        <f t="shared" si="28"/>
        <v>W34</v>
      </c>
      <c r="F234" s="86" t="str">
        <f t="shared" si="29"/>
        <v>Aug</v>
      </c>
      <c r="G234">
        <v>231</v>
      </c>
      <c r="H234">
        <f t="shared" si="30"/>
        <v>34</v>
      </c>
      <c r="I234" s="87">
        <f t="shared" si="31"/>
        <v>7.612903225806452</v>
      </c>
      <c r="J234" s="15">
        <f t="shared" si="26"/>
        <v>299.04000000000002</v>
      </c>
      <c r="K234" s="15">
        <f t="shared" si="32"/>
        <v>398.72</v>
      </c>
      <c r="L234" s="15">
        <f t="shared" si="32"/>
        <v>598.08000000000004</v>
      </c>
      <c r="M234" s="15">
        <f t="shared" si="32"/>
        <v>797.44</v>
      </c>
      <c r="N234" s="15">
        <f t="shared" si="32"/>
        <v>956.92800000000011</v>
      </c>
      <c r="O234" s="15">
        <f t="shared" si="32"/>
        <v>1196.1600000000001</v>
      </c>
      <c r="P234" s="15">
        <f t="shared" si="32"/>
        <v>1594.88</v>
      </c>
    </row>
    <row r="235" spans="1:16">
      <c r="A235" s="13">
        <v>43666</v>
      </c>
      <c r="B235" s="13">
        <f t="shared" si="27"/>
        <v>43678</v>
      </c>
      <c r="C235" s="88">
        <v>43697</v>
      </c>
      <c r="D235" s="13">
        <v>43666</v>
      </c>
      <c r="E235" s="86" t="str">
        <f t="shared" si="28"/>
        <v>W34</v>
      </c>
      <c r="F235" s="86" t="str">
        <f t="shared" si="29"/>
        <v>Aug</v>
      </c>
      <c r="G235">
        <v>232</v>
      </c>
      <c r="H235">
        <f t="shared" si="30"/>
        <v>34</v>
      </c>
      <c r="I235" s="87">
        <f t="shared" si="31"/>
        <v>7.645161290322581</v>
      </c>
      <c r="J235" s="15">
        <f t="shared" si="26"/>
        <v>299.04000000000002</v>
      </c>
      <c r="K235" s="15">
        <f t="shared" si="32"/>
        <v>398.72</v>
      </c>
      <c r="L235" s="15">
        <f t="shared" si="32"/>
        <v>598.08000000000004</v>
      </c>
      <c r="M235" s="15">
        <f t="shared" si="32"/>
        <v>797.44</v>
      </c>
      <c r="N235" s="15">
        <f t="shared" si="32"/>
        <v>956.92800000000011</v>
      </c>
      <c r="O235" s="15">
        <f t="shared" si="32"/>
        <v>1196.1600000000001</v>
      </c>
      <c r="P235" s="15">
        <f t="shared" si="32"/>
        <v>1594.88</v>
      </c>
    </row>
    <row r="236" spans="1:16">
      <c r="A236" s="13">
        <v>43667</v>
      </c>
      <c r="B236" s="13">
        <f t="shared" si="27"/>
        <v>43678</v>
      </c>
      <c r="C236" s="88">
        <v>43698</v>
      </c>
      <c r="D236" s="13">
        <v>43667</v>
      </c>
      <c r="E236" s="86" t="str">
        <f t="shared" si="28"/>
        <v>W34</v>
      </c>
      <c r="F236" s="86" t="str">
        <f t="shared" si="29"/>
        <v>Aug</v>
      </c>
      <c r="G236">
        <v>233</v>
      </c>
      <c r="H236">
        <f t="shared" si="30"/>
        <v>34</v>
      </c>
      <c r="I236" s="87">
        <f t="shared" si="31"/>
        <v>7.67741935483871</v>
      </c>
      <c r="J236" s="15">
        <f t="shared" si="26"/>
        <v>299.04000000000002</v>
      </c>
      <c r="K236" s="15">
        <f t="shared" si="32"/>
        <v>398.72</v>
      </c>
      <c r="L236" s="15">
        <f t="shared" si="32"/>
        <v>598.08000000000004</v>
      </c>
      <c r="M236" s="15">
        <f t="shared" si="32"/>
        <v>797.44</v>
      </c>
      <c r="N236" s="15">
        <f t="shared" si="32"/>
        <v>956.92800000000011</v>
      </c>
      <c r="O236" s="15">
        <f t="shared" si="32"/>
        <v>1196.1600000000001</v>
      </c>
      <c r="P236" s="15">
        <f t="shared" si="32"/>
        <v>1594.88</v>
      </c>
    </row>
    <row r="237" spans="1:16">
      <c r="A237" s="13">
        <v>43668</v>
      </c>
      <c r="B237" s="13">
        <f t="shared" si="27"/>
        <v>43678</v>
      </c>
      <c r="C237" s="88">
        <v>43699</v>
      </c>
      <c r="D237" s="13">
        <v>43668</v>
      </c>
      <c r="E237" s="86" t="str">
        <f t="shared" si="28"/>
        <v>W34</v>
      </c>
      <c r="F237" s="86" t="str">
        <f t="shared" si="29"/>
        <v>Aug</v>
      </c>
      <c r="G237">
        <v>234</v>
      </c>
      <c r="H237">
        <f t="shared" si="30"/>
        <v>34</v>
      </c>
      <c r="I237" s="87">
        <f t="shared" si="31"/>
        <v>7.709677419354839</v>
      </c>
      <c r="J237" s="15">
        <f t="shared" si="26"/>
        <v>299.04000000000002</v>
      </c>
      <c r="K237" s="15">
        <f t="shared" si="32"/>
        <v>398.72</v>
      </c>
      <c r="L237" s="15">
        <f t="shared" si="32"/>
        <v>598.08000000000004</v>
      </c>
      <c r="M237" s="15">
        <f t="shared" si="32"/>
        <v>797.44</v>
      </c>
      <c r="N237" s="15">
        <f t="shared" si="32"/>
        <v>956.92800000000011</v>
      </c>
      <c r="O237" s="15">
        <f t="shared" si="32"/>
        <v>1196.1600000000001</v>
      </c>
      <c r="P237" s="15">
        <f t="shared" si="32"/>
        <v>1594.88</v>
      </c>
    </row>
    <row r="238" spans="1:16">
      <c r="A238" s="13">
        <v>43669</v>
      </c>
      <c r="B238" s="13">
        <f t="shared" si="27"/>
        <v>43678</v>
      </c>
      <c r="C238" s="88">
        <v>43700</v>
      </c>
      <c r="D238" s="13">
        <v>43669</v>
      </c>
      <c r="E238" s="86" t="str">
        <f t="shared" si="28"/>
        <v>W34</v>
      </c>
      <c r="F238" s="86" t="str">
        <f t="shared" si="29"/>
        <v>Aug</v>
      </c>
      <c r="G238">
        <v>235</v>
      </c>
      <c r="H238">
        <f t="shared" si="30"/>
        <v>34</v>
      </c>
      <c r="I238" s="87">
        <f t="shared" si="31"/>
        <v>7.741935483870968</v>
      </c>
      <c r="J238" s="15">
        <f t="shared" si="26"/>
        <v>299.04000000000002</v>
      </c>
      <c r="K238" s="15">
        <f t="shared" si="32"/>
        <v>398.72</v>
      </c>
      <c r="L238" s="15">
        <f t="shared" si="32"/>
        <v>598.08000000000004</v>
      </c>
      <c r="M238" s="15">
        <f t="shared" si="32"/>
        <v>797.44</v>
      </c>
      <c r="N238" s="15">
        <f t="shared" si="32"/>
        <v>956.92800000000011</v>
      </c>
      <c r="O238" s="15">
        <f t="shared" si="32"/>
        <v>1196.1600000000001</v>
      </c>
      <c r="P238" s="15">
        <f t="shared" si="32"/>
        <v>1594.88</v>
      </c>
    </row>
    <row r="239" spans="1:16">
      <c r="A239" s="13">
        <v>43670</v>
      </c>
      <c r="B239" s="13">
        <f t="shared" si="27"/>
        <v>43678</v>
      </c>
      <c r="C239" s="88">
        <v>43701</v>
      </c>
      <c r="D239" s="13">
        <v>43670</v>
      </c>
      <c r="E239" s="86" t="str">
        <f t="shared" si="28"/>
        <v>W34</v>
      </c>
      <c r="F239" s="86" t="str">
        <f t="shared" si="29"/>
        <v>Aug</v>
      </c>
      <c r="G239">
        <v>236</v>
      </c>
      <c r="H239">
        <f t="shared" si="30"/>
        <v>34</v>
      </c>
      <c r="I239" s="87">
        <f t="shared" si="31"/>
        <v>7.774193548387097</v>
      </c>
      <c r="J239" s="15">
        <f t="shared" si="26"/>
        <v>299.04000000000002</v>
      </c>
      <c r="K239" s="15">
        <f t="shared" si="32"/>
        <v>398.72</v>
      </c>
      <c r="L239" s="15">
        <f t="shared" si="32"/>
        <v>598.08000000000004</v>
      </c>
      <c r="M239" s="15">
        <f t="shared" si="32"/>
        <v>797.44</v>
      </c>
      <c r="N239" s="15">
        <f t="shared" si="32"/>
        <v>956.92800000000011</v>
      </c>
      <c r="O239" s="15">
        <f t="shared" si="32"/>
        <v>1196.1600000000001</v>
      </c>
      <c r="P239" s="15">
        <f t="shared" si="32"/>
        <v>1594.88</v>
      </c>
    </row>
    <row r="240" spans="1:16">
      <c r="A240" s="13">
        <v>43671</v>
      </c>
      <c r="B240" s="13">
        <f t="shared" si="27"/>
        <v>43678</v>
      </c>
      <c r="C240" s="88">
        <v>43702</v>
      </c>
      <c r="D240" s="13">
        <v>43671</v>
      </c>
      <c r="E240" s="86" t="str">
        <f t="shared" si="28"/>
        <v>W35</v>
      </c>
      <c r="F240" s="86" t="str">
        <f t="shared" si="29"/>
        <v>Aug</v>
      </c>
      <c r="G240">
        <v>237</v>
      </c>
      <c r="H240">
        <f t="shared" si="30"/>
        <v>35</v>
      </c>
      <c r="I240" s="87">
        <f t="shared" si="31"/>
        <v>7.806451612903226</v>
      </c>
      <c r="J240" s="15">
        <f t="shared" si="26"/>
        <v>309.71999999999997</v>
      </c>
      <c r="K240" s="15">
        <f t="shared" si="32"/>
        <v>412.96</v>
      </c>
      <c r="L240" s="15">
        <f t="shared" si="32"/>
        <v>619.43999999999994</v>
      </c>
      <c r="M240" s="15">
        <f t="shared" si="32"/>
        <v>825.92</v>
      </c>
      <c r="N240" s="15">
        <f t="shared" si="32"/>
        <v>991.10399999999993</v>
      </c>
      <c r="O240" s="15">
        <f t="shared" si="32"/>
        <v>1238.8799999999999</v>
      </c>
      <c r="P240" s="15">
        <f t="shared" si="32"/>
        <v>1651.84</v>
      </c>
    </row>
    <row r="241" spans="1:16">
      <c r="A241" s="13">
        <v>43672</v>
      </c>
      <c r="B241" s="13">
        <f t="shared" si="27"/>
        <v>43678</v>
      </c>
      <c r="C241" s="88">
        <v>43703</v>
      </c>
      <c r="D241" s="13">
        <v>43672</v>
      </c>
      <c r="E241" s="86" t="str">
        <f t="shared" si="28"/>
        <v>W35</v>
      </c>
      <c r="F241" s="86" t="str">
        <f t="shared" si="29"/>
        <v>Aug</v>
      </c>
      <c r="G241">
        <v>238</v>
      </c>
      <c r="H241">
        <f t="shared" si="30"/>
        <v>35</v>
      </c>
      <c r="I241" s="87">
        <f t="shared" si="31"/>
        <v>7.838709677419355</v>
      </c>
      <c r="J241" s="15">
        <f t="shared" si="26"/>
        <v>309.71999999999997</v>
      </c>
      <c r="K241" s="15">
        <f t="shared" si="32"/>
        <v>412.96</v>
      </c>
      <c r="L241" s="15">
        <f t="shared" si="32"/>
        <v>619.43999999999994</v>
      </c>
      <c r="M241" s="15">
        <f t="shared" si="32"/>
        <v>825.92</v>
      </c>
      <c r="N241" s="15">
        <f t="shared" si="32"/>
        <v>991.10399999999993</v>
      </c>
      <c r="O241" s="15">
        <f t="shared" si="32"/>
        <v>1238.8799999999999</v>
      </c>
      <c r="P241" s="15">
        <f t="shared" si="32"/>
        <v>1651.84</v>
      </c>
    </row>
    <row r="242" spans="1:16">
      <c r="A242" s="13">
        <v>43673</v>
      </c>
      <c r="B242" s="13">
        <f t="shared" si="27"/>
        <v>43678</v>
      </c>
      <c r="C242" s="88">
        <v>43704</v>
      </c>
      <c r="D242" s="13">
        <v>43673</v>
      </c>
      <c r="E242" s="86" t="str">
        <f t="shared" si="28"/>
        <v>W35</v>
      </c>
      <c r="F242" s="86" t="str">
        <f t="shared" si="29"/>
        <v>Aug</v>
      </c>
      <c r="G242">
        <v>239</v>
      </c>
      <c r="H242">
        <f t="shared" si="30"/>
        <v>35</v>
      </c>
      <c r="I242" s="87">
        <f t="shared" si="31"/>
        <v>7.870967741935484</v>
      </c>
      <c r="J242" s="15">
        <f t="shared" si="26"/>
        <v>309.71999999999997</v>
      </c>
      <c r="K242" s="15">
        <f t="shared" si="32"/>
        <v>412.96</v>
      </c>
      <c r="L242" s="15">
        <f t="shared" si="32"/>
        <v>619.43999999999994</v>
      </c>
      <c r="M242" s="15">
        <f t="shared" si="32"/>
        <v>825.92</v>
      </c>
      <c r="N242" s="15">
        <f t="shared" si="32"/>
        <v>991.10399999999993</v>
      </c>
      <c r="O242" s="15">
        <f t="shared" si="32"/>
        <v>1238.8799999999999</v>
      </c>
      <c r="P242" s="15">
        <f t="shared" si="32"/>
        <v>1651.84</v>
      </c>
    </row>
    <row r="243" spans="1:16">
      <c r="A243" s="13">
        <v>43674</v>
      </c>
      <c r="B243" s="13">
        <f t="shared" si="27"/>
        <v>43678</v>
      </c>
      <c r="C243" s="88">
        <v>43705</v>
      </c>
      <c r="D243" s="13">
        <v>43674</v>
      </c>
      <c r="E243" s="86" t="str">
        <f t="shared" si="28"/>
        <v>W35</v>
      </c>
      <c r="F243" s="86" t="str">
        <f t="shared" si="29"/>
        <v>Aug</v>
      </c>
      <c r="G243">
        <v>240</v>
      </c>
      <c r="H243">
        <f t="shared" si="30"/>
        <v>35</v>
      </c>
      <c r="I243" s="87">
        <f t="shared" si="31"/>
        <v>7.903225806451613</v>
      </c>
      <c r="J243" s="15">
        <f t="shared" si="26"/>
        <v>309.71999999999997</v>
      </c>
      <c r="K243" s="15">
        <f t="shared" si="32"/>
        <v>412.96</v>
      </c>
      <c r="L243" s="15">
        <f t="shared" si="32"/>
        <v>619.43999999999994</v>
      </c>
      <c r="M243" s="15">
        <f t="shared" si="32"/>
        <v>825.92</v>
      </c>
      <c r="N243" s="15">
        <f t="shared" si="32"/>
        <v>991.10399999999993</v>
      </c>
      <c r="O243" s="15">
        <f t="shared" si="32"/>
        <v>1238.8799999999999</v>
      </c>
      <c r="P243" s="15">
        <f t="shared" si="32"/>
        <v>1651.84</v>
      </c>
    </row>
    <row r="244" spans="1:16">
      <c r="A244" s="13">
        <v>43675</v>
      </c>
      <c r="B244" s="13">
        <f t="shared" si="27"/>
        <v>43678</v>
      </c>
      <c r="C244" s="88">
        <v>43706</v>
      </c>
      <c r="D244" s="13">
        <v>43675</v>
      </c>
      <c r="E244" s="86" t="str">
        <f t="shared" si="28"/>
        <v>W35</v>
      </c>
      <c r="F244" s="86" t="str">
        <f t="shared" si="29"/>
        <v>Aug</v>
      </c>
      <c r="G244">
        <v>241</v>
      </c>
      <c r="H244">
        <f t="shared" si="30"/>
        <v>35</v>
      </c>
      <c r="I244" s="87">
        <f t="shared" si="31"/>
        <v>7.935483870967742</v>
      </c>
      <c r="J244" s="15">
        <f t="shared" si="26"/>
        <v>309.71999999999997</v>
      </c>
      <c r="K244" s="15">
        <f t="shared" si="32"/>
        <v>412.96</v>
      </c>
      <c r="L244" s="15">
        <f t="shared" si="32"/>
        <v>619.43999999999994</v>
      </c>
      <c r="M244" s="15">
        <f t="shared" si="32"/>
        <v>825.92</v>
      </c>
      <c r="N244" s="15">
        <f t="shared" si="32"/>
        <v>991.10399999999993</v>
      </c>
      <c r="O244" s="15">
        <f t="shared" si="32"/>
        <v>1238.8799999999999</v>
      </c>
      <c r="P244" s="15">
        <f t="shared" si="32"/>
        <v>1651.84</v>
      </c>
    </row>
    <row r="245" spans="1:16">
      <c r="A245" s="13">
        <v>43678</v>
      </c>
      <c r="B245" s="13">
        <f t="shared" si="27"/>
        <v>43678</v>
      </c>
      <c r="C245" s="88">
        <v>43707</v>
      </c>
      <c r="D245" s="13">
        <v>43678</v>
      </c>
      <c r="E245" s="86" t="str">
        <f t="shared" si="28"/>
        <v>W35</v>
      </c>
      <c r="F245" s="86" t="str">
        <f t="shared" si="29"/>
        <v>Aug</v>
      </c>
      <c r="G245">
        <v>242</v>
      </c>
      <c r="H245">
        <f t="shared" si="30"/>
        <v>35</v>
      </c>
      <c r="I245" s="87">
        <f t="shared" si="31"/>
        <v>7.967741935483871</v>
      </c>
      <c r="J245" s="15">
        <f t="shared" si="26"/>
        <v>309.71999999999997</v>
      </c>
      <c r="K245" s="15">
        <f t="shared" si="32"/>
        <v>412.96</v>
      </c>
      <c r="L245" s="15">
        <f t="shared" si="32"/>
        <v>619.43999999999994</v>
      </c>
      <c r="M245" s="15">
        <f t="shared" si="32"/>
        <v>825.92</v>
      </c>
      <c r="N245" s="15">
        <f t="shared" si="32"/>
        <v>991.10399999999993</v>
      </c>
      <c r="O245" s="15">
        <f t="shared" si="32"/>
        <v>1238.8799999999999</v>
      </c>
      <c r="P245" s="15">
        <f t="shared" si="32"/>
        <v>1651.84</v>
      </c>
    </row>
    <row r="246" spans="1:16">
      <c r="A246" s="13">
        <v>43679</v>
      </c>
      <c r="B246" s="13">
        <f t="shared" si="27"/>
        <v>43678</v>
      </c>
      <c r="C246" s="88">
        <v>43708</v>
      </c>
      <c r="D246" s="13">
        <v>43679</v>
      </c>
      <c r="E246" s="86" t="str">
        <f t="shared" si="28"/>
        <v>W35</v>
      </c>
      <c r="F246" s="86" t="str">
        <f t="shared" si="29"/>
        <v>Aug</v>
      </c>
      <c r="G246">
        <v>243</v>
      </c>
      <c r="H246">
        <f t="shared" si="30"/>
        <v>35</v>
      </c>
      <c r="I246" s="87">
        <f t="shared" si="31"/>
        <v>8</v>
      </c>
      <c r="J246" s="15">
        <f t="shared" si="26"/>
        <v>309.71999999999997</v>
      </c>
      <c r="K246" s="15">
        <f t="shared" si="32"/>
        <v>412.96</v>
      </c>
      <c r="L246" s="15">
        <f t="shared" si="32"/>
        <v>619.43999999999994</v>
      </c>
      <c r="M246" s="15">
        <f t="shared" si="32"/>
        <v>825.92</v>
      </c>
      <c r="N246" s="15">
        <f t="shared" si="32"/>
        <v>991.10399999999993</v>
      </c>
      <c r="O246" s="15">
        <f t="shared" si="32"/>
        <v>1238.8799999999999</v>
      </c>
      <c r="P246" s="15">
        <f t="shared" si="32"/>
        <v>1651.84</v>
      </c>
    </row>
    <row r="247" spans="1:16">
      <c r="A247" s="13">
        <v>43680</v>
      </c>
      <c r="B247" s="13">
        <f t="shared" si="27"/>
        <v>43709</v>
      </c>
      <c r="C247" s="88">
        <v>43709</v>
      </c>
      <c r="D247" s="13">
        <v>43680</v>
      </c>
      <c r="E247" s="86" t="str">
        <f t="shared" si="28"/>
        <v>W36</v>
      </c>
      <c r="F247" s="86" t="str">
        <f t="shared" si="29"/>
        <v>Sep</v>
      </c>
      <c r="G247">
        <v>244</v>
      </c>
      <c r="H247">
        <f t="shared" si="30"/>
        <v>36</v>
      </c>
      <c r="I247" s="87">
        <f t="shared" si="31"/>
        <v>8.0333333333333332</v>
      </c>
      <c r="J247" s="15">
        <f t="shared" ref="J247:J310" si="33">IF($H247&lt;=9,0,(($H247-6)*0.16*26700)/J$3)</f>
        <v>320.39999999999998</v>
      </c>
      <c r="K247" s="15">
        <f t="shared" si="32"/>
        <v>427.2</v>
      </c>
      <c r="L247" s="15">
        <f t="shared" si="32"/>
        <v>640.79999999999995</v>
      </c>
      <c r="M247" s="15">
        <f t="shared" si="32"/>
        <v>854.4</v>
      </c>
      <c r="N247" s="15">
        <f t="shared" si="32"/>
        <v>1025.28</v>
      </c>
      <c r="O247" s="15">
        <f t="shared" si="32"/>
        <v>1281.5999999999999</v>
      </c>
      <c r="P247" s="15">
        <f t="shared" si="32"/>
        <v>1708.8</v>
      </c>
    </row>
    <row r="248" spans="1:16">
      <c r="A248" s="13">
        <v>43681</v>
      </c>
      <c r="B248" s="13">
        <f t="shared" si="27"/>
        <v>43709</v>
      </c>
      <c r="C248" s="88">
        <v>43710</v>
      </c>
      <c r="D248" s="13">
        <v>43681</v>
      </c>
      <c r="E248" s="86" t="str">
        <f t="shared" si="28"/>
        <v>W36</v>
      </c>
      <c r="F248" s="86" t="str">
        <f t="shared" si="29"/>
        <v>Sep</v>
      </c>
      <c r="G248">
        <v>245</v>
      </c>
      <c r="H248">
        <f t="shared" si="30"/>
        <v>36</v>
      </c>
      <c r="I248" s="87">
        <f t="shared" si="31"/>
        <v>8.0666666666666664</v>
      </c>
      <c r="J248" s="15">
        <f t="shared" si="33"/>
        <v>320.39999999999998</v>
      </c>
      <c r="K248" s="15">
        <f t="shared" si="32"/>
        <v>427.2</v>
      </c>
      <c r="L248" s="15">
        <f t="shared" si="32"/>
        <v>640.79999999999995</v>
      </c>
      <c r="M248" s="15">
        <f t="shared" si="32"/>
        <v>854.4</v>
      </c>
      <c r="N248" s="15">
        <f t="shared" si="32"/>
        <v>1025.28</v>
      </c>
      <c r="O248" s="15">
        <f t="shared" si="32"/>
        <v>1281.5999999999999</v>
      </c>
      <c r="P248" s="15">
        <f t="shared" si="32"/>
        <v>1708.8</v>
      </c>
    </row>
    <row r="249" spans="1:16">
      <c r="A249" s="13">
        <v>43682</v>
      </c>
      <c r="B249" s="13">
        <f t="shared" si="27"/>
        <v>43709</v>
      </c>
      <c r="C249" s="88">
        <v>43711</v>
      </c>
      <c r="D249" s="13">
        <v>43682</v>
      </c>
      <c r="E249" s="86" t="str">
        <f t="shared" si="28"/>
        <v>W36</v>
      </c>
      <c r="F249" s="86" t="str">
        <f t="shared" si="29"/>
        <v>Sep</v>
      </c>
      <c r="G249">
        <v>246</v>
      </c>
      <c r="H249">
        <f t="shared" si="30"/>
        <v>36</v>
      </c>
      <c r="I249" s="87">
        <f t="shared" si="31"/>
        <v>8.1</v>
      </c>
      <c r="J249" s="15">
        <f t="shared" si="33"/>
        <v>320.39999999999998</v>
      </c>
      <c r="K249" s="15">
        <f t="shared" si="32"/>
        <v>427.2</v>
      </c>
      <c r="L249" s="15">
        <f t="shared" si="32"/>
        <v>640.79999999999995</v>
      </c>
      <c r="M249" s="15">
        <f t="shared" si="32"/>
        <v>854.4</v>
      </c>
      <c r="N249" s="15">
        <f t="shared" si="32"/>
        <v>1025.28</v>
      </c>
      <c r="O249" s="15">
        <f t="shared" si="32"/>
        <v>1281.5999999999999</v>
      </c>
      <c r="P249" s="15">
        <f t="shared" si="32"/>
        <v>1708.8</v>
      </c>
    </row>
    <row r="250" spans="1:16">
      <c r="A250" s="13">
        <v>43683</v>
      </c>
      <c r="B250" s="13">
        <f t="shared" si="27"/>
        <v>43709</v>
      </c>
      <c r="C250" s="88">
        <v>43712</v>
      </c>
      <c r="D250" s="13">
        <v>43683</v>
      </c>
      <c r="E250" s="86" t="str">
        <f t="shared" si="28"/>
        <v>W36</v>
      </c>
      <c r="F250" s="86" t="str">
        <f t="shared" si="29"/>
        <v>Sep</v>
      </c>
      <c r="G250">
        <v>247</v>
      </c>
      <c r="H250">
        <f t="shared" si="30"/>
        <v>36</v>
      </c>
      <c r="I250" s="87">
        <f t="shared" si="31"/>
        <v>8.1333333333333329</v>
      </c>
      <c r="J250" s="15">
        <f t="shared" si="33"/>
        <v>320.39999999999998</v>
      </c>
      <c r="K250" s="15">
        <f t="shared" si="32"/>
        <v>427.2</v>
      </c>
      <c r="L250" s="15">
        <f t="shared" si="32"/>
        <v>640.79999999999995</v>
      </c>
      <c r="M250" s="15">
        <f t="shared" si="32"/>
        <v>854.4</v>
      </c>
      <c r="N250" s="15">
        <f t="shared" si="32"/>
        <v>1025.28</v>
      </c>
      <c r="O250" s="15">
        <f t="shared" si="32"/>
        <v>1281.5999999999999</v>
      </c>
      <c r="P250" s="15">
        <f t="shared" si="32"/>
        <v>1708.8</v>
      </c>
    </row>
    <row r="251" spans="1:16">
      <c r="A251" s="13">
        <v>43684</v>
      </c>
      <c r="B251" s="13">
        <f t="shared" si="27"/>
        <v>43709</v>
      </c>
      <c r="C251" s="88">
        <v>43713</v>
      </c>
      <c r="D251" s="13">
        <v>43684</v>
      </c>
      <c r="E251" s="86" t="str">
        <f t="shared" si="28"/>
        <v>W36</v>
      </c>
      <c r="F251" s="86" t="str">
        <f t="shared" si="29"/>
        <v>Sep</v>
      </c>
      <c r="G251">
        <v>248</v>
      </c>
      <c r="H251">
        <f t="shared" si="30"/>
        <v>36</v>
      </c>
      <c r="I251" s="87">
        <f t="shared" si="31"/>
        <v>8.1666666666666661</v>
      </c>
      <c r="J251" s="15">
        <f t="shared" si="33"/>
        <v>320.39999999999998</v>
      </c>
      <c r="K251" s="15">
        <f t="shared" si="32"/>
        <v>427.2</v>
      </c>
      <c r="L251" s="15">
        <f t="shared" si="32"/>
        <v>640.79999999999995</v>
      </c>
      <c r="M251" s="15">
        <f t="shared" si="32"/>
        <v>854.4</v>
      </c>
      <c r="N251" s="15">
        <f t="shared" si="32"/>
        <v>1025.28</v>
      </c>
      <c r="O251" s="15">
        <f t="shared" si="32"/>
        <v>1281.5999999999999</v>
      </c>
      <c r="P251" s="15">
        <f t="shared" si="32"/>
        <v>1708.8</v>
      </c>
    </row>
    <row r="252" spans="1:16">
      <c r="A252" s="13">
        <v>43685</v>
      </c>
      <c r="B252" s="13">
        <f t="shared" si="27"/>
        <v>43709</v>
      </c>
      <c r="C252" s="88">
        <v>43714</v>
      </c>
      <c r="D252" s="13">
        <v>43685</v>
      </c>
      <c r="E252" s="86" t="str">
        <f t="shared" si="28"/>
        <v>W36</v>
      </c>
      <c r="F252" s="86" t="str">
        <f t="shared" si="29"/>
        <v>Sep</v>
      </c>
      <c r="G252">
        <v>249</v>
      </c>
      <c r="H252">
        <f t="shared" si="30"/>
        <v>36</v>
      </c>
      <c r="I252" s="87">
        <f t="shared" si="31"/>
        <v>8.1999999999999993</v>
      </c>
      <c r="J252" s="15">
        <f t="shared" si="33"/>
        <v>320.39999999999998</v>
      </c>
      <c r="K252" s="15">
        <f t="shared" si="32"/>
        <v>427.2</v>
      </c>
      <c r="L252" s="15">
        <f t="shared" si="32"/>
        <v>640.79999999999995</v>
      </c>
      <c r="M252" s="15">
        <f t="shared" si="32"/>
        <v>854.4</v>
      </c>
      <c r="N252" s="15">
        <f t="shared" si="32"/>
        <v>1025.28</v>
      </c>
      <c r="O252" s="15">
        <f t="shared" si="32"/>
        <v>1281.5999999999999</v>
      </c>
      <c r="P252" s="15">
        <f t="shared" si="32"/>
        <v>1708.8</v>
      </c>
    </row>
    <row r="253" spans="1:16">
      <c r="A253" s="13">
        <v>43686</v>
      </c>
      <c r="B253" s="13">
        <f t="shared" si="27"/>
        <v>43709</v>
      </c>
      <c r="C253" s="88">
        <v>43715</v>
      </c>
      <c r="D253" s="13">
        <v>43686</v>
      </c>
      <c r="E253" s="86" t="str">
        <f t="shared" si="28"/>
        <v>W36</v>
      </c>
      <c r="F253" s="86" t="str">
        <f t="shared" si="29"/>
        <v>Sep</v>
      </c>
      <c r="G253">
        <v>250</v>
      </c>
      <c r="H253">
        <f t="shared" si="30"/>
        <v>36</v>
      </c>
      <c r="I253" s="87">
        <f t="shared" si="31"/>
        <v>8.2333333333333325</v>
      </c>
      <c r="J253" s="15">
        <f t="shared" si="33"/>
        <v>320.39999999999998</v>
      </c>
      <c r="K253" s="15">
        <f t="shared" si="32"/>
        <v>427.2</v>
      </c>
      <c r="L253" s="15">
        <f t="shared" si="32"/>
        <v>640.79999999999995</v>
      </c>
      <c r="M253" s="15">
        <f t="shared" si="32"/>
        <v>854.4</v>
      </c>
      <c r="N253" s="15">
        <f t="shared" si="32"/>
        <v>1025.28</v>
      </c>
      <c r="O253" s="15">
        <f t="shared" si="32"/>
        <v>1281.5999999999999</v>
      </c>
      <c r="P253" s="15">
        <f t="shared" si="32"/>
        <v>1708.8</v>
      </c>
    </row>
    <row r="254" spans="1:16">
      <c r="A254" s="13">
        <v>43687</v>
      </c>
      <c r="B254" s="13">
        <f t="shared" si="27"/>
        <v>43709</v>
      </c>
      <c r="C254" s="88">
        <v>43716</v>
      </c>
      <c r="D254" s="13">
        <v>43687</v>
      </c>
      <c r="E254" s="86" t="str">
        <f t="shared" si="28"/>
        <v>W37</v>
      </c>
      <c r="F254" s="86" t="str">
        <f t="shared" si="29"/>
        <v>Sep</v>
      </c>
      <c r="G254">
        <v>251</v>
      </c>
      <c r="H254">
        <f t="shared" si="30"/>
        <v>37</v>
      </c>
      <c r="I254" s="87">
        <f t="shared" si="31"/>
        <v>8.2666666666666675</v>
      </c>
      <c r="J254" s="15">
        <f t="shared" si="33"/>
        <v>331.08</v>
      </c>
      <c r="K254" s="15">
        <f t="shared" si="32"/>
        <v>441.44</v>
      </c>
      <c r="L254" s="15">
        <f t="shared" si="32"/>
        <v>662.16</v>
      </c>
      <c r="M254" s="15">
        <f t="shared" si="32"/>
        <v>882.88</v>
      </c>
      <c r="N254" s="15">
        <f t="shared" si="32"/>
        <v>1059.4559999999999</v>
      </c>
      <c r="O254" s="15">
        <f t="shared" si="32"/>
        <v>1324.32</v>
      </c>
      <c r="P254" s="15">
        <f t="shared" si="32"/>
        <v>1765.76</v>
      </c>
    </row>
    <row r="255" spans="1:16">
      <c r="A255" s="13">
        <v>43688</v>
      </c>
      <c r="B255" s="13">
        <f t="shared" si="27"/>
        <v>43709</v>
      </c>
      <c r="C255" s="88">
        <v>43717</v>
      </c>
      <c r="D255" s="13">
        <v>43688</v>
      </c>
      <c r="E255" s="86" t="str">
        <f t="shared" si="28"/>
        <v>W37</v>
      </c>
      <c r="F255" s="86" t="str">
        <f t="shared" si="29"/>
        <v>Sep</v>
      </c>
      <c r="G255">
        <v>252</v>
      </c>
      <c r="H255">
        <f t="shared" si="30"/>
        <v>37</v>
      </c>
      <c r="I255" s="87">
        <f t="shared" si="31"/>
        <v>8.3000000000000007</v>
      </c>
      <c r="J255" s="15">
        <f t="shared" si="33"/>
        <v>331.08</v>
      </c>
      <c r="K255" s="15">
        <f t="shared" si="32"/>
        <v>441.44</v>
      </c>
      <c r="L255" s="15">
        <f t="shared" si="32"/>
        <v>662.16</v>
      </c>
      <c r="M255" s="15">
        <f t="shared" si="32"/>
        <v>882.88</v>
      </c>
      <c r="N255" s="15">
        <f t="shared" si="32"/>
        <v>1059.4559999999999</v>
      </c>
      <c r="O255" s="15">
        <f t="shared" si="32"/>
        <v>1324.32</v>
      </c>
      <c r="P255" s="15">
        <f t="shared" si="32"/>
        <v>1765.76</v>
      </c>
    </row>
    <row r="256" spans="1:16">
      <c r="A256" s="13">
        <v>43689</v>
      </c>
      <c r="B256" s="13">
        <f t="shared" si="27"/>
        <v>43709</v>
      </c>
      <c r="C256" s="88">
        <v>43718</v>
      </c>
      <c r="D256" s="13">
        <v>43689</v>
      </c>
      <c r="E256" s="86" t="str">
        <f t="shared" si="28"/>
        <v>W37</v>
      </c>
      <c r="F256" s="86" t="str">
        <f t="shared" si="29"/>
        <v>Sep</v>
      </c>
      <c r="G256">
        <v>253</v>
      </c>
      <c r="H256">
        <f t="shared" si="30"/>
        <v>37</v>
      </c>
      <c r="I256" s="87">
        <f t="shared" si="31"/>
        <v>8.3333333333333339</v>
      </c>
      <c r="J256" s="15">
        <f t="shared" si="33"/>
        <v>331.08</v>
      </c>
      <c r="K256" s="15">
        <f t="shared" si="32"/>
        <v>441.44</v>
      </c>
      <c r="L256" s="15">
        <f t="shared" si="32"/>
        <v>662.16</v>
      </c>
      <c r="M256" s="15">
        <f t="shared" si="32"/>
        <v>882.88</v>
      </c>
      <c r="N256" s="15">
        <f t="shared" si="32"/>
        <v>1059.4559999999999</v>
      </c>
      <c r="O256" s="15">
        <f t="shared" si="32"/>
        <v>1324.32</v>
      </c>
      <c r="P256" s="15">
        <f t="shared" si="32"/>
        <v>1765.76</v>
      </c>
    </row>
    <row r="257" spans="1:16">
      <c r="A257" s="13">
        <v>43690</v>
      </c>
      <c r="B257" s="13">
        <f t="shared" si="27"/>
        <v>43709</v>
      </c>
      <c r="C257" s="88">
        <v>43719</v>
      </c>
      <c r="D257" s="13">
        <v>43690</v>
      </c>
      <c r="E257" s="86" t="str">
        <f t="shared" si="28"/>
        <v>W37</v>
      </c>
      <c r="F257" s="86" t="str">
        <f t="shared" si="29"/>
        <v>Sep</v>
      </c>
      <c r="G257">
        <v>254</v>
      </c>
      <c r="H257">
        <f t="shared" si="30"/>
        <v>37</v>
      </c>
      <c r="I257" s="87">
        <f t="shared" si="31"/>
        <v>8.3666666666666671</v>
      </c>
      <c r="J257" s="15">
        <f t="shared" si="33"/>
        <v>331.08</v>
      </c>
      <c r="K257" s="15">
        <f t="shared" si="32"/>
        <v>441.44</v>
      </c>
      <c r="L257" s="15">
        <f t="shared" si="32"/>
        <v>662.16</v>
      </c>
      <c r="M257" s="15">
        <f t="shared" si="32"/>
        <v>882.88</v>
      </c>
      <c r="N257" s="15">
        <f t="shared" si="32"/>
        <v>1059.4559999999999</v>
      </c>
      <c r="O257" s="15">
        <f t="shared" si="32"/>
        <v>1324.32</v>
      </c>
      <c r="P257" s="15">
        <f t="shared" si="32"/>
        <v>1765.76</v>
      </c>
    </row>
    <row r="258" spans="1:16">
      <c r="A258" s="13">
        <v>43691</v>
      </c>
      <c r="B258" s="13">
        <f t="shared" si="27"/>
        <v>43709</v>
      </c>
      <c r="C258" s="88">
        <v>43720</v>
      </c>
      <c r="D258" s="13">
        <v>43691</v>
      </c>
      <c r="E258" s="86" t="str">
        <f t="shared" si="28"/>
        <v>W37</v>
      </c>
      <c r="F258" s="86" t="str">
        <f t="shared" si="29"/>
        <v>Sep</v>
      </c>
      <c r="G258">
        <v>255</v>
      </c>
      <c r="H258">
        <f t="shared" si="30"/>
        <v>37</v>
      </c>
      <c r="I258" s="87">
        <f t="shared" si="31"/>
        <v>8.4</v>
      </c>
      <c r="J258" s="15">
        <f t="shared" si="33"/>
        <v>331.08</v>
      </c>
      <c r="K258" s="15">
        <f t="shared" si="32"/>
        <v>441.44</v>
      </c>
      <c r="L258" s="15">
        <f t="shared" si="32"/>
        <v>662.16</v>
      </c>
      <c r="M258" s="15">
        <f t="shared" si="32"/>
        <v>882.88</v>
      </c>
      <c r="N258" s="15">
        <f t="shared" si="32"/>
        <v>1059.4559999999999</v>
      </c>
      <c r="O258" s="15">
        <f t="shared" si="32"/>
        <v>1324.32</v>
      </c>
      <c r="P258" s="15">
        <f t="shared" si="32"/>
        <v>1765.76</v>
      </c>
    </row>
    <row r="259" spans="1:16">
      <c r="A259" s="13">
        <v>43692</v>
      </c>
      <c r="B259" s="13">
        <f t="shared" si="27"/>
        <v>43709</v>
      </c>
      <c r="C259" s="88">
        <v>43721</v>
      </c>
      <c r="D259" s="13">
        <v>43692</v>
      </c>
      <c r="E259" s="86" t="str">
        <f t="shared" si="28"/>
        <v>W37</v>
      </c>
      <c r="F259" s="86" t="str">
        <f t="shared" si="29"/>
        <v>Sep</v>
      </c>
      <c r="G259">
        <v>256</v>
      </c>
      <c r="H259">
        <f t="shared" si="30"/>
        <v>37</v>
      </c>
      <c r="I259" s="87">
        <f t="shared" si="31"/>
        <v>8.4333333333333336</v>
      </c>
      <c r="J259" s="15">
        <f t="shared" si="33"/>
        <v>331.08</v>
      </c>
      <c r="K259" s="15">
        <f t="shared" si="32"/>
        <v>441.44</v>
      </c>
      <c r="L259" s="15">
        <f t="shared" si="32"/>
        <v>662.16</v>
      </c>
      <c r="M259" s="15">
        <f t="shared" si="32"/>
        <v>882.88</v>
      </c>
      <c r="N259" s="15">
        <f t="shared" si="32"/>
        <v>1059.4559999999999</v>
      </c>
      <c r="O259" s="15">
        <f t="shared" si="32"/>
        <v>1324.32</v>
      </c>
      <c r="P259" s="15">
        <f t="shared" si="32"/>
        <v>1765.76</v>
      </c>
    </row>
    <row r="260" spans="1:16">
      <c r="A260" s="13">
        <v>43693</v>
      </c>
      <c r="B260" s="13">
        <f t="shared" ref="B260:B323" si="34">DATE(2019,MONTH(C260),1)</f>
        <v>43709</v>
      </c>
      <c r="C260" s="88">
        <v>43722</v>
      </c>
      <c r="D260" s="13">
        <v>43693</v>
      </c>
      <c r="E260" s="86" t="str">
        <f t="shared" ref="E260:E323" si="35">"W"&amp;WEEKNUM(C260)</f>
        <v>W37</v>
      </c>
      <c r="F260" s="86" t="str">
        <f t="shared" ref="F260:F323" si="36">TEXT(C260,"MMM")</f>
        <v>Sep</v>
      </c>
      <c r="G260">
        <v>257</v>
      </c>
      <c r="H260">
        <f t="shared" ref="H260:H323" si="37">WEEKNUM(C260)</f>
        <v>37</v>
      </c>
      <c r="I260" s="87">
        <f t="shared" ref="I260:I323" si="38">(DATEDIF(B260,C260,"D")+1)/VLOOKUP(F260,$AC$4:$AD$15,2,0)+(MONTH(C260)*1-1)</f>
        <v>8.4666666666666668</v>
      </c>
      <c r="J260" s="15">
        <f t="shared" si="33"/>
        <v>331.08</v>
      </c>
      <c r="K260" s="15">
        <f t="shared" si="32"/>
        <v>441.44</v>
      </c>
      <c r="L260" s="15">
        <f t="shared" si="32"/>
        <v>662.16</v>
      </c>
      <c r="M260" s="15">
        <f t="shared" si="32"/>
        <v>882.88</v>
      </c>
      <c r="N260" s="15">
        <f t="shared" si="32"/>
        <v>1059.4559999999999</v>
      </c>
      <c r="O260" s="15">
        <f t="shared" si="32"/>
        <v>1324.32</v>
      </c>
      <c r="P260" s="15">
        <f t="shared" si="32"/>
        <v>1765.76</v>
      </c>
    </row>
    <row r="261" spans="1:16">
      <c r="A261" s="13">
        <v>43694</v>
      </c>
      <c r="B261" s="13">
        <f t="shared" si="34"/>
        <v>43709</v>
      </c>
      <c r="C261" s="88">
        <v>43723</v>
      </c>
      <c r="D261" s="13">
        <v>43694</v>
      </c>
      <c r="E261" s="86" t="str">
        <f t="shared" si="35"/>
        <v>W38</v>
      </c>
      <c r="F261" s="86" t="str">
        <f t="shared" si="36"/>
        <v>Sep</v>
      </c>
      <c r="G261">
        <v>258</v>
      </c>
      <c r="H261">
        <f t="shared" si="37"/>
        <v>38</v>
      </c>
      <c r="I261" s="87">
        <f t="shared" si="38"/>
        <v>8.5</v>
      </c>
      <c r="J261" s="15">
        <f t="shared" si="33"/>
        <v>341.76</v>
      </c>
      <c r="K261" s="15">
        <f t="shared" si="32"/>
        <v>455.68</v>
      </c>
      <c r="L261" s="15">
        <f t="shared" si="32"/>
        <v>683.52</v>
      </c>
      <c r="M261" s="15">
        <f t="shared" si="32"/>
        <v>911.36</v>
      </c>
      <c r="N261" s="15">
        <f t="shared" si="32"/>
        <v>1093.6320000000001</v>
      </c>
      <c r="O261" s="15">
        <f t="shared" si="32"/>
        <v>1367.04</v>
      </c>
      <c r="P261" s="15">
        <f t="shared" si="32"/>
        <v>1822.72</v>
      </c>
    </row>
    <row r="262" spans="1:16">
      <c r="A262" s="13">
        <v>43695</v>
      </c>
      <c r="B262" s="13">
        <f t="shared" si="34"/>
        <v>43709</v>
      </c>
      <c r="C262" s="88">
        <v>43724</v>
      </c>
      <c r="D262" s="13">
        <v>43695</v>
      </c>
      <c r="E262" s="86" t="str">
        <f t="shared" si="35"/>
        <v>W38</v>
      </c>
      <c r="F262" s="86" t="str">
        <f t="shared" si="36"/>
        <v>Sep</v>
      </c>
      <c r="G262">
        <v>259</v>
      </c>
      <c r="H262">
        <f t="shared" si="37"/>
        <v>38</v>
      </c>
      <c r="I262" s="87">
        <f t="shared" si="38"/>
        <v>8.5333333333333332</v>
      </c>
      <c r="J262" s="15">
        <f t="shared" si="33"/>
        <v>341.76</v>
      </c>
      <c r="K262" s="15">
        <f t="shared" si="32"/>
        <v>455.68</v>
      </c>
      <c r="L262" s="15">
        <f t="shared" si="32"/>
        <v>683.52</v>
      </c>
      <c r="M262" s="15">
        <f t="shared" si="32"/>
        <v>911.36</v>
      </c>
      <c r="N262" s="15">
        <f t="shared" si="32"/>
        <v>1093.6320000000001</v>
      </c>
      <c r="O262" s="15">
        <f t="shared" si="32"/>
        <v>1367.04</v>
      </c>
      <c r="P262" s="15">
        <f t="shared" si="32"/>
        <v>1822.72</v>
      </c>
    </row>
    <row r="263" spans="1:16">
      <c r="A263" s="13">
        <v>43696</v>
      </c>
      <c r="B263" s="13">
        <f t="shared" si="34"/>
        <v>43709</v>
      </c>
      <c r="C263" s="88">
        <v>43725</v>
      </c>
      <c r="D263" s="13">
        <v>43696</v>
      </c>
      <c r="E263" s="86" t="str">
        <f t="shared" si="35"/>
        <v>W38</v>
      </c>
      <c r="F263" s="86" t="str">
        <f t="shared" si="36"/>
        <v>Sep</v>
      </c>
      <c r="G263">
        <v>260</v>
      </c>
      <c r="H263">
        <f t="shared" si="37"/>
        <v>38</v>
      </c>
      <c r="I263" s="87">
        <f t="shared" si="38"/>
        <v>8.5666666666666664</v>
      </c>
      <c r="J263" s="15">
        <f t="shared" si="33"/>
        <v>341.76</v>
      </c>
      <c r="K263" s="15">
        <f t="shared" si="32"/>
        <v>455.68</v>
      </c>
      <c r="L263" s="15">
        <f t="shared" si="32"/>
        <v>683.52</v>
      </c>
      <c r="M263" s="15">
        <f t="shared" si="32"/>
        <v>911.36</v>
      </c>
      <c r="N263" s="15">
        <f t="shared" si="32"/>
        <v>1093.6320000000001</v>
      </c>
      <c r="O263" s="15">
        <f t="shared" si="32"/>
        <v>1367.04</v>
      </c>
      <c r="P263" s="15">
        <f t="shared" si="32"/>
        <v>1822.72</v>
      </c>
    </row>
    <row r="264" spans="1:16">
      <c r="A264" s="13">
        <v>43697</v>
      </c>
      <c r="B264" s="13">
        <f t="shared" si="34"/>
        <v>43709</v>
      </c>
      <c r="C264" s="88">
        <v>43726</v>
      </c>
      <c r="D264" s="13">
        <v>43697</v>
      </c>
      <c r="E264" s="86" t="str">
        <f t="shared" si="35"/>
        <v>W38</v>
      </c>
      <c r="F264" s="86" t="str">
        <f t="shared" si="36"/>
        <v>Sep</v>
      </c>
      <c r="G264">
        <v>261</v>
      </c>
      <c r="H264">
        <f t="shared" si="37"/>
        <v>38</v>
      </c>
      <c r="I264" s="87">
        <f t="shared" si="38"/>
        <v>8.6</v>
      </c>
      <c r="J264" s="15">
        <f t="shared" si="33"/>
        <v>341.76</v>
      </c>
      <c r="K264" s="15">
        <f t="shared" si="32"/>
        <v>455.68</v>
      </c>
      <c r="L264" s="15">
        <f t="shared" si="32"/>
        <v>683.52</v>
      </c>
      <c r="M264" s="15">
        <f t="shared" si="32"/>
        <v>911.36</v>
      </c>
      <c r="N264" s="15">
        <f t="shared" si="32"/>
        <v>1093.6320000000001</v>
      </c>
      <c r="O264" s="15">
        <f t="shared" si="32"/>
        <v>1367.04</v>
      </c>
      <c r="P264" s="15">
        <f t="shared" si="32"/>
        <v>1822.72</v>
      </c>
    </row>
    <row r="265" spans="1:16">
      <c r="A265" s="13">
        <v>43698</v>
      </c>
      <c r="B265" s="13">
        <f t="shared" si="34"/>
        <v>43709</v>
      </c>
      <c r="C265" s="88">
        <v>43727</v>
      </c>
      <c r="D265" s="13">
        <v>43698</v>
      </c>
      <c r="E265" s="86" t="str">
        <f t="shared" si="35"/>
        <v>W38</v>
      </c>
      <c r="F265" s="86" t="str">
        <f t="shared" si="36"/>
        <v>Sep</v>
      </c>
      <c r="G265">
        <v>262</v>
      </c>
      <c r="H265">
        <f t="shared" si="37"/>
        <v>38</v>
      </c>
      <c r="I265" s="87">
        <f t="shared" si="38"/>
        <v>8.6333333333333329</v>
      </c>
      <c r="J265" s="15">
        <f t="shared" si="33"/>
        <v>341.76</v>
      </c>
      <c r="K265" s="15">
        <f t="shared" si="32"/>
        <v>455.68</v>
      </c>
      <c r="L265" s="15">
        <f t="shared" si="32"/>
        <v>683.52</v>
      </c>
      <c r="M265" s="15">
        <f t="shared" si="32"/>
        <v>911.36</v>
      </c>
      <c r="N265" s="15">
        <f t="shared" si="32"/>
        <v>1093.6320000000001</v>
      </c>
      <c r="O265" s="15">
        <f t="shared" si="32"/>
        <v>1367.04</v>
      </c>
      <c r="P265" s="15">
        <f t="shared" si="32"/>
        <v>1822.72</v>
      </c>
    </row>
    <row r="266" spans="1:16">
      <c r="A266" s="13">
        <v>43699</v>
      </c>
      <c r="B266" s="13">
        <f t="shared" si="34"/>
        <v>43709</v>
      </c>
      <c r="C266" s="88">
        <v>43728</v>
      </c>
      <c r="D266" s="13">
        <v>43699</v>
      </c>
      <c r="E266" s="86" t="str">
        <f t="shared" si="35"/>
        <v>W38</v>
      </c>
      <c r="F266" s="86" t="str">
        <f t="shared" si="36"/>
        <v>Sep</v>
      </c>
      <c r="G266">
        <v>263</v>
      </c>
      <c r="H266">
        <f t="shared" si="37"/>
        <v>38</v>
      </c>
      <c r="I266" s="87">
        <f t="shared" si="38"/>
        <v>8.6666666666666661</v>
      </c>
      <c r="J266" s="15">
        <f t="shared" si="33"/>
        <v>341.76</v>
      </c>
      <c r="K266" s="15">
        <f t="shared" si="32"/>
        <v>455.68</v>
      </c>
      <c r="L266" s="15">
        <f t="shared" si="32"/>
        <v>683.52</v>
      </c>
      <c r="M266" s="15">
        <f t="shared" si="32"/>
        <v>911.36</v>
      </c>
      <c r="N266" s="15">
        <f t="shared" si="32"/>
        <v>1093.6320000000001</v>
      </c>
      <c r="O266" s="15">
        <f t="shared" ref="K266:P309" si="39">IF($H266&lt;=9,0,(($H266-6)*0.16*26700)/O$3)</f>
        <v>1367.04</v>
      </c>
      <c r="P266" s="15">
        <f t="shared" si="39"/>
        <v>1822.72</v>
      </c>
    </row>
    <row r="267" spans="1:16">
      <c r="A267" s="13">
        <v>43700</v>
      </c>
      <c r="B267" s="13">
        <f t="shared" si="34"/>
        <v>43709</v>
      </c>
      <c r="C267" s="88">
        <v>43729</v>
      </c>
      <c r="D267" s="13">
        <v>43700</v>
      </c>
      <c r="E267" s="86" t="str">
        <f t="shared" si="35"/>
        <v>W38</v>
      </c>
      <c r="F267" s="86" t="str">
        <f t="shared" si="36"/>
        <v>Sep</v>
      </c>
      <c r="G267">
        <v>264</v>
      </c>
      <c r="H267">
        <f t="shared" si="37"/>
        <v>38</v>
      </c>
      <c r="I267" s="87">
        <f t="shared" si="38"/>
        <v>8.6999999999999993</v>
      </c>
      <c r="J267" s="15">
        <f t="shared" si="33"/>
        <v>341.76</v>
      </c>
      <c r="K267" s="15">
        <f t="shared" si="39"/>
        <v>455.68</v>
      </c>
      <c r="L267" s="15">
        <f t="shared" si="39"/>
        <v>683.52</v>
      </c>
      <c r="M267" s="15">
        <f t="shared" si="39"/>
        <v>911.36</v>
      </c>
      <c r="N267" s="15">
        <f t="shared" si="39"/>
        <v>1093.6320000000001</v>
      </c>
      <c r="O267" s="15">
        <f t="shared" si="39"/>
        <v>1367.04</v>
      </c>
      <c r="P267" s="15">
        <f t="shared" si="39"/>
        <v>1822.72</v>
      </c>
    </row>
    <row r="268" spans="1:16">
      <c r="A268" s="13">
        <v>43701</v>
      </c>
      <c r="B268" s="13">
        <f t="shared" si="34"/>
        <v>43709</v>
      </c>
      <c r="C268" s="88">
        <v>43730</v>
      </c>
      <c r="D268" s="13">
        <v>43701</v>
      </c>
      <c r="E268" s="86" t="str">
        <f t="shared" si="35"/>
        <v>W39</v>
      </c>
      <c r="F268" s="86" t="str">
        <f t="shared" si="36"/>
        <v>Sep</v>
      </c>
      <c r="G268">
        <v>265</v>
      </c>
      <c r="H268">
        <f t="shared" si="37"/>
        <v>39</v>
      </c>
      <c r="I268" s="87">
        <f t="shared" si="38"/>
        <v>8.7333333333333325</v>
      </c>
      <c r="J268" s="15">
        <f t="shared" si="33"/>
        <v>352.44</v>
      </c>
      <c r="K268" s="15">
        <f t="shared" si="39"/>
        <v>469.92</v>
      </c>
      <c r="L268" s="15">
        <f t="shared" si="39"/>
        <v>704.88</v>
      </c>
      <c r="M268" s="15">
        <f t="shared" si="39"/>
        <v>939.84</v>
      </c>
      <c r="N268" s="15">
        <f t="shared" si="39"/>
        <v>1127.808</v>
      </c>
      <c r="O268" s="15">
        <f t="shared" si="39"/>
        <v>1409.76</v>
      </c>
      <c r="P268" s="15">
        <f t="shared" si="39"/>
        <v>1879.68</v>
      </c>
    </row>
    <row r="269" spans="1:16">
      <c r="A269" s="13">
        <v>43702</v>
      </c>
      <c r="B269" s="13">
        <f t="shared" si="34"/>
        <v>43709</v>
      </c>
      <c r="C269" s="88">
        <v>43731</v>
      </c>
      <c r="D269" s="13">
        <v>43702</v>
      </c>
      <c r="E269" s="86" t="str">
        <f t="shared" si="35"/>
        <v>W39</v>
      </c>
      <c r="F269" s="86" t="str">
        <f t="shared" si="36"/>
        <v>Sep</v>
      </c>
      <c r="G269">
        <v>266</v>
      </c>
      <c r="H269">
        <f t="shared" si="37"/>
        <v>39</v>
      </c>
      <c r="I269" s="87">
        <f t="shared" si="38"/>
        <v>8.7666666666666675</v>
      </c>
      <c r="J269" s="15">
        <f t="shared" si="33"/>
        <v>352.44</v>
      </c>
      <c r="K269" s="15">
        <f t="shared" si="39"/>
        <v>469.92</v>
      </c>
      <c r="L269" s="15">
        <f t="shared" si="39"/>
        <v>704.88</v>
      </c>
      <c r="M269" s="15">
        <f t="shared" si="39"/>
        <v>939.84</v>
      </c>
      <c r="N269" s="15">
        <f t="shared" si="39"/>
        <v>1127.808</v>
      </c>
      <c r="O269" s="15">
        <f t="shared" si="39"/>
        <v>1409.76</v>
      </c>
      <c r="P269" s="15">
        <f t="shared" si="39"/>
        <v>1879.68</v>
      </c>
    </row>
    <row r="270" spans="1:16">
      <c r="A270" s="13">
        <v>43703</v>
      </c>
      <c r="B270" s="13">
        <f t="shared" si="34"/>
        <v>43709</v>
      </c>
      <c r="C270" s="88">
        <v>43732</v>
      </c>
      <c r="D270" s="13">
        <v>43703</v>
      </c>
      <c r="E270" s="86" t="str">
        <f t="shared" si="35"/>
        <v>W39</v>
      </c>
      <c r="F270" s="86" t="str">
        <f t="shared" si="36"/>
        <v>Sep</v>
      </c>
      <c r="G270">
        <v>267</v>
      </c>
      <c r="H270">
        <f t="shared" si="37"/>
        <v>39</v>
      </c>
      <c r="I270" s="87">
        <f t="shared" si="38"/>
        <v>8.8000000000000007</v>
      </c>
      <c r="J270" s="15">
        <f t="shared" si="33"/>
        <v>352.44</v>
      </c>
      <c r="K270" s="15">
        <f t="shared" si="39"/>
        <v>469.92</v>
      </c>
      <c r="L270" s="15">
        <f t="shared" si="39"/>
        <v>704.88</v>
      </c>
      <c r="M270" s="15">
        <f t="shared" si="39"/>
        <v>939.84</v>
      </c>
      <c r="N270" s="15">
        <f t="shared" si="39"/>
        <v>1127.808</v>
      </c>
      <c r="O270" s="15">
        <f t="shared" si="39"/>
        <v>1409.76</v>
      </c>
      <c r="P270" s="15">
        <f t="shared" si="39"/>
        <v>1879.68</v>
      </c>
    </row>
    <row r="271" spans="1:16">
      <c r="A271" s="13">
        <v>43704</v>
      </c>
      <c r="B271" s="13">
        <f t="shared" si="34"/>
        <v>43709</v>
      </c>
      <c r="C271" s="88">
        <v>43733</v>
      </c>
      <c r="D271" s="13">
        <v>43704</v>
      </c>
      <c r="E271" s="86" t="str">
        <f t="shared" si="35"/>
        <v>W39</v>
      </c>
      <c r="F271" s="86" t="str">
        <f t="shared" si="36"/>
        <v>Sep</v>
      </c>
      <c r="G271">
        <v>268</v>
      </c>
      <c r="H271">
        <f t="shared" si="37"/>
        <v>39</v>
      </c>
      <c r="I271" s="87">
        <f t="shared" si="38"/>
        <v>8.8333333333333339</v>
      </c>
      <c r="J271" s="15">
        <f t="shared" si="33"/>
        <v>352.44</v>
      </c>
      <c r="K271" s="15">
        <f t="shared" si="39"/>
        <v>469.92</v>
      </c>
      <c r="L271" s="15">
        <f t="shared" si="39"/>
        <v>704.88</v>
      </c>
      <c r="M271" s="15">
        <f t="shared" si="39"/>
        <v>939.84</v>
      </c>
      <c r="N271" s="15">
        <f t="shared" si="39"/>
        <v>1127.808</v>
      </c>
      <c r="O271" s="15">
        <f t="shared" si="39"/>
        <v>1409.76</v>
      </c>
      <c r="P271" s="15">
        <f t="shared" si="39"/>
        <v>1879.68</v>
      </c>
    </row>
    <row r="272" spans="1:16">
      <c r="A272" s="13">
        <v>43705</v>
      </c>
      <c r="B272" s="13">
        <f t="shared" si="34"/>
        <v>43709</v>
      </c>
      <c r="C272" s="88">
        <v>43734</v>
      </c>
      <c r="D272" s="13">
        <v>43705</v>
      </c>
      <c r="E272" s="86" t="str">
        <f t="shared" si="35"/>
        <v>W39</v>
      </c>
      <c r="F272" s="86" t="str">
        <f t="shared" si="36"/>
        <v>Sep</v>
      </c>
      <c r="G272">
        <v>269</v>
      </c>
      <c r="H272">
        <f t="shared" si="37"/>
        <v>39</v>
      </c>
      <c r="I272" s="87">
        <f t="shared" si="38"/>
        <v>8.8666666666666671</v>
      </c>
      <c r="J272" s="15">
        <f t="shared" si="33"/>
        <v>352.44</v>
      </c>
      <c r="K272" s="15">
        <f t="shared" si="39"/>
        <v>469.92</v>
      </c>
      <c r="L272" s="15">
        <f t="shared" si="39"/>
        <v>704.88</v>
      </c>
      <c r="M272" s="15">
        <f t="shared" si="39"/>
        <v>939.84</v>
      </c>
      <c r="N272" s="15">
        <f t="shared" si="39"/>
        <v>1127.808</v>
      </c>
      <c r="O272" s="15">
        <f t="shared" si="39"/>
        <v>1409.76</v>
      </c>
      <c r="P272" s="15">
        <f t="shared" si="39"/>
        <v>1879.68</v>
      </c>
    </row>
    <row r="273" spans="1:16">
      <c r="A273" s="13">
        <v>43706</v>
      </c>
      <c r="B273" s="13">
        <f t="shared" si="34"/>
        <v>43709</v>
      </c>
      <c r="C273" s="88">
        <v>43735</v>
      </c>
      <c r="D273" s="13">
        <v>43706</v>
      </c>
      <c r="E273" s="86" t="str">
        <f t="shared" si="35"/>
        <v>W39</v>
      </c>
      <c r="F273" s="86" t="str">
        <f t="shared" si="36"/>
        <v>Sep</v>
      </c>
      <c r="G273">
        <v>270</v>
      </c>
      <c r="H273">
        <f t="shared" si="37"/>
        <v>39</v>
      </c>
      <c r="I273" s="87">
        <f t="shared" si="38"/>
        <v>8.9</v>
      </c>
      <c r="J273" s="15">
        <f t="shared" si="33"/>
        <v>352.44</v>
      </c>
      <c r="K273" s="15">
        <f t="shared" si="39"/>
        <v>469.92</v>
      </c>
      <c r="L273" s="15">
        <f t="shared" si="39"/>
        <v>704.88</v>
      </c>
      <c r="M273" s="15">
        <f t="shared" si="39"/>
        <v>939.84</v>
      </c>
      <c r="N273" s="15">
        <f t="shared" si="39"/>
        <v>1127.808</v>
      </c>
      <c r="O273" s="15">
        <f t="shared" si="39"/>
        <v>1409.76</v>
      </c>
      <c r="P273" s="15">
        <f t="shared" si="39"/>
        <v>1879.68</v>
      </c>
    </row>
    <row r="274" spans="1:16">
      <c r="A274" s="13">
        <v>43707</v>
      </c>
      <c r="B274" s="13">
        <f t="shared" si="34"/>
        <v>43709</v>
      </c>
      <c r="C274" s="88">
        <v>43736</v>
      </c>
      <c r="D274" s="13">
        <v>43707</v>
      </c>
      <c r="E274" s="86" t="str">
        <f t="shared" si="35"/>
        <v>W39</v>
      </c>
      <c r="F274" s="86" t="str">
        <f t="shared" si="36"/>
        <v>Sep</v>
      </c>
      <c r="G274">
        <v>271</v>
      </c>
      <c r="H274">
        <f t="shared" si="37"/>
        <v>39</v>
      </c>
      <c r="I274" s="87">
        <f t="shared" si="38"/>
        <v>8.9333333333333336</v>
      </c>
      <c r="J274" s="15">
        <f t="shared" si="33"/>
        <v>352.44</v>
      </c>
      <c r="K274" s="15">
        <f t="shared" si="39"/>
        <v>469.92</v>
      </c>
      <c r="L274" s="15">
        <f t="shared" si="39"/>
        <v>704.88</v>
      </c>
      <c r="M274" s="15">
        <f t="shared" si="39"/>
        <v>939.84</v>
      </c>
      <c r="N274" s="15">
        <f t="shared" si="39"/>
        <v>1127.808</v>
      </c>
      <c r="O274" s="15">
        <f t="shared" si="39"/>
        <v>1409.76</v>
      </c>
      <c r="P274" s="15">
        <f t="shared" si="39"/>
        <v>1879.68</v>
      </c>
    </row>
    <row r="275" spans="1:16">
      <c r="A275" s="13">
        <v>43709</v>
      </c>
      <c r="B275" s="13">
        <f t="shared" si="34"/>
        <v>43709</v>
      </c>
      <c r="C275" s="88">
        <v>43737</v>
      </c>
      <c r="D275" s="13">
        <v>43709</v>
      </c>
      <c r="E275" s="86" t="str">
        <f t="shared" si="35"/>
        <v>W40</v>
      </c>
      <c r="F275" s="86" t="str">
        <f t="shared" si="36"/>
        <v>Sep</v>
      </c>
      <c r="G275">
        <v>272</v>
      </c>
      <c r="H275">
        <f t="shared" si="37"/>
        <v>40</v>
      </c>
      <c r="I275" s="87">
        <f t="shared" si="38"/>
        <v>8.9666666666666668</v>
      </c>
      <c r="J275" s="15">
        <f t="shared" si="33"/>
        <v>363.12</v>
      </c>
      <c r="K275" s="15">
        <f t="shared" si="39"/>
        <v>484.16</v>
      </c>
      <c r="L275" s="15">
        <f t="shared" si="39"/>
        <v>726.24</v>
      </c>
      <c r="M275" s="15">
        <f t="shared" si="39"/>
        <v>968.32</v>
      </c>
      <c r="N275" s="15">
        <f t="shared" si="39"/>
        <v>1161.9839999999999</v>
      </c>
      <c r="O275" s="15">
        <f t="shared" si="39"/>
        <v>1452.48</v>
      </c>
      <c r="P275" s="15">
        <f t="shared" si="39"/>
        <v>1936.64</v>
      </c>
    </row>
    <row r="276" spans="1:16">
      <c r="A276" s="13">
        <v>43710</v>
      </c>
      <c r="B276" s="13">
        <f t="shared" si="34"/>
        <v>43709</v>
      </c>
      <c r="C276" s="88">
        <v>43738</v>
      </c>
      <c r="D276" s="13">
        <v>43710</v>
      </c>
      <c r="E276" s="86" t="str">
        <f t="shared" si="35"/>
        <v>W40</v>
      </c>
      <c r="F276" s="86" t="str">
        <f t="shared" si="36"/>
        <v>Sep</v>
      </c>
      <c r="G276">
        <v>273</v>
      </c>
      <c r="H276">
        <f t="shared" si="37"/>
        <v>40</v>
      </c>
      <c r="I276" s="87">
        <f t="shared" si="38"/>
        <v>9</v>
      </c>
      <c r="J276" s="15">
        <f t="shared" si="33"/>
        <v>363.12</v>
      </c>
      <c r="K276" s="15">
        <f t="shared" si="39"/>
        <v>484.16</v>
      </c>
      <c r="L276" s="15">
        <f t="shared" si="39"/>
        <v>726.24</v>
      </c>
      <c r="M276" s="15">
        <f t="shared" si="39"/>
        <v>968.32</v>
      </c>
      <c r="N276" s="15">
        <f t="shared" si="39"/>
        <v>1161.9839999999999</v>
      </c>
      <c r="O276" s="15">
        <f t="shared" si="39"/>
        <v>1452.48</v>
      </c>
      <c r="P276" s="15">
        <f t="shared" si="39"/>
        <v>1936.64</v>
      </c>
    </row>
    <row r="277" spans="1:16">
      <c r="A277" s="13">
        <v>43711</v>
      </c>
      <c r="B277" s="13">
        <f t="shared" si="34"/>
        <v>43739</v>
      </c>
      <c r="C277" s="88">
        <v>43739</v>
      </c>
      <c r="D277" s="13">
        <v>43711</v>
      </c>
      <c r="E277" s="86" t="str">
        <f t="shared" si="35"/>
        <v>W40</v>
      </c>
      <c r="F277" s="86" t="str">
        <f t="shared" si="36"/>
        <v>Oct</v>
      </c>
      <c r="G277">
        <v>274</v>
      </c>
      <c r="H277">
        <f t="shared" si="37"/>
        <v>40</v>
      </c>
      <c r="I277" s="87">
        <f t="shared" si="38"/>
        <v>9.0322580645161299</v>
      </c>
      <c r="J277" s="15">
        <f t="shared" si="33"/>
        <v>363.12</v>
      </c>
      <c r="K277" s="15">
        <f t="shared" si="39"/>
        <v>484.16</v>
      </c>
      <c r="L277" s="15">
        <f t="shared" si="39"/>
        <v>726.24</v>
      </c>
      <c r="M277" s="15">
        <f t="shared" si="39"/>
        <v>968.32</v>
      </c>
      <c r="N277" s="15">
        <f t="shared" si="39"/>
        <v>1161.9839999999999</v>
      </c>
      <c r="O277" s="15">
        <f t="shared" si="39"/>
        <v>1452.48</v>
      </c>
      <c r="P277" s="15">
        <f t="shared" si="39"/>
        <v>1936.64</v>
      </c>
    </row>
    <row r="278" spans="1:16">
      <c r="A278" s="13">
        <v>43712</v>
      </c>
      <c r="B278" s="13">
        <f t="shared" si="34"/>
        <v>43739</v>
      </c>
      <c r="C278" s="88">
        <v>43740</v>
      </c>
      <c r="D278" s="13">
        <v>43712</v>
      </c>
      <c r="E278" s="86" t="str">
        <f t="shared" si="35"/>
        <v>W40</v>
      </c>
      <c r="F278" s="86" t="str">
        <f t="shared" si="36"/>
        <v>Oct</v>
      </c>
      <c r="G278">
        <v>275</v>
      </c>
      <c r="H278">
        <f t="shared" si="37"/>
        <v>40</v>
      </c>
      <c r="I278" s="87">
        <f t="shared" si="38"/>
        <v>9.064516129032258</v>
      </c>
      <c r="J278" s="15">
        <f t="shared" si="33"/>
        <v>363.12</v>
      </c>
      <c r="K278" s="15">
        <f t="shared" si="39"/>
        <v>484.16</v>
      </c>
      <c r="L278" s="15">
        <f t="shared" si="39"/>
        <v>726.24</v>
      </c>
      <c r="M278" s="15">
        <f t="shared" si="39"/>
        <v>968.32</v>
      </c>
      <c r="N278" s="15">
        <f t="shared" si="39"/>
        <v>1161.9839999999999</v>
      </c>
      <c r="O278" s="15">
        <f t="shared" si="39"/>
        <v>1452.48</v>
      </c>
      <c r="P278" s="15">
        <f t="shared" si="39"/>
        <v>1936.64</v>
      </c>
    </row>
    <row r="279" spans="1:16">
      <c r="A279" s="13">
        <v>43713</v>
      </c>
      <c r="B279" s="13">
        <f t="shared" si="34"/>
        <v>43739</v>
      </c>
      <c r="C279" s="88">
        <v>43741</v>
      </c>
      <c r="D279" s="13">
        <v>43713</v>
      </c>
      <c r="E279" s="86" t="str">
        <f t="shared" si="35"/>
        <v>W40</v>
      </c>
      <c r="F279" s="86" t="str">
        <f t="shared" si="36"/>
        <v>Oct</v>
      </c>
      <c r="G279">
        <v>276</v>
      </c>
      <c r="H279">
        <f t="shared" si="37"/>
        <v>40</v>
      </c>
      <c r="I279" s="87">
        <f t="shared" si="38"/>
        <v>9.0967741935483879</v>
      </c>
      <c r="J279" s="15">
        <f t="shared" si="33"/>
        <v>363.12</v>
      </c>
      <c r="K279" s="15">
        <f t="shared" si="39"/>
        <v>484.16</v>
      </c>
      <c r="L279" s="15">
        <f t="shared" si="39"/>
        <v>726.24</v>
      </c>
      <c r="M279" s="15">
        <f t="shared" si="39"/>
        <v>968.32</v>
      </c>
      <c r="N279" s="15">
        <f t="shared" si="39"/>
        <v>1161.9839999999999</v>
      </c>
      <c r="O279" s="15">
        <f t="shared" si="39"/>
        <v>1452.48</v>
      </c>
      <c r="P279" s="15">
        <f t="shared" si="39"/>
        <v>1936.64</v>
      </c>
    </row>
    <row r="280" spans="1:16">
      <c r="A280" s="13">
        <v>43714</v>
      </c>
      <c r="B280" s="13">
        <f t="shared" si="34"/>
        <v>43739</v>
      </c>
      <c r="C280" s="88">
        <v>43742</v>
      </c>
      <c r="D280" s="13">
        <v>43714</v>
      </c>
      <c r="E280" s="86" t="str">
        <f t="shared" si="35"/>
        <v>W40</v>
      </c>
      <c r="F280" s="86" t="str">
        <f t="shared" si="36"/>
        <v>Oct</v>
      </c>
      <c r="G280">
        <v>277</v>
      </c>
      <c r="H280">
        <f t="shared" si="37"/>
        <v>40</v>
      </c>
      <c r="I280" s="87">
        <f t="shared" si="38"/>
        <v>9.129032258064516</v>
      </c>
      <c r="J280" s="15">
        <f t="shared" si="33"/>
        <v>363.12</v>
      </c>
      <c r="K280" s="15">
        <f t="shared" si="39"/>
        <v>484.16</v>
      </c>
      <c r="L280" s="15">
        <f t="shared" si="39"/>
        <v>726.24</v>
      </c>
      <c r="M280" s="15">
        <f t="shared" si="39"/>
        <v>968.32</v>
      </c>
      <c r="N280" s="15">
        <f t="shared" si="39"/>
        <v>1161.9839999999999</v>
      </c>
      <c r="O280" s="15">
        <f t="shared" si="39"/>
        <v>1452.48</v>
      </c>
      <c r="P280" s="15">
        <f t="shared" si="39"/>
        <v>1936.64</v>
      </c>
    </row>
    <row r="281" spans="1:16">
      <c r="A281" s="13">
        <v>43715</v>
      </c>
      <c r="B281" s="13">
        <f t="shared" si="34"/>
        <v>43739</v>
      </c>
      <c r="C281" s="88">
        <v>43743</v>
      </c>
      <c r="D281" s="13">
        <v>43715</v>
      </c>
      <c r="E281" s="86" t="str">
        <f t="shared" si="35"/>
        <v>W40</v>
      </c>
      <c r="F281" s="86" t="str">
        <f t="shared" si="36"/>
        <v>Oct</v>
      </c>
      <c r="G281">
        <v>278</v>
      </c>
      <c r="H281">
        <f t="shared" si="37"/>
        <v>40</v>
      </c>
      <c r="I281" s="87">
        <f t="shared" si="38"/>
        <v>9.1612903225806459</v>
      </c>
      <c r="J281" s="15">
        <f t="shared" si="33"/>
        <v>363.12</v>
      </c>
      <c r="K281" s="15">
        <f t="shared" si="39"/>
        <v>484.16</v>
      </c>
      <c r="L281" s="15">
        <f t="shared" si="39"/>
        <v>726.24</v>
      </c>
      <c r="M281" s="15">
        <f t="shared" si="39"/>
        <v>968.32</v>
      </c>
      <c r="N281" s="15">
        <f t="shared" si="39"/>
        <v>1161.9839999999999</v>
      </c>
      <c r="O281" s="15">
        <f t="shared" si="39"/>
        <v>1452.48</v>
      </c>
      <c r="P281" s="15">
        <f t="shared" si="39"/>
        <v>1936.64</v>
      </c>
    </row>
    <row r="282" spans="1:16">
      <c r="A282" s="13">
        <v>43716</v>
      </c>
      <c r="B282" s="13">
        <f t="shared" si="34"/>
        <v>43739</v>
      </c>
      <c r="C282" s="88">
        <v>43744</v>
      </c>
      <c r="D282" s="13">
        <v>43716</v>
      </c>
      <c r="E282" s="86" t="str">
        <f t="shared" si="35"/>
        <v>W41</v>
      </c>
      <c r="F282" s="86" t="str">
        <f t="shared" si="36"/>
        <v>Oct</v>
      </c>
      <c r="G282">
        <v>279</v>
      </c>
      <c r="H282">
        <f t="shared" si="37"/>
        <v>41</v>
      </c>
      <c r="I282" s="87">
        <f t="shared" si="38"/>
        <v>9.193548387096774</v>
      </c>
      <c r="J282" s="15">
        <f t="shared" si="33"/>
        <v>373.8</v>
      </c>
      <c r="K282" s="15">
        <f t="shared" si="39"/>
        <v>498.4</v>
      </c>
      <c r="L282" s="15">
        <f t="shared" si="39"/>
        <v>747.6</v>
      </c>
      <c r="M282" s="15">
        <f t="shared" si="39"/>
        <v>996.8</v>
      </c>
      <c r="N282" s="15">
        <f t="shared" si="39"/>
        <v>1196.1600000000001</v>
      </c>
      <c r="O282" s="15">
        <f t="shared" si="39"/>
        <v>1495.2</v>
      </c>
      <c r="P282" s="15">
        <f t="shared" si="39"/>
        <v>1993.6</v>
      </c>
    </row>
    <row r="283" spans="1:16">
      <c r="A283" s="13">
        <v>43717</v>
      </c>
      <c r="B283" s="13">
        <f t="shared" si="34"/>
        <v>43739</v>
      </c>
      <c r="C283" s="88">
        <v>43745</v>
      </c>
      <c r="D283" s="13">
        <v>43717</v>
      </c>
      <c r="E283" s="86" t="str">
        <f t="shared" si="35"/>
        <v>W41</v>
      </c>
      <c r="F283" s="86" t="str">
        <f t="shared" si="36"/>
        <v>Oct</v>
      </c>
      <c r="G283">
        <v>280</v>
      </c>
      <c r="H283">
        <f t="shared" si="37"/>
        <v>41</v>
      </c>
      <c r="I283" s="87">
        <f t="shared" si="38"/>
        <v>9.2258064516129039</v>
      </c>
      <c r="J283" s="15">
        <f t="shared" si="33"/>
        <v>373.8</v>
      </c>
      <c r="K283" s="15">
        <f t="shared" si="39"/>
        <v>498.4</v>
      </c>
      <c r="L283" s="15">
        <f t="shared" si="39"/>
        <v>747.6</v>
      </c>
      <c r="M283" s="15">
        <f t="shared" si="39"/>
        <v>996.8</v>
      </c>
      <c r="N283" s="15">
        <f t="shared" si="39"/>
        <v>1196.1600000000001</v>
      </c>
      <c r="O283" s="15">
        <f t="shared" si="39"/>
        <v>1495.2</v>
      </c>
      <c r="P283" s="15">
        <f t="shared" si="39"/>
        <v>1993.6</v>
      </c>
    </row>
    <row r="284" spans="1:16">
      <c r="A284" s="13">
        <v>43718</v>
      </c>
      <c r="B284" s="13">
        <f t="shared" si="34"/>
        <v>43739</v>
      </c>
      <c r="C284" s="88">
        <v>43746</v>
      </c>
      <c r="D284" s="13">
        <v>43718</v>
      </c>
      <c r="E284" s="86" t="str">
        <f t="shared" si="35"/>
        <v>W41</v>
      </c>
      <c r="F284" s="86" t="str">
        <f t="shared" si="36"/>
        <v>Oct</v>
      </c>
      <c r="G284">
        <v>281</v>
      </c>
      <c r="H284">
        <f t="shared" si="37"/>
        <v>41</v>
      </c>
      <c r="I284" s="87">
        <f t="shared" si="38"/>
        <v>9.258064516129032</v>
      </c>
      <c r="J284" s="15">
        <f t="shared" si="33"/>
        <v>373.8</v>
      </c>
      <c r="K284" s="15">
        <f t="shared" si="39"/>
        <v>498.4</v>
      </c>
      <c r="L284" s="15">
        <f t="shared" si="39"/>
        <v>747.6</v>
      </c>
      <c r="M284" s="15">
        <f t="shared" si="39"/>
        <v>996.8</v>
      </c>
      <c r="N284" s="15">
        <f t="shared" si="39"/>
        <v>1196.1600000000001</v>
      </c>
      <c r="O284" s="15">
        <f t="shared" si="39"/>
        <v>1495.2</v>
      </c>
      <c r="P284" s="15">
        <f t="shared" si="39"/>
        <v>1993.6</v>
      </c>
    </row>
    <row r="285" spans="1:16">
      <c r="A285" s="13">
        <v>43719</v>
      </c>
      <c r="B285" s="13">
        <f t="shared" si="34"/>
        <v>43739</v>
      </c>
      <c r="C285" s="88">
        <v>43747</v>
      </c>
      <c r="D285" s="13">
        <v>43719</v>
      </c>
      <c r="E285" s="86" t="str">
        <f t="shared" si="35"/>
        <v>W41</v>
      </c>
      <c r="F285" s="86" t="str">
        <f t="shared" si="36"/>
        <v>Oct</v>
      </c>
      <c r="G285">
        <v>282</v>
      </c>
      <c r="H285">
        <f t="shared" si="37"/>
        <v>41</v>
      </c>
      <c r="I285" s="87">
        <f t="shared" si="38"/>
        <v>9.2903225806451619</v>
      </c>
      <c r="J285" s="15">
        <f t="shared" si="33"/>
        <v>373.8</v>
      </c>
      <c r="K285" s="15">
        <f t="shared" si="39"/>
        <v>498.4</v>
      </c>
      <c r="L285" s="15">
        <f t="shared" si="39"/>
        <v>747.6</v>
      </c>
      <c r="M285" s="15">
        <f t="shared" si="39"/>
        <v>996.8</v>
      </c>
      <c r="N285" s="15">
        <f t="shared" si="39"/>
        <v>1196.1600000000001</v>
      </c>
      <c r="O285" s="15">
        <f t="shared" si="39"/>
        <v>1495.2</v>
      </c>
      <c r="P285" s="15">
        <f t="shared" si="39"/>
        <v>1993.6</v>
      </c>
    </row>
    <row r="286" spans="1:16">
      <c r="A286" s="13">
        <v>43720</v>
      </c>
      <c r="B286" s="13">
        <f t="shared" si="34"/>
        <v>43739</v>
      </c>
      <c r="C286" s="88">
        <v>43748</v>
      </c>
      <c r="D286" s="13">
        <v>43720</v>
      </c>
      <c r="E286" s="86" t="str">
        <f t="shared" si="35"/>
        <v>W41</v>
      </c>
      <c r="F286" s="86" t="str">
        <f t="shared" si="36"/>
        <v>Oct</v>
      </c>
      <c r="G286">
        <v>283</v>
      </c>
      <c r="H286">
        <f t="shared" si="37"/>
        <v>41</v>
      </c>
      <c r="I286" s="87">
        <f t="shared" si="38"/>
        <v>9.32258064516129</v>
      </c>
      <c r="J286" s="15">
        <f t="shared" si="33"/>
        <v>373.8</v>
      </c>
      <c r="K286" s="15">
        <f t="shared" si="39"/>
        <v>498.4</v>
      </c>
      <c r="L286" s="15">
        <f t="shared" si="39"/>
        <v>747.6</v>
      </c>
      <c r="M286" s="15">
        <f t="shared" si="39"/>
        <v>996.8</v>
      </c>
      <c r="N286" s="15">
        <f t="shared" si="39"/>
        <v>1196.1600000000001</v>
      </c>
      <c r="O286" s="15">
        <f t="shared" si="39"/>
        <v>1495.2</v>
      </c>
      <c r="P286" s="15">
        <f t="shared" si="39"/>
        <v>1993.6</v>
      </c>
    </row>
    <row r="287" spans="1:16">
      <c r="A287" s="13">
        <v>43721</v>
      </c>
      <c r="B287" s="13">
        <f t="shared" si="34"/>
        <v>43739</v>
      </c>
      <c r="C287" s="88">
        <v>43749</v>
      </c>
      <c r="D287" s="13">
        <v>43721</v>
      </c>
      <c r="E287" s="86" t="str">
        <f t="shared" si="35"/>
        <v>W41</v>
      </c>
      <c r="F287" s="86" t="str">
        <f t="shared" si="36"/>
        <v>Oct</v>
      </c>
      <c r="G287">
        <v>284</v>
      </c>
      <c r="H287">
        <f t="shared" si="37"/>
        <v>41</v>
      </c>
      <c r="I287" s="87">
        <f t="shared" si="38"/>
        <v>9.3548387096774199</v>
      </c>
      <c r="J287" s="15">
        <f t="shared" si="33"/>
        <v>373.8</v>
      </c>
      <c r="K287" s="15">
        <f t="shared" si="39"/>
        <v>498.4</v>
      </c>
      <c r="L287" s="15">
        <f t="shared" si="39"/>
        <v>747.6</v>
      </c>
      <c r="M287" s="15">
        <f t="shared" si="39"/>
        <v>996.8</v>
      </c>
      <c r="N287" s="15">
        <f t="shared" si="39"/>
        <v>1196.1600000000001</v>
      </c>
      <c r="O287" s="15">
        <f t="shared" si="39"/>
        <v>1495.2</v>
      </c>
      <c r="P287" s="15">
        <f t="shared" si="39"/>
        <v>1993.6</v>
      </c>
    </row>
    <row r="288" spans="1:16">
      <c r="A288" s="13">
        <v>43722</v>
      </c>
      <c r="B288" s="13">
        <f t="shared" si="34"/>
        <v>43739</v>
      </c>
      <c r="C288" s="88">
        <v>43750</v>
      </c>
      <c r="D288" s="13">
        <v>43722</v>
      </c>
      <c r="E288" s="86" t="str">
        <f t="shared" si="35"/>
        <v>W41</v>
      </c>
      <c r="F288" s="86" t="str">
        <f t="shared" si="36"/>
        <v>Oct</v>
      </c>
      <c r="G288">
        <v>285</v>
      </c>
      <c r="H288">
        <f t="shared" si="37"/>
        <v>41</v>
      </c>
      <c r="I288" s="87">
        <f t="shared" si="38"/>
        <v>9.387096774193548</v>
      </c>
      <c r="J288" s="15">
        <f t="shared" si="33"/>
        <v>373.8</v>
      </c>
      <c r="K288" s="15">
        <f t="shared" si="39"/>
        <v>498.4</v>
      </c>
      <c r="L288" s="15">
        <f t="shared" si="39"/>
        <v>747.6</v>
      </c>
      <c r="M288" s="15">
        <f t="shared" si="39"/>
        <v>996.8</v>
      </c>
      <c r="N288" s="15">
        <f t="shared" si="39"/>
        <v>1196.1600000000001</v>
      </c>
      <c r="O288" s="15">
        <f t="shared" si="39"/>
        <v>1495.2</v>
      </c>
      <c r="P288" s="15">
        <f t="shared" si="39"/>
        <v>1993.6</v>
      </c>
    </row>
    <row r="289" spans="1:16">
      <c r="A289" s="13">
        <v>43723</v>
      </c>
      <c r="B289" s="13">
        <f t="shared" si="34"/>
        <v>43739</v>
      </c>
      <c r="C289" s="88">
        <v>43751</v>
      </c>
      <c r="D289" s="13">
        <v>43723</v>
      </c>
      <c r="E289" s="86" t="str">
        <f t="shared" si="35"/>
        <v>W42</v>
      </c>
      <c r="F289" s="86" t="str">
        <f t="shared" si="36"/>
        <v>Oct</v>
      </c>
      <c r="G289">
        <v>286</v>
      </c>
      <c r="H289">
        <f t="shared" si="37"/>
        <v>42</v>
      </c>
      <c r="I289" s="87">
        <f t="shared" si="38"/>
        <v>9.4193548387096779</v>
      </c>
      <c r="J289" s="15">
        <f t="shared" si="33"/>
        <v>384.48</v>
      </c>
      <c r="K289" s="15">
        <f t="shared" si="39"/>
        <v>512.64</v>
      </c>
      <c r="L289" s="15">
        <f t="shared" si="39"/>
        <v>768.96</v>
      </c>
      <c r="M289" s="15">
        <f t="shared" si="39"/>
        <v>1025.28</v>
      </c>
      <c r="N289" s="15">
        <f t="shared" si="39"/>
        <v>1230.336</v>
      </c>
      <c r="O289" s="15">
        <f t="shared" si="39"/>
        <v>1537.92</v>
      </c>
      <c r="P289" s="15">
        <f t="shared" si="39"/>
        <v>2050.56</v>
      </c>
    </row>
    <row r="290" spans="1:16">
      <c r="A290" s="13">
        <v>43724</v>
      </c>
      <c r="B290" s="13">
        <f t="shared" si="34"/>
        <v>43739</v>
      </c>
      <c r="C290" s="88">
        <v>43752</v>
      </c>
      <c r="D290" s="13">
        <v>43724</v>
      </c>
      <c r="E290" s="86" t="str">
        <f t="shared" si="35"/>
        <v>W42</v>
      </c>
      <c r="F290" s="86" t="str">
        <f t="shared" si="36"/>
        <v>Oct</v>
      </c>
      <c r="G290">
        <v>287</v>
      </c>
      <c r="H290">
        <f t="shared" si="37"/>
        <v>42</v>
      </c>
      <c r="I290" s="87">
        <f t="shared" si="38"/>
        <v>9.4516129032258061</v>
      </c>
      <c r="J290" s="15">
        <f t="shared" si="33"/>
        <v>384.48</v>
      </c>
      <c r="K290" s="15">
        <f t="shared" si="39"/>
        <v>512.64</v>
      </c>
      <c r="L290" s="15">
        <f t="shared" si="39"/>
        <v>768.96</v>
      </c>
      <c r="M290" s="15">
        <f t="shared" si="39"/>
        <v>1025.28</v>
      </c>
      <c r="N290" s="15">
        <f t="shared" si="39"/>
        <v>1230.336</v>
      </c>
      <c r="O290" s="15">
        <f t="shared" si="39"/>
        <v>1537.92</v>
      </c>
      <c r="P290" s="15">
        <f t="shared" si="39"/>
        <v>2050.56</v>
      </c>
    </row>
    <row r="291" spans="1:16">
      <c r="A291" s="13">
        <v>43725</v>
      </c>
      <c r="B291" s="13">
        <f t="shared" si="34"/>
        <v>43739</v>
      </c>
      <c r="C291" s="88">
        <v>43753</v>
      </c>
      <c r="D291" s="13">
        <v>43725</v>
      </c>
      <c r="E291" s="86" t="str">
        <f t="shared" si="35"/>
        <v>W42</v>
      </c>
      <c r="F291" s="86" t="str">
        <f t="shared" si="36"/>
        <v>Oct</v>
      </c>
      <c r="G291">
        <v>288</v>
      </c>
      <c r="H291">
        <f t="shared" si="37"/>
        <v>42</v>
      </c>
      <c r="I291" s="87">
        <f t="shared" si="38"/>
        <v>9.4838709677419359</v>
      </c>
      <c r="J291" s="15">
        <f t="shared" si="33"/>
        <v>384.48</v>
      </c>
      <c r="K291" s="15">
        <f t="shared" si="39"/>
        <v>512.64</v>
      </c>
      <c r="L291" s="15">
        <f t="shared" si="39"/>
        <v>768.96</v>
      </c>
      <c r="M291" s="15">
        <f t="shared" si="39"/>
        <v>1025.28</v>
      </c>
      <c r="N291" s="15">
        <f t="shared" si="39"/>
        <v>1230.336</v>
      </c>
      <c r="O291" s="15">
        <f t="shared" si="39"/>
        <v>1537.92</v>
      </c>
      <c r="P291" s="15">
        <f t="shared" si="39"/>
        <v>2050.56</v>
      </c>
    </row>
    <row r="292" spans="1:16">
      <c r="A292" s="13">
        <v>43726</v>
      </c>
      <c r="B292" s="13">
        <f t="shared" si="34"/>
        <v>43739</v>
      </c>
      <c r="C292" s="88">
        <v>43754</v>
      </c>
      <c r="D292" s="13">
        <v>43726</v>
      </c>
      <c r="E292" s="86" t="str">
        <f t="shared" si="35"/>
        <v>W42</v>
      </c>
      <c r="F292" s="86" t="str">
        <f t="shared" si="36"/>
        <v>Oct</v>
      </c>
      <c r="G292">
        <v>289</v>
      </c>
      <c r="H292">
        <f t="shared" si="37"/>
        <v>42</v>
      </c>
      <c r="I292" s="87">
        <f t="shared" si="38"/>
        <v>9.5161290322580641</v>
      </c>
      <c r="J292" s="15">
        <f t="shared" si="33"/>
        <v>384.48</v>
      </c>
      <c r="K292" s="15">
        <f t="shared" si="39"/>
        <v>512.64</v>
      </c>
      <c r="L292" s="15">
        <f t="shared" si="39"/>
        <v>768.96</v>
      </c>
      <c r="M292" s="15">
        <f t="shared" si="39"/>
        <v>1025.28</v>
      </c>
      <c r="N292" s="15">
        <f t="shared" si="39"/>
        <v>1230.336</v>
      </c>
      <c r="O292" s="15">
        <f t="shared" si="39"/>
        <v>1537.92</v>
      </c>
      <c r="P292" s="15">
        <f t="shared" si="39"/>
        <v>2050.56</v>
      </c>
    </row>
    <row r="293" spans="1:16">
      <c r="A293" s="13">
        <v>43727</v>
      </c>
      <c r="B293" s="13">
        <f t="shared" si="34"/>
        <v>43739</v>
      </c>
      <c r="C293" s="88">
        <v>43755</v>
      </c>
      <c r="D293" s="13">
        <v>43727</v>
      </c>
      <c r="E293" s="86" t="str">
        <f t="shared" si="35"/>
        <v>W42</v>
      </c>
      <c r="F293" s="86" t="str">
        <f t="shared" si="36"/>
        <v>Oct</v>
      </c>
      <c r="G293">
        <v>290</v>
      </c>
      <c r="H293">
        <f t="shared" si="37"/>
        <v>42</v>
      </c>
      <c r="I293" s="87">
        <f t="shared" si="38"/>
        <v>9.5483870967741939</v>
      </c>
      <c r="J293" s="15">
        <f t="shared" si="33"/>
        <v>384.48</v>
      </c>
      <c r="K293" s="15">
        <f t="shared" si="39"/>
        <v>512.64</v>
      </c>
      <c r="L293" s="15">
        <f t="shared" si="39"/>
        <v>768.96</v>
      </c>
      <c r="M293" s="15">
        <f t="shared" si="39"/>
        <v>1025.28</v>
      </c>
      <c r="N293" s="15">
        <f t="shared" si="39"/>
        <v>1230.336</v>
      </c>
      <c r="O293" s="15">
        <f t="shared" si="39"/>
        <v>1537.92</v>
      </c>
      <c r="P293" s="15">
        <f t="shared" si="39"/>
        <v>2050.56</v>
      </c>
    </row>
    <row r="294" spans="1:16">
      <c r="A294" s="13">
        <v>43728</v>
      </c>
      <c r="B294" s="13">
        <f t="shared" si="34"/>
        <v>43739</v>
      </c>
      <c r="C294" s="88">
        <v>43756</v>
      </c>
      <c r="D294" s="13">
        <v>43728</v>
      </c>
      <c r="E294" s="86" t="str">
        <f t="shared" si="35"/>
        <v>W42</v>
      </c>
      <c r="F294" s="86" t="str">
        <f t="shared" si="36"/>
        <v>Oct</v>
      </c>
      <c r="G294">
        <v>291</v>
      </c>
      <c r="H294">
        <f t="shared" si="37"/>
        <v>42</v>
      </c>
      <c r="I294" s="87">
        <f t="shared" si="38"/>
        <v>9.5806451612903221</v>
      </c>
      <c r="J294" s="15">
        <f t="shared" si="33"/>
        <v>384.48</v>
      </c>
      <c r="K294" s="15">
        <f t="shared" si="39"/>
        <v>512.64</v>
      </c>
      <c r="L294" s="15">
        <f t="shared" si="39"/>
        <v>768.96</v>
      </c>
      <c r="M294" s="15">
        <f t="shared" si="39"/>
        <v>1025.28</v>
      </c>
      <c r="N294" s="15">
        <f t="shared" si="39"/>
        <v>1230.336</v>
      </c>
      <c r="O294" s="15">
        <f t="shared" si="39"/>
        <v>1537.92</v>
      </c>
      <c r="P294" s="15">
        <f t="shared" si="39"/>
        <v>2050.56</v>
      </c>
    </row>
    <row r="295" spans="1:16">
      <c r="A295" s="13">
        <v>43729</v>
      </c>
      <c r="B295" s="13">
        <f t="shared" si="34"/>
        <v>43739</v>
      </c>
      <c r="C295" s="88">
        <v>43757</v>
      </c>
      <c r="D295" s="13">
        <v>43729</v>
      </c>
      <c r="E295" s="86" t="str">
        <f t="shared" si="35"/>
        <v>W42</v>
      </c>
      <c r="F295" s="86" t="str">
        <f t="shared" si="36"/>
        <v>Oct</v>
      </c>
      <c r="G295">
        <v>292</v>
      </c>
      <c r="H295">
        <f t="shared" si="37"/>
        <v>42</v>
      </c>
      <c r="I295" s="87">
        <f t="shared" si="38"/>
        <v>9.612903225806452</v>
      </c>
      <c r="J295" s="15">
        <f t="shared" si="33"/>
        <v>384.48</v>
      </c>
      <c r="K295" s="15">
        <f t="shared" si="39"/>
        <v>512.64</v>
      </c>
      <c r="L295" s="15">
        <f t="shared" si="39"/>
        <v>768.96</v>
      </c>
      <c r="M295" s="15">
        <f t="shared" si="39"/>
        <v>1025.28</v>
      </c>
      <c r="N295" s="15">
        <f t="shared" si="39"/>
        <v>1230.336</v>
      </c>
      <c r="O295" s="15">
        <f t="shared" si="39"/>
        <v>1537.92</v>
      </c>
      <c r="P295" s="15">
        <f t="shared" si="39"/>
        <v>2050.56</v>
      </c>
    </row>
    <row r="296" spans="1:16">
      <c r="A296" s="13">
        <v>43730</v>
      </c>
      <c r="B296" s="13">
        <f t="shared" si="34"/>
        <v>43739</v>
      </c>
      <c r="C296" s="88">
        <v>43758</v>
      </c>
      <c r="D296" s="13">
        <v>43730</v>
      </c>
      <c r="E296" s="86" t="str">
        <f t="shared" si="35"/>
        <v>W43</v>
      </c>
      <c r="F296" s="86" t="str">
        <f t="shared" si="36"/>
        <v>Oct</v>
      </c>
      <c r="G296">
        <v>293</v>
      </c>
      <c r="H296">
        <f t="shared" si="37"/>
        <v>43</v>
      </c>
      <c r="I296" s="87">
        <f t="shared" si="38"/>
        <v>9.6451612903225801</v>
      </c>
      <c r="J296" s="15">
        <f t="shared" si="33"/>
        <v>395.16</v>
      </c>
      <c r="K296" s="15">
        <f t="shared" si="39"/>
        <v>526.88</v>
      </c>
      <c r="L296" s="15">
        <f t="shared" si="39"/>
        <v>790.32</v>
      </c>
      <c r="M296" s="15">
        <f t="shared" si="39"/>
        <v>1053.76</v>
      </c>
      <c r="N296" s="15">
        <f t="shared" si="39"/>
        <v>1264.5119999999999</v>
      </c>
      <c r="O296" s="15">
        <f t="shared" si="39"/>
        <v>1580.64</v>
      </c>
      <c r="P296" s="15">
        <f t="shared" si="39"/>
        <v>2107.52</v>
      </c>
    </row>
    <row r="297" spans="1:16">
      <c r="A297" s="13">
        <v>43731</v>
      </c>
      <c r="B297" s="13">
        <f t="shared" si="34"/>
        <v>43739</v>
      </c>
      <c r="C297" s="88">
        <v>43759</v>
      </c>
      <c r="D297" s="13">
        <v>43731</v>
      </c>
      <c r="E297" s="86" t="str">
        <f t="shared" si="35"/>
        <v>W43</v>
      </c>
      <c r="F297" s="86" t="str">
        <f t="shared" si="36"/>
        <v>Oct</v>
      </c>
      <c r="G297">
        <v>294</v>
      </c>
      <c r="H297">
        <f t="shared" si="37"/>
        <v>43</v>
      </c>
      <c r="I297" s="87">
        <f t="shared" si="38"/>
        <v>9.67741935483871</v>
      </c>
      <c r="J297" s="15">
        <f t="shared" si="33"/>
        <v>395.16</v>
      </c>
      <c r="K297" s="15">
        <f t="shared" si="39"/>
        <v>526.88</v>
      </c>
      <c r="L297" s="15">
        <f t="shared" si="39"/>
        <v>790.32</v>
      </c>
      <c r="M297" s="15">
        <f t="shared" si="39"/>
        <v>1053.76</v>
      </c>
      <c r="N297" s="15">
        <f t="shared" si="39"/>
        <v>1264.5119999999999</v>
      </c>
      <c r="O297" s="15">
        <f t="shared" si="39"/>
        <v>1580.64</v>
      </c>
      <c r="P297" s="15">
        <f t="shared" si="39"/>
        <v>2107.52</v>
      </c>
    </row>
    <row r="298" spans="1:16">
      <c r="A298" s="13">
        <v>43732</v>
      </c>
      <c r="B298" s="13">
        <f t="shared" si="34"/>
        <v>43739</v>
      </c>
      <c r="C298" s="88">
        <v>43760</v>
      </c>
      <c r="D298" s="13">
        <v>43732</v>
      </c>
      <c r="E298" s="86" t="str">
        <f t="shared" si="35"/>
        <v>W43</v>
      </c>
      <c r="F298" s="86" t="str">
        <f t="shared" si="36"/>
        <v>Oct</v>
      </c>
      <c r="G298">
        <v>295</v>
      </c>
      <c r="H298">
        <f t="shared" si="37"/>
        <v>43</v>
      </c>
      <c r="I298" s="87">
        <f t="shared" si="38"/>
        <v>9.7096774193548381</v>
      </c>
      <c r="J298" s="15">
        <f t="shared" si="33"/>
        <v>395.16</v>
      </c>
      <c r="K298" s="15">
        <f t="shared" si="39"/>
        <v>526.88</v>
      </c>
      <c r="L298" s="15">
        <f t="shared" si="39"/>
        <v>790.32</v>
      </c>
      <c r="M298" s="15">
        <f t="shared" si="39"/>
        <v>1053.76</v>
      </c>
      <c r="N298" s="15">
        <f t="shared" si="39"/>
        <v>1264.5119999999999</v>
      </c>
      <c r="O298" s="15">
        <f t="shared" si="39"/>
        <v>1580.64</v>
      </c>
      <c r="P298" s="15">
        <f t="shared" si="39"/>
        <v>2107.52</v>
      </c>
    </row>
    <row r="299" spans="1:16">
      <c r="A299" s="13">
        <v>43733</v>
      </c>
      <c r="B299" s="13">
        <f t="shared" si="34"/>
        <v>43739</v>
      </c>
      <c r="C299" s="88">
        <v>43761</v>
      </c>
      <c r="D299" s="13">
        <v>43733</v>
      </c>
      <c r="E299" s="86" t="str">
        <f t="shared" si="35"/>
        <v>W43</v>
      </c>
      <c r="F299" s="86" t="str">
        <f t="shared" si="36"/>
        <v>Oct</v>
      </c>
      <c r="G299">
        <v>296</v>
      </c>
      <c r="H299">
        <f t="shared" si="37"/>
        <v>43</v>
      </c>
      <c r="I299" s="87">
        <f t="shared" si="38"/>
        <v>9.741935483870968</v>
      </c>
      <c r="J299" s="15">
        <f t="shared" si="33"/>
        <v>395.16</v>
      </c>
      <c r="K299" s="15">
        <f t="shared" si="39"/>
        <v>526.88</v>
      </c>
      <c r="L299" s="15">
        <f t="shared" si="39"/>
        <v>790.32</v>
      </c>
      <c r="M299" s="15">
        <f t="shared" si="39"/>
        <v>1053.76</v>
      </c>
      <c r="N299" s="15">
        <f t="shared" si="39"/>
        <v>1264.5119999999999</v>
      </c>
      <c r="O299" s="15">
        <f t="shared" si="39"/>
        <v>1580.64</v>
      </c>
      <c r="P299" s="15">
        <f t="shared" si="39"/>
        <v>2107.52</v>
      </c>
    </row>
    <row r="300" spans="1:16">
      <c r="A300" s="13">
        <v>43734</v>
      </c>
      <c r="B300" s="13">
        <f t="shared" si="34"/>
        <v>43739</v>
      </c>
      <c r="C300" s="88">
        <v>43762</v>
      </c>
      <c r="D300" s="13">
        <v>43734</v>
      </c>
      <c r="E300" s="86" t="str">
        <f t="shared" si="35"/>
        <v>W43</v>
      </c>
      <c r="F300" s="86" t="str">
        <f t="shared" si="36"/>
        <v>Oct</v>
      </c>
      <c r="G300">
        <v>297</v>
      </c>
      <c r="H300">
        <f t="shared" si="37"/>
        <v>43</v>
      </c>
      <c r="I300" s="87">
        <f t="shared" si="38"/>
        <v>9.7741935483870961</v>
      </c>
      <c r="J300" s="15">
        <f t="shared" si="33"/>
        <v>395.16</v>
      </c>
      <c r="K300" s="15">
        <f t="shared" si="39"/>
        <v>526.88</v>
      </c>
      <c r="L300" s="15">
        <f t="shared" si="39"/>
        <v>790.32</v>
      </c>
      <c r="M300" s="15">
        <f t="shared" si="39"/>
        <v>1053.76</v>
      </c>
      <c r="N300" s="15">
        <f t="shared" si="39"/>
        <v>1264.5119999999999</v>
      </c>
      <c r="O300" s="15">
        <f t="shared" si="39"/>
        <v>1580.64</v>
      </c>
      <c r="P300" s="15">
        <f t="shared" si="39"/>
        <v>2107.52</v>
      </c>
    </row>
    <row r="301" spans="1:16">
      <c r="A301" s="13">
        <v>43735</v>
      </c>
      <c r="B301" s="13">
        <f t="shared" si="34"/>
        <v>43739</v>
      </c>
      <c r="C301" s="88">
        <v>43763</v>
      </c>
      <c r="D301" s="13">
        <v>43735</v>
      </c>
      <c r="E301" s="86" t="str">
        <f t="shared" si="35"/>
        <v>W43</v>
      </c>
      <c r="F301" s="86" t="str">
        <f t="shared" si="36"/>
        <v>Oct</v>
      </c>
      <c r="G301">
        <v>298</v>
      </c>
      <c r="H301">
        <f t="shared" si="37"/>
        <v>43</v>
      </c>
      <c r="I301" s="87">
        <f t="shared" si="38"/>
        <v>9.806451612903226</v>
      </c>
      <c r="J301" s="15">
        <f t="shared" si="33"/>
        <v>395.16</v>
      </c>
      <c r="K301" s="15">
        <f t="shared" si="39"/>
        <v>526.88</v>
      </c>
      <c r="L301" s="15">
        <f t="shared" si="39"/>
        <v>790.32</v>
      </c>
      <c r="M301" s="15">
        <f t="shared" si="39"/>
        <v>1053.76</v>
      </c>
      <c r="N301" s="15">
        <f t="shared" si="39"/>
        <v>1264.5119999999999</v>
      </c>
      <c r="O301" s="15">
        <f t="shared" si="39"/>
        <v>1580.64</v>
      </c>
      <c r="P301" s="15">
        <f t="shared" si="39"/>
        <v>2107.52</v>
      </c>
    </row>
    <row r="302" spans="1:16">
      <c r="A302" s="13">
        <v>43736</v>
      </c>
      <c r="B302" s="13">
        <f t="shared" si="34"/>
        <v>43739</v>
      </c>
      <c r="C302" s="88">
        <v>43764</v>
      </c>
      <c r="D302" s="13">
        <v>43736</v>
      </c>
      <c r="E302" s="86" t="str">
        <f t="shared" si="35"/>
        <v>W43</v>
      </c>
      <c r="F302" s="86" t="str">
        <f t="shared" si="36"/>
        <v>Oct</v>
      </c>
      <c r="G302">
        <v>299</v>
      </c>
      <c r="H302">
        <f t="shared" si="37"/>
        <v>43</v>
      </c>
      <c r="I302" s="87">
        <f t="shared" si="38"/>
        <v>9.8387096774193541</v>
      </c>
      <c r="J302" s="15">
        <f t="shared" si="33"/>
        <v>395.16</v>
      </c>
      <c r="K302" s="15">
        <f t="shared" si="39"/>
        <v>526.88</v>
      </c>
      <c r="L302" s="15">
        <f t="shared" si="39"/>
        <v>790.32</v>
      </c>
      <c r="M302" s="15">
        <f t="shared" si="39"/>
        <v>1053.76</v>
      </c>
      <c r="N302" s="15">
        <f t="shared" si="39"/>
        <v>1264.5119999999999</v>
      </c>
      <c r="O302" s="15">
        <f t="shared" si="39"/>
        <v>1580.64</v>
      </c>
      <c r="P302" s="15">
        <f t="shared" si="39"/>
        <v>2107.52</v>
      </c>
    </row>
    <row r="303" spans="1:16">
      <c r="A303" s="13">
        <v>43737</v>
      </c>
      <c r="B303" s="13">
        <f t="shared" si="34"/>
        <v>43739</v>
      </c>
      <c r="C303" s="88">
        <v>43765</v>
      </c>
      <c r="D303" s="13">
        <v>43737</v>
      </c>
      <c r="E303" s="86" t="str">
        <f t="shared" si="35"/>
        <v>W44</v>
      </c>
      <c r="F303" s="86" t="str">
        <f t="shared" si="36"/>
        <v>Oct</v>
      </c>
      <c r="G303">
        <v>300</v>
      </c>
      <c r="H303">
        <f t="shared" si="37"/>
        <v>44</v>
      </c>
      <c r="I303" s="87">
        <f t="shared" si="38"/>
        <v>9.870967741935484</v>
      </c>
      <c r="J303" s="15">
        <f t="shared" si="33"/>
        <v>405.84</v>
      </c>
      <c r="K303" s="15">
        <f t="shared" si="39"/>
        <v>541.12</v>
      </c>
      <c r="L303" s="15">
        <f t="shared" si="39"/>
        <v>811.68</v>
      </c>
      <c r="M303" s="15">
        <f t="shared" si="39"/>
        <v>1082.24</v>
      </c>
      <c r="N303" s="15">
        <f t="shared" si="39"/>
        <v>1298.6880000000001</v>
      </c>
      <c r="O303" s="15">
        <f t="shared" si="39"/>
        <v>1623.36</v>
      </c>
      <c r="P303" s="15">
        <f t="shared" si="39"/>
        <v>2164.48</v>
      </c>
    </row>
    <row r="304" spans="1:16">
      <c r="A304" s="13">
        <v>43739</v>
      </c>
      <c r="B304" s="13">
        <f t="shared" si="34"/>
        <v>43739</v>
      </c>
      <c r="C304" s="88">
        <v>43766</v>
      </c>
      <c r="D304" s="13">
        <v>43739</v>
      </c>
      <c r="E304" s="86" t="str">
        <f t="shared" si="35"/>
        <v>W44</v>
      </c>
      <c r="F304" s="86" t="str">
        <f t="shared" si="36"/>
        <v>Oct</v>
      </c>
      <c r="G304">
        <v>301</v>
      </c>
      <c r="H304">
        <f t="shared" si="37"/>
        <v>44</v>
      </c>
      <c r="I304" s="87">
        <f t="shared" si="38"/>
        <v>9.9032258064516121</v>
      </c>
      <c r="J304" s="15">
        <f t="shared" si="33"/>
        <v>405.84</v>
      </c>
      <c r="K304" s="15">
        <f t="shared" si="39"/>
        <v>541.12</v>
      </c>
      <c r="L304" s="15">
        <f t="shared" si="39"/>
        <v>811.68</v>
      </c>
      <c r="M304" s="15">
        <f t="shared" si="39"/>
        <v>1082.24</v>
      </c>
      <c r="N304" s="15">
        <f t="shared" si="39"/>
        <v>1298.6880000000001</v>
      </c>
      <c r="O304" s="15">
        <f t="shared" si="39"/>
        <v>1623.36</v>
      </c>
      <c r="P304" s="15">
        <f t="shared" si="39"/>
        <v>2164.48</v>
      </c>
    </row>
    <row r="305" spans="1:16">
      <c r="A305" s="13">
        <v>43740</v>
      </c>
      <c r="B305" s="13">
        <f t="shared" si="34"/>
        <v>43739</v>
      </c>
      <c r="C305" s="88">
        <v>43767</v>
      </c>
      <c r="D305" s="13">
        <v>43740</v>
      </c>
      <c r="E305" s="86" t="str">
        <f t="shared" si="35"/>
        <v>W44</v>
      </c>
      <c r="F305" s="86" t="str">
        <f t="shared" si="36"/>
        <v>Oct</v>
      </c>
      <c r="G305">
        <v>302</v>
      </c>
      <c r="H305">
        <f t="shared" si="37"/>
        <v>44</v>
      </c>
      <c r="I305" s="87">
        <f t="shared" si="38"/>
        <v>9.935483870967742</v>
      </c>
      <c r="J305" s="15">
        <f t="shared" si="33"/>
        <v>405.84</v>
      </c>
      <c r="K305" s="15">
        <f t="shared" si="39"/>
        <v>541.12</v>
      </c>
      <c r="L305" s="15">
        <f t="shared" si="39"/>
        <v>811.68</v>
      </c>
      <c r="M305" s="15">
        <f t="shared" si="39"/>
        <v>1082.24</v>
      </c>
      <c r="N305" s="15">
        <f t="shared" si="39"/>
        <v>1298.6880000000001</v>
      </c>
      <c r="O305" s="15">
        <f t="shared" si="39"/>
        <v>1623.36</v>
      </c>
      <c r="P305" s="15">
        <f t="shared" si="39"/>
        <v>2164.48</v>
      </c>
    </row>
    <row r="306" spans="1:16">
      <c r="A306" s="13">
        <v>43741</v>
      </c>
      <c r="B306" s="13">
        <f t="shared" si="34"/>
        <v>43739</v>
      </c>
      <c r="C306" s="88">
        <v>43768</v>
      </c>
      <c r="D306" s="13">
        <v>43741</v>
      </c>
      <c r="E306" s="86" t="str">
        <f t="shared" si="35"/>
        <v>W44</v>
      </c>
      <c r="F306" s="86" t="str">
        <f t="shared" si="36"/>
        <v>Oct</v>
      </c>
      <c r="G306">
        <v>303</v>
      </c>
      <c r="H306">
        <f t="shared" si="37"/>
        <v>44</v>
      </c>
      <c r="I306" s="87">
        <f t="shared" si="38"/>
        <v>9.9677419354838719</v>
      </c>
      <c r="J306" s="15">
        <f t="shared" si="33"/>
        <v>405.84</v>
      </c>
      <c r="K306" s="15">
        <f t="shared" si="39"/>
        <v>541.12</v>
      </c>
      <c r="L306" s="15">
        <f t="shared" si="39"/>
        <v>811.68</v>
      </c>
      <c r="M306" s="15">
        <f t="shared" si="39"/>
        <v>1082.24</v>
      </c>
      <c r="N306" s="15">
        <f t="shared" si="39"/>
        <v>1298.6880000000001</v>
      </c>
      <c r="O306" s="15">
        <f t="shared" si="39"/>
        <v>1623.36</v>
      </c>
      <c r="P306" s="15">
        <f t="shared" si="39"/>
        <v>2164.48</v>
      </c>
    </row>
    <row r="307" spans="1:16">
      <c r="A307" s="13">
        <v>43742</v>
      </c>
      <c r="B307" s="13">
        <f t="shared" si="34"/>
        <v>43739</v>
      </c>
      <c r="C307" s="88">
        <v>43769</v>
      </c>
      <c r="D307" s="13">
        <v>43742</v>
      </c>
      <c r="E307" s="86" t="str">
        <f t="shared" si="35"/>
        <v>W44</v>
      </c>
      <c r="F307" s="86" t="str">
        <f t="shared" si="36"/>
        <v>Oct</v>
      </c>
      <c r="G307">
        <v>304</v>
      </c>
      <c r="H307">
        <f t="shared" si="37"/>
        <v>44</v>
      </c>
      <c r="I307" s="87">
        <f t="shared" si="38"/>
        <v>10</v>
      </c>
      <c r="J307" s="15">
        <f t="shared" si="33"/>
        <v>405.84</v>
      </c>
      <c r="K307" s="15">
        <f t="shared" si="39"/>
        <v>541.12</v>
      </c>
      <c r="L307" s="15">
        <f t="shared" si="39"/>
        <v>811.68</v>
      </c>
      <c r="M307" s="15">
        <f t="shared" si="39"/>
        <v>1082.24</v>
      </c>
      <c r="N307" s="15">
        <f t="shared" si="39"/>
        <v>1298.6880000000001</v>
      </c>
      <c r="O307" s="15">
        <f t="shared" si="39"/>
        <v>1623.36</v>
      </c>
      <c r="P307" s="15">
        <f t="shared" si="39"/>
        <v>2164.48</v>
      </c>
    </row>
    <row r="308" spans="1:16">
      <c r="A308" s="13">
        <v>43743</v>
      </c>
      <c r="B308" s="13">
        <f t="shared" si="34"/>
        <v>43770</v>
      </c>
      <c r="C308" s="88">
        <v>43770</v>
      </c>
      <c r="D308" s="13">
        <v>43743</v>
      </c>
      <c r="E308" s="86" t="str">
        <f t="shared" si="35"/>
        <v>W44</v>
      </c>
      <c r="F308" s="86" t="str">
        <f t="shared" si="36"/>
        <v>Nov</v>
      </c>
      <c r="G308">
        <v>305</v>
      </c>
      <c r="H308">
        <f t="shared" si="37"/>
        <v>44</v>
      </c>
      <c r="I308" s="87">
        <f t="shared" si="38"/>
        <v>10.033333333333333</v>
      </c>
      <c r="J308" s="15">
        <f t="shared" si="33"/>
        <v>405.84</v>
      </c>
      <c r="K308" s="15">
        <f t="shared" si="39"/>
        <v>541.12</v>
      </c>
      <c r="L308" s="15">
        <f t="shared" si="39"/>
        <v>811.68</v>
      </c>
      <c r="M308" s="15">
        <f t="shared" si="39"/>
        <v>1082.24</v>
      </c>
      <c r="N308" s="15">
        <f t="shared" si="39"/>
        <v>1298.6880000000001</v>
      </c>
      <c r="O308" s="15">
        <f t="shared" si="39"/>
        <v>1623.36</v>
      </c>
      <c r="P308" s="15">
        <f t="shared" si="39"/>
        <v>2164.48</v>
      </c>
    </row>
    <row r="309" spans="1:16">
      <c r="A309" s="13">
        <v>43744</v>
      </c>
      <c r="B309" s="13">
        <f t="shared" si="34"/>
        <v>43770</v>
      </c>
      <c r="C309" s="88">
        <v>43771</v>
      </c>
      <c r="D309" s="13">
        <v>43744</v>
      </c>
      <c r="E309" s="86" t="str">
        <f t="shared" si="35"/>
        <v>W44</v>
      </c>
      <c r="F309" s="86" t="str">
        <f t="shared" si="36"/>
        <v>Nov</v>
      </c>
      <c r="G309">
        <v>306</v>
      </c>
      <c r="H309">
        <f t="shared" si="37"/>
        <v>44</v>
      </c>
      <c r="I309" s="87">
        <f t="shared" si="38"/>
        <v>10.066666666666666</v>
      </c>
      <c r="J309" s="15">
        <f t="shared" si="33"/>
        <v>405.84</v>
      </c>
      <c r="K309" s="15">
        <f t="shared" si="39"/>
        <v>541.12</v>
      </c>
      <c r="L309" s="15">
        <f t="shared" ref="K309:P351" si="40">IF($H309&lt;=9,0,(($H309-6)*0.16*26700)/L$3)</f>
        <v>811.68</v>
      </c>
      <c r="M309" s="15">
        <f t="shared" si="40"/>
        <v>1082.24</v>
      </c>
      <c r="N309" s="15">
        <f t="shared" si="40"/>
        <v>1298.6880000000001</v>
      </c>
      <c r="O309" s="15">
        <f t="shared" si="40"/>
        <v>1623.36</v>
      </c>
      <c r="P309" s="15">
        <f t="shared" si="40"/>
        <v>2164.48</v>
      </c>
    </row>
    <row r="310" spans="1:16">
      <c r="A310" s="13">
        <v>43745</v>
      </c>
      <c r="B310" s="13">
        <f t="shared" si="34"/>
        <v>43770</v>
      </c>
      <c r="C310" s="88">
        <v>43772</v>
      </c>
      <c r="D310" s="13">
        <v>43745</v>
      </c>
      <c r="E310" s="86" t="str">
        <f t="shared" si="35"/>
        <v>W45</v>
      </c>
      <c r="F310" s="86" t="str">
        <f t="shared" si="36"/>
        <v>Nov</v>
      </c>
      <c r="G310">
        <v>307</v>
      </c>
      <c r="H310">
        <f t="shared" si="37"/>
        <v>45</v>
      </c>
      <c r="I310" s="87">
        <f t="shared" si="38"/>
        <v>10.1</v>
      </c>
      <c r="J310" s="15">
        <f t="shared" si="33"/>
        <v>416.52</v>
      </c>
      <c r="K310" s="15">
        <f t="shared" si="40"/>
        <v>555.36</v>
      </c>
      <c r="L310" s="15">
        <f t="shared" si="40"/>
        <v>833.04</v>
      </c>
      <c r="M310" s="15">
        <f t="shared" si="40"/>
        <v>1110.72</v>
      </c>
      <c r="N310" s="15">
        <f t="shared" si="40"/>
        <v>1332.864</v>
      </c>
      <c r="O310" s="15">
        <f t="shared" si="40"/>
        <v>1666.08</v>
      </c>
      <c r="P310" s="15">
        <f t="shared" si="40"/>
        <v>2221.44</v>
      </c>
    </row>
    <row r="311" spans="1:16">
      <c r="A311" s="13">
        <v>43746</v>
      </c>
      <c r="B311" s="13">
        <f t="shared" si="34"/>
        <v>43770</v>
      </c>
      <c r="C311" s="88">
        <v>43773</v>
      </c>
      <c r="D311" s="13">
        <v>43746</v>
      </c>
      <c r="E311" s="86" t="str">
        <f t="shared" si="35"/>
        <v>W45</v>
      </c>
      <c r="F311" s="86" t="str">
        <f t="shared" si="36"/>
        <v>Nov</v>
      </c>
      <c r="G311">
        <v>308</v>
      </c>
      <c r="H311">
        <f t="shared" si="37"/>
        <v>45</v>
      </c>
      <c r="I311" s="87">
        <f t="shared" si="38"/>
        <v>10.133333333333333</v>
      </c>
      <c r="J311" s="15">
        <f t="shared" ref="J311:J368" si="41">IF($H311&lt;=9,0,(($H311-6)*0.16*26700)/J$3)</f>
        <v>416.52</v>
      </c>
      <c r="K311" s="15">
        <f t="shared" si="40"/>
        <v>555.36</v>
      </c>
      <c r="L311" s="15">
        <f t="shared" si="40"/>
        <v>833.04</v>
      </c>
      <c r="M311" s="15">
        <f t="shared" si="40"/>
        <v>1110.72</v>
      </c>
      <c r="N311" s="15">
        <f t="shared" si="40"/>
        <v>1332.864</v>
      </c>
      <c r="O311" s="15">
        <f t="shared" si="40"/>
        <v>1666.08</v>
      </c>
      <c r="P311" s="15">
        <f t="shared" si="40"/>
        <v>2221.44</v>
      </c>
    </row>
    <row r="312" spans="1:16">
      <c r="A312" s="13">
        <v>43747</v>
      </c>
      <c r="B312" s="13">
        <f t="shared" si="34"/>
        <v>43770</v>
      </c>
      <c r="C312" s="88">
        <v>43774</v>
      </c>
      <c r="D312" s="13">
        <v>43747</v>
      </c>
      <c r="E312" s="86" t="str">
        <f t="shared" si="35"/>
        <v>W45</v>
      </c>
      <c r="F312" s="86" t="str">
        <f t="shared" si="36"/>
        <v>Nov</v>
      </c>
      <c r="G312">
        <v>309</v>
      </c>
      <c r="H312">
        <f t="shared" si="37"/>
        <v>45</v>
      </c>
      <c r="I312" s="87">
        <f t="shared" si="38"/>
        <v>10.166666666666666</v>
      </c>
      <c r="J312" s="15">
        <f t="shared" si="41"/>
        <v>416.52</v>
      </c>
      <c r="K312" s="15">
        <f t="shared" si="40"/>
        <v>555.36</v>
      </c>
      <c r="L312" s="15">
        <f t="shared" si="40"/>
        <v>833.04</v>
      </c>
      <c r="M312" s="15">
        <f t="shared" si="40"/>
        <v>1110.72</v>
      </c>
      <c r="N312" s="15">
        <f t="shared" si="40"/>
        <v>1332.864</v>
      </c>
      <c r="O312" s="15">
        <f t="shared" si="40"/>
        <v>1666.08</v>
      </c>
      <c r="P312" s="15">
        <f t="shared" si="40"/>
        <v>2221.44</v>
      </c>
    </row>
    <row r="313" spans="1:16">
      <c r="A313" s="13">
        <v>43748</v>
      </c>
      <c r="B313" s="13">
        <f t="shared" si="34"/>
        <v>43770</v>
      </c>
      <c r="C313" s="88">
        <v>43775</v>
      </c>
      <c r="D313" s="13">
        <v>43748</v>
      </c>
      <c r="E313" s="86" t="str">
        <f t="shared" si="35"/>
        <v>W45</v>
      </c>
      <c r="F313" s="86" t="str">
        <f t="shared" si="36"/>
        <v>Nov</v>
      </c>
      <c r="G313">
        <v>310</v>
      </c>
      <c r="H313">
        <f t="shared" si="37"/>
        <v>45</v>
      </c>
      <c r="I313" s="87">
        <f t="shared" si="38"/>
        <v>10.199999999999999</v>
      </c>
      <c r="J313" s="15">
        <f t="shared" si="41"/>
        <v>416.52</v>
      </c>
      <c r="K313" s="15">
        <f t="shared" si="40"/>
        <v>555.36</v>
      </c>
      <c r="L313" s="15">
        <f t="shared" si="40"/>
        <v>833.04</v>
      </c>
      <c r="M313" s="15">
        <f t="shared" si="40"/>
        <v>1110.72</v>
      </c>
      <c r="N313" s="15">
        <f t="shared" si="40"/>
        <v>1332.864</v>
      </c>
      <c r="O313" s="15">
        <f t="shared" si="40"/>
        <v>1666.08</v>
      </c>
      <c r="P313" s="15">
        <f t="shared" si="40"/>
        <v>2221.44</v>
      </c>
    </row>
    <row r="314" spans="1:16">
      <c r="A314" s="13">
        <v>43749</v>
      </c>
      <c r="B314" s="13">
        <f t="shared" si="34"/>
        <v>43770</v>
      </c>
      <c r="C314" s="88">
        <v>43776</v>
      </c>
      <c r="D314" s="13">
        <v>43749</v>
      </c>
      <c r="E314" s="86" t="str">
        <f t="shared" si="35"/>
        <v>W45</v>
      </c>
      <c r="F314" s="86" t="str">
        <f t="shared" si="36"/>
        <v>Nov</v>
      </c>
      <c r="G314">
        <v>311</v>
      </c>
      <c r="H314">
        <f t="shared" si="37"/>
        <v>45</v>
      </c>
      <c r="I314" s="87">
        <f t="shared" si="38"/>
        <v>10.233333333333333</v>
      </c>
      <c r="J314" s="15">
        <f t="shared" si="41"/>
        <v>416.52</v>
      </c>
      <c r="K314" s="15">
        <f t="shared" si="40"/>
        <v>555.36</v>
      </c>
      <c r="L314" s="15">
        <f t="shared" si="40"/>
        <v>833.04</v>
      </c>
      <c r="M314" s="15">
        <f t="shared" si="40"/>
        <v>1110.72</v>
      </c>
      <c r="N314" s="15">
        <f t="shared" si="40"/>
        <v>1332.864</v>
      </c>
      <c r="O314" s="15">
        <f t="shared" si="40"/>
        <v>1666.08</v>
      </c>
      <c r="P314" s="15">
        <f t="shared" si="40"/>
        <v>2221.44</v>
      </c>
    </row>
    <row r="315" spans="1:16">
      <c r="A315" s="13">
        <v>43750</v>
      </c>
      <c r="B315" s="13">
        <f t="shared" si="34"/>
        <v>43770</v>
      </c>
      <c r="C315" s="88">
        <v>43777</v>
      </c>
      <c r="D315" s="13">
        <v>43750</v>
      </c>
      <c r="E315" s="86" t="str">
        <f t="shared" si="35"/>
        <v>W45</v>
      </c>
      <c r="F315" s="86" t="str">
        <f t="shared" si="36"/>
        <v>Nov</v>
      </c>
      <c r="G315">
        <v>312</v>
      </c>
      <c r="H315">
        <f t="shared" si="37"/>
        <v>45</v>
      </c>
      <c r="I315" s="87">
        <f t="shared" si="38"/>
        <v>10.266666666666667</v>
      </c>
      <c r="J315" s="15">
        <f t="shared" si="41"/>
        <v>416.52</v>
      </c>
      <c r="K315" s="15">
        <f t="shared" si="40"/>
        <v>555.36</v>
      </c>
      <c r="L315" s="15">
        <f t="shared" si="40"/>
        <v>833.04</v>
      </c>
      <c r="M315" s="15">
        <f t="shared" si="40"/>
        <v>1110.72</v>
      </c>
      <c r="N315" s="15">
        <f t="shared" si="40"/>
        <v>1332.864</v>
      </c>
      <c r="O315" s="15">
        <f t="shared" si="40"/>
        <v>1666.08</v>
      </c>
      <c r="P315" s="15">
        <f t="shared" si="40"/>
        <v>2221.44</v>
      </c>
    </row>
    <row r="316" spans="1:16">
      <c r="A316" s="13">
        <v>43751</v>
      </c>
      <c r="B316" s="13">
        <f t="shared" si="34"/>
        <v>43770</v>
      </c>
      <c r="C316" s="88">
        <v>43778</v>
      </c>
      <c r="D316" s="13">
        <v>43751</v>
      </c>
      <c r="E316" s="86" t="str">
        <f t="shared" si="35"/>
        <v>W45</v>
      </c>
      <c r="F316" s="86" t="str">
        <f t="shared" si="36"/>
        <v>Nov</v>
      </c>
      <c r="G316">
        <v>313</v>
      </c>
      <c r="H316">
        <f t="shared" si="37"/>
        <v>45</v>
      </c>
      <c r="I316" s="87">
        <f t="shared" si="38"/>
        <v>10.3</v>
      </c>
      <c r="J316" s="15">
        <f t="shared" si="41"/>
        <v>416.52</v>
      </c>
      <c r="K316" s="15">
        <f t="shared" si="40"/>
        <v>555.36</v>
      </c>
      <c r="L316" s="15">
        <f t="shared" si="40"/>
        <v>833.04</v>
      </c>
      <c r="M316" s="15">
        <f t="shared" si="40"/>
        <v>1110.72</v>
      </c>
      <c r="N316" s="15">
        <f t="shared" si="40"/>
        <v>1332.864</v>
      </c>
      <c r="O316" s="15">
        <f t="shared" si="40"/>
        <v>1666.08</v>
      </c>
      <c r="P316" s="15">
        <f t="shared" si="40"/>
        <v>2221.44</v>
      </c>
    </row>
    <row r="317" spans="1:16">
      <c r="A317" s="13">
        <v>43752</v>
      </c>
      <c r="B317" s="13">
        <f t="shared" si="34"/>
        <v>43770</v>
      </c>
      <c r="C317" s="88">
        <v>43779</v>
      </c>
      <c r="D317" s="13">
        <v>43752</v>
      </c>
      <c r="E317" s="86" t="str">
        <f t="shared" si="35"/>
        <v>W46</v>
      </c>
      <c r="F317" s="86" t="str">
        <f t="shared" si="36"/>
        <v>Nov</v>
      </c>
      <c r="G317">
        <v>314</v>
      </c>
      <c r="H317">
        <f t="shared" si="37"/>
        <v>46</v>
      </c>
      <c r="I317" s="87">
        <f t="shared" si="38"/>
        <v>10.333333333333334</v>
      </c>
      <c r="J317" s="15">
        <f t="shared" si="41"/>
        <v>427.2</v>
      </c>
      <c r="K317" s="15">
        <f t="shared" si="40"/>
        <v>569.6</v>
      </c>
      <c r="L317" s="15">
        <f t="shared" si="40"/>
        <v>854.4</v>
      </c>
      <c r="M317" s="15">
        <f t="shared" si="40"/>
        <v>1139.2</v>
      </c>
      <c r="N317" s="15">
        <f t="shared" si="40"/>
        <v>1367.04</v>
      </c>
      <c r="O317" s="15">
        <f t="shared" si="40"/>
        <v>1708.8</v>
      </c>
      <c r="P317" s="15">
        <f t="shared" si="40"/>
        <v>2278.4</v>
      </c>
    </row>
    <row r="318" spans="1:16">
      <c r="A318" s="13">
        <v>43753</v>
      </c>
      <c r="B318" s="13">
        <f t="shared" si="34"/>
        <v>43770</v>
      </c>
      <c r="C318" s="88">
        <v>43780</v>
      </c>
      <c r="D318" s="13">
        <v>43753</v>
      </c>
      <c r="E318" s="86" t="str">
        <f t="shared" si="35"/>
        <v>W46</v>
      </c>
      <c r="F318" s="86" t="str">
        <f t="shared" si="36"/>
        <v>Nov</v>
      </c>
      <c r="G318">
        <v>315</v>
      </c>
      <c r="H318">
        <f t="shared" si="37"/>
        <v>46</v>
      </c>
      <c r="I318" s="87">
        <f t="shared" si="38"/>
        <v>10.366666666666667</v>
      </c>
      <c r="J318" s="15">
        <f t="shared" si="41"/>
        <v>427.2</v>
      </c>
      <c r="K318" s="15">
        <f t="shared" si="40"/>
        <v>569.6</v>
      </c>
      <c r="L318" s="15">
        <f t="shared" si="40"/>
        <v>854.4</v>
      </c>
      <c r="M318" s="15">
        <f t="shared" si="40"/>
        <v>1139.2</v>
      </c>
      <c r="N318" s="15">
        <f t="shared" si="40"/>
        <v>1367.04</v>
      </c>
      <c r="O318" s="15">
        <f t="shared" si="40"/>
        <v>1708.8</v>
      </c>
      <c r="P318" s="15">
        <f t="shared" si="40"/>
        <v>2278.4</v>
      </c>
    </row>
    <row r="319" spans="1:16">
      <c r="A319" s="13">
        <v>43754</v>
      </c>
      <c r="B319" s="13">
        <f t="shared" si="34"/>
        <v>43770</v>
      </c>
      <c r="C319" s="88">
        <v>43781</v>
      </c>
      <c r="D319" s="13">
        <v>43754</v>
      </c>
      <c r="E319" s="86" t="str">
        <f t="shared" si="35"/>
        <v>W46</v>
      </c>
      <c r="F319" s="86" t="str">
        <f t="shared" si="36"/>
        <v>Nov</v>
      </c>
      <c r="G319">
        <v>316</v>
      </c>
      <c r="H319">
        <f t="shared" si="37"/>
        <v>46</v>
      </c>
      <c r="I319" s="87">
        <f t="shared" si="38"/>
        <v>10.4</v>
      </c>
      <c r="J319" s="15">
        <f t="shared" si="41"/>
        <v>427.2</v>
      </c>
      <c r="K319" s="15">
        <f t="shared" si="40"/>
        <v>569.6</v>
      </c>
      <c r="L319" s="15">
        <f t="shared" si="40"/>
        <v>854.4</v>
      </c>
      <c r="M319" s="15">
        <f t="shared" si="40"/>
        <v>1139.2</v>
      </c>
      <c r="N319" s="15">
        <f t="shared" si="40"/>
        <v>1367.04</v>
      </c>
      <c r="O319" s="15">
        <f t="shared" si="40"/>
        <v>1708.8</v>
      </c>
      <c r="P319" s="15">
        <f t="shared" si="40"/>
        <v>2278.4</v>
      </c>
    </row>
    <row r="320" spans="1:16">
      <c r="A320" s="13">
        <v>43755</v>
      </c>
      <c r="B320" s="13">
        <f t="shared" si="34"/>
        <v>43770</v>
      </c>
      <c r="C320" s="88">
        <v>43782</v>
      </c>
      <c r="D320" s="13">
        <v>43755</v>
      </c>
      <c r="E320" s="86" t="str">
        <f t="shared" si="35"/>
        <v>W46</v>
      </c>
      <c r="F320" s="86" t="str">
        <f t="shared" si="36"/>
        <v>Nov</v>
      </c>
      <c r="G320">
        <v>317</v>
      </c>
      <c r="H320">
        <f t="shared" si="37"/>
        <v>46</v>
      </c>
      <c r="I320" s="87">
        <f t="shared" si="38"/>
        <v>10.433333333333334</v>
      </c>
      <c r="J320" s="15">
        <f t="shared" si="41"/>
        <v>427.2</v>
      </c>
      <c r="K320" s="15">
        <f t="shared" si="40"/>
        <v>569.6</v>
      </c>
      <c r="L320" s="15">
        <f t="shared" si="40"/>
        <v>854.4</v>
      </c>
      <c r="M320" s="15">
        <f t="shared" si="40"/>
        <v>1139.2</v>
      </c>
      <c r="N320" s="15">
        <f t="shared" si="40"/>
        <v>1367.04</v>
      </c>
      <c r="O320" s="15">
        <f t="shared" si="40"/>
        <v>1708.8</v>
      </c>
      <c r="P320" s="15">
        <f t="shared" si="40"/>
        <v>2278.4</v>
      </c>
    </row>
    <row r="321" spans="1:16">
      <c r="A321" s="13">
        <v>43756</v>
      </c>
      <c r="B321" s="13">
        <f t="shared" si="34"/>
        <v>43770</v>
      </c>
      <c r="C321" s="88">
        <v>43783</v>
      </c>
      <c r="D321" s="13">
        <v>43756</v>
      </c>
      <c r="E321" s="86" t="str">
        <f t="shared" si="35"/>
        <v>W46</v>
      </c>
      <c r="F321" s="86" t="str">
        <f t="shared" si="36"/>
        <v>Nov</v>
      </c>
      <c r="G321">
        <v>318</v>
      </c>
      <c r="H321">
        <f t="shared" si="37"/>
        <v>46</v>
      </c>
      <c r="I321" s="87">
        <f t="shared" si="38"/>
        <v>10.466666666666667</v>
      </c>
      <c r="J321" s="15">
        <f t="shared" si="41"/>
        <v>427.2</v>
      </c>
      <c r="K321" s="15">
        <f t="shared" si="40"/>
        <v>569.6</v>
      </c>
      <c r="L321" s="15">
        <f t="shared" si="40"/>
        <v>854.4</v>
      </c>
      <c r="M321" s="15">
        <f t="shared" si="40"/>
        <v>1139.2</v>
      </c>
      <c r="N321" s="15">
        <f t="shared" si="40"/>
        <v>1367.04</v>
      </c>
      <c r="O321" s="15">
        <f t="shared" si="40"/>
        <v>1708.8</v>
      </c>
      <c r="P321" s="15">
        <f t="shared" si="40"/>
        <v>2278.4</v>
      </c>
    </row>
    <row r="322" spans="1:16">
      <c r="A322" s="13">
        <v>43757</v>
      </c>
      <c r="B322" s="13">
        <f t="shared" si="34"/>
        <v>43770</v>
      </c>
      <c r="C322" s="88">
        <v>43784</v>
      </c>
      <c r="D322" s="13">
        <v>43757</v>
      </c>
      <c r="E322" s="86" t="str">
        <f t="shared" si="35"/>
        <v>W46</v>
      </c>
      <c r="F322" s="86" t="str">
        <f t="shared" si="36"/>
        <v>Nov</v>
      </c>
      <c r="G322">
        <v>319</v>
      </c>
      <c r="H322">
        <f t="shared" si="37"/>
        <v>46</v>
      </c>
      <c r="I322" s="87">
        <f t="shared" si="38"/>
        <v>10.5</v>
      </c>
      <c r="J322" s="15">
        <f t="shared" si="41"/>
        <v>427.2</v>
      </c>
      <c r="K322" s="15">
        <f t="shared" si="40"/>
        <v>569.6</v>
      </c>
      <c r="L322" s="15">
        <f t="shared" si="40"/>
        <v>854.4</v>
      </c>
      <c r="M322" s="15">
        <f t="shared" si="40"/>
        <v>1139.2</v>
      </c>
      <c r="N322" s="15">
        <f t="shared" si="40"/>
        <v>1367.04</v>
      </c>
      <c r="O322" s="15">
        <f t="shared" si="40"/>
        <v>1708.8</v>
      </c>
      <c r="P322" s="15">
        <f t="shared" si="40"/>
        <v>2278.4</v>
      </c>
    </row>
    <row r="323" spans="1:16">
      <c r="A323" s="13">
        <v>43758</v>
      </c>
      <c r="B323" s="13">
        <f t="shared" si="34"/>
        <v>43770</v>
      </c>
      <c r="C323" s="88">
        <v>43785</v>
      </c>
      <c r="D323" s="13">
        <v>43758</v>
      </c>
      <c r="E323" s="86" t="str">
        <f t="shared" si="35"/>
        <v>W46</v>
      </c>
      <c r="F323" s="86" t="str">
        <f t="shared" si="36"/>
        <v>Nov</v>
      </c>
      <c r="G323">
        <v>320</v>
      </c>
      <c r="H323">
        <f t="shared" si="37"/>
        <v>46</v>
      </c>
      <c r="I323" s="87">
        <f t="shared" si="38"/>
        <v>10.533333333333333</v>
      </c>
      <c r="J323" s="15">
        <f t="shared" si="41"/>
        <v>427.2</v>
      </c>
      <c r="K323" s="15">
        <f t="shared" si="40"/>
        <v>569.6</v>
      </c>
      <c r="L323" s="15">
        <f t="shared" si="40"/>
        <v>854.4</v>
      </c>
      <c r="M323" s="15">
        <f t="shared" si="40"/>
        <v>1139.2</v>
      </c>
      <c r="N323" s="15">
        <f t="shared" si="40"/>
        <v>1367.04</v>
      </c>
      <c r="O323" s="15">
        <f t="shared" si="40"/>
        <v>1708.8</v>
      </c>
      <c r="P323" s="15">
        <f t="shared" si="40"/>
        <v>2278.4</v>
      </c>
    </row>
    <row r="324" spans="1:16">
      <c r="A324" s="13">
        <v>43759</v>
      </c>
      <c r="B324" s="13">
        <f t="shared" ref="B324:B368" si="42">DATE(2019,MONTH(C324),1)</f>
        <v>43770</v>
      </c>
      <c r="C324" s="88">
        <v>43786</v>
      </c>
      <c r="D324" s="13">
        <v>43759</v>
      </c>
      <c r="E324" s="86" t="str">
        <f t="shared" ref="E324:E368" si="43">"W"&amp;WEEKNUM(C324)</f>
        <v>W47</v>
      </c>
      <c r="F324" s="86" t="str">
        <f t="shared" ref="F324:F368" si="44">TEXT(C324,"MMM")</f>
        <v>Nov</v>
      </c>
      <c r="G324">
        <v>321</v>
      </c>
      <c r="H324">
        <f t="shared" ref="H324:H368" si="45">WEEKNUM(C324)</f>
        <v>47</v>
      </c>
      <c r="I324" s="87">
        <f t="shared" ref="I324:I368" si="46">(DATEDIF(B324,C324,"D")+1)/VLOOKUP(F324,$AC$4:$AD$15,2,0)+(MONTH(C324)*1-1)</f>
        <v>10.566666666666666</v>
      </c>
      <c r="J324" s="15">
        <f t="shared" si="41"/>
        <v>437.88</v>
      </c>
      <c r="K324" s="15">
        <f t="shared" si="40"/>
        <v>583.84</v>
      </c>
      <c r="L324" s="15">
        <f t="shared" si="40"/>
        <v>875.76</v>
      </c>
      <c r="M324" s="15">
        <f t="shared" si="40"/>
        <v>1167.68</v>
      </c>
      <c r="N324" s="15">
        <f t="shared" si="40"/>
        <v>1401.2159999999999</v>
      </c>
      <c r="O324" s="15">
        <f t="shared" si="40"/>
        <v>1751.52</v>
      </c>
      <c r="P324" s="15">
        <f t="shared" si="40"/>
        <v>2335.36</v>
      </c>
    </row>
    <row r="325" spans="1:16">
      <c r="A325" s="13">
        <v>43760</v>
      </c>
      <c r="B325" s="13">
        <f t="shared" si="42"/>
        <v>43770</v>
      </c>
      <c r="C325" s="88">
        <v>43787</v>
      </c>
      <c r="D325" s="13">
        <v>43760</v>
      </c>
      <c r="E325" s="86" t="str">
        <f t="shared" si="43"/>
        <v>W47</v>
      </c>
      <c r="F325" s="86" t="str">
        <f t="shared" si="44"/>
        <v>Nov</v>
      </c>
      <c r="G325">
        <v>322</v>
      </c>
      <c r="H325">
        <f t="shared" si="45"/>
        <v>47</v>
      </c>
      <c r="I325" s="87">
        <f t="shared" si="46"/>
        <v>10.6</v>
      </c>
      <c r="J325" s="15">
        <f t="shared" si="41"/>
        <v>437.88</v>
      </c>
      <c r="K325" s="15">
        <f t="shared" si="40"/>
        <v>583.84</v>
      </c>
      <c r="L325" s="15">
        <f t="shared" si="40"/>
        <v>875.76</v>
      </c>
      <c r="M325" s="15">
        <f t="shared" si="40"/>
        <v>1167.68</v>
      </c>
      <c r="N325" s="15">
        <f t="shared" si="40"/>
        <v>1401.2159999999999</v>
      </c>
      <c r="O325" s="15">
        <f t="shared" si="40"/>
        <v>1751.52</v>
      </c>
      <c r="P325" s="15">
        <f t="shared" si="40"/>
        <v>2335.36</v>
      </c>
    </row>
    <row r="326" spans="1:16">
      <c r="A326" s="13">
        <v>43761</v>
      </c>
      <c r="B326" s="13">
        <f t="shared" si="42"/>
        <v>43770</v>
      </c>
      <c r="C326" s="88">
        <v>43788</v>
      </c>
      <c r="D326" s="13">
        <v>43761</v>
      </c>
      <c r="E326" s="86" t="str">
        <f t="shared" si="43"/>
        <v>W47</v>
      </c>
      <c r="F326" s="86" t="str">
        <f t="shared" si="44"/>
        <v>Nov</v>
      </c>
      <c r="G326">
        <v>323</v>
      </c>
      <c r="H326">
        <f t="shared" si="45"/>
        <v>47</v>
      </c>
      <c r="I326" s="87">
        <f t="shared" si="46"/>
        <v>10.633333333333333</v>
      </c>
      <c r="J326" s="15">
        <f t="shared" si="41"/>
        <v>437.88</v>
      </c>
      <c r="K326" s="15">
        <f t="shared" si="40"/>
        <v>583.84</v>
      </c>
      <c r="L326" s="15">
        <f t="shared" si="40"/>
        <v>875.76</v>
      </c>
      <c r="M326" s="15">
        <f t="shared" si="40"/>
        <v>1167.68</v>
      </c>
      <c r="N326" s="15">
        <f t="shared" si="40"/>
        <v>1401.2159999999999</v>
      </c>
      <c r="O326" s="15">
        <f t="shared" si="40"/>
        <v>1751.52</v>
      </c>
      <c r="P326" s="15">
        <f t="shared" si="40"/>
        <v>2335.36</v>
      </c>
    </row>
    <row r="327" spans="1:16">
      <c r="A327" s="13">
        <v>43762</v>
      </c>
      <c r="B327" s="13">
        <f t="shared" si="42"/>
        <v>43770</v>
      </c>
      <c r="C327" s="88">
        <v>43789</v>
      </c>
      <c r="D327" s="13">
        <v>43762</v>
      </c>
      <c r="E327" s="86" t="str">
        <f t="shared" si="43"/>
        <v>W47</v>
      </c>
      <c r="F327" s="86" t="str">
        <f t="shared" si="44"/>
        <v>Nov</v>
      </c>
      <c r="G327">
        <v>324</v>
      </c>
      <c r="H327">
        <f t="shared" si="45"/>
        <v>47</v>
      </c>
      <c r="I327" s="87">
        <f t="shared" si="46"/>
        <v>10.666666666666666</v>
      </c>
      <c r="J327" s="15">
        <f t="shared" si="41"/>
        <v>437.88</v>
      </c>
      <c r="K327" s="15">
        <f t="shared" si="40"/>
        <v>583.84</v>
      </c>
      <c r="L327" s="15">
        <f t="shared" si="40"/>
        <v>875.76</v>
      </c>
      <c r="M327" s="15">
        <f t="shared" si="40"/>
        <v>1167.68</v>
      </c>
      <c r="N327" s="15">
        <f t="shared" si="40"/>
        <v>1401.2159999999999</v>
      </c>
      <c r="O327" s="15">
        <f t="shared" si="40"/>
        <v>1751.52</v>
      </c>
      <c r="P327" s="15">
        <f t="shared" si="40"/>
        <v>2335.36</v>
      </c>
    </row>
    <row r="328" spans="1:16">
      <c r="A328" s="13">
        <v>43763</v>
      </c>
      <c r="B328" s="13">
        <f t="shared" si="42"/>
        <v>43770</v>
      </c>
      <c r="C328" s="88">
        <v>43790</v>
      </c>
      <c r="D328" s="13">
        <v>43763</v>
      </c>
      <c r="E328" s="86" t="str">
        <f t="shared" si="43"/>
        <v>W47</v>
      </c>
      <c r="F328" s="86" t="str">
        <f t="shared" si="44"/>
        <v>Nov</v>
      </c>
      <c r="G328">
        <v>325</v>
      </c>
      <c r="H328">
        <f t="shared" si="45"/>
        <v>47</v>
      </c>
      <c r="I328" s="87">
        <f t="shared" si="46"/>
        <v>10.7</v>
      </c>
      <c r="J328" s="15">
        <f t="shared" si="41"/>
        <v>437.88</v>
      </c>
      <c r="K328" s="15">
        <f t="shared" si="40"/>
        <v>583.84</v>
      </c>
      <c r="L328" s="15">
        <f t="shared" si="40"/>
        <v>875.76</v>
      </c>
      <c r="M328" s="15">
        <f t="shared" si="40"/>
        <v>1167.68</v>
      </c>
      <c r="N328" s="15">
        <f t="shared" si="40"/>
        <v>1401.2159999999999</v>
      </c>
      <c r="O328" s="15">
        <f t="shared" si="40"/>
        <v>1751.52</v>
      </c>
      <c r="P328" s="15">
        <f t="shared" si="40"/>
        <v>2335.36</v>
      </c>
    </row>
    <row r="329" spans="1:16">
      <c r="A329" s="13">
        <v>43764</v>
      </c>
      <c r="B329" s="13">
        <f t="shared" si="42"/>
        <v>43770</v>
      </c>
      <c r="C329" s="88">
        <v>43791</v>
      </c>
      <c r="D329" s="13">
        <v>43764</v>
      </c>
      <c r="E329" s="86" t="str">
        <f t="shared" si="43"/>
        <v>W47</v>
      </c>
      <c r="F329" s="86" t="str">
        <f t="shared" si="44"/>
        <v>Nov</v>
      </c>
      <c r="G329">
        <v>326</v>
      </c>
      <c r="H329">
        <f t="shared" si="45"/>
        <v>47</v>
      </c>
      <c r="I329" s="87">
        <f t="shared" si="46"/>
        <v>10.733333333333333</v>
      </c>
      <c r="J329" s="15">
        <f t="shared" si="41"/>
        <v>437.88</v>
      </c>
      <c r="K329" s="15">
        <f t="shared" si="40"/>
        <v>583.84</v>
      </c>
      <c r="L329" s="15">
        <f t="shared" si="40"/>
        <v>875.76</v>
      </c>
      <c r="M329" s="15">
        <f t="shared" si="40"/>
        <v>1167.68</v>
      </c>
      <c r="N329" s="15">
        <f t="shared" si="40"/>
        <v>1401.2159999999999</v>
      </c>
      <c r="O329" s="15">
        <f t="shared" si="40"/>
        <v>1751.52</v>
      </c>
      <c r="P329" s="15">
        <f t="shared" si="40"/>
        <v>2335.36</v>
      </c>
    </row>
    <row r="330" spans="1:16">
      <c r="A330" s="13">
        <v>43765</v>
      </c>
      <c r="B330" s="13">
        <f t="shared" si="42"/>
        <v>43770</v>
      </c>
      <c r="C330" s="88">
        <v>43792</v>
      </c>
      <c r="D330" s="13">
        <v>43765</v>
      </c>
      <c r="E330" s="86" t="str">
        <f t="shared" si="43"/>
        <v>W47</v>
      </c>
      <c r="F330" s="86" t="str">
        <f t="shared" si="44"/>
        <v>Nov</v>
      </c>
      <c r="G330">
        <v>327</v>
      </c>
      <c r="H330">
        <f t="shared" si="45"/>
        <v>47</v>
      </c>
      <c r="I330" s="87">
        <f t="shared" si="46"/>
        <v>10.766666666666667</v>
      </c>
      <c r="J330" s="15">
        <f t="shared" si="41"/>
        <v>437.88</v>
      </c>
      <c r="K330" s="15">
        <f t="shared" si="40"/>
        <v>583.84</v>
      </c>
      <c r="L330" s="15">
        <f t="shared" si="40"/>
        <v>875.76</v>
      </c>
      <c r="M330" s="15">
        <f t="shared" si="40"/>
        <v>1167.68</v>
      </c>
      <c r="N330" s="15">
        <f t="shared" si="40"/>
        <v>1401.2159999999999</v>
      </c>
      <c r="O330" s="15">
        <f t="shared" si="40"/>
        <v>1751.52</v>
      </c>
      <c r="P330" s="15">
        <f t="shared" si="40"/>
        <v>2335.36</v>
      </c>
    </row>
    <row r="331" spans="1:16">
      <c r="A331" s="13">
        <v>43766</v>
      </c>
      <c r="B331" s="13">
        <f t="shared" si="42"/>
        <v>43770</v>
      </c>
      <c r="C331" s="88">
        <v>43793</v>
      </c>
      <c r="D331" s="13">
        <v>43766</v>
      </c>
      <c r="E331" s="86" t="str">
        <f t="shared" si="43"/>
        <v>W48</v>
      </c>
      <c r="F331" s="86" t="str">
        <f t="shared" si="44"/>
        <v>Nov</v>
      </c>
      <c r="G331">
        <v>328</v>
      </c>
      <c r="H331">
        <f t="shared" si="45"/>
        <v>48</v>
      </c>
      <c r="I331" s="87">
        <f t="shared" si="46"/>
        <v>10.8</v>
      </c>
      <c r="J331" s="15">
        <f t="shared" si="41"/>
        <v>448.56</v>
      </c>
      <c r="K331" s="15">
        <f t="shared" si="40"/>
        <v>598.08000000000004</v>
      </c>
      <c r="L331" s="15">
        <f t="shared" si="40"/>
        <v>897.12</v>
      </c>
      <c r="M331" s="15">
        <f t="shared" si="40"/>
        <v>1196.1600000000001</v>
      </c>
      <c r="N331" s="15">
        <f t="shared" si="40"/>
        <v>1435.3920000000001</v>
      </c>
      <c r="O331" s="15">
        <f t="shared" si="40"/>
        <v>1794.24</v>
      </c>
      <c r="P331" s="15">
        <f t="shared" si="40"/>
        <v>2392.3200000000002</v>
      </c>
    </row>
    <row r="332" spans="1:16">
      <c r="A332" s="13">
        <v>43767</v>
      </c>
      <c r="B332" s="13">
        <f t="shared" si="42"/>
        <v>43770</v>
      </c>
      <c r="C332" s="88">
        <v>43794</v>
      </c>
      <c r="D332" s="13">
        <v>43767</v>
      </c>
      <c r="E332" s="86" t="str">
        <f t="shared" si="43"/>
        <v>W48</v>
      </c>
      <c r="F332" s="86" t="str">
        <f t="shared" si="44"/>
        <v>Nov</v>
      </c>
      <c r="G332">
        <v>329</v>
      </c>
      <c r="H332">
        <f t="shared" si="45"/>
        <v>48</v>
      </c>
      <c r="I332" s="87">
        <f t="shared" si="46"/>
        <v>10.833333333333334</v>
      </c>
      <c r="J332" s="15">
        <f t="shared" si="41"/>
        <v>448.56</v>
      </c>
      <c r="K332" s="15">
        <f t="shared" si="40"/>
        <v>598.08000000000004</v>
      </c>
      <c r="L332" s="15">
        <f t="shared" si="40"/>
        <v>897.12</v>
      </c>
      <c r="M332" s="15">
        <f t="shared" si="40"/>
        <v>1196.1600000000001</v>
      </c>
      <c r="N332" s="15">
        <f t="shared" si="40"/>
        <v>1435.3920000000001</v>
      </c>
      <c r="O332" s="15">
        <f t="shared" si="40"/>
        <v>1794.24</v>
      </c>
      <c r="P332" s="15">
        <f t="shared" si="40"/>
        <v>2392.3200000000002</v>
      </c>
    </row>
    <row r="333" spans="1:16">
      <c r="A333" s="13">
        <v>43770</v>
      </c>
      <c r="B333" s="13">
        <f t="shared" si="42"/>
        <v>43770</v>
      </c>
      <c r="C333" s="88">
        <v>43795</v>
      </c>
      <c r="D333" s="13">
        <v>43770</v>
      </c>
      <c r="E333" s="86" t="str">
        <f t="shared" si="43"/>
        <v>W48</v>
      </c>
      <c r="F333" s="86" t="str">
        <f t="shared" si="44"/>
        <v>Nov</v>
      </c>
      <c r="G333">
        <v>330</v>
      </c>
      <c r="H333">
        <f t="shared" si="45"/>
        <v>48</v>
      </c>
      <c r="I333" s="87">
        <f t="shared" si="46"/>
        <v>10.866666666666667</v>
      </c>
      <c r="J333" s="15">
        <f t="shared" si="41"/>
        <v>448.56</v>
      </c>
      <c r="K333" s="15">
        <f t="shared" si="40"/>
        <v>598.08000000000004</v>
      </c>
      <c r="L333" s="15">
        <f t="shared" si="40"/>
        <v>897.12</v>
      </c>
      <c r="M333" s="15">
        <f t="shared" si="40"/>
        <v>1196.1600000000001</v>
      </c>
      <c r="N333" s="15">
        <f t="shared" si="40"/>
        <v>1435.3920000000001</v>
      </c>
      <c r="O333" s="15">
        <f t="shared" si="40"/>
        <v>1794.24</v>
      </c>
      <c r="P333" s="15">
        <f t="shared" si="40"/>
        <v>2392.3200000000002</v>
      </c>
    </row>
    <row r="334" spans="1:16">
      <c r="A334" s="13">
        <v>43771</v>
      </c>
      <c r="B334" s="13">
        <f t="shared" si="42"/>
        <v>43770</v>
      </c>
      <c r="C334" s="88">
        <v>43796</v>
      </c>
      <c r="D334" s="13">
        <v>43771</v>
      </c>
      <c r="E334" s="86" t="str">
        <f t="shared" si="43"/>
        <v>W48</v>
      </c>
      <c r="F334" s="86" t="str">
        <f t="shared" si="44"/>
        <v>Nov</v>
      </c>
      <c r="G334">
        <v>331</v>
      </c>
      <c r="H334">
        <f t="shared" si="45"/>
        <v>48</v>
      </c>
      <c r="I334" s="87">
        <f t="shared" si="46"/>
        <v>10.9</v>
      </c>
      <c r="J334" s="15">
        <f t="shared" si="41"/>
        <v>448.56</v>
      </c>
      <c r="K334" s="15">
        <f t="shared" si="40"/>
        <v>598.08000000000004</v>
      </c>
      <c r="L334" s="15">
        <f t="shared" si="40"/>
        <v>897.12</v>
      </c>
      <c r="M334" s="15">
        <f t="shared" si="40"/>
        <v>1196.1600000000001</v>
      </c>
      <c r="N334" s="15">
        <f t="shared" si="40"/>
        <v>1435.3920000000001</v>
      </c>
      <c r="O334" s="15">
        <f t="shared" si="40"/>
        <v>1794.24</v>
      </c>
      <c r="P334" s="15">
        <f t="shared" si="40"/>
        <v>2392.3200000000002</v>
      </c>
    </row>
    <row r="335" spans="1:16">
      <c r="A335" s="13">
        <v>43772</v>
      </c>
      <c r="B335" s="13">
        <f t="shared" si="42"/>
        <v>43770</v>
      </c>
      <c r="C335" s="88">
        <v>43797</v>
      </c>
      <c r="D335" s="13">
        <v>43772</v>
      </c>
      <c r="E335" s="86" t="str">
        <f t="shared" si="43"/>
        <v>W48</v>
      </c>
      <c r="F335" s="86" t="str">
        <f t="shared" si="44"/>
        <v>Nov</v>
      </c>
      <c r="G335">
        <v>332</v>
      </c>
      <c r="H335">
        <f t="shared" si="45"/>
        <v>48</v>
      </c>
      <c r="I335" s="87">
        <f t="shared" si="46"/>
        <v>10.933333333333334</v>
      </c>
      <c r="J335" s="15">
        <f t="shared" si="41"/>
        <v>448.56</v>
      </c>
      <c r="K335" s="15">
        <f t="shared" si="40"/>
        <v>598.08000000000004</v>
      </c>
      <c r="L335" s="15">
        <f t="shared" si="40"/>
        <v>897.12</v>
      </c>
      <c r="M335" s="15">
        <f t="shared" si="40"/>
        <v>1196.1600000000001</v>
      </c>
      <c r="N335" s="15">
        <f t="shared" si="40"/>
        <v>1435.3920000000001</v>
      </c>
      <c r="O335" s="15">
        <f t="shared" si="40"/>
        <v>1794.24</v>
      </c>
      <c r="P335" s="15">
        <f t="shared" si="40"/>
        <v>2392.3200000000002</v>
      </c>
    </row>
    <row r="336" spans="1:16">
      <c r="A336" s="13">
        <v>43773</v>
      </c>
      <c r="B336" s="13">
        <f t="shared" si="42"/>
        <v>43770</v>
      </c>
      <c r="C336" s="88">
        <v>43798</v>
      </c>
      <c r="D336" s="13">
        <v>43773</v>
      </c>
      <c r="E336" s="86" t="str">
        <f t="shared" si="43"/>
        <v>W48</v>
      </c>
      <c r="F336" s="86" t="str">
        <f t="shared" si="44"/>
        <v>Nov</v>
      </c>
      <c r="G336">
        <v>333</v>
      </c>
      <c r="H336">
        <f t="shared" si="45"/>
        <v>48</v>
      </c>
      <c r="I336" s="87">
        <f t="shared" si="46"/>
        <v>10.966666666666667</v>
      </c>
      <c r="J336" s="15">
        <f t="shared" si="41"/>
        <v>448.56</v>
      </c>
      <c r="K336" s="15">
        <f t="shared" si="40"/>
        <v>598.08000000000004</v>
      </c>
      <c r="L336" s="15">
        <f t="shared" si="40"/>
        <v>897.12</v>
      </c>
      <c r="M336" s="15">
        <f t="shared" si="40"/>
        <v>1196.1600000000001</v>
      </c>
      <c r="N336" s="15">
        <f t="shared" si="40"/>
        <v>1435.3920000000001</v>
      </c>
      <c r="O336" s="15">
        <f t="shared" si="40"/>
        <v>1794.24</v>
      </c>
      <c r="P336" s="15">
        <f t="shared" si="40"/>
        <v>2392.3200000000002</v>
      </c>
    </row>
    <row r="337" spans="1:16">
      <c r="A337" s="13">
        <v>43774</v>
      </c>
      <c r="B337" s="13">
        <f t="shared" si="42"/>
        <v>43770</v>
      </c>
      <c r="C337" s="88">
        <v>43799</v>
      </c>
      <c r="D337" s="13">
        <v>43774</v>
      </c>
      <c r="E337" s="86" t="str">
        <f t="shared" si="43"/>
        <v>W48</v>
      </c>
      <c r="F337" s="86" t="str">
        <f t="shared" si="44"/>
        <v>Nov</v>
      </c>
      <c r="G337">
        <v>334</v>
      </c>
      <c r="H337">
        <f t="shared" si="45"/>
        <v>48</v>
      </c>
      <c r="I337" s="87">
        <f t="shared" si="46"/>
        <v>11</v>
      </c>
      <c r="J337" s="15">
        <f t="shared" si="41"/>
        <v>448.56</v>
      </c>
      <c r="K337" s="15">
        <f t="shared" si="40"/>
        <v>598.08000000000004</v>
      </c>
      <c r="L337" s="15">
        <f t="shared" si="40"/>
        <v>897.12</v>
      </c>
      <c r="M337" s="15">
        <f t="shared" si="40"/>
        <v>1196.1600000000001</v>
      </c>
      <c r="N337" s="15">
        <f t="shared" si="40"/>
        <v>1435.3920000000001</v>
      </c>
      <c r="O337" s="15">
        <f t="shared" si="40"/>
        <v>1794.24</v>
      </c>
      <c r="P337" s="15">
        <f t="shared" si="40"/>
        <v>2392.3200000000002</v>
      </c>
    </row>
    <row r="338" spans="1:16">
      <c r="A338" s="13">
        <v>43775</v>
      </c>
      <c r="B338" s="13">
        <f t="shared" si="42"/>
        <v>43800</v>
      </c>
      <c r="C338" s="88">
        <v>43800</v>
      </c>
      <c r="D338" s="13">
        <v>43775</v>
      </c>
      <c r="E338" s="86" t="str">
        <f t="shared" si="43"/>
        <v>W49</v>
      </c>
      <c r="F338" s="86" t="str">
        <f t="shared" si="44"/>
        <v>Dec</v>
      </c>
      <c r="G338">
        <v>335</v>
      </c>
      <c r="H338">
        <f t="shared" si="45"/>
        <v>49</v>
      </c>
      <c r="I338" s="87">
        <f t="shared" si="46"/>
        <v>11.03225806451613</v>
      </c>
      <c r="J338" s="15">
        <f t="shared" si="41"/>
        <v>459.24</v>
      </c>
      <c r="K338" s="15">
        <f t="shared" si="40"/>
        <v>612.32000000000005</v>
      </c>
      <c r="L338" s="15">
        <f t="shared" si="40"/>
        <v>918.48</v>
      </c>
      <c r="M338" s="15">
        <f t="shared" si="40"/>
        <v>1224.6400000000001</v>
      </c>
      <c r="N338" s="15">
        <f t="shared" si="40"/>
        <v>1469.568</v>
      </c>
      <c r="O338" s="15">
        <f t="shared" si="40"/>
        <v>1836.96</v>
      </c>
      <c r="P338" s="15">
        <f t="shared" si="40"/>
        <v>2449.2800000000002</v>
      </c>
    </row>
    <row r="339" spans="1:16">
      <c r="A339" s="13">
        <v>43776</v>
      </c>
      <c r="B339" s="13">
        <f t="shared" si="42"/>
        <v>43800</v>
      </c>
      <c r="C339" s="88">
        <v>43801</v>
      </c>
      <c r="D339" s="13">
        <v>43776</v>
      </c>
      <c r="E339" s="86" t="str">
        <f t="shared" si="43"/>
        <v>W49</v>
      </c>
      <c r="F339" s="86" t="str">
        <f t="shared" si="44"/>
        <v>Dec</v>
      </c>
      <c r="G339">
        <v>336</v>
      </c>
      <c r="H339">
        <f t="shared" si="45"/>
        <v>49</v>
      </c>
      <c r="I339" s="87">
        <f t="shared" si="46"/>
        <v>11.064516129032258</v>
      </c>
      <c r="J339" s="15">
        <f t="shared" si="41"/>
        <v>459.24</v>
      </c>
      <c r="K339" s="15">
        <f t="shared" si="40"/>
        <v>612.32000000000005</v>
      </c>
      <c r="L339" s="15">
        <f t="shared" si="40"/>
        <v>918.48</v>
      </c>
      <c r="M339" s="15">
        <f t="shared" si="40"/>
        <v>1224.6400000000001</v>
      </c>
      <c r="N339" s="15">
        <f t="shared" si="40"/>
        <v>1469.568</v>
      </c>
      <c r="O339" s="15">
        <f t="shared" si="40"/>
        <v>1836.96</v>
      </c>
      <c r="P339" s="15">
        <f t="shared" si="40"/>
        <v>2449.2800000000002</v>
      </c>
    </row>
    <row r="340" spans="1:16">
      <c r="A340" s="13">
        <v>43777</v>
      </c>
      <c r="B340" s="13">
        <f t="shared" si="42"/>
        <v>43800</v>
      </c>
      <c r="C340" s="88">
        <v>43802</v>
      </c>
      <c r="D340" s="13">
        <v>43777</v>
      </c>
      <c r="E340" s="86" t="str">
        <f t="shared" si="43"/>
        <v>W49</v>
      </c>
      <c r="F340" s="86" t="str">
        <f t="shared" si="44"/>
        <v>Dec</v>
      </c>
      <c r="G340">
        <v>337</v>
      </c>
      <c r="H340">
        <f t="shared" si="45"/>
        <v>49</v>
      </c>
      <c r="I340" s="87">
        <f t="shared" si="46"/>
        <v>11.096774193548388</v>
      </c>
      <c r="J340" s="15">
        <f t="shared" si="41"/>
        <v>459.24</v>
      </c>
      <c r="K340" s="15">
        <f t="shared" si="40"/>
        <v>612.32000000000005</v>
      </c>
      <c r="L340" s="15">
        <f t="shared" si="40"/>
        <v>918.48</v>
      </c>
      <c r="M340" s="15">
        <f t="shared" si="40"/>
        <v>1224.6400000000001</v>
      </c>
      <c r="N340" s="15">
        <f t="shared" si="40"/>
        <v>1469.568</v>
      </c>
      <c r="O340" s="15">
        <f t="shared" si="40"/>
        <v>1836.96</v>
      </c>
      <c r="P340" s="15">
        <f t="shared" si="40"/>
        <v>2449.2800000000002</v>
      </c>
    </row>
    <row r="341" spans="1:16">
      <c r="A341" s="13">
        <v>43778</v>
      </c>
      <c r="B341" s="13">
        <f t="shared" si="42"/>
        <v>43800</v>
      </c>
      <c r="C341" s="88">
        <v>43803</v>
      </c>
      <c r="D341" s="13">
        <v>43778</v>
      </c>
      <c r="E341" s="86" t="str">
        <f t="shared" si="43"/>
        <v>W49</v>
      </c>
      <c r="F341" s="86" t="str">
        <f t="shared" si="44"/>
        <v>Dec</v>
      </c>
      <c r="G341">
        <v>338</v>
      </c>
      <c r="H341">
        <f t="shared" si="45"/>
        <v>49</v>
      </c>
      <c r="I341" s="87">
        <f t="shared" si="46"/>
        <v>11.129032258064516</v>
      </c>
      <c r="J341" s="15">
        <f t="shared" si="41"/>
        <v>459.24</v>
      </c>
      <c r="K341" s="15">
        <f t="shared" si="40"/>
        <v>612.32000000000005</v>
      </c>
      <c r="L341" s="15">
        <f t="shared" si="40"/>
        <v>918.48</v>
      </c>
      <c r="M341" s="15">
        <f t="shared" si="40"/>
        <v>1224.6400000000001</v>
      </c>
      <c r="N341" s="15">
        <f t="shared" si="40"/>
        <v>1469.568</v>
      </c>
      <c r="O341" s="15">
        <f t="shared" si="40"/>
        <v>1836.96</v>
      </c>
      <c r="P341" s="15">
        <f t="shared" si="40"/>
        <v>2449.2800000000002</v>
      </c>
    </row>
    <row r="342" spans="1:16">
      <c r="A342" s="13">
        <v>43779</v>
      </c>
      <c r="B342" s="13">
        <f t="shared" si="42"/>
        <v>43800</v>
      </c>
      <c r="C342" s="88">
        <v>43804</v>
      </c>
      <c r="D342" s="13">
        <v>43779</v>
      </c>
      <c r="E342" s="86" t="str">
        <f t="shared" si="43"/>
        <v>W49</v>
      </c>
      <c r="F342" s="86" t="str">
        <f t="shared" si="44"/>
        <v>Dec</v>
      </c>
      <c r="G342">
        <v>339</v>
      </c>
      <c r="H342">
        <f t="shared" si="45"/>
        <v>49</v>
      </c>
      <c r="I342" s="87">
        <f t="shared" si="46"/>
        <v>11.161290322580646</v>
      </c>
      <c r="J342" s="15">
        <f t="shared" si="41"/>
        <v>459.24</v>
      </c>
      <c r="K342" s="15">
        <f t="shared" si="40"/>
        <v>612.32000000000005</v>
      </c>
      <c r="L342" s="15">
        <f t="shared" si="40"/>
        <v>918.48</v>
      </c>
      <c r="M342" s="15">
        <f t="shared" si="40"/>
        <v>1224.6400000000001</v>
      </c>
      <c r="N342" s="15">
        <f t="shared" si="40"/>
        <v>1469.568</v>
      </c>
      <c r="O342" s="15">
        <f t="shared" si="40"/>
        <v>1836.96</v>
      </c>
      <c r="P342" s="15">
        <f t="shared" si="40"/>
        <v>2449.2800000000002</v>
      </c>
    </row>
    <row r="343" spans="1:16">
      <c r="A343" s="13">
        <v>43780</v>
      </c>
      <c r="B343" s="13">
        <f t="shared" si="42"/>
        <v>43800</v>
      </c>
      <c r="C343" s="88">
        <v>43805</v>
      </c>
      <c r="D343" s="13">
        <v>43780</v>
      </c>
      <c r="E343" s="86" t="str">
        <f t="shared" si="43"/>
        <v>W49</v>
      </c>
      <c r="F343" s="86" t="str">
        <f t="shared" si="44"/>
        <v>Dec</v>
      </c>
      <c r="G343">
        <v>340</v>
      </c>
      <c r="H343">
        <f t="shared" si="45"/>
        <v>49</v>
      </c>
      <c r="I343" s="87">
        <f t="shared" si="46"/>
        <v>11.193548387096774</v>
      </c>
      <c r="J343" s="15">
        <f t="shared" si="41"/>
        <v>459.24</v>
      </c>
      <c r="K343" s="15">
        <f t="shared" si="40"/>
        <v>612.32000000000005</v>
      </c>
      <c r="L343" s="15">
        <f t="shared" si="40"/>
        <v>918.48</v>
      </c>
      <c r="M343" s="15">
        <f t="shared" si="40"/>
        <v>1224.6400000000001</v>
      </c>
      <c r="N343" s="15">
        <f t="shared" si="40"/>
        <v>1469.568</v>
      </c>
      <c r="O343" s="15">
        <f t="shared" si="40"/>
        <v>1836.96</v>
      </c>
      <c r="P343" s="15">
        <f t="shared" si="40"/>
        <v>2449.2800000000002</v>
      </c>
    </row>
    <row r="344" spans="1:16">
      <c r="A344" s="13">
        <v>43781</v>
      </c>
      <c r="B344" s="13">
        <f t="shared" si="42"/>
        <v>43800</v>
      </c>
      <c r="C344" s="88">
        <v>43806</v>
      </c>
      <c r="D344" s="13">
        <v>43781</v>
      </c>
      <c r="E344" s="86" t="str">
        <f t="shared" si="43"/>
        <v>W49</v>
      </c>
      <c r="F344" s="86" t="str">
        <f t="shared" si="44"/>
        <v>Dec</v>
      </c>
      <c r="G344">
        <v>341</v>
      </c>
      <c r="H344">
        <f t="shared" si="45"/>
        <v>49</v>
      </c>
      <c r="I344" s="87">
        <f t="shared" si="46"/>
        <v>11.225806451612904</v>
      </c>
      <c r="J344" s="15">
        <f t="shared" si="41"/>
        <v>459.24</v>
      </c>
      <c r="K344" s="15">
        <f t="shared" si="40"/>
        <v>612.32000000000005</v>
      </c>
      <c r="L344" s="15">
        <f t="shared" si="40"/>
        <v>918.48</v>
      </c>
      <c r="M344" s="15">
        <f t="shared" si="40"/>
        <v>1224.6400000000001</v>
      </c>
      <c r="N344" s="15">
        <f t="shared" si="40"/>
        <v>1469.568</v>
      </c>
      <c r="O344" s="15">
        <f t="shared" si="40"/>
        <v>1836.96</v>
      </c>
      <c r="P344" s="15">
        <f t="shared" si="40"/>
        <v>2449.2800000000002</v>
      </c>
    </row>
    <row r="345" spans="1:16">
      <c r="A345" s="13">
        <v>43782</v>
      </c>
      <c r="B345" s="13">
        <f t="shared" si="42"/>
        <v>43800</v>
      </c>
      <c r="C345" s="88">
        <v>43807</v>
      </c>
      <c r="D345" s="13">
        <v>43782</v>
      </c>
      <c r="E345" s="86" t="str">
        <f t="shared" si="43"/>
        <v>W50</v>
      </c>
      <c r="F345" s="86" t="str">
        <f t="shared" si="44"/>
        <v>Dec</v>
      </c>
      <c r="G345">
        <v>342</v>
      </c>
      <c r="H345">
        <f t="shared" si="45"/>
        <v>50</v>
      </c>
      <c r="I345" s="87">
        <f t="shared" si="46"/>
        <v>11.258064516129032</v>
      </c>
      <c r="J345" s="15">
        <f t="shared" si="41"/>
        <v>469.92</v>
      </c>
      <c r="K345" s="15">
        <f t="shared" si="40"/>
        <v>626.55999999999995</v>
      </c>
      <c r="L345" s="15">
        <f t="shared" si="40"/>
        <v>939.84</v>
      </c>
      <c r="M345" s="15">
        <f t="shared" si="40"/>
        <v>1253.1199999999999</v>
      </c>
      <c r="N345" s="15">
        <f t="shared" si="40"/>
        <v>1503.7439999999999</v>
      </c>
      <c r="O345" s="15">
        <f t="shared" si="40"/>
        <v>1879.68</v>
      </c>
      <c r="P345" s="15">
        <f t="shared" si="40"/>
        <v>2506.2399999999998</v>
      </c>
    </row>
    <row r="346" spans="1:16">
      <c r="A346" s="13">
        <v>43783</v>
      </c>
      <c r="B346" s="13">
        <f t="shared" si="42"/>
        <v>43800</v>
      </c>
      <c r="C346" s="88">
        <v>43808</v>
      </c>
      <c r="D346" s="13">
        <v>43783</v>
      </c>
      <c r="E346" s="86" t="str">
        <f t="shared" si="43"/>
        <v>W50</v>
      </c>
      <c r="F346" s="86" t="str">
        <f t="shared" si="44"/>
        <v>Dec</v>
      </c>
      <c r="G346">
        <v>343</v>
      </c>
      <c r="H346">
        <f t="shared" si="45"/>
        <v>50</v>
      </c>
      <c r="I346" s="87">
        <f t="shared" si="46"/>
        <v>11.290322580645162</v>
      </c>
      <c r="J346" s="15">
        <f t="shared" si="41"/>
        <v>469.92</v>
      </c>
      <c r="K346" s="15">
        <f t="shared" si="40"/>
        <v>626.55999999999995</v>
      </c>
      <c r="L346" s="15">
        <f t="shared" si="40"/>
        <v>939.84</v>
      </c>
      <c r="M346" s="15">
        <f t="shared" si="40"/>
        <v>1253.1199999999999</v>
      </c>
      <c r="N346" s="15">
        <f t="shared" si="40"/>
        <v>1503.7439999999999</v>
      </c>
      <c r="O346" s="15">
        <f t="shared" si="40"/>
        <v>1879.68</v>
      </c>
      <c r="P346" s="15">
        <f t="shared" si="40"/>
        <v>2506.2399999999998</v>
      </c>
    </row>
    <row r="347" spans="1:16">
      <c r="A347" s="13">
        <v>43784</v>
      </c>
      <c r="B347" s="13">
        <f t="shared" si="42"/>
        <v>43800</v>
      </c>
      <c r="C347" s="88">
        <v>43809</v>
      </c>
      <c r="D347" s="13">
        <v>43784</v>
      </c>
      <c r="E347" s="86" t="str">
        <f t="shared" si="43"/>
        <v>W50</v>
      </c>
      <c r="F347" s="86" t="str">
        <f t="shared" si="44"/>
        <v>Dec</v>
      </c>
      <c r="G347">
        <v>344</v>
      </c>
      <c r="H347">
        <f t="shared" si="45"/>
        <v>50</v>
      </c>
      <c r="I347" s="87">
        <f t="shared" si="46"/>
        <v>11.32258064516129</v>
      </c>
      <c r="J347" s="15">
        <f t="shared" si="41"/>
        <v>469.92</v>
      </c>
      <c r="K347" s="15">
        <f t="shared" si="40"/>
        <v>626.55999999999995</v>
      </c>
      <c r="L347" s="15">
        <f t="shared" si="40"/>
        <v>939.84</v>
      </c>
      <c r="M347" s="15">
        <f t="shared" si="40"/>
        <v>1253.1199999999999</v>
      </c>
      <c r="N347" s="15">
        <f t="shared" si="40"/>
        <v>1503.7439999999999</v>
      </c>
      <c r="O347" s="15">
        <f t="shared" si="40"/>
        <v>1879.68</v>
      </c>
      <c r="P347" s="15">
        <f t="shared" si="40"/>
        <v>2506.2399999999998</v>
      </c>
    </row>
    <row r="348" spans="1:16">
      <c r="A348" s="13">
        <v>43785</v>
      </c>
      <c r="B348" s="13">
        <f t="shared" si="42"/>
        <v>43800</v>
      </c>
      <c r="C348" s="88">
        <v>43810</v>
      </c>
      <c r="D348" s="13">
        <v>43785</v>
      </c>
      <c r="E348" s="86" t="str">
        <f t="shared" si="43"/>
        <v>W50</v>
      </c>
      <c r="F348" s="86" t="str">
        <f t="shared" si="44"/>
        <v>Dec</v>
      </c>
      <c r="G348">
        <v>345</v>
      </c>
      <c r="H348">
        <f t="shared" si="45"/>
        <v>50</v>
      </c>
      <c r="I348" s="87">
        <f t="shared" si="46"/>
        <v>11.35483870967742</v>
      </c>
      <c r="J348" s="15">
        <f t="shared" si="41"/>
        <v>469.92</v>
      </c>
      <c r="K348" s="15">
        <f t="shared" si="40"/>
        <v>626.55999999999995</v>
      </c>
      <c r="L348" s="15">
        <f t="shared" si="40"/>
        <v>939.84</v>
      </c>
      <c r="M348" s="15">
        <f t="shared" si="40"/>
        <v>1253.1199999999999</v>
      </c>
      <c r="N348" s="15">
        <f t="shared" si="40"/>
        <v>1503.7439999999999</v>
      </c>
      <c r="O348" s="15">
        <f t="shared" si="40"/>
        <v>1879.68</v>
      </c>
      <c r="P348" s="15">
        <f t="shared" si="40"/>
        <v>2506.2399999999998</v>
      </c>
    </row>
    <row r="349" spans="1:16">
      <c r="A349" s="13">
        <v>43786</v>
      </c>
      <c r="B349" s="13">
        <f t="shared" si="42"/>
        <v>43800</v>
      </c>
      <c r="C349" s="88">
        <v>43811</v>
      </c>
      <c r="D349" s="13">
        <v>43786</v>
      </c>
      <c r="E349" s="86" t="str">
        <f t="shared" si="43"/>
        <v>W50</v>
      </c>
      <c r="F349" s="86" t="str">
        <f t="shared" si="44"/>
        <v>Dec</v>
      </c>
      <c r="G349">
        <v>346</v>
      </c>
      <c r="H349">
        <f t="shared" si="45"/>
        <v>50</v>
      </c>
      <c r="I349" s="87">
        <f t="shared" si="46"/>
        <v>11.387096774193548</v>
      </c>
      <c r="J349" s="15">
        <f t="shared" si="41"/>
        <v>469.92</v>
      </c>
      <c r="K349" s="15">
        <f t="shared" si="40"/>
        <v>626.55999999999995</v>
      </c>
      <c r="L349" s="15">
        <f t="shared" si="40"/>
        <v>939.84</v>
      </c>
      <c r="M349" s="15">
        <f t="shared" si="40"/>
        <v>1253.1199999999999</v>
      </c>
      <c r="N349" s="15">
        <f t="shared" si="40"/>
        <v>1503.7439999999999</v>
      </c>
      <c r="O349" s="15">
        <f t="shared" si="40"/>
        <v>1879.68</v>
      </c>
      <c r="P349" s="15">
        <f t="shared" si="40"/>
        <v>2506.2399999999998</v>
      </c>
    </row>
    <row r="350" spans="1:16">
      <c r="A350" s="13">
        <v>43787</v>
      </c>
      <c r="B350" s="13">
        <f t="shared" si="42"/>
        <v>43800</v>
      </c>
      <c r="C350" s="88">
        <v>43812</v>
      </c>
      <c r="D350" s="13">
        <v>43787</v>
      </c>
      <c r="E350" s="86" t="str">
        <f t="shared" si="43"/>
        <v>W50</v>
      </c>
      <c r="F350" s="86" t="str">
        <f t="shared" si="44"/>
        <v>Dec</v>
      </c>
      <c r="G350">
        <v>347</v>
      </c>
      <c r="H350">
        <f t="shared" si="45"/>
        <v>50</v>
      </c>
      <c r="I350" s="87">
        <f t="shared" si="46"/>
        <v>11.419354838709678</v>
      </c>
      <c r="J350" s="15">
        <f t="shared" si="41"/>
        <v>469.92</v>
      </c>
      <c r="K350" s="15">
        <f t="shared" si="40"/>
        <v>626.55999999999995</v>
      </c>
      <c r="L350" s="15">
        <f t="shared" si="40"/>
        <v>939.84</v>
      </c>
      <c r="M350" s="15">
        <f t="shared" si="40"/>
        <v>1253.1199999999999</v>
      </c>
      <c r="N350" s="15">
        <f t="shared" si="40"/>
        <v>1503.7439999999999</v>
      </c>
      <c r="O350" s="15">
        <f t="shared" si="40"/>
        <v>1879.68</v>
      </c>
      <c r="P350" s="15">
        <f t="shared" si="40"/>
        <v>2506.2399999999998</v>
      </c>
    </row>
    <row r="351" spans="1:16">
      <c r="A351" s="13">
        <v>43788</v>
      </c>
      <c r="B351" s="13">
        <f t="shared" si="42"/>
        <v>43800</v>
      </c>
      <c r="C351" s="88">
        <v>43813</v>
      </c>
      <c r="D351" s="13">
        <v>43788</v>
      </c>
      <c r="E351" s="86" t="str">
        <f t="shared" si="43"/>
        <v>W50</v>
      </c>
      <c r="F351" s="86" t="str">
        <f t="shared" si="44"/>
        <v>Dec</v>
      </c>
      <c r="G351">
        <v>348</v>
      </c>
      <c r="H351">
        <f t="shared" si="45"/>
        <v>50</v>
      </c>
      <c r="I351" s="87">
        <f t="shared" si="46"/>
        <v>11.451612903225806</v>
      </c>
      <c r="J351" s="15">
        <f t="shared" si="41"/>
        <v>469.92</v>
      </c>
      <c r="K351" s="15">
        <f t="shared" si="40"/>
        <v>626.55999999999995</v>
      </c>
      <c r="L351" s="15">
        <f t="shared" si="40"/>
        <v>939.84</v>
      </c>
      <c r="M351" s="15">
        <f t="shared" si="40"/>
        <v>1253.1199999999999</v>
      </c>
      <c r="N351" s="15">
        <f t="shared" si="40"/>
        <v>1503.7439999999999</v>
      </c>
      <c r="O351" s="15">
        <f t="shared" ref="K351:P368" si="47">IF($H351&lt;=9,0,(($H351-6)*0.16*26700)/O$3)</f>
        <v>1879.68</v>
      </c>
      <c r="P351" s="15">
        <f t="shared" si="47"/>
        <v>2506.2399999999998</v>
      </c>
    </row>
    <row r="352" spans="1:16">
      <c r="A352" s="13">
        <v>43789</v>
      </c>
      <c r="B352" s="13">
        <f t="shared" si="42"/>
        <v>43800</v>
      </c>
      <c r="C352" s="88">
        <v>43814</v>
      </c>
      <c r="D352" s="13">
        <v>43789</v>
      </c>
      <c r="E352" s="86" t="str">
        <f t="shared" si="43"/>
        <v>W51</v>
      </c>
      <c r="F352" s="86" t="str">
        <f t="shared" si="44"/>
        <v>Dec</v>
      </c>
      <c r="G352">
        <v>349</v>
      </c>
      <c r="H352">
        <f t="shared" si="45"/>
        <v>51</v>
      </c>
      <c r="I352" s="87">
        <f t="shared" si="46"/>
        <v>11.483870967741936</v>
      </c>
      <c r="J352" s="15">
        <f t="shared" si="41"/>
        <v>480.6</v>
      </c>
      <c r="K352" s="15">
        <f t="shared" si="47"/>
        <v>640.79999999999995</v>
      </c>
      <c r="L352" s="15">
        <f t="shared" si="47"/>
        <v>961.2</v>
      </c>
      <c r="M352" s="15">
        <f t="shared" si="47"/>
        <v>1281.5999999999999</v>
      </c>
      <c r="N352" s="15">
        <f t="shared" si="47"/>
        <v>1537.92</v>
      </c>
      <c r="O352" s="15">
        <f t="shared" si="47"/>
        <v>1922.4</v>
      </c>
      <c r="P352" s="15">
        <f t="shared" si="47"/>
        <v>2563.1999999999998</v>
      </c>
    </row>
    <row r="353" spans="1:16">
      <c r="A353" s="13">
        <v>43790</v>
      </c>
      <c r="B353" s="13">
        <f t="shared" si="42"/>
        <v>43800</v>
      </c>
      <c r="C353" s="88">
        <v>43815</v>
      </c>
      <c r="D353" s="13">
        <v>43790</v>
      </c>
      <c r="E353" s="86" t="str">
        <f t="shared" si="43"/>
        <v>W51</v>
      </c>
      <c r="F353" s="86" t="str">
        <f t="shared" si="44"/>
        <v>Dec</v>
      </c>
      <c r="G353">
        <v>350</v>
      </c>
      <c r="H353">
        <f t="shared" si="45"/>
        <v>51</v>
      </c>
      <c r="I353" s="87">
        <f t="shared" si="46"/>
        <v>11.516129032258064</v>
      </c>
      <c r="J353" s="15">
        <f t="shared" si="41"/>
        <v>480.6</v>
      </c>
      <c r="K353" s="15">
        <f t="shared" si="47"/>
        <v>640.79999999999995</v>
      </c>
      <c r="L353" s="15">
        <f t="shared" si="47"/>
        <v>961.2</v>
      </c>
      <c r="M353" s="15">
        <f t="shared" si="47"/>
        <v>1281.5999999999999</v>
      </c>
      <c r="N353" s="15">
        <f t="shared" si="47"/>
        <v>1537.92</v>
      </c>
      <c r="O353" s="15">
        <f t="shared" si="47"/>
        <v>1922.4</v>
      </c>
      <c r="P353" s="15">
        <f t="shared" si="47"/>
        <v>2563.1999999999998</v>
      </c>
    </row>
    <row r="354" spans="1:16">
      <c r="A354" s="13">
        <v>43791</v>
      </c>
      <c r="B354" s="13">
        <f t="shared" si="42"/>
        <v>43800</v>
      </c>
      <c r="C354" s="88">
        <v>43816</v>
      </c>
      <c r="D354" s="13">
        <v>43791</v>
      </c>
      <c r="E354" s="86" t="str">
        <f t="shared" si="43"/>
        <v>W51</v>
      </c>
      <c r="F354" s="86" t="str">
        <f t="shared" si="44"/>
        <v>Dec</v>
      </c>
      <c r="G354">
        <v>351</v>
      </c>
      <c r="H354">
        <f t="shared" si="45"/>
        <v>51</v>
      </c>
      <c r="I354" s="87">
        <f t="shared" si="46"/>
        <v>11.548387096774194</v>
      </c>
      <c r="J354" s="15">
        <f t="shared" si="41"/>
        <v>480.6</v>
      </c>
      <c r="K354" s="15">
        <f t="shared" si="47"/>
        <v>640.79999999999995</v>
      </c>
      <c r="L354" s="15">
        <f t="shared" si="47"/>
        <v>961.2</v>
      </c>
      <c r="M354" s="15">
        <f t="shared" si="47"/>
        <v>1281.5999999999999</v>
      </c>
      <c r="N354" s="15">
        <f t="shared" si="47"/>
        <v>1537.92</v>
      </c>
      <c r="O354" s="15">
        <f t="shared" si="47"/>
        <v>1922.4</v>
      </c>
      <c r="P354" s="15">
        <f t="shared" si="47"/>
        <v>2563.1999999999998</v>
      </c>
    </row>
    <row r="355" spans="1:16">
      <c r="A355" s="13">
        <v>43792</v>
      </c>
      <c r="B355" s="13">
        <f t="shared" si="42"/>
        <v>43800</v>
      </c>
      <c r="C355" s="88">
        <v>43817</v>
      </c>
      <c r="D355" s="13">
        <v>43792</v>
      </c>
      <c r="E355" s="86" t="str">
        <f t="shared" si="43"/>
        <v>W51</v>
      </c>
      <c r="F355" s="86" t="str">
        <f t="shared" si="44"/>
        <v>Dec</v>
      </c>
      <c r="G355">
        <v>352</v>
      </c>
      <c r="H355">
        <f t="shared" si="45"/>
        <v>51</v>
      </c>
      <c r="I355" s="87">
        <f t="shared" si="46"/>
        <v>11.580645161290322</v>
      </c>
      <c r="J355" s="15">
        <f t="shared" si="41"/>
        <v>480.6</v>
      </c>
      <c r="K355" s="15">
        <f t="shared" si="47"/>
        <v>640.79999999999995</v>
      </c>
      <c r="L355" s="15">
        <f t="shared" si="47"/>
        <v>961.2</v>
      </c>
      <c r="M355" s="15">
        <f t="shared" si="47"/>
        <v>1281.5999999999999</v>
      </c>
      <c r="N355" s="15">
        <f t="shared" si="47"/>
        <v>1537.92</v>
      </c>
      <c r="O355" s="15">
        <f t="shared" si="47"/>
        <v>1922.4</v>
      </c>
      <c r="P355" s="15">
        <f t="shared" si="47"/>
        <v>2563.1999999999998</v>
      </c>
    </row>
    <row r="356" spans="1:16">
      <c r="A356" s="13">
        <v>43793</v>
      </c>
      <c r="B356" s="13">
        <f t="shared" si="42"/>
        <v>43800</v>
      </c>
      <c r="C356" s="88">
        <v>43818</v>
      </c>
      <c r="D356" s="13">
        <v>43793</v>
      </c>
      <c r="E356" s="86" t="str">
        <f t="shared" si="43"/>
        <v>W51</v>
      </c>
      <c r="F356" s="86" t="str">
        <f t="shared" si="44"/>
        <v>Dec</v>
      </c>
      <c r="G356">
        <v>353</v>
      </c>
      <c r="H356">
        <f t="shared" si="45"/>
        <v>51</v>
      </c>
      <c r="I356" s="87">
        <f t="shared" si="46"/>
        <v>11.612903225806452</v>
      </c>
      <c r="J356" s="15">
        <f t="shared" si="41"/>
        <v>480.6</v>
      </c>
      <c r="K356" s="15">
        <f t="shared" si="47"/>
        <v>640.79999999999995</v>
      </c>
      <c r="L356" s="15">
        <f t="shared" si="47"/>
        <v>961.2</v>
      </c>
      <c r="M356" s="15">
        <f t="shared" si="47"/>
        <v>1281.5999999999999</v>
      </c>
      <c r="N356" s="15">
        <f t="shared" si="47"/>
        <v>1537.92</v>
      </c>
      <c r="O356" s="15">
        <f t="shared" si="47"/>
        <v>1922.4</v>
      </c>
      <c r="P356" s="15">
        <f t="shared" si="47"/>
        <v>2563.1999999999998</v>
      </c>
    </row>
    <row r="357" spans="1:16">
      <c r="A357" s="13">
        <v>43794</v>
      </c>
      <c r="B357" s="13">
        <f t="shared" si="42"/>
        <v>43800</v>
      </c>
      <c r="C357" s="88">
        <v>43819</v>
      </c>
      <c r="D357" s="13">
        <v>43794</v>
      </c>
      <c r="E357" s="86" t="str">
        <f t="shared" si="43"/>
        <v>W51</v>
      </c>
      <c r="F357" s="86" t="str">
        <f t="shared" si="44"/>
        <v>Dec</v>
      </c>
      <c r="G357">
        <v>354</v>
      </c>
      <c r="H357">
        <f t="shared" si="45"/>
        <v>51</v>
      </c>
      <c r="I357" s="87">
        <f t="shared" si="46"/>
        <v>11.64516129032258</v>
      </c>
      <c r="J357" s="15">
        <f t="shared" si="41"/>
        <v>480.6</v>
      </c>
      <c r="K357" s="15">
        <f t="shared" si="47"/>
        <v>640.79999999999995</v>
      </c>
      <c r="L357" s="15">
        <f t="shared" si="47"/>
        <v>961.2</v>
      </c>
      <c r="M357" s="15">
        <f t="shared" si="47"/>
        <v>1281.5999999999999</v>
      </c>
      <c r="N357" s="15">
        <f t="shared" si="47"/>
        <v>1537.92</v>
      </c>
      <c r="O357" s="15">
        <f t="shared" si="47"/>
        <v>1922.4</v>
      </c>
      <c r="P357" s="15">
        <f t="shared" si="47"/>
        <v>2563.1999999999998</v>
      </c>
    </row>
    <row r="358" spans="1:16">
      <c r="A358" s="13">
        <v>43795</v>
      </c>
      <c r="B358" s="13">
        <f t="shared" si="42"/>
        <v>43800</v>
      </c>
      <c r="C358" s="88">
        <v>43820</v>
      </c>
      <c r="D358" s="13">
        <v>43795</v>
      </c>
      <c r="E358" s="86" t="str">
        <f t="shared" si="43"/>
        <v>W51</v>
      </c>
      <c r="F358" s="86" t="str">
        <f t="shared" si="44"/>
        <v>Dec</v>
      </c>
      <c r="G358">
        <v>355</v>
      </c>
      <c r="H358">
        <f t="shared" si="45"/>
        <v>51</v>
      </c>
      <c r="I358" s="87">
        <f t="shared" si="46"/>
        <v>11.67741935483871</v>
      </c>
      <c r="J358" s="15">
        <f t="shared" si="41"/>
        <v>480.6</v>
      </c>
      <c r="K358" s="15">
        <f t="shared" si="47"/>
        <v>640.79999999999995</v>
      </c>
      <c r="L358" s="15">
        <f t="shared" si="47"/>
        <v>961.2</v>
      </c>
      <c r="M358" s="15">
        <f t="shared" si="47"/>
        <v>1281.5999999999999</v>
      </c>
      <c r="N358" s="15">
        <f t="shared" si="47"/>
        <v>1537.92</v>
      </c>
      <c r="O358" s="15">
        <f t="shared" si="47"/>
        <v>1922.4</v>
      </c>
      <c r="P358" s="15">
        <f t="shared" si="47"/>
        <v>2563.1999999999998</v>
      </c>
    </row>
    <row r="359" spans="1:16">
      <c r="A359" s="13">
        <v>43796</v>
      </c>
      <c r="B359" s="13">
        <f t="shared" si="42"/>
        <v>43800</v>
      </c>
      <c r="C359" s="88">
        <v>43821</v>
      </c>
      <c r="D359" s="13">
        <v>43796</v>
      </c>
      <c r="E359" s="86" t="str">
        <f t="shared" si="43"/>
        <v>W52</v>
      </c>
      <c r="F359" s="86" t="str">
        <f t="shared" si="44"/>
        <v>Dec</v>
      </c>
      <c r="G359">
        <v>356</v>
      </c>
      <c r="H359">
        <f t="shared" si="45"/>
        <v>52</v>
      </c>
      <c r="I359" s="87">
        <f t="shared" si="46"/>
        <v>11.709677419354838</v>
      </c>
      <c r="J359" s="15">
        <f t="shared" si="41"/>
        <v>491.28</v>
      </c>
      <c r="K359" s="15">
        <f t="shared" si="47"/>
        <v>655.04</v>
      </c>
      <c r="L359" s="15">
        <f t="shared" si="47"/>
        <v>982.56</v>
      </c>
      <c r="M359" s="15">
        <f t="shared" si="47"/>
        <v>1310.08</v>
      </c>
      <c r="N359" s="15">
        <f t="shared" si="47"/>
        <v>1572.096</v>
      </c>
      <c r="O359" s="15">
        <f t="shared" si="47"/>
        <v>1965.12</v>
      </c>
      <c r="P359" s="15">
        <f t="shared" si="47"/>
        <v>2620.16</v>
      </c>
    </row>
    <row r="360" spans="1:16">
      <c r="A360" s="13">
        <v>43797</v>
      </c>
      <c r="B360" s="13">
        <f t="shared" si="42"/>
        <v>43800</v>
      </c>
      <c r="C360" s="88">
        <v>43822</v>
      </c>
      <c r="D360" s="13">
        <v>43797</v>
      </c>
      <c r="E360" s="86" t="str">
        <f t="shared" si="43"/>
        <v>W52</v>
      </c>
      <c r="F360" s="86" t="str">
        <f t="shared" si="44"/>
        <v>Dec</v>
      </c>
      <c r="G360">
        <v>357</v>
      </c>
      <c r="H360">
        <f t="shared" si="45"/>
        <v>52</v>
      </c>
      <c r="I360" s="87">
        <f t="shared" si="46"/>
        <v>11.741935483870968</v>
      </c>
      <c r="J360" s="15">
        <f t="shared" si="41"/>
        <v>491.28</v>
      </c>
      <c r="K360" s="15">
        <f t="shared" si="47"/>
        <v>655.04</v>
      </c>
      <c r="L360" s="15">
        <f t="shared" si="47"/>
        <v>982.56</v>
      </c>
      <c r="M360" s="15">
        <f t="shared" si="47"/>
        <v>1310.08</v>
      </c>
      <c r="N360" s="15">
        <f t="shared" si="47"/>
        <v>1572.096</v>
      </c>
      <c r="O360" s="15">
        <f t="shared" si="47"/>
        <v>1965.12</v>
      </c>
      <c r="P360" s="15">
        <f t="shared" si="47"/>
        <v>2620.16</v>
      </c>
    </row>
    <row r="361" spans="1:16">
      <c r="A361" s="13">
        <v>43798</v>
      </c>
      <c r="B361" s="13">
        <f t="shared" si="42"/>
        <v>43800</v>
      </c>
      <c r="C361" s="88">
        <v>43823</v>
      </c>
      <c r="D361" s="13">
        <v>43798</v>
      </c>
      <c r="E361" s="86" t="str">
        <f t="shared" si="43"/>
        <v>W52</v>
      </c>
      <c r="F361" s="86" t="str">
        <f t="shared" si="44"/>
        <v>Dec</v>
      </c>
      <c r="G361">
        <v>358</v>
      </c>
      <c r="H361">
        <f t="shared" si="45"/>
        <v>52</v>
      </c>
      <c r="I361" s="87">
        <f t="shared" si="46"/>
        <v>11.774193548387096</v>
      </c>
      <c r="J361" s="15">
        <f t="shared" si="41"/>
        <v>491.28</v>
      </c>
      <c r="K361" s="15">
        <f t="shared" si="47"/>
        <v>655.04</v>
      </c>
      <c r="L361" s="15">
        <f t="shared" si="47"/>
        <v>982.56</v>
      </c>
      <c r="M361" s="15">
        <f t="shared" si="47"/>
        <v>1310.08</v>
      </c>
      <c r="N361" s="15">
        <f t="shared" si="47"/>
        <v>1572.096</v>
      </c>
      <c r="O361" s="15">
        <f t="shared" si="47"/>
        <v>1965.12</v>
      </c>
      <c r="P361" s="15">
        <f t="shared" si="47"/>
        <v>2620.16</v>
      </c>
    </row>
    <row r="362" spans="1:16">
      <c r="A362" s="13">
        <v>43799</v>
      </c>
      <c r="B362" s="13">
        <f t="shared" si="42"/>
        <v>43800</v>
      </c>
      <c r="C362" s="88">
        <v>43824</v>
      </c>
      <c r="D362" s="13">
        <v>43799</v>
      </c>
      <c r="E362" s="86" t="str">
        <f t="shared" si="43"/>
        <v>W52</v>
      </c>
      <c r="F362" s="86" t="str">
        <f t="shared" si="44"/>
        <v>Dec</v>
      </c>
      <c r="G362">
        <v>359</v>
      </c>
      <c r="H362">
        <f t="shared" si="45"/>
        <v>52</v>
      </c>
      <c r="I362" s="87">
        <f t="shared" si="46"/>
        <v>11.806451612903226</v>
      </c>
      <c r="J362" s="15">
        <f t="shared" si="41"/>
        <v>491.28</v>
      </c>
      <c r="K362" s="15">
        <f t="shared" si="47"/>
        <v>655.04</v>
      </c>
      <c r="L362" s="15">
        <f t="shared" si="47"/>
        <v>982.56</v>
      </c>
      <c r="M362" s="15">
        <f t="shared" si="47"/>
        <v>1310.08</v>
      </c>
      <c r="N362" s="15">
        <f t="shared" si="47"/>
        <v>1572.096</v>
      </c>
      <c r="O362" s="15">
        <f t="shared" si="47"/>
        <v>1965.12</v>
      </c>
      <c r="P362" s="15">
        <f t="shared" si="47"/>
        <v>2620.16</v>
      </c>
    </row>
    <row r="363" spans="1:16">
      <c r="A363" s="13">
        <v>43800</v>
      </c>
      <c r="B363" s="13">
        <f t="shared" si="42"/>
        <v>43800</v>
      </c>
      <c r="C363" s="88">
        <v>43825</v>
      </c>
      <c r="D363" s="13">
        <v>43800</v>
      </c>
      <c r="E363" s="86" t="str">
        <f t="shared" si="43"/>
        <v>W52</v>
      </c>
      <c r="F363" s="86" t="str">
        <f t="shared" si="44"/>
        <v>Dec</v>
      </c>
      <c r="G363">
        <v>360</v>
      </c>
      <c r="H363">
        <f t="shared" si="45"/>
        <v>52</v>
      </c>
      <c r="I363" s="87">
        <f t="shared" si="46"/>
        <v>11.838709677419354</v>
      </c>
      <c r="J363" s="15">
        <f t="shared" si="41"/>
        <v>491.28</v>
      </c>
      <c r="K363" s="15">
        <f t="shared" si="47"/>
        <v>655.04</v>
      </c>
      <c r="L363" s="15">
        <f t="shared" si="47"/>
        <v>982.56</v>
      </c>
      <c r="M363" s="15">
        <f t="shared" si="47"/>
        <v>1310.08</v>
      </c>
      <c r="N363" s="15">
        <f t="shared" si="47"/>
        <v>1572.096</v>
      </c>
      <c r="O363" s="15">
        <f t="shared" si="47"/>
        <v>1965.12</v>
      </c>
      <c r="P363" s="15">
        <f t="shared" si="47"/>
        <v>2620.16</v>
      </c>
    </row>
    <row r="364" spans="1:16">
      <c r="A364" s="13">
        <v>43801</v>
      </c>
      <c r="B364" s="13">
        <f t="shared" si="42"/>
        <v>43800</v>
      </c>
      <c r="C364" s="88">
        <v>43826</v>
      </c>
      <c r="D364" s="13">
        <v>43801</v>
      </c>
      <c r="E364" s="86" t="str">
        <f t="shared" si="43"/>
        <v>W52</v>
      </c>
      <c r="F364" s="86" t="str">
        <f t="shared" si="44"/>
        <v>Dec</v>
      </c>
      <c r="G364">
        <v>361</v>
      </c>
      <c r="H364">
        <f t="shared" si="45"/>
        <v>52</v>
      </c>
      <c r="I364" s="87">
        <f t="shared" si="46"/>
        <v>11.870967741935484</v>
      </c>
      <c r="J364" s="15">
        <f t="shared" si="41"/>
        <v>491.28</v>
      </c>
      <c r="K364" s="15">
        <f t="shared" si="47"/>
        <v>655.04</v>
      </c>
      <c r="L364" s="15">
        <f t="shared" si="47"/>
        <v>982.56</v>
      </c>
      <c r="M364" s="15">
        <f t="shared" si="47"/>
        <v>1310.08</v>
      </c>
      <c r="N364" s="15">
        <f t="shared" si="47"/>
        <v>1572.096</v>
      </c>
      <c r="O364" s="15">
        <f t="shared" si="47"/>
        <v>1965.12</v>
      </c>
      <c r="P364" s="15">
        <f t="shared" si="47"/>
        <v>2620.16</v>
      </c>
    </row>
    <row r="365" spans="1:16">
      <c r="A365" s="13">
        <v>43802</v>
      </c>
      <c r="B365" s="13">
        <f t="shared" si="42"/>
        <v>43800</v>
      </c>
      <c r="C365" s="88">
        <v>43827</v>
      </c>
      <c r="D365" s="13">
        <v>43802</v>
      </c>
      <c r="E365" s="86" t="str">
        <f t="shared" si="43"/>
        <v>W52</v>
      </c>
      <c r="F365" s="86" t="str">
        <f t="shared" si="44"/>
        <v>Dec</v>
      </c>
      <c r="G365">
        <v>362</v>
      </c>
      <c r="H365">
        <f t="shared" si="45"/>
        <v>52</v>
      </c>
      <c r="I365" s="87">
        <f t="shared" si="46"/>
        <v>11.903225806451612</v>
      </c>
      <c r="J365" s="15">
        <f t="shared" si="41"/>
        <v>491.28</v>
      </c>
      <c r="K365" s="15">
        <f t="shared" si="47"/>
        <v>655.04</v>
      </c>
      <c r="L365" s="15">
        <f t="shared" si="47"/>
        <v>982.56</v>
      </c>
      <c r="M365" s="15">
        <f t="shared" si="47"/>
        <v>1310.08</v>
      </c>
      <c r="N365" s="15">
        <f t="shared" si="47"/>
        <v>1572.096</v>
      </c>
      <c r="O365" s="15">
        <f t="shared" si="47"/>
        <v>1965.12</v>
      </c>
      <c r="P365" s="15">
        <f t="shared" si="47"/>
        <v>2620.16</v>
      </c>
    </row>
    <row r="366" spans="1:16">
      <c r="A366" s="13">
        <v>43803</v>
      </c>
      <c r="B366" s="13">
        <f t="shared" si="42"/>
        <v>43800</v>
      </c>
      <c r="C366" s="88">
        <v>43828</v>
      </c>
      <c r="D366" s="13">
        <v>43803</v>
      </c>
      <c r="E366" s="86" t="str">
        <f t="shared" si="43"/>
        <v>W53</v>
      </c>
      <c r="F366" s="86" t="str">
        <f t="shared" si="44"/>
        <v>Dec</v>
      </c>
      <c r="G366">
        <v>363</v>
      </c>
      <c r="H366">
        <f t="shared" si="45"/>
        <v>53</v>
      </c>
      <c r="I366" s="87">
        <f t="shared" si="46"/>
        <v>11.935483870967742</v>
      </c>
      <c r="J366" s="15">
        <f t="shared" si="41"/>
        <v>501.96</v>
      </c>
      <c r="K366" s="15">
        <f t="shared" si="47"/>
        <v>669.28</v>
      </c>
      <c r="L366" s="15">
        <f t="shared" si="47"/>
        <v>1003.92</v>
      </c>
      <c r="M366" s="15">
        <f t="shared" si="47"/>
        <v>1338.56</v>
      </c>
      <c r="N366" s="15">
        <f t="shared" si="47"/>
        <v>1606.2719999999999</v>
      </c>
      <c r="O366" s="15">
        <f t="shared" si="47"/>
        <v>2007.84</v>
      </c>
      <c r="P366" s="15">
        <f t="shared" si="47"/>
        <v>2677.12</v>
      </c>
    </row>
    <row r="367" spans="1:16">
      <c r="A367" s="13">
        <v>43804</v>
      </c>
      <c r="B367" s="13">
        <f t="shared" si="42"/>
        <v>43800</v>
      </c>
      <c r="C367" s="88">
        <v>43829</v>
      </c>
      <c r="D367" s="13">
        <v>43804</v>
      </c>
      <c r="E367" s="86" t="str">
        <f t="shared" si="43"/>
        <v>W53</v>
      </c>
      <c r="F367" s="86" t="str">
        <f t="shared" si="44"/>
        <v>Dec</v>
      </c>
      <c r="G367">
        <v>364</v>
      </c>
      <c r="H367">
        <f t="shared" si="45"/>
        <v>53</v>
      </c>
      <c r="I367" s="87">
        <f t="shared" si="46"/>
        <v>11.967741935483872</v>
      </c>
      <c r="J367" s="15">
        <f t="shared" si="41"/>
        <v>501.96</v>
      </c>
      <c r="K367" s="15">
        <f t="shared" si="47"/>
        <v>669.28</v>
      </c>
      <c r="L367" s="15">
        <f t="shared" si="47"/>
        <v>1003.92</v>
      </c>
      <c r="M367" s="15">
        <f t="shared" si="47"/>
        <v>1338.56</v>
      </c>
      <c r="N367" s="15">
        <f t="shared" si="47"/>
        <v>1606.2719999999999</v>
      </c>
      <c r="O367" s="15">
        <f t="shared" si="47"/>
        <v>2007.84</v>
      </c>
      <c r="P367" s="15">
        <f t="shared" si="47"/>
        <v>2677.12</v>
      </c>
    </row>
    <row r="368" spans="1:16">
      <c r="A368" s="13">
        <v>43805</v>
      </c>
      <c r="B368" s="13">
        <f t="shared" si="42"/>
        <v>43800</v>
      </c>
      <c r="C368" s="88">
        <v>43830</v>
      </c>
      <c r="D368" s="13">
        <v>43805</v>
      </c>
      <c r="E368" s="86" t="str">
        <f t="shared" si="43"/>
        <v>W53</v>
      </c>
      <c r="F368" s="86" t="str">
        <f t="shared" si="44"/>
        <v>Dec</v>
      </c>
      <c r="G368">
        <v>365</v>
      </c>
      <c r="H368">
        <f t="shared" si="45"/>
        <v>53</v>
      </c>
      <c r="I368" s="87">
        <f t="shared" si="46"/>
        <v>12</v>
      </c>
      <c r="J368" s="15">
        <f t="shared" si="41"/>
        <v>501.96</v>
      </c>
      <c r="K368" s="15">
        <f t="shared" si="47"/>
        <v>669.28</v>
      </c>
      <c r="L368" s="15">
        <f t="shared" si="47"/>
        <v>1003.92</v>
      </c>
      <c r="M368" s="15">
        <f t="shared" si="47"/>
        <v>1338.56</v>
      </c>
      <c r="N368" s="15">
        <f t="shared" si="47"/>
        <v>1606.2719999999999</v>
      </c>
      <c r="O368" s="15">
        <f t="shared" si="47"/>
        <v>2007.84</v>
      </c>
      <c r="P368" s="15">
        <f t="shared" si="47"/>
        <v>2677.12</v>
      </c>
    </row>
  </sheetData>
  <autoFilter ref="A3:AE3"/>
  <mergeCells count="1">
    <mergeCell ref="J1:P1"/>
  </mergeCells>
  <pageMargins left="0.7" right="0.7" top="0.75" bottom="0.75" header="0.3" footer="0.3"/>
  <pageSetup orientation="portrait" horizontalDpi="300" verticalDpi="3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B7"/>
  <sheetViews>
    <sheetView workbookViewId="0">
      <selection activeCell="B2" sqref="B2:B7"/>
    </sheetView>
  </sheetViews>
  <sheetFormatPr defaultRowHeight="15"/>
  <sheetData>
    <row r="2" spans="2:2">
      <c r="B2" s="160" t="s">
        <v>1332</v>
      </c>
    </row>
    <row r="3" spans="2:2">
      <c r="B3" s="160" t="s">
        <v>1333</v>
      </c>
    </row>
    <row r="4" spans="2:2">
      <c r="B4" s="160" t="s">
        <v>1334</v>
      </c>
    </row>
    <row r="5" spans="2:2">
      <c r="B5" s="160" t="s">
        <v>1335</v>
      </c>
    </row>
    <row r="6" spans="2:2">
      <c r="B6" t="s">
        <v>1336</v>
      </c>
    </row>
    <row r="7" spans="2:2">
      <c r="B7" t="s">
        <v>1331</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17"/>
  <sheetViews>
    <sheetView view="pageBreakPreview" zoomScaleNormal="100" zoomScaleSheetLayoutView="100" workbookViewId="0">
      <selection sqref="A1:AG317"/>
    </sheetView>
  </sheetViews>
  <sheetFormatPr defaultRowHeight="15"/>
  <cols>
    <col min="1" max="4" width="9.140625" style="127"/>
    <col min="5" max="5" width="25.5703125" style="127" customWidth="1"/>
    <col min="6" max="16384" width="9.140625" style="127"/>
  </cols>
  <sheetData>
    <row r="1" spans="1:34" ht="15.75" customHeight="1">
      <c r="A1" s="167" t="s">
        <v>559</v>
      </c>
      <c r="B1" s="167" t="s">
        <v>560</v>
      </c>
      <c r="C1" s="167"/>
      <c r="D1" s="167"/>
      <c r="E1" s="167"/>
      <c r="F1" s="167"/>
      <c r="G1" s="167"/>
      <c r="H1" s="167"/>
      <c r="I1" s="167"/>
      <c r="J1" s="167"/>
      <c r="K1" s="167"/>
      <c r="L1" s="167"/>
      <c r="M1" s="167"/>
      <c r="N1" s="168" t="s">
        <v>1435</v>
      </c>
      <c r="O1" s="167"/>
      <c r="P1" s="167"/>
      <c r="Q1" s="167"/>
      <c r="R1" s="167"/>
      <c r="S1" s="168" t="s">
        <v>1435</v>
      </c>
      <c r="T1" s="168" t="s">
        <v>1435</v>
      </c>
      <c r="U1" s="168" t="s">
        <v>1435</v>
      </c>
      <c r="V1" s="168" t="s">
        <v>1435</v>
      </c>
      <c r="W1" s="167"/>
      <c r="X1" s="169" t="b">
        <v>1</v>
      </c>
      <c r="Y1" s="169" t="b">
        <v>1</v>
      </c>
      <c r="Z1" s="169" t="b">
        <v>0</v>
      </c>
      <c r="AA1" s="167"/>
      <c r="AB1" s="167"/>
      <c r="AC1" s="169" t="b">
        <v>0</v>
      </c>
      <c r="AD1" s="170" t="s">
        <v>1890</v>
      </c>
      <c r="AE1" s="167" t="s">
        <v>561</v>
      </c>
      <c r="AF1" s="170" t="s">
        <v>1891</v>
      </c>
      <c r="AG1" s="167" t="s">
        <v>561</v>
      </c>
      <c r="AH1" s="127" t="s">
        <v>561</v>
      </c>
    </row>
    <row r="2" spans="1:34" ht="15.75" customHeight="1">
      <c r="A2" s="171" t="s">
        <v>562</v>
      </c>
      <c r="B2" s="171" t="s">
        <v>563</v>
      </c>
      <c r="C2" s="171"/>
      <c r="D2" s="171" t="s">
        <v>564</v>
      </c>
      <c r="E2" s="171" t="s">
        <v>565</v>
      </c>
      <c r="F2" s="171"/>
      <c r="G2" s="171"/>
      <c r="H2" s="171"/>
      <c r="I2" s="171" t="s">
        <v>563</v>
      </c>
      <c r="J2" s="171"/>
      <c r="K2" s="171"/>
      <c r="L2" s="171"/>
      <c r="M2" s="171"/>
      <c r="N2" s="172" t="s">
        <v>1435</v>
      </c>
      <c r="O2" s="171" t="s">
        <v>566</v>
      </c>
      <c r="P2" s="171" t="s">
        <v>567</v>
      </c>
      <c r="Q2" s="171"/>
      <c r="R2" s="171" t="s">
        <v>1512</v>
      </c>
      <c r="S2" s="172" t="s">
        <v>1435</v>
      </c>
      <c r="T2" s="172" t="s">
        <v>1435</v>
      </c>
      <c r="U2" s="172" t="s">
        <v>1435</v>
      </c>
      <c r="V2" s="172" t="s">
        <v>1435</v>
      </c>
      <c r="W2" s="171"/>
      <c r="X2" s="173" t="b">
        <v>1</v>
      </c>
      <c r="Y2" s="173" t="b">
        <v>0</v>
      </c>
      <c r="Z2" s="173" t="b">
        <v>0</v>
      </c>
      <c r="AA2" s="171"/>
      <c r="AB2" s="171"/>
      <c r="AC2" s="173" t="b">
        <v>0</v>
      </c>
      <c r="AD2" s="174" t="s">
        <v>1892</v>
      </c>
      <c r="AE2" s="171" t="s">
        <v>568</v>
      </c>
      <c r="AF2" s="174">
        <v>43651</v>
      </c>
      <c r="AG2" s="171" t="s">
        <v>927</v>
      </c>
      <c r="AH2" s="127" t="s">
        <v>927</v>
      </c>
    </row>
    <row r="3" spans="1:34" ht="20.25" customHeight="1">
      <c r="A3" s="175" t="s">
        <v>573</v>
      </c>
      <c r="B3" s="175" t="s">
        <v>574</v>
      </c>
      <c r="C3" s="175" t="s">
        <v>575</v>
      </c>
      <c r="D3" s="175" t="s">
        <v>576</v>
      </c>
      <c r="E3" s="175" t="s">
        <v>577</v>
      </c>
      <c r="F3" s="175"/>
      <c r="G3" s="175"/>
      <c r="H3" s="175"/>
      <c r="I3" s="175"/>
      <c r="J3" s="175"/>
      <c r="K3" s="175"/>
      <c r="L3" s="175"/>
      <c r="M3" s="175"/>
      <c r="N3" s="176" t="s">
        <v>1435</v>
      </c>
      <c r="O3" s="175"/>
      <c r="P3" s="175"/>
      <c r="Q3" s="175" t="s">
        <v>578</v>
      </c>
      <c r="R3" s="175"/>
      <c r="S3" s="176" t="s">
        <v>1435</v>
      </c>
      <c r="T3" s="176" t="s">
        <v>1435</v>
      </c>
      <c r="U3" s="176" t="s">
        <v>1435</v>
      </c>
      <c r="V3" s="176" t="s">
        <v>1435</v>
      </c>
      <c r="W3" s="175"/>
      <c r="X3" s="177" t="b">
        <v>1</v>
      </c>
      <c r="Y3" s="177" t="b">
        <v>1</v>
      </c>
      <c r="Z3" s="177" t="b">
        <v>0</v>
      </c>
      <c r="AA3" s="175"/>
      <c r="AB3" s="175"/>
      <c r="AC3" s="177" t="b">
        <v>0</v>
      </c>
      <c r="AD3" s="178">
        <v>43259</v>
      </c>
      <c r="AE3" s="175" t="s">
        <v>579</v>
      </c>
      <c r="AF3" s="178" t="s">
        <v>1893</v>
      </c>
      <c r="AG3" s="175" t="s">
        <v>572</v>
      </c>
      <c r="AH3" s="127" t="s">
        <v>572</v>
      </c>
    </row>
    <row r="4" spans="1:34" ht="16.5" customHeight="1">
      <c r="A4" s="175" t="s">
        <v>580</v>
      </c>
      <c r="B4" s="175" t="s">
        <v>581</v>
      </c>
      <c r="C4" s="175"/>
      <c r="D4" s="175"/>
      <c r="E4" s="175" t="s">
        <v>582</v>
      </c>
      <c r="F4" s="175"/>
      <c r="G4" s="175"/>
      <c r="H4" s="175"/>
      <c r="I4" s="175" t="s">
        <v>581</v>
      </c>
      <c r="J4" s="175"/>
      <c r="K4" s="175"/>
      <c r="L4" s="175"/>
      <c r="M4" s="175"/>
      <c r="N4" s="176" t="s">
        <v>1435</v>
      </c>
      <c r="O4" s="175"/>
      <c r="P4" s="175"/>
      <c r="Q4" s="175" t="s">
        <v>570</v>
      </c>
      <c r="R4" s="175"/>
      <c r="S4" s="176" t="s">
        <v>1435</v>
      </c>
      <c r="T4" s="176" t="s">
        <v>1435</v>
      </c>
      <c r="U4" s="176" t="s">
        <v>1435</v>
      </c>
      <c r="V4" s="176" t="s">
        <v>1435</v>
      </c>
      <c r="W4" s="175"/>
      <c r="X4" s="177" t="b">
        <v>1</v>
      </c>
      <c r="Y4" s="177" t="b">
        <v>1</v>
      </c>
      <c r="Z4" s="177" t="b">
        <v>0</v>
      </c>
      <c r="AA4" s="175"/>
      <c r="AB4" s="175"/>
      <c r="AC4" s="177" t="b">
        <v>0</v>
      </c>
      <c r="AD4" s="178" t="s">
        <v>1893</v>
      </c>
      <c r="AE4" s="175" t="s">
        <v>579</v>
      </c>
      <c r="AF4" s="178" t="s">
        <v>1894</v>
      </c>
      <c r="AG4" s="175" t="s">
        <v>569</v>
      </c>
      <c r="AH4" s="127" t="s">
        <v>569</v>
      </c>
    </row>
    <row r="5" spans="1:34">
      <c r="A5" s="175" t="s">
        <v>583</v>
      </c>
      <c r="B5" s="175" t="s">
        <v>584</v>
      </c>
      <c r="C5" s="175"/>
      <c r="D5" s="175" t="s">
        <v>585</v>
      </c>
      <c r="E5" s="175" t="s">
        <v>586</v>
      </c>
      <c r="F5" s="175"/>
      <c r="G5" s="175"/>
      <c r="H5" s="175"/>
      <c r="I5" s="175"/>
      <c r="J5" s="175" t="s">
        <v>1822</v>
      </c>
      <c r="K5" s="175"/>
      <c r="L5" s="175"/>
      <c r="M5" s="175"/>
      <c r="N5" s="176" t="s">
        <v>1435</v>
      </c>
      <c r="O5" s="175" t="s">
        <v>566</v>
      </c>
      <c r="P5" s="175" t="s">
        <v>567</v>
      </c>
      <c r="Q5" s="175"/>
      <c r="R5" s="175"/>
      <c r="S5" s="176" t="s">
        <v>1435</v>
      </c>
      <c r="T5" s="176" t="s">
        <v>1435</v>
      </c>
      <c r="U5" s="176" t="s">
        <v>1435</v>
      </c>
      <c r="V5" s="176" t="s">
        <v>1435</v>
      </c>
      <c r="W5" s="175"/>
      <c r="X5" s="177" t="b">
        <v>1</v>
      </c>
      <c r="Y5" s="177" t="b">
        <v>0</v>
      </c>
      <c r="Z5" s="177" t="b">
        <v>0</v>
      </c>
      <c r="AA5" s="175"/>
      <c r="AB5" s="175"/>
      <c r="AC5" s="177" t="b">
        <v>0</v>
      </c>
      <c r="AD5" s="178" t="s">
        <v>1895</v>
      </c>
      <c r="AE5" s="175" t="s">
        <v>587</v>
      </c>
      <c r="AF5" s="178" t="s">
        <v>1896</v>
      </c>
      <c r="AG5" s="175" t="s">
        <v>927</v>
      </c>
      <c r="AH5" s="127" t="s">
        <v>927</v>
      </c>
    </row>
    <row r="6" spans="1:34" ht="15.75" customHeight="1">
      <c r="A6" s="175" t="s">
        <v>588</v>
      </c>
      <c r="B6" s="175" t="s">
        <v>589</v>
      </c>
      <c r="C6" s="175"/>
      <c r="D6" s="175" t="s">
        <v>590</v>
      </c>
      <c r="E6" s="175" t="s">
        <v>591</v>
      </c>
      <c r="F6" s="175"/>
      <c r="G6" s="175"/>
      <c r="H6" s="175"/>
      <c r="I6" s="175" t="s">
        <v>592</v>
      </c>
      <c r="J6" s="175"/>
      <c r="K6" s="175"/>
      <c r="L6" s="175"/>
      <c r="M6" s="175"/>
      <c r="N6" s="176" t="s">
        <v>1435</v>
      </c>
      <c r="O6" s="175" t="s">
        <v>566</v>
      </c>
      <c r="P6" s="175" t="s">
        <v>567</v>
      </c>
      <c r="Q6" s="175"/>
      <c r="R6" s="175"/>
      <c r="S6" s="176" t="s">
        <v>1435</v>
      </c>
      <c r="T6" s="176" t="s">
        <v>1435</v>
      </c>
      <c r="U6" s="176" t="s">
        <v>1435</v>
      </c>
      <c r="V6" s="176" t="s">
        <v>1435</v>
      </c>
      <c r="W6" s="175"/>
      <c r="X6" s="177" t="b">
        <v>1</v>
      </c>
      <c r="Y6" s="177" t="b">
        <v>0</v>
      </c>
      <c r="Z6" s="177" t="b">
        <v>0</v>
      </c>
      <c r="AA6" s="175"/>
      <c r="AB6" s="175"/>
      <c r="AC6" s="177" t="b">
        <v>0</v>
      </c>
      <c r="AD6" s="178">
        <v>43413</v>
      </c>
      <c r="AE6" s="175" t="s">
        <v>568</v>
      </c>
      <c r="AF6" s="178">
        <v>43413</v>
      </c>
      <c r="AG6" s="175" t="s">
        <v>568</v>
      </c>
      <c r="AH6" s="127" t="s">
        <v>568</v>
      </c>
    </row>
    <row r="7" spans="1:34" ht="15.75" customHeight="1">
      <c r="A7" s="175" t="s">
        <v>593</v>
      </c>
      <c r="B7" s="175" t="s">
        <v>594</v>
      </c>
      <c r="C7" s="175"/>
      <c r="D7" s="175"/>
      <c r="E7" s="175" t="s">
        <v>595</v>
      </c>
      <c r="F7" s="175"/>
      <c r="G7" s="175"/>
      <c r="H7" s="175"/>
      <c r="I7" s="175" t="s">
        <v>594</v>
      </c>
      <c r="J7" s="175"/>
      <c r="K7" s="175"/>
      <c r="L7" s="175"/>
      <c r="M7" s="175"/>
      <c r="N7" s="176" t="s">
        <v>1435</v>
      </c>
      <c r="O7" s="175" t="s">
        <v>566</v>
      </c>
      <c r="P7" s="175" t="s">
        <v>567</v>
      </c>
      <c r="Q7" s="175"/>
      <c r="R7" s="175"/>
      <c r="S7" s="176" t="s">
        <v>1435</v>
      </c>
      <c r="T7" s="176" t="s">
        <v>1435</v>
      </c>
      <c r="U7" s="176" t="s">
        <v>1435</v>
      </c>
      <c r="V7" s="176" t="s">
        <v>1435</v>
      </c>
      <c r="W7" s="175"/>
      <c r="X7" s="177" t="b">
        <v>1</v>
      </c>
      <c r="Y7" s="177" t="b">
        <v>0</v>
      </c>
      <c r="Z7" s="177" t="b">
        <v>0</v>
      </c>
      <c r="AA7" s="175"/>
      <c r="AB7" s="175"/>
      <c r="AC7" s="177" t="b">
        <v>0</v>
      </c>
      <c r="AD7" s="178">
        <v>43290</v>
      </c>
      <c r="AE7" s="175" t="s">
        <v>568</v>
      </c>
      <c r="AF7" s="178">
        <v>43290</v>
      </c>
      <c r="AG7" s="175" t="s">
        <v>568</v>
      </c>
      <c r="AH7" s="127" t="s">
        <v>568</v>
      </c>
    </row>
    <row r="8" spans="1:34" ht="15.75" customHeight="1">
      <c r="A8" s="175" t="s">
        <v>596</v>
      </c>
      <c r="B8" s="175" t="s">
        <v>597</v>
      </c>
      <c r="C8" s="175"/>
      <c r="D8" s="175"/>
      <c r="E8" s="175" t="s">
        <v>598</v>
      </c>
      <c r="F8" s="175"/>
      <c r="G8" s="175"/>
      <c r="H8" s="175"/>
      <c r="I8" s="175" t="s">
        <v>1436</v>
      </c>
      <c r="J8" s="175"/>
      <c r="K8" s="175"/>
      <c r="L8" s="175"/>
      <c r="M8" s="175"/>
      <c r="N8" s="176" t="s">
        <v>1435</v>
      </c>
      <c r="O8" s="175"/>
      <c r="P8" s="175"/>
      <c r="Q8" s="175" t="s">
        <v>570</v>
      </c>
      <c r="R8" s="175"/>
      <c r="S8" s="176" t="s">
        <v>1435</v>
      </c>
      <c r="T8" s="176" t="s">
        <v>1435</v>
      </c>
      <c r="U8" s="176" t="s">
        <v>1435</v>
      </c>
      <c r="V8" s="176" t="s">
        <v>1435</v>
      </c>
      <c r="W8" s="175"/>
      <c r="X8" s="177" t="b">
        <v>1</v>
      </c>
      <c r="Y8" s="177" t="b">
        <v>1</v>
      </c>
      <c r="Z8" s="177" t="b">
        <v>1</v>
      </c>
      <c r="AA8" s="175"/>
      <c r="AB8" s="175"/>
      <c r="AC8" s="177" t="b">
        <v>0</v>
      </c>
      <c r="AD8" s="178" t="s">
        <v>1897</v>
      </c>
      <c r="AE8" s="175" t="s">
        <v>569</v>
      </c>
      <c r="AF8" s="178" t="s">
        <v>1898</v>
      </c>
      <c r="AG8" s="175" t="s">
        <v>568</v>
      </c>
      <c r="AH8" s="127" t="s">
        <v>568</v>
      </c>
    </row>
    <row r="9" spans="1:34" ht="15.75" customHeight="1">
      <c r="A9" s="175" t="s">
        <v>599</v>
      </c>
      <c r="B9" s="175" t="s">
        <v>600</v>
      </c>
      <c r="C9" s="175"/>
      <c r="D9" s="175"/>
      <c r="E9" s="175"/>
      <c r="F9" s="175"/>
      <c r="G9" s="175"/>
      <c r="H9" s="175"/>
      <c r="I9" s="175"/>
      <c r="J9" s="175"/>
      <c r="K9" s="175"/>
      <c r="L9" s="175"/>
      <c r="M9" s="175"/>
      <c r="N9" s="176" t="s">
        <v>1435</v>
      </c>
      <c r="O9" s="175"/>
      <c r="P9" s="175"/>
      <c r="Q9" s="175"/>
      <c r="R9" s="175"/>
      <c r="S9" s="176" t="s">
        <v>1435</v>
      </c>
      <c r="T9" s="176" t="s">
        <v>1435</v>
      </c>
      <c r="U9" s="176" t="s">
        <v>1435</v>
      </c>
      <c r="V9" s="176" t="s">
        <v>1435</v>
      </c>
      <c r="W9" s="175"/>
      <c r="X9" s="177" t="b">
        <v>1</v>
      </c>
      <c r="Y9" s="177" t="b">
        <v>0</v>
      </c>
      <c r="Z9" s="177" t="b">
        <v>0</v>
      </c>
      <c r="AA9" s="175"/>
      <c r="AB9" s="175"/>
      <c r="AC9" s="177" t="b">
        <v>0</v>
      </c>
      <c r="AD9" s="178" t="s">
        <v>1899</v>
      </c>
      <c r="AE9" s="175" t="s">
        <v>587</v>
      </c>
      <c r="AF9" s="178" t="s">
        <v>1899</v>
      </c>
      <c r="AG9" s="175" t="s">
        <v>587</v>
      </c>
      <c r="AH9" s="127" t="s">
        <v>587</v>
      </c>
    </row>
    <row r="10" spans="1:34" ht="15.75" customHeight="1">
      <c r="A10" s="175" t="s">
        <v>1513</v>
      </c>
      <c r="B10" s="175" t="s">
        <v>1514</v>
      </c>
      <c r="C10" s="175"/>
      <c r="D10" s="175" t="s">
        <v>1515</v>
      </c>
      <c r="E10" s="175" t="s">
        <v>1516</v>
      </c>
      <c r="F10" s="175"/>
      <c r="G10" s="175"/>
      <c r="H10" s="175"/>
      <c r="I10" s="175" t="s">
        <v>1514</v>
      </c>
      <c r="J10" s="175"/>
      <c r="K10" s="175"/>
      <c r="L10" s="175"/>
      <c r="M10" s="175"/>
      <c r="N10" s="176" t="s">
        <v>1435</v>
      </c>
      <c r="O10" s="175" t="s">
        <v>566</v>
      </c>
      <c r="P10" s="175" t="s">
        <v>567</v>
      </c>
      <c r="Q10" s="175"/>
      <c r="R10" s="175" t="s">
        <v>1517</v>
      </c>
      <c r="S10" s="176" t="s">
        <v>1435</v>
      </c>
      <c r="T10" s="176" t="s">
        <v>1435</v>
      </c>
      <c r="U10" s="176" t="s">
        <v>1435</v>
      </c>
      <c r="V10" s="176" t="s">
        <v>1435</v>
      </c>
      <c r="W10" s="175"/>
      <c r="X10" s="177" t="b">
        <v>1</v>
      </c>
      <c r="Y10" s="177" t="b">
        <v>0</v>
      </c>
      <c r="Z10" s="177" t="b">
        <v>0</v>
      </c>
      <c r="AA10" s="175"/>
      <c r="AB10" s="175"/>
      <c r="AC10" s="177" t="b">
        <v>0</v>
      </c>
      <c r="AD10" s="178">
        <v>43713</v>
      </c>
      <c r="AE10" s="175" t="s">
        <v>927</v>
      </c>
      <c r="AF10" s="178">
        <v>43713</v>
      </c>
      <c r="AG10" s="175" t="s">
        <v>927</v>
      </c>
      <c r="AH10" s="127" t="s">
        <v>927</v>
      </c>
    </row>
    <row r="11" spans="1:34" ht="15.75" customHeight="1">
      <c r="A11" s="175" t="s">
        <v>2388</v>
      </c>
      <c r="B11" s="175" t="s">
        <v>2389</v>
      </c>
      <c r="C11" s="175"/>
      <c r="D11" s="175" t="s">
        <v>2390</v>
      </c>
      <c r="E11" s="175"/>
      <c r="F11" s="175"/>
      <c r="G11" s="175"/>
      <c r="H11" s="175"/>
      <c r="I11" s="175"/>
      <c r="J11" s="175"/>
      <c r="K11" s="175"/>
      <c r="L11" s="175"/>
      <c r="M11" s="175"/>
      <c r="N11" s="176" t="s">
        <v>1435</v>
      </c>
      <c r="O11" s="175"/>
      <c r="P11" s="175"/>
      <c r="Q11" s="175"/>
      <c r="R11" s="175"/>
      <c r="S11" s="176" t="s">
        <v>1435</v>
      </c>
      <c r="T11" s="176" t="s">
        <v>1435</v>
      </c>
      <c r="U11" s="176" t="s">
        <v>1435</v>
      </c>
      <c r="V11" s="176" t="s">
        <v>1435</v>
      </c>
      <c r="W11" s="175"/>
      <c r="X11" s="177" t="b">
        <v>1</v>
      </c>
      <c r="Y11" s="177" t="b">
        <v>1</v>
      </c>
      <c r="Z11" s="177" t="b">
        <v>0</v>
      </c>
      <c r="AA11" s="175"/>
      <c r="AB11" s="175"/>
      <c r="AC11" s="177" t="b">
        <v>0</v>
      </c>
      <c r="AD11" s="178" t="s">
        <v>2391</v>
      </c>
      <c r="AE11" s="175" t="s">
        <v>1830</v>
      </c>
      <c r="AF11" s="178" t="s">
        <v>2392</v>
      </c>
      <c r="AG11" s="175" t="s">
        <v>579</v>
      </c>
      <c r="AH11" s="127" t="s">
        <v>579</v>
      </c>
    </row>
    <row r="12" spans="1:34" ht="15.75" customHeight="1">
      <c r="A12" s="175" t="s">
        <v>1482</v>
      </c>
      <c r="B12" s="175" t="s">
        <v>1483</v>
      </c>
      <c r="C12" s="175"/>
      <c r="D12" s="175" t="s">
        <v>606</v>
      </c>
      <c r="E12" s="175" t="s">
        <v>1518</v>
      </c>
      <c r="F12" s="175"/>
      <c r="G12" s="175"/>
      <c r="H12" s="175"/>
      <c r="I12" s="175" t="s">
        <v>1483</v>
      </c>
      <c r="J12" s="175"/>
      <c r="K12" s="175"/>
      <c r="L12" s="175"/>
      <c r="M12" s="175"/>
      <c r="N12" s="176" t="s">
        <v>1435</v>
      </c>
      <c r="O12" s="175" t="s">
        <v>566</v>
      </c>
      <c r="P12" s="175" t="s">
        <v>567</v>
      </c>
      <c r="Q12" s="175"/>
      <c r="R12" s="175" t="s">
        <v>1517</v>
      </c>
      <c r="S12" s="176" t="s">
        <v>1435</v>
      </c>
      <c r="T12" s="176" t="s">
        <v>1435</v>
      </c>
      <c r="U12" s="176" t="s">
        <v>1435</v>
      </c>
      <c r="V12" s="176" t="s">
        <v>1435</v>
      </c>
      <c r="W12" s="175"/>
      <c r="X12" s="177" t="b">
        <v>1</v>
      </c>
      <c r="Y12" s="177" t="b">
        <v>0</v>
      </c>
      <c r="Z12" s="177" t="b">
        <v>0</v>
      </c>
      <c r="AA12" s="175"/>
      <c r="AB12" s="175"/>
      <c r="AC12" s="177" t="b">
        <v>0</v>
      </c>
      <c r="AD12" s="178" t="s">
        <v>1900</v>
      </c>
      <c r="AE12" s="175" t="s">
        <v>587</v>
      </c>
      <c r="AF12" s="178">
        <v>43560</v>
      </c>
      <c r="AG12" s="175" t="s">
        <v>927</v>
      </c>
      <c r="AH12" s="127" t="s">
        <v>927</v>
      </c>
    </row>
    <row r="13" spans="1:34" ht="15.75" customHeight="1">
      <c r="A13" s="175" t="s">
        <v>601</v>
      </c>
      <c r="B13" s="175" t="s">
        <v>602</v>
      </c>
      <c r="C13" s="175"/>
      <c r="D13" s="175" t="s">
        <v>603</v>
      </c>
      <c r="E13" s="175"/>
      <c r="F13" s="175"/>
      <c r="G13" s="175"/>
      <c r="H13" s="175"/>
      <c r="I13" s="175"/>
      <c r="J13" s="175"/>
      <c r="K13" s="175"/>
      <c r="L13" s="175"/>
      <c r="M13" s="175"/>
      <c r="N13" s="176" t="s">
        <v>1435</v>
      </c>
      <c r="O13" s="175"/>
      <c r="P13" s="175"/>
      <c r="Q13" s="175" t="s">
        <v>570</v>
      </c>
      <c r="R13" s="175"/>
      <c r="S13" s="176" t="s">
        <v>1435</v>
      </c>
      <c r="T13" s="176" t="s">
        <v>1435</v>
      </c>
      <c r="U13" s="176" t="s">
        <v>1435</v>
      </c>
      <c r="V13" s="176" t="s">
        <v>1435</v>
      </c>
      <c r="W13" s="175"/>
      <c r="X13" s="177" t="b">
        <v>1</v>
      </c>
      <c r="Y13" s="177" t="b">
        <v>1</v>
      </c>
      <c r="Z13" s="177" t="b">
        <v>0</v>
      </c>
      <c r="AA13" s="175"/>
      <c r="AB13" s="175"/>
      <c r="AC13" s="177" t="b">
        <v>0</v>
      </c>
      <c r="AD13" s="178">
        <v>1</v>
      </c>
      <c r="AE13" s="175"/>
      <c r="AF13" s="178" t="s">
        <v>1893</v>
      </c>
      <c r="AG13" s="175" t="s">
        <v>572</v>
      </c>
      <c r="AH13" s="127" t="s">
        <v>572</v>
      </c>
    </row>
    <row r="14" spans="1:34" ht="15.75" customHeight="1">
      <c r="A14" s="175" t="s">
        <v>604</v>
      </c>
      <c r="B14" s="175" t="s">
        <v>605</v>
      </c>
      <c r="C14" s="175"/>
      <c r="D14" s="175" t="s">
        <v>606</v>
      </c>
      <c r="E14" s="175" t="s">
        <v>607</v>
      </c>
      <c r="F14" s="175"/>
      <c r="G14" s="175"/>
      <c r="H14" s="175"/>
      <c r="I14" s="175" t="s">
        <v>605</v>
      </c>
      <c r="J14" s="175"/>
      <c r="K14" s="175"/>
      <c r="L14" s="175"/>
      <c r="M14" s="175"/>
      <c r="N14" s="176" t="s">
        <v>1435</v>
      </c>
      <c r="O14" s="175" t="s">
        <v>566</v>
      </c>
      <c r="P14" s="175" t="s">
        <v>567</v>
      </c>
      <c r="Q14" s="175"/>
      <c r="R14" s="175"/>
      <c r="S14" s="176" t="s">
        <v>1435</v>
      </c>
      <c r="T14" s="176" t="s">
        <v>1435</v>
      </c>
      <c r="U14" s="176" t="s">
        <v>1435</v>
      </c>
      <c r="V14" s="176" t="s">
        <v>1435</v>
      </c>
      <c r="W14" s="175"/>
      <c r="X14" s="177" t="b">
        <v>1</v>
      </c>
      <c r="Y14" s="177" t="b">
        <v>0</v>
      </c>
      <c r="Z14" s="177" t="b">
        <v>0</v>
      </c>
      <c r="AA14" s="175"/>
      <c r="AB14" s="175"/>
      <c r="AC14" s="177" t="b">
        <v>0</v>
      </c>
      <c r="AD14" s="178" t="s">
        <v>1901</v>
      </c>
      <c r="AE14" s="175" t="s">
        <v>568</v>
      </c>
      <c r="AF14" s="178" t="s">
        <v>1901</v>
      </c>
      <c r="AG14" s="175" t="s">
        <v>568</v>
      </c>
      <c r="AH14" s="127" t="s">
        <v>568</v>
      </c>
    </row>
    <row r="15" spans="1:34" ht="15.75" customHeight="1">
      <c r="A15" s="175" t="s">
        <v>608</v>
      </c>
      <c r="B15" s="175" t="s">
        <v>609</v>
      </c>
      <c r="C15" s="175" t="s">
        <v>610</v>
      </c>
      <c r="D15" s="175" t="s">
        <v>611</v>
      </c>
      <c r="E15" s="175"/>
      <c r="F15" s="175"/>
      <c r="G15" s="175"/>
      <c r="H15" s="175"/>
      <c r="I15" s="175"/>
      <c r="J15" s="175"/>
      <c r="K15" s="175"/>
      <c r="L15" s="175"/>
      <c r="M15" s="175"/>
      <c r="N15" s="176" t="s">
        <v>1435</v>
      </c>
      <c r="O15" s="175"/>
      <c r="P15" s="175"/>
      <c r="Q15" s="175" t="s">
        <v>570</v>
      </c>
      <c r="R15" s="175"/>
      <c r="S15" s="176" t="s">
        <v>1435</v>
      </c>
      <c r="T15" s="176" t="s">
        <v>1435</v>
      </c>
      <c r="U15" s="176" t="s">
        <v>1435</v>
      </c>
      <c r="V15" s="176" t="s">
        <v>1435</v>
      </c>
      <c r="W15" s="175"/>
      <c r="X15" s="177" t="b">
        <v>1</v>
      </c>
      <c r="Y15" s="177" t="b">
        <v>1</v>
      </c>
      <c r="Z15" s="177" t="b">
        <v>0</v>
      </c>
      <c r="AA15" s="175"/>
      <c r="AB15" s="175"/>
      <c r="AC15" s="177" t="b">
        <v>0</v>
      </c>
      <c r="AD15" s="178">
        <v>1</v>
      </c>
      <c r="AE15" s="175"/>
      <c r="AF15" s="178" t="s">
        <v>1893</v>
      </c>
      <c r="AG15" s="175" t="s">
        <v>572</v>
      </c>
      <c r="AH15" s="127" t="s">
        <v>572</v>
      </c>
    </row>
    <row r="16" spans="1:34" ht="15.75" customHeight="1">
      <c r="A16" s="175" t="s">
        <v>613</v>
      </c>
      <c r="B16" s="175" t="s">
        <v>614</v>
      </c>
      <c r="C16" s="175" t="s">
        <v>615</v>
      </c>
      <c r="D16" s="175" t="s">
        <v>616</v>
      </c>
      <c r="E16" s="175"/>
      <c r="F16" s="175"/>
      <c r="G16" s="175"/>
      <c r="H16" s="175"/>
      <c r="I16" s="175"/>
      <c r="J16" s="175"/>
      <c r="K16" s="175"/>
      <c r="L16" s="175"/>
      <c r="M16" s="175"/>
      <c r="N16" s="176" t="s">
        <v>1435</v>
      </c>
      <c r="O16" s="175"/>
      <c r="P16" s="175"/>
      <c r="Q16" s="175"/>
      <c r="R16" s="175"/>
      <c r="S16" s="176" t="s">
        <v>1435</v>
      </c>
      <c r="T16" s="176" t="s">
        <v>1435</v>
      </c>
      <c r="U16" s="176" t="s">
        <v>1435</v>
      </c>
      <c r="V16" s="176" t="s">
        <v>1435</v>
      </c>
      <c r="W16" s="175"/>
      <c r="X16" s="177" t="b">
        <v>1</v>
      </c>
      <c r="Y16" s="177" t="b">
        <v>1</v>
      </c>
      <c r="Z16" s="177" t="b">
        <v>0</v>
      </c>
      <c r="AA16" s="175"/>
      <c r="AB16" s="175"/>
      <c r="AC16" s="177" t="b">
        <v>0</v>
      </c>
      <c r="AD16" s="178" t="s">
        <v>1902</v>
      </c>
      <c r="AE16" s="175" t="s">
        <v>561</v>
      </c>
      <c r="AF16" s="178" t="s">
        <v>1903</v>
      </c>
      <c r="AG16" s="175" t="s">
        <v>561</v>
      </c>
      <c r="AH16" s="127" t="s">
        <v>561</v>
      </c>
    </row>
    <row r="17" spans="1:34" ht="15.75" customHeight="1">
      <c r="A17" s="175" t="s">
        <v>617</v>
      </c>
      <c r="B17" s="175" t="s">
        <v>1519</v>
      </c>
      <c r="C17" s="175"/>
      <c r="D17" s="175"/>
      <c r="E17" s="175" t="s">
        <v>619</v>
      </c>
      <c r="F17" s="175"/>
      <c r="G17" s="175"/>
      <c r="H17" s="175"/>
      <c r="I17" s="175" t="s">
        <v>618</v>
      </c>
      <c r="J17" s="175"/>
      <c r="K17" s="175"/>
      <c r="L17" s="175"/>
      <c r="M17" s="175"/>
      <c r="N17" s="176" t="s">
        <v>1435</v>
      </c>
      <c r="O17" s="175" t="s">
        <v>566</v>
      </c>
      <c r="P17" s="175" t="s">
        <v>567</v>
      </c>
      <c r="Q17" s="175"/>
      <c r="R17" s="175" t="s">
        <v>1517</v>
      </c>
      <c r="S17" s="176" t="s">
        <v>1435</v>
      </c>
      <c r="T17" s="176" t="s">
        <v>1435</v>
      </c>
      <c r="U17" s="176" t="s">
        <v>1435</v>
      </c>
      <c r="V17" s="176" t="s">
        <v>1435</v>
      </c>
      <c r="W17" s="175"/>
      <c r="X17" s="177" t="b">
        <v>1</v>
      </c>
      <c r="Y17" s="177" t="b">
        <v>0</v>
      </c>
      <c r="Z17" s="177" t="b">
        <v>0</v>
      </c>
      <c r="AA17" s="175"/>
      <c r="AB17" s="175"/>
      <c r="AC17" s="177" t="b">
        <v>0</v>
      </c>
      <c r="AD17" s="178">
        <v>43443</v>
      </c>
      <c r="AE17" s="175" t="s">
        <v>561</v>
      </c>
      <c r="AF17" s="178">
        <v>43560</v>
      </c>
      <c r="AG17" s="175" t="s">
        <v>927</v>
      </c>
      <c r="AH17" s="127" t="s">
        <v>927</v>
      </c>
    </row>
    <row r="18" spans="1:34" ht="15.75" customHeight="1">
      <c r="A18" s="175" t="s">
        <v>24</v>
      </c>
      <c r="B18" s="175" t="s">
        <v>25</v>
      </c>
      <c r="C18" s="175"/>
      <c r="D18" s="175" t="s">
        <v>622</v>
      </c>
      <c r="E18" s="175" t="s">
        <v>623</v>
      </c>
      <c r="F18" s="175"/>
      <c r="G18" s="175"/>
      <c r="H18" s="175"/>
      <c r="I18" s="175" t="s">
        <v>25</v>
      </c>
      <c r="J18" s="175"/>
      <c r="K18" s="175"/>
      <c r="L18" s="175"/>
      <c r="M18" s="175"/>
      <c r="N18" s="176" t="s">
        <v>1520</v>
      </c>
      <c r="O18" s="175" t="s">
        <v>566</v>
      </c>
      <c r="P18" s="175" t="s">
        <v>567</v>
      </c>
      <c r="Q18" s="175"/>
      <c r="R18" s="175" t="s">
        <v>1521</v>
      </c>
      <c r="S18" s="176" t="s">
        <v>1435</v>
      </c>
      <c r="T18" s="176" t="s">
        <v>1435</v>
      </c>
      <c r="U18" s="176" t="s">
        <v>1435</v>
      </c>
      <c r="V18" s="176" t="s">
        <v>1435</v>
      </c>
      <c r="W18" s="175"/>
      <c r="X18" s="177" t="b">
        <v>1</v>
      </c>
      <c r="Y18" s="177" t="b">
        <v>0</v>
      </c>
      <c r="Z18" s="177" t="b">
        <v>0</v>
      </c>
      <c r="AA18" s="175"/>
      <c r="AB18" s="175"/>
      <c r="AC18" s="177" t="b">
        <v>0</v>
      </c>
      <c r="AD18" s="178">
        <v>1</v>
      </c>
      <c r="AE18" s="175"/>
      <c r="AF18" s="178">
        <v>43651</v>
      </c>
      <c r="AG18" s="175" t="s">
        <v>927</v>
      </c>
      <c r="AH18" s="127" t="s">
        <v>927</v>
      </c>
    </row>
    <row r="19" spans="1:34" ht="15.75" customHeight="1">
      <c r="A19" s="175" t="s">
        <v>624</v>
      </c>
      <c r="B19" s="175" t="s">
        <v>625</v>
      </c>
      <c r="C19" s="175"/>
      <c r="D19" s="175"/>
      <c r="E19" s="175"/>
      <c r="F19" s="175"/>
      <c r="G19" s="175"/>
      <c r="H19" s="175"/>
      <c r="I19" s="175" t="s">
        <v>625</v>
      </c>
      <c r="J19" s="175"/>
      <c r="K19" s="175"/>
      <c r="L19" s="175"/>
      <c r="M19" s="175"/>
      <c r="N19" s="176" t="s">
        <v>1435</v>
      </c>
      <c r="O19" s="175"/>
      <c r="P19" s="175"/>
      <c r="Q19" s="175" t="s">
        <v>570</v>
      </c>
      <c r="R19" s="175"/>
      <c r="S19" s="176" t="s">
        <v>1435</v>
      </c>
      <c r="T19" s="176" t="s">
        <v>1435</v>
      </c>
      <c r="U19" s="176" t="s">
        <v>1435</v>
      </c>
      <c r="V19" s="176" t="s">
        <v>1435</v>
      </c>
      <c r="W19" s="175"/>
      <c r="X19" s="177" t="b">
        <v>1</v>
      </c>
      <c r="Y19" s="177" t="b">
        <v>1</v>
      </c>
      <c r="Z19" s="177" t="b">
        <v>0</v>
      </c>
      <c r="AA19" s="175"/>
      <c r="AB19" s="175"/>
      <c r="AC19" s="177" t="b">
        <v>0</v>
      </c>
      <c r="AD19" s="178" t="s">
        <v>1904</v>
      </c>
      <c r="AE19" s="175" t="s">
        <v>561</v>
      </c>
      <c r="AF19" s="178" t="s">
        <v>1894</v>
      </c>
      <c r="AG19" s="175" t="s">
        <v>569</v>
      </c>
      <c r="AH19" s="127" t="s">
        <v>569</v>
      </c>
    </row>
    <row r="20" spans="1:34">
      <c r="A20" s="175" t="s">
        <v>626</v>
      </c>
      <c r="B20" s="175" t="s">
        <v>627</v>
      </c>
      <c r="C20" s="175"/>
      <c r="D20" s="175"/>
      <c r="E20" s="175"/>
      <c r="F20" s="175"/>
      <c r="G20" s="175"/>
      <c r="H20" s="175"/>
      <c r="I20" s="175"/>
      <c r="J20" s="175"/>
      <c r="K20" s="175"/>
      <c r="L20" s="175"/>
      <c r="M20" s="175"/>
      <c r="N20" s="176" t="s">
        <v>1435</v>
      </c>
      <c r="O20" s="175"/>
      <c r="P20" s="175"/>
      <c r="Q20" s="175"/>
      <c r="R20" s="175"/>
      <c r="S20" s="176" t="s">
        <v>1435</v>
      </c>
      <c r="T20" s="176" t="s">
        <v>1435</v>
      </c>
      <c r="U20" s="176" t="s">
        <v>1435</v>
      </c>
      <c r="V20" s="176" t="s">
        <v>1435</v>
      </c>
      <c r="W20" s="175"/>
      <c r="X20" s="177" t="b">
        <v>1</v>
      </c>
      <c r="Y20" s="177" t="b">
        <v>0</v>
      </c>
      <c r="Z20" s="177" t="b">
        <v>0</v>
      </c>
      <c r="AA20" s="175"/>
      <c r="AB20" s="175"/>
      <c r="AC20" s="177" t="b">
        <v>0</v>
      </c>
      <c r="AD20" s="178" t="s">
        <v>1905</v>
      </c>
      <c r="AE20" s="175" t="s">
        <v>579</v>
      </c>
      <c r="AF20" s="178" t="s">
        <v>1905</v>
      </c>
      <c r="AG20" s="175" t="s">
        <v>579</v>
      </c>
      <c r="AH20" s="127" t="s">
        <v>579</v>
      </c>
    </row>
    <row r="21" spans="1:34" ht="15.75" customHeight="1">
      <c r="A21" s="175" t="s">
        <v>628</v>
      </c>
      <c r="B21" s="175" t="s">
        <v>629</v>
      </c>
      <c r="C21" s="175"/>
      <c r="D21" s="175" t="s">
        <v>630</v>
      </c>
      <c r="E21" s="175" t="s">
        <v>631</v>
      </c>
      <c r="F21" s="175"/>
      <c r="G21" s="175"/>
      <c r="H21" s="175"/>
      <c r="I21" s="175" t="s">
        <v>629</v>
      </c>
      <c r="J21" s="175"/>
      <c r="K21" s="175"/>
      <c r="L21" s="175"/>
      <c r="M21" s="175"/>
      <c r="N21" s="176" t="s">
        <v>1435</v>
      </c>
      <c r="O21" s="175" t="s">
        <v>566</v>
      </c>
      <c r="P21" s="175" t="s">
        <v>567</v>
      </c>
      <c r="Q21" s="175"/>
      <c r="R21" s="175"/>
      <c r="S21" s="176" t="s">
        <v>1435</v>
      </c>
      <c r="T21" s="176" t="s">
        <v>1435</v>
      </c>
      <c r="U21" s="176" t="s">
        <v>1435</v>
      </c>
      <c r="V21" s="176" t="s">
        <v>1435</v>
      </c>
      <c r="W21" s="175"/>
      <c r="X21" s="177" t="b">
        <v>1</v>
      </c>
      <c r="Y21" s="177" t="b">
        <v>1</v>
      </c>
      <c r="Z21" s="177" t="b">
        <v>0</v>
      </c>
      <c r="AA21" s="175"/>
      <c r="AB21" s="175"/>
      <c r="AC21" s="177" t="b">
        <v>0</v>
      </c>
      <c r="AD21" s="178" t="s">
        <v>1906</v>
      </c>
      <c r="AE21" s="175" t="s">
        <v>561</v>
      </c>
      <c r="AF21" s="178" t="s">
        <v>1894</v>
      </c>
      <c r="AG21" s="175" t="s">
        <v>569</v>
      </c>
      <c r="AH21" s="127" t="s">
        <v>569</v>
      </c>
    </row>
    <row r="22" spans="1:34" ht="15.75" customHeight="1">
      <c r="A22" s="175" t="s">
        <v>75</v>
      </c>
      <c r="B22" s="175" t="s">
        <v>76</v>
      </c>
      <c r="C22" s="175"/>
      <c r="D22" s="175" t="s">
        <v>1437</v>
      </c>
      <c r="E22" s="175" t="s">
        <v>632</v>
      </c>
      <c r="F22" s="175"/>
      <c r="G22" s="175"/>
      <c r="H22" s="175"/>
      <c r="I22" s="175" t="s">
        <v>76</v>
      </c>
      <c r="J22" s="175"/>
      <c r="K22" s="175"/>
      <c r="L22" s="175"/>
      <c r="M22" s="175"/>
      <c r="N22" s="176" t="s">
        <v>1435</v>
      </c>
      <c r="O22" s="175" t="s">
        <v>566</v>
      </c>
      <c r="P22" s="175" t="s">
        <v>567</v>
      </c>
      <c r="Q22" s="175"/>
      <c r="R22" s="175" t="s">
        <v>1522</v>
      </c>
      <c r="S22" s="176" t="s">
        <v>1435</v>
      </c>
      <c r="T22" s="176" t="s">
        <v>1435</v>
      </c>
      <c r="U22" s="176" t="s">
        <v>1435</v>
      </c>
      <c r="V22" s="176" t="s">
        <v>1435</v>
      </c>
      <c r="W22" s="175"/>
      <c r="X22" s="177" t="b">
        <v>1</v>
      </c>
      <c r="Y22" s="177" t="b">
        <v>0</v>
      </c>
      <c r="Z22" s="177" t="b">
        <v>0</v>
      </c>
      <c r="AA22" s="175"/>
      <c r="AB22" s="175"/>
      <c r="AC22" s="177" t="b">
        <v>0</v>
      </c>
      <c r="AD22" s="178">
        <v>1</v>
      </c>
      <c r="AE22" s="175"/>
      <c r="AF22" s="178">
        <v>43560</v>
      </c>
      <c r="AG22" s="175" t="s">
        <v>927</v>
      </c>
      <c r="AH22" s="127" t="s">
        <v>927</v>
      </c>
    </row>
    <row r="23" spans="1:34" ht="15.75" customHeight="1">
      <c r="A23" s="175" t="s">
        <v>1365</v>
      </c>
      <c r="B23" s="175" t="s">
        <v>1523</v>
      </c>
      <c r="C23" s="175"/>
      <c r="D23" s="175" t="s">
        <v>1383</v>
      </c>
      <c r="E23" s="175" t="s">
        <v>1384</v>
      </c>
      <c r="F23" s="175"/>
      <c r="G23" s="175"/>
      <c r="H23" s="175"/>
      <c r="I23" s="175"/>
      <c r="J23" s="175"/>
      <c r="K23" s="175"/>
      <c r="L23" s="175"/>
      <c r="M23" s="175"/>
      <c r="N23" s="176" t="s">
        <v>1435</v>
      </c>
      <c r="O23" s="175" t="s">
        <v>566</v>
      </c>
      <c r="P23" s="175" t="s">
        <v>567</v>
      </c>
      <c r="Q23" s="175"/>
      <c r="R23" s="175" t="s">
        <v>1517</v>
      </c>
      <c r="S23" s="176" t="s">
        <v>1435</v>
      </c>
      <c r="T23" s="176" t="s">
        <v>1435</v>
      </c>
      <c r="U23" s="176" t="s">
        <v>1435</v>
      </c>
      <c r="V23" s="176" t="s">
        <v>1435</v>
      </c>
      <c r="W23" s="175"/>
      <c r="X23" s="177" t="b">
        <v>1</v>
      </c>
      <c r="Y23" s="177" t="b">
        <v>0</v>
      </c>
      <c r="Z23" s="177" t="b">
        <v>0</v>
      </c>
      <c r="AA23" s="175"/>
      <c r="AB23" s="175"/>
      <c r="AC23" s="177" t="b">
        <v>0</v>
      </c>
      <c r="AD23" s="178">
        <v>43681</v>
      </c>
      <c r="AE23" s="175" t="s">
        <v>587</v>
      </c>
      <c r="AF23" s="178">
        <v>43560</v>
      </c>
      <c r="AG23" s="175" t="s">
        <v>927</v>
      </c>
      <c r="AH23" s="127" t="s">
        <v>927</v>
      </c>
    </row>
    <row r="24" spans="1:34">
      <c r="A24" s="175" t="s">
        <v>1524</v>
      </c>
      <c r="B24" s="175" t="s">
        <v>1525</v>
      </c>
      <c r="C24" s="175" t="s">
        <v>1526</v>
      </c>
      <c r="D24" s="175" t="s">
        <v>1527</v>
      </c>
      <c r="E24" s="175"/>
      <c r="F24" s="175"/>
      <c r="G24" s="175"/>
      <c r="H24" s="175"/>
      <c r="I24" s="175"/>
      <c r="J24" s="175"/>
      <c r="K24" s="175"/>
      <c r="L24" s="175"/>
      <c r="M24" s="175"/>
      <c r="N24" s="176" t="s">
        <v>1435</v>
      </c>
      <c r="O24" s="175"/>
      <c r="P24" s="175"/>
      <c r="Q24" s="175" t="s">
        <v>578</v>
      </c>
      <c r="R24" s="175"/>
      <c r="S24" s="176" t="s">
        <v>1435</v>
      </c>
      <c r="T24" s="176" t="s">
        <v>1435</v>
      </c>
      <c r="U24" s="176" t="s">
        <v>1435</v>
      </c>
      <c r="V24" s="176" t="s">
        <v>1435</v>
      </c>
      <c r="W24" s="175"/>
      <c r="X24" s="177" t="b">
        <v>1</v>
      </c>
      <c r="Y24" s="177" t="b">
        <v>1</v>
      </c>
      <c r="Z24" s="177" t="b">
        <v>0</v>
      </c>
      <c r="AA24" s="175"/>
      <c r="AB24" s="175"/>
      <c r="AC24" s="177" t="b">
        <v>0</v>
      </c>
      <c r="AD24" s="178" t="s">
        <v>1907</v>
      </c>
      <c r="AE24" s="175" t="s">
        <v>561</v>
      </c>
      <c r="AF24" s="178" t="s">
        <v>1907</v>
      </c>
      <c r="AG24" s="175" t="s">
        <v>561</v>
      </c>
      <c r="AH24" s="127" t="s">
        <v>561</v>
      </c>
    </row>
    <row r="25" spans="1:34" ht="15.75" customHeight="1">
      <c r="A25" s="175" t="s">
        <v>1385</v>
      </c>
      <c r="B25" s="175" t="s">
        <v>1386</v>
      </c>
      <c r="C25" s="175" t="s">
        <v>1387</v>
      </c>
      <c r="D25" s="175" t="s">
        <v>1388</v>
      </c>
      <c r="E25" s="175"/>
      <c r="F25" s="175"/>
      <c r="G25" s="175"/>
      <c r="H25" s="175"/>
      <c r="I25" s="175"/>
      <c r="J25" s="175"/>
      <c r="K25" s="175"/>
      <c r="L25" s="175"/>
      <c r="M25" s="175"/>
      <c r="N25" s="176" t="s">
        <v>1435</v>
      </c>
      <c r="O25" s="175"/>
      <c r="P25" s="175"/>
      <c r="Q25" s="175"/>
      <c r="R25" s="175"/>
      <c r="S25" s="176" t="s">
        <v>1435</v>
      </c>
      <c r="T25" s="176" t="s">
        <v>1435</v>
      </c>
      <c r="U25" s="176" t="s">
        <v>1435</v>
      </c>
      <c r="V25" s="176" t="s">
        <v>1435</v>
      </c>
      <c r="W25" s="175"/>
      <c r="X25" s="177" t="b">
        <v>1</v>
      </c>
      <c r="Y25" s="177" t="b">
        <v>0</v>
      </c>
      <c r="Z25" s="177" t="b">
        <v>0</v>
      </c>
      <c r="AA25" s="175"/>
      <c r="AB25" s="175"/>
      <c r="AC25" s="177" t="b">
        <v>0</v>
      </c>
      <c r="AD25" s="178">
        <v>43589</v>
      </c>
      <c r="AE25" s="175" t="s">
        <v>561</v>
      </c>
      <c r="AF25" s="178">
        <v>43589</v>
      </c>
      <c r="AG25" s="175" t="s">
        <v>561</v>
      </c>
      <c r="AH25" s="127" t="s">
        <v>561</v>
      </c>
    </row>
    <row r="26" spans="1:34" ht="16.5" customHeight="1">
      <c r="A26" s="175" t="s">
        <v>633</v>
      </c>
      <c r="B26" s="175" t="s">
        <v>634</v>
      </c>
      <c r="C26" s="175"/>
      <c r="D26" s="175" t="s">
        <v>635</v>
      </c>
      <c r="E26" s="175" t="s">
        <v>636</v>
      </c>
      <c r="F26" s="175"/>
      <c r="G26" s="175"/>
      <c r="H26" s="175"/>
      <c r="I26" s="175" t="s">
        <v>95</v>
      </c>
      <c r="J26" s="175"/>
      <c r="K26" s="175"/>
      <c r="L26" s="175"/>
      <c r="M26" s="175"/>
      <c r="N26" s="176" t="s">
        <v>1435</v>
      </c>
      <c r="O26" s="175" t="s">
        <v>566</v>
      </c>
      <c r="P26" s="175" t="s">
        <v>567</v>
      </c>
      <c r="Q26" s="175"/>
      <c r="R26" s="175"/>
      <c r="S26" s="176" t="s">
        <v>1435</v>
      </c>
      <c r="T26" s="176" t="s">
        <v>1435</v>
      </c>
      <c r="U26" s="176" t="s">
        <v>1435</v>
      </c>
      <c r="V26" s="176" t="s">
        <v>1435</v>
      </c>
      <c r="W26" s="175"/>
      <c r="X26" s="177" t="b">
        <v>1</v>
      </c>
      <c r="Y26" s="177" t="b">
        <v>0</v>
      </c>
      <c r="Z26" s="177" t="b">
        <v>0</v>
      </c>
      <c r="AA26" s="175"/>
      <c r="AB26" s="175"/>
      <c r="AC26" s="177" t="b">
        <v>0</v>
      </c>
      <c r="AD26" s="178" t="s">
        <v>1908</v>
      </c>
      <c r="AE26" s="175" t="s">
        <v>568</v>
      </c>
      <c r="AF26" s="178" t="s">
        <v>1908</v>
      </c>
      <c r="AG26" s="175" t="s">
        <v>568</v>
      </c>
      <c r="AH26" s="127" t="s">
        <v>568</v>
      </c>
    </row>
    <row r="27" spans="1:34">
      <c r="A27" s="175" t="s">
        <v>637</v>
      </c>
      <c r="B27" s="175" t="s">
        <v>638</v>
      </c>
      <c r="C27" s="175"/>
      <c r="D27" s="175"/>
      <c r="E27" s="175"/>
      <c r="F27" s="175"/>
      <c r="G27" s="175"/>
      <c r="H27" s="175"/>
      <c r="I27" s="175"/>
      <c r="J27" s="175"/>
      <c r="K27" s="175"/>
      <c r="L27" s="175"/>
      <c r="M27" s="175"/>
      <c r="N27" s="176" t="s">
        <v>1435</v>
      </c>
      <c r="O27" s="175"/>
      <c r="P27" s="175"/>
      <c r="Q27" s="175"/>
      <c r="R27" s="175"/>
      <c r="S27" s="176" t="s">
        <v>1435</v>
      </c>
      <c r="T27" s="176" t="s">
        <v>1435</v>
      </c>
      <c r="U27" s="176" t="s">
        <v>1435</v>
      </c>
      <c r="V27" s="176" t="s">
        <v>1435</v>
      </c>
      <c r="W27" s="175"/>
      <c r="X27" s="177" t="b">
        <v>1</v>
      </c>
      <c r="Y27" s="177" t="b">
        <v>0</v>
      </c>
      <c r="Z27" s="177" t="b">
        <v>0</v>
      </c>
      <c r="AA27" s="175"/>
      <c r="AB27" s="175"/>
      <c r="AC27" s="177" t="b">
        <v>0</v>
      </c>
      <c r="AD27" s="178" t="s">
        <v>1909</v>
      </c>
      <c r="AE27" s="175" t="s">
        <v>561</v>
      </c>
      <c r="AF27" s="178" t="s">
        <v>1909</v>
      </c>
      <c r="AG27" s="175" t="s">
        <v>561</v>
      </c>
      <c r="AH27" s="127" t="s">
        <v>561</v>
      </c>
    </row>
    <row r="28" spans="1:34">
      <c r="A28" s="175" t="s">
        <v>639</v>
      </c>
      <c r="B28" s="175" t="s">
        <v>640</v>
      </c>
      <c r="C28" s="175"/>
      <c r="D28" s="175" t="s">
        <v>641</v>
      </c>
      <c r="E28" s="175"/>
      <c r="F28" s="175"/>
      <c r="G28" s="175"/>
      <c r="H28" s="175"/>
      <c r="I28" s="175"/>
      <c r="J28" s="175"/>
      <c r="K28" s="175"/>
      <c r="L28" s="175"/>
      <c r="M28" s="175"/>
      <c r="N28" s="176" t="s">
        <v>1435</v>
      </c>
      <c r="O28" s="175"/>
      <c r="P28" s="175"/>
      <c r="Q28" s="175" t="s">
        <v>570</v>
      </c>
      <c r="R28" s="175"/>
      <c r="S28" s="176" t="s">
        <v>1435</v>
      </c>
      <c r="T28" s="176" t="s">
        <v>1435</v>
      </c>
      <c r="U28" s="176" t="s">
        <v>1435</v>
      </c>
      <c r="V28" s="176" t="s">
        <v>1435</v>
      </c>
      <c r="W28" s="175"/>
      <c r="X28" s="177" t="b">
        <v>1</v>
      </c>
      <c r="Y28" s="177" t="b">
        <v>1</v>
      </c>
      <c r="Z28" s="177" t="b">
        <v>0</v>
      </c>
      <c r="AA28" s="175"/>
      <c r="AB28" s="175"/>
      <c r="AC28" s="177" t="b">
        <v>0</v>
      </c>
      <c r="AD28" s="178" t="s">
        <v>1910</v>
      </c>
      <c r="AE28" s="175" t="s">
        <v>561</v>
      </c>
      <c r="AF28" s="178" t="s">
        <v>1910</v>
      </c>
      <c r="AG28" s="175" t="s">
        <v>561</v>
      </c>
      <c r="AH28" s="127" t="s">
        <v>561</v>
      </c>
    </row>
    <row r="29" spans="1:34">
      <c r="A29" s="175" t="s">
        <v>83</v>
      </c>
      <c r="B29" s="175" t="s">
        <v>1528</v>
      </c>
      <c r="C29" s="175"/>
      <c r="D29" s="175" t="s">
        <v>630</v>
      </c>
      <c r="E29" s="175" t="s">
        <v>1529</v>
      </c>
      <c r="F29" s="175"/>
      <c r="G29" s="175"/>
      <c r="H29" s="175"/>
      <c r="I29" s="175" t="s">
        <v>642</v>
      </c>
      <c r="J29" s="175"/>
      <c r="K29" s="175"/>
      <c r="L29" s="175" t="s">
        <v>1530</v>
      </c>
      <c r="M29" s="175"/>
      <c r="N29" s="176" t="s">
        <v>1435</v>
      </c>
      <c r="O29" s="175" t="s">
        <v>566</v>
      </c>
      <c r="P29" s="175" t="s">
        <v>567</v>
      </c>
      <c r="Q29" s="175"/>
      <c r="R29" s="175"/>
      <c r="S29" s="176" t="s">
        <v>1435</v>
      </c>
      <c r="T29" s="176" t="s">
        <v>1435</v>
      </c>
      <c r="U29" s="176" t="s">
        <v>1435</v>
      </c>
      <c r="V29" s="176" t="s">
        <v>1435</v>
      </c>
      <c r="W29" s="175"/>
      <c r="X29" s="177" t="b">
        <v>1</v>
      </c>
      <c r="Y29" s="177" t="b">
        <v>0</v>
      </c>
      <c r="Z29" s="177" t="b">
        <v>0</v>
      </c>
      <c r="AA29" s="175"/>
      <c r="AB29" s="175"/>
      <c r="AC29" s="177" t="b">
        <v>0</v>
      </c>
      <c r="AD29" s="178">
        <v>43142</v>
      </c>
      <c r="AE29" s="175" t="s">
        <v>561</v>
      </c>
      <c r="AF29" s="178">
        <v>43560</v>
      </c>
      <c r="AG29" s="175" t="s">
        <v>927</v>
      </c>
      <c r="AH29" s="127" t="s">
        <v>927</v>
      </c>
    </row>
    <row r="30" spans="1:34">
      <c r="A30" s="175" t="s">
        <v>643</v>
      </c>
      <c r="B30" s="175" t="s">
        <v>1531</v>
      </c>
      <c r="C30" s="175"/>
      <c r="D30" s="175" t="s">
        <v>1438</v>
      </c>
      <c r="E30" s="175" t="s">
        <v>644</v>
      </c>
      <c r="F30" s="175"/>
      <c r="G30" s="175"/>
      <c r="H30" s="175"/>
      <c r="I30" s="175" t="s">
        <v>1531</v>
      </c>
      <c r="J30" s="175"/>
      <c r="K30" s="175"/>
      <c r="L30" s="175"/>
      <c r="M30" s="175"/>
      <c r="N30" s="176" t="s">
        <v>1435</v>
      </c>
      <c r="O30" s="175" t="s">
        <v>566</v>
      </c>
      <c r="P30" s="175" t="s">
        <v>567</v>
      </c>
      <c r="Q30" s="175"/>
      <c r="R30" s="175" t="s">
        <v>1512</v>
      </c>
      <c r="S30" s="176" t="s">
        <v>1435</v>
      </c>
      <c r="T30" s="176" t="s">
        <v>1435</v>
      </c>
      <c r="U30" s="176" t="s">
        <v>1435</v>
      </c>
      <c r="V30" s="176" t="s">
        <v>1435</v>
      </c>
      <c r="W30" s="175"/>
      <c r="X30" s="177" t="b">
        <v>1</v>
      </c>
      <c r="Y30" s="177" t="b">
        <v>0</v>
      </c>
      <c r="Z30" s="177" t="b">
        <v>0</v>
      </c>
      <c r="AA30" s="175"/>
      <c r="AB30" s="175"/>
      <c r="AC30" s="177" t="b">
        <v>0</v>
      </c>
      <c r="AD30" s="178">
        <v>43445</v>
      </c>
      <c r="AE30" s="175" t="s">
        <v>587</v>
      </c>
      <c r="AF30" s="178">
        <v>43560</v>
      </c>
      <c r="AG30" s="175" t="s">
        <v>927</v>
      </c>
      <c r="AH30" s="127" t="s">
        <v>927</v>
      </c>
    </row>
    <row r="31" spans="1:34">
      <c r="A31" s="175" t="s">
        <v>645</v>
      </c>
      <c r="B31" s="175" t="s">
        <v>646</v>
      </c>
      <c r="C31" s="175"/>
      <c r="D31" s="175"/>
      <c r="E31" s="175" t="s">
        <v>647</v>
      </c>
      <c r="F31" s="175"/>
      <c r="G31" s="175"/>
      <c r="H31" s="175"/>
      <c r="I31" s="175" t="s">
        <v>646</v>
      </c>
      <c r="J31" s="175"/>
      <c r="K31" s="175"/>
      <c r="L31" s="175"/>
      <c r="M31" s="175"/>
      <c r="N31" s="176" t="s">
        <v>1435</v>
      </c>
      <c r="O31" s="175" t="s">
        <v>566</v>
      </c>
      <c r="P31" s="175" t="s">
        <v>567</v>
      </c>
      <c r="Q31" s="175"/>
      <c r="R31" s="175"/>
      <c r="S31" s="176" t="s">
        <v>1435</v>
      </c>
      <c r="T31" s="176" t="s">
        <v>1435</v>
      </c>
      <c r="U31" s="176" t="s">
        <v>1435</v>
      </c>
      <c r="V31" s="176" t="s">
        <v>1435</v>
      </c>
      <c r="W31" s="175"/>
      <c r="X31" s="177" t="b">
        <v>1</v>
      </c>
      <c r="Y31" s="177" t="b">
        <v>0</v>
      </c>
      <c r="Z31" s="177" t="b">
        <v>0</v>
      </c>
      <c r="AA31" s="175"/>
      <c r="AB31" s="175"/>
      <c r="AC31" s="177" t="b">
        <v>0</v>
      </c>
      <c r="AD31" s="178">
        <v>43802</v>
      </c>
      <c r="AE31" s="175" t="s">
        <v>587</v>
      </c>
      <c r="AF31" s="178" t="s">
        <v>1911</v>
      </c>
      <c r="AG31" s="175" t="s">
        <v>587</v>
      </c>
      <c r="AH31" s="127" t="s">
        <v>587</v>
      </c>
    </row>
    <row r="32" spans="1:34">
      <c r="A32" s="175" t="s">
        <v>1912</v>
      </c>
      <c r="B32" s="175" t="s">
        <v>1913</v>
      </c>
      <c r="C32" s="175"/>
      <c r="D32" s="175" t="s">
        <v>662</v>
      </c>
      <c r="E32" s="175"/>
      <c r="F32" s="175"/>
      <c r="G32" s="175"/>
      <c r="H32" s="175"/>
      <c r="I32" s="175"/>
      <c r="J32" s="175"/>
      <c r="K32" s="175"/>
      <c r="L32" s="175"/>
      <c r="M32" s="175"/>
      <c r="N32" s="176" t="s">
        <v>1435</v>
      </c>
      <c r="O32" s="175" t="s">
        <v>566</v>
      </c>
      <c r="P32" s="175" t="s">
        <v>567</v>
      </c>
      <c r="Q32" s="175"/>
      <c r="R32" s="175"/>
      <c r="S32" s="176" t="s">
        <v>1435</v>
      </c>
      <c r="T32" s="176" t="s">
        <v>1435</v>
      </c>
      <c r="U32" s="176" t="s">
        <v>1435</v>
      </c>
      <c r="V32" s="176" t="s">
        <v>1435</v>
      </c>
      <c r="W32" s="175"/>
      <c r="X32" s="177" t="b">
        <v>1</v>
      </c>
      <c r="Y32" s="177" t="b">
        <v>0</v>
      </c>
      <c r="Z32" s="177" t="b">
        <v>0</v>
      </c>
      <c r="AA32" s="175"/>
      <c r="AB32" s="175"/>
      <c r="AC32" s="177" t="b">
        <v>0</v>
      </c>
      <c r="AD32" s="178">
        <v>43775</v>
      </c>
      <c r="AE32" s="175" t="s">
        <v>561</v>
      </c>
      <c r="AF32" s="178">
        <v>43775</v>
      </c>
      <c r="AG32" s="175" t="s">
        <v>561</v>
      </c>
      <c r="AH32" s="127" t="s">
        <v>561</v>
      </c>
    </row>
    <row r="33" spans="1:34" ht="15.75" customHeight="1">
      <c r="A33" s="175" t="s">
        <v>90</v>
      </c>
      <c r="B33" s="175" t="s">
        <v>91</v>
      </c>
      <c r="C33" s="175"/>
      <c r="D33" s="175" t="s">
        <v>648</v>
      </c>
      <c r="E33" s="175" t="s">
        <v>649</v>
      </c>
      <c r="F33" s="175"/>
      <c r="G33" s="175"/>
      <c r="H33" s="175"/>
      <c r="I33" s="175" t="s">
        <v>91</v>
      </c>
      <c r="J33" s="175"/>
      <c r="K33" s="175"/>
      <c r="L33" s="175"/>
      <c r="M33" s="175"/>
      <c r="N33" s="176" t="s">
        <v>1435</v>
      </c>
      <c r="O33" s="175" t="s">
        <v>566</v>
      </c>
      <c r="P33" s="175" t="s">
        <v>567</v>
      </c>
      <c r="Q33" s="175"/>
      <c r="R33" s="175"/>
      <c r="S33" s="176" t="s">
        <v>1435</v>
      </c>
      <c r="T33" s="176" t="s">
        <v>1435</v>
      </c>
      <c r="U33" s="176" t="s">
        <v>1435</v>
      </c>
      <c r="V33" s="176" t="s">
        <v>1435</v>
      </c>
      <c r="W33" s="175"/>
      <c r="X33" s="177" t="b">
        <v>1</v>
      </c>
      <c r="Y33" s="177" t="b">
        <v>0</v>
      </c>
      <c r="Z33" s="177" t="b">
        <v>0</v>
      </c>
      <c r="AA33" s="175"/>
      <c r="AB33" s="175"/>
      <c r="AC33" s="177" t="b">
        <v>0</v>
      </c>
      <c r="AD33" s="178" t="s">
        <v>1914</v>
      </c>
      <c r="AE33" s="175" t="s">
        <v>568</v>
      </c>
      <c r="AF33" s="178" t="s">
        <v>1914</v>
      </c>
      <c r="AG33" s="175" t="s">
        <v>568</v>
      </c>
      <c r="AH33" s="127" t="s">
        <v>568</v>
      </c>
    </row>
    <row r="34" spans="1:34">
      <c r="A34" s="175" t="s">
        <v>65</v>
      </c>
      <c r="B34" s="175" t="s">
        <v>66</v>
      </c>
      <c r="C34" s="175"/>
      <c r="D34" s="175" t="s">
        <v>650</v>
      </c>
      <c r="E34" s="175" t="s">
        <v>651</v>
      </c>
      <c r="F34" s="175"/>
      <c r="G34" s="175"/>
      <c r="H34" s="175"/>
      <c r="I34" s="175" t="s">
        <v>66</v>
      </c>
      <c r="J34" s="175"/>
      <c r="K34" s="175"/>
      <c r="L34" s="175"/>
      <c r="M34" s="175"/>
      <c r="N34" s="176" t="s">
        <v>1520</v>
      </c>
      <c r="O34" s="175" t="s">
        <v>566</v>
      </c>
      <c r="P34" s="175" t="s">
        <v>567</v>
      </c>
      <c r="Q34" s="175"/>
      <c r="R34" s="175" t="s">
        <v>1521</v>
      </c>
      <c r="S34" s="176" t="s">
        <v>1435</v>
      </c>
      <c r="T34" s="176" t="s">
        <v>1435</v>
      </c>
      <c r="U34" s="176" t="s">
        <v>1435</v>
      </c>
      <c r="V34" s="176" t="s">
        <v>1435</v>
      </c>
      <c r="W34" s="175"/>
      <c r="X34" s="177" t="b">
        <v>1</v>
      </c>
      <c r="Y34" s="177" t="b">
        <v>0</v>
      </c>
      <c r="Z34" s="177" t="b">
        <v>0</v>
      </c>
      <c r="AA34" s="175"/>
      <c r="AB34" s="175"/>
      <c r="AC34" s="177" t="b">
        <v>0</v>
      </c>
      <c r="AD34" s="178">
        <v>1</v>
      </c>
      <c r="AE34" s="175"/>
      <c r="AF34" s="178">
        <v>43651</v>
      </c>
      <c r="AG34" s="175" t="s">
        <v>927</v>
      </c>
      <c r="AH34" s="127" t="s">
        <v>927</v>
      </c>
    </row>
    <row r="35" spans="1:34" ht="15.75" customHeight="1">
      <c r="A35" s="175" t="s">
        <v>652</v>
      </c>
      <c r="B35" s="175" t="s">
        <v>653</v>
      </c>
      <c r="C35" s="175"/>
      <c r="D35" s="175"/>
      <c r="E35" s="175"/>
      <c r="F35" s="175"/>
      <c r="G35" s="175"/>
      <c r="H35" s="175"/>
      <c r="I35" s="175"/>
      <c r="J35" s="175"/>
      <c r="K35" s="175"/>
      <c r="L35" s="175"/>
      <c r="M35" s="175"/>
      <c r="N35" s="176" t="s">
        <v>1435</v>
      </c>
      <c r="O35" s="175"/>
      <c r="P35" s="175"/>
      <c r="Q35" s="175"/>
      <c r="R35" s="175"/>
      <c r="S35" s="176" t="s">
        <v>1435</v>
      </c>
      <c r="T35" s="176" t="s">
        <v>1435</v>
      </c>
      <c r="U35" s="176" t="s">
        <v>1435</v>
      </c>
      <c r="V35" s="176" t="s">
        <v>1435</v>
      </c>
      <c r="W35" s="175"/>
      <c r="X35" s="177" t="b">
        <v>1</v>
      </c>
      <c r="Y35" s="177" t="b">
        <v>1</v>
      </c>
      <c r="Z35" s="177" t="b">
        <v>0</v>
      </c>
      <c r="AA35" s="175"/>
      <c r="AB35" s="175"/>
      <c r="AC35" s="177" t="b">
        <v>0</v>
      </c>
      <c r="AD35" s="178">
        <v>43711</v>
      </c>
      <c r="AE35" s="175" t="s">
        <v>561</v>
      </c>
      <c r="AF35" s="178">
        <v>43711</v>
      </c>
      <c r="AG35" s="175" t="s">
        <v>561</v>
      </c>
      <c r="AH35" s="127" t="s">
        <v>561</v>
      </c>
    </row>
    <row r="36" spans="1:34" ht="15.75" customHeight="1">
      <c r="A36" s="175" t="s">
        <v>654</v>
      </c>
      <c r="B36" s="175" t="s">
        <v>655</v>
      </c>
      <c r="C36" s="175" t="s">
        <v>656</v>
      </c>
      <c r="D36" s="175" t="s">
        <v>657</v>
      </c>
      <c r="E36" s="175" t="s">
        <v>658</v>
      </c>
      <c r="F36" s="175"/>
      <c r="G36" s="175"/>
      <c r="H36" s="175"/>
      <c r="I36" s="175"/>
      <c r="J36" s="175"/>
      <c r="K36" s="175"/>
      <c r="L36" s="175"/>
      <c r="M36" s="175"/>
      <c r="N36" s="176" t="s">
        <v>1435</v>
      </c>
      <c r="O36" s="175"/>
      <c r="P36" s="175"/>
      <c r="Q36" s="175"/>
      <c r="R36" s="175"/>
      <c r="S36" s="176" t="s">
        <v>1435</v>
      </c>
      <c r="T36" s="176" t="s">
        <v>1435</v>
      </c>
      <c r="U36" s="176" t="s">
        <v>1435</v>
      </c>
      <c r="V36" s="176" t="s">
        <v>1435</v>
      </c>
      <c r="W36" s="175"/>
      <c r="X36" s="177" t="b">
        <v>1</v>
      </c>
      <c r="Y36" s="177" t="b">
        <v>1</v>
      </c>
      <c r="Z36" s="177" t="b">
        <v>0</v>
      </c>
      <c r="AA36" s="175"/>
      <c r="AB36" s="175"/>
      <c r="AC36" s="177" t="b">
        <v>0</v>
      </c>
      <c r="AD36" s="178">
        <v>43108</v>
      </c>
      <c r="AE36" s="175" t="s">
        <v>659</v>
      </c>
      <c r="AF36" s="178">
        <v>43320</v>
      </c>
      <c r="AG36" s="175" t="s">
        <v>572</v>
      </c>
      <c r="AH36" s="127" t="s">
        <v>572</v>
      </c>
    </row>
    <row r="37" spans="1:34" ht="15.75" customHeight="1">
      <c r="A37" s="175" t="s">
        <v>660</v>
      </c>
      <c r="B37" s="175" t="s">
        <v>661</v>
      </c>
      <c r="C37" s="175"/>
      <c r="D37" s="175" t="s">
        <v>662</v>
      </c>
      <c r="E37" s="175" t="s">
        <v>663</v>
      </c>
      <c r="F37" s="175"/>
      <c r="G37" s="175"/>
      <c r="H37" s="175"/>
      <c r="I37" s="175"/>
      <c r="J37" s="175"/>
      <c r="K37" s="175"/>
      <c r="L37" s="175"/>
      <c r="M37" s="175"/>
      <c r="N37" s="176" t="s">
        <v>1435</v>
      </c>
      <c r="O37" s="175" t="s">
        <v>566</v>
      </c>
      <c r="P37" s="175" t="s">
        <v>567</v>
      </c>
      <c r="Q37" s="175"/>
      <c r="R37" s="175" t="s">
        <v>1517</v>
      </c>
      <c r="S37" s="176" t="s">
        <v>1435</v>
      </c>
      <c r="T37" s="176" t="s">
        <v>1435</v>
      </c>
      <c r="U37" s="176" t="s">
        <v>1435</v>
      </c>
      <c r="V37" s="176" t="s">
        <v>1435</v>
      </c>
      <c r="W37" s="175"/>
      <c r="X37" s="177" t="b">
        <v>1</v>
      </c>
      <c r="Y37" s="177" t="b">
        <v>0</v>
      </c>
      <c r="Z37" s="177" t="b">
        <v>0</v>
      </c>
      <c r="AA37" s="175"/>
      <c r="AB37" s="175"/>
      <c r="AC37" s="177" t="b">
        <v>0</v>
      </c>
      <c r="AD37" s="178" t="s">
        <v>1895</v>
      </c>
      <c r="AE37" s="175" t="s">
        <v>587</v>
      </c>
      <c r="AF37" s="178">
        <v>43560</v>
      </c>
      <c r="AG37" s="175" t="s">
        <v>927</v>
      </c>
      <c r="AH37" s="127" t="s">
        <v>927</v>
      </c>
    </row>
    <row r="38" spans="1:34" ht="15.75" customHeight="1">
      <c r="A38" s="175" t="s">
        <v>664</v>
      </c>
      <c r="B38" s="175" t="s">
        <v>665</v>
      </c>
      <c r="C38" s="175"/>
      <c r="D38" s="175" t="s">
        <v>666</v>
      </c>
      <c r="E38" s="175" t="s">
        <v>667</v>
      </c>
      <c r="F38" s="175"/>
      <c r="G38" s="175"/>
      <c r="H38" s="175"/>
      <c r="I38" s="175" t="s">
        <v>665</v>
      </c>
      <c r="J38" s="175"/>
      <c r="K38" s="175"/>
      <c r="L38" s="175"/>
      <c r="M38" s="175"/>
      <c r="N38" s="176" t="s">
        <v>1435</v>
      </c>
      <c r="O38" s="175" t="s">
        <v>566</v>
      </c>
      <c r="P38" s="175" t="s">
        <v>567</v>
      </c>
      <c r="Q38" s="175"/>
      <c r="R38" s="175"/>
      <c r="S38" s="176" t="s">
        <v>1435</v>
      </c>
      <c r="T38" s="176" t="s">
        <v>1435</v>
      </c>
      <c r="U38" s="176" t="s">
        <v>1435</v>
      </c>
      <c r="V38" s="176" t="s">
        <v>1435</v>
      </c>
      <c r="W38" s="175"/>
      <c r="X38" s="177" t="b">
        <v>1</v>
      </c>
      <c r="Y38" s="177" t="b">
        <v>0</v>
      </c>
      <c r="Z38" s="177" t="b">
        <v>0</v>
      </c>
      <c r="AA38" s="175"/>
      <c r="AB38" s="175"/>
      <c r="AC38" s="177" t="b">
        <v>0</v>
      </c>
      <c r="AD38" s="178">
        <v>1</v>
      </c>
      <c r="AE38" s="175"/>
      <c r="AF38" s="178" t="s">
        <v>1894</v>
      </c>
      <c r="AG38" s="175" t="s">
        <v>569</v>
      </c>
      <c r="AH38" s="127" t="s">
        <v>569</v>
      </c>
    </row>
    <row r="39" spans="1:34" ht="15.75" customHeight="1">
      <c r="A39" s="175" t="s">
        <v>668</v>
      </c>
      <c r="B39" s="175" t="s">
        <v>669</v>
      </c>
      <c r="C39" s="175"/>
      <c r="D39" s="175" t="s">
        <v>630</v>
      </c>
      <c r="E39" s="175" t="s">
        <v>670</v>
      </c>
      <c r="F39" s="175"/>
      <c r="G39" s="175"/>
      <c r="H39" s="175"/>
      <c r="I39" s="175" t="s">
        <v>669</v>
      </c>
      <c r="J39" s="175"/>
      <c r="K39" s="175"/>
      <c r="L39" s="175"/>
      <c r="M39" s="175"/>
      <c r="N39" s="176" t="s">
        <v>1435</v>
      </c>
      <c r="O39" s="175" t="s">
        <v>566</v>
      </c>
      <c r="P39" s="175" t="s">
        <v>567</v>
      </c>
      <c r="Q39" s="175"/>
      <c r="R39" s="175"/>
      <c r="S39" s="176" t="s">
        <v>1435</v>
      </c>
      <c r="T39" s="176" t="s">
        <v>1435</v>
      </c>
      <c r="U39" s="176" t="s">
        <v>1435</v>
      </c>
      <c r="V39" s="176" t="s">
        <v>1435</v>
      </c>
      <c r="W39" s="175"/>
      <c r="X39" s="177" t="b">
        <v>1</v>
      </c>
      <c r="Y39" s="177" t="b">
        <v>0</v>
      </c>
      <c r="Z39" s="177" t="b">
        <v>0</v>
      </c>
      <c r="AA39" s="175"/>
      <c r="AB39" s="175"/>
      <c r="AC39" s="177" t="b">
        <v>0</v>
      </c>
      <c r="AD39" s="178">
        <v>43352</v>
      </c>
      <c r="AE39" s="175" t="s">
        <v>568</v>
      </c>
      <c r="AF39" s="178">
        <v>43352</v>
      </c>
      <c r="AG39" s="175" t="s">
        <v>568</v>
      </c>
      <c r="AH39" s="127" t="s">
        <v>568</v>
      </c>
    </row>
    <row r="40" spans="1:34" ht="15.75" customHeight="1">
      <c r="A40" s="175" t="s">
        <v>1498</v>
      </c>
      <c r="B40" s="175" t="s">
        <v>1532</v>
      </c>
      <c r="C40" s="175"/>
      <c r="D40" s="175" t="s">
        <v>1533</v>
      </c>
      <c r="E40" s="175" t="s">
        <v>1534</v>
      </c>
      <c r="F40" s="175"/>
      <c r="G40" s="175"/>
      <c r="H40" s="175"/>
      <c r="I40" s="175" t="s">
        <v>1532</v>
      </c>
      <c r="J40" s="175"/>
      <c r="K40" s="175"/>
      <c r="L40" s="175"/>
      <c r="M40" s="175"/>
      <c r="N40" s="176" t="s">
        <v>1435</v>
      </c>
      <c r="O40" s="175" t="s">
        <v>566</v>
      </c>
      <c r="P40" s="175" t="s">
        <v>567</v>
      </c>
      <c r="Q40" s="175"/>
      <c r="R40" s="175" t="s">
        <v>1517</v>
      </c>
      <c r="S40" s="176" t="s">
        <v>1435</v>
      </c>
      <c r="T40" s="176" t="s">
        <v>1435</v>
      </c>
      <c r="U40" s="176" t="s">
        <v>1435</v>
      </c>
      <c r="V40" s="176" t="s">
        <v>1435</v>
      </c>
      <c r="W40" s="175"/>
      <c r="X40" s="177" t="b">
        <v>1</v>
      </c>
      <c r="Y40" s="177" t="b">
        <v>0</v>
      </c>
      <c r="Z40" s="177" t="b">
        <v>0</v>
      </c>
      <c r="AA40" s="175"/>
      <c r="AB40" s="175"/>
      <c r="AC40" s="177" t="b">
        <v>0</v>
      </c>
      <c r="AD40" s="178">
        <v>43501</v>
      </c>
      <c r="AE40" s="175" t="s">
        <v>927</v>
      </c>
      <c r="AF40" s="178">
        <v>43560</v>
      </c>
      <c r="AG40" s="175" t="s">
        <v>927</v>
      </c>
      <c r="AH40" s="127" t="s">
        <v>927</v>
      </c>
    </row>
    <row r="41" spans="1:34" ht="15.75" customHeight="1">
      <c r="A41" s="175" t="s">
        <v>671</v>
      </c>
      <c r="B41" s="175" t="s">
        <v>1535</v>
      </c>
      <c r="C41" s="175"/>
      <c r="D41" s="175" t="s">
        <v>606</v>
      </c>
      <c r="E41" s="175" t="s">
        <v>672</v>
      </c>
      <c r="F41" s="175"/>
      <c r="G41" s="175"/>
      <c r="H41" s="175"/>
      <c r="I41" s="175" t="s">
        <v>1535</v>
      </c>
      <c r="J41" s="175"/>
      <c r="K41" s="175"/>
      <c r="L41" s="175"/>
      <c r="M41" s="175"/>
      <c r="N41" s="176" t="s">
        <v>1435</v>
      </c>
      <c r="O41" s="175" t="s">
        <v>566</v>
      </c>
      <c r="P41" s="175" t="s">
        <v>567</v>
      </c>
      <c r="Q41" s="175"/>
      <c r="R41" s="175" t="s">
        <v>1512</v>
      </c>
      <c r="S41" s="176" t="s">
        <v>1435</v>
      </c>
      <c r="T41" s="176" t="s">
        <v>1435</v>
      </c>
      <c r="U41" s="176" t="s">
        <v>1435</v>
      </c>
      <c r="V41" s="176" t="s">
        <v>1435</v>
      </c>
      <c r="W41" s="175"/>
      <c r="X41" s="177" t="b">
        <v>1</v>
      </c>
      <c r="Y41" s="177" t="b">
        <v>1</v>
      </c>
      <c r="Z41" s="177" t="b">
        <v>0</v>
      </c>
      <c r="AA41" s="175"/>
      <c r="AB41" s="175"/>
      <c r="AC41" s="177" t="b">
        <v>0</v>
      </c>
      <c r="AD41" s="178" t="s">
        <v>1915</v>
      </c>
      <c r="AE41" s="175" t="s">
        <v>561</v>
      </c>
      <c r="AF41" s="178">
        <v>43651</v>
      </c>
      <c r="AG41" s="175" t="s">
        <v>927</v>
      </c>
      <c r="AH41" s="127" t="s">
        <v>927</v>
      </c>
    </row>
    <row r="42" spans="1:34" ht="15.75" customHeight="1">
      <c r="A42" s="175" t="s">
        <v>673</v>
      </c>
      <c r="B42" s="175" t="s">
        <v>674</v>
      </c>
      <c r="C42" s="175"/>
      <c r="D42" s="175" t="s">
        <v>1536</v>
      </c>
      <c r="E42" s="175" t="s">
        <v>675</v>
      </c>
      <c r="F42" s="175"/>
      <c r="G42" s="175"/>
      <c r="H42" s="175"/>
      <c r="I42" s="175" t="s">
        <v>674</v>
      </c>
      <c r="J42" s="175"/>
      <c r="K42" s="175"/>
      <c r="L42" s="175"/>
      <c r="M42" s="175"/>
      <c r="N42" s="176" t="s">
        <v>1435</v>
      </c>
      <c r="O42" s="175" t="s">
        <v>566</v>
      </c>
      <c r="P42" s="175" t="s">
        <v>567</v>
      </c>
      <c r="Q42" s="175"/>
      <c r="R42" s="175" t="s">
        <v>1512</v>
      </c>
      <c r="S42" s="176" t="s">
        <v>1435</v>
      </c>
      <c r="T42" s="176" t="s">
        <v>1435</v>
      </c>
      <c r="U42" s="176" t="s">
        <v>1435</v>
      </c>
      <c r="V42" s="176" t="s">
        <v>1435</v>
      </c>
      <c r="W42" s="175"/>
      <c r="X42" s="177" t="b">
        <v>1</v>
      </c>
      <c r="Y42" s="177" t="b">
        <v>0</v>
      </c>
      <c r="Z42" s="177" t="b">
        <v>0</v>
      </c>
      <c r="AA42" s="175"/>
      <c r="AB42" s="175"/>
      <c r="AC42" s="177" t="b">
        <v>0</v>
      </c>
      <c r="AD42" s="178" t="s">
        <v>1916</v>
      </c>
      <c r="AE42" s="175" t="s">
        <v>587</v>
      </c>
      <c r="AF42" s="178">
        <v>43560</v>
      </c>
      <c r="AG42" s="175" t="s">
        <v>927</v>
      </c>
      <c r="AH42" s="127" t="s">
        <v>927</v>
      </c>
    </row>
    <row r="43" spans="1:34" ht="15.75" customHeight="1">
      <c r="A43" s="175" t="s">
        <v>676</v>
      </c>
      <c r="B43" s="175" t="s">
        <v>677</v>
      </c>
      <c r="C43" s="175"/>
      <c r="D43" s="175" t="s">
        <v>678</v>
      </c>
      <c r="E43" s="175" t="s">
        <v>679</v>
      </c>
      <c r="F43" s="175"/>
      <c r="G43" s="175"/>
      <c r="H43" s="175"/>
      <c r="I43" s="175" t="s">
        <v>677</v>
      </c>
      <c r="J43" s="175"/>
      <c r="K43" s="175"/>
      <c r="L43" s="175"/>
      <c r="M43" s="175"/>
      <c r="N43" s="176" t="s">
        <v>1435</v>
      </c>
      <c r="O43" s="175" t="s">
        <v>566</v>
      </c>
      <c r="P43" s="175" t="s">
        <v>567</v>
      </c>
      <c r="Q43" s="175"/>
      <c r="R43" s="175"/>
      <c r="S43" s="176" t="s">
        <v>1435</v>
      </c>
      <c r="T43" s="176" t="s">
        <v>1435</v>
      </c>
      <c r="U43" s="176" t="s">
        <v>1435</v>
      </c>
      <c r="V43" s="176" t="s">
        <v>1435</v>
      </c>
      <c r="W43" s="175"/>
      <c r="X43" s="177" t="b">
        <v>1</v>
      </c>
      <c r="Y43" s="177" t="b">
        <v>1</v>
      </c>
      <c r="Z43" s="177" t="b">
        <v>0</v>
      </c>
      <c r="AA43" s="175"/>
      <c r="AB43" s="175"/>
      <c r="AC43" s="177" t="b">
        <v>0</v>
      </c>
      <c r="AD43" s="178">
        <v>43469</v>
      </c>
      <c r="AE43" s="175" t="s">
        <v>579</v>
      </c>
      <c r="AF43" s="178">
        <v>43469</v>
      </c>
      <c r="AG43" s="175" t="s">
        <v>579</v>
      </c>
      <c r="AH43" s="127" t="s">
        <v>579</v>
      </c>
    </row>
    <row r="44" spans="1:34" ht="15.75" customHeight="1">
      <c r="A44" s="175" t="s">
        <v>94</v>
      </c>
      <c r="B44" s="175" t="s">
        <v>95</v>
      </c>
      <c r="C44" s="175"/>
      <c r="D44" s="175" t="s">
        <v>680</v>
      </c>
      <c r="E44" s="175" t="s">
        <v>636</v>
      </c>
      <c r="F44" s="175"/>
      <c r="G44" s="175"/>
      <c r="H44" s="175"/>
      <c r="I44" s="175" t="s">
        <v>95</v>
      </c>
      <c r="J44" s="175"/>
      <c r="K44" s="175"/>
      <c r="L44" s="175"/>
      <c r="M44" s="175"/>
      <c r="N44" s="176" t="s">
        <v>1435</v>
      </c>
      <c r="O44" s="175" t="s">
        <v>566</v>
      </c>
      <c r="P44" s="175" t="s">
        <v>567</v>
      </c>
      <c r="Q44" s="175"/>
      <c r="R44" s="175"/>
      <c r="S44" s="176" t="s">
        <v>1435</v>
      </c>
      <c r="T44" s="176" t="s">
        <v>1435</v>
      </c>
      <c r="U44" s="176" t="s">
        <v>1435</v>
      </c>
      <c r="V44" s="176" t="s">
        <v>1435</v>
      </c>
      <c r="W44" s="175"/>
      <c r="X44" s="177" t="b">
        <v>1</v>
      </c>
      <c r="Y44" s="177" t="b">
        <v>0</v>
      </c>
      <c r="Z44" s="177" t="b">
        <v>0</v>
      </c>
      <c r="AA44" s="175"/>
      <c r="AB44" s="175"/>
      <c r="AC44" s="177" t="b">
        <v>0</v>
      </c>
      <c r="AD44" s="178" t="s">
        <v>1917</v>
      </c>
      <c r="AE44" s="175" t="s">
        <v>568</v>
      </c>
      <c r="AF44" s="178" t="s">
        <v>1917</v>
      </c>
      <c r="AG44" s="175" t="s">
        <v>568</v>
      </c>
      <c r="AH44" s="127" t="s">
        <v>568</v>
      </c>
    </row>
    <row r="45" spans="1:34" ht="15.75" customHeight="1">
      <c r="A45" s="175" t="s">
        <v>681</v>
      </c>
      <c r="B45" s="175" t="s">
        <v>682</v>
      </c>
      <c r="C45" s="175"/>
      <c r="D45" s="175" t="s">
        <v>683</v>
      </c>
      <c r="E45" s="175" t="s">
        <v>684</v>
      </c>
      <c r="F45" s="175"/>
      <c r="G45" s="175"/>
      <c r="H45" s="175"/>
      <c r="I45" s="175" t="s">
        <v>682</v>
      </c>
      <c r="J45" s="175"/>
      <c r="K45" s="175"/>
      <c r="L45" s="175"/>
      <c r="M45" s="175"/>
      <c r="N45" s="176" t="s">
        <v>1435</v>
      </c>
      <c r="O45" s="175" t="s">
        <v>566</v>
      </c>
      <c r="P45" s="175" t="s">
        <v>567</v>
      </c>
      <c r="Q45" s="175"/>
      <c r="R45" s="175" t="s">
        <v>1512</v>
      </c>
      <c r="S45" s="176" t="s">
        <v>1435</v>
      </c>
      <c r="T45" s="176" t="s">
        <v>1435</v>
      </c>
      <c r="U45" s="176" t="s">
        <v>1435</v>
      </c>
      <c r="V45" s="176" t="s">
        <v>1435</v>
      </c>
      <c r="W45" s="175"/>
      <c r="X45" s="177" t="b">
        <v>1</v>
      </c>
      <c r="Y45" s="177" t="b">
        <v>0</v>
      </c>
      <c r="Z45" s="177" t="b">
        <v>0</v>
      </c>
      <c r="AA45" s="175"/>
      <c r="AB45" s="175"/>
      <c r="AC45" s="177" t="b">
        <v>0</v>
      </c>
      <c r="AD45" s="178">
        <v>43414</v>
      </c>
      <c r="AE45" s="175" t="s">
        <v>561</v>
      </c>
      <c r="AF45" s="178">
        <v>43560</v>
      </c>
      <c r="AG45" s="175" t="s">
        <v>927</v>
      </c>
      <c r="AH45" s="127" t="s">
        <v>927</v>
      </c>
    </row>
    <row r="46" spans="1:34" ht="15.75" customHeight="1">
      <c r="A46" s="175" t="s">
        <v>99</v>
      </c>
      <c r="B46" s="175" t="s">
        <v>100</v>
      </c>
      <c r="C46" s="175"/>
      <c r="D46" s="175" t="s">
        <v>685</v>
      </c>
      <c r="E46" s="175" t="s">
        <v>686</v>
      </c>
      <c r="F46" s="175"/>
      <c r="G46" s="175"/>
      <c r="H46" s="175"/>
      <c r="I46" s="175" t="s">
        <v>100</v>
      </c>
      <c r="J46" s="175"/>
      <c r="K46" s="175"/>
      <c r="L46" s="175"/>
      <c r="M46" s="175"/>
      <c r="N46" s="176" t="s">
        <v>1435</v>
      </c>
      <c r="O46" s="175" t="s">
        <v>566</v>
      </c>
      <c r="P46" s="175" t="s">
        <v>567</v>
      </c>
      <c r="Q46" s="175"/>
      <c r="R46" s="175"/>
      <c r="S46" s="176" t="s">
        <v>1435</v>
      </c>
      <c r="T46" s="176" t="s">
        <v>1435</v>
      </c>
      <c r="U46" s="176" t="s">
        <v>1435</v>
      </c>
      <c r="V46" s="176" t="s">
        <v>1435</v>
      </c>
      <c r="W46" s="175"/>
      <c r="X46" s="177" t="b">
        <v>1</v>
      </c>
      <c r="Y46" s="177" t="b">
        <v>0</v>
      </c>
      <c r="Z46" s="177" t="b">
        <v>0</v>
      </c>
      <c r="AA46" s="175"/>
      <c r="AB46" s="175"/>
      <c r="AC46" s="177" t="b">
        <v>0</v>
      </c>
      <c r="AD46" s="178">
        <v>1</v>
      </c>
      <c r="AE46" s="175"/>
      <c r="AF46" s="178">
        <v>43384</v>
      </c>
      <c r="AG46" s="175" t="s">
        <v>587</v>
      </c>
      <c r="AH46" s="127" t="s">
        <v>587</v>
      </c>
    </row>
    <row r="47" spans="1:34" ht="15.75" customHeight="1">
      <c r="A47" s="175" t="s">
        <v>687</v>
      </c>
      <c r="B47" s="175" t="s">
        <v>688</v>
      </c>
      <c r="C47" s="175"/>
      <c r="D47" s="175"/>
      <c r="E47" s="175" t="s">
        <v>689</v>
      </c>
      <c r="F47" s="175"/>
      <c r="G47" s="175"/>
      <c r="H47" s="175"/>
      <c r="I47" s="175" t="s">
        <v>688</v>
      </c>
      <c r="J47" s="175"/>
      <c r="K47" s="175"/>
      <c r="L47" s="175"/>
      <c r="M47" s="175"/>
      <c r="N47" s="176" t="s">
        <v>1435</v>
      </c>
      <c r="O47" s="175" t="s">
        <v>566</v>
      </c>
      <c r="P47" s="175" t="s">
        <v>567</v>
      </c>
      <c r="Q47" s="175"/>
      <c r="R47" s="175"/>
      <c r="S47" s="176" t="s">
        <v>1435</v>
      </c>
      <c r="T47" s="176" t="s">
        <v>1435</v>
      </c>
      <c r="U47" s="176" t="s">
        <v>1435</v>
      </c>
      <c r="V47" s="176" t="s">
        <v>1435</v>
      </c>
      <c r="W47" s="175"/>
      <c r="X47" s="177" t="b">
        <v>1</v>
      </c>
      <c r="Y47" s="177" t="b">
        <v>1</v>
      </c>
      <c r="Z47" s="177" t="b">
        <v>0</v>
      </c>
      <c r="AA47" s="175"/>
      <c r="AB47" s="175"/>
      <c r="AC47" s="177" t="b">
        <v>0</v>
      </c>
      <c r="AD47" s="178">
        <v>43228</v>
      </c>
      <c r="AE47" s="175" t="s">
        <v>579</v>
      </c>
      <c r="AF47" s="178" t="s">
        <v>1918</v>
      </c>
      <c r="AG47" s="175" t="s">
        <v>587</v>
      </c>
      <c r="AH47" s="127" t="s">
        <v>587</v>
      </c>
    </row>
    <row r="48" spans="1:34" ht="15.75" customHeight="1">
      <c r="A48" s="175" t="s">
        <v>690</v>
      </c>
      <c r="B48" s="175" t="s">
        <v>691</v>
      </c>
      <c r="C48" s="175"/>
      <c r="D48" s="175" t="s">
        <v>692</v>
      </c>
      <c r="E48" s="175" t="s">
        <v>693</v>
      </c>
      <c r="F48" s="175"/>
      <c r="G48" s="175"/>
      <c r="H48" s="175"/>
      <c r="I48" s="175" t="s">
        <v>691</v>
      </c>
      <c r="J48" s="175"/>
      <c r="K48" s="175"/>
      <c r="L48" s="175"/>
      <c r="M48" s="175"/>
      <c r="N48" s="176" t="s">
        <v>1435</v>
      </c>
      <c r="O48" s="175" t="s">
        <v>566</v>
      </c>
      <c r="P48" s="175" t="s">
        <v>567</v>
      </c>
      <c r="Q48" s="175"/>
      <c r="R48" s="175"/>
      <c r="S48" s="176" t="s">
        <v>1435</v>
      </c>
      <c r="T48" s="176" t="s">
        <v>1435</v>
      </c>
      <c r="U48" s="176" t="s">
        <v>1435</v>
      </c>
      <c r="V48" s="176" t="s">
        <v>1435</v>
      </c>
      <c r="W48" s="175"/>
      <c r="X48" s="177" t="b">
        <v>1</v>
      </c>
      <c r="Y48" s="177" t="b">
        <v>0</v>
      </c>
      <c r="Z48" s="177" t="b">
        <v>0</v>
      </c>
      <c r="AA48" s="175"/>
      <c r="AB48" s="175"/>
      <c r="AC48" s="177" t="b">
        <v>0</v>
      </c>
      <c r="AD48" s="178">
        <v>1</v>
      </c>
      <c r="AE48" s="175"/>
      <c r="AF48" s="178">
        <v>43384</v>
      </c>
      <c r="AG48" s="175" t="s">
        <v>561</v>
      </c>
      <c r="AH48" s="127" t="s">
        <v>561</v>
      </c>
    </row>
    <row r="49" spans="1:34" ht="15.75" customHeight="1">
      <c r="A49" s="175" t="s">
        <v>102</v>
      </c>
      <c r="B49" s="175" t="s">
        <v>103</v>
      </c>
      <c r="C49" s="175"/>
      <c r="D49" s="175" t="s">
        <v>694</v>
      </c>
      <c r="E49" s="175" t="s">
        <v>695</v>
      </c>
      <c r="F49" s="175"/>
      <c r="G49" s="175"/>
      <c r="H49" s="175"/>
      <c r="I49" s="175" t="s">
        <v>103</v>
      </c>
      <c r="J49" s="175"/>
      <c r="K49" s="175"/>
      <c r="L49" s="175"/>
      <c r="M49" s="175"/>
      <c r="N49" s="176" t="s">
        <v>1537</v>
      </c>
      <c r="O49" s="175" t="s">
        <v>566</v>
      </c>
      <c r="P49" s="175" t="s">
        <v>567</v>
      </c>
      <c r="Q49" s="175"/>
      <c r="R49" s="175" t="s">
        <v>1521</v>
      </c>
      <c r="S49" s="176" t="s">
        <v>1435</v>
      </c>
      <c r="T49" s="176" t="s">
        <v>1435</v>
      </c>
      <c r="U49" s="176" t="s">
        <v>1435</v>
      </c>
      <c r="V49" s="176" t="s">
        <v>1435</v>
      </c>
      <c r="W49" s="175"/>
      <c r="X49" s="177" t="b">
        <v>1</v>
      </c>
      <c r="Y49" s="177" t="b">
        <v>0</v>
      </c>
      <c r="Z49" s="177" t="b">
        <v>0</v>
      </c>
      <c r="AA49" s="175"/>
      <c r="AB49" s="175"/>
      <c r="AC49" s="177" t="b">
        <v>0</v>
      </c>
      <c r="AD49" s="178">
        <v>1</v>
      </c>
      <c r="AE49" s="175"/>
      <c r="AF49" s="178">
        <v>43651</v>
      </c>
      <c r="AG49" s="175" t="s">
        <v>927</v>
      </c>
      <c r="AH49" s="127" t="s">
        <v>927</v>
      </c>
    </row>
    <row r="50" spans="1:34" ht="15.75" customHeight="1">
      <c r="A50" s="175" t="s">
        <v>1823</v>
      </c>
      <c r="B50" s="175" t="s">
        <v>1824</v>
      </c>
      <c r="C50" s="175"/>
      <c r="D50" s="175" t="s">
        <v>1825</v>
      </c>
      <c r="E50" s="175" t="s">
        <v>1826</v>
      </c>
      <c r="F50" s="175"/>
      <c r="G50" s="175"/>
      <c r="H50" s="175"/>
      <c r="I50" s="175" t="s">
        <v>1824</v>
      </c>
      <c r="J50" s="175"/>
      <c r="K50" s="175"/>
      <c r="L50" s="175"/>
      <c r="M50" s="175"/>
      <c r="N50" s="176" t="s">
        <v>1435</v>
      </c>
      <c r="O50" s="175" t="s">
        <v>566</v>
      </c>
      <c r="P50" s="175" t="s">
        <v>567</v>
      </c>
      <c r="Q50" s="175"/>
      <c r="R50" s="175" t="s">
        <v>1517</v>
      </c>
      <c r="S50" s="176" t="s">
        <v>1435</v>
      </c>
      <c r="T50" s="176" t="s">
        <v>1435</v>
      </c>
      <c r="U50" s="176" t="s">
        <v>1435</v>
      </c>
      <c r="V50" s="176" t="s">
        <v>1435</v>
      </c>
      <c r="W50" s="175"/>
      <c r="X50" s="177" t="b">
        <v>1</v>
      </c>
      <c r="Y50" s="177" t="b">
        <v>0</v>
      </c>
      <c r="Z50" s="177" t="b">
        <v>0</v>
      </c>
      <c r="AA50" s="175"/>
      <c r="AB50" s="175"/>
      <c r="AC50" s="177" t="b">
        <v>0</v>
      </c>
      <c r="AD50" s="178" t="s">
        <v>1919</v>
      </c>
      <c r="AE50" s="175" t="s">
        <v>927</v>
      </c>
      <c r="AF50" s="178" t="s">
        <v>1919</v>
      </c>
      <c r="AG50" s="175" t="s">
        <v>927</v>
      </c>
      <c r="AH50" s="127" t="s">
        <v>927</v>
      </c>
    </row>
    <row r="51" spans="1:34" ht="15.75" customHeight="1">
      <c r="A51" s="175" t="s">
        <v>696</v>
      </c>
      <c r="B51" s="175" t="s">
        <v>697</v>
      </c>
      <c r="C51" s="175" t="s">
        <v>698</v>
      </c>
      <c r="D51" s="175" t="s">
        <v>699</v>
      </c>
      <c r="E51" s="175" t="s">
        <v>700</v>
      </c>
      <c r="F51" s="175"/>
      <c r="G51" s="175"/>
      <c r="H51" s="175"/>
      <c r="I51" s="175"/>
      <c r="J51" s="175"/>
      <c r="K51" s="175"/>
      <c r="L51" s="175"/>
      <c r="M51" s="175"/>
      <c r="N51" s="176" t="s">
        <v>1435</v>
      </c>
      <c r="O51" s="175"/>
      <c r="P51" s="175"/>
      <c r="Q51" s="175" t="s">
        <v>570</v>
      </c>
      <c r="R51" s="175"/>
      <c r="S51" s="176" t="s">
        <v>1435</v>
      </c>
      <c r="T51" s="176" t="s">
        <v>1435</v>
      </c>
      <c r="U51" s="176" t="s">
        <v>1435</v>
      </c>
      <c r="V51" s="176" t="s">
        <v>1435</v>
      </c>
      <c r="W51" s="175"/>
      <c r="X51" s="177" t="b">
        <v>1</v>
      </c>
      <c r="Y51" s="177" t="b">
        <v>1</v>
      </c>
      <c r="Z51" s="177" t="b">
        <v>0</v>
      </c>
      <c r="AA51" s="175"/>
      <c r="AB51" s="175"/>
      <c r="AC51" s="177" t="b">
        <v>0</v>
      </c>
      <c r="AD51" s="178">
        <v>1</v>
      </c>
      <c r="AE51" s="175"/>
      <c r="AF51" s="178" t="s">
        <v>1893</v>
      </c>
      <c r="AG51" s="175" t="s">
        <v>572</v>
      </c>
      <c r="AH51" s="127" t="s">
        <v>572</v>
      </c>
    </row>
    <row r="52" spans="1:34" ht="15.75" customHeight="1">
      <c r="A52" s="175" t="s">
        <v>701</v>
      </c>
      <c r="B52" s="175" t="s">
        <v>702</v>
      </c>
      <c r="C52" s="175"/>
      <c r="D52" s="175" t="s">
        <v>703</v>
      </c>
      <c r="E52" s="175" t="s">
        <v>704</v>
      </c>
      <c r="F52" s="175"/>
      <c r="G52" s="175"/>
      <c r="H52" s="175"/>
      <c r="I52" s="175" t="s">
        <v>702</v>
      </c>
      <c r="J52" s="175"/>
      <c r="K52" s="175"/>
      <c r="L52" s="175"/>
      <c r="M52" s="175"/>
      <c r="N52" s="176" t="s">
        <v>1435</v>
      </c>
      <c r="O52" s="175" t="s">
        <v>566</v>
      </c>
      <c r="P52" s="175" t="s">
        <v>567</v>
      </c>
      <c r="Q52" s="175"/>
      <c r="R52" s="175"/>
      <c r="S52" s="176" t="s">
        <v>1435</v>
      </c>
      <c r="T52" s="176" t="s">
        <v>1435</v>
      </c>
      <c r="U52" s="176" t="s">
        <v>1435</v>
      </c>
      <c r="V52" s="176" t="s">
        <v>1435</v>
      </c>
      <c r="W52" s="175"/>
      <c r="X52" s="177" t="b">
        <v>1</v>
      </c>
      <c r="Y52" s="177" t="b">
        <v>1</v>
      </c>
      <c r="Z52" s="177" t="b">
        <v>0</v>
      </c>
      <c r="AA52" s="175"/>
      <c r="AB52" s="175"/>
      <c r="AC52" s="177" t="b">
        <v>0</v>
      </c>
      <c r="AD52" s="178">
        <v>43259</v>
      </c>
      <c r="AE52" s="175" t="s">
        <v>579</v>
      </c>
      <c r="AF52" s="178" t="s">
        <v>1894</v>
      </c>
      <c r="AG52" s="175" t="s">
        <v>569</v>
      </c>
      <c r="AH52" s="127" t="s">
        <v>569</v>
      </c>
    </row>
    <row r="53" spans="1:34" ht="15.75" customHeight="1">
      <c r="A53" s="175" t="s">
        <v>705</v>
      </c>
      <c r="B53" s="175" t="s">
        <v>706</v>
      </c>
      <c r="C53" s="175"/>
      <c r="D53" s="175" t="s">
        <v>707</v>
      </c>
      <c r="E53" s="175" t="s">
        <v>708</v>
      </c>
      <c r="F53" s="175"/>
      <c r="G53" s="175"/>
      <c r="H53" s="175"/>
      <c r="I53" s="175" t="s">
        <v>706</v>
      </c>
      <c r="J53" s="175"/>
      <c r="K53" s="175"/>
      <c r="L53" s="175"/>
      <c r="M53" s="175"/>
      <c r="N53" s="176" t="s">
        <v>1435</v>
      </c>
      <c r="O53" s="175" t="s">
        <v>566</v>
      </c>
      <c r="P53" s="175" t="s">
        <v>567</v>
      </c>
      <c r="Q53" s="175"/>
      <c r="R53" s="175" t="s">
        <v>1512</v>
      </c>
      <c r="S53" s="176" t="s">
        <v>1435</v>
      </c>
      <c r="T53" s="176" t="s">
        <v>1435</v>
      </c>
      <c r="U53" s="176" t="s">
        <v>1435</v>
      </c>
      <c r="V53" s="176" t="s">
        <v>1435</v>
      </c>
      <c r="W53" s="175"/>
      <c r="X53" s="177" t="b">
        <v>1</v>
      </c>
      <c r="Y53" s="177" t="b">
        <v>0</v>
      </c>
      <c r="Z53" s="177" t="b">
        <v>0</v>
      </c>
      <c r="AA53" s="175"/>
      <c r="AB53" s="175"/>
      <c r="AC53" s="177" t="b">
        <v>0</v>
      </c>
      <c r="AD53" s="178" t="s">
        <v>1920</v>
      </c>
      <c r="AE53" s="175" t="s">
        <v>569</v>
      </c>
      <c r="AF53" s="178">
        <v>43651</v>
      </c>
      <c r="AG53" s="175" t="s">
        <v>927</v>
      </c>
      <c r="AH53" s="127" t="s">
        <v>927</v>
      </c>
    </row>
    <row r="54" spans="1:34" ht="15.75" customHeight="1">
      <c r="A54" s="175" t="s">
        <v>709</v>
      </c>
      <c r="B54" s="175" t="s">
        <v>710</v>
      </c>
      <c r="C54" s="175"/>
      <c r="D54" s="175" t="s">
        <v>711</v>
      </c>
      <c r="E54" s="175" t="s">
        <v>712</v>
      </c>
      <c r="F54" s="175"/>
      <c r="G54" s="175"/>
      <c r="H54" s="175"/>
      <c r="I54" s="175" t="s">
        <v>710</v>
      </c>
      <c r="J54" s="175"/>
      <c r="K54" s="175"/>
      <c r="L54" s="175"/>
      <c r="M54" s="175"/>
      <c r="N54" s="176" t="s">
        <v>1435</v>
      </c>
      <c r="O54" s="175" t="s">
        <v>566</v>
      </c>
      <c r="P54" s="175" t="s">
        <v>567</v>
      </c>
      <c r="Q54" s="175"/>
      <c r="R54" s="175"/>
      <c r="S54" s="176" t="s">
        <v>1435</v>
      </c>
      <c r="T54" s="176" t="s">
        <v>1435</v>
      </c>
      <c r="U54" s="176" t="s">
        <v>1435</v>
      </c>
      <c r="V54" s="176" t="s">
        <v>1435</v>
      </c>
      <c r="W54" s="175"/>
      <c r="X54" s="177" t="b">
        <v>1</v>
      </c>
      <c r="Y54" s="177" t="b">
        <v>0</v>
      </c>
      <c r="Z54" s="177" t="b">
        <v>0</v>
      </c>
      <c r="AA54" s="175"/>
      <c r="AB54" s="175"/>
      <c r="AC54" s="177" t="b">
        <v>0</v>
      </c>
      <c r="AD54" s="178">
        <v>1</v>
      </c>
      <c r="AE54" s="175"/>
      <c r="AF54" s="178" t="s">
        <v>1894</v>
      </c>
      <c r="AG54" s="175" t="s">
        <v>569</v>
      </c>
      <c r="AH54" s="127" t="s">
        <v>569</v>
      </c>
    </row>
    <row r="55" spans="1:34" ht="15.75" customHeight="1">
      <c r="A55" s="175" t="s">
        <v>475</v>
      </c>
      <c r="B55" s="175" t="s">
        <v>476</v>
      </c>
      <c r="C55" s="175"/>
      <c r="D55" s="175" t="s">
        <v>713</v>
      </c>
      <c r="E55" s="175" t="s">
        <v>714</v>
      </c>
      <c r="F55" s="175"/>
      <c r="G55" s="175"/>
      <c r="H55" s="175"/>
      <c r="I55" s="175" t="s">
        <v>476</v>
      </c>
      <c r="J55" s="175"/>
      <c r="K55" s="175"/>
      <c r="L55" s="175"/>
      <c r="M55" s="175"/>
      <c r="N55" s="176" t="s">
        <v>1435</v>
      </c>
      <c r="O55" s="175" t="s">
        <v>566</v>
      </c>
      <c r="P55" s="175" t="s">
        <v>567</v>
      </c>
      <c r="Q55" s="175"/>
      <c r="R55" s="175"/>
      <c r="S55" s="176" t="s">
        <v>1435</v>
      </c>
      <c r="T55" s="176" t="s">
        <v>1435</v>
      </c>
      <c r="U55" s="176" t="s">
        <v>1435</v>
      </c>
      <c r="V55" s="176" t="s">
        <v>1435</v>
      </c>
      <c r="W55" s="175"/>
      <c r="X55" s="177" t="b">
        <v>1</v>
      </c>
      <c r="Y55" s="177" t="b">
        <v>0</v>
      </c>
      <c r="Z55" s="177" t="b">
        <v>0</v>
      </c>
      <c r="AA55" s="175"/>
      <c r="AB55" s="175"/>
      <c r="AC55" s="177" t="b">
        <v>0</v>
      </c>
      <c r="AD55" s="178">
        <v>1</v>
      </c>
      <c r="AE55" s="175"/>
      <c r="AF55" s="178">
        <v>43321</v>
      </c>
      <c r="AG55" s="175" t="s">
        <v>587</v>
      </c>
      <c r="AH55" s="127" t="s">
        <v>587</v>
      </c>
    </row>
    <row r="56" spans="1:34">
      <c r="A56" s="175" t="s">
        <v>110</v>
      </c>
      <c r="B56" s="175" t="s">
        <v>111</v>
      </c>
      <c r="C56" s="175"/>
      <c r="D56" s="175" t="s">
        <v>1439</v>
      </c>
      <c r="E56" s="175" t="s">
        <v>715</v>
      </c>
      <c r="F56" s="175"/>
      <c r="G56" s="175"/>
      <c r="H56" s="175"/>
      <c r="I56" s="175" t="s">
        <v>111</v>
      </c>
      <c r="J56" s="175"/>
      <c r="K56" s="175"/>
      <c r="L56" s="175"/>
      <c r="M56" s="175"/>
      <c r="N56" s="176" t="s">
        <v>1435</v>
      </c>
      <c r="O56" s="175" t="s">
        <v>566</v>
      </c>
      <c r="P56" s="175" t="s">
        <v>567</v>
      </c>
      <c r="Q56" s="175"/>
      <c r="R56" s="175"/>
      <c r="S56" s="176" t="s">
        <v>1435</v>
      </c>
      <c r="T56" s="176" t="s">
        <v>1435</v>
      </c>
      <c r="U56" s="176" t="s">
        <v>1435</v>
      </c>
      <c r="V56" s="176" t="s">
        <v>1435</v>
      </c>
      <c r="W56" s="175"/>
      <c r="X56" s="177" t="b">
        <v>1</v>
      </c>
      <c r="Y56" s="177" t="b">
        <v>0</v>
      </c>
      <c r="Z56" s="177" t="b">
        <v>0</v>
      </c>
      <c r="AA56" s="175"/>
      <c r="AB56" s="175"/>
      <c r="AC56" s="177" t="b">
        <v>0</v>
      </c>
      <c r="AD56" s="178">
        <v>43352</v>
      </c>
      <c r="AE56" s="175" t="s">
        <v>568</v>
      </c>
      <c r="AF56" s="178">
        <v>43414</v>
      </c>
      <c r="AG56" s="175" t="s">
        <v>561</v>
      </c>
      <c r="AH56" s="127" t="s">
        <v>561</v>
      </c>
    </row>
    <row r="57" spans="1:34" ht="15.75" customHeight="1">
      <c r="A57" s="175" t="s">
        <v>115</v>
      </c>
      <c r="B57" s="175" t="s">
        <v>116</v>
      </c>
      <c r="C57" s="175"/>
      <c r="D57" s="175"/>
      <c r="E57" s="175" t="s">
        <v>716</v>
      </c>
      <c r="F57" s="175"/>
      <c r="G57" s="175"/>
      <c r="H57" s="175"/>
      <c r="I57" s="175" t="s">
        <v>116</v>
      </c>
      <c r="J57" s="175"/>
      <c r="K57" s="175"/>
      <c r="L57" s="175"/>
      <c r="M57" s="175"/>
      <c r="N57" s="176" t="s">
        <v>1435</v>
      </c>
      <c r="O57" s="175" t="s">
        <v>566</v>
      </c>
      <c r="P57" s="175" t="s">
        <v>567</v>
      </c>
      <c r="Q57" s="175"/>
      <c r="R57" s="175"/>
      <c r="S57" s="176" t="s">
        <v>1435</v>
      </c>
      <c r="T57" s="176" t="s">
        <v>1435</v>
      </c>
      <c r="U57" s="176" t="s">
        <v>1435</v>
      </c>
      <c r="V57" s="176" t="s">
        <v>1435</v>
      </c>
      <c r="W57" s="175"/>
      <c r="X57" s="177" t="b">
        <v>1</v>
      </c>
      <c r="Y57" s="177" t="b">
        <v>0</v>
      </c>
      <c r="Z57" s="177" t="b">
        <v>0</v>
      </c>
      <c r="AA57" s="175"/>
      <c r="AB57" s="175"/>
      <c r="AC57" s="177" t="b">
        <v>0</v>
      </c>
      <c r="AD57" s="178">
        <v>43772</v>
      </c>
      <c r="AE57" s="175" t="s">
        <v>717</v>
      </c>
      <c r="AF57" s="178">
        <v>43772</v>
      </c>
      <c r="AG57" s="175" t="s">
        <v>717</v>
      </c>
      <c r="AH57" s="127" t="s">
        <v>717</v>
      </c>
    </row>
    <row r="58" spans="1:34" ht="66.75" customHeight="1">
      <c r="A58" s="175" t="s">
        <v>119</v>
      </c>
      <c r="B58" s="175" t="s">
        <v>120</v>
      </c>
      <c r="C58" s="175"/>
      <c r="D58" s="175" t="s">
        <v>718</v>
      </c>
      <c r="E58" s="175" t="s">
        <v>719</v>
      </c>
      <c r="F58" s="175"/>
      <c r="G58" s="175"/>
      <c r="H58" s="175"/>
      <c r="I58" s="175" t="s">
        <v>120</v>
      </c>
      <c r="J58" s="175"/>
      <c r="K58" s="175"/>
      <c r="L58" s="175"/>
      <c r="M58" s="175"/>
      <c r="N58" s="176" t="s">
        <v>1435</v>
      </c>
      <c r="O58" s="175" t="s">
        <v>566</v>
      </c>
      <c r="P58" s="175" t="s">
        <v>567</v>
      </c>
      <c r="Q58" s="175"/>
      <c r="R58" s="175"/>
      <c r="S58" s="176" t="s">
        <v>1435</v>
      </c>
      <c r="T58" s="176" t="s">
        <v>1435</v>
      </c>
      <c r="U58" s="176" t="s">
        <v>1435</v>
      </c>
      <c r="V58" s="176" t="s">
        <v>1435</v>
      </c>
      <c r="W58" s="175"/>
      <c r="X58" s="177" t="b">
        <v>1</v>
      </c>
      <c r="Y58" s="177" t="b">
        <v>0</v>
      </c>
      <c r="Z58" s="177" t="b">
        <v>0</v>
      </c>
      <c r="AA58" s="175"/>
      <c r="AB58" s="175"/>
      <c r="AC58" s="177" t="b">
        <v>0</v>
      </c>
      <c r="AD58" s="178" t="s">
        <v>1921</v>
      </c>
      <c r="AE58" s="175" t="s">
        <v>587</v>
      </c>
      <c r="AF58" s="178" t="s">
        <v>1921</v>
      </c>
      <c r="AG58" s="175" t="s">
        <v>587</v>
      </c>
      <c r="AH58" s="127" t="s">
        <v>587</v>
      </c>
    </row>
    <row r="59" spans="1:34" ht="84" customHeight="1">
      <c r="A59" s="175" t="s">
        <v>720</v>
      </c>
      <c r="B59" s="175" t="s">
        <v>721</v>
      </c>
      <c r="C59" s="175"/>
      <c r="D59" s="175"/>
      <c r="E59" s="175"/>
      <c r="F59" s="175"/>
      <c r="G59" s="175"/>
      <c r="H59" s="175"/>
      <c r="I59" s="175"/>
      <c r="J59" s="175"/>
      <c r="K59" s="175"/>
      <c r="L59" s="175"/>
      <c r="M59" s="175"/>
      <c r="N59" s="176" t="s">
        <v>1435</v>
      </c>
      <c r="O59" s="175"/>
      <c r="P59" s="175"/>
      <c r="Q59" s="175" t="s">
        <v>570</v>
      </c>
      <c r="R59" s="175"/>
      <c r="S59" s="176" t="s">
        <v>1435</v>
      </c>
      <c r="T59" s="176" t="s">
        <v>1435</v>
      </c>
      <c r="U59" s="176" t="s">
        <v>1435</v>
      </c>
      <c r="V59" s="176" t="s">
        <v>1435</v>
      </c>
      <c r="W59" s="175"/>
      <c r="X59" s="177" t="b">
        <v>1</v>
      </c>
      <c r="Y59" s="177" t="b">
        <v>1</v>
      </c>
      <c r="Z59" s="177" t="b">
        <v>1</v>
      </c>
      <c r="AA59" s="175"/>
      <c r="AB59" s="175"/>
      <c r="AC59" s="177" t="b">
        <v>0</v>
      </c>
      <c r="AD59" s="178">
        <v>1</v>
      </c>
      <c r="AE59" s="175"/>
      <c r="AF59" s="178" t="s">
        <v>1893</v>
      </c>
      <c r="AG59" s="175" t="s">
        <v>572</v>
      </c>
      <c r="AH59" s="127" t="s">
        <v>572</v>
      </c>
    </row>
    <row r="60" spans="1:34" ht="54.75" customHeight="1">
      <c r="A60" s="175" t="s">
        <v>722</v>
      </c>
      <c r="B60" s="175" t="s">
        <v>723</v>
      </c>
      <c r="C60" s="175"/>
      <c r="D60" s="175"/>
      <c r="E60" s="175"/>
      <c r="F60" s="175"/>
      <c r="G60" s="175"/>
      <c r="H60" s="175"/>
      <c r="I60" s="175" t="s">
        <v>723</v>
      </c>
      <c r="J60" s="175"/>
      <c r="K60" s="175"/>
      <c r="L60" s="175"/>
      <c r="M60" s="175"/>
      <c r="N60" s="176" t="s">
        <v>1435</v>
      </c>
      <c r="O60" s="175" t="s">
        <v>566</v>
      </c>
      <c r="P60" s="175" t="s">
        <v>567</v>
      </c>
      <c r="Q60" s="175"/>
      <c r="R60" s="175"/>
      <c r="S60" s="176" t="s">
        <v>1435</v>
      </c>
      <c r="T60" s="176" t="s">
        <v>1435</v>
      </c>
      <c r="U60" s="176" t="s">
        <v>1435</v>
      </c>
      <c r="V60" s="176" t="s">
        <v>1435</v>
      </c>
      <c r="W60" s="175"/>
      <c r="X60" s="177" t="b">
        <v>1</v>
      </c>
      <c r="Y60" s="177" t="b">
        <v>0</v>
      </c>
      <c r="Z60" s="177" t="b">
        <v>0</v>
      </c>
      <c r="AA60" s="175"/>
      <c r="AB60" s="175"/>
      <c r="AC60" s="177" t="b">
        <v>0</v>
      </c>
      <c r="AD60" s="178">
        <v>1</v>
      </c>
      <c r="AE60" s="175"/>
      <c r="AF60" s="178" t="s">
        <v>1894</v>
      </c>
      <c r="AG60" s="175" t="s">
        <v>569</v>
      </c>
      <c r="AH60" s="127" t="s">
        <v>569</v>
      </c>
    </row>
    <row r="61" spans="1:34" ht="52.5" customHeight="1">
      <c r="A61" s="175" t="s">
        <v>724</v>
      </c>
      <c r="B61" s="175" t="s">
        <v>725</v>
      </c>
      <c r="C61" s="175" t="s">
        <v>726</v>
      </c>
      <c r="D61" s="175" t="s">
        <v>727</v>
      </c>
      <c r="E61" s="175"/>
      <c r="F61" s="175"/>
      <c r="G61" s="175"/>
      <c r="H61" s="175"/>
      <c r="I61" s="175"/>
      <c r="J61" s="175"/>
      <c r="K61" s="175"/>
      <c r="L61" s="175"/>
      <c r="M61" s="175"/>
      <c r="N61" s="176" t="s">
        <v>1435</v>
      </c>
      <c r="O61" s="175"/>
      <c r="P61" s="175"/>
      <c r="Q61" s="175"/>
      <c r="R61" s="175"/>
      <c r="S61" s="176" t="s">
        <v>1435</v>
      </c>
      <c r="T61" s="176" t="s">
        <v>1435</v>
      </c>
      <c r="U61" s="176" t="s">
        <v>1435</v>
      </c>
      <c r="V61" s="176" t="s">
        <v>1435</v>
      </c>
      <c r="W61" s="175"/>
      <c r="X61" s="177" t="b">
        <v>1</v>
      </c>
      <c r="Y61" s="177" t="b">
        <v>1</v>
      </c>
      <c r="Z61" s="177" t="b">
        <v>0</v>
      </c>
      <c r="AA61" s="175"/>
      <c r="AB61" s="175"/>
      <c r="AC61" s="177" t="b">
        <v>0</v>
      </c>
      <c r="AD61" s="178" t="s">
        <v>1899</v>
      </c>
      <c r="AE61" s="175" t="s">
        <v>587</v>
      </c>
      <c r="AF61" s="178" t="s">
        <v>1922</v>
      </c>
      <c r="AG61" s="175" t="s">
        <v>561</v>
      </c>
      <c r="AH61" s="127" t="s">
        <v>561</v>
      </c>
    </row>
    <row r="62" spans="1:34" ht="15.75" customHeight="1">
      <c r="A62" s="175" t="s">
        <v>728</v>
      </c>
      <c r="B62" s="175" t="s">
        <v>729</v>
      </c>
      <c r="C62" s="175" t="s">
        <v>730</v>
      </c>
      <c r="D62" s="175" t="s">
        <v>731</v>
      </c>
      <c r="E62" s="175"/>
      <c r="F62" s="175"/>
      <c r="G62" s="175"/>
      <c r="H62" s="175"/>
      <c r="I62" s="175"/>
      <c r="J62" s="175"/>
      <c r="K62" s="175"/>
      <c r="L62" s="175"/>
      <c r="M62" s="175"/>
      <c r="N62" s="176" t="s">
        <v>1435</v>
      </c>
      <c r="O62" s="175"/>
      <c r="P62" s="175"/>
      <c r="Q62" s="175" t="s">
        <v>578</v>
      </c>
      <c r="R62" s="175"/>
      <c r="S62" s="176" t="s">
        <v>1435</v>
      </c>
      <c r="T62" s="176" t="s">
        <v>1435</v>
      </c>
      <c r="U62" s="176" t="s">
        <v>1435</v>
      </c>
      <c r="V62" s="176" t="s">
        <v>1435</v>
      </c>
      <c r="W62" s="175"/>
      <c r="X62" s="177" t="b">
        <v>1</v>
      </c>
      <c r="Y62" s="177" t="b">
        <v>1</v>
      </c>
      <c r="Z62" s="177" t="b">
        <v>0</v>
      </c>
      <c r="AA62" s="175"/>
      <c r="AB62" s="175"/>
      <c r="AC62" s="177" t="b">
        <v>0</v>
      </c>
      <c r="AD62" s="178">
        <v>43416</v>
      </c>
      <c r="AE62" s="175" t="s">
        <v>561</v>
      </c>
      <c r="AF62" s="178">
        <v>43416</v>
      </c>
      <c r="AG62" s="175" t="s">
        <v>561</v>
      </c>
      <c r="AH62" s="127" t="s">
        <v>561</v>
      </c>
    </row>
    <row r="63" spans="1:34">
      <c r="A63" s="175" t="s">
        <v>732</v>
      </c>
      <c r="B63" s="175" t="s">
        <v>733</v>
      </c>
      <c r="C63" s="175" t="s">
        <v>734</v>
      </c>
      <c r="D63" s="175" t="s">
        <v>735</v>
      </c>
      <c r="E63" s="175"/>
      <c r="F63" s="175"/>
      <c r="G63" s="175"/>
      <c r="H63" s="175"/>
      <c r="I63" s="175"/>
      <c r="J63" s="175"/>
      <c r="K63" s="175"/>
      <c r="L63" s="175"/>
      <c r="M63" s="175"/>
      <c r="N63" s="176" t="s">
        <v>1435</v>
      </c>
      <c r="O63" s="175"/>
      <c r="P63" s="175"/>
      <c r="Q63" s="175" t="s">
        <v>570</v>
      </c>
      <c r="R63" s="175"/>
      <c r="S63" s="176" t="s">
        <v>1435</v>
      </c>
      <c r="T63" s="176" t="s">
        <v>1435</v>
      </c>
      <c r="U63" s="176" t="s">
        <v>1435</v>
      </c>
      <c r="V63" s="176" t="s">
        <v>1435</v>
      </c>
      <c r="W63" s="175"/>
      <c r="X63" s="177" t="b">
        <v>1</v>
      </c>
      <c r="Y63" s="177" t="b">
        <v>1</v>
      </c>
      <c r="Z63" s="177" t="b">
        <v>0</v>
      </c>
      <c r="AA63" s="175"/>
      <c r="AB63" s="175"/>
      <c r="AC63" s="177" t="b">
        <v>0</v>
      </c>
      <c r="AD63" s="178" t="s">
        <v>1902</v>
      </c>
      <c r="AE63" s="175" t="s">
        <v>561</v>
      </c>
      <c r="AF63" s="178" t="s">
        <v>1902</v>
      </c>
      <c r="AG63" s="175" t="s">
        <v>561</v>
      </c>
      <c r="AH63" s="127" t="s">
        <v>561</v>
      </c>
    </row>
    <row r="64" spans="1:34">
      <c r="A64" s="175" t="s">
        <v>736</v>
      </c>
      <c r="B64" s="175" t="s">
        <v>737</v>
      </c>
      <c r="C64" s="175" t="s">
        <v>738</v>
      </c>
      <c r="D64" s="175" t="s">
        <v>739</v>
      </c>
      <c r="E64" s="175" t="s">
        <v>740</v>
      </c>
      <c r="F64" s="175"/>
      <c r="G64" s="175"/>
      <c r="H64" s="175"/>
      <c r="I64" s="175"/>
      <c r="J64" s="175"/>
      <c r="K64" s="175"/>
      <c r="L64" s="175"/>
      <c r="M64" s="175"/>
      <c r="N64" s="176" t="s">
        <v>1435</v>
      </c>
      <c r="O64" s="175"/>
      <c r="P64" s="175"/>
      <c r="Q64" s="175" t="s">
        <v>570</v>
      </c>
      <c r="R64" s="175"/>
      <c r="S64" s="176" t="s">
        <v>1435</v>
      </c>
      <c r="T64" s="176" t="s">
        <v>1435</v>
      </c>
      <c r="U64" s="176" t="s">
        <v>1435</v>
      </c>
      <c r="V64" s="176" t="s">
        <v>1435</v>
      </c>
      <c r="W64" s="175"/>
      <c r="X64" s="177" t="b">
        <v>1</v>
      </c>
      <c r="Y64" s="177" t="b">
        <v>1</v>
      </c>
      <c r="Z64" s="177" t="b">
        <v>0</v>
      </c>
      <c r="AA64" s="175"/>
      <c r="AB64" s="175"/>
      <c r="AC64" s="177" t="b">
        <v>0</v>
      </c>
      <c r="AD64" s="178" t="s">
        <v>1892</v>
      </c>
      <c r="AE64" s="175" t="s">
        <v>569</v>
      </c>
      <c r="AF64" s="178" t="s">
        <v>1892</v>
      </c>
      <c r="AG64" s="175" t="s">
        <v>569</v>
      </c>
      <c r="AH64" s="127" t="s">
        <v>569</v>
      </c>
    </row>
    <row r="65" spans="1:34">
      <c r="A65" s="175" t="s">
        <v>741</v>
      </c>
      <c r="B65" s="175" t="s">
        <v>742</v>
      </c>
      <c r="C65" s="175" t="s">
        <v>743</v>
      </c>
      <c r="D65" s="175" t="s">
        <v>744</v>
      </c>
      <c r="E65" s="175"/>
      <c r="F65" s="175"/>
      <c r="G65" s="175"/>
      <c r="H65" s="175"/>
      <c r="I65" s="175"/>
      <c r="J65" s="175"/>
      <c r="K65" s="175"/>
      <c r="L65" s="175"/>
      <c r="M65" s="175"/>
      <c r="N65" s="176" t="s">
        <v>1435</v>
      </c>
      <c r="O65" s="175"/>
      <c r="P65" s="175"/>
      <c r="Q65" s="175"/>
      <c r="R65" s="175"/>
      <c r="S65" s="176" t="s">
        <v>1435</v>
      </c>
      <c r="T65" s="176" t="s">
        <v>1435</v>
      </c>
      <c r="U65" s="176" t="s">
        <v>1435</v>
      </c>
      <c r="V65" s="176" t="s">
        <v>1435</v>
      </c>
      <c r="W65" s="175"/>
      <c r="X65" s="177" t="b">
        <v>1</v>
      </c>
      <c r="Y65" s="177" t="b">
        <v>1</v>
      </c>
      <c r="Z65" s="177" t="b">
        <v>0</v>
      </c>
      <c r="AA65" s="175"/>
      <c r="AB65" s="175"/>
      <c r="AC65" s="177" t="b">
        <v>0</v>
      </c>
      <c r="AD65" s="178" t="s">
        <v>1890</v>
      </c>
      <c r="AE65" s="175" t="s">
        <v>561</v>
      </c>
      <c r="AF65" s="178" t="s">
        <v>1890</v>
      </c>
      <c r="AG65" s="175" t="s">
        <v>561</v>
      </c>
      <c r="AH65" s="127" t="s">
        <v>561</v>
      </c>
    </row>
    <row r="66" spans="1:34">
      <c r="A66" s="175" t="s">
        <v>129</v>
      </c>
      <c r="B66" s="175" t="s">
        <v>130</v>
      </c>
      <c r="C66" s="175"/>
      <c r="D66" s="175" t="s">
        <v>606</v>
      </c>
      <c r="E66" s="175" t="s">
        <v>745</v>
      </c>
      <c r="F66" s="175"/>
      <c r="G66" s="175"/>
      <c r="H66" s="175"/>
      <c r="I66" s="175" t="s">
        <v>130</v>
      </c>
      <c r="J66" s="175"/>
      <c r="K66" s="175"/>
      <c r="L66" s="175"/>
      <c r="M66" s="175"/>
      <c r="N66" s="176" t="s">
        <v>1435</v>
      </c>
      <c r="O66" s="175" t="s">
        <v>566</v>
      </c>
      <c r="P66" s="175" t="s">
        <v>567</v>
      </c>
      <c r="Q66" s="175"/>
      <c r="R66" s="175"/>
      <c r="S66" s="176" t="s">
        <v>1435</v>
      </c>
      <c r="T66" s="176" t="s">
        <v>1435</v>
      </c>
      <c r="U66" s="176" t="s">
        <v>1435</v>
      </c>
      <c r="V66" s="176" t="s">
        <v>1435</v>
      </c>
      <c r="W66" s="175"/>
      <c r="X66" s="177" t="b">
        <v>1</v>
      </c>
      <c r="Y66" s="177" t="b">
        <v>0</v>
      </c>
      <c r="Z66" s="177" t="b">
        <v>0</v>
      </c>
      <c r="AA66" s="175"/>
      <c r="AB66" s="175"/>
      <c r="AC66" s="177" t="b">
        <v>0</v>
      </c>
      <c r="AD66" s="178">
        <v>1</v>
      </c>
      <c r="AE66" s="175"/>
      <c r="AF66" s="178" t="s">
        <v>1894</v>
      </c>
      <c r="AG66" s="175" t="s">
        <v>569</v>
      </c>
      <c r="AH66" s="127" t="s">
        <v>569</v>
      </c>
    </row>
    <row r="67" spans="1:34" ht="15.75" customHeight="1">
      <c r="A67" s="175" t="s">
        <v>746</v>
      </c>
      <c r="B67" s="175" t="s">
        <v>747</v>
      </c>
      <c r="C67" s="175"/>
      <c r="D67" s="175" t="s">
        <v>748</v>
      </c>
      <c r="E67" s="175" t="s">
        <v>749</v>
      </c>
      <c r="F67" s="175"/>
      <c r="G67" s="175"/>
      <c r="H67" s="175"/>
      <c r="I67" s="175" t="s">
        <v>747</v>
      </c>
      <c r="J67" s="175"/>
      <c r="K67" s="175"/>
      <c r="L67" s="175"/>
      <c r="M67" s="175"/>
      <c r="N67" s="176" t="s">
        <v>1435</v>
      </c>
      <c r="O67" s="175" t="s">
        <v>566</v>
      </c>
      <c r="P67" s="175" t="s">
        <v>567</v>
      </c>
      <c r="Q67" s="175"/>
      <c r="R67" s="175"/>
      <c r="S67" s="176" t="s">
        <v>1435</v>
      </c>
      <c r="T67" s="176" t="s">
        <v>1435</v>
      </c>
      <c r="U67" s="176" t="s">
        <v>1435</v>
      </c>
      <c r="V67" s="176" t="s">
        <v>1435</v>
      </c>
      <c r="W67" s="175"/>
      <c r="X67" s="177" t="b">
        <v>1</v>
      </c>
      <c r="Y67" s="177" t="b">
        <v>0</v>
      </c>
      <c r="Z67" s="177" t="b">
        <v>0</v>
      </c>
      <c r="AA67" s="175"/>
      <c r="AB67" s="175"/>
      <c r="AC67" s="177" t="b">
        <v>0</v>
      </c>
      <c r="AD67" s="178">
        <v>43198</v>
      </c>
      <c r="AE67" s="175" t="s">
        <v>579</v>
      </c>
      <c r="AF67" s="178" t="s">
        <v>1923</v>
      </c>
      <c r="AG67" s="175" t="s">
        <v>579</v>
      </c>
      <c r="AH67" s="127" t="s">
        <v>579</v>
      </c>
    </row>
    <row r="68" spans="1:34" ht="15.75" customHeight="1">
      <c r="A68" s="175" t="s">
        <v>144</v>
      </c>
      <c r="B68" s="175" t="s">
        <v>750</v>
      </c>
      <c r="C68" s="175"/>
      <c r="D68" s="175" t="s">
        <v>606</v>
      </c>
      <c r="E68" s="175" t="s">
        <v>751</v>
      </c>
      <c r="F68" s="175"/>
      <c r="G68" s="175"/>
      <c r="H68" s="175"/>
      <c r="I68" s="175" t="s">
        <v>750</v>
      </c>
      <c r="J68" s="175"/>
      <c r="K68" s="175"/>
      <c r="L68" s="175"/>
      <c r="M68" s="175"/>
      <c r="N68" s="176" t="s">
        <v>1435</v>
      </c>
      <c r="O68" s="175" t="s">
        <v>566</v>
      </c>
      <c r="P68" s="175" t="s">
        <v>567</v>
      </c>
      <c r="Q68" s="175"/>
      <c r="R68" s="175"/>
      <c r="S68" s="176" t="s">
        <v>1435</v>
      </c>
      <c r="T68" s="176" t="s">
        <v>1435</v>
      </c>
      <c r="U68" s="176" t="s">
        <v>1435</v>
      </c>
      <c r="V68" s="176" t="s">
        <v>1435</v>
      </c>
      <c r="W68" s="175"/>
      <c r="X68" s="177" t="b">
        <v>1</v>
      </c>
      <c r="Y68" s="177" t="b">
        <v>0</v>
      </c>
      <c r="Z68" s="177" t="b">
        <v>0</v>
      </c>
      <c r="AA68" s="175"/>
      <c r="AB68" s="175"/>
      <c r="AC68" s="177" t="b">
        <v>0</v>
      </c>
      <c r="AD68" s="178">
        <v>1</v>
      </c>
      <c r="AE68" s="175"/>
      <c r="AF68" s="178" t="s">
        <v>1894</v>
      </c>
      <c r="AG68" s="175" t="s">
        <v>569</v>
      </c>
      <c r="AH68" s="127" t="s">
        <v>569</v>
      </c>
    </row>
    <row r="69" spans="1:34" ht="30">
      <c r="A69" s="175" t="s">
        <v>752</v>
      </c>
      <c r="B69" s="175" t="s">
        <v>753</v>
      </c>
      <c r="C69" s="175" t="s">
        <v>754</v>
      </c>
      <c r="D69" s="175" t="s">
        <v>755</v>
      </c>
      <c r="E69" s="175"/>
      <c r="F69" s="175"/>
      <c r="G69" s="175"/>
      <c r="H69" s="175"/>
      <c r="I69" s="175"/>
      <c r="J69" s="175"/>
      <c r="K69" s="175"/>
      <c r="L69" s="175"/>
      <c r="M69" s="175"/>
      <c r="N69" s="176" t="s">
        <v>1435</v>
      </c>
      <c r="O69" s="175"/>
      <c r="P69" s="175"/>
      <c r="Q69" s="175" t="s">
        <v>570</v>
      </c>
      <c r="R69" s="175"/>
      <c r="S69" s="176" t="s">
        <v>1435</v>
      </c>
      <c r="T69" s="176" t="s">
        <v>1435</v>
      </c>
      <c r="U69" s="176" t="s">
        <v>1435</v>
      </c>
      <c r="V69" s="176" t="s">
        <v>1435</v>
      </c>
      <c r="W69" s="175"/>
      <c r="X69" s="177" t="b">
        <v>1</v>
      </c>
      <c r="Y69" s="177" t="b">
        <v>1</v>
      </c>
      <c r="Z69" s="177" t="b">
        <v>0</v>
      </c>
      <c r="AA69" s="175"/>
      <c r="AB69" s="175"/>
      <c r="AC69" s="177" t="b">
        <v>0</v>
      </c>
      <c r="AD69" s="178">
        <v>1</v>
      </c>
      <c r="AE69" s="175"/>
      <c r="AF69" s="178" t="s">
        <v>1893</v>
      </c>
      <c r="AG69" s="175" t="s">
        <v>572</v>
      </c>
      <c r="AH69" s="127" t="s">
        <v>572</v>
      </c>
    </row>
    <row r="70" spans="1:34">
      <c r="A70" s="175" t="s">
        <v>756</v>
      </c>
      <c r="B70" s="175" t="s">
        <v>757</v>
      </c>
      <c r="C70" s="175"/>
      <c r="D70" s="175" t="s">
        <v>758</v>
      </c>
      <c r="E70" s="175" t="s">
        <v>759</v>
      </c>
      <c r="F70" s="175"/>
      <c r="G70" s="175"/>
      <c r="H70" s="175"/>
      <c r="I70" s="175" t="s">
        <v>757</v>
      </c>
      <c r="J70" s="175"/>
      <c r="K70" s="175"/>
      <c r="L70" s="175"/>
      <c r="M70" s="175"/>
      <c r="N70" s="176" t="s">
        <v>1435</v>
      </c>
      <c r="O70" s="175" t="s">
        <v>566</v>
      </c>
      <c r="P70" s="175" t="s">
        <v>567</v>
      </c>
      <c r="Q70" s="175"/>
      <c r="R70" s="175"/>
      <c r="S70" s="176" t="s">
        <v>1435</v>
      </c>
      <c r="T70" s="176" t="s">
        <v>1435</v>
      </c>
      <c r="U70" s="176" t="s">
        <v>1435</v>
      </c>
      <c r="V70" s="176" t="s">
        <v>1435</v>
      </c>
      <c r="W70" s="175"/>
      <c r="X70" s="177" t="b">
        <v>1</v>
      </c>
      <c r="Y70" s="177" t="b">
        <v>0</v>
      </c>
      <c r="Z70" s="177" t="b">
        <v>0</v>
      </c>
      <c r="AA70" s="175"/>
      <c r="AB70" s="175"/>
      <c r="AC70" s="177" t="b">
        <v>0</v>
      </c>
      <c r="AD70" s="178">
        <v>1</v>
      </c>
      <c r="AE70" s="175"/>
      <c r="AF70" s="178">
        <v>43321</v>
      </c>
      <c r="AG70" s="175" t="s">
        <v>587</v>
      </c>
      <c r="AH70" s="127" t="s">
        <v>587</v>
      </c>
    </row>
    <row r="71" spans="1:34">
      <c r="A71" s="175" t="s">
        <v>147</v>
      </c>
      <c r="B71" s="175" t="s">
        <v>148</v>
      </c>
      <c r="C71" s="175"/>
      <c r="D71" s="175" t="s">
        <v>630</v>
      </c>
      <c r="E71" s="175" t="s">
        <v>760</v>
      </c>
      <c r="F71" s="175"/>
      <c r="G71" s="175"/>
      <c r="H71" s="175"/>
      <c r="I71" s="175" t="s">
        <v>148</v>
      </c>
      <c r="J71" s="175"/>
      <c r="K71" s="175"/>
      <c r="L71" s="175"/>
      <c r="M71" s="175"/>
      <c r="N71" s="176" t="s">
        <v>1435</v>
      </c>
      <c r="O71" s="175" t="s">
        <v>566</v>
      </c>
      <c r="P71" s="175" t="s">
        <v>567</v>
      </c>
      <c r="Q71" s="175"/>
      <c r="R71" s="175"/>
      <c r="S71" s="176" t="s">
        <v>1435</v>
      </c>
      <c r="T71" s="176" t="s">
        <v>1435</v>
      </c>
      <c r="U71" s="176" t="s">
        <v>1435</v>
      </c>
      <c r="V71" s="176" t="s">
        <v>1435</v>
      </c>
      <c r="W71" s="175"/>
      <c r="X71" s="177" t="b">
        <v>1</v>
      </c>
      <c r="Y71" s="177" t="b">
        <v>0</v>
      </c>
      <c r="Z71" s="177" t="b">
        <v>0</v>
      </c>
      <c r="AA71" s="175"/>
      <c r="AB71" s="175"/>
      <c r="AC71" s="177" t="b">
        <v>0</v>
      </c>
      <c r="AD71" s="178" t="s">
        <v>1924</v>
      </c>
      <c r="AE71" s="175" t="s">
        <v>761</v>
      </c>
      <c r="AF71" s="178" t="s">
        <v>1924</v>
      </c>
      <c r="AG71" s="175" t="s">
        <v>761</v>
      </c>
      <c r="AH71" s="127" t="s">
        <v>761</v>
      </c>
    </row>
    <row r="72" spans="1:34">
      <c r="A72" s="175" t="s">
        <v>762</v>
      </c>
      <c r="B72" s="175" t="s">
        <v>763</v>
      </c>
      <c r="C72" s="175"/>
      <c r="D72" s="175" t="s">
        <v>764</v>
      </c>
      <c r="E72" s="175" t="s">
        <v>765</v>
      </c>
      <c r="F72" s="175"/>
      <c r="G72" s="175"/>
      <c r="H72" s="175"/>
      <c r="I72" s="175" t="s">
        <v>763</v>
      </c>
      <c r="J72" s="175"/>
      <c r="K72" s="175"/>
      <c r="L72" s="175"/>
      <c r="M72" s="175"/>
      <c r="N72" s="176" t="s">
        <v>1435</v>
      </c>
      <c r="O72" s="175" t="s">
        <v>566</v>
      </c>
      <c r="P72" s="175" t="s">
        <v>567</v>
      </c>
      <c r="Q72" s="175"/>
      <c r="R72" s="175"/>
      <c r="S72" s="176" t="s">
        <v>1435</v>
      </c>
      <c r="T72" s="176" t="s">
        <v>1435</v>
      </c>
      <c r="U72" s="176" t="s">
        <v>1435</v>
      </c>
      <c r="V72" s="176" t="s">
        <v>1435</v>
      </c>
      <c r="W72" s="175"/>
      <c r="X72" s="177" t="b">
        <v>1</v>
      </c>
      <c r="Y72" s="177" t="b">
        <v>0</v>
      </c>
      <c r="Z72" s="177" t="b">
        <v>0</v>
      </c>
      <c r="AA72" s="175"/>
      <c r="AB72" s="175"/>
      <c r="AC72" s="177" t="b">
        <v>0</v>
      </c>
      <c r="AD72" s="178">
        <v>43324</v>
      </c>
      <c r="AE72" s="175" t="s">
        <v>761</v>
      </c>
      <c r="AF72" s="178">
        <v>43324</v>
      </c>
      <c r="AG72" s="175" t="s">
        <v>761</v>
      </c>
      <c r="AH72" s="127" t="s">
        <v>761</v>
      </c>
    </row>
    <row r="73" spans="1:34">
      <c r="A73" s="175" t="s">
        <v>1389</v>
      </c>
      <c r="B73" s="175" t="s">
        <v>1390</v>
      </c>
      <c r="C73" s="175"/>
      <c r="D73" s="175"/>
      <c r="E73" s="175"/>
      <c r="F73" s="175"/>
      <c r="G73" s="175"/>
      <c r="H73" s="175"/>
      <c r="I73" s="175" t="s">
        <v>1390</v>
      </c>
      <c r="J73" s="175"/>
      <c r="K73" s="175"/>
      <c r="L73" s="175"/>
      <c r="M73" s="175"/>
      <c r="N73" s="176" t="s">
        <v>1435</v>
      </c>
      <c r="O73" s="175"/>
      <c r="P73" s="175"/>
      <c r="Q73" s="175"/>
      <c r="R73" s="175"/>
      <c r="S73" s="176" t="s">
        <v>1435</v>
      </c>
      <c r="T73" s="176" t="s">
        <v>1435</v>
      </c>
      <c r="U73" s="176" t="s">
        <v>1435</v>
      </c>
      <c r="V73" s="176" t="s">
        <v>1435</v>
      </c>
      <c r="W73" s="175"/>
      <c r="X73" s="177" t="b">
        <v>1</v>
      </c>
      <c r="Y73" s="177" t="b">
        <v>1</v>
      </c>
      <c r="Z73" s="177" t="b">
        <v>0</v>
      </c>
      <c r="AA73" s="175"/>
      <c r="AB73" s="175"/>
      <c r="AC73" s="177" t="b">
        <v>0</v>
      </c>
      <c r="AD73" s="178">
        <v>43681</v>
      </c>
      <c r="AE73" s="175" t="s">
        <v>561</v>
      </c>
      <c r="AF73" s="178">
        <v>43681</v>
      </c>
      <c r="AG73" s="175" t="s">
        <v>561</v>
      </c>
      <c r="AH73" s="127" t="s">
        <v>561</v>
      </c>
    </row>
    <row r="74" spans="1:34">
      <c r="A74" s="175" t="s">
        <v>766</v>
      </c>
      <c r="B74" s="175" t="s">
        <v>1538</v>
      </c>
      <c r="C74" s="175"/>
      <c r="D74" s="175" t="s">
        <v>1539</v>
      </c>
      <c r="E74" s="175"/>
      <c r="F74" s="175"/>
      <c r="G74" s="175"/>
      <c r="H74" s="175"/>
      <c r="I74" s="175" t="s">
        <v>1538</v>
      </c>
      <c r="J74" s="175"/>
      <c r="K74" s="175"/>
      <c r="L74" s="175"/>
      <c r="M74" s="175"/>
      <c r="N74" s="176" t="s">
        <v>1435</v>
      </c>
      <c r="O74" s="175" t="s">
        <v>566</v>
      </c>
      <c r="P74" s="175" t="s">
        <v>567</v>
      </c>
      <c r="Q74" s="175"/>
      <c r="R74" s="175" t="s">
        <v>1512</v>
      </c>
      <c r="S74" s="176" t="s">
        <v>1435</v>
      </c>
      <c r="T74" s="176" t="s">
        <v>1435</v>
      </c>
      <c r="U74" s="176" t="s">
        <v>1435</v>
      </c>
      <c r="V74" s="176" t="s">
        <v>1435</v>
      </c>
      <c r="W74" s="175"/>
      <c r="X74" s="177" t="b">
        <v>1</v>
      </c>
      <c r="Y74" s="177" t="b">
        <v>0</v>
      </c>
      <c r="Z74" s="177" t="b">
        <v>0</v>
      </c>
      <c r="AA74" s="175"/>
      <c r="AB74" s="175"/>
      <c r="AC74" s="177" t="b">
        <v>0</v>
      </c>
      <c r="AD74" s="178">
        <v>43141</v>
      </c>
      <c r="AE74" s="175" t="s">
        <v>587</v>
      </c>
      <c r="AF74" s="178">
        <v>43560</v>
      </c>
      <c r="AG74" s="175" t="s">
        <v>927</v>
      </c>
      <c r="AH74" s="127" t="s">
        <v>927</v>
      </c>
    </row>
    <row r="75" spans="1:34">
      <c r="A75" s="175" t="s">
        <v>767</v>
      </c>
      <c r="B75" s="175" t="s">
        <v>768</v>
      </c>
      <c r="C75" s="175"/>
      <c r="D75" s="175" t="s">
        <v>769</v>
      </c>
      <c r="E75" s="175"/>
      <c r="F75" s="175"/>
      <c r="G75" s="175"/>
      <c r="H75" s="175"/>
      <c r="I75" s="175" t="s">
        <v>768</v>
      </c>
      <c r="J75" s="175"/>
      <c r="K75" s="175"/>
      <c r="L75" s="175"/>
      <c r="M75" s="175"/>
      <c r="N75" s="176" t="s">
        <v>1435</v>
      </c>
      <c r="O75" s="175" t="s">
        <v>566</v>
      </c>
      <c r="P75" s="175" t="s">
        <v>567</v>
      </c>
      <c r="Q75" s="175"/>
      <c r="R75" s="175" t="s">
        <v>1517</v>
      </c>
      <c r="S75" s="176" t="s">
        <v>1435</v>
      </c>
      <c r="T75" s="176" t="s">
        <v>1435</v>
      </c>
      <c r="U75" s="176" t="s">
        <v>1435</v>
      </c>
      <c r="V75" s="176" t="s">
        <v>1435</v>
      </c>
      <c r="W75" s="175"/>
      <c r="X75" s="177" t="b">
        <v>1</v>
      </c>
      <c r="Y75" s="177" t="b">
        <v>0</v>
      </c>
      <c r="Z75" s="177" t="b">
        <v>0</v>
      </c>
      <c r="AA75" s="175"/>
      <c r="AB75" s="175"/>
      <c r="AC75" s="177" t="b">
        <v>0</v>
      </c>
      <c r="AD75" s="178">
        <v>43292</v>
      </c>
      <c r="AE75" s="175" t="s">
        <v>587</v>
      </c>
      <c r="AF75" s="178">
        <v>43560</v>
      </c>
      <c r="AG75" s="175" t="s">
        <v>927</v>
      </c>
      <c r="AH75" s="127" t="s">
        <v>927</v>
      </c>
    </row>
    <row r="76" spans="1:34">
      <c r="A76" s="175" t="s">
        <v>770</v>
      </c>
      <c r="B76" s="175" t="s">
        <v>771</v>
      </c>
      <c r="C76" s="175"/>
      <c r="D76" s="175" t="s">
        <v>630</v>
      </c>
      <c r="E76" s="175" t="s">
        <v>772</v>
      </c>
      <c r="F76" s="175"/>
      <c r="G76" s="175"/>
      <c r="H76" s="175"/>
      <c r="I76" s="175" t="s">
        <v>771</v>
      </c>
      <c r="J76" s="175"/>
      <c r="K76" s="175"/>
      <c r="L76" s="175"/>
      <c r="M76" s="175"/>
      <c r="N76" s="176" t="s">
        <v>1435</v>
      </c>
      <c r="O76" s="175" t="s">
        <v>566</v>
      </c>
      <c r="P76" s="175" t="s">
        <v>567</v>
      </c>
      <c r="Q76" s="175"/>
      <c r="R76" s="175"/>
      <c r="S76" s="176" t="s">
        <v>1435</v>
      </c>
      <c r="T76" s="176" t="s">
        <v>1435</v>
      </c>
      <c r="U76" s="176" t="s">
        <v>1435</v>
      </c>
      <c r="V76" s="176" t="s">
        <v>1435</v>
      </c>
      <c r="W76" s="175"/>
      <c r="X76" s="177" t="b">
        <v>1</v>
      </c>
      <c r="Y76" s="177" t="b">
        <v>0</v>
      </c>
      <c r="Z76" s="177" t="b">
        <v>0</v>
      </c>
      <c r="AA76" s="175"/>
      <c r="AB76" s="175"/>
      <c r="AC76" s="177" t="b">
        <v>0</v>
      </c>
      <c r="AD76" s="178" t="s">
        <v>1910</v>
      </c>
      <c r="AE76" s="175" t="s">
        <v>587</v>
      </c>
      <c r="AF76" s="178" t="s">
        <v>1910</v>
      </c>
      <c r="AG76" s="175" t="s">
        <v>587</v>
      </c>
      <c r="AH76" s="127" t="s">
        <v>587</v>
      </c>
    </row>
    <row r="77" spans="1:34">
      <c r="A77" s="175" t="s">
        <v>773</v>
      </c>
      <c r="B77" s="175" t="s">
        <v>774</v>
      </c>
      <c r="C77" s="175"/>
      <c r="D77" s="175"/>
      <c r="E77" s="175"/>
      <c r="F77" s="175"/>
      <c r="G77" s="175"/>
      <c r="H77" s="175"/>
      <c r="I77" s="175"/>
      <c r="J77" s="175"/>
      <c r="K77" s="175"/>
      <c r="L77" s="175"/>
      <c r="M77" s="175"/>
      <c r="N77" s="176" t="s">
        <v>1435</v>
      </c>
      <c r="O77" s="175"/>
      <c r="P77" s="175"/>
      <c r="Q77" s="175"/>
      <c r="R77" s="175"/>
      <c r="S77" s="176" t="s">
        <v>1435</v>
      </c>
      <c r="T77" s="176" t="s">
        <v>1435</v>
      </c>
      <c r="U77" s="176" t="s">
        <v>1435</v>
      </c>
      <c r="V77" s="176" t="s">
        <v>1435</v>
      </c>
      <c r="W77" s="175"/>
      <c r="X77" s="177" t="b">
        <v>1</v>
      </c>
      <c r="Y77" s="177" t="b">
        <v>0</v>
      </c>
      <c r="Z77" s="177" t="b">
        <v>0</v>
      </c>
      <c r="AA77" s="175"/>
      <c r="AB77" s="175"/>
      <c r="AC77" s="177" t="b">
        <v>0</v>
      </c>
      <c r="AD77" s="178" t="s">
        <v>1899</v>
      </c>
      <c r="AE77" s="175" t="s">
        <v>587</v>
      </c>
      <c r="AF77" s="178" t="s">
        <v>1899</v>
      </c>
      <c r="AG77" s="175" t="s">
        <v>587</v>
      </c>
      <c r="AH77" s="127" t="s">
        <v>587</v>
      </c>
    </row>
    <row r="78" spans="1:34">
      <c r="A78" s="175" t="s">
        <v>775</v>
      </c>
      <c r="B78" s="175" t="s">
        <v>776</v>
      </c>
      <c r="C78" s="175"/>
      <c r="D78" s="175"/>
      <c r="E78" s="175"/>
      <c r="F78" s="175"/>
      <c r="G78" s="175"/>
      <c r="H78" s="175"/>
      <c r="I78" s="175"/>
      <c r="J78" s="175"/>
      <c r="K78" s="175"/>
      <c r="L78" s="175"/>
      <c r="M78" s="175"/>
      <c r="N78" s="176" t="s">
        <v>1435</v>
      </c>
      <c r="O78" s="175"/>
      <c r="P78" s="175"/>
      <c r="Q78" s="175"/>
      <c r="R78" s="175"/>
      <c r="S78" s="176" t="s">
        <v>1435</v>
      </c>
      <c r="T78" s="176" t="s">
        <v>1435</v>
      </c>
      <c r="U78" s="176" t="s">
        <v>1435</v>
      </c>
      <c r="V78" s="176" t="s">
        <v>1435</v>
      </c>
      <c r="W78" s="175"/>
      <c r="X78" s="177" t="b">
        <v>1</v>
      </c>
      <c r="Y78" s="177" t="b">
        <v>0</v>
      </c>
      <c r="Z78" s="177" t="b">
        <v>0</v>
      </c>
      <c r="AA78" s="175"/>
      <c r="AB78" s="175"/>
      <c r="AC78" s="177" t="b">
        <v>0</v>
      </c>
      <c r="AD78" s="178" t="s">
        <v>1925</v>
      </c>
      <c r="AE78" s="175" t="s">
        <v>587</v>
      </c>
      <c r="AF78" s="178" t="s">
        <v>1925</v>
      </c>
      <c r="AG78" s="175" t="s">
        <v>587</v>
      </c>
      <c r="AH78" s="127" t="s">
        <v>587</v>
      </c>
    </row>
    <row r="79" spans="1:34">
      <c r="A79" s="175" t="s">
        <v>149</v>
      </c>
      <c r="B79" s="175" t="s">
        <v>150</v>
      </c>
      <c r="C79" s="175"/>
      <c r="D79" s="175" t="s">
        <v>777</v>
      </c>
      <c r="E79" s="175" t="s">
        <v>778</v>
      </c>
      <c r="F79" s="175"/>
      <c r="G79" s="175"/>
      <c r="H79" s="175"/>
      <c r="I79" s="175" t="s">
        <v>150</v>
      </c>
      <c r="J79" s="175"/>
      <c r="K79" s="175"/>
      <c r="L79" s="175"/>
      <c r="M79" s="175"/>
      <c r="N79" s="176" t="s">
        <v>1435</v>
      </c>
      <c r="O79" s="175" t="s">
        <v>566</v>
      </c>
      <c r="P79" s="175" t="s">
        <v>567</v>
      </c>
      <c r="Q79" s="175"/>
      <c r="R79" s="175"/>
      <c r="S79" s="176" t="s">
        <v>1435</v>
      </c>
      <c r="T79" s="176" t="s">
        <v>1435</v>
      </c>
      <c r="U79" s="176" t="s">
        <v>1435</v>
      </c>
      <c r="V79" s="176" t="s">
        <v>1435</v>
      </c>
      <c r="W79" s="175"/>
      <c r="X79" s="177" t="b">
        <v>1</v>
      </c>
      <c r="Y79" s="177" t="b">
        <v>0</v>
      </c>
      <c r="Z79" s="177" t="b">
        <v>0</v>
      </c>
      <c r="AA79" s="175"/>
      <c r="AB79" s="175"/>
      <c r="AC79" s="177" t="b">
        <v>0</v>
      </c>
      <c r="AD79" s="178">
        <v>1</v>
      </c>
      <c r="AE79" s="175"/>
      <c r="AF79" s="178" t="s">
        <v>1894</v>
      </c>
      <c r="AG79" s="175" t="s">
        <v>569</v>
      </c>
      <c r="AH79" s="127" t="s">
        <v>569</v>
      </c>
    </row>
    <row r="80" spans="1:34">
      <c r="A80" s="175" t="s">
        <v>1926</v>
      </c>
      <c r="B80" s="175" t="s">
        <v>2005</v>
      </c>
      <c r="C80" s="175"/>
      <c r="D80" s="175" t="s">
        <v>1927</v>
      </c>
      <c r="E80" s="175" t="s">
        <v>1928</v>
      </c>
      <c r="F80" s="175"/>
      <c r="G80" s="175"/>
      <c r="H80" s="175"/>
      <c r="I80" s="175"/>
      <c r="J80" s="175"/>
      <c r="K80" s="175"/>
      <c r="L80" s="175"/>
      <c r="M80" s="175"/>
      <c r="N80" s="176" t="s">
        <v>1435</v>
      </c>
      <c r="O80" s="175"/>
      <c r="P80" s="175"/>
      <c r="Q80" s="175"/>
      <c r="R80" s="175"/>
      <c r="S80" s="176" t="s">
        <v>1435</v>
      </c>
      <c r="T80" s="176" t="s">
        <v>1435</v>
      </c>
      <c r="U80" s="176" t="s">
        <v>1435</v>
      </c>
      <c r="V80" s="176" t="s">
        <v>1435</v>
      </c>
      <c r="W80" s="175"/>
      <c r="X80" s="177" t="b">
        <v>1</v>
      </c>
      <c r="Y80" s="177" t="b">
        <v>0</v>
      </c>
      <c r="Z80" s="177" t="b">
        <v>0</v>
      </c>
      <c r="AA80" s="175"/>
      <c r="AB80" s="175"/>
      <c r="AC80" s="177" t="b">
        <v>0</v>
      </c>
      <c r="AD80" s="178" t="s">
        <v>1929</v>
      </c>
      <c r="AE80" s="175" t="s">
        <v>870</v>
      </c>
      <c r="AF80" s="178" t="s">
        <v>1929</v>
      </c>
      <c r="AG80" s="175" t="s">
        <v>870</v>
      </c>
      <c r="AH80" s="127" t="s">
        <v>870</v>
      </c>
    </row>
    <row r="81" spans="1:34">
      <c r="A81" s="175" t="s">
        <v>779</v>
      </c>
      <c r="B81" s="175" t="s">
        <v>780</v>
      </c>
      <c r="C81" s="175"/>
      <c r="D81" s="175" t="s">
        <v>630</v>
      </c>
      <c r="E81" s="175" t="s">
        <v>781</v>
      </c>
      <c r="F81" s="175"/>
      <c r="G81" s="175"/>
      <c r="H81" s="175"/>
      <c r="I81" s="175" t="s">
        <v>780</v>
      </c>
      <c r="J81" s="175"/>
      <c r="K81" s="175"/>
      <c r="L81" s="175"/>
      <c r="M81" s="175"/>
      <c r="N81" s="176" t="s">
        <v>1435</v>
      </c>
      <c r="O81" s="175" t="s">
        <v>566</v>
      </c>
      <c r="P81" s="175" t="s">
        <v>567</v>
      </c>
      <c r="Q81" s="175"/>
      <c r="R81" s="175"/>
      <c r="S81" s="176" t="s">
        <v>1435</v>
      </c>
      <c r="T81" s="176" t="s">
        <v>1435</v>
      </c>
      <c r="U81" s="176" t="s">
        <v>1435</v>
      </c>
      <c r="V81" s="176" t="s">
        <v>1435</v>
      </c>
      <c r="W81" s="175"/>
      <c r="X81" s="177" t="b">
        <v>1</v>
      </c>
      <c r="Y81" s="177" t="b">
        <v>0</v>
      </c>
      <c r="Z81" s="177" t="b">
        <v>0</v>
      </c>
      <c r="AA81" s="175"/>
      <c r="AB81" s="175"/>
      <c r="AC81" s="177" t="b">
        <v>0</v>
      </c>
      <c r="AD81" s="178">
        <v>1</v>
      </c>
      <c r="AE81" s="175"/>
      <c r="AF81" s="178" t="s">
        <v>1894</v>
      </c>
      <c r="AG81" s="175" t="s">
        <v>569</v>
      </c>
      <c r="AH81" s="127" t="s">
        <v>569</v>
      </c>
    </row>
    <row r="82" spans="1:34" ht="30">
      <c r="A82" s="175" t="s">
        <v>782</v>
      </c>
      <c r="B82" s="175" t="s">
        <v>783</v>
      </c>
      <c r="C82" s="175"/>
      <c r="D82" s="175" t="s">
        <v>784</v>
      </c>
      <c r="E82" s="175"/>
      <c r="F82" s="175"/>
      <c r="G82" s="175"/>
      <c r="H82" s="175"/>
      <c r="I82" s="175"/>
      <c r="J82" s="175"/>
      <c r="K82" s="175"/>
      <c r="L82" s="175"/>
      <c r="M82" s="175"/>
      <c r="N82" s="176" t="s">
        <v>1435</v>
      </c>
      <c r="O82" s="175"/>
      <c r="P82" s="175"/>
      <c r="Q82" s="175" t="s">
        <v>570</v>
      </c>
      <c r="R82" s="175"/>
      <c r="S82" s="176" t="s">
        <v>1435</v>
      </c>
      <c r="T82" s="176" t="s">
        <v>1435</v>
      </c>
      <c r="U82" s="176" t="s">
        <v>1435</v>
      </c>
      <c r="V82" s="176" t="s">
        <v>1435</v>
      </c>
      <c r="W82" s="175"/>
      <c r="X82" s="177" t="b">
        <v>1</v>
      </c>
      <c r="Y82" s="177" t="b">
        <v>1</v>
      </c>
      <c r="Z82" s="177" t="b">
        <v>0</v>
      </c>
      <c r="AA82" s="175"/>
      <c r="AB82" s="175"/>
      <c r="AC82" s="177" t="b">
        <v>0</v>
      </c>
      <c r="AD82" s="178">
        <v>1</v>
      </c>
      <c r="AE82" s="175"/>
      <c r="AF82" s="178" t="s">
        <v>1893</v>
      </c>
      <c r="AG82" s="175" t="s">
        <v>572</v>
      </c>
      <c r="AH82" s="127" t="s">
        <v>572</v>
      </c>
    </row>
    <row r="83" spans="1:34">
      <c r="A83" s="175" t="s">
        <v>785</v>
      </c>
      <c r="B83" s="175" t="s">
        <v>786</v>
      </c>
      <c r="C83" s="175"/>
      <c r="D83" s="175" t="s">
        <v>630</v>
      </c>
      <c r="E83" s="175" t="s">
        <v>787</v>
      </c>
      <c r="F83" s="175"/>
      <c r="G83" s="175"/>
      <c r="H83" s="175"/>
      <c r="I83" s="175" t="s">
        <v>786</v>
      </c>
      <c r="J83" s="175"/>
      <c r="K83" s="175"/>
      <c r="L83" s="175"/>
      <c r="M83" s="175"/>
      <c r="N83" s="176" t="s">
        <v>1435</v>
      </c>
      <c r="O83" s="175" t="s">
        <v>566</v>
      </c>
      <c r="P83" s="175" t="s">
        <v>567</v>
      </c>
      <c r="Q83" s="175"/>
      <c r="R83" s="175"/>
      <c r="S83" s="176" t="s">
        <v>1435</v>
      </c>
      <c r="T83" s="176" t="s">
        <v>1435</v>
      </c>
      <c r="U83" s="176" t="s">
        <v>1435</v>
      </c>
      <c r="V83" s="176" t="s">
        <v>1435</v>
      </c>
      <c r="W83" s="175"/>
      <c r="X83" s="177" t="b">
        <v>1</v>
      </c>
      <c r="Y83" s="177" t="b">
        <v>0</v>
      </c>
      <c r="Z83" s="177" t="b">
        <v>0</v>
      </c>
      <c r="AA83" s="175"/>
      <c r="AB83" s="175"/>
      <c r="AC83" s="177" t="b">
        <v>0</v>
      </c>
      <c r="AD83" s="178" t="s">
        <v>1930</v>
      </c>
      <c r="AE83" s="175" t="s">
        <v>568</v>
      </c>
      <c r="AF83" s="178" t="s">
        <v>1930</v>
      </c>
      <c r="AG83" s="175" t="s">
        <v>568</v>
      </c>
      <c r="AH83" s="127" t="s">
        <v>568</v>
      </c>
    </row>
    <row r="84" spans="1:34">
      <c r="A84" s="175" t="s">
        <v>788</v>
      </c>
      <c r="B84" s="175" t="s">
        <v>789</v>
      </c>
      <c r="C84" s="175"/>
      <c r="D84" s="175" t="s">
        <v>790</v>
      </c>
      <c r="E84" s="175" t="s">
        <v>791</v>
      </c>
      <c r="F84" s="175"/>
      <c r="G84" s="175"/>
      <c r="H84" s="175"/>
      <c r="I84" s="175" t="s">
        <v>789</v>
      </c>
      <c r="J84" s="175"/>
      <c r="K84" s="175"/>
      <c r="L84" s="175"/>
      <c r="M84" s="175"/>
      <c r="N84" s="176" t="s">
        <v>1435</v>
      </c>
      <c r="O84" s="175" t="s">
        <v>566</v>
      </c>
      <c r="P84" s="175" t="s">
        <v>567</v>
      </c>
      <c r="Q84" s="175"/>
      <c r="R84" s="175"/>
      <c r="S84" s="176" t="s">
        <v>1435</v>
      </c>
      <c r="T84" s="176" t="s">
        <v>1435</v>
      </c>
      <c r="U84" s="176" t="s">
        <v>1435</v>
      </c>
      <c r="V84" s="176" t="s">
        <v>1435</v>
      </c>
      <c r="W84" s="175"/>
      <c r="X84" s="177" t="b">
        <v>1</v>
      </c>
      <c r="Y84" s="177" t="b">
        <v>0</v>
      </c>
      <c r="Z84" s="177" t="b">
        <v>0</v>
      </c>
      <c r="AA84" s="175"/>
      <c r="AB84" s="175"/>
      <c r="AC84" s="177" t="b">
        <v>0</v>
      </c>
      <c r="AD84" s="178">
        <v>1</v>
      </c>
      <c r="AE84" s="175"/>
      <c r="AF84" s="178" t="s">
        <v>1894</v>
      </c>
      <c r="AG84" s="175" t="s">
        <v>569</v>
      </c>
      <c r="AH84" s="127" t="s">
        <v>569</v>
      </c>
    </row>
    <row r="85" spans="1:34">
      <c r="A85" s="175" t="s">
        <v>155</v>
      </c>
      <c r="B85" s="175" t="s">
        <v>156</v>
      </c>
      <c r="C85" s="175"/>
      <c r="D85" s="175" t="s">
        <v>606</v>
      </c>
      <c r="E85" s="175" t="s">
        <v>792</v>
      </c>
      <c r="F85" s="175"/>
      <c r="G85" s="175"/>
      <c r="H85" s="175"/>
      <c r="I85" s="175" t="s">
        <v>156</v>
      </c>
      <c r="J85" s="175"/>
      <c r="K85" s="175"/>
      <c r="L85" s="175"/>
      <c r="M85" s="175"/>
      <c r="N85" s="176" t="s">
        <v>1435</v>
      </c>
      <c r="O85" s="175" t="s">
        <v>566</v>
      </c>
      <c r="P85" s="175" t="s">
        <v>567</v>
      </c>
      <c r="Q85" s="175"/>
      <c r="R85" s="175"/>
      <c r="S85" s="176" t="s">
        <v>1435</v>
      </c>
      <c r="T85" s="176" t="s">
        <v>1435</v>
      </c>
      <c r="U85" s="176" t="s">
        <v>1435</v>
      </c>
      <c r="V85" s="176" t="s">
        <v>1435</v>
      </c>
      <c r="W85" s="175"/>
      <c r="X85" s="177" t="b">
        <v>1</v>
      </c>
      <c r="Y85" s="177" t="b">
        <v>0</v>
      </c>
      <c r="Z85" s="177" t="b">
        <v>0</v>
      </c>
      <c r="AA85" s="175"/>
      <c r="AB85" s="175"/>
      <c r="AC85" s="177" t="b">
        <v>0</v>
      </c>
      <c r="AD85" s="178">
        <v>1</v>
      </c>
      <c r="AE85" s="175"/>
      <c r="AF85" s="178" t="s">
        <v>1916</v>
      </c>
      <c r="AG85" s="175" t="s">
        <v>561</v>
      </c>
      <c r="AH85" s="127" t="s">
        <v>561</v>
      </c>
    </row>
    <row r="86" spans="1:34">
      <c r="A86" s="175" t="s">
        <v>157</v>
      </c>
      <c r="B86" s="175" t="s">
        <v>158</v>
      </c>
      <c r="C86" s="175"/>
      <c r="D86" s="175" t="s">
        <v>793</v>
      </c>
      <c r="E86" s="175" t="s">
        <v>794</v>
      </c>
      <c r="F86" s="175"/>
      <c r="G86" s="175"/>
      <c r="H86" s="175"/>
      <c r="I86" s="175" t="s">
        <v>158</v>
      </c>
      <c r="J86" s="175"/>
      <c r="K86" s="175"/>
      <c r="L86" s="175"/>
      <c r="M86" s="175"/>
      <c r="N86" s="176" t="s">
        <v>1435</v>
      </c>
      <c r="O86" s="175" t="s">
        <v>566</v>
      </c>
      <c r="P86" s="175" t="s">
        <v>567</v>
      </c>
      <c r="Q86" s="175"/>
      <c r="R86" s="175"/>
      <c r="S86" s="176" t="s">
        <v>1435</v>
      </c>
      <c r="T86" s="176" t="s">
        <v>1435</v>
      </c>
      <c r="U86" s="176" t="s">
        <v>1435</v>
      </c>
      <c r="V86" s="176" t="s">
        <v>1435</v>
      </c>
      <c r="W86" s="175"/>
      <c r="X86" s="177" t="b">
        <v>1</v>
      </c>
      <c r="Y86" s="177" t="b">
        <v>0</v>
      </c>
      <c r="Z86" s="177" t="b">
        <v>0</v>
      </c>
      <c r="AA86" s="175"/>
      <c r="AB86" s="175"/>
      <c r="AC86" s="177" t="b">
        <v>0</v>
      </c>
      <c r="AD86" s="178" t="s">
        <v>1931</v>
      </c>
      <c r="AE86" s="175" t="s">
        <v>717</v>
      </c>
      <c r="AF86" s="178" t="s">
        <v>1931</v>
      </c>
      <c r="AG86" s="175" t="s">
        <v>717</v>
      </c>
      <c r="AH86" s="127" t="s">
        <v>717</v>
      </c>
    </row>
    <row r="87" spans="1:34">
      <c r="A87" s="175" t="s">
        <v>287</v>
      </c>
      <c r="B87" s="175" t="s">
        <v>288</v>
      </c>
      <c r="C87" s="175"/>
      <c r="D87" s="175" t="s">
        <v>630</v>
      </c>
      <c r="E87" s="175" t="s">
        <v>795</v>
      </c>
      <c r="F87" s="175"/>
      <c r="G87" s="175"/>
      <c r="H87" s="175"/>
      <c r="I87" s="175" t="s">
        <v>288</v>
      </c>
      <c r="J87" s="175"/>
      <c r="K87" s="175"/>
      <c r="L87" s="175"/>
      <c r="M87" s="175"/>
      <c r="N87" s="176" t="s">
        <v>1435</v>
      </c>
      <c r="O87" s="175" t="s">
        <v>566</v>
      </c>
      <c r="P87" s="175" t="s">
        <v>567</v>
      </c>
      <c r="Q87" s="175"/>
      <c r="R87" s="175"/>
      <c r="S87" s="176" t="s">
        <v>1435</v>
      </c>
      <c r="T87" s="176" t="s">
        <v>1435</v>
      </c>
      <c r="U87" s="176" t="s">
        <v>1435</v>
      </c>
      <c r="V87" s="176" t="s">
        <v>1435</v>
      </c>
      <c r="W87" s="175"/>
      <c r="X87" s="177" t="b">
        <v>1</v>
      </c>
      <c r="Y87" s="177" t="b">
        <v>0</v>
      </c>
      <c r="Z87" s="177" t="b">
        <v>0</v>
      </c>
      <c r="AA87" s="175"/>
      <c r="AB87" s="175"/>
      <c r="AC87" s="177" t="b">
        <v>0</v>
      </c>
      <c r="AD87" s="178" t="s">
        <v>1932</v>
      </c>
      <c r="AE87" s="175" t="s">
        <v>587</v>
      </c>
      <c r="AF87" s="178" t="s">
        <v>1932</v>
      </c>
      <c r="AG87" s="175" t="s">
        <v>587</v>
      </c>
      <c r="AH87" s="127" t="s">
        <v>587</v>
      </c>
    </row>
    <row r="88" spans="1:34">
      <c r="A88" s="175" t="s">
        <v>1414</v>
      </c>
      <c r="B88" s="175" t="s">
        <v>1415</v>
      </c>
      <c r="C88" s="175"/>
      <c r="D88" s="175" t="s">
        <v>606</v>
      </c>
      <c r="E88" s="175" t="s">
        <v>1440</v>
      </c>
      <c r="F88" s="175"/>
      <c r="G88" s="175"/>
      <c r="H88" s="175"/>
      <c r="I88" s="175" t="s">
        <v>1415</v>
      </c>
      <c r="J88" s="175"/>
      <c r="K88" s="175"/>
      <c r="L88" s="175"/>
      <c r="M88" s="175"/>
      <c r="N88" s="176" t="s">
        <v>1435</v>
      </c>
      <c r="O88" s="175" t="s">
        <v>566</v>
      </c>
      <c r="P88" s="175" t="s">
        <v>567</v>
      </c>
      <c r="Q88" s="175"/>
      <c r="R88" s="175"/>
      <c r="S88" s="176" t="s">
        <v>1435</v>
      </c>
      <c r="T88" s="176" t="s">
        <v>1435</v>
      </c>
      <c r="U88" s="176" t="s">
        <v>1435</v>
      </c>
      <c r="V88" s="176" t="s">
        <v>1435</v>
      </c>
      <c r="W88" s="175"/>
      <c r="X88" s="177" t="b">
        <v>1</v>
      </c>
      <c r="Y88" s="177" t="b">
        <v>0</v>
      </c>
      <c r="Z88" s="177" t="b">
        <v>0</v>
      </c>
      <c r="AA88" s="175"/>
      <c r="AB88" s="175"/>
      <c r="AC88" s="177" t="b">
        <v>0</v>
      </c>
      <c r="AD88" s="178">
        <v>43803</v>
      </c>
      <c r="AE88" s="175" t="s">
        <v>587</v>
      </c>
      <c r="AF88" s="178">
        <v>43803</v>
      </c>
      <c r="AG88" s="175" t="s">
        <v>587</v>
      </c>
      <c r="AH88" s="127" t="s">
        <v>587</v>
      </c>
    </row>
    <row r="89" spans="1:34">
      <c r="A89" s="175" t="s">
        <v>796</v>
      </c>
      <c r="B89" s="175" t="s">
        <v>797</v>
      </c>
      <c r="C89" s="175"/>
      <c r="D89" s="175" t="s">
        <v>798</v>
      </c>
      <c r="E89" s="175" t="s">
        <v>799</v>
      </c>
      <c r="F89" s="175"/>
      <c r="G89" s="175"/>
      <c r="H89" s="175"/>
      <c r="I89" s="175" t="s">
        <v>797</v>
      </c>
      <c r="J89" s="175"/>
      <c r="K89" s="175"/>
      <c r="L89" s="175"/>
      <c r="M89" s="175"/>
      <c r="N89" s="176" t="s">
        <v>1435</v>
      </c>
      <c r="O89" s="175" t="s">
        <v>566</v>
      </c>
      <c r="P89" s="175" t="s">
        <v>567</v>
      </c>
      <c r="Q89" s="175"/>
      <c r="R89" s="175"/>
      <c r="S89" s="176" t="s">
        <v>1435</v>
      </c>
      <c r="T89" s="176" t="s">
        <v>1435</v>
      </c>
      <c r="U89" s="176" t="s">
        <v>1435</v>
      </c>
      <c r="V89" s="176" t="s">
        <v>1435</v>
      </c>
      <c r="W89" s="175"/>
      <c r="X89" s="177" t="b">
        <v>1</v>
      </c>
      <c r="Y89" s="177" t="b">
        <v>0</v>
      </c>
      <c r="Z89" s="177" t="b">
        <v>0</v>
      </c>
      <c r="AA89" s="175"/>
      <c r="AB89" s="175"/>
      <c r="AC89" s="177" t="b">
        <v>0</v>
      </c>
      <c r="AD89" s="178">
        <v>1</v>
      </c>
      <c r="AE89" s="175"/>
      <c r="AF89" s="178" t="s">
        <v>1894</v>
      </c>
      <c r="AG89" s="175" t="s">
        <v>569</v>
      </c>
      <c r="AH89" s="127" t="s">
        <v>569</v>
      </c>
    </row>
    <row r="90" spans="1:34">
      <c r="A90" s="175" t="s">
        <v>1595</v>
      </c>
      <c r="B90" s="175" t="s">
        <v>1594</v>
      </c>
      <c r="C90" s="175"/>
      <c r="D90" s="175" t="s">
        <v>1827</v>
      </c>
      <c r="E90" s="175" t="s">
        <v>1540</v>
      </c>
      <c r="F90" s="175"/>
      <c r="G90" s="175"/>
      <c r="H90" s="175"/>
      <c r="I90" s="175" t="s">
        <v>1594</v>
      </c>
      <c r="J90" s="175"/>
      <c r="K90" s="175"/>
      <c r="L90" s="175"/>
      <c r="M90" s="175"/>
      <c r="N90" s="176" t="s">
        <v>1435</v>
      </c>
      <c r="O90" s="175" t="s">
        <v>566</v>
      </c>
      <c r="P90" s="175" t="s">
        <v>567</v>
      </c>
      <c r="Q90" s="175"/>
      <c r="R90" s="175" t="s">
        <v>1517</v>
      </c>
      <c r="S90" s="176" t="s">
        <v>1435</v>
      </c>
      <c r="T90" s="176" t="s">
        <v>1435</v>
      </c>
      <c r="U90" s="176" t="s">
        <v>1435</v>
      </c>
      <c r="V90" s="176" t="s">
        <v>1435</v>
      </c>
      <c r="W90" s="175"/>
      <c r="X90" s="177" t="b">
        <v>1</v>
      </c>
      <c r="Y90" s="177" t="b">
        <v>0</v>
      </c>
      <c r="Z90" s="177" t="b">
        <v>0</v>
      </c>
      <c r="AA90" s="175"/>
      <c r="AB90" s="175"/>
      <c r="AC90" s="177" t="b">
        <v>0</v>
      </c>
      <c r="AD90" s="178">
        <v>43713</v>
      </c>
      <c r="AE90" s="175" t="s">
        <v>927</v>
      </c>
      <c r="AF90" s="178" t="s">
        <v>1933</v>
      </c>
      <c r="AG90" s="175" t="s">
        <v>561</v>
      </c>
      <c r="AH90" s="127" t="s">
        <v>561</v>
      </c>
    </row>
    <row r="91" spans="1:34">
      <c r="A91" s="175" t="s">
        <v>800</v>
      </c>
      <c r="B91" s="175" t="s">
        <v>801</v>
      </c>
      <c r="C91" s="175"/>
      <c r="D91" s="175" t="s">
        <v>630</v>
      </c>
      <c r="E91" s="175" t="s">
        <v>802</v>
      </c>
      <c r="F91" s="175"/>
      <c r="G91" s="175"/>
      <c r="H91" s="175"/>
      <c r="I91" s="175" t="s">
        <v>801</v>
      </c>
      <c r="J91" s="175"/>
      <c r="K91" s="175"/>
      <c r="L91" s="175"/>
      <c r="M91" s="175"/>
      <c r="N91" s="176" t="s">
        <v>1435</v>
      </c>
      <c r="O91" s="175" t="s">
        <v>566</v>
      </c>
      <c r="P91" s="175" t="s">
        <v>567</v>
      </c>
      <c r="Q91" s="175"/>
      <c r="R91" s="175"/>
      <c r="S91" s="176" t="s">
        <v>1435</v>
      </c>
      <c r="T91" s="176" t="s">
        <v>1435</v>
      </c>
      <c r="U91" s="176" t="s">
        <v>1435</v>
      </c>
      <c r="V91" s="176" t="s">
        <v>1435</v>
      </c>
      <c r="W91" s="175"/>
      <c r="X91" s="177" t="b">
        <v>1</v>
      </c>
      <c r="Y91" s="177" t="b">
        <v>1</v>
      </c>
      <c r="Z91" s="177" t="b">
        <v>0</v>
      </c>
      <c r="AA91" s="175"/>
      <c r="AB91" s="175"/>
      <c r="AC91" s="177" t="b">
        <v>0</v>
      </c>
      <c r="AD91" s="178">
        <v>43772</v>
      </c>
      <c r="AE91" s="175" t="s">
        <v>568</v>
      </c>
      <c r="AF91" s="178">
        <v>43772</v>
      </c>
      <c r="AG91" s="175" t="s">
        <v>568</v>
      </c>
      <c r="AH91" s="127" t="s">
        <v>568</v>
      </c>
    </row>
    <row r="92" spans="1:34">
      <c r="A92" s="175" t="s">
        <v>803</v>
      </c>
      <c r="B92" s="175" t="s">
        <v>804</v>
      </c>
      <c r="C92" s="175"/>
      <c r="D92" s="175"/>
      <c r="E92" s="175"/>
      <c r="F92" s="175"/>
      <c r="G92" s="175"/>
      <c r="H92" s="175"/>
      <c r="I92" s="175"/>
      <c r="J92" s="175"/>
      <c r="K92" s="175"/>
      <c r="L92" s="175"/>
      <c r="M92" s="175"/>
      <c r="N92" s="176" t="s">
        <v>1435</v>
      </c>
      <c r="O92" s="175" t="s">
        <v>566</v>
      </c>
      <c r="P92" s="175" t="s">
        <v>567</v>
      </c>
      <c r="Q92" s="175"/>
      <c r="R92" s="175"/>
      <c r="S92" s="176" t="s">
        <v>1435</v>
      </c>
      <c r="T92" s="176" t="s">
        <v>1435</v>
      </c>
      <c r="U92" s="176" t="s">
        <v>1435</v>
      </c>
      <c r="V92" s="176" t="s">
        <v>1435</v>
      </c>
      <c r="W92" s="175"/>
      <c r="X92" s="177" t="b">
        <v>1</v>
      </c>
      <c r="Y92" s="177" t="b">
        <v>0</v>
      </c>
      <c r="Z92" s="177" t="b">
        <v>0</v>
      </c>
      <c r="AA92" s="175"/>
      <c r="AB92" s="175"/>
      <c r="AC92" s="177" t="b">
        <v>0</v>
      </c>
      <c r="AD92" s="178" t="s">
        <v>1893</v>
      </c>
      <c r="AE92" s="175" t="s">
        <v>579</v>
      </c>
      <c r="AF92" s="178" t="s">
        <v>1934</v>
      </c>
      <c r="AG92" s="175" t="s">
        <v>927</v>
      </c>
      <c r="AH92" s="127" t="s">
        <v>927</v>
      </c>
    </row>
    <row r="93" spans="1:34">
      <c r="A93" s="175" t="s">
        <v>805</v>
      </c>
      <c r="B93" s="175" t="s">
        <v>806</v>
      </c>
      <c r="C93" s="175" t="s">
        <v>807</v>
      </c>
      <c r="D93" s="175" t="s">
        <v>808</v>
      </c>
      <c r="E93" s="175"/>
      <c r="F93" s="175"/>
      <c r="G93" s="175"/>
      <c r="H93" s="175"/>
      <c r="I93" s="175"/>
      <c r="J93" s="175"/>
      <c r="K93" s="175"/>
      <c r="L93" s="175"/>
      <c r="M93" s="175"/>
      <c r="N93" s="176" t="s">
        <v>1435</v>
      </c>
      <c r="O93" s="175"/>
      <c r="P93" s="175"/>
      <c r="Q93" s="175" t="s">
        <v>570</v>
      </c>
      <c r="R93" s="175" t="s">
        <v>571</v>
      </c>
      <c r="S93" s="176" t="s">
        <v>1435</v>
      </c>
      <c r="T93" s="176" t="s">
        <v>1435</v>
      </c>
      <c r="U93" s="176" t="s">
        <v>1435</v>
      </c>
      <c r="V93" s="176" t="s">
        <v>1435</v>
      </c>
      <c r="W93" s="175"/>
      <c r="X93" s="177" t="b">
        <v>1</v>
      </c>
      <c r="Y93" s="177" t="b">
        <v>1</v>
      </c>
      <c r="Z93" s="177" t="b">
        <v>0</v>
      </c>
      <c r="AA93" s="175"/>
      <c r="AB93" s="175"/>
      <c r="AC93" s="177" t="b">
        <v>0</v>
      </c>
      <c r="AD93" s="178" t="s">
        <v>1915</v>
      </c>
      <c r="AE93" s="175" t="s">
        <v>561</v>
      </c>
      <c r="AF93" s="178" t="s">
        <v>1915</v>
      </c>
      <c r="AG93" s="175" t="s">
        <v>561</v>
      </c>
      <c r="AH93" s="127" t="s">
        <v>561</v>
      </c>
    </row>
    <row r="94" spans="1:34">
      <c r="A94" s="175" t="s">
        <v>809</v>
      </c>
      <c r="B94" s="175" t="s">
        <v>810</v>
      </c>
      <c r="C94" s="175"/>
      <c r="D94" s="175" t="s">
        <v>811</v>
      </c>
      <c r="E94" s="175" t="s">
        <v>812</v>
      </c>
      <c r="F94" s="175"/>
      <c r="G94" s="175"/>
      <c r="H94" s="175"/>
      <c r="I94" s="175" t="s">
        <v>810</v>
      </c>
      <c r="J94" s="175"/>
      <c r="K94" s="175"/>
      <c r="L94" s="175"/>
      <c r="M94" s="175"/>
      <c r="N94" s="176" t="s">
        <v>1541</v>
      </c>
      <c r="O94" s="175" t="s">
        <v>566</v>
      </c>
      <c r="P94" s="175" t="s">
        <v>567</v>
      </c>
      <c r="Q94" s="175"/>
      <c r="R94" s="175" t="s">
        <v>1521</v>
      </c>
      <c r="S94" s="176" t="s">
        <v>1435</v>
      </c>
      <c r="T94" s="176" t="s">
        <v>1435</v>
      </c>
      <c r="U94" s="176" t="s">
        <v>1435</v>
      </c>
      <c r="V94" s="176" t="s">
        <v>1435</v>
      </c>
      <c r="W94" s="175"/>
      <c r="X94" s="177" t="b">
        <v>1</v>
      </c>
      <c r="Y94" s="177" t="b">
        <v>0</v>
      </c>
      <c r="Z94" s="177" t="b">
        <v>0</v>
      </c>
      <c r="AA94" s="175"/>
      <c r="AB94" s="175"/>
      <c r="AC94" s="177" t="b">
        <v>0</v>
      </c>
      <c r="AD94" s="178">
        <v>1</v>
      </c>
      <c r="AE94" s="175"/>
      <c r="AF94" s="178">
        <v>43651</v>
      </c>
      <c r="AG94" s="175" t="s">
        <v>927</v>
      </c>
      <c r="AH94" s="127" t="s">
        <v>927</v>
      </c>
    </row>
    <row r="95" spans="1:34">
      <c r="A95" s="175" t="s">
        <v>813</v>
      </c>
      <c r="B95" s="175" t="s">
        <v>814</v>
      </c>
      <c r="C95" s="175"/>
      <c r="D95" s="175" t="s">
        <v>630</v>
      </c>
      <c r="E95" s="175" t="s">
        <v>815</v>
      </c>
      <c r="F95" s="175"/>
      <c r="G95" s="175"/>
      <c r="H95" s="175"/>
      <c r="I95" s="175" t="s">
        <v>814</v>
      </c>
      <c r="J95" s="175"/>
      <c r="K95" s="175"/>
      <c r="L95" s="175"/>
      <c r="M95" s="175"/>
      <c r="N95" s="176" t="s">
        <v>1542</v>
      </c>
      <c r="O95" s="175" t="s">
        <v>566</v>
      </c>
      <c r="P95" s="175" t="s">
        <v>567</v>
      </c>
      <c r="Q95" s="175"/>
      <c r="R95" s="175" t="s">
        <v>1521</v>
      </c>
      <c r="S95" s="176" t="s">
        <v>1435</v>
      </c>
      <c r="T95" s="176" t="s">
        <v>1435</v>
      </c>
      <c r="U95" s="176" t="s">
        <v>1435</v>
      </c>
      <c r="V95" s="176" t="s">
        <v>1435</v>
      </c>
      <c r="W95" s="175"/>
      <c r="X95" s="177" t="b">
        <v>1</v>
      </c>
      <c r="Y95" s="177" t="b">
        <v>0</v>
      </c>
      <c r="Z95" s="177" t="b">
        <v>0</v>
      </c>
      <c r="AA95" s="175"/>
      <c r="AB95" s="175"/>
      <c r="AC95" s="177" t="b">
        <v>0</v>
      </c>
      <c r="AD95" s="178">
        <v>1</v>
      </c>
      <c r="AE95" s="175"/>
      <c r="AF95" s="178">
        <v>43651</v>
      </c>
      <c r="AG95" s="175" t="s">
        <v>927</v>
      </c>
      <c r="AH95" s="127" t="s">
        <v>927</v>
      </c>
    </row>
    <row r="96" spans="1:34">
      <c r="A96" s="175" t="s">
        <v>1819</v>
      </c>
      <c r="B96" s="175" t="s">
        <v>1818</v>
      </c>
      <c r="C96" s="175"/>
      <c r="D96" s="175" t="s">
        <v>1828</v>
      </c>
      <c r="E96" s="175" t="s">
        <v>1829</v>
      </c>
      <c r="F96" s="175"/>
      <c r="G96" s="175"/>
      <c r="H96" s="175"/>
      <c r="I96" s="175"/>
      <c r="J96" s="175"/>
      <c r="K96" s="175"/>
      <c r="L96" s="175"/>
      <c r="M96" s="175"/>
      <c r="N96" s="176" t="s">
        <v>1435</v>
      </c>
      <c r="O96" s="175" t="s">
        <v>566</v>
      </c>
      <c r="P96" s="175" t="s">
        <v>567</v>
      </c>
      <c r="Q96" s="175"/>
      <c r="R96" s="175"/>
      <c r="S96" s="176" t="s">
        <v>1435</v>
      </c>
      <c r="T96" s="176" t="s">
        <v>1435</v>
      </c>
      <c r="U96" s="176" t="s">
        <v>1435</v>
      </c>
      <c r="V96" s="176" t="s">
        <v>1435</v>
      </c>
      <c r="W96" s="175"/>
      <c r="X96" s="177" t="b">
        <v>1</v>
      </c>
      <c r="Y96" s="177" t="b">
        <v>0</v>
      </c>
      <c r="Z96" s="177" t="b">
        <v>0</v>
      </c>
      <c r="AA96" s="175"/>
      <c r="AB96" s="175"/>
      <c r="AC96" s="177" t="b">
        <v>0</v>
      </c>
      <c r="AD96" s="178">
        <v>43471</v>
      </c>
      <c r="AE96" s="175" t="s">
        <v>1830</v>
      </c>
      <c r="AF96" s="178">
        <v>43471</v>
      </c>
      <c r="AG96" s="175" t="s">
        <v>1830</v>
      </c>
      <c r="AH96" s="127" t="s">
        <v>1830</v>
      </c>
    </row>
    <row r="97" spans="1:34">
      <c r="A97" s="175" t="s">
        <v>816</v>
      </c>
      <c r="B97" s="175" t="s">
        <v>817</v>
      </c>
      <c r="C97" s="175"/>
      <c r="D97" s="175" t="s">
        <v>630</v>
      </c>
      <c r="E97" s="175" t="s">
        <v>818</v>
      </c>
      <c r="F97" s="175"/>
      <c r="G97" s="175"/>
      <c r="H97" s="175"/>
      <c r="I97" s="175" t="s">
        <v>817</v>
      </c>
      <c r="J97" s="175"/>
      <c r="K97" s="175"/>
      <c r="L97" s="175"/>
      <c r="M97" s="175"/>
      <c r="N97" s="176" t="s">
        <v>1435</v>
      </c>
      <c r="O97" s="175" t="s">
        <v>566</v>
      </c>
      <c r="P97" s="175" t="s">
        <v>567</v>
      </c>
      <c r="Q97" s="175"/>
      <c r="R97" s="175"/>
      <c r="S97" s="176" t="s">
        <v>1435</v>
      </c>
      <c r="T97" s="176" t="s">
        <v>1435</v>
      </c>
      <c r="U97" s="176" t="s">
        <v>1435</v>
      </c>
      <c r="V97" s="176" t="s">
        <v>1435</v>
      </c>
      <c r="W97" s="175"/>
      <c r="X97" s="177" t="b">
        <v>1</v>
      </c>
      <c r="Y97" s="177" t="b">
        <v>0</v>
      </c>
      <c r="Z97" s="177" t="b">
        <v>0</v>
      </c>
      <c r="AA97" s="175"/>
      <c r="AB97" s="175"/>
      <c r="AC97" s="177" t="b">
        <v>0</v>
      </c>
      <c r="AD97" s="178">
        <v>43499</v>
      </c>
      <c r="AE97" s="175" t="s">
        <v>568</v>
      </c>
      <c r="AF97" s="178">
        <v>43499</v>
      </c>
      <c r="AG97" s="175" t="s">
        <v>568</v>
      </c>
      <c r="AH97" s="127" t="s">
        <v>568</v>
      </c>
    </row>
    <row r="98" spans="1:34" ht="30">
      <c r="A98" s="175" t="s">
        <v>819</v>
      </c>
      <c r="B98" s="175" t="s">
        <v>820</v>
      </c>
      <c r="C98" s="175" t="s">
        <v>821</v>
      </c>
      <c r="D98" s="175" t="s">
        <v>822</v>
      </c>
      <c r="E98" s="175" t="s">
        <v>823</v>
      </c>
      <c r="F98" s="175"/>
      <c r="G98" s="175"/>
      <c r="H98" s="175"/>
      <c r="I98" s="175"/>
      <c r="J98" s="175"/>
      <c r="K98" s="175"/>
      <c r="L98" s="175"/>
      <c r="M98" s="175"/>
      <c r="N98" s="176" t="s">
        <v>1435</v>
      </c>
      <c r="O98" s="175"/>
      <c r="P98" s="175"/>
      <c r="Q98" s="175" t="s">
        <v>578</v>
      </c>
      <c r="R98" s="175"/>
      <c r="S98" s="176" t="s">
        <v>1435</v>
      </c>
      <c r="T98" s="176" t="s">
        <v>1435</v>
      </c>
      <c r="U98" s="176" t="s">
        <v>1435</v>
      </c>
      <c r="V98" s="176" t="s">
        <v>1435</v>
      </c>
      <c r="W98" s="175"/>
      <c r="X98" s="177" t="b">
        <v>1</v>
      </c>
      <c r="Y98" s="177" t="b">
        <v>1</v>
      </c>
      <c r="Z98" s="177" t="b">
        <v>0</v>
      </c>
      <c r="AA98" s="175"/>
      <c r="AB98" s="175"/>
      <c r="AC98" s="177" t="b">
        <v>0</v>
      </c>
      <c r="AD98" s="178" t="s">
        <v>1935</v>
      </c>
      <c r="AE98" s="175" t="s">
        <v>579</v>
      </c>
      <c r="AF98" s="178" t="s">
        <v>1893</v>
      </c>
      <c r="AG98" s="175" t="s">
        <v>572</v>
      </c>
      <c r="AH98" s="127" t="s">
        <v>572</v>
      </c>
    </row>
    <row r="99" spans="1:34">
      <c r="A99" s="175" t="s">
        <v>159</v>
      </c>
      <c r="B99" s="175" t="s">
        <v>160</v>
      </c>
      <c r="C99" s="175"/>
      <c r="D99" s="175" t="s">
        <v>824</v>
      </c>
      <c r="E99" s="175" t="s">
        <v>825</v>
      </c>
      <c r="F99" s="175"/>
      <c r="G99" s="175"/>
      <c r="H99" s="175"/>
      <c r="I99" s="175" t="s">
        <v>160</v>
      </c>
      <c r="J99" s="175"/>
      <c r="K99" s="175"/>
      <c r="L99" s="175"/>
      <c r="M99" s="175"/>
      <c r="N99" s="176" t="s">
        <v>1435</v>
      </c>
      <c r="O99" s="175" t="s">
        <v>566</v>
      </c>
      <c r="P99" s="175" t="s">
        <v>567</v>
      </c>
      <c r="Q99" s="175"/>
      <c r="R99" s="175" t="s">
        <v>1512</v>
      </c>
      <c r="S99" s="176" t="s">
        <v>1435</v>
      </c>
      <c r="T99" s="176" t="s">
        <v>1435</v>
      </c>
      <c r="U99" s="176" t="s">
        <v>1435</v>
      </c>
      <c r="V99" s="176" t="s">
        <v>1435</v>
      </c>
      <c r="W99" s="175"/>
      <c r="X99" s="177" t="b">
        <v>1</v>
      </c>
      <c r="Y99" s="177" t="b">
        <v>0</v>
      </c>
      <c r="Z99" s="177" t="b">
        <v>0</v>
      </c>
      <c r="AA99" s="175"/>
      <c r="AB99" s="175"/>
      <c r="AC99" s="177" t="b">
        <v>0</v>
      </c>
      <c r="AD99" s="178">
        <v>43444</v>
      </c>
      <c r="AE99" s="175" t="s">
        <v>587</v>
      </c>
      <c r="AF99" s="178">
        <v>43560</v>
      </c>
      <c r="AG99" s="175" t="s">
        <v>927</v>
      </c>
      <c r="AH99" s="127" t="s">
        <v>927</v>
      </c>
    </row>
    <row r="100" spans="1:34">
      <c r="A100" s="175" t="s">
        <v>826</v>
      </c>
      <c r="B100" s="175" t="s">
        <v>827</v>
      </c>
      <c r="C100" s="175"/>
      <c r="D100" s="175" t="s">
        <v>828</v>
      </c>
      <c r="E100" s="175" t="s">
        <v>829</v>
      </c>
      <c r="F100" s="175"/>
      <c r="G100" s="175"/>
      <c r="H100" s="175"/>
      <c r="I100" s="175" t="s">
        <v>827</v>
      </c>
      <c r="J100" s="175"/>
      <c r="K100" s="175"/>
      <c r="L100" s="175"/>
      <c r="M100" s="175"/>
      <c r="N100" s="176" t="s">
        <v>1435</v>
      </c>
      <c r="O100" s="175" t="s">
        <v>566</v>
      </c>
      <c r="P100" s="175" t="s">
        <v>567</v>
      </c>
      <c r="Q100" s="175"/>
      <c r="R100" s="175"/>
      <c r="S100" s="176" t="s">
        <v>1435</v>
      </c>
      <c r="T100" s="176" t="s">
        <v>1435</v>
      </c>
      <c r="U100" s="176" t="s">
        <v>1435</v>
      </c>
      <c r="V100" s="176" t="s">
        <v>1435</v>
      </c>
      <c r="W100" s="175"/>
      <c r="X100" s="177" t="b">
        <v>1</v>
      </c>
      <c r="Y100" s="177" t="b">
        <v>0</v>
      </c>
      <c r="Z100" s="177" t="b">
        <v>0</v>
      </c>
      <c r="AA100" s="175"/>
      <c r="AB100" s="175"/>
      <c r="AC100" s="177" t="b">
        <v>0</v>
      </c>
      <c r="AD100" s="178">
        <v>1</v>
      </c>
      <c r="AE100" s="175"/>
      <c r="AF100" s="178" t="s">
        <v>1894</v>
      </c>
      <c r="AG100" s="175" t="s">
        <v>569</v>
      </c>
      <c r="AH100" s="127" t="s">
        <v>569</v>
      </c>
    </row>
    <row r="101" spans="1:34">
      <c r="A101" s="175" t="s">
        <v>830</v>
      </c>
      <c r="B101" s="175" t="s">
        <v>1543</v>
      </c>
      <c r="C101" s="175"/>
      <c r="D101" s="175"/>
      <c r="E101" s="175"/>
      <c r="F101" s="175"/>
      <c r="G101" s="175"/>
      <c r="H101" s="175"/>
      <c r="I101" s="175" t="s">
        <v>1543</v>
      </c>
      <c r="J101" s="175"/>
      <c r="K101" s="175"/>
      <c r="L101" s="175"/>
      <c r="M101" s="175"/>
      <c r="N101" s="176" t="s">
        <v>1435</v>
      </c>
      <c r="O101" s="175" t="s">
        <v>566</v>
      </c>
      <c r="P101" s="175" t="s">
        <v>567</v>
      </c>
      <c r="Q101" s="175"/>
      <c r="R101" s="175" t="s">
        <v>1517</v>
      </c>
      <c r="S101" s="176" t="s">
        <v>1435</v>
      </c>
      <c r="T101" s="176" t="s">
        <v>1435</v>
      </c>
      <c r="U101" s="176" t="s">
        <v>1435</v>
      </c>
      <c r="V101" s="176" t="s">
        <v>1435</v>
      </c>
      <c r="W101" s="175"/>
      <c r="X101" s="177" t="b">
        <v>1</v>
      </c>
      <c r="Y101" s="177" t="b">
        <v>0</v>
      </c>
      <c r="Z101" s="177" t="b">
        <v>0</v>
      </c>
      <c r="AA101" s="175"/>
      <c r="AB101" s="175"/>
      <c r="AC101" s="177" t="b">
        <v>0</v>
      </c>
      <c r="AD101" s="178" t="s">
        <v>1936</v>
      </c>
      <c r="AE101" s="175" t="s">
        <v>587</v>
      </c>
      <c r="AF101" s="178">
        <v>43560</v>
      </c>
      <c r="AG101" s="175" t="s">
        <v>927</v>
      </c>
      <c r="AH101" s="127" t="s">
        <v>927</v>
      </c>
    </row>
    <row r="102" spans="1:34">
      <c r="A102" s="175" t="s">
        <v>831</v>
      </c>
      <c r="B102" s="175" t="s">
        <v>832</v>
      </c>
      <c r="C102" s="175"/>
      <c r="D102" s="175" t="s">
        <v>833</v>
      </c>
      <c r="E102" s="175"/>
      <c r="F102" s="175"/>
      <c r="G102" s="175"/>
      <c r="H102" s="175"/>
      <c r="I102" s="175"/>
      <c r="J102" s="175"/>
      <c r="K102" s="175"/>
      <c r="L102" s="175"/>
      <c r="M102" s="175"/>
      <c r="N102" s="176" t="s">
        <v>1435</v>
      </c>
      <c r="O102" s="175" t="s">
        <v>566</v>
      </c>
      <c r="P102" s="175" t="s">
        <v>567</v>
      </c>
      <c r="Q102" s="175"/>
      <c r="R102" s="175"/>
      <c r="S102" s="176" t="s">
        <v>1435</v>
      </c>
      <c r="T102" s="176" t="s">
        <v>1435</v>
      </c>
      <c r="U102" s="176" t="s">
        <v>1435</v>
      </c>
      <c r="V102" s="176" t="s">
        <v>1435</v>
      </c>
      <c r="W102" s="175"/>
      <c r="X102" s="177" t="b">
        <v>1</v>
      </c>
      <c r="Y102" s="177" t="b">
        <v>0</v>
      </c>
      <c r="Z102" s="177" t="b">
        <v>0</v>
      </c>
      <c r="AA102" s="175"/>
      <c r="AB102" s="175"/>
      <c r="AC102" s="177" t="b">
        <v>0</v>
      </c>
      <c r="AD102" s="178" t="s">
        <v>1937</v>
      </c>
      <c r="AE102" s="175" t="s">
        <v>561</v>
      </c>
      <c r="AF102" s="178" t="s">
        <v>1937</v>
      </c>
      <c r="AG102" s="175" t="s">
        <v>561</v>
      </c>
      <c r="AH102" s="127" t="s">
        <v>561</v>
      </c>
    </row>
    <row r="103" spans="1:34">
      <c r="A103" s="175" t="s">
        <v>834</v>
      </c>
      <c r="B103" s="175" t="s">
        <v>1544</v>
      </c>
      <c r="C103" s="175"/>
      <c r="D103" s="175"/>
      <c r="E103" s="175"/>
      <c r="F103" s="175"/>
      <c r="G103" s="175"/>
      <c r="H103" s="175"/>
      <c r="I103" s="175" t="s">
        <v>1544</v>
      </c>
      <c r="J103" s="175"/>
      <c r="K103" s="175"/>
      <c r="L103" s="175"/>
      <c r="M103" s="175"/>
      <c r="N103" s="176" t="s">
        <v>1435</v>
      </c>
      <c r="O103" s="175" t="s">
        <v>566</v>
      </c>
      <c r="P103" s="175" t="s">
        <v>567</v>
      </c>
      <c r="Q103" s="175"/>
      <c r="R103" s="175" t="s">
        <v>1517</v>
      </c>
      <c r="S103" s="176" t="s">
        <v>1435</v>
      </c>
      <c r="T103" s="176" t="s">
        <v>1435</v>
      </c>
      <c r="U103" s="176" t="s">
        <v>1435</v>
      </c>
      <c r="V103" s="176" t="s">
        <v>1435</v>
      </c>
      <c r="W103" s="175"/>
      <c r="X103" s="177" t="b">
        <v>1</v>
      </c>
      <c r="Y103" s="177" t="b">
        <v>0</v>
      </c>
      <c r="Z103" s="177" t="b">
        <v>0</v>
      </c>
      <c r="AA103" s="175"/>
      <c r="AB103" s="175"/>
      <c r="AC103" s="177" t="b">
        <v>0</v>
      </c>
      <c r="AD103" s="178" t="s">
        <v>1938</v>
      </c>
      <c r="AE103" s="175" t="s">
        <v>561</v>
      </c>
      <c r="AF103" s="178">
        <v>43560</v>
      </c>
      <c r="AG103" s="175" t="s">
        <v>927</v>
      </c>
      <c r="AH103" s="127" t="s">
        <v>927</v>
      </c>
    </row>
    <row r="104" spans="1:34">
      <c r="A104" s="175" t="s">
        <v>835</v>
      </c>
      <c r="B104" s="175" t="s">
        <v>836</v>
      </c>
      <c r="C104" s="175" t="s">
        <v>837</v>
      </c>
      <c r="D104" s="175" t="s">
        <v>838</v>
      </c>
      <c r="E104" s="175"/>
      <c r="F104" s="175"/>
      <c r="G104" s="175"/>
      <c r="H104" s="175"/>
      <c r="I104" s="175"/>
      <c r="J104" s="175"/>
      <c r="K104" s="175"/>
      <c r="L104" s="175"/>
      <c r="M104" s="175"/>
      <c r="N104" s="176" t="s">
        <v>1435</v>
      </c>
      <c r="O104" s="175"/>
      <c r="P104" s="175"/>
      <c r="Q104" s="175" t="s">
        <v>570</v>
      </c>
      <c r="R104" s="175"/>
      <c r="S104" s="176" t="s">
        <v>1435</v>
      </c>
      <c r="T104" s="176" t="s">
        <v>1435</v>
      </c>
      <c r="U104" s="176" t="s">
        <v>1435</v>
      </c>
      <c r="V104" s="176" t="s">
        <v>1435</v>
      </c>
      <c r="W104" s="175"/>
      <c r="X104" s="177" t="b">
        <v>1</v>
      </c>
      <c r="Y104" s="177" t="b">
        <v>1</v>
      </c>
      <c r="Z104" s="177" t="b">
        <v>0</v>
      </c>
      <c r="AA104" s="175"/>
      <c r="AB104" s="175"/>
      <c r="AC104" s="177" t="b">
        <v>0</v>
      </c>
      <c r="AD104" s="178" t="s">
        <v>1939</v>
      </c>
      <c r="AE104" s="175" t="s">
        <v>561</v>
      </c>
      <c r="AF104" s="178" t="s">
        <v>1939</v>
      </c>
      <c r="AG104" s="175" t="s">
        <v>561</v>
      </c>
      <c r="AH104" s="127" t="s">
        <v>561</v>
      </c>
    </row>
    <row r="105" spans="1:34">
      <c r="A105" s="175" t="s">
        <v>161</v>
      </c>
      <c r="B105" s="175" t="s">
        <v>162</v>
      </c>
      <c r="C105" s="175"/>
      <c r="D105" s="175" t="s">
        <v>839</v>
      </c>
      <c r="E105" s="175" t="s">
        <v>840</v>
      </c>
      <c r="F105" s="175"/>
      <c r="G105" s="175"/>
      <c r="H105" s="175"/>
      <c r="I105" s="175" t="s">
        <v>162</v>
      </c>
      <c r="J105" s="175"/>
      <c r="K105" s="175"/>
      <c r="L105" s="175"/>
      <c r="M105" s="175"/>
      <c r="N105" s="176" t="s">
        <v>1545</v>
      </c>
      <c r="O105" s="175" t="s">
        <v>566</v>
      </c>
      <c r="P105" s="175" t="s">
        <v>567</v>
      </c>
      <c r="Q105" s="175"/>
      <c r="R105" s="175" t="s">
        <v>1521</v>
      </c>
      <c r="S105" s="176" t="s">
        <v>1435</v>
      </c>
      <c r="T105" s="176" t="s">
        <v>1435</v>
      </c>
      <c r="U105" s="176" t="s">
        <v>1435</v>
      </c>
      <c r="V105" s="176" t="s">
        <v>1435</v>
      </c>
      <c r="W105" s="175"/>
      <c r="X105" s="177" t="b">
        <v>1</v>
      </c>
      <c r="Y105" s="177" t="b">
        <v>0</v>
      </c>
      <c r="Z105" s="177" t="b">
        <v>0</v>
      </c>
      <c r="AA105" s="175"/>
      <c r="AB105" s="175"/>
      <c r="AC105" s="177" t="b">
        <v>0</v>
      </c>
      <c r="AD105" s="178">
        <v>1</v>
      </c>
      <c r="AE105" s="175"/>
      <c r="AF105" s="178">
        <v>43651</v>
      </c>
      <c r="AG105" s="175" t="s">
        <v>927</v>
      </c>
      <c r="AH105" s="127" t="s">
        <v>927</v>
      </c>
    </row>
    <row r="106" spans="1:34">
      <c r="A106" s="175" t="s">
        <v>841</v>
      </c>
      <c r="B106" s="175" t="s">
        <v>842</v>
      </c>
      <c r="C106" s="175"/>
      <c r="D106" s="175" t="s">
        <v>630</v>
      </c>
      <c r="E106" s="175" t="s">
        <v>843</v>
      </c>
      <c r="F106" s="175"/>
      <c r="G106" s="175"/>
      <c r="H106" s="175"/>
      <c r="I106" s="175" t="s">
        <v>842</v>
      </c>
      <c r="J106" s="175"/>
      <c r="K106" s="175"/>
      <c r="L106" s="175"/>
      <c r="M106" s="175"/>
      <c r="N106" s="176" t="s">
        <v>1435</v>
      </c>
      <c r="O106" s="175" t="s">
        <v>566</v>
      </c>
      <c r="P106" s="175" t="s">
        <v>567</v>
      </c>
      <c r="Q106" s="175"/>
      <c r="R106" s="175"/>
      <c r="S106" s="176" t="s">
        <v>1435</v>
      </c>
      <c r="T106" s="176" t="s">
        <v>1435</v>
      </c>
      <c r="U106" s="176" t="s">
        <v>1435</v>
      </c>
      <c r="V106" s="176" t="s">
        <v>1435</v>
      </c>
      <c r="W106" s="175"/>
      <c r="X106" s="177" t="b">
        <v>1</v>
      </c>
      <c r="Y106" s="177" t="b">
        <v>0</v>
      </c>
      <c r="Z106" s="177" t="b">
        <v>0</v>
      </c>
      <c r="AA106" s="175"/>
      <c r="AB106" s="175"/>
      <c r="AC106" s="177" t="b">
        <v>0</v>
      </c>
      <c r="AD106" s="178">
        <v>43198</v>
      </c>
      <c r="AE106" s="175" t="s">
        <v>579</v>
      </c>
      <c r="AF106" s="178">
        <v>43321</v>
      </c>
      <c r="AG106" s="175" t="s">
        <v>587</v>
      </c>
      <c r="AH106" s="127" t="s">
        <v>587</v>
      </c>
    </row>
    <row r="107" spans="1:34">
      <c r="A107" s="175" t="s">
        <v>844</v>
      </c>
      <c r="B107" s="175" t="s">
        <v>845</v>
      </c>
      <c r="C107" s="175"/>
      <c r="D107" s="175" t="s">
        <v>846</v>
      </c>
      <c r="E107" s="175"/>
      <c r="F107" s="175"/>
      <c r="G107" s="175"/>
      <c r="H107" s="175"/>
      <c r="I107" s="175"/>
      <c r="J107" s="175"/>
      <c r="K107" s="175"/>
      <c r="L107" s="175"/>
      <c r="M107" s="175"/>
      <c r="N107" s="176" t="s">
        <v>1435</v>
      </c>
      <c r="O107" s="175"/>
      <c r="P107" s="175"/>
      <c r="Q107" s="175"/>
      <c r="R107" s="175"/>
      <c r="S107" s="176" t="s">
        <v>1435</v>
      </c>
      <c r="T107" s="176" t="s">
        <v>1435</v>
      </c>
      <c r="U107" s="176" t="s">
        <v>1435</v>
      </c>
      <c r="V107" s="176" t="s">
        <v>1435</v>
      </c>
      <c r="W107" s="175"/>
      <c r="X107" s="177" t="b">
        <v>1</v>
      </c>
      <c r="Y107" s="177" t="b">
        <v>1</v>
      </c>
      <c r="Z107" s="177" t="b">
        <v>0</v>
      </c>
      <c r="AA107" s="175"/>
      <c r="AB107" s="175"/>
      <c r="AC107" s="177" t="b">
        <v>0</v>
      </c>
      <c r="AD107" s="178" t="s">
        <v>1939</v>
      </c>
      <c r="AE107" s="175" t="s">
        <v>561</v>
      </c>
      <c r="AF107" s="178">
        <v>43742</v>
      </c>
      <c r="AG107" s="175" t="s">
        <v>927</v>
      </c>
      <c r="AH107" s="127" t="s">
        <v>927</v>
      </c>
    </row>
    <row r="108" spans="1:34">
      <c r="A108" s="175" t="s">
        <v>167</v>
      </c>
      <c r="B108" s="175" t="s">
        <v>168</v>
      </c>
      <c r="C108" s="175"/>
      <c r="D108" s="175" t="s">
        <v>847</v>
      </c>
      <c r="E108" s="175" t="s">
        <v>848</v>
      </c>
      <c r="F108" s="175"/>
      <c r="G108" s="175"/>
      <c r="H108" s="175"/>
      <c r="I108" s="175" t="s">
        <v>168</v>
      </c>
      <c r="J108" s="175"/>
      <c r="K108" s="175"/>
      <c r="L108" s="175"/>
      <c r="M108" s="175"/>
      <c r="N108" s="176" t="s">
        <v>1435</v>
      </c>
      <c r="O108" s="175" t="s">
        <v>566</v>
      </c>
      <c r="P108" s="175" t="s">
        <v>567</v>
      </c>
      <c r="Q108" s="175"/>
      <c r="R108" s="175"/>
      <c r="S108" s="176" t="s">
        <v>1435</v>
      </c>
      <c r="T108" s="176" t="s">
        <v>1435</v>
      </c>
      <c r="U108" s="176" t="s">
        <v>1435</v>
      </c>
      <c r="V108" s="176" t="s">
        <v>1435</v>
      </c>
      <c r="W108" s="175"/>
      <c r="X108" s="177" t="b">
        <v>1</v>
      </c>
      <c r="Y108" s="177" t="b">
        <v>0</v>
      </c>
      <c r="Z108" s="177" t="b">
        <v>0</v>
      </c>
      <c r="AA108" s="175"/>
      <c r="AB108" s="175"/>
      <c r="AC108" s="177" t="b">
        <v>0</v>
      </c>
      <c r="AD108" s="178">
        <v>43198</v>
      </c>
      <c r="AE108" s="175" t="s">
        <v>579</v>
      </c>
      <c r="AF108" s="178">
        <v>43415</v>
      </c>
      <c r="AG108" s="175" t="s">
        <v>561</v>
      </c>
      <c r="AH108" s="127" t="s">
        <v>561</v>
      </c>
    </row>
    <row r="109" spans="1:34">
      <c r="A109" s="175" t="s">
        <v>849</v>
      </c>
      <c r="B109" s="175" t="s">
        <v>850</v>
      </c>
      <c r="C109" s="175" t="s">
        <v>851</v>
      </c>
      <c r="D109" s="175" t="s">
        <v>852</v>
      </c>
      <c r="E109" s="175"/>
      <c r="F109" s="175"/>
      <c r="G109" s="175"/>
      <c r="H109" s="175"/>
      <c r="I109" s="175"/>
      <c r="J109" s="175"/>
      <c r="K109" s="175"/>
      <c r="L109" s="175"/>
      <c r="M109" s="175"/>
      <c r="N109" s="176" t="s">
        <v>1435</v>
      </c>
      <c r="O109" s="175"/>
      <c r="P109" s="175"/>
      <c r="Q109" s="175" t="s">
        <v>570</v>
      </c>
      <c r="R109" s="175"/>
      <c r="S109" s="176" t="s">
        <v>1435</v>
      </c>
      <c r="T109" s="176" t="s">
        <v>1435</v>
      </c>
      <c r="U109" s="176" t="s">
        <v>1435</v>
      </c>
      <c r="V109" s="176" t="s">
        <v>1435</v>
      </c>
      <c r="W109" s="175"/>
      <c r="X109" s="177" t="b">
        <v>1</v>
      </c>
      <c r="Y109" s="177" t="b">
        <v>1</v>
      </c>
      <c r="Z109" s="177" t="b">
        <v>0</v>
      </c>
      <c r="AA109" s="175"/>
      <c r="AB109" s="175"/>
      <c r="AC109" s="177" t="b">
        <v>0</v>
      </c>
      <c r="AD109" s="178">
        <v>43385</v>
      </c>
      <c r="AE109" s="175" t="s">
        <v>561</v>
      </c>
      <c r="AF109" s="178">
        <v>43385</v>
      </c>
      <c r="AG109" s="175" t="s">
        <v>561</v>
      </c>
      <c r="AH109" s="127" t="s">
        <v>561</v>
      </c>
    </row>
    <row r="110" spans="1:34">
      <c r="A110" s="175" t="s">
        <v>387</v>
      </c>
      <c r="B110" s="175" t="s">
        <v>388</v>
      </c>
      <c r="C110" s="175"/>
      <c r="D110" s="175" t="s">
        <v>853</v>
      </c>
      <c r="E110" s="175" t="s">
        <v>854</v>
      </c>
      <c r="F110" s="175"/>
      <c r="G110" s="175"/>
      <c r="H110" s="175"/>
      <c r="I110" s="175" t="s">
        <v>388</v>
      </c>
      <c r="J110" s="175"/>
      <c r="K110" s="175"/>
      <c r="L110" s="175"/>
      <c r="M110" s="175"/>
      <c r="N110" s="176" t="s">
        <v>1435</v>
      </c>
      <c r="O110" s="175" t="s">
        <v>566</v>
      </c>
      <c r="P110" s="175" t="s">
        <v>567</v>
      </c>
      <c r="Q110" s="175"/>
      <c r="R110" s="175"/>
      <c r="S110" s="176" t="s">
        <v>1435</v>
      </c>
      <c r="T110" s="176" t="s">
        <v>1435</v>
      </c>
      <c r="U110" s="176" t="s">
        <v>1435</v>
      </c>
      <c r="V110" s="176" t="s">
        <v>1435</v>
      </c>
      <c r="W110" s="175"/>
      <c r="X110" s="177" t="b">
        <v>1</v>
      </c>
      <c r="Y110" s="177" t="b">
        <v>0</v>
      </c>
      <c r="Z110" s="177" t="b">
        <v>0</v>
      </c>
      <c r="AA110" s="175"/>
      <c r="AB110" s="175"/>
      <c r="AC110" s="177" t="b">
        <v>0</v>
      </c>
      <c r="AD110" s="178">
        <v>1</v>
      </c>
      <c r="AE110" s="175"/>
      <c r="AF110" s="178" t="s">
        <v>1921</v>
      </c>
      <c r="AG110" s="175" t="s">
        <v>587</v>
      </c>
      <c r="AH110" s="127" t="s">
        <v>587</v>
      </c>
    </row>
    <row r="111" spans="1:34">
      <c r="A111" s="175" t="s">
        <v>855</v>
      </c>
      <c r="B111" s="175" t="s">
        <v>856</v>
      </c>
      <c r="C111" s="175"/>
      <c r="D111" s="175" t="s">
        <v>857</v>
      </c>
      <c r="E111" s="175" t="s">
        <v>858</v>
      </c>
      <c r="F111" s="175"/>
      <c r="G111" s="175"/>
      <c r="H111" s="175"/>
      <c r="I111" s="175" t="s">
        <v>856</v>
      </c>
      <c r="J111" s="175"/>
      <c r="K111" s="175"/>
      <c r="L111" s="175"/>
      <c r="M111" s="175"/>
      <c r="N111" s="176" t="s">
        <v>1435</v>
      </c>
      <c r="O111" s="175" t="s">
        <v>566</v>
      </c>
      <c r="P111" s="175" t="s">
        <v>567</v>
      </c>
      <c r="Q111" s="175"/>
      <c r="R111" s="175"/>
      <c r="S111" s="176" t="s">
        <v>1435</v>
      </c>
      <c r="T111" s="176" t="s">
        <v>1435</v>
      </c>
      <c r="U111" s="176" t="s">
        <v>1435</v>
      </c>
      <c r="V111" s="176" t="s">
        <v>1435</v>
      </c>
      <c r="W111" s="175"/>
      <c r="X111" s="177" t="b">
        <v>1</v>
      </c>
      <c r="Y111" s="177" t="b">
        <v>0</v>
      </c>
      <c r="Z111" s="177" t="b">
        <v>0</v>
      </c>
      <c r="AA111" s="175"/>
      <c r="AB111" s="175"/>
      <c r="AC111" s="177" t="b">
        <v>0</v>
      </c>
      <c r="AD111" s="178">
        <v>43110</v>
      </c>
      <c r="AE111" s="175" t="s">
        <v>568</v>
      </c>
      <c r="AF111" s="178">
        <v>43110</v>
      </c>
      <c r="AG111" s="175" t="s">
        <v>568</v>
      </c>
      <c r="AH111" s="127" t="s">
        <v>568</v>
      </c>
    </row>
    <row r="112" spans="1:34">
      <c r="A112" s="175" t="s">
        <v>859</v>
      </c>
      <c r="B112" s="175" t="s">
        <v>860</v>
      </c>
      <c r="C112" s="175"/>
      <c r="D112" s="175" t="s">
        <v>861</v>
      </c>
      <c r="E112" s="175"/>
      <c r="F112" s="175"/>
      <c r="G112" s="175"/>
      <c r="H112" s="175"/>
      <c r="I112" s="175" t="s">
        <v>860</v>
      </c>
      <c r="J112" s="175"/>
      <c r="K112" s="175"/>
      <c r="L112" s="175"/>
      <c r="M112" s="175"/>
      <c r="N112" s="176" t="s">
        <v>1435</v>
      </c>
      <c r="O112" s="175" t="s">
        <v>566</v>
      </c>
      <c r="P112" s="175" t="s">
        <v>567</v>
      </c>
      <c r="Q112" s="175"/>
      <c r="R112" s="175"/>
      <c r="S112" s="176" t="s">
        <v>1435</v>
      </c>
      <c r="T112" s="176" t="s">
        <v>1435</v>
      </c>
      <c r="U112" s="176" t="s">
        <v>1435</v>
      </c>
      <c r="V112" s="176" t="s">
        <v>1435</v>
      </c>
      <c r="W112" s="175"/>
      <c r="X112" s="177" t="b">
        <v>1</v>
      </c>
      <c r="Y112" s="177" t="b">
        <v>0</v>
      </c>
      <c r="Z112" s="177" t="b">
        <v>0</v>
      </c>
      <c r="AA112" s="175"/>
      <c r="AB112" s="175"/>
      <c r="AC112" s="177" t="b">
        <v>0</v>
      </c>
      <c r="AD112" s="178">
        <v>1</v>
      </c>
      <c r="AE112" s="175"/>
      <c r="AF112" s="178" t="s">
        <v>1923</v>
      </c>
      <c r="AG112" s="175" t="s">
        <v>579</v>
      </c>
      <c r="AH112" s="127" t="s">
        <v>579</v>
      </c>
    </row>
    <row r="113" spans="1:34">
      <c r="A113" s="175" t="s">
        <v>169</v>
      </c>
      <c r="B113" s="175" t="s">
        <v>170</v>
      </c>
      <c r="C113" s="175"/>
      <c r="D113" s="175" t="s">
        <v>862</v>
      </c>
      <c r="E113" s="175" t="s">
        <v>863</v>
      </c>
      <c r="F113" s="175"/>
      <c r="G113" s="175"/>
      <c r="H113" s="175"/>
      <c r="I113" s="175" t="s">
        <v>170</v>
      </c>
      <c r="J113" s="175"/>
      <c r="K113" s="175"/>
      <c r="L113" s="175"/>
      <c r="M113" s="175"/>
      <c r="N113" s="176" t="s">
        <v>1435</v>
      </c>
      <c r="O113" s="175" t="s">
        <v>566</v>
      </c>
      <c r="P113" s="175" t="s">
        <v>567</v>
      </c>
      <c r="Q113" s="175"/>
      <c r="R113" s="175" t="s">
        <v>1512</v>
      </c>
      <c r="S113" s="176" t="s">
        <v>1435</v>
      </c>
      <c r="T113" s="176" t="s">
        <v>1435</v>
      </c>
      <c r="U113" s="176" t="s">
        <v>1435</v>
      </c>
      <c r="V113" s="176" t="s">
        <v>1435</v>
      </c>
      <c r="W113" s="175"/>
      <c r="X113" s="177" t="b">
        <v>1</v>
      </c>
      <c r="Y113" s="177" t="b">
        <v>0</v>
      </c>
      <c r="Z113" s="177" t="b">
        <v>0</v>
      </c>
      <c r="AA113" s="175"/>
      <c r="AB113" s="175"/>
      <c r="AC113" s="177" t="b">
        <v>0</v>
      </c>
      <c r="AD113" s="178" t="s">
        <v>1940</v>
      </c>
      <c r="AE113" s="175" t="s">
        <v>717</v>
      </c>
      <c r="AF113" s="178">
        <v>43560</v>
      </c>
      <c r="AG113" s="175" t="s">
        <v>927</v>
      </c>
      <c r="AH113" s="127" t="s">
        <v>927</v>
      </c>
    </row>
    <row r="114" spans="1:34">
      <c r="A114" s="175" t="s">
        <v>864</v>
      </c>
      <c r="B114" s="175" t="s">
        <v>865</v>
      </c>
      <c r="C114" s="175"/>
      <c r="D114" s="175"/>
      <c r="E114" s="175" t="s">
        <v>866</v>
      </c>
      <c r="F114" s="175"/>
      <c r="G114" s="175"/>
      <c r="H114" s="175"/>
      <c r="I114" s="175" t="s">
        <v>865</v>
      </c>
      <c r="J114" s="175"/>
      <c r="K114" s="175"/>
      <c r="L114" s="175"/>
      <c r="M114" s="175"/>
      <c r="N114" s="176" t="s">
        <v>1435</v>
      </c>
      <c r="O114" s="175" t="s">
        <v>566</v>
      </c>
      <c r="P114" s="175" t="s">
        <v>567</v>
      </c>
      <c r="Q114" s="175"/>
      <c r="R114" s="175" t="s">
        <v>1512</v>
      </c>
      <c r="S114" s="176" t="s">
        <v>1435</v>
      </c>
      <c r="T114" s="176" t="s">
        <v>1435</v>
      </c>
      <c r="U114" s="176" t="s">
        <v>1435</v>
      </c>
      <c r="V114" s="176" t="s">
        <v>1435</v>
      </c>
      <c r="W114" s="175"/>
      <c r="X114" s="177" t="b">
        <v>1</v>
      </c>
      <c r="Y114" s="177" t="b">
        <v>0</v>
      </c>
      <c r="Z114" s="177" t="b">
        <v>0</v>
      </c>
      <c r="AA114" s="175"/>
      <c r="AB114" s="175"/>
      <c r="AC114" s="177" t="b">
        <v>0</v>
      </c>
      <c r="AD114" s="178">
        <v>43649</v>
      </c>
      <c r="AE114" s="175" t="s">
        <v>717</v>
      </c>
      <c r="AF114" s="178">
        <v>43560</v>
      </c>
      <c r="AG114" s="175" t="s">
        <v>927</v>
      </c>
      <c r="AH114" s="127" t="s">
        <v>927</v>
      </c>
    </row>
    <row r="115" spans="1:34">
      <c r="A115" s="175" t="s">
        <v>1432</v>
      </c>
      <c r="B115" s="175" t="s">
        <v>1431</v>
      </c>
      <c r="C115" s="175"/>
      <c r="D115" s="175" t="s">
        <v>606</v>
      </c>
      <c r="E115" s="175" t="s">
        <v>1441</v>
      </c>
      <c r="F115" s="175"/>
      <c r="G115" s="175"/>
      <c r="H115" s="175"/>
      <c r="I115" s="175" t="s">
        <v>1431</v>
      </c>
      <c r="J115" s="175"/>
      <c r="K115" s="175"/>
      <c r="L115" s="175"/>
      <c r="M115" s="175"/>
      <c r="N115" s="176" t="s">
        <v>1435</v>
      </c>
      <c r="O115" s="175" t="s">
        <v>566</v>
      </c>
      <c r="P115" s="175" t="s">
        <v>567</v>
      </c>
      <c r="Q115" s="175"/>
      <c r="R115" s="175"/>
      <c r="S115" s="176" t="s">
        <v>1435</v>
      </c>
      <c r="T115" s="176" t="s">
        <v>1435</v>
      </c>
      <c r="U115" s="176" t="s">
        <v>1435</v>
      </c>
      <c r="V115" s="176" t="s">
        <v>1435</v>
      </c>
      <c r="W115" s="175"/>
      <c r="X115" s="177" t="b">
        <v>1</v>
      </c>
      <c r="Y115" s="177" t="b">
        <v>1</v>
      </c>
      <c r="Z115" s="177" t="b">
        <v>0</v>
      </c>
      <c r="AA115" s="175"/>
      <c r="AB115" s="175"/>
      <c r="AC115" s="177" t="b">
        <v>0</v>
      </c>
      <c r="AD115" s="178" t="s">
        <v>1941</v>
      </c>
      <c r="AE115" s="175" t="s">
        <v>561</v>
      </c>
      <c r="AF115" s="178" t="s">
        <v>1941</v>
      </c>
      <c r="AG115" s="175" t="s">
        <v>561</v>
      </c>
      <c r="AH115" s="127" t="s">
        <v>561</v>
      </c>
    </row>
    <row r="116" spans="1:34">
      <c r="A116" s="175" t="s">
        <v>1617</v>
      </c>
      <c r="B116" s="175" t="s">
        <v>1831</v>
      </c>
      <c r="C116" s="175"/>
      <c r="D116" s="175" t="s">
        <v>1832</v>
      </c>
      <c r="E116" s="175" t="s">
        <v>1833</v>
      </c>
      <c r="F116" s="175"/>
      <c r="G116" s="175"/>
      <c r="H116" s="175"/>
      <c r="I116" s="175" t="s">
        <v>1831</v>
      </c>
      <c r="J116" s="175"/>
      <c r="K116" s="175"/>
      <c r="L116" s="175"/>
      <c r="M116" s="175"/>
      <c r="N116" s="176" t="s">
        <v>1435</v>
      </c>
      <c r="O116" s="175" t="s">
        <v>566</v>
      </c>
      <c r="P116" s="175" t="s">
        <v>567</v>
      </c>
      <c r="Q116" s="175"/>
      <c r="R116" s="175"/>
      <c r="S116" s="176" t="s">
        <v>1435</v>
      </c>
      <c r="T116" s="176" t="s">
        <v>1435</v>
      </c>
      <c r="U116" s="176" t="s">
        <v>1435</v>
      </c>
      <c r="V116" s="176" t="s">
        <v>1435</v>
      </c>
      <c r="W116" s="175"/>
      <c r="X116" s="177" t="b">
        <v>1</v>
      </c>
      <c r="Y116" s="177" t="b">
        <v>1</v>
      </c>
      <c r="Z116" s="177" t="b">
        <v>0</v>
      </c>
      <c r="AA116" s="175"/>
      <c r="AB116" s="175"/>
      <c r="AC116" s="177" t="b">
        <v>0</v>
      </c>
      <c r="AD116" s="178" t="s">
        <v>1942</v>
      </c>
      <c r="AE116" s="175" t="s">
        <v>927</v>
      </c>
      <c r="AF116" s="178" t="s">
        <v>1942</v>
      </c>
      <c r="AG116" s="175" t="s">
        <v>927</v>
      </c>
      <c r="AH116" s="127" t="s">
        <v>927</v>
      </c>
    </row>
    <row r="117" spans="1:34">
      <c r="A117" s="175" t="s">
        <v>867</v>
      </c>
      <c r="B117" s="175" t="s">
        <v>1546</v>
      </c>
      <c r="C117" s="175"/>
      <c r="D117" s="175" t="s">
        <v>868</v>
      </c>
      <c r="E117" s="175" t="s">
        <v>869</v>
      </c>
      <c r="F117" s="175"/>
      <c r="G117" s="175"/>
      <c r="H117" s="175"/>
      <c r="I117" s="175" t="s">
        <v>1546</v>
      </c>
      <c r="J117" s="175"/>
      <c r="K117" s="175"/>
      <c r="L117" s="175"/>
      <c r="M117" s="175"/>
      <c r="N117" s="176" t="s">
        <v>1435</v>
      </c>
      <c r="O117" s="175" t="s">
        <v>566</v>
      </c>
      <c r="P117" s="175" t="s">
        <v>567</v>
      </c>
      <c r="Q117" s="175"/>
      <c r="R117" s="175" t="s">
        <v>1512</v>
      </c>
      <c r="S117" s="176" t="s">
        <v>1435</v>
      </c>
      <c r="T117" s="176" t="s">
        <v>1435</v>
      </c>
      <c r="U117" s="176" t="s">
        <v>1435</v>
      </c>
      <c r="V117" s="176" t="s">
        <v>1435</v>
      </c>
      <c r="W117" s="175"/>
      <c r="X117" s="177" t="b">
        <v>1</v>
      </c>
      <c r="Y117" s="177" t="b">
        <v>0</v>
      </c>
      <c r="Z117" s="177" t="b">
        <v>0</v>
      </c>
      <c r="AA117" s="175"/>
      <c r="AB117" s="175"/>
      <c r="AC117" s="177" t="b">
        <v>0</v>
      </c>
      <c r="AD117" s="178" t="s">
        <v>1916</v>
      </c>
      <c r="AE117" s="175" t="s">
        <v>587</v>
      </c>
      <c r="AF117" s="178">
        <v>43560</v>
      </c>
      <c r="AG117" s="175" t="s">
        <v>927</v>
      </c>
      <c r="AH117" s="127" t="s">
        <v>927</v>
      </c>
    </row>
    <row r="118" spans="1:34">
      <c r="A118" s="175" t="s">
        <v>172</v>
      </c>
      <c r="B118" s="175" t="s">
        <v>173</v>
      </c>
      <c r="C118" s="175"/>
      <c r="D118" s="175" t="s">
        <v>718</v>
      </c>
      <c r="E118" s="175" t="s">
        <v>871</v>
      </c>
      <c r="F118" s="175"/>
      <c r="G118" s="175"/>
      <c r="H118" s="175"/>
      <c r="I118" s="175" t="s">
        <v>173</v>
      </c>
      <c r="J118" s="175"/>
      <c r="K118" s="175"/>
      <c r="L118" s="175"/>
      <c r="M118" s="175"/>
      <c r="N118" s="176" t="s">
        <v>1435</v>
      </c>
      <c r="O118" s="175" t="s">
        <v>566</v>
      </c>
      <c r="P118" s="175" t="s">
        <v>567</v>
      </c>
      <c r="Q118" s="175"/>
      <c r="R118" s="175"/>
      <c r="S118" s="176" t="s">
        <v>1435</v>
      </c>
      <c r="T118" s="176" t="s">
        <v>1435</v>
      </c>
      <c r="U118" s="176" t="s">
        <v>1435</v>
      </c>
      <c r="V118" s="176" t="s">
        <v>1435</v>
      </c>
      <c r="W118" s="175"/>
      <c r="X118" s="177" t="b">
        <v>1</v>
      </c>
      <c r="Y118" s="177" t="b">
        <v>0</v>
      </c>
      <c r="Z118" s="177" t="b">
        <v>0</v>
      </c>
      <c r="AA118" s="175"/>
      <c r="AB118" s="175"/>
      <c r="AC118" s="177" t="b">
        <v>0</v>
      </c>
      <c r="AD118" s="178" t="s">
        <v>1921</v>
      </c>
      <c r="AE118" s="175" t="s">
        <v>587</v>
      </c>
      <c r="AF118" s="178" t="s">
        <v>1921</v>
      </c>
      <c r="AG118" s="175" t="s">
        <v>587</v>
      </c>
      <c r="AH118" s="127" t="s">
        <v>587</v>
      </c>
    </row>
    <row r="119" spans="1:34">
      <c r="A119" s="175" t="s">
        <v>872</v>
      </c>
      <c r="B119" s="175" t="s">
        <v>873</v>
      </c>
      <c r="C119" s="175"/>
      <c r="D119" s="175" t="s">
        <v>874</v>
      </c>
      <c r="E119" s="175" t="s">
        <v>875</v>
      </c>
      <c r="F119" s="175"/>
      <c r="G119" s="175"/>
      <c r="H119" s="175"/>
      <c r="I119" s="175" t="s">
        <v>876</v>
      </c>
      <c r="J119" s="175"/>
      <c r="K119" s="175"/>
      <c r="L119" s="175"/>
      <c r="M119" s="175"/>
      <c r="N119" s="176" t="s">
        <v>1435</v>
      </c>
      <c r="O119" s="175" t="s">
        <v>566</v>
      </c>
      <c r="P119" s="175" t="s">
        <v>567</v>
      </c>
      <c r="Q119" s="175"/>
      <c r="R119" s="175"/>
      <c r="S119" s="176" t="s">
        <v>1435</v>
      </c>
      <c r="T119" s="176" t="s">
        <v>1435</v>
      </c>
      <c r="U119" s="176" t="s">
        <v>1435</v>
      </c>
      <c r="V119" s="176" t="s">
        <v>1435</v>
      </c>
      <c r="W119" s="175"/>
      <c r="X119" s="177" t="b">
        <v>1</v>
      </c>
      <c r="Y119" s="177" t="b">
        <v>0</v>
      </c>
      <c r="Z119" s="177" t="b">
        <v>0</v>
      </c>
      <c r="AA119" s="175"/>
      <c r="AB119" s="175"/>
      <c r="AC119" s="177" t="b">
        <v>0</v>
      </c>
      <c r="AD119" s="178">
        <v>1</v>
      </c>
      <c r="AE119" s="175"/>
      <c r="AF119" s="178" t="s">
        <v>1914</v>
      </c>
      <c r="AG119" s="175" t="s">
        <v>568</v>
      </c>
      <c r="AH119" s="127" t="s">
        <v>568</v>
      </c>
    </row>
    <row r="120" spans="1:34">
      <c r="A120" s="175" t="s">
        <v>877</v>
      </c>
      <c r="B120" s="175" t="s">
        <v>878</v>
      </c>
      <c r="C120" s="175"/>
      <c r="D120" s="175" t="s">
        <v>606</v>
      </c>
      <c r="E120" s="175" t="s">
        <v>879</v>
      </c>
      <c r="F120" s="175"/>
      <c r="G120" s="175"/>
      <c r="H120" s="175"/>
      <c r="I120" s="175" t="s">
        <v>878</v>
      </c>
      <c r="J120" s="175"/>
      <c r="K120" s="175"/>
      <c r="L120" s="175"/>
      <c r="M120" s="175"/>
      <c r="N120" s="176" t="s">
        <v>1435</v>
      </c>
      <c r="O120" s="175" t="s">
        <v>566</v>
      </c>
      <c r="P120" s="175" t="s">
        <v>567</v>
      </c>
      <c r="Q120" s="175"/>
      <c r="R120" s="175"/>
      <c r="S120" s="176" t="s">
        <v>1435</v>
      </c>
      <c r="T120" s="176" t="s">
        <v>1435</v>
      </c>
      <c r="U120" s="176" t="s">
        <v>1435</v>
      </c>
      <c r="V120" s="176" t="s">
        <v>1435</v>
      </c>
      <c r="W120" s="175"/>
      <c r="X120" s="177" t="b">
        <v>1</v>
      </c>
      <c r="Y120" s="177" t="b">
        <v>1</v>
      </c>
      <c r="Z120" s="177" t="b">
        <v>0</v>
      </c>
      <c r="AA120" s="175"/>
      <c r="AB120" s="175"/>
      <c r="AC120" s="177" t="b">
        <v>0</v>
      </c>
      <c r="AD120" s="178" t="s">
        <v>1894</v>
      </c>
      <c r="AE120" s="175" t="s">
        <v>568</v>
      </c>
      <c r="AF120" s="178" t="s">
        <v>1894</v>
      </c>
      <c r="AG120" s="175" t="s">
        <v>568</v>
      </c>
      <c r="AH120" s="127" t="s">
        <v>568</v>
      </c>
    </row>
    <row r="121" spans="1:34" ht="30">
      <c r="A121" s="175" t="s">
        <v>880</v>
      </c>
      <c r="B121" s="175" t="s">
        <v>881</v>
      </c>
      <c r="C121" s="175"/>
      <c r="D121" s="175"/>
      <c r="E121" s="175"/>
      <c r="F121" s="175"/>
      <c r="G121" s="175"/>
      <c r="H121" s="175"/>
      <c r="I121" s="175"/>
      <c r="J121" s="175"/>
      <c r="K121" s="175"/>
      <c r="L121" s="175"/>
      <c r="M121" s="175"/>
      <c r="N121" s="176" t="s">
        <v>1435</v>
      </c>
      <c r="O121" s="175"/>
      <c r="P121" s="175"/>
      <c r="Q121" s="175" t="s">
        <v>570</v>
      </c>
      <c r="R121" s="175"/>
      <c r="S121" s="176" t="s">
        <v>1435</v>
      </c>
      <c r="T121" s="176" t="s">
        <v>1435</v>
      </c>
      <c r="U121" s="176" t="s">
        <v>1435</v>
      </c>
      <c r="V121" s="176" t="s">
        <v>1435</v>
      </c>
      <c r="W121" s="175"/>
      <c r="X121" s="177" t="b">
        <v>1</v>
      </c>
      <c r="Y121" s="177" t="b">
        <v>1</v>
      </c>
      <c r="Z121" s="177" t="b">
        <v>0</v>
      </c>
      <c r="AA121" s="175"/>
      <c r="AB121" s="175"/>
      <c r="AC121" s="177" t="b">
        <v>0</v>
      </c>
      <c r="AD121" s="178">
        <v>1</v>
      </c>
      <c r="AE121" s="175"/>
      <c r="AF121" s="178" t="s">
        <v>1893</v>
      </c>
      <c r="AG121" s="175" t="s">
        <v>572</v>
      </c>
      <c r="AH121" s="127" t="s">
        <v>572</v>
      </c>
    </row>
    <row r="122" spans="1:34">
      <c r="A122" s="175" t="s">
        <v>882</v>
      </c>
      <c r="B122" s="175" t="s">
        <v>883</v>
      </c>
      <c r="C122" s="175"/>
      <c r="D122" s="175"/>
      <c r="E122" s="175"/>
      <c r="F122" s="175"/>
      <c r="G122" s="175"/>
      <c r="H122" s="175"/>
      <c r="I122" s="175" t="s">
        <v>883</v>
      </c>
      <c r="J122" s="175"/>
      <c r="K122" s="175"/>
      <c r="L122" s="175"/>
      <c r="M122" s="175"/>
      <c r="N122" s="176" t="s">
        <v>1435</v>
      </c>
      <c r="O122" s="175" t="s">
        <v>566</v>
      </c>
      <c r="P122" s="175" t="s">
        <v>567</v>
      </c>
      <c r="Q122" s="175"/>
      <c r="R122" s="175" t="s">
        <v>1517</v>
      </c>
      <c r="S122" s="176" t="s">
        <v>1435</v>
      </c>
      <c r="T122" s="176" t="s">
        <v>1435</v>
      </c>
      <c r="U122" s="176" t="s">
        <v>1435</v>
      </c>
      <c r="V122" s="176" t="s">
        <v>1435</v>
      </c>
      <c r="W122" s="175"/>
      <c r="X122" s="177" t="b">
        <v>1</v>
      </c>
      <c r="Y122" s="177" t="b">
        <v>0</v>
      </c>
      <c r="Z122" s="177" t="b">
        <v>0</v>
      </c>
      <c r="AA122" s="175"/>
      <c r="AB122" s="175"/>
      <c r="AC122" s="177" t="b">
        <v>0</v>
      </c>
      <c r="AD122" s="178">
        <v>43413</v>
      </c>
      <c r="AE122" s="175" t="s">
        <v>587</v>
      </c>
      <c r="AF122" s="178">
        <v>43560</v>
      </c>
      <c r="AG122" s="175" t="s">
        <v>927</v>
      </c>
      <c r="AH122" s="127" t="s">
        <v>927</v>
      </c>
    </row>
    <row r="123" spans="1:34">
      <c r="A123" s="175" t="s">
        <v>1807</v>
      </c>
      <c r="B123" s="175" t="s">
        <v>1943</v>
      </c>
      <c r="C123" s="175"/>
      <c r="D123" s="175" t="s">
        <v>1834</v>
      </c>
      <c r="E123" s="175" t="s">
        <v>1835</v>
      </c>
      <c r="F123" s="175"/>
      <c r="G123" s="175"/>
      <c r="H123" s="175"/>
      <c r="I123" s="175" t="s">
        <v>1943</v>
      </c>
      <c r="J123" s="175"/>
      <c r="K123" s="175"/>
      <c r="L123" s="175"/>
      <c r="M123" s="175"/>
      <c r="N123" s="176" t="s">
        <v>1435</v>
      </c>
      <c r="O123" s="175" t="s">
        <v>566</v>
      </c>
      <c r="P123" s="175" t="s">
        <v>567</v>
      </c>
      <c r="Q123" s="175"/>
      <c r="R123" s="175" t="s">
        <v>1517</v>
      </c>
      <c r="S123" s="176" t="s">
        <v>1435</v>
      </c>
      <c r="T123" s="176" t="s">
        <v>1435</v>
      </c>
      <c r="U123" s="176" t="s">
        <v>1435</v>
      </c>
      <c r="V123" s="176" t="s">
        <v>1435</v>
      </c>
      <c r="W123" s="175"/>
      <c r="X123" s="177" t="b">
        <v>1</v>
      </c>
      <c r="Y123" s="177" t="b">
        <v>0</v>
      </c>
      <c r="Z123" s="177" t="b">
        <v>0</v>
      </c>
      <c r="AA123" s="175"/>
      <c r="AB123" s="175"/>
      <c r="AC123" s="177" t="b">
        <v>0</v>
      </c>
      <c r="AD123" s="178" t="s">
        <v>1944</v>
      </c>
      <c r="AE123" s="175" t="s">
        <v>927</v>
      </c>
      <c r="AF123" s="178" t="s">
        <v>1929</v>
      </c>
      <c r="AG123" s="175" t="s">
        <v>561</v>
      </c>
      <c r="AH123" s="127" t="s">
        <v>561</v>
      </c>
    </row>
    <row r="124" spans="1:34">
      <c r="A124" s="175" t="s">
        <v>176</v>
      </c>
      <c r="B124" s="175" t="s">
        <v>177</v>
      </c>
      <c r="C124" s="175"/>
      <c r="D124" s="175" t="s">
        <v>884</v>
      </c>
      <c r="E124" s="175" t="s">
        <v>885</v>
      </c>
      <c r="F124" s="175"/>
      <c r="G124" s="175"/>
      <c r="H124" s="175"/>
      <c r="I124" s="175" t="s">
        <v>177</v>
      </c>
      <c r="J124" s="175"/>
      <c r="K124" s="175"/>
      <c r="L124" s="175"/>
      <c r="M124" s="175"/>
      <c r="N124" s="176" t="s">
        <v>1435</v>
      </c>
      <c r="O124" s="175" t="s">
        <v>566</v>
      </c>
      <c r="P124" s="175" t="s">
        <v>567</v>
      </c>
      <c r="Q124" s="175"/>
      <c r="R124" s="175"/>
      <c r="S124" s="176" t="s">
        <v>1435</v>
      </c>
      <c r="T124" s="176" t="s">
        <v>1435</v>
      </c>
      <c r="U124" s="176" t="s">
        <v>1435</v>
      </c>
      <c r="V124" s="176" t="s">
        <v>1435</v>
      </c>
      <c r="W124" s="175"/>
      <c r="X124" s="177" t="b">
        <v>1</v>
      </c>
      <c r="Y124" s="177" t="b">
        <v>0</v>
      </c>
      <c r="Z124" s="177" t="b">
        <v>0</v>
      </c>
      <c r="AA124" s="175"/>
      <c r="AB124" s="175"/>
      <c r="AC124" s="177" t="b">
        <v>0</v>
      </c>
      <c r="AD124" s="178">
        <v>43710</v>
      </c>
      <c r="AE124" s="175" t="s">
        <v>568</v>
      </c>
      <c r="AF124" s="178">
        <v>43710</v>
      </c>
      <c r="AG124" s="175" t="s">
        <v>568</v>
      </c>
      <c r="AH124" s="127" t="s">
        <v>568</v>
      </c>
    </row>
    <row r="125" spans="1:34">
      <c r="A125" s="175" t="s">
        <v>886</v>
      </c>
      <c r="B125" s="175" t="s">
        <v>1547</v>
      </c>
      <c r="C125" s="175"/>
      <c r="D125" s="175" t="s">
        <v>888</v>
      </c>
      <c r="E125" s="175" t="s">
        <v>889</v>
      </c>
      <c r="F125" s="175"/>
      <c r="G125" s="175"/>
      <c r="H125" s="175"/>
      <c r="I125" s="175" t="s">
        <v>887</v>
      </c>
      <c r="J125" s="175"/>
      <c r="K125" s="175"/>
      <c r="L125" s="175"/>
      <c r="M125" s="175"/>
      <c r="N125" s="176" t="s">
        <v>1435</v>
      </c>
      <c r="O125" s="175" t="s">
        <v>566</v>
      </c>
      <c r="P125" s="175" t="s">
        <v>567</v>
      </c>
      <c r="Q125" s="175"/>
      <c r="R125" s="175" t="s">
        <v>1512</v>
      </c>
      <c r="S125" s="176" t="s">
        <v>1435</v>
      </c>
      <c r="T125" s="176" t="s">
        <v>1435</v>
      </c>
      <c r="U125" s="176" t="s">
        <v>1435</v>
      </c>
      <c r="V125" s="176" t="s">
        <v>1435</v>
      </c>
      <c r="W125" s="175"/>
      <c r="X125" s="177" t="b">
        <v>1</v>
      </c>
      <c r="Y125" s="177" t="b">
        <v>0</v>
      </c>
      <c r="Z125" s="177" t="b">
        <v>0</v>
      </c>
      <c r="AA125" s="175"/>
      <c r="AB125" s="175"/>
      <c r="AC125" s="177" t="b">
        <v>0</v>
      </c>
      <c r="AD125" s="178">
        <v>43111</v>
      </c>
      <c r="AE125" s="175" t="s">
        <v>561</v>
      </c>
      <c r="AF125" s="178">
        <v>43560</v>
      </c>
      <c r="AG125" s="175" t="s">
        <v>927</v>
      </c>
      <c r="AH125" s="127" t="s">
        <v>927</v>
      </c>
    </row>
    <row r="126" spans="1:34">
      <c r="A126" s="175" t="s">
        <v>890</v>
      </c>
      <c r="B126" s="175" t="s">
        <v>891</v>
      </c>
      <c r="C126" s="175"/>
      <c r="D126" s="175" t="s">
        <v>892</v>
      </c>
      <c r="E126" s="175" t="s">
        <v>893</v>
      </c>
      <c r="F126" s="175"/>
      <c r="G126" s="175"/>
      <c r="H126" s="175"/>
      <c r="I126" s="175" t="s">
        <v>891</v>
      </c>
      <c r="J126" s="175"/>
      <c r="K126" s="175"/>
      <c r="L126" s="175"/>
      <c r="M126" s="175"/>
      <c r="N126" s="176" t="s">
        <v>1435</v>
      </c>
      <c r="O126" s="175" t="s">
        <v>566</v>
      </c>
      <c r="P126" s="175" t="s">
        <v>567</v>
      </c>
      <c r="Q126" s="175"/>
      <c r="R126" s="175"/>
      <c r="S126" s="176" t="s">
        <v>1435</v>
      </c>
      <c r="T126" s="176" t="s">
        <v>1435</v>
      </c>
      <c r="U126" s="176" t="s">
        <v>1435</v>
      </c>
      <c r="V126" s="176" t="s">
        <v>1435</v>
      </c>
      <c r="W126" s="175"/>
      <c r="X126" s="177" t="b">
        <v>1</v>
      </c>
      <c r="Y126" s="177" t="b">
        <v>0</v>
      </c>
      <c r="Z126" s="177" t="b">
        <v>0</v>
      </c>
      <c r="AA126" s="175"/>
      <c r="AB126" s="175"/>
      <c r="AC126" s="177" t="b">
        <v>0</v>
      </c>
      <c r="AD126" s="178">
        <v>1</v>
      </c>
      <c r="AE126" s="175"/>
      <c r="AF126" s="178" t="s">
        <v>1923</v>
      </c>
      <c r="AG126" s="175" t="s">
        <v>579</v>
      </c>
      <c r="AH126" s="127" t="s">
        <v>579</v>
      </c>
    </row>
    <row r="127" spans="1:34">
      <c r="A127" s="175" t="s">
        <v>461</v>
      </c>
      <c r="B127" s="175" t="s">
        <v>462</v>
      </c>
      <c r="C127" s="175"/>
      <c r="D127" s="175" t="s">
        <v>585</v>
      </c>
      <c r="E127" s="175" t="s">
        <v>894</v>
      </c>
      <c r="F127" s="175"/>
      <c r="G127" s="175"/>
      <c r="H127" s="175"/>
      <c r="I127" s="175" t="s">
        <v>462</v>
      </c>
      <c r="J127" s="175"/>
      <c r="K127" s="175"/>
      <c r="L127" s="175"/>
      <c r="M127" s="175"/>
      <c r="N127" s="176" t="s">
        <v>1435</v>
      </c>
      <c r="O127" s="175" t="s">
        <v>566</v>
      </c>
      <c r="P127" s="175" t="s">
        <v>567</v>
      </c>
      <c r="Q127" s="175"/>
      <c r="R127" s="175"/>
      <c r="S127" s="176" t="s">
        <v>1435</v>
      </c>
      <c r="T127" s="176" t="s">
        <v>1435</v>
      </c>
      <c r="U127" s="176" t="s">
        <v>1435</v>
      </c>
      <c r="V127" s="176" t="s">
        <v>1435</v>
      </c>
      <c r="W127" s="175"/>
      <c r="X127" s="177" t="b">
        <v>1</v>
      </c>
      <c r="Y127" s="177" t="b">
        <v>0</v>
      </c>
      <c r="Z127" s="177" t="b">
        <v>0</v>
      </c>
      <c r="AA127" s="175"/>
      <c r="AB127" s="175"/>
      <c r="AC127" s="177" t="b">
        <v>0</v>
      </c>
      <c r="AD127" s="178">
        <v>1</v>
      </c>
      <c r="AE127" s="175"/>
      <c r="AF127" s="178">
        <v>43682</v>
      </c>
      <c r="AG127" s="175" t="s">
        <v>927</v>
      </c>
      <c r="AH127" s="127" t="s">
        <v>927</v>
      </c>
    </row>
    <row r="128" spans="1:34">
      <c r="A128" s="175" t="s">
        <v>895</v>
      </c>
      <c r="B128" s="175" t="s">
        <v>477</v>
      </c>
      <c r="C128" s="175"/>
      <c r="D128" s="175" t="s">
        <v>896</v>
      </c>
      <c r="E128" s="175" t="s">
        <v>897</v>
      </c>
      <c r="F128" s="175"/>
      <c r="G128" s="175"/>
      <c r="H128" s="175"/>
      <c r="I128" s="175" t="s">
        <v>477</v>
      </c>
      <c r="J128" s="175"/>
      <c r="K128" s="175"/>
      <c r="L128" s="175"/>
      <c r="M128" s="175"/>
      <c r="N128" s="176" t="s">
        <v>1435</v>
      </c>
      <c r="O128" s="175" t="s">
        <v>566</v>
      </c>
      <c r="P128" s="175" t="s">
        <v>567</v>
      </c>
      <c r="Q128" s="175"/>
      <c r="R128" s="175"/>
      <c r="S128" s="176" t="s">
        <v>1435</v>
      </c>
      <c r="T128" s="176" t="s">
        <v>1435</v>
      </c>
      <c r="U128" s="176" t="s">
        <v>1435</v>
      </c>
      <c r="V128" s="176" t="s">
        <v>1435</v>
      </c>
      <c r="W128" s="175"/>
      <c r="X128" s="177" t="b">
        <v>1</v>
      </c>
      <c r="Y128" s="177" t="b">
        <v>0</v>
      </c>
      <c r="Z128" s="177" t="b">
        <v>0</v>
      </c>
      <c r="AA128" s="175"/>
      <c r="AB128" s="175"/>
      <c r="AC128" s="177" t="b">
        <v>0</v>
      </c>
      <c r="AD128" s="178">
        <v>1</v>
      </c>
      <c r="AE128" s="175"/>
      <c r="AF128" s="178">
        <v>43321</v>
      </c>
      <c r="AG128" s="175" t="s">
        <v>569</v>
      </c>
      <c r="AH128" s="127" t="s">
        <v>569</v>
      </c>
    </row>
    <row r="129" spans="1:34">
      <c r="A129" s="175" t="s">
        <v>187</v>
      </c>
      <c r="B129" s="175" t="s">
        <v>188</v>
      </c>
      <c r="C129" s="175"/>
      <c r="D129" s="175" t="s">
        <v>630</v>
      </c>
      <c r="E129" s="175" t="s">
        <v>898</v>
      </c>
      <c r="F129" s="175"/>
      <c r="G129" s="175"/>
      <c r="H129" s="175"/>
      <c r="I129" s="175" t="s">
        <v>188</v>
      </c>
      <c r="J129" s="175"/>
      <c r="K129" s="175"/>
      <c r="L129" s="175"/>
      <c r="M129" s="175"/>
      <c r="N129" s="176" t="s">
        <v>1548</v>
      </c>
      <c r="O129" s="175" t="s">
        <v>566</v>
      </c>
      <c r="P129" s="175" t="s">
        <v>567</v>
      </c>
      <c r="Q129" s="175"/>
      <c r="R129" s="175" t="s">
        <v>1521</v>
      </c>
      <c r="S129" s="176" t="s">
        <v>1435</v>
      </c>
      <c r="T129" s="176" t="s">
        <v>1435</v>
      </c>
      <c r="U129" s="176" t="s">
        <v>1435</v>
      </c>
      <c r="V129" s="176" t="s">
        <v>1435</v>
      </c>
      <c r="W129" s="175"/>
      <c r="X129" s="177" t="b">
        <v>1</v>
      </c>
      <c r="Y129" s="177" t="b">
        <v>0</v>
      </c>
      <c r="Z129" s="177" t="b">
        <v>0</v>
      </c>
      <c r="AA129" s="175"/>
      <c r="AB129" s="175"/>
      <c r="AC129" s="177" t="b">
        <v>0</v>
      </c>
      <c r="AD129" s="178">
        <v>1</v>
      </c>
      <c r="AE129" s="175"/>
      <c r="AF129" s="178">
        <v>43651</v>
      </c>
      <c r="AG129" s="175" t="s">
        <v>927</v>
      </c>
      <c r="AH129" s="127" t="s">
        <v>927</v>
      </c>
    </row>
    <row r="130" spans="1:34">
      <c r="A130" s="175" t="s">
        <v>899</v>
      </c>
      <c r="B130" s="175" t="s">
        <v>900</v>
      </c>
      <c r="C130" s="175"/>
      <c r="D130" s="175" t="s">
        <v>901</v>
      </c>
      <c r="E130" s="175"/>
      <c r="F130" s="175"/>
      <c r="G130" s="175"/>
      <c r="H130" s="175"/>
      <c r="I130" s="175" t="s">
        <v>902</v>
      </c>
      <c r="J130" s="175"/>
      <c r="K130" s="175"/>
      <c r="L130" s="175"/>
      <c r="M130" s="175"/>
      <c r="N130" s="176" t="s">
        <v>1435</v>
      </c>
      <c r="O130" s="175"/>
      <c r="P130" s="175"/>
      <c r="Q130" s="175" t="s">
        <v>570</v>
      </c>
      <c r="R130" s="175"/>
      <c r="S130" s="176" t="s">
        <v>1435</v>
      </c>
      <c r="T130" s="176" t="s">
        <v>1435</v>
      </c>
      <c r="U130" s="176" t="s">
        <v>1435</v>
      </c>
      <c r="V130" s="176" t="s">
        <v>1435</v>
      </c>
      <c r="W130" s="175"/>
      <c r="X130" s="177" t="b">
        <v>1</v>
      </c>
      <c r="Y130" s="177" t="b">
        <v>1</v>
      </c>
      <c r="Z130" s="177" t="b">
        <v>1</v>
      </c>
      <c r="AA130" s="175"/>
      <c r="AB130" s="175"/>
      <c r="AC130" s="177" t="b">
        <v>0</v>
      </c>
      <c r="AD130" s="178">
        <v>43110</v>
      </c>
      <c r="AE130" s="175" t="s">
        <v>587</v>
      </c>
      <c r="AF130" s="178">
        <v>43110</v>
      </c>
      <c r="AG130" s="175" t="s">
        <v>587</v>
      </c>
      <c r="AH130" s="127" t="s">
        <v>587</v>
      </c>
    </row>
    <row r="131" spans="1:34" ht="30">
      <c r="A131" s="175" t="s">
        <v>903</v>
      </c>
      <c r="B131" s="175" t="s">
        <v>904</v>
      </c>
      <c r="C131" s="175" t="s">
        <v>905</v>
      </c>
      <c r="D131" s="175" t="s">
        <v>906</v>
      </c>
      <c r="E131" s="175"/>
      <c r="F131" s="175"/>
      <c r="G131" s="175"/>
      <c r="H131" s="175"/>
      <c r="I131" s="175"/>
      <c r="J131" s="175"/>
      <c r="K131" s="175"/>
      <c r="L131" s="175"/>
      <c r="M131" s="175"/>
      <c r="N131" s="176" t="s">
        <v>1435</v>
      </c>
      <c r="O131" s="175"/>
      <c r="P131" s="175"/>
      <c r="Q131" s="175" t="s">
        <v>578</v>
      </c>
      <c r="R131" s="175"/>
      <c r="S131" s="176" t="s">
        <v>1435</v>
      </c>
      <c r="T131" s="176" t="s">
        <v>1435</v>
      </c>
      <c r="U131" s="176" t="s">
        <v>1435</v>
      </c>
      <c r="V131" s="176" t="s">
        <v>1435</v>
      </c>
      <c r="W131" s="175"/>
      <c r="X131" s="177" t="b">
        <v>1</v>
      </c>
      <c r="Y131" s="177" t="b">
        <v>1</v>
      </c>
      <c r="Z131" s="177" t="b">
        <v>0</v>
      </c>
      <c r="AA131" s="175"/>
      <c r="AB131" s="175"/>
      <c r="AC131" s="177" t="b">
        <v>0</v>
      </c>
      <c r="AD131" s="178">
        <v>43139</v>
      </c>
      <c r="AE131" s="175" t="s">
        <v>579</v>
      </c>
      <c r="AF131" s="178" t="s">
        <v>1893</v>
      </c>
      <c r="AG131" s="175" t="s">
        <v>572</v>
      </c>
      <c r="AH131" s="127" t="s">
        <v>572</v>
      </c>
    </row>
    <row r="132" spans="1:34">
      <c r="A132" s="175" t="s">
        <v>907</v>
      </c>
      <c r="B132" s="175" t="s">
        <v>908</v>
      </c>
      <c r="C132" s="175"/>
      <c r="D132" s="175" t="s">
        <v>862</v>
      </c>
      <c r="E132" s="175" t="s">
        <v>909</v>
      </c>
      <c r="F132" s="175"/>
      <c r="G132" s="175"/>
      <c r="H132" s="175"/>
      <c r="I132" s="175" t="s">
        <v>908</v>
      </c>
      <c r="J132" s="175"/>
      <c r="K132" s="175"/>
      <c r="L132" s="175"/>
      <c r="M132" s="175"/>
      <c r="N132" s="176" t="s">
        <v>1435</v>
      </c>
      <c r="O132" s="175" t="s">
        <v>566</v>
      </c>
      <c r="P132" s="175" t="s">
        <v>567</v>
      </c>
      <c r="Q132" s="175"/>
      <c r="R132" s="175"/>
      <c r="S132" s="176" t="s">
        <v>1435</v>
      </c>
      <c r="T132" s="176" t="s">
        <v>1435</v>
      </c>
      <c r="U132" s="176" t="s">
        <v>1435</v>
      </c>
      <c r="V132" s="176" t="s">
        <v>1435</v>
      </c>
      <c r="W132" s="175"/>
      <c r="X132" s="177" t="b">
        <v>1</v>
      </c>
      <c r="Y132" s="177" t="b">
        <v>0</v>
      </c>
      <c r="Z132" s="177" t="b">
        <v>0</v>
      </c>
      <c r="AA132" s="175"/>
      <c r="AB132" s="175"/>
      <c r="AC132" s="177" t="b">
        <v>0</v>
      </c>
      <c r="AD132" s="178">
        <v>43198</v>
      </c>
      <c r="AE132" s="175" t="s">
        <v>579</v>
      </c>
      <c r="AF132" s="178" t="s">
        <v>1945</v>
      </c>
      <c r="AG132" s="175" t="s">
        <v>587</v>
      </c>
      <c r="AH132" s="127" t="s">
        <v>587</v>
      </c>
    </row>
    <row r="133" spans="1:34">
      <c r="A133" s="175" t="s">
        <v>910</v>
      </c>
      <c r="B133" s="175" t="s">
        <v>911</v>
      </c>
      <c r="C133" s="175"/>
      <c r="D133" s="175" t="s">
        <v>912</v>
      </c>
      <c r="E133" s="175" t="s">
        <v>913</v>
      </c>
      <c r="F133" s="175"/>
      <c r="G133" s="175"/>
      <c r="H133" s="175"/>
      <c r="I133" s="175" t="s">
        <v>911</v>
      </c>
      <c r="J133" s="175"/>
      <c r="K133" s="175"/>
      <c r="L133" s="175"/>
      <c r="M133" s="175"/>
      <c r="N133" s="176" t="s">
        <v>1435</v>
      </c>
      <c r="O133" s="175" t="s">
        <v>566</v>
      </c>
      <c r="P133" s="175" t="s">
        <v>567</v>
      </c>
      <c r="Q133" s="175"/>
      <c r="R133" s="175" t="s">
        <v>1521</v>
      </c>
      <c r="S133" s="176" t="s">
        <v>1435</v>
      </c>
      <c r="T133" s="176" t="s">
        <v>1435</v>
      </c>
      <c r="U133" s="176" t="s">
        <v>1435</v>
      </c>
      <c r="V133" s="176" t="s">
        <v>1435</v>
      </c>
      <c r="W133" s="175"/>
      <c r="X133" s="177" t="b">
        <v>1</v>
      </c>
      <c r="Y133" s="177" t="b">
        <v>0</v>
      </c>
      <c r="Z133" s="177" t="b">
        <v>0</v>
      </c>
      <c r="AA133" s="175"/>
      <c r="AB133" s="175"/>
      <c r="AC133" s="177" t="b">
        <v>0</v>
      </c>
      <c r="AD133" s="178">
        <v>1</v>
      </c>
      <c r="AE133" s="175"/>
      <c r="AF133" s="178">
        <v>43651</v>
      </c>
      <c r="AG133" s="175" t="s">
        <v>927</v>
      </c>
      <c r="AH133" s="127" t="s">
        <v>927</v>
      </c>
    </row>
    <row r="134" spans="1:34">
      <c r="A134" s="175" t="s">
        <v>914</v>
      </c>
      <c r="B134" s="175" t="s">
        <v>1549</v>
      </c>
      <c r="C134" s="175"/>
      <c r="D134" s="175" t="s">
        <v>606</v>
      </c>
      <c r="E134" s="175" t="s">
        <v>916</v>
      </c>
      <c r="F134" s="175"/>
      <c r="G134" s="175"/>
      <c r="H134" s="175"/>
      <c r="I134" s="175" t="s">
        <v>915</v>
      </c>
      <c r="J134" s="175"/>
      <c r="K134" s="175"/>
      <c r="L134" s="175"/>
      <c r="M134" s="175"/>
      <c r="N134" s="176" t="s">
        <v>1435</v>
      </c>
      <c r="O134" s="175" t="s">
        <v>566</v>
      </c>
      <c r="P134" s="175" t="s">
        <v>567</v>
      </c>
      <c r="Q134" s="175"/>
      <c r="R134" s="175" t="s">
        <v>1512</v>
      </c>
      <c r="S134" s="176" t="s">
        <v>1435</v>
      </c>
      <c r="T134" s="176" t="s">
        <v>1435</v>
      </c>
      <c r="U134" s="176" t="s">
        <v>1435</v>
      </c>
      <c r="V134" s="176" t="s">
        <v>1435</v>
      </c>
      <c r="W134" s="175"/>
      <c r="X134" s="177" t="b">
        <v>1</v>
      </c>
      <c r="Y134" s="177" t="b">
        <v>0</v>
      </c>
      <c r="Z134" s="177" t="b">
        <v>0</v>
      </c>
      <c r="AA134" s="175"/>
      <c r="AB134" s="175"/>
      <c r="AC134" s="177" t="b">
        <v>0</v>
      </c>
      <c r="AD134" s="178">
        <v>43260</v>
      </c>
      <c r="AE134" s="175" t="s">
        <v>561</v>
      </c>
      <c r="AF134" s="178">
        <v>43560</v>
      </c>
      <c r="AG134" s="175" t="s">
        <v>927</v>
      </c>
      <c r="AH134" s="127" t="s">
        <v>927</v>
      </c>
    </row>
    <row r="135" spans="1:34">
      <c r="A135" s="175" t="s">
        <v>917</v>
      </c>
      <c r="B135" s="175" t="s">
        <v>918</v>
      </c>
      <c r="C135" s="175"/>
      <c r="D135" s="175" t="s">
        <v>630</v>
      </c>
      <c r="E135" s="175" t="s">
        <v>919</v>
      </c>
      <c r="F135" s="175"/>
      <c r="G135" s="175"/>
      <c r="H135" s="175"/>
      <c r="I135" s="175" t="s">
        <v>918</v>
      </c>
      <c r="J135" s="175"/>
      <c r="K135" s="175"/>
      <c r="L135" s="175"/>
      <c r="M135" s="175"/>
      <c r="N135" s="176" t="s">
        <v>1435</v>
      </c>
      <c r="O135" s="175" t="s">
        <v>566</v>
      </c>
      <c r="P135" s="175" t="s">
        <v>567</v>
      </c>
      <c r="Q135" s="175"/>
      <c r="R135" s="175"/>
      <c r="S135" s="176" t="s">
        <v>1435</v>
      </c>
      <c r="T135" s="176" t="s">
        <v>1435</v>
      </c>
      <c r="U135" s="176" t="s">
        <v>1435</v>
      </c>
      <c r="V135" s="176" t="s">
        <v>1435</v>
      </c>
      <c r="W135" s="175"/>
      <c r="X135" s="177" t="b">
        <v>1</v>
      </c>
      <c r="Y135" s="177" t="b">
        <v>0</v>
      </c>
      <c r="Z135" s="177" t="b">
        <v>0</v>
      </c>
      <c r="AA135" s="175"/>
      <c r="AB135" s="175"/>
      <c r="AC135" s="177" t="b">
        <v>0</v>
      </c>
      <c r="AD135" s="178" t="s">
        <v>1946</v>
      </c>
      <c r="AE135" s="175" t="s">
        <v>568</v>
      </c>
      <c r="AF135" s="178" t="s">
        <v>1946</v>
      </c>
      <c r="AG135" s="175" t="s">
        <v>568</v>
      </c>
      <c r="AH135" s="127" t="s">
        <v>568</v>
      </c>
    </row>
    <row r="136" spans="1:34">
      <c r="A136" s="175" t="s">
        <v>920</v>
      </c>
      <c r="B136" s="175" t="s">
        <v>921</v>
      </c>
      <c r="C136" s="175"/>
      <c r="D136" s="175" t="s">
        <v>888</v>
      </c>
      <c r="E136" s="175" t="s">
        <v>922</v>
      </c>
      <c r="F136" s="175"/>
      <c r="G136" s="175"/>
      <c r="H136" s="175"/>
      <c r="I136" s="175" t="s">
        <v>921</v>
      </c>
      <c r="J136" s="175"/>
      <c r="K136" s="175"/>
      <c r="L136" s="175"/>
      <c r="M136" s="175"/>
      <c r="N136" s="176" t="s">
        <v>1435</v>
      </c>
      <c r="O136" s="175" t="s">
        <v>566</v>
      </c>
      <c r="P136" s="175" t="s">
        <v>567</v>
      </c>
      <c r="Q136" s="175"/>
      <c r="R136" s="175"/>
      <c r="S136" s="176" t="s">
        <v>1435</v>
      </c>
      <c r="T136" s="176" t="s">
        <v>1435</v>
      </c>
      <c r="U136" s="176" t="s">
        <v>1435</v>
      </c>
      <c r="V136" s="176" t="s">
        <v>1435</v>
      </c>
      <c r="W136" s="175"/>
      <c r="X136" s="177" t="b">
        <v>1</v>
      </c>
      <c r="Y136" s="177" t="b">
        <v>1</v>
      </c>
      <c r="Z136" s="177" t="b">
        <v>0</v>
      </c>
      <c r="AA136" s="175"/>
      <c r="AB136" s="175"/>
      <c r="AC136" s="177" t="b">
        <v>0</v>
      </c>
      <c r="AD136" s="178" t="s">
        <v>1947</v>
      </c>
      <c r="AE136" s="175" t="s">
        <v>568</v>
      </c>
      <c r="AF136" s="178" t="s">
        <v>1947</v>
      </c>
      <c r="AG136" s="175" t="s">
        <v>568</v>
      </c>
      <c r="AH136" s="127" t="s">
        <v>568</v>
      </c>
    </row>
    <row r="137" spans="1:34">
      <c r="A137" s="175" t="s">
        <v>923</v>
      </c>
      <c r="B137" s="175" t="s">
        <v>1442</v>
      </c>
      <c r="C137" s="175"/>
      <c r="D137" s="175" t="s">
        <v>748</v>
      </c>
      <c r="E137" s="175" t="s">
        <v>1391</v>
      </c>
      <c r="F137" s="175"/>
      <c r="G137" s="175"/>
      <c r="H137" s="175"/>
      <c r="I137" s="175" t="s">
        <v>924</v>
      </c>
      <c r="J137" s="175"/>
      <c r="K137" s="175"/>
      <c r="L137" s="175"/>
      <c r="M137" s="175"/>
      <c r="N137" s="176" t="s">
        <v>1435</v>
      </c>
      <c r="O137" s="175" t="s">
        <v>566</v>
      </c>
      <c r="P137" s="175" t="s">
        <v>567</v>
      </c>
      <c r="Q137" s="175"/>
      <c r="R137" s="175"/>
      <c r="S137" s="176" t="s">
        <v>1435</v>
      </c>
      <c r="T137" s="176" t="s">
        <v>1435</v>
      </c>
      <c r="U137" s="176" t="s">
        <v>1435</v>
      </c>
      <c r="V137" s="176" t="s">
        <v>1435</v>
      </c>
      <c r="W137" s="175"/>
      <c r="X137" s="177" t="b">
        <v>1</v>
      </c>
      <c r="Y137" s="177" t="b">
        <v>0</v>
      </c>
      <c r="Z137" s="177" t="b">
        <v>0</v>
      </c>
      <c r="AA137" s="175"/>
      <c r="AB137" s="175"/>
      <c r="AC137" s="177" t="b">
        <v>0</v>
      </c>
      <c r="AD137" s="178" t="s">
        <v>1948</v>
      </c>
      <c r="AE137" s="175" t="s">
        <v>717</v>
      </c>
      <c r="AF137" s="178">
        <v>43559</v>
      </c>
      <c r="AG137" s="175" t="s">
        <v>579</v>
      </c>
      <c r="AH137" s="127" t="s">
        <v>579</v>
      </c>
    </row>
    <row r="138" spans="1:34">
      <c r="A138" s="175" t="s">
        <v>192</v>
      </c>
      <c r="B138" s="175" t="s">
        <v>193</v>
      </c>
      <c r="C138" s="175"/>
      <c r="D138" s="175" t="s">
        <v>925</v>
      </c>
      <c r="E138" s="175" t="s">
        <v>926</v>
      </c>
      <c r="F138" s="175"/>
      <c r="G138" s="175"/>
      <c r="H138" s="175"/>
      <c r="I138" s="175" t="s">
        <v>193</v>
      </c>
      <c r="J138" s="175"/>
      <c r="K138" s="175"/>
      <c r="L138" s="175"/>
      <c r="M138" s="175"/>
      <c r="N138" s="176" t="s">
        <v>1435</v>
      </c>
      <c r="O138" s="175" t="s">
        <v>566</v>
      </c>
      <c r="P138" s="175" t="s">
        <v>567</v>
      </c>
      <c r="Q138" s="175"/>
      <c r="R138" s="175" t="s">
        <v>1512</v>
      </c>
      <c r="S138" s="176" t="s">
        <v>1435</v>
      </c>
      <c r="T138" s="176" t="s">
        <v>1435</v>
      </c>
      <c r="U138" s="176" t="s">
        <v>1435</v>
      </c>
      <c r="V138" s="176" t="s">
        <v>1435</v>
      </c>
      <c r="W138" s="175"/>
      <c r="X138" s="177" t="b">
        <v>1</v>
      </c>
      <c r="Y138" s="177" t="b">
        <v>0</v>
      </c>
      <c r="Z138" s="177" t="b">
        <v>0</v>
      </c>
      <c r="AA138" s="175"/>
      <c r="AB138" s="175"/>
      <c r="AC138" s="177" t="b">
        <v>0</v>
      </c>
      <c r="AD138" s="178">
        <v>43558</v>
      </c>
      <c r="AE138" s="175" t="s">
        <v>587</v>
      </c>
      <c r="AF138" s="178">
        <v>43560</v>
      </c>
      <c r="AG138" s="175" t="s">
        <v>927</v>
      </c>
      <c r="AH138" s="127" t="s">
        <v>927</v>
      </c>
    </row>
    <row r="139" spans="1:34">
      <c r="A139" s="175" t="s">
        <v>1863</v>
      </c>
      <c r="B139" s="175" t="s">
        <v>1864</v>
      </c>
      <c r="C139" s="175"/>
      <c r="D139" s="175" t="s">
        <v>2393</v>
      </c>
      <c r="E139" s="175" t="s">
        <v>2394</v>
      </c>
      <c r="F139" s="175"/>
      <c r="G139" s="175"/>
      <c r="H139" s="175"/>
      <c r="I139" s="175" t="s">
        <v>1864</v>
      </c>
      <c r="J139" s="175"/>
      <c r="K139" s="175"/>
      <c r="L139" s="175"/>
      <c r="M139" s="175"/>
      <c r="N139" s="176" t="s">
        <v>1435</v>
      </c>
      <c r="O139" s="175" t="s">
        <v>566</v>
      </c>
      <c r="P139" s="175" t="s">
        <v>567</v>
      </c>
      <c r="Q139" s="175"/>
      <c r="R139" s="175"/>
      <c r="S139" s="176" t="s">
        <v>1435</v>
      </c>
      <c r="T139" s="176" t="s">
        <v>1435</v>
      </c>
      <c r="U139" s="176" t="s">
        <v>1435</v>
      </c>
      <c r="V139" s="176" t="s">
        <v>1435</v>
      </c>
      <c r="W139" s="175"/>
      <c r="X139" s="177" t="b">
        <v>1</v>
      </c>
      <c r="Y139" s="177" t="b">
        <v>0</v>
      </c>
      <c r="Z139" s="177" t="b">
        <v>0</v>
      </c>
      <c r="AA139" s="175"/>
      <c r="AB139" s="175"/>
      <c r="AC139" s="177" t="b">
        <v>0</v>
      </c>
      <c r="AD139" s="178" t="s">
        <v>2392</v>
      </c>
      <c r="AE139" s="175" t="s">
        <v>870</v>
      </c>
      <c r="AF139" s="178" t="s">
        <v>2392</v>
      </c>
      <c r="AG139" s="175" t="s">
        <v>870</v>
      </c>
      <c r="AH139" s="127" t="s">
        <v>870</v>
      </c>
    </row>
    <row r="140" spans="1:34">
      <c r="A140" s="175" t="s">
        <v>194</v>
      </c>
      <c r="B140" s="175" t="s">
        <v>1550</v>
      </c>
      <c r="C140" s="175"/>
      <c r="D140" s="175" t="s">
        <v>1551</v>
      </c>
      <c r="E140" s="175" t="s">
        <v>929</v>
      </c>
      <c r="F140" s="175"/>
      <c r="G140" s="175"/>
      <c r="H140" s="175"/>
      <c r="I140" s="175" t="s">
        <v>928</v>
      </c>
      <c r="J140" s="175"/>
      <c r="K140" s="175"/>
      <c r="L140" s="175"/>
      <c r="M140" s="175"/>
      <c r="N140" s="176" t="s">
        <v>1435</v>
      </c>
      <c r="O140" s="175" t="s">
        <v>566</v>
      </c>
      <c r="P140" s="175" t="s">
        <v>567</v>
      </c>
      <c r="Q140" s="175"/>
      <c r="R140" s="175" t="s">
        <v>1512</v>
      </c>
      <c r="S140" s="176" t="s">
        <v>1435</v>
      </c>
      <c r="T140" s="176" t="s">
        <v>1435</v>
      </c>
      <c r="U140" s="176" t="s">
        <v>1435</v>
      </c>
      <c r="V140" s="176" t="s">
        <v>1435</v>
      </c>
      <c r="W140" s="175"/>
      <c r="X140" s="177" t="b">
        <v>1</v>
      </c>
      <c r="Y140" s="177" t="b">
        <v>0</v>
      </c>
      <c r="Z140" s="177" t="b">
        <v>0</v>
      </c>
      <c r="AA140" s="175"/>
      <c r="AB140" s="175"/>
      <c r="AC140" s="177" t="b">
        <v>0</v>
      </c>
      <c r="AD140" s="178" t="s">
        <v>1949</v>
      </c>
      <c r="AE140" s="175" t="s">
        <v>561</v>
      </c>
      <c r="AF140" s="178">
        <v>43560</v>
      </c>
      <c r="AG140" s="175" t="s">
        <v>927</v>
      </c>
      <c r="AH140" s="127" t="s">
        <v>927</v>
      </c>
    </row>
    <row r="141" spans="1:34">
      <c r="A141" s="175" t="s">
        <v>930</v>
      </c>
      <c r="B141" s="175" t="s">
        <v>931</v>
      </c>
      <c r="C141" s="175" t="s">
        <v>932</v>
      </c>
      <c r="D141" s="175" t="s">
        <v>933</v>
      </c>
      <c r="E141" s="175"/>
      <c r="F141" s="175"/>
      <c r="G141" s="175"/>
      <c r="H141" s="175"/>
      <c r="I141" s="175"/>
      <c r="J141" s="175"/>
      <c r="K141" s="175"/>
      <c r="L141" s="175"/>
      <c r="M141" s="175"/>
      <c r="N141" s="176" t="s">
        <v>1435</v>
      </c>
      <c r="O141" s="175"/>
      <c r="P141" s="175"/>
      <c r="Q141" s="175"/>
      <c r="R141" s="175"/>
      <c r="S141" s="176" t="s">
        <v>1435</v>
      </c>
      <c r="T141" s="176" t="s">
        <v>1435</v>
      </c>
      <c r="U141" s="176" t="s">
        <v>1435</v>
      </c>
      <c r="V141" s="176" t="s">
        <v>1435</v>
      </c>
      <c r="W141" s="175"/>
      <c r="X141" s="177" t="b">
        <v>1</v>
      </c>
      <c r="Y141" s="177" t="b">
        <v>0</v>
      </c>
      <c r="Z141" s="177" t="b">
        <v>0</v>
      </c>
      <c r="AA141" s="175"/>
      <c r="AB141" s="175"/>
      <c r="AC141" s="177" t="b">
        <v>0</v>
      </c>
      <c r="AD141" s="178" t="s">
        <v>1950</v>
      </c>
      <c r="AE141" s="175" t="s">
        <v>579</v>
      </c>
      <c r="AF141" s="178" t="s">
        <v>1950</v>
      </c>
      <c r="AG141" s="175" t="s">
        <v>579</v>
      </c>
      <c r="AH141" s="127" t="s">
        <v>579</v>
      </c>
    </row>
    <row r="142" spans="1:34">
      <c r="A142" s="175" t="s">
        <v>934</v>
      </c>
      <c r="B142" s="175" t="s">
        <v>935</v>
      </c>
      <c r="C142" s="175"/>
      <c r="D142" s="175" t="s">
        <v>936</v>
      </c>
      <c r="E142" s="175"/>
      <c r="F142" s="175"/>
      <c r="G142" s="175"/>
      <c r="H142" s="175"/>
      <c r="I142" s="175"/>
      <c r="J142" s="175"/>
      <c r="K142" s="175"/>
      <c r="L142" s="175"/>
      <c r="M142" s="175"/>
      <c r="N142" s="176" t="s">
        <v>1435</v>
      </c>
      <c r="O142" s="175"/>
      <c r="P142" s="175"/>
      <c r="Q142" s="175"/>
      <c r="R142" s="175"/>
      <c r="S142" s="176" t="s">
        <v>1435</v>
      </c>
      <c r="T142" s="176" t="s">
        <v>1435</v>
      </c>
      <c r="U142" s="176" t="s">
        <v>1435</v>
      </c>
      <c r="V142" s="176" t="s">
        <v>1435</v>
      </c>
      <c r="W142" s="175"/>
      <c r="X142" s="177" t="b">
        <v>1</v>
      </c>
      <c r="Y142" s="177" t="b">
        <v>1</v>
      </c>
      <c r="Z142" s="177" t="b">
        <v>0</v>
      </c>
      <c r="AA142" s="175"/>
      <c r="AB142" s="175"/>
      <c r="AC142" s="177" t="b">
        <v>0</v>
      </c>
      <c r="AD142" s="178">
        <v>43198</v>
      </c>
      <c r="AE142" s="175" t="s">
        <v>579</v>
      </c>
      <c r="AF142" s="178" t="s">
        <v>1951</v>
      </c>
      <c r="AG142" s="175" t="s">
        <v>579</v>
      </c>
      <c r="AH142" s="127" t="s">
        <v>579</v>
      </c>
    </row>
    <row r="143" spans="1:34">
      <c r="A143" s="175" t="s">
        <v>937</v>
      </c>
      <c r="B143" s="175" t="s">
        <v>938</v>
      </c>
      <c r="C143" s="175" t="s">
        <v>939</v>
      </c>
      <c r="D143" s="175" t="s">
        <v>940</v>
      </c>
      <c r="E143" s="175"/>
      <c r="F143" s="175"/>
      <c r="G143" s="175"/>
      <c r="H143" s="175"/>
      <c r="I143" s="175"/>
      <c r="J143" s="175"/>
      <c r="K143" s="175"/>
      <c r="L143" s="175"/>
      <c r="M143" s="175"/>
      <c r="N143" s="176" t="s">
        <v>1435</v>
      </c>
      <c r="O143" s="175"/>
      <c r="P143" s="175"/>
      <c r="Q143" s="175"/>
      <c r="R143" s="175"/>
      <c r="S143" s="176" t="s">
        <v>1435</v>
      </c>
      <c r="T143" s="176" t="s">
        <v>1435</v>
      </c>
      <c r="U143" s="176" t="s">
        <v>1435</v>
      </c>
      <c r="V143" s="176" t="s">
        <v>1435</v>
      </c>
      <c r="W143" s="175"/>
      <c r="X143" s="177" t="b">
        <v>1</v>
      </c>
      <c r="Y143" s="177" t="b">
        <v>1</v>
      </c>
      <c r="Z143" s="177" t="b">
        <v>0</v>
      </c>
      <c r="AA143" s="175"/>
      <c r="AB143" s="175"/>
      <c r="AC143" s="177" t="b">
        <v>0</v>
      </c>
      <c r="AD143" s="178">
        <v>43198</v>
      </c>
      <c r="AE143" s="175" t="s">
        <v>579</v>
      </c>
      <c r="AF143" s="178">
        <v>43259</v>
      </c>
      <c r="AG143" s="175" t="s">
        <v>579</v>
      </c>
      <c r="AH143" s="127" t="s">
        <v>579</v>
      </c>
    </row>
    <row r="144" spans="1:34">
      <c r="A144" s="175" t="s">
        <v>941</v>
      </c>
      <c r="B144" s="175" t="s">
        <v>942</v>
      </c>
      <c r="C144" s="175"/>
      <c r="D144" s="175" t="s">
        <v>943</v>
      </c>
      <c r="E144" s="175"/>
      <c r="F144" s="175"/>
      <c r="G144" s="175"/>
      <c r="H144" s="175"/>
      <c r="I144" s="175"/>
      <c r="J144" s="175"/>
      <c r="K144" s="175"/>
      <c r="L144" s="175"/>
      <c r="M144" s="175"/>
      <c r="N144" s="176" t="s">
        <v>1435</v>
      </c>
      <c r="O144" s="175"/>
      <c r="P144" s="175"/>
      <c r="Q144" s="175"/>
      <c r="R144" s="175"/>
      <c r="S144" s="176" t="s">
        <v>1435</v>
      </c>
      <c r="T144" s="176" t="s">
        <v>1435</v>
      </c>
      <c r="U144" s="176" t="s">
        <v>1435</v>
      </c>
      <c r="V144" s="176" t="s">
        <v>1435</v>
      </c>
      <c r="W144" s="175"/>
      <c r="X144" s="177" t="b">
        <v>1</v>
      </c>
      <c r="Y144" s="177" t="b">
        <v>1</v>
      </c>
      <c r="Z144" s="177" t="b">
        <v>0</v>
      </c>
      <c r="AA144" s="175"/>
      <c r="AB144" s="175"/>
      <c r="AC144" s="177" t="b">
        <v>0</v>
      </c>
      <c r="AD144" s="178" t="s">
        <v>1952</v>
      </c>
      <c r="AE144" s="175" t="s">
        <v>587</v>
      </c>
      <c r="AF144" s="178" t="s">
        <v>1952</v>
      </c>
      <c r="AG144" s="175" t="s">
        <v>587</v>
      </c>
      <c r="AH144" s="127" t="s">
        <v>587</v>
      </c>
    </row>
    <row r="145" spans="1:34">
      <c r="A145" s="175" t="s">
        <v>944</v>
      </c>
      <c r="B145" s="175" t="s">
        <v>945</v>
      </c>
      <c r="C145" s="175"/>
      <c r="D145" s="175" t="s">
        <v>946</v>
      </c>
      <c r="E145" s="175"/>
      <c r="F145" s="175"/>
      <c r="G145" s="175"/>
      <c r="H145" s="175"/>
      <c r="I145" s="175"/>
      <c r="J145" s="175"/>
      <c r="K145" s="175"/>
      <c r="L145" s="175"/>
      <c r="M145" s="175"/>
      <c r="N145" s="176" t="s">
        <v>1435</v>
      </c>
      <c r="O145" s="175"/>
      <c r="P145" s="175"/>
      <c r="Q145" s="175"/>
      <c r="R145" s="175"/>
      <c r="S145" s="176" t="s">
        <v>1435</v>
      </c>
      <c r="T145" s="176" t="s">
        <v>1435</v>
      </c>
      <c r="U145" s="176" t="s">
        <v>1435</v>
      </c>
      <c r="V145" s="176" t="s">
        <v>1435</v>
      </c>
      <c r="W145" s="175"/>
      <c r="X145" s="177" t="b">
        <v>1</v>
      </c>
      <c r="Y145" s="177" t="b">
        <v>0</v>
      </c>
      <c r="Z145" s="177" t="b">
        <v>0</v>
      </c>
      <c r="AA145" s="175"/>
      <c r="AB145" s="175"/>
      <c r="AC145" s="177" t="b">
        <v>0</v>
      </c>
      <c r="AD145" s="178" t="s">
        <v>1924</v>
      </c>
      <c r="AE145" s="175" t="s">
        <v>587</v>
      </c>
      <c r="AF145" s="178" t="s">
        <v>1924</v>
      </c>
      <c r="AG145" s="175" t="s">
        <v>587</v>
      </c>
      <c r="AH145" s="127" t="s">
        <v>587</v>
      </c>
    </row>
    <row r="146" spans="1:34">
      <c r="A146" s="175" t="s">
        <v>947</v>
      </c>
      <c r="B146" s="175" t="s">
        <v>948</v>
      </c>
      <c r="C146" s="175"/>
      <c r="D146" s="175" t="s">
        <v>925</v>
      </c>
      <c r="E146" s="175" t="s">
        <v>949</v>
      </c>
      <c r="F146" s="175"/>
      <c r="G146" s="175"/>
      <c r="H146" s="175"/>
      <c r="I146" s="175" t="s">
        <v>948</v>
      </c>
      <c r="J146" s="175"/>
      <c r="K146" s="175"/>
      <c r="L146" s="175"/>
      <c r="M146" s="175"/>
      <c r="N146" s="176" t="s">
        <v>1435</v>
      </c>
      <c r="O146" s="175" t="s">
        <v>566</v>
      </c>
      <c r="P146" s="175" t="s">
        <v>567</v>
      </c>
      <c r="Q146" s="175"/>
      <c r="R146" s="175"/>
      <c r="S146" s="176" t="s">
        <v>1435</v>
      </c>
      <c r="T146" s="176" t="s">
        <v>1435</v>
      </c>
      <c r="U146" s="176" t="s">
        <v>1435</v>
      </c>
      <c r="V146" s="176" t="s">
        <v>1435</v>
      </c>
      <c r="W146" s="175"/>
      <c r="X146" s="177" t="b">
        <v>1</v>
      </c>
      <c r="Y146" s="177" t="b">
        <v>0</v>
      </c>
      <c r="Z146" s="177" t="b">
        <v>0</v>
      </c>
      <c r="AA146" s="175"/>
      <c r="AB146" s="175"/>
      <c r="AC146" s="177" t="b">
        <v>0</v>
      </c>
      <c r="AD146" s="178">
        <v>43198</v>
      </c>
      <c r="AE146" s="175" t="s">
        <v>579</v>
      </c>
      <c r="AF146" s="178">
        <v>43321</v>
      </c>
      <c r="AG146" s="175" t="s">
        <v>569</v>
      </c>
      <c r="AH146" s="127" t="s">
        <v>569</v>
      </c>
    </row>
    <row r="147" spans="1:34">
      <c r="A147" s="175" t="s">
        <v>181</v>
      </c>
      <c r="B147" s="175" t="s">
        <v>950</v>
      </c>
      <c r="C147" s="175"/>
      <c r="D147" s="175" t="s">
        <v>951</v>
      </c>
      <c r="E147" s="175" t="s">
        <v>952</v>
      </c>
      <c r="F147" s="175"/>
      <c r="G147" s="175"/>
      <c r="H147" s="175"/>
      <c r="I147" s="175" t="s">
        <v>950</v>
      </c>
      <c r="J147" s="175"/>
      <c r="K147" s="175"/>
      <c r="L147" s="175"/>
      <c r="M147" s="175"/>
      <c r="N147" s="176" t="s">
        <v>1435</v>
      </c>
      <c r="O147" s="175" t="s">
        <v>566</v>
      </c>
      <c r="P147" s="175" t="s">
        <v>567</v>
      </c>
      <c r="Q147" s="175"/>
      <c r="R147" s="175"/>
      <c r="S147" s="176" t="s">
        <v>1435</v>
      </c>
      <c r="T147" s="176" t="s">
        <v>1435</v>
      </c>
      <c r="U147" s="176" t="s">
        <v>1435</v>
      </c>
      <c r="V147" s="176" t="s">
        <v>1435</v>
      </c>
      <c r="W147" s="175"/>
      <c r="X147" s="177" t="b">
        <v>1</v>
      </c>
      <c r="Y147" s="177" t="b">
        <v>0</v>
      </c>
      <c r="Z147" s="177" t="b">
        <v>0</v>
      </c>
      <c r="AA147" s="175"/>
      <c r="AB147" s="175"/>
      <c r="AC147" s="177" t="b">
        <v>0</v>
      </c>
      <c r="AD147" s="178" t="s">
        <v>1953</v>
      </c>
      <c r="AE147" s="175" t="s">
        <v>568</v>
      </c>
      <c r="AF147" s="178" t="s">
        <v>1954</v>
      </c>
      <c r="AG147" s="175" t="s">
        <v>587</v>
      </c>
      <c r="AH147" s="127" t="s">
        <v>587</v>
      </c>
    </row>
    <row r="148" spans="1:34">
      <c r="A148" s="175" t="s">
        <v>953</v>
      </c>
      <c r="B148" s="175" t="s">
        <v>182</v>
      </c>
      <c r="C148" s="175"/>
      <c r="D148" s="175" t="s">
        <v>954</v>
      </c>
      <c r="E148" s="175" t="s">
        <v>955</v>
      </c>
      <c r="F148" s="175"/>
      <c r="G148" s="175"/>
      <c r="H148" s="175"/>
      <c r="I148" s="175" t="s">
        <v>182</v>
      </c>
      <c r="J148" s="175"/>
      <c r="K148" s="175"/>
      <c r="L148" s="175"/>
      <c r="M148" s="175"/>
      <c r="N148" s="176" t="s">
        <v>1435</v>
      </c>
      <c r="O148" s="175" t="s">
        <v>566</v>
      </c>
      <c r="P148" s="175" t="s">
        <v>567</v>
      </c>
      <c r="Q148" s="175"/>
      <c r="R148" s="175"/>
      <c r="S148" s="176" t="s">
        <v>1435</v>
      </c>
      <c r="T148" s="176" t="s">
        <v>1435</v>
      </c>
      <c r="U148" s="176" t="s">
        <v>1435</v>
      </c>
      <c r="V148" s="176" t="s">
        <v>1435</v>
      </c>
      <c r="W148" s="175"/>
      <c r="X148" s="177" t="b">
        <v>1</v>
      </c>
      <c r="Y148" s="177" t="b">
        <v>0</v>
      </c>
      <c r="Z148" s="177" t="b">
        <v>0</v>
      </c>
      <c r="AA148" s="175"/>
      <c r="AB148" s="175"/>
      <c r="AC148" s="177" t="b">
        <v>0</v>
      </c>
      <c r="AD148" s="178" t="s">
        <v>1953</v>
      </c>
      <c r="AE148" s="175" t="s">
        <v>568</v>
      </c>
      <c r="AF148" s="178">
        <v>43588</v>
      </c>
      <c r="AG148" s="175" t="s">
        <v>587</v>
      </c>
      <c r="AH148" s="127" t="s">
        <v>587</v>
      </c>
    </row>
    <row r="149" spans="1:34">
      <c r="A149" s="175" t="s">
        <v>183</v>
      </c>
      <c r="B149" s="175" t="s">
        <v>956</v>
      </c>
      <c r="C149" s="175"/>
      <c r="D149" s="175" t="s">
        <v>630</v>
      </c>
      <c r="E149" s="175" t="s">
        <v>957</v>
      </c>
      <c r="F149" s="175"/>
      <c r="G149" s="175"/>
      <c r="H149" s="175"/>
      <c r="I149" s="175" t="s">
        <v>956</v>
      </c>
      <c r="J149" s="175"/>
      <c r="K149" s="175"/>
      <c r="L149" s="175"/>
      <c r="M149" s="175"/>
      <c r="N149" s="176" t="s">
        <v>1435</v>
      </c>
      <c r="O149" s="175" t="s">
        <v>566</v>
      </c>
      <c r="P149" s="175" t="s">
        <v>567</v>
      </c>
      <c r="Q149" s="175"/>
      <c r="R149" s="175" t="s">
        <v>1512</v>
      </c>
      <c r="S149" s="176" t="s">
        <v>1435</v>
      </c>
      <c r="T149" s="176" t="s">
        <v>1435</v>
      </c>
      <c r="U149" s="176" t="s">
        <v>1435</v>
      </c>
      <c r="V149" s="176" t="s">
        <v>1435</v>
      </c>
      <c r="W149" s="175"/>
      <c r="X149" s="177" t="b">
        <v>1</v>
      </c>
      <c r="Y149" s="177" t="b">
        <v>0</v>
      </c>
      <c r="Z149" s="177" t="b">
        <v>0</v>
      </c>
      <c r="AA149" s="175"/>
      <c r="AB149" s="175"/>
      <c r="AC149" s="177" t="b">
        <v>0</v>
      </c>
      <c r="AD149" s="178" t="s">
        <v>1955</v>
      </c>
      <c r="AE149" s="175" t="s">
        <v>561</v>
      </c>
      <c r="AF149" s="178">
        <v>43560</v>
      </c>
      <c r="AG149" s="175" t="s">
        <v>927</v>
      </c>
      <c r="AH149" s="127" t="s">
        <v>927</v>
      </c>
    </row>
    <row r="150" spans="1:34">
      <c r="A150" s="175" t="s">
        <v>1805</v>
      </c>
      <c r="B150" s="175" t="s">
        <v>1836</v>
      </c>
      <c r="C150" s="175"/>
      <c r="D150" s="175" t="s">
        <v>1837</v>
      </c>
      <c r="E150" s="175" t="s">
        <v>1838</v>
      </c>
      <c r="F150" s="175"/>
      <c r="G150" s="175"/>
      <c r="H150" s="175"/>
      <c r="I150" s="175" t="s">
        <v>1836</v>
      </c>
      <c r="J150" s="175"/>
      <c r="K150" s="175"/>
      <c r="L150" s="175"/>
      <c r="M150" s="175"/>
      <c r="N150" s="176" t="s">
        <v>1435</v>
      </c>
      <c r="O150" s="175" t="s">
        <v>566</v>
      </c>
      <c r="P150" s="175" t="s">
        <v>567</v>
      </c>
      <c r="Q150" s="175"/>
      <c r="R150" s="175"/>
      <c r="S150" s="176" t="s">
        <v>1435</v>
      </c>
      <c r="T150" s="176" t="s">
        <v>1435</v>
      </c>
      <c r="U150" s="176" t="s">
        <v>1435</v>
      </c>
      <c r="V150" s="176" t="s">
        <v>1435</v>
      </c>
      <c r="W150" s="175"/>
      <c r="X150" s="177" t="b">
        <v>1</v>
      </c>
      <c r="Y150" s="177" t="b">
        <v>0</v>
      </c>
      <c r="Z150" s="177" t="b">
        <v>0</v>
      </c>
      <c r="AA150" s="175"/>
      <c r="AB150" s="175"/>
      <c r="AC150" s="177" t="b">
        <v>0</v>
      </c>
      <c r="AD150" s="178" t="s">
        <v>1944</v>
      </c>
      <c r="AE150" s="175" t="s">
        <v>927</v>
      </c>
      <c r="AF150" s="178" t="s">
        <v>1944</v>
      </c>
      <c r="AG150" s="175" t="s">
        <v>927</v>
      </c>
      <c r="AH150" s="127" t="s">
        <v>927</v>
      </c>
    </row>
    <row r="151" spans="1:34">
      <c r="A151" s="175" t="s">
        <v>2395</v>
      </c>
      <c r="B151" s="175" t="s">
        <v>2396</v>
      </c>
      <c r="C151" s="175"/>
      <c r="D151" s="175" t="s">
        <v>2397</v>
      </c>
      <c r="E151" s="175" t="s">
        <v>2398</v>
      </c>
      <c r="F151" s="175"/>
      <c r="G151" s="175"/>
      <c r="H151" s="175"/>
      <c r="I151" s="175"/>
      <c r="J151" s="175"/>
      <c r="K151" s="175"/>
      <c r="L151" s="175"/>
      <c r="M151" s="175"/>
      <c r="N151" s="176" t="s">
        <v>1435</v>
      </c>
      <c r="O151" s="175" t="s">
        <v>566</v>
      </c>
      <c r="P151" s="175" t="s">
        <v>567</v>
      </c>
      <c r="Q151" s="175"/>
      <c r="R151" s="175"/>
      <c r="S151" s="176" t="s">
        <v>1435</v>
      </c>
      <c r="T151" s="176" t="s">
        <v>1435</v>
      </c>
      <c r="U151" s="176" t="s">
        <v>1435</v>
      </c>
      <c r="V151" s="176" t="s">
        <v>1435</v>
      </c>
      <c r="W151" s="175"/>
      <c r="X151" s="177" t="b">
        <v>1</v>
      </c>
      <c r="Y151" s="177" t="b">
        <v>0</v>
      </c>
      <c r="Z151" s="177" t="b">
        <v>0</v>
      </c>
      <c r="AA151" s="175"/>
      <c r="AB151" s="175"/>
      <c r="AC151" s="177" t="b">
        <v>0</v>
      </c>
      <c r="AD151" s="178" t="s">
        <v>2391</v>
      </c>
      <c r="AE151" s="175" t="s">
        <v>1830</v>
      </c>
      <c r="AF151" s="178" t="s">
        <v>2391</v>
      </c>
      <c r="AG151" s="175" t="s">
        <v>1830</v>
      </c>
      <c r="AH151" s="127" t="s">
        <v>1830</v>
      </c>
    </row>
    <row r="152" spans="1:34" ht="30">
      <c r="A152" s="175" t="s">
        <v>958</v>
      </c>
      <c r="B152" s="175" t="s">
        <v>959</v>
      </c>
      <c r="C152" s="175" t="s">
        <v>960</v>
      </c>
      <c r="D152" s="175" t="s">
        <v>961</v>
      </c>
      <c r="E152" s="175" t="s">
        <v>962</v>
      </c>
      <c r="F152" s="175"/>
      <c r="G152" s="175"/>
      <c r="H152" s="175"/>
      <c r="I152" s="175"/>
      <c r="J152" s="175"/>
      <c r="K152" s="175"/>
      <c r="L152" s="175"/>
      <c r="M152" s="175"/>
      <c r="N152" s="176" t="s">
        <v>1435</v>
      </c>
      <c r="O152" s="175"/>
      <c r="P152" s="175"/>
      <c r="Q152" s="175" t="s">
        <v>570</v>
      </c>
      <c r="R152" s="175"/>
      <c r="S152" s="176" t="s">
        <v>1435</v>
      </c>
      <c r="T152" s="176" t="s">
        <v>1435</v>
      </c>
      <c r="U152" s="176" t="s">
        <v>1435</v>
      </c>
      <c r="V152" s="176" t="s">
        <v>1435</v>
      </c>
      <c r="W152" s="175"/>
      <c r="X152" s="177" t="b">
        <v>1</v>
      </c>
      <c r="Y152" s="177" t="b">
        <v>1</v>
      </c>
      <c r="Z152" s="177" t="b">
        <v>0</v>
      </c>
      <c r="AA152" s="175"/>
      <c r="AB152" s="175"/>
      <c r="AC152" s="177" t="b">
        <v>0</v>
      </c>
      <c r="AD152" s="178">
        <v>1</v>
      </c>
      <c r="AE152" s="175"/>
      <c r="AF152" s="178" t="s">
        <v>1893</v>
      </c>
      <c r="AG152" s="175" t="s">
        <v>572</v>
      </c>
      <c r="AH152" s="127" t="s">
        <v>572</v>
      </c>
    </row>
    <row r="153" spans="1:34">
      <c r="A153" s="175" t="s">
        <v>196</v>
      </c>
      <c r="B153" s="175" t="s">
        <v>1552</v>
      </c>
      <c r="C153" s="175"/>
      <c r="D153" s="175" t="s">
        <v>630</v>
      </c>
      <c r="E153" s="175" t="s">
        <v>963</v>
      </c>
      <c r="F153" s="175"/>
      <c r="G153" s="175"/>
      <c r="H153" s="175"/>
      <c r="I153" s="175" t="s">
        <v>1552</v>
      </c>
      <c r="J153" s="175"/>
      <c r="K153" s="175"/>
      <c r="L153" s="175"/>
      <c r="M153" s="175"/>
      <c r="N153" s="176" t="s">
        <v>1435</v>
      </c>
      <c r="O153" s="175" t="s">
        <v>566</v>
      </c>
      <c r="P153" s="175" t="s">
        <v>567</v>
      </c>
      <c r="Q153" s="175"/>
      <c r="R153" s="175" t="s">
        <v>1512</v>
      </c>
      <c r="S153" s="176" t="s">
        <v>1435</v>
      </c>
      <c r="T153" s="176" t="s">
        <v>1435</v>
      </c>
      <c r="U153" s="176" t="s">
        <v>1435</v>
      </c>
      <c r="V153" s="176" t="s">
        <v>1435</v>
      </c>
      <c r="W153" s="175"/>
      <c r="X153" s="177" t="b">
        <v>1</v>
      </c>
      <c r="Y153" s="177" t="b">
        <v>0</v>
      </c>
      <c r="Z153" s="177" t="b">
        <v>0</v>
      </c>
      <c r="AA153" s="175"/>
      <c r="AB153" s="175"/>
      <c r="AC153" s="177" t="b">
        <v>0</v>
      </c>
      <c r="AD153" s="178" t="s">
        <v>1939</v>
      </c>
      <c r="AE153" s="175" t="s">
        <v>587</v>
      </c>
      <c r="AF153" s="178">
        <v>43651</v>
      </c>
      <c r="AG153" s="175" t="s">
        <v>927</v>
      </c>
      <c r="AH153" s="127" t="s">
        <v>927</v>
      </c>
    </row>
    <row r="154" spans="1:34">
      <c r="A154" s="175" t="s">
        <v>964</v>
      </c>
      <c r="B154" s="175" t="s">
        <v>965</v>
      </c>
      <c r="C154" s="175" t="s">
        <v>966</v>
      </c>
      <c r="D154" s="175" t="s">
        <v>967</v>
      </c>
      <c r="E154" s="175"/>
      <c r="F154" s="175"/>
      <c r="G154" s="175"/>
      <c r="H154" s="175"/>
      <c r="I154" s="175"/>
      <c r="J154" s="175"/>
      <c r="K154" s="175"/>
      <c r="L154" s="175"/>
      <c r="M154" s="175"/>
      <c r="N154" s="176" t="s">
        <v>1435</v>
      </c>
      <c r="O154" s="175"/>
      <c r="P154" s="175"/>
      <c r="Q154" s="175" t="s">
        <v>578</v>
      </c>
      <c r="R154" s="175"/>
      <c r="S154" s="176" t="s">
        <v>1435</v>
      </c>
      <c r="T154" s="176" t="s">
        <v>1435</v>
      </c>
      <c r="U154" s="176" t="s">
        <v>1435</v>
      </c>
      <c r="V154" s="176" t="s">
        <v>1435</v>
      </c>
      <c r="W154" s="175"/>
      <c r="X154" s="177" t="b">
        <v>1</v>
      </c>
      <c r="Y154" s="177" t="b">
        <v>1</v>
      </c>
      <c r="Z154" s="177" t="b">
        <v>0</v>
      </c>
      <c r="AA154" s="175"/>
      <c r="AB154" s="175"/>
      <c r="AC154" s="177" t="b">
        <v>0</v>
      </c>
      <c r="AD154" s="178">
        <v>43199</v>
      </c>
      <c r="AE154" s="175" t="s">
        <v>587</v>
      </c>
      <c r="AF154" s="178">
        <v>43199</v>
      </c>
      <c r="AG154" s="175" t="s">
        <v>587</v>
      </c>
      <c r="AH154" s="127" t="s">
        <v>587</v>
      </c>
    </row>
    <row r="155" spans="1:34">
      <c r="A155" s="175" t="s">
        <v>968</v>
      </c>
      <c r="B155" s="175" t="s">
        <v>969</v>
      </c>
      <c r="C155" s="175"/>
      <c r="D155" s="175"/>
      <c r="E155" s="175" t="s">
        <v>970</v>
      </c>
      <c r="F155" s="175"/>
      <c r="G155" s="175"/>
      <c r="H155" s="175"/>
      <c r="I155" s="175" t="s">
        <v>969</v>
      </c>
      <c r="J155" s="175"/>
      <c r="K155" s="175"/>
      <c r="L155" s="175"/>
      <c r="M155" s="175"/>
      <c r="N155" s="176" t="s">
        <v>1435</v>
      </c>
      <c r="O155" s="175" t="s">
        <v>566</v>
      </c>
      <c r="P155" s="175" t="s">
        <v>567</v>
      </c>
      <c r="Q155" s="175"/>
      <c r="R155" s="175"/>
      <c r="S155" s="176" t="s">
        <v>1435</v>
      </c>
      <c r="T155" s="176" t="s">
        <v>1435</v>
      </c>
      <c r="U155" s="176" t="s">
        <v>1435</v>
      </c>
      <c r="V155" s="176" t="s">
        <v>1435</v>
      </c>
      <c r="W155" s="175"/>
      <c r="X155" s="177" t="b">
        <v>1</v>
      </c>
      <c r="Y155" s="177" t="b">
        <v>1</v>
      </c>
      <c r="Z155" s="177" t="b">
        <v>0</v>
      </c>
      <c r="AA155" s="175"/>
      <c r="AB155" s="175"/>
      <c r="AC155" s="177" t="b">
        <v>0</v>
      </c>
      <c r="AD155" s="178">
        <v>43110</v>
      </c>
      <c r="AE155" s="175" t="s">
        <v>561</v>
      </c>
      <c r="AF155" s="178">
        <v>43110</v>
      </c>
      <c r="AG155" s="175" t="s">
        <v>561</v>
      </c>
      <c r="AH155" s="127" t="s">
        <v>561</v>
      </c>
    </row>
    <row r="156" spans="1:34">
      <c r="A156" s="175" t="s">
        <v>1799</v>
      </c>
      <c r="B156" s="175" t="s">
        <v>1839</v>
      </c>
      <c r="C156" s="175"/>
      <c r="D156" s="175" t="s">
        <v>1825</v>
      </c>
      <c r="E156" s="175" t="s">
        <v>1826</v>
      </c>
      <c r="F156" s="175"/>
      <c r="G156" s="175"/>
      <c r="H156" s="175"/>
      <c r="I156" s="175" t="s">
        <v>1839</v>
      </c>
      <c r="J156" s="175"/>
      <c r="K156" s="175"/>
      <c r="L156" s="175"/>
      <c r="M156" s="175"/>
      <c r="N156" s="176" t="s">
        <v>1435</v>
      </c>
      <c r="O156" s="175" t="s">
        <v>566</v>
      </c>
      <c r="P156" s="175" t="s">
        <v>567</v>
      </c>
      <c r="Q156" s="175"/>
      <c r="R156" s="175" t="s">
        <v>1517</v>
      </c>
      <c r="S156" s="176" t="s">
        <v>1435</v>
      </c>
      <c r="T156" s="176" t="s">
        <v>1435</v>
      </c>
      <c r="U156" s="176" t="s">
        <v>1435</v>
      </c>
      <c r="V156" s="176" t="s">
        <v>1435</v>
      </c>
      <c r="W156" s="175"/>
      <c r="X156" s="177" t="b">
        <v>1</v>
      </c>
      <c r="Y156" s="177" t="b">
        <v>0</v>
      </c>
      <c r="Z156" s="177" t="b">
        <v>0</v>
      </c>
      <c r="AA156" s="175"/>
      <c r="AB156" s="175"/>
      <c r="AC156" s="177" t="b">
        <v>0</v>
      </c>
      <c r="AD156" s="178" t="s">
        <v>1919</v>
      </c>
      <c r="AE156" s="175" t="s">
        <v>927</v>
      </c>
      <c r="AF156" s="178" t="s">
        <v>1919</v>
      </c>
      <c r="AG156" s="175" t="s">
        <v>927</v>
      </c>
      <c r="AH156" s="127" t="s">
        <v>927</v>
      </c>
    </row>
    <row r="157" spans="1:34">
      <c r="A157" s="175" t="s">
        <v>971</v>
      </c>
      <c r="B157" s="175" t="s">
        <v>972</v>
      </c>
      <c r="C157" s="175"/>
      <c r="D157" s="175" t="s">
        <v>973</v>
      </c>
      <c r="E157" s="175"/>
      <c r="F157" s="175"/>
      <c r="G157" s="175"/>
      <c r="H157" s="175"/>
      <c r="I157" s="175"/>
      <c r="J157" s="175"/>
      <c r="K157" s="175"/>
      <c r="L157" s="175"/>
      <c r="M157" s="175"/>
      <c r="N157" s="176" t="s">
        <v>1435</v>
      </c>
      <c r="O157" s="175"/>
      <c r="P157" s="175"/>
      <c r="Q157" s="175" t="s">
        <v>570</v>
      </c>
      <c r="R157" s="175"/>
      <c r="S157" s="176" t="s">
        <v>1435</v>
      </c>
      <c r="T157" s="176" t="s">
        <v>1435</v>
      </c>
      <c r="U157" s="176" t="s">
        <v>1435</v>
      </c>
      <c r="V157" s="176" t="s">
        <v>1435</v>
      </c>
      <c r="W157" s="175"/>
      <c r="X157" s="177" t="b">
        <v>1</v>
      </c>
      <c r="Y157" s="177" t="b">
        <v>1</v>
      </c>
      <c r="Z157" s="177" t="b">
        <v>0</v>
      </c>
      <c r="AA157" s="175"/>
      <c r="AB157" s="175"/>
      <c r="AC157" s="177" t="b">
        <v>0</v>
      </c>
      <c r="AD157" s="178" t="s">
        <v>1893</v>
      </c>
      <c r="AE157" s="175" t="s">
        <v>579</v>
      </c>
      <c r="AF157" s="178">
        <v>43260</v>
      </c>
      <c r="AG157" s="175" t="s">
        <v>568</v>
      </c>
      <c r="AH157" s="127" t="s">
        <v>568</v>
      </c>
    </row>
    <row r="158" spans="1:34">
      <c r="A158" s="175" t="s">
        <v>200</v>
      </c>
      <c r="B158" s="175" t="s">
        <v>201</v>
      </c>
      <c r="C158" s="175"/>
      <c r="D158" s="175" t="s">
        <v>862</v>
      </c>
      <c r="E158" s="175" t="s">
        <v>1956</v>
      </c>
      <c r="F158" s="175"/>
      <c r="G158" s="175"/>
      <c r="H158" s="175"/>
      <c r="I158" s="175"/>
      <c r="J158" s="175"/>
      <c r="K158" s="175"/>
      <c r="L158" s="175"/>
      <c r="M158" s="175"/>
      <c r="N158" s="176" t="s">
        <v>1435</v>
      </c>
      <c r="O158" s="175" t="s">
        <v>566</v>
      </c>
      <c r="P158" s="175" t="s">
        <v>567</v>
      </c>
      <c r="Q158" s="175"/>
      <c r="R158" s="175"/>
      <c r="S158" s="176" t="s">
        <v>1435</v>
      </c>
      <c r="T158" s="176" t="s">
        <v>1435</v>
      </c>
      <c r="U158" s="176" t="s">
        <v>1435</v>
      </c>
      <c r="V158" s="176" t="s">
        <v>1435</v>
      </c>
      <c r="W158" s="175"/>
      <c r="X158" s="177" t="b">
        <v>1</v>
      </c>
      <c r="Y158" s="177" t="b">
        <v>0</v>
      </c>
      <c r="Z158" s="177" t="b">
        <v>0</v>
      </c>
      <c r="AA158" s="175"/>
      <c r="AB158" s="175"/>
      <c r="AC158" s="177" t="b">
        <v>0</v>
      </c>
      <c r="AD158" s="178" t="s">
        <v>1957</v>
      </c>
      <c r="AE158" s="175" t="s">
        <v>717</v>
      </c>
      <c r="AF158" s="178">
        <v>43652</v>
      </c>
      <c r="AG158" s="175" t="s">
        <v>1830</v>
      </c>
      <c r="AH158" s="127" t="s">
        <v>1830</v>
      </c>
    </row>
    <row r="159" spans="1:34">
      <c r="A159" s="175" t="s">
        <v>1392</v>
      </c>
      <c r="B159" s="175" t="s">
        <v>1393</v>
      </c>
      <c r="C159" s="175"/>
      <c r="D159" s="175" t="s">
        <v>1394</v>
      </c>
      <c r="E159" s="175" t="s">
        <v>1395</v>
      </c>
      <c r="F159" s="175"/>
      <c r="G159" s="175"/>
      <c r="H159" s="175"/>
      <c r="I159" s="175"/>
      <c r="J159" s="175"/>
      <c r="K159" s="175"/>
      <c r="L159" s="175"/>
      <c r="M159" s="175"/>
      <c r="N159" s="176" t="s">
        <v>1435</v>
      </c>
      <c r="O159" s="175" t="s">
        <v>566</v>
      </c>
      <c r="P159" s="175" t="s">
        <v>567</v>
      </c>
      <c r="Q159" s="175"/>
      <c r="R159" s="175"/>
      <c r="S159" s="176" t="s">
        <v>1435</v>
      </c>
      <c r="T159" s="176" t="s">
        <v>1435</v>
      </c>
      <c r="U159" s="176" t="s">
        <v>1435</v>
      </c>
      <c r="V159" s="176" t="s">
        <v>1435</v>
      </c>
      <c r="W159" s="175"/>
      <c r="X159" s="177" t="b">
        <v>1</v>
      </c>
      <c r="Y159" s="177" t="b">
        <v>0</v>
      </c>
      <c r="Z159" s="177" t="b">
        <v>0</v>
      </c>
      <c r="AA159" s="175"/>
      <c r="AB159" s="175"/>
      <c r="AC159" s="177" t="b">
        <v>0</v>
      </c>
      <c r="AD159" s="178">
        <v>43681</v>
      </c>
      <c r="AE159" s="175" t="s">
        <v>579</v>
      </c>
      <c r="AF159" s="178">
        <v>43681</v>
      </c>
      <c r="AG159" s="175" t="s">
        <v>579</v>
      </c>
      <c r="AH159" s="127" t="s">
        <v>579</v>
      </c>
    </row>
    <row r="160" spans="1:34" ht="30">
      <c r="A160" s="175" t="s">
        <v>974</v>
      </c>
      <c r="B160" s="175" t="s">
        <v>975</v>
      </c>
      <c r="C160" s="175" t="s">
        <v>976</v>
      </c>
      <c r="D160" s="175" t="s">
        <v>977</v>
      </c>
      <c r="E160" s="175" t="s">
        <v>978</v>
      </c>
      <c r="F160" s="175"/>
      <c r="G160" s="175"/>
      <c r="H160" s="175"/>
      <c r="I160" s="175"/>
      <c r="J160" s="175"/>
      <c r="K160" s="175"/>
      <c r="L160" s="175"/>
      <c r="M160" s="175"/>
      <c r="N160" s="176" t="s">
        <v>1435</v>
      </c>
      <c r="O160" s="175"/>
      <c r="P160" s="175"/>
      <c r="Q160" s="175" t="s">
        <v>570</v>
      </c>
      <c r="R160" s="175"/>
      <c r="S160" s="176" t="s">
        <v>1435</v>
      </c>
      <c r="T160" s="176" t="s">
        <v>1435</v>
      </c>
      <c r="U160" s="176" t="s">
        <v>1435</v>
      </c>
      <c r="V160" s="176" t="s">
        <v>1435</v>
      </c>
      <c r="W160" s="175"/>
      <c r="X160" s="177" t="b">
        <v>1</v>
      </c>
      <c r="Y160" s="177" t="b">
        <v>1</v>
      </c>
      <c r="Z160" s="177" t="b">
        <v>0</v>
      </c>
      <c r="AA160" s="175"/>
      <c r="AB160" s="175"/>
      <c r="AC160" s="177" t="b">
        <v>0</v>
      </c>
      <c r="AD160" s="178">
        <v>1</v>
      </c>
      <c r="AE160" s="175"/>
      <c r="AF160" s="178" t="s">
        <v>1893</v>
      </c>
      <c r="AG160" s="175" t="s">
        <v>572</v>
      </c>
      <c r="AH160" s="127" t="s">
        <v>572</v>
      </c>
    </row>
    <row r="161" spans="1:34">
      <c r="A161" s="175" t="s">
        <v>979</v>
      </c>
      <c r="B161" s="175" t="s">
        <v>980</v>
      </c>
      <c r="C161" s="175"/>
      <c r="D161" s="175" t="s">
        <v>981</v>
      </c>
      <c r="E161" s="175" t="s">
        <v>982</v>
      </c>
      <c r="F161" s="175"/>
      <c r="G161" s="175"/>
      <c r="H161" s="175"/>
      <c r="I161" s="175" t="s">
        <v>983</v>
      </c>
      <c r="J161" s="175"/>
      <c r="K161" s="175"/>
      <c r="L161" s="175"/>
      <c r="M161" s="175"/>
      <c r="N161" s="176" t="s">
        <v>1435</v>
      </c>
      <c r="O161" s="175" t="s">
        <v>566</v>
      </c>
      <c r="P161" s="175" t="s">
        <v>567</v>
      </c>
      <c r="Q161" s="175"/>
      <c r="R161" s="175"/>
      <c r="S161" s="176" t="s">
        <v>1435</v>
      </c>
      <c r="T161" s="176" t="s">
        <v>1435</v>
      </c>
      <c r="U161" s="176" t="s">
        <v>1435</v>
      </c>
      <c r="V161" s="176" t="s">
        <v>1435</v>
      </c>
      <c r="W161" s="175"/>
      <c r="X161" s="177" t="b">
        <v>1</v>
      </c>
      <c r="Y161" s="177" t="b">
        <v>1</v>
      </c>
      <c r="Z161" s="177" t="b">
        <v>0</v>
      </c>
      <c r="AA161" s="175"/>
      <c r="AB161" s="175"/>
      <c r="AC161" s="177" t="b">
        <v>0</v>
      </c>
      <c r="AD161" s="178">
        <v>43680</v>
      </c>
      <c r="AE161" s="175" t="s">
        <v>568</v>
      </c>
      <c r="AF161" s="178">
        <v>43680</v>
      </c>
      <c r="AG161" s="175" t="s">
        <v>568</v>
      </c>
      <c r="AH161" s="127" t="s">
        <v>568</v>
      </c>
    </row>
    <row r="162" spans="1:34">
      <c r="A162" s="175" t="s">
        <v>202</v>
      </c>
      <c r="B162" s="175" t="s">
        <v>203</v>
      </c>
      <c r="C162" s="175"/>
      <c r="D162" s="175" t="s">
        <v>984</v>
      </c>
      <c r="E162" s="175" t="s">
        <v>985</v>
      </c>
      <c r="F162" s="175"/>
      <c r="G162" s="175"/>
      <c r="H162" s="175"/>
      <c r="I162" s="175" t="s">
        <v>203</v>
      </c>
      <c r="J162" s="175"/>
      <c r="K162" s="175"/>
      <c r="L162" s="175"/>
      <c r="M162" s="175"/>
      <c r="N162" s="176" t="s">
        <v>1435</v>
      </c>
      <c r="O162" s="175" t="s">
        <v>566</v>
      </c>
      <c r="P162" s="175" t="s">
        <v>567</v>
      </c>
      <c r="Q162" s="175"/>
      <c r="R162" s="175"/>
      <c r="S162" s="176" t="s">
        <v>1435</v>
      </c>
      <c r="T162" s="176" t="s">
        <v>1435</v>
      </c>
      <c r="U162" s="176" t="s">
        <v>1435</v>
      </c>
      <c r="V162" s="176" t="s">
        <v>1435</v>
      </c>
      <c r="W162" s="175"/>
      <c r="X162" s="177" t="b">
        <v>1</v>
      </c>
      <c r="Y162" s="177" t="b">
        <v>0</v>
      </c>
      <c r="Z162" s="177" t="b">
        <v>0</v>
      </c>
      <c r="AA162" s="175"/>
      <c r="AB162" s="175"/>
      <c r="AC162" s="177" t="b">
        <v>0</v>
      </c>
      <c r="AD162" s="178">
        <v>43499</v>
      </c>
      <c r="AE162" s="175" t="s">
        <v>717</v>
      </c>
      <c r="AF162" s="178">
        <v>43499</v>
      </c>
      <c r="AG162" s="175" t="s">
        <v>587</v>
      </c>
      <c r="AH162" s="127" t="s">
        <v>587</v>
      </c>
    </row>
    <row r="163" spans="1:34">
      <c r="A163" s="175" t="s">
        <v>986</v>
      </c>
      <c r="B163" s="175" t="s">
        <v>987</v>
      </c>
      <c r="C163" s="175"/>
      <c r="D163" s="175" t="s">
        <v>630</v>
      </c>
      <c r="E163" s="175" t="s">
        <v>988</v>
      </c>
      <c r="F163" s="175"/>
      <c r="G163" s="175"/>
      <c r="H163" s="175"/>
      <c r="I163" s="175" t="s">
        <v>987</v>
      </c>
      <c r="J163" s="175"/>
      <c r="K163" s="175"/>
      <c r="L163" s="175"/>
      <c r="M163" s="175"/>
      <c r="N163" s="176" t="s">
        <v>1435</v>
      </c>
      <c r="O163" s="175" t="s">
        <v>566</v>
      </c>
      <c r="P163" s="175" t="s">
        <v>567</v>
      </c>
      <c r="Q163" s="175"/>
      <c r="R163" s="175"/>
      <c r="S163" s="176" t="s">
        <v>1435</v>
      </c>
      <c r="T163" s="176" t="s">
        <v>1435</v>
      </c>
      <c r="U163" s="176" t="s">
        <v>1435</v>
      </c>
      <c r="V163" s="176" t="s">
        <v>1435</v>
      </c>
      <c r="W163" s="175"/>
      <c r="X163" s="177" t="b">
        <v>1</v>
      </c>
      <c r="Y163" s="177" t="b">
        <v>0</v>
      </c>
      <c r="Z163" s="177" t="b">
        <v>0</v>
      </c>
      <c r="AA163" s="175"/>
      <c r="AB163" s="175"/>
      <c r="AC163" s="177" t="b">
        <v>0</v>
      </c>
      <c r="AD163" s="178">
        <v>43200</v>
      </c>
      <c r="AE163" s="175" t="s">
        <v>568</v>
      </c>
      <c r="AF163" s="178">
        <v>43200</v>
      </c>
      <c r="AG163" s="175" t="s">
        <v>568</v>
      </c>
      <c r="AH163" s="127" t="s">
        <v>568</v>
      </c>
    </row>
    <row r="164" spans="1:34">
      <c r="A164" s="175" t="s">
        <v>989</v>
      </c>
      <c r="B164" s="175" t="s">
        <v>990</v>
      </c>
      <c r="C164" s="175" t="s">
        <v>991</v>
      </c>
      <c r="D164" s="175" t="s">
        <v>992</v>
      </c>
      <c r="E164" s="175"/>
      <c r="F164" s="175"/>
      <c r="G164" s="175"/>
      <c r="H164" s="175"/>
      <c r="I164" s="175"/>
      <c r="J164" s="175"/>
      <c r="K164" s="175"/>
      <c r="L164" s="175"/>
      <c r="M164" s="175"/>
      <c r="N164" s="176" t="s">
        <v>1435</v>
      </c>
      <c r="O164" s="175"/>
      <c r="P164" s="175"/>
      <c r="Q164" s="175" t="s">
        <v>578</v>
      </c>
      <c r="R164" s="175"/>
      <c r="S164" s="176" t="s">
        <v>1435</v>
      </c>
      <c r="T164" s="176" t="s">
        <v>1435</v>
      </c>
      <c r="U164" s="176" t="s">
        <v>1435</v>
      </c>
      <c r="V164" s="176" t="s">
        <v>1435</v>
      </c>
      <c r="W164" s="175"/>
      <c r="X164" s="177" t="b">
        <v>1</v>
      </c>
      <c r="Y164" s="177" t="b">
        <v>1</v>
      </c>
      <c r="Z164" s="177" t="b">
        <v>0</v>
      </c>
      <c r="AA164" s="175"/>
      <c r="AB164" s="175"/>
      <c r="AC164" s="177" t="b">
        <v>0</v>
      </c>
      <c r="AD164" s="178" t="s">
        <v>1958</v>
      </c>
      <c r="AE164" s="175" t="s">
        <v>561</v>
      </c>
      <c r="AF164" s="178" t="s">
        <v>1958</v>
      </c>
      <c r="AG164" s="175" t="s">
        <v>561</v>
      </c>
      <c r="AH164" s="127" t="s">
        <v>561</v>
      </c>
    </row>
    <row r="165" spans="1:34">
      <c r="A165" s="175" t="s">
        <v>993</v>
      </c>
      <c r="B165" s="175" t="s">
        <v>994</v>
      </c>
      <c r="C165" s="175"/>
      <c r="D165" s="175" t="s">
        <v>654</v>
      </c>
      <c r="E165" s="175" t="s">
        <v>1443</v>
      </c>
      <c r="F165" s="175"/>
      <c r="G165" s="175"/>
      <c r="H165" s="175"/>
      <c r="I165" s="175" t="s">
        <v>994</v>
      </c>
      <c r="J165" s="175"/>
      <c r="K165" s="175"/>
      <c r="L165" s="175"/>
      <c r="M165" s="175"/>
      <c r="N165" s="176" t="s">
        <v>1435</v>
      </c>
      <c r="O165" s="175" t="s">
        <v>566</v>
      </c>
      <c r="P165" s="175" t="s">
        <v>567</v>
      </c>
      <c r="Q165" s="175"/>
      <c r="R165" s="175"/>
      <c r="S165" s="176" t="s">
        <v>1435</v>
      </c>
      <c r="T165" s="176" t="s">
        <v>1435</v>
      </c>
      <c r="U165" s="176" t="s">
        <v>1435</v>
      </c>
      <c r="V165" s="176" t="s">
        <v>1435</v>
      </c>
      <c r="W165" s="175"/>
      <c r="X165" s="177" t="b">
        <v>1</v>
      </c>
      <c r="Y165" s="177" t="b">
        <v>1</v>
      </c>
      <c r="Z165" s="177" t="b">
        <v>0</v>
      </c>
      <c r="AA165" s="175"/>
      <c r="AB165" s="175"/>
      <c r="AC165" s="177" t="b">
        <v>0</v>
      </c>
      <c r="AD165" s="178">
        <v>43320</v>
      </c>
      <c r="AE165" s="175" t="s">
        <v>579</v>
      </c>
      <c r="AF165" s="178">
        <v>43321</v>
      </c>
      <c r="AG165" s="175" t="s">
        <v>569</v>
      </c>
      <c r="AH165" s="127" t="s">
        <v>569</v>
      </c>
    </row>
    <row r="166" spans="1:34" ht="30">
      <c r="A166" s="175" t="s">
        <v>995</v>
      </c>
      <c r="B166" s="175" t="s">
        <v>996</v>
      </c>
      <c r="C166" s="175"/>
      <c r="D166" s="175"/>
      <c r="E166" s="175"/>
      <c r="F166" s="175"/>
      <c r="G166" s="175"/>
      <c r="H166" s="175"/>
      <c r="I166" s="175"/>
      <c r="J166" s="175"/>
      <c r="K166" s="175"/>
      <c r="L166" s="175"/>
      <c r="M166" s="175"/>
      <c r="N166" s="176" t="s">
        <v>1435</v>
      </c>
      <c r="O166" s="175"/>
      <c r="P166" s="175"/>
      <c r="Q166" s="175" t="s">
        <v>570</v>
      </c>
      <c r="R166" s="175"/>
      <c r="S166" s="176" t="s">
        <v>1435</v>
      </c>
      <c r="T166" s="176" t="s">
        <v>1435</v>
      </c>
      <c r="U166" s="176" t="s">
        <v>1435</v>
      </c>
      <c r="V166" s="176" t="s">
        <v>1435</v>
      </c>
      <c r="W166" s="175"/>
      <c r="X166" s="177" t="b">
        <v>1</v>
      </c>
      <c r="Y166" s="177" t="b">
        <v>1</v>
      </c>
      <c r="Z166" s="177" t="b">
        <v>0</v>
      </c>
      <c r="AA166" s="175"/>
      <c r="AB166" s="175"/>
      <c r="AC166" s="177" t="b">
        <v>0</v>
      </c>
      <c r="AD166" s="178">
        <v>1</v>
      </c>
      <c r="AE166" s="175"/>
      <c r="AF166" s="178" t="s">
        <v>1893</v>
      </c>
      <c r="AG166" s="175" t="s">
        <v>572</v>
      </c>
      <c r="AH166" s="127" t="s">
        <v>572</v>
      </c>
    </row>
    <row r="167" spans="1:34">
      <c r="A167" s="175" t="s">
        <v>997</v>
      </c>
      <c r="B167" s="175" t="s">
        <v>998</v>
      </c>
      <c r="C167" s="175" t="s">
        <v>999</v>
      </c>
      <c r="D167" s="175"/>
      <c r="E167" s="175"/>
      <c r="F167" s="175"/>
      <c r="G167" s="175"/>
      <c r="H167" s="175"/>
      <c r="I167" s="175" t="s">
        <v>998</v>
      </c>
      <c r="J167" s="175"/>
      <c r="K167" s="175"/>
      <c r="L167" s="175"/>
      <c r="M167" s="175"/>
      <c r="N167" s="176" t="s">
        <v>1435</v>
      </c>
      <c r="O167" s="175" t="s">
        <v>566</v>
      </c>
      <c r="P167" s="175" t="s">
        <v>567</v>
      </c>
      <c r="Q167" s="175"/>
      <c r="R167" s="175"/>
      <c r="S167" s="176" t="s">
        <v>1435</v>
      </c>
      <c r="T167" s="176" t="s">
        <v>1435</v>
      </c>
      <c r="U167" s="176" t="s">
        <v>1435</v>
      </c>
      <c r="V167" s="176" t="s">
        <v>1435</v>
      </c>
      <c r="W167" s="175"/>
      <c r="X167" s="177" t="b">
        <v>1</v>
      </c>
      <c r="Y167" s="177" t="b">
        <v>0</v>
      </c>
      <c r="Z167" s="177" t="b">
        <v>0</v>
      </c>
      <c r="AA167" s="175"/>
      <c r="AB167" s="175"/>
      <c r="AC167" s="177" t="b">
        <v>0</v>
      </c>
      <c r="AD167" s="178">
        <v>43558</v>
      </c>
      <c r="AE167" s="175" t="s">
        <v>717</v>
      </c>
      <c r="AF167" s="178">
        <v>43558</v>
      </c>
      <c r="AG167" s="175" t="s">
        <v>717</v>
      </c>
      <c r="AH167" s="127" t="s">
        <v>717</v>
      </c>
    </row>
    <row r="168" spans="1:34">
      <c r="A168" s="175" t="s">
        <v>204</v>
      </c>
      <c r="B168" s="175" t="s">
        <v>205</v>
      </c>
      <c r="C168" s="175"/>
      <c r="D168" s="175"/>
      <c r="E168" s="175" t="s">
        <v>1000</v>
      </c>
      <c r="F168" s="175"/>
      <c r="G168" s="175"/>
      <c r="H168" s="175"/>
      <c r="I168" s="175" t="s">
        <v>205</v>
      </c>
      <c r="J168" s="175"/>
      <c r="K168" s="175"/>
      <c r="L168" s="175"/>
      <c r="M168" s="175"/>
      <c r="N168" s="176" t="s">
        <v>1435</v>
      </c>
      <c r="O168" s="175" t="s">
        <v>566</v>
      </c>
      <c r="P168" s="175" t="s">
        <v>567</v>
      </c>
      <c r="Q168" s="175"/>
      <c r="R168" s="175"/>
      <c r="S168" s="176" t="s">
        <v>1435</v>
      </c>
      <c r="T168" s="176" t="s">
        <v>1435</v>
      </c>
      <c r="U168" s="176" t="s">
        <v>1435</v>
      </c>
      <c r="V168" s="176" t="s">
        <v>1435</v>
      </c>
      <c r="W168" s="175"/>
      <c r="X168" s="177" t="b">
        <v>1</v>
      </c>
      <c r="Y168" s="177" t="b">
        <v>0</v>
      </c>
      <c r="Z168" s="177" t="b">
        <v>0</v>
      </c>
      <c r="AA168" s="175"/>
      <c r="AB168" s="175"/>
      <c r="AC168" s="177" t="b">
        <v>0</v>
      </c>
      <c r="AD168" s="178">
        <v>43772</v>
      </c>
      <c r="AE168" s="175" t="s">
        <v>717</v>
      </c>
      <c r="AF168" s="178">
        <v>43772</v>
      </c>
      <c r="AG168" s="175" t="s">
        <v>717</v>
      </c>
      <c r="AH168" s="127" t="s">
        <v>717</v>
      </c>
    </row>
    <row r="169" spans="1:34">
      <c r="A169" s="175" t="s">
        <v>1001</v>
      </c>
      <c r="B169" s="175" t="s">
        <v>1002</v>
      </c>
      <c r="C169" s="175" t="s">
        <v>1003</v>
      </c>
      <c r="D169" s="175" t="s">
        <v>1004</v>
      </c>
      <c r="E169" s="175"/>
      <c r="F169" s="175"/>
      <c r="G169" s="175"/>
      <c r="H169" s="175"/>
      <c r="I169" s="175"/>
      <c r="J169" s="175"/>
      <c r="K169" s="175"/>
      <c r="L169" s="175"/>
      <c r="M169" s="175"/>
      <c r="N169" s="176" t="s">
        <v>1435</v>
      </c>
      <c r="O169" s="175"/>
      <c r="P169" s="175"/>
      <c r="Q169" s="175" t="s">
        <v>578</v>
      </c>
      <c r="R169" s="175"/>
      <c r="S169" s="176" t="s">
        <v>1435</v>
      </c>
      <c r="T169" s="176" t="s">
        <v>1435</v>
      </c>
      <c r="U169" s="176" t="s">
        <v>1435</v>
      </c>
      <c r="V169" s="176" t="s">
        <v>1435</v>
      </c>
      <c r="W169" s="175"/>
      <c r="X169" s="177" t="b">
        <v>1</v>
      </c>
      <c r="Y169" s="177" t="b">
        <v>1</v>
      </c>
      <c r="Z169" s="177" t="b">
        <v>0</v>
      </c>
      <c r="AA169" s="175"/>
      <c r="AB169" s="175"/>
      <c r="AC169" s="177" t="b">
        <v>0</v>
      </c>
      <c r="AD169" s="178">
        <v>43320</v>
      </c>
      <c r="AE169" s="175" t="s">
        <v>579</v>
      </c>
      <c r="AF169" s="178">
        <v>43320</v>
      </c>
      <c r="AG169" s="175" t="s">
        <v>579</v>
      </c>
      <c r="AH169" s="127" t="s">
        <v>579</v>
      </c>
    </row>
    <row r="170" spans="1:34">
      <c r="A170" s="175" t="s">
        <v>1005</v>
      </c>
      <c r="B170" s="175" t="s">
        <v>1006</v>
      </c>
      <c r="C170" s="175"/>
      <c r="D170" s="175" t="s">
        <v>630</v>
      </c>
      <c r="E170" s="175" t="s">
        <v>1007</v>
      </c>
      <c r="F170" s="175"/>
      <c r="G170" s="175"/>
      <c r="H170" s="175"/>
      <c r="I170" s="175" t="s">
        <v>1006</v>
      </c>
      <c r="J170" s="175"/>
      <c r="K170" s="175"/>
      <c r="L170" s="175"/>
      <c r="M170" s="175"/>
      <c r="N170" s="176" t="s">
        <v>1435</v>
      </c>
      <c r="O170" s="175" t="s">
        <v>566</v>
      </c>
      <c r="P170" s="175" t="s">
        <v>567</v>
      </c>
      <c r="Q170" s="175"/>
      <c r="R170" s="175" t="s">
        <v>1512</v>
      </c>
      <c r="S170" s="176" t="s">
        <v>1435</v>
      </c>
      <c r="T170" s="176" t="s">
        <v>1435</v>
      </c>
      <c r="U170" s="176" t="s">
        <v>1435</v>
      </c>
      <c r="V170" s="176" t="s">
        <v>1435</v>
      </c>
      <c r="W170" s="175"/>
      <c r="X170" s="177" t="b">
        <v>1</v>
      </c>
      <c r="Y170" s="177" t="b">
        <v>0</v>
      </c>
      <c r="Z170" s="177" t="b">
        <v>0</v>
      </c>
      <c r="AA170" s="175"/>
      <c r="AB170" s="175"/>
      <c r="AC170" s="177" t="b">
        <v>0</v>
      </c>
      <c r="AD170" s="178" t="s">
        <v>1959</v>
      </c>
      <c r="AE170" s="175" t="s">
        <v>587</v>
      </c>
      <c r="AF170" s="178">
        <v>43560</v>
      </c>
      <c r="AG170" s="175" t="s">
        <v>927</v>
      </c>
      <c r="AH170" s="127" t="s">
        <v>927</v>
      </c>
    </row>
    <row r="171" spans="1:34">
      <c r="A171" s="175" t="s">
        <v>1008</v>
      </c>
      <c r="B171" s="175" t="s">
        <v>1009</v>
      </c>
      <c r="C171" s="175"/>
      <c r="D171" s="175" t="s">
        <v>606</v>
      </c>
      <c r="E171" s="175" t="s">
        <v>1010</v>
      </c>
      <c r="F171" s="175"/>
      <c r="G171" s="175"/>
      <c r="H171" s="175"/>
      <c r="I171" s="175" t="s">
        <v>1009</v>
      </c>
      <c r="J171" s="175"/>
      <c r="K171" s="175"/>
      <c r="L171" s="175"/>
      <c r="M171" s="175"/>
      <c r="N171" s="176" t="s">
        <v>1548</v>
      </c>
      <c r="O171" s="175" t="s">
        <v>566</v>
      </c>
      <c r="P171" s="175" t="s">
        <v>567</v>
      </c>
      <c r="Q171" s="175"/>
      <c r="R171" s="175" t="s">
        <v>1521</v>
      </c>
      <c r="S171" s="176" t="s">
        <v>1435</v>
      </c>
      <c r="T171" s="176" t="s">
        <v>1435</v>
      </c>
      <c r="U171" s="176" t="s">
        <v>1435</v>
      </c>
      <c r="V171" s="176" t="s">
        <v>1435</v>
      </c>
      <c r="W171" s="175"/>
      <c r="X171" s="177" t="b">
        <v>1</v>
      </c>
      <c r="Y171" s="177" t="b">
        <v>1</v>
      </c>
      <c r="Z171" s="177" t="b">
        <v>0</v>
      </c>
      <c r="AA171" s="175"/>
      <c r="AB171" s="175"/>
      <c r="AC171" s="177" t="b">
        <v>0</v>
      </c>
      <c r="AD171" s="178">
        <v>1</v>
      </c>
      <c r="AE171" s="175"/>
      <c r="AF171" s="178">
        <v>43651</v>
      </c>
      <c r="AG171" s="175" t="s">
        <v>927</v>
      </c>
      <c r="AH171" s="127" t="s">
        <v>927</v>
      </c>
    </row>
    <row r="172" spans="1:34">
      <c r="A172" s="175" t="s">
        <v>1011</v>
      </c>
      <c r="B172" s="175" t="s">
        <v>1012</v>
      </c>
      <c r="C172" s="175" t="s">
        <v>1013</v>
      </c>
      <c r="D172" s="175" t="s">
        <v>1014</v>
      </c>
      <c r="E172" s="175"/>
      <c r="F172" s="175"/>
      <c r="G172" s="175"/>
      <c r="H172" s="175"/>
      <c r="I172" s="175"/>
      <c r="J172" s="175"/>
      <c r="K172" s="175"/>
      <c r="L172" s="175"/>
      <c r="M172" s="175"/>
      <c r="N172" s="176" t="s">
        <v>1435</v>
      </c>
      <c r="O172" s="175"/>
      <c r="P172" s="175"/>
      <c r="Q172" s="175" t="s">
        <v>578</v>
      </c>
      <c r="R172" s="175"/>
      <c r="S172" s="176" t="s">
        <v>1435</v>
      </c>
      <c r="T172" s="176" t="s">
        <v>1435</v>
      </c>
      <c r="U172" s="176" t="s">
        <v>1435</v>
      </c>
      <c r="V172" s="176" t="s">
        <v>1435</v>
      </c>
      <c r="W172" s="175"/>
      <c r="X172" s="177" t="b">
        <v>1</v>
      </c>
      <c r="Y172" s="177" t="b">
        <v>1</v>
      </c>
      <c r="Z172" s="177" t="b">
        <v>0</v>
      </c>
      <c r="AA172" s="175"/>
      <c r="AB172" s="175"/>
      <c r="AC172" s="177" t="b">
        <v>0</v>
      </c>
      <c r="AD172" s="178" t="s">
        <v>1935</v>
      </c>
      <c r="AE172" s="175" t="s">
        <v>579</v>
      </c>
      <c r="AF172" s="178" t="s">
        <v>1960</v>
      </c>
      <c r="AG172" s="175" t="s">
        <v>569</v>
      </c>
      <c r="AH172" s="127" t="s">
        <v>569</v>
      </c>
    </row>
    <row r="173" spans="1:34">
      <c r="A173" s="175" t="s">
        <v>1015</v>
      </c>
      <c r="B173" s="175" t="s">
        <v>1553</v>
      </c>
      <c r="C173" s="175"/>
      <c r="D173" s="175"/>
      <c r="E173" s="175" t="s">
        <v>1016</v>
      </c>
      <c r="F173" s="175"/>
      <c r="G173" s="175"/>
      <c r="H173" s="175"/>
      <c r="I173" s="175" t="s">
        <v>1553</v>
      </c>
      <c r="J173" s="175"/>
      <c r="K173" s="175"/>
      <c r="L173" s="175"/>
      <c r="M173" s="175"/>
      <c r="N173" s="176" t="s">
        <v>1435</v>
      </c>
      <c r="O173" s="175" t="s">
        <v>566</v>
      </c>
      <c r="P173" s="175" t="s">
        <v>567</v>
      </c>
      <c r="Q173" s="175"/>
      <c r="R173" s="175" t="s">
        <v>1512</v>
      </c>
      <c r="S173" s="176" t="s">
        <v>1435</v>
      </c>
      <c r="T173" s="176" t="s">
        <v>1435</v>
      </c>
      <c r="U173" s="176" t="s">
        <v>1435</v>
      </c>
      <c r="V173" s="176" t="s">
        <v>1435</v>
      </c>
      <c r="W173" s="175"/>
      <c r="X173" s="177" t="b">
        <v>1</v>
      </c>
      <c r="Y173" s="177" t="b">
        <v>0</v>
      </c>
      <c r="Z173" s="177" t="b">
        <v>0</v>
      </c>
      <c r="AA173" s="175"/>
      <c r="AB173" s="175"/>
      <c r="AC173" s="177" t="b">
        <v>0</v>
      </c>
      <c r="AD173" s="178" t="s">
        <v>1961</v>
      </c>
      <c r="AE173" s="175" t="s">
        <v>561</v>
      </c>
      <c r="AF173" s="178">
        <v>43651</v>
      </c>
      <c r="AG173" s="175" t="s">
        <v>927</v>
      </c>
      <c r="AH173" s="127" t="s">
        <v>927</v>
      </c>
    </row>
    <row r="174" spans="1:34">
      <c r="A174" s="175" t="s">
        <v>1017</v>
      </c>
      <c r="B174" s="175" t="s">
        <v>1018</v>
      </c>
      <c r="C174" s="175"/>
      <c r="D174" s="175" t="s">
        <v>828</v>
      </c>
      <c r="E174" s="175" t="s">
        <v>1019</v>
      </c>
      <c r="F174" s="175"/>
      <c r="G174" s="175"/>
      <c r="H174" s="175"/>
      <c r="I174" s="175" t="s">
        <v>1018</v>
      </c>
      <c r="J174" s="175"/>
      <c r="K174" s="175"/>
      <c r="L174" s="175"/>
      <c r="M174" s="175"/>
      <c r="N174" s="176" t="s">
        <v>1435</v>
      </c>
      <c r="O174" s="175" t="s">
        <v>566</v>
      </c>
      <c r="P174" s="175" t="s">
        <v>567</v>
      </c>
      <c r="Q174" s="175"/>
      <c r="R174" s="175"/>
      <c r="S174" s="176" t="s">
        <v>1435</v>
      </c>
      <c r="T174" s="176" t="s">
        <v>1435</v>
      </c>
      <c r="U174" s="176" t="s">
        <v>1435</v>
      </c>
      <c r="V174" s="176" t="s">
        <v>1435</v>
      </c>
      <c r="W174" s="175"/>
      <c r="X174" s="177" t="b">
        <v>1</v>
      </c>
      <c r="Y174" s="177" t="b">
        <v>0</v>
      </c>
      <c r="Z174" s="177" t="b">
        <v>0</v>
      </c>
      <c r="AA174" s="175"/>
      <c r="AB174" s="175"/>
      <c r="AC174" s="177" t="b">
        <v>0</v>
      </c>
      <c r="AD174" s="178">
        <v>1</v>
      </c>
      <c r="AE174" s="175"/>
      <c r="AF174" s="178" t="s">
        <v>1894</v>
      </c>
      <c r="AG174" s="175" t="s">
        <v>569</v>
      </c>
      <c r="AH174" s="127" t="s">
        <v>569</v>
      </c>
    </row>
    <row r="175" spans="1:34">
      <c r="A175" s="175" t="s">
        <v>1020</v>
      </c>
      <c r="B175" s="175" t="s">
        <v>1021</v>
      </c>
      <c r="C175" s="175"/>
      <c r="D175" s="175" t="s">
        <v>630</v>
      </c>
      <c r="E175" s="175" t="s">
        <v>1022</v>
      </c>
      <c r="F175" s="175"/>
      <c r="G175" s="175"/>
      <c r="H175" s="175"/>
      <c r="I175" s="175" t="s">
        <v>1021</v>
      </c>
      <c r="J175" s="175"/>
      <c r="K175" s="175"/>
      <c r="L175" s="175"/>
      <c r="M175" s="175"/>
      <c r="N175" s="176" t="s">
        <v>1435</v>
      </c>
      <c r="O175" s="175" t="s">
        <v>566</v>
      </c>
      <c r="P175" s="175" t="s">
        <v>567</v>
      </c>
      <c r="Q175" s="175"/>
      <c r="R175" s="175"/>
      <c r="S175" s="176" t="s">
        <v>1435</v>
      </c>
      <c r="T175" s="176" t="s">
        <v>1435</v>
      </c>
      <c r="U175" s="176" t="s">
        <v>1435</v>
      </c>
      <c r="V175" s="176" t="s">
        <v>1435</v>
      </c>
      <c r="W175" s="175"/>
      <c r="X175" s="177" t="b">
        <v>1</v>
      </c>
      <c r="Y175" s="177" t="b">
        <v>0</v>
      </c>
      <c r="Z175" s="177" t="b">
        <v>0</v>
      </c>
      <c r="AA175" s="175"/>
      <c r="AB175" s="175"/>
      <c r="AC175" s="177" t="b">
        <v>0</v>
      </c>
      <c r="AD175" s="178" t="s">
        <v>1962</v>
      </c>
      <c r="AE175" s="175" t="s">
        <v>568</v>
      </c>
      <c r="AF175" s="178" t="s">
        <v>1962</v>
      </c>
      <c r="AG175" s="175" t="s">
        <v>568</v>
      </c>
      <c r="AH175" s="127" t="s">
        <v>568</v>
      </c>
    </row>
    <row r="176" spans="1:34">
      <c r="A176" s="175" t="s">
        <v>207</v>
      </c>
      <c r="B176" s="175" t="s">
        <v>208</v>
      </c>
      <c r="C176" s="175"/>
      <c r="D176" s="175" t="s">
        <v>1023</v>
      </c>
      <c r="E176" s="175" t="s">
        <v>1024</v>
      </c>
      <c r="F176" s="175"/>
      <c r="G176" s="175"/>
      <c r="H176" s="175"/>
      <c r="I176" s="175" t="s">
        <v>208</v>
      </c>
      <c r="J176" s="175"/>
      <c r="K176" s="175"/>
      <c r="L176" s="175"/>
      <c r="M176" s="175"/>
      <c r="N176" s="176" t="s">
        <v>1435</v>
      </c>
      <c r="O176" s="175" t="s">
        <v>566</v>
      </c>
      <c r="P176" s="175" t="s">
        <v>567</v>
      </c>
      <c r="Q176" s="175"/>
      <c r="R176" s="175" t="s">
        <v>1512</v>
      </c>
      <c r="S176" s="176" t="s">
        <v>1435</v>
      </c>
      <c r="T176" s="176" t="s">
        <v>1435</v>
      </c>
      <c r="U176" s="176" t="s">
        <v>1435</v>
      </c>
      <c r="V176" s="176" t="s">
        <v>1435</v>
      </c>
      <c r="W176" s="175"/>
      <c r="X176" s="177" t="b">
        <v>1</v>
      </c>
      <c r="Y176" s="177" t="b">
        <v>0</v>
      </c>
      <c r="Z176" s="177" t="b">
        <v>0</v>
      </c>
      <c r="AA176" s="175"/>
      <c r="AB176" s="175"/>
      <c r="AC176" s="177" t="b">
        <v>0</v>
      </c>
      <c r="AD176" s="178">
        <v>43200</v>
      </c>
      <c r="AE176" s="175" t="s">
        <v>587</v>
      </c>
      <c r="AF176" s="178">
        <v>43560</v>
      </c>
      <c r="AG176" s="175" t="s">
        <v>927</v>
      </c>
      <c r="AH176" s="127" t="s">
        <v>927</v>
      </c>
    </row>
    <row r="177" spans="1:34">
      <c r="A177" s="175" t="s">
        <v>1554</v>
      </c>
      <c r="B177" s="175" t="s">
        <v>1555</v>
      </c>
      <c r="C177" s="175"/>
      <c r="D177" s="175" t="s">
        <v>1556</v>
      </c>
      <c r="E177" s="175" t="s">
        <v>1557</v>
      </c>
      <c r="F177" s="175"/>
      <c r="G177" s="175"/>
      <c r="H177" s="175"/>
      <c r="I177" s="175" t="s">
        <v>1555</v>
      </c>
      <c r="J177" s="175"/>
      <c r="K177" s="175"/>
      <c r="L177" s="175"/>
      <c r="M177" s="175"/>
      <c r="N177" s="176" t="s">
        <v>1435</v>
      </c>
      <c r="O177" s="175" t="s">
        <v>566</v>
      </c>
      <c r="P177" s="175" t="s">
        <v>567</v>
      </c>
      <c r="Q177" s="175"/>
      <c r="R177" s="175" t="s">
        <v>1517</v>
      </c>
      <c r="S177" s="176" t="s">
        <v>1435</v>
      </c>
      <c r="T177" s="176" t="s">
        <v>1435</v>
      </c>
      <c r="U177" s="176" t="s">
        <v>1435</v>
      </c>
      <c r="V177" s="176" t="s">
        <v>1435</v>
      </c>
      <c r="W177" s="175"/>
      <c r="X177" s="177" t="b">
        <v>1</v>
      </c>
      <c r="Y177" s="177" t="b">
        <v>0</v>
      </c>
      <c r="Z177" s="177" t="b">
        <v>0</v>
      </c>
      <c r="AA177" s="175"/>
      <c r="AB177" s="175"/>
      <c r="AC177" s="177" t="b">
        <v>0</v>
      </c>
      <c r="AD177" s="178" t="s">
        <v>1963</v>
      </c>
      <c r="AE177" s="175" t="s">
        <v>568</v>
      </c>
      <c r="AF177" s="178">
        <v>43560</v>
      </c>
      <c r="AG177" s="175" t="s">
        <v>927</v>
      </c>
      <c r="AH177" s="127" t="s">
        <v>927</v>
      </c>
    </row>
    <row r="178" spans="1:34">
      <c r="A178" s="175" t="s">
        <v>1025</v>
      </c>
      <c r="B178" s="175" t="s">
        <v>1026</v>
      </c>
      <c r="C178" s="175"/>
      <c r="D178" s="175" t="s">
        <v>1027</v>
      </c>
      <c r="E178" s="175" t="s">
        <v>1028</v>
      </c>
      <c r="F178" s="175"/>
      <c r="G178" s="175"/>
      <c r="H178" s="175"/>
      <c r="I178" s="175" t="s">
        <v>1026</v>
      </c>
      <c r="J178" s="175"/>
      <c r="K178" s="175"/>
      <c r="L178" s="175"/>
      <c r="M178" s="175"/>
      <c r="N178" s="176" t="s">
        <v>1435</v>
      </c>
      <c r="O178" s="175" t="s">
        <v>566</v>
      </c>
      <c r="P178" s="175" t="s">
        <v>567</v>
      </c>
      <c r="Q178" s="175"/>
      <c r="R178" s="175"/>
      <c r="S178" s="176" t="s">
        <v>1435</v>
      </c>
      <c r="T178" s="176" t="s">
        <v>1435</v>
      </c>
      <c r="U178" s="176" t="s">
        <v>1435</v>
      </c>
      <c r="V178" s="176" t="s">
        <v>1435</v>
      </c>
      <c r="W178" s="175"/>
      <c r="X178" s="177" t="b">
        <v>1</v>
      </c>
      <c r="Y178" s="177" t="b">
        <v>0</v>
      </c>
      <c r="Z178" s="177" t="b">
        <v>0</v>
      </c>
      <c r="AA178" s="175"/>
      <c r="AB178" s="175"/>
      <c r="AC178" s="177" t="b">
        <v>0</v>
      </c>
      <c r="AD178" s="178">
        <v>43198</v>
      </c>
      <c r="AE178" s="175" t="s">
        <v>579</v>
      </c>
      <c r="AF178" s="178">
        <v>43586</v>
      </c>
      <c r="AG178" s="175" t="s">
        <v>587</v>
      </c>
      <c r="AH178" s="127" t="s">
        <v>587</v>
      </c>
    </row>
    <row r="179" spans="1:34">
      <c r="A179" s="175" t="s">
        <v>1029</v>
      </c>
      <c r="B179" s="175" t="s">
        <v>1030</v>
      </c>
      <c r="C179" s="175"/>
      <c r="D179" s="175" t="s">
        <v>630</v>
      </c>
      <c r="E179" s="175" t="s">
        <v>1031</v>
      </c>
      <c r="F179" s="175"/>
      <c r="G179" s="175"/>
      <c r="H179" s="175"/>
      <c r="I179" s="175" t="s">
        <v>1030</v>
      </c>
      <c r="J179" s="175"/>
      <c r="K179" s="175"/>
      <c r="L179" s="175"/>
      <c r="M179" s="175"/>
      <c r="N179" s="176" t="s">
        <v>1435</v>
      </c>
      <c r="O179" s="175" t="s">
        <v>566</v>
      </c>
      <c r="P179" s="175" t="s">
        <v>567</v>
      </c>
      <c r="Q179" s="175"/>
      <c r="R179" s="175"/>
      <c r="S179" s="176" t="s">
        <v>1435</v>
      </c>
      <c r="T179" s="176" t="s">
        <v>1435</v>
      </c>
      <c r="U179" s="176" t="s">
        <v>1435</v>
      </c>
      <c r="V179" s="176" t="s">
        <v>1435</v>
      </c>
      <c r="W179" s="175"/>
      <c r="X179" s="177" t="b">
        <v>1</v>
      </c>
      <c r="Y179" s="177" t="b">
        <v>0</v>
      </c>
      <c r="Z179" s="177" t="b">
        <v>0</v>
      </c>
      <c r="AA179" s="175"/>
      <c r="AB179" s="175"/>
      <c r="AC179" s="177" t="b">
        <v>0</v>
      </c>
      <c r="AD179" s="178" t="s">
        <v>1964</v>
      </c>
      <c r="AE179" s="175" t="s">
        <v>568</v>
      </c>
      <c r="AF179" s="178" t="s">
        <v>1964</v>
      </c>
      <c r="AG179" s="175" t="s">
        <v>568</v>
      </c>
      <c r="AH179" s="127" t="s">
        <v>568</v>
      </c>
    </row>
    <row r="180" spans="1:34">
      <c r="A180" s="175" t="s">
        <v>1032</v>
      </c>
      <c r="B180" s="175" t="s">
        <v>1033</v>
      </c>
      <c r="C180" s="175"/>
      <c r="D180" s="175" t="s">
        <v>1034</v>
      </c>
      <c r="E180" s="175" t="s">
        <v>1035</v>
      </c>
      <c r="F180" s="175"/>
      <c r="G180" s="175"/>
      <c r="H180" s="175"/>
      <c r="I180" s="175" t="s">
        <v>1033</v>
      </c>
      <c r="J180" s="175"/>
      <c r="K180" s="175"/>
      <c r="L180" s="175"/>
      <c r="M180" s="175"/>
      <c r="N180" s="176" t="s">
        <v>1435</v>
      </c>
      <c r="O180" s="175" t="s">
        <v>566</v>
      </c>
      <c r="P180" s="175" t="s">
        <v>567</v>
      </c>
      <c r="Q180" s="175"/>
      <c r="R180" s="175"/>
      <c r="S180" s="176" t="s">
        <v>1435</v>
      </c>
      <c r="T180" s="176" t="s">
        <v>1435</v>
      </c>
      <c r="U180" s="176" t="s">
        <v>1435</v>
      </c>
      <c r="V180" s="176" t="s">
        <v>1435</v>
      </c>
      <c r="W180" s="175"/>
      <c r="X180" s="177" t="b">
        <v>1</v>
      </c>
      <c r="Y180" s="177" t="b">
        <v>0</v>
      </c>
      <c r="Z180" s="177" t="b">
        <v>0</v>
      </c>
      <c r="AA180" s="175"/>
      <c r="AB180" s="175"/>
      <c r="AC180" s="177" t="b">
        <v>0</v>
      </c>
      <c r="AD180" s="178" t="s">
        <v>1898</v>
      </c>
      <c r="AE180" s="175" t="s">
        <v>568</v>
      </c>
      <c r="AF180" s="178" t="s">
        <v>1898</v>
      </c>
      <c r="AG180" s="175" t="s">
        <v>568</v>
      </c>
      <c r="AH180" s="127" t="s">
        <v>568</v>
      </c>
    </row>
    <row r="181" spans="1:34">
      <c r="A181" s="175" t="s">
        <v>210</v>
      </c>
      <c r="B181" s="175" t="s">
        <v>211</v>
      </c>
      <c r="C181" s="175"/>
      <c r="D181" s="175" t="s">
        <v>620</v>
      </c>
      <c r="E181" s="175" t="s">
        <v>621</v>
      </c>
      <c r="F181" s="175"/>
      <c r="G181" s="175"/>
      <c r="H181" s="175"/>
      <c r="I181" s="175" t="s">
        <v>211</v>
      </c>
      <c r="J181" s="175"/>
      <c r="K181" s="175"/>
      <c r="L181" s="175"/>
      <c r="M181" s="175"/>
      <c r="N181" s="176" t="s">
        <v>1435</v>
      </c>
      <c r="O181" s="175" t="s">
        <v>566</v>
      </c>
      <c r="P181" s="175" t="s">
        <v>567</v>
      </c>
      <c r="Q181" s="175"/>
      <c r="R181" s="175" t="s">
        <v>1517</v>
      </c>
      <c r="S181" s="176" t="s">
        <v>1435</v>
      </c>
      <c r="T181" s="176" t="s">
        <v>1435</v>
      </c>
      <c r="U181" s="176" t="s">
        <v>1435</v>
      </c>
      <c r="V181" s="176" t="s">
        <v>1435</v>
      </c>
      <c r="W181" s="175"/>
      <c r="X181" s="177" t="b">
        <v>1</v>
      </c>
      <c r="Y181" s="177" t="b">
        <v>0</v>
      </c>
      <c r="Z181" s="177" t="b">
        <v>0</v>
      </c>
      <c r="AA181" s="175"/>
      <c r="AB181" s="175"/>
      <c r="AC181" s="177" t="b">
        <v>0</v>
      </c>
      <c r="AD181" s="178">
        <v>43711</v>
      </c>
      <c r="AE181" s="175" t="s">
        <v>587</v>
      </c>
      <c r="AF181" s="178">
        <v>43560</v>
      </c>
      <c r="AG181" s="175" t="s">
        <v>927</v>
      </c>
      <c r="AH181" s="127" t="s">
        <v>927</v>
      </c>
    </row>
    <row r="182" spans="1:34">
      <c r="A182" s="175" t="s">
        <v>1036</v>
      </c>
      <c r="B182" s="175" t="s">
        <v>1037</v>
      </c>
      <c r="C182" s="175"/>
      <c r="D182" s="175" t="s">
        <v>1038</v>
      </c>
      <c r="E182" s="175" t="s">
        <v>1039</v>
      </c>
      <c r="F182" s="175"/>
      <c r="G182" s="175"/>
      <c r="H182" s="175"/>
      <c r="I182" s="175" t="s">
        <v>1037</v>
      </c>
      <c r="J182" s="175"/>
      <c r="K182" s="175"/>
      <c r="L182" s="175"/>
      <c r="M182" s="175"/>
      <c r="N182" s="176" t="s">
        <v>1435</v>
      </c>
      <c r="O182" s="175" t="s">
        <v>566</v>
      </c>
      <c r="P182" s="175" t="s">
        <v>567</v>
      </c>
      <c r="Q182" s="175"/>
      <c r="R182" s="175"/>
      <c r="S182" s="176" t="s">
        <v>1435</v>
      </c>
      <c r="T182" s="176" t="s">
        <v>1435</v>
      </c>
      <c r="U182" s="176" t="s">
        <v>1435</v>
      </c>
      <c r="V182" s="176" t="s">
        <v>1435</v>
      </c>
      <c r="W182" s="175"/>
      <c r="X182" s="177" t="b">
        <v>1</v>
      </c>
      <c r="Y182" s="177" t="b">
        <v>0</v>
      </c>
      <c r="Z182" s="177" t="b">
        <v>0</v>
      </c>
      <c r="AA182" s="175"/>
      <c r="AB182" s="175"/>
      <c r="AC182" s="177" t="b">
        <v>0</v>
      </c>
      <c r="AD182" s="178">
        <v>1</v>
      </c>
      <c r="AE182" s="175"/>
      <c r="AF182" s="178" t="s">
        <v>1894</v>
      </c>
      <c r="AG182" s="175" t="s">
        <v>569</v>
      </c>
      <c r="AH182" s="127" t="s">
        <v>569</v>
      </c>
    </row>
    <row r="183" spans="1:34" ht="30">
      <c r="A183" s="175" t="s">
        <v>1040</v>
      </c>
      <c r="B183" s="175" t="s">
        <v>1041</v>
      </c>
      <c r="C183" s="175" t="s">
        <v>1042</v>
      </c>
      <c r="D183" s="175" t="s">
        <v>1043</v>
      </c>
      <c r="E183" s="175"/>
      <c r="F183" s="175"/>
      <c r="G183" s="175"/>
      <c r="H183" s="175"/>
      <c r="I183" s="175"/>
      <c r="J183" s="175"/>
      <c r="K183" s="175"/>
      <c r="L183" s="175"/>
      <c r="M183" s="175"/>
      <c r="N183" s="176" t="s">
        <v>1435</v>
      </c>
      <c r="O183" s="175"/>
      <c r="P183" s="175"/>
      <c r="Q183" s="175" t="s">
        <v>570</v>
      </c>
      <c r="R183" s="175"/>
      <c r="S183" s="176" t="s">
        <v>1435</v>
      </c>
      <c r="T183" s="176" t="s">
        <v>1435</v>
      </c>
      <c r="U183" s="176" t="s">
        <v>1435</v>
      </c>
      <c r="V183" s="176" t="s">
        <v>1435</v>
      </c>
      <c r="W183" s="175"/>
      <c r="X183" s="177" t="b">
        <v>1</v>
      </c>
      <c r="Y183" s="177" t="b">
        <v>1</v>
      </c>
      <c r="Z183" s="177" t="b">
        <v>0</v>
      </c>
      <c r="AA183" s="175"/>
      <c r="AB183" s="175"/>
      <c r="AC183" s="177" t="b">
        <v>0</v>
      </c>
      <c r="AD183" s="178">
        <v>1</v>
      </c>
      <c r="AE183" s="175"/>
      <c r="AF183" s="178" t="s">
        <v>1893</v>
      </c>
      <c r="AG183" s="175" t="s">
        <v>572</v>
      </c>
      <c r="AH183" s="127" t="s">
        <v>572</v>
      </c>
    </row>
    <row r="184" spans="1:34">
      <c r="A184" s="175" t="s">
        <v>1044</v>
      </c>
      <c r="B184" s="175" t="s">
        <v>1045</v>
      </c>
      <c r="C184" s="175"/>
      <c r="D184" s="175"/>
      <c r="E184" s="175"/>
      <c r="F184" s="175"/>
      <c r="G184" s="175"/>
      <c r="H184" s="175"/>
      <c r="I184" s="175" t="s">
        <v>1045</v>
      </c>
      <c r="J184" s="175"/>
      <c r="K184" s="175"/>
      <c r="L184" s="175"/>
      <c r="M184" s="175"/>
      <c r="N184" s="176" t="s">
        <v>1435</v>
      </c>
      <c r="O184" s="175" t="s">
        <v>566</v>
      </c>
      <c r="P184" s="175" t="s">
        <v>567</v>
      </c>
      <c r="Q184" s="175"/>
      <c r="R184" s="175" t="s">
        <v>1517</v>
      </c>
      <c r="S184" s="176" t="s">
        <v>1435</v>
      </c>
      <c r="T184" s="176" t="s">
        <v>1435</v>
      </c>
      <c r="U184" s="176" t="s">
        <v>1435</v>
      </c>
      <c r="V184" s="176" t="s">
        <v>1435</v>
      </c>
      <c r="W184" s="175"/>
      <c r="X184" s="177" t="b">
        <v>1</v>
      </c>
      <c r="Y184" s="177" t="b">
        <v>0</v>
      </c>
      <c r="Z184" s="177" t="b">
        <v>0</v>
      </c>
      <c r="AA184" s="175"/>
      <c r="AB184" s="175"/>
      <c r="AC184" s="177" t="b">
        <v>0</v>
      </c>
      <c r="AD184" s="178" t="s">
        <v>1899</v>
      </c>
      <c r="AE184" s="175" t="s">
        <v>587</v>
      </c>
      <c r="AF184" s="178">
        <v>43560</v>
      </c>
      <c r="AG184" s="175" t="s">
        <v>927</v>
      </c>
      <c r="AH184" s="127" t="s">
        <v>927</v>
      </c>
    </row>
    <row r="185" spans="1:34">
      <c r="A185" s="175" t="s">
        <v>1046</v>
      </c>
      <c r="B185" s="175" t="s">
        <v>1047</v>
      </c>
      <c r="C185" s="175"/>
      <c r="D185" s="175" t="s">
        <v>630</v>
      </c>
      <c r="E185" s="175" t="s">
        <v>1048</v>
      </c>
      <c r="F185" s="175"/>
      <c r="G185" s="175"/>
      <c r="H185" s="175"/>
      <c r="I185" s="175" t="s">
        <v>1047</v>
      </c>
      <c r="J185" s="175"/>
      <c r="K185" s="175"/>
      <c r="L185" s="175"/>
      <c r="M185" s="175"/>
      <c r="N185" s="176" t="s">
        <v>1435</v>
      </c>
      <c r="O185" s="175" t="s">
        <v>566</v>
      </c>
      <c r="P185" s="175" t="s">
        <v>567</v>
      </c>
      <c r="Q185" s="175"/>
      <c r="R185" s="175"/>
      <c r="S185" s="176" t="s">
        <v>1435</v>
      </c>
      <c r="T185" s="176" t="s">
        <v>1435</v>
      </c>
      <c r="U185" s="176" t="s">
        <v>1435</v>
      </c>
      <c r="V185" s="176" t="s">
        <v>1435</v>
      </c>
      <c r="W185" s="175"/>
      <c r="X185" s="177" t="b">
        <v>1</v>
      </c>
      <c r="Y185" s="177" t="b">
        <v>0</v>
      </c>
      <c r="Z185" s="177" t="b">
        <v>0</v>
      </c>
      <c r="AA185" s="175"/>
      <c r="AB185" s="175"/>
      <c r="AC185" s="177" t="b">
        <v>0</v>
      </c>
      <c r="AD185" s="178" t="s">
        <v>1965</v>
      </c>
      <c r="AE185" s="175" t="s">
        <v>568</v>
      </c>
      <c r="AF185" s="178" t="s">
        <v>1965</v>
      </c>
      <c r="AG185" s="175" t="s">
        <v>568</v>
      </c>
      <c r="AH185" s="127" t="s">
        <v>568</v>
      </c>
    </row>
    <row r="186" spans="1:34">
      <c r="A186" s="175" t="s">
        <v>472</v>
      </c>
      <c r="B186" s="175" t="s">
        <v>473</v>
      </c>
      <c r="C186" s="175"/>
      <c r="D186" s="175" t="s">
        <v>1049</v>
      </c>
      <c r="E186" s="175" t="s">
        <v>1050</v>
      </c>
      <c r="F186" s="175"/>
      <c r="G186" s="175"/>
      <c r="H186" s="175"/>
      <c r="I186" s="175" t="s">
        <v>473</v>
      </c>
      <c r="J186" s="175"/>
      <c r="K186" s="175"/>
      <c r="L186" s="175"/>
      <c r="M186" s="175"/>
      <c r="N186" s="176" t="s">
        <v>1435</v>
      </c>
      <c r="O186" s="175" t="s">
        <v>566</v>
      </c>
      <c r="P186" s="175" t="s">
        <v>567</v>
      </c>
      <c r="Q186" s="175"/>
      <c r="R186" s="175"/>
      <c r="S186" s="176" t="s">
        <v>1435</v>
      </c>
      <c r="T186" s="176" t="s">
        <v>1435</v>
      </c>
      <c r="U186" s="176" t="s">
        <v>1435</v>
      </c>
      <c r="V186" s="176" t="s">
        <v>1435</v>
      </c>
      <c r="W186" s="175"/>
      <c r="X186" s="177" t="b">
        <v>1</v>
      </c>
      <c r="Y186" s="177" t="b">
        <v>0</v>
      </c>
      <c r="Z186" s="177" t="b">
        <v>0</v>
      </c>
      <c r="AA186" s="175"/>
      <c r="AB186" s="175"/>
      <c r="AC186" s="177" t="b">
        <v>0</v>
      </c>
      <c r="AD186" s="178" t="s">
        <v>1966</v>
      </c>
      <c r="AE186" s="175" t="s">
        <v>587</v>
      </c>
      <c r="AF186" s="178" t="s">
        <v>1966</v>
      </c>
      <c r="AG186" s="175" t="s">
        <v>587</v>
      </c>
      <c r="AH186" s="127" t="s">
        <v>587</v>
      </c>
    </row>
    <row r="187" spans="1:34">
      <c r="A187" s="175" t="s">
        <v>1840</v>
      </c>
      <c r="B187" s="175" t="s">
        <v>1587</v>
      </c>
      <c r="C187" s="175"/>
      <c r="D187" s="175" t="s">
        <v>1841</v>
      </c>
      <c r="E187" s="175" t="s">
        <v>1842</v>
      </c>
      <c r="F187" s="175"/>
      <c r="G187" s="175"/>
      <c r="H187" s="175"/>
      <c r="I187" s="175" t="s">
        <v>1587</v>
      </c>
      <c r="J187" s="175"/>
      <c r="K187" s="175"/>
      <c r="L187" s="175"/>
      <c r="M187" s="175"/>
      <c r="N187" s="176" t="s">
        <v>1435</v>
      </c>
      <c r="O187" s="175" t="s">
        <v>566</v>
      </c>
      <c r="P187" s="175" t="s">
        <v>567</v>
      </c>
      <c r="Q187" s="175"/>
      <c r="R187" s="175"/>
      <c r="S187" s="176" t="s">
        <v>1435</v>
      </c>
      <c r="T187" s="176" t="s">
        <v>1435</v>
      </c>
      <c r="U187" s="176" t="s">
        <v>1435</v>
      </c>
      <c r="V187" s="176" t="s">
        <v>1435</v>
      </c>
      <c r="W187" s="175"/>
      <c r="X187" s="177" t="b">
        <v>1</v>
      </c>
      <c r="Y187" s="177" t="b">
        <v>0</v>
      </c>
      <c r="Z187" s="177" t="b">
        <v>0</v>
      </c>
      <c r="AA187" s="175"/>
      <c r="AB187" s="175"/>
      <c r="AC187" s="177" t="b">
        <v>0</v>
      </c>
      <c r="AD187" s="178" t="s">
        <v>1933</v>
      </c>
      <c r="AE187" s="175" t="s">
        <v>561</v>
      </c>
      <c r="AF187" s="178" t="s">
        <v>1933</v>
      </c>
      <c r="AG187" s="175" t="s">
        <v>561</v>
      </c>
      <c r="AH187" s="127" t="s">
        <v>561</v>
      </c>
    </row>
    <row r="188" spans="1:34">
      <c r="A188" s="175" t="s">
        <v>1051</v>
      </c>
      <c r="B188" s="175" t="s">
        <v>983</v>
      </c>
      <c r="C188" s="175"/>
      <c r="D188" s="175" t="s">
        <v>981</v>
      </c>
      <c r="E188" s="175" t="s">
        <v>1052</v>
      </c>
      <c r="F188" s="175"/>
      <c r="G188" s="175"/>
      <c r="H188" s="175"/>
      <c r="I188" s="175" t="s">
        <v>983</v>
      </c>
      <c r="J188" s="175"/>
      <c r="K188" s="175"/>
      <c r="L188" s="175"/>
      <c r="M188" s="175"/>
      <c r="N188" s="176" t="s">
        <v>1435</v>
      </c>
      <c r="O188" s="175" t="s">
        <v>566</v>
      </c>
      <c r="P188" s="175" t="s">
        <v>567</v>
      </c>
      <c r="Q188" s="175"/>
      <c r="R188" s="175"/>
      <c r="S188" s="176" t="s">
        <v>1435</v>
      </c>
      <c r="T188" s="176" t="s">
        <v>1435</v>
      </c>
      <c r="U188" s="176" t="s">
        <v>1435</v>
      </c>
      <c r="V188" s="176" t="s">
        <v>1435</v>
      </c>
      <c r="W188" s="175"/>
      <c r="X188" s="177" t="b">
        <v>1</v>
      </c>
      <c r="Y188" s="177" t="b">
        <v>1</v>
      </c>
      <c r="Z188" s="177" t="b">
        <v>0</v>
      </c>
      <c r="AA188" s="175"/>
      <c r="AB188" s="175"/>
      <c r="AC188" s="177" t="b">
        <v>0</v>
      </c>
      <c r="AD188" s="178">
        <v>43680</v>
      </c>
      <c r="AE188" s="175" t="s">
        <v>568</v>
      </c>
      <c r="AF188" s="178">
        <v>43680</v>
      </c>
      <c r="AG188" s="175" t="s">
        <v>568</v>
      </c>
      <c r="AH188" s="127" t="s">
        <v>568</v>
      </c>
    </row>
    <row r="189" spans="1:34">
      <c r="A189" s="175" t="s">
        <v>1053</v>
      </c>
      <c r="B189" s="175" t="s">
        <v>1054</v>
      </c>
      <c r="C189" s="175" t="s">
        <v>1055</v>
      </c>
      <c r="D189" s="175" t="s">
        <v>1056</v>
      </c>
      <c r="E189" s="175" t="s">
        <v>1057</v>
      </c>
      <c r="F189" s="175"/>
      <c r="G189" s="175"/>
      <c r="H189" s="175"/>
      <c r="I189" s="175"/>
      <c r="J189" s="175"/>
      <c r="K189" s="175"/>
      <c r="L189" s="175"/>
      <c r="M189" s="175"/>
      <c r="N189" s="176" t="s">
        <v>1435</v>
      </c>
      <c r="O189" s="175"/>
      <c r="P189" s="175"/>
      <c r="Q189" s="175"/>
      <c r="R189" s="175"/>
      <c r="S189" s="176" t="s">
        <v>1435</v>
      </c>
      <c r="T189" s="176" t="s">
        <v>1435</v>
      </c>
      <c r="U189" s="176" t="s">
        <v>1435</v>
      </c>
      <c r="V189" s="176" t="s">
        <v>1435</v>
      </c>
      <c r="W189" s="175"/>
      <c r="X189" s="177" t="b">
        <v>1</v>
      </c>
      <c r="Y189" s="177" t="b">
        <v>1</v>
      </c>
      <c r="Z189" s="177" t="b">
        <v>0</v>
      </c>
      <c r="AA189" s="175"/>
      <c r="AB189" s="175"/>
      <c r="AC189" s="177" t="b">
        <v>0</v>
      </c>
      <c r="AD189" s="178">
        <v>43382</v>
      </c>
      <c r="AE189" s="175" t="s">
        <v>569</v>
      </c>
      <c r="AF189" s="178">
        <v>43382</v>
      </c>
      <c r="AG189" s="175" t="s">
        <v>569</v>
      </c>
      <c r="AH189" s="127" t="s">
        <v>569</v>
      </c>
    </row>
    <row r="190" spans="1:34">
      <c r="A190" s="175" t="s">
        <v>290</v>
      </c>
      <c r="B190" s="175" t="s">
        <v>291</v>
      </c>
      <c r="C190" s="175"/>
      <c r="D190" s="175" t="s">
        <v>630</v>
      </c>
      <c r="E190" s="175" t="s">
        <v>1058</v>
      </c>
      <c r="F190" s="175"/>
      <c r="G190" s="175"/>
      <c r="H190" s="175"/>
      <c r="I190" s="175" t="s">
        <v>291</v>
      </c>
      <c r="J190" s="175"/>
      <c r="K190" s="175"/>
      <c r="L190" s="175"/>
      <c r="M190" s="175"/>
      <c r="N190" s="176" t="s">
        <v>1435</v>
      </c>
      <c r="O190" s="175" t="s">
        <v>566</v>
      </c>
      <c r="P190" s="175" t="s">
        <v>567</v>
      </c>
      <c r="Q190" s="175"/>
      <c r="R190" s="175" t="s">
        <v>1517</v>
      </c>
      <c r="S190" s="176" t="s">
        <v>1435</v>
      </c>
      <c r="T190" s="176" t="s">
        <v>1435</v>
      </c>
      <c r="U190" s="176" t="s">
        <v>1435</v>
      </c>
      <c r="V190" s="176" t="s">
        <v>1435</v>
      </c>
      <c r="W190" s="175"/>
      <c r="X190" s="177" t="b">
        <v>1</v>
      </c>
      <c r="Y190" s="177" t="b">
        <v>0</v>
      </c>
      <c r="Z190" s="177" t="b">
        <v>0</v>
      </c>
      <c r="AA190" s="175"/>
      <c r="AB190" s="175"/>
      <c r="AC190" s="177" t="b">
        <v>0</v>
      </c>
      <c r="AD190" s="178" t="s">
        <v>1967</v>
      </c>
      <c r="AE190" s="175" t="s">
        <v>587</v>
      </c>
      <c r="AF190" s="178">
        <v>43560</v>
      </c>
      <c r="AG190" s="175" t="s">
        <v>927</v>
      </c>
      <c r="AH190" s="127" t="s">
        <v>927</v>
      </c>
    </row>
    <row r="191" spans="1:34">
      <c r="A191" s="175" t="s">
        <v>1059</v>
      </c>
      <c r="B191" s="175" t="s">
        <v>1060</v>
      </c>
      <c r="C191" s="175"/>
      <c r="D191" s="175" t="s">
        <v>862</v>
      </c>
      <c r="E191" s="175" t="s">
        <v>1061</v>
      </c>
      <c r="F191" s="175"/>
      <c r="G191" s="175"/>
      <c r="H191" s="175"/>
      <c r="I191" s="175" t="s">
        <v>1060</v>
      </c>
      <c r="J191" s="175"/>
      <c r="K191" s="175"/>
      <c r="L191" s="175"/>
      <c r="M191" s="175"/>
      <c r="N191" s="176" t="s">
        <v>1435</v>
      </c>
      <c r="O191" s="175" t="s">
        <v>566</v>
      </c>
      <c r="P191" s="175" t="s">
        <v>567</v>
      </c>
      <c r="Q191" s="175"/>
      <c r="R191" s="175"/>
      <c r="S191" s="176" t="s">
        <v>1435</v>
      </c>
      <c r="T191" s="176" t="s">
        <v>1435</v>
      </c>
      <c r="U191" s="176" t="s">
        <v>1435</v>
      </c>
      <c r="V191" s="176" t="s">
        <v>1435</v>
      </c>
      <c r="W191" s="175"/>
      <c r="X191" s="177" t="b">
        <v>1</v>
      </c>
      <c r="Y191" s="177" t="b">
        <v>0</v>
      </c>
      <c r="Z191" s="177" t="b">
        <v>0</v>
      </c>
      <c r="AA191" s="175"/>
      <c r="AB191" s="175"/>
      <c r="AC191" s="177" t="b">
        <v>0</v>
      </c>
      <c r="AD191" s="178" t="s">
        <v>1953</v>
      </c>
      <c r="AE191" s="175" t="s">
        <v>568</v>
      </c>
      <c r="AF191" s="178" t="s">
        <v>1895</v>
      </c>
      <c r="AG191" s="175" t="s">
        <v>561</v>
      </c>
      <c r="AH191" s="127" t="s">
        <v>561</v>
      </c>
    </row>
    <row r="192" spans="1:34">
      <c r="A192" s="175" t="s">
        <v>1062</v>
      </c>
      <c r="B192" s="175" t="s">
        <v>1063</v>
      </c>
      <c r="C192" s="175"/>
      <c r="D192" s="175" t="s">
        <v>901</v>
      </c>
      <c r="E192" s="175" t="s">
        <v>1064</v>
      </c>
      <c r="F192" s="175"/>
      <c r="G192" s="175"/>
      <c r="H192" s="175"/>
      <c r="I192" s="175" t="s">
        <v>1063</v>
      </c>
      <c r="J192" s="175"/>
      <c r="K192" s="175"/>
      <c r="L192" s="175"/>
      <c r="M192" s="175"/>
      <c r="N192" s="176" t="s">
        <v>1435</v>
      </c>
      <c r="O192" s="175" t="s">
        <v>566</v>
      </c>
      <c r="P192" s="175" t="s">
        <v>567</v>
      </c>
      <c r="Q192" s="175"/>
      <c r="R192" s="175"/>
      <c r="S192" s="176" t="s">
        <v>1435</v>
      </c>
      <c r="T192" s="176" t="s">
        <v>1435</v>
      </c>
      <c r="U192" s="176" t="s">
        <v>1435</v>
      </c>
      <c r="V192" s="176" t="s">
        <v>1435</v>
      </c>
      <c r="W192" s="175"/>
      <c r="X192" s="177" t="b">
        <v>1</v>
      </c>
      <c r="Y192" s="177" t="b">
        <v>0</v>
      </c>
      <c r="Z192" s="177" t="b">
        <v>0</v>
      </c>
      <c r="AA192" s="175"/>
      <c r="AB192" s="175"/>
      <c r="AC192" s="177" t="b">
        <v>0</v>
      </c>
      <c r="AD192" s="178">
        <v>1</v>
      </c>
      <c r="AE192" s="175"/>
      <c r="AF192" s="178" t="s">
        <v>1894</v>
      </c>
      <c r="AG192" s="175" t="s">
        <v>569</v>
      </c>
      <c r="AH192" s="127" t="s">
        <v>569</v>
      </c>
    </row>
    <row r="193" spans="1:34">
      <c r="A193" s="175" t="s">
        <v>1065</v>
      </c>
      <c r="B193" s="175" t="s">
        <v>1066</v>
      </c>
      <c r="C193" s="175"/>
      <c r="D193" s="175"/>
      <c r="E193" s="175" t="s">
        <v>1444</v>
      </c>
      <c r="F193" s="175"/>
      <c r="G193" s="175"/>
      <c r="H193" s="175"/>
      <c r="I193" s="175" t="s">
        <v>1066</v>
      </c>
      <c r="J193" s="175"/>
      <c r="K193" s="175"/>
      <c r="L193" s="175"/>
      <c r="M193" s="175"/>
      <c r="N193" s="176" t="s">
        <v>1435</v>
      </c>
      <c r="O193" s="175" t="s">
        <v>566</v>
      </c>
      <c r="P193" s="175" t="s">
        <v>567</v>
      </c>
      <c r="Q193" s="175"/>
      <c r="R193" s="175"/>
      <c r="S193" s="176" t="s">
        <v>1435</v>
      </c>
      <c r="T193" s="176" t="s">
        <v>1435</v>
      </c>
      <c r="U193" s="176" t="s">
        <v>1435</v>
      </c>
      <c r="V193" s="176" t="s">
        <v>1435</v>
      </c>
      <c r="W193" s="175"/>
      <c r="X193" s="177" t="b">
        <v>1</v>
      </c>
      <c r="Y193" s="177" t="b">
        <v>1</v>
      </c>
      <c r="Z193" s="177" t="b">
        <v>0</v>
      </c>
      <c r="AA193" s="175"/>
      <c r="AB193" s="175"/>
      <c r="AC193" s="177" t="b">
        <v>0</v>
      </c>
      <c r="AD193" s="178">
        <v>43228</v>
      </c>
      <c r="AE193" s="175" t="s">
        <v>579</v>
      </c>
      <c r="AF193" s="178">
        <v>43803</v>
      </c>
      <c r="AG193" s="175" t="s">
        <v>927</v>
      </c>
      <c r="AH193" s="127" t="s">
        <v>927</v>
      </c>
    </row>
    <row r="194" spans="1:34" ht="30">
      <c r="A194" s="175" t="s">
        <v>1067</v>
      </c>
      <c r="B194" s="175" t="s">
        <v>1068</v>
      </c>
      <c r="C194" s="175" t="s">
        <v>1069</v>
      </c>
      <c r="D194" s="175" t="s">
        <v>1070</v>
      </c>
      <c r="E194" s="175"/>
      <c r="F194" s="175"/>
      <c r="G194" s="175"/>
      <c r="H194" s="175"/>
      <c r="I194" s="175"/>
      <c r="J194" s="175"/>
      <c r="K194" s="175"/>
      <c r="L194" s="175"/>
      <c r="M194" s="175"/>
      <c r="N194" s="176" t="s">
        <v>1435</v>
      </c>
      <c r="O194" s="175"/>
      <c r="P194" s="175"/>
      <c r="Q194" s="175" t="s">
        <v>570</v>
      </c>
      <c r="R194" s="175"/>
      <c r="S194" s="176" t="s">
        <v>1435</v>
      </c>
      <c r="T194" s="176" t="s">
        <v>1435</v>
      </c>
      <c r="U194" s="176" t="s">
        <v>1435</v>
      </c>
      <c r="V194" s="176" t="s">
        <v>1435</v>
      </c>
      <c r="W194" s="175"/>
      <c r="X194" s="177" t="b">
        <v>1</v>
      </c>
      <c r="Y194" s="177" t="b">
        <v>1</v>
      </c>
      <c r="Z194" s="177" t="b">
        <v>0</v>
      </c>
      <c r="AA194" s="175"/>
      <c r="AB194" s="175"/>
      <c r="AC194" s="177" t="b">
        <v>0</v>
      </c>
      <c r="AD194" s="178">
        <v>1</v>
      </c>
      <c r="AE194" s="175"/>
      <c r="AF194" s="178" t="s">
        <v>1893</v>
      </c>
      <c r="AG194" s="175" t="s">
        <v>572</v>
      </c>
      <c r="AH194" s="127" t="s">
        <v>572</v>
      </c>
    </row>
    <row r="195" spans="1:34">
      <c r="A195" s="175" t="s">
        <v>1071</v>
      </c>
      <c r="B195" s="175" t="s">
        <v>1072</v>
      </c>
      <c r="C195" s="175" t="s">
        <v>1073</v>
      </c>
      <c r="D195" s="175" t="s">
        <v>1074</v>
      </c>
      <c r="E195" s="175"/>
      <c r="F195" s="175"/>
      <c r="G195" s="175"/>
      <c r="H195" s="175"/>
      <c r="I195" s="175" t="s">
        <v>1075</v>
      </c>
      <c r="J195" s="175"/>
      <c r="K195" s="175"/>
      <c r="L195" s="175"/>
      <c r="M195" s="175"/>
      <c r="N195" s="176" t="s">
        <v>1435</v>
      </c>
      <c r="O195" s="175"/>
      <c r="P195" s="175"/>
      <c r="Q195" s="175" t="s">
        <v>578</v>
      </c>
      <c r="R195" s="175"/>
      <c r="S195" s="176" t="s">
        <v>1435</v>
      </c>
      <c r="T195" s="176" t="s">
        <v>1435</v>
      </c>
      <c r="U195" s="176" t="s">
        <v>1435</v>
      </c>
      <c r="V195" s="176" t="s">
        <v>1435</v>
      </c>
      <c r="W195" s="175"/>
      <c r="X195" s="177" t="b">
        <v>1</v>
      </c>
      <c r="Y195" s="177" t="b">
        <v>0</v>
      </c>
      <c r="Z195" s="177" t="b">
        <v>0</v>
      </c>
      <c r="AA195" s="175"/>
      <c r="AB195" s="175"/>
      <c r="AC195" s="177" t="b">
        <v>0</v>
      </c>
      <c r="AD195" s="178" t="s">
        <v>1894</v>
      </c>
      <c r="AE195" s="175" t="s">
        <v>568</v>
      </c>
      <c r="AF195" s="178">
        <v>43651</v>
      </c>
      <c r="AG195" s="175" t="s">
        <v>927</v>
      </c>
      <c r="AH195" s="127" t="s">
        <v>927</v>
      </c>
    </row>
    <row r="196" spans="1:34">
      <c r="A196" s="175" t="s">
        <v>1076</v>
      </c>
      <c r="B196" s="175" t="s">
        <v>1077</v>
      </c>
      <c r="C196" s="175"/>
      <c r="D196" s="175" t="s">
        <v>1023</v>
      </c>
      <c r="E196" s="175" t="s">
        <v>1078</v>
      </c>
      <c r="F196" s="175"/>
      <c r="G196" s="175"/>
      <c r="H196" s="175"/>
      <c r="I196" s="175" t="s">
        <v>1077</v>
      </c>
      <c r="J196" s="175"/>
      <c r="K196" s="175"/>
      <c r="L196" s="175"/>
      <c r="M196" s="175"/>
      <c r="N196" s="176" t="s">
        <v>1435</v>
      </c>
      <c r="O196" s="175" t="s">
        <v>566</v>
      </c>
      <c r="P196" s="175" t="s">
        <v>567</v>
      </c>
      <c r="Q196" s="175"/>
      <c r="R196" s="175"/>
      <c r="S196" s="176" t="s">
        <v>1435</v>
      </c>
      <c r="T196" s="176" t="s">
        <v>1435</v>
      </c>
      <c r="U196" s="176" t="s">
        <v>1435</v>
      </c>
      <c r="V196" s="176" t="s">
        <v>1435</v>
      </c>
      <c r="W196" s="175"/>
      <c r="X196" s="177" t="b">
        <v>1</v>
      </c>
      <c r="Y196" s="177" t="b">
        <v>0</v>
      </c>
      <c r="Z196" s="177" t="b">
        <v>0</v>
      </c>
      <c r="AA196" s="175"/>
      <c r="AB196" s="175"/>
      <c r="AC196" s="177" t="b">
        <v>0</v>
      </c>
      <c r="AD196" s="178" t="s">
        <v>1962</v>
      </c>
      <c r="AE196" s="175" t="s">
        <v>568</v>
      </c>
      <c r="AF196" s="178" t="s">
        <v>1962</v>
      </c>
      <c r="AG196" s="175" t="s">
        <v>568</v>
      </c>
      <c r="AH196" s="127" t="s">
        <v>568</v>
      </c>
    </row>
    <row r="197" spans="1:34">
      <c r="A197" s="175" t="s">
        <v>1079</v>
      </c>
      <c r="B197" s="175" t="s">
        <v>1080</v>
      </c>
      <c r="C197" s="175"/>
      <c r="D197" s="175"/>
      <c r="E197" s="175"/>
      <c r="F197" s="175"/>
      <c r="G197" s="175"/>
      <c r="H197" s="175"/>
      <c r="I197" s="175"/>
      <c r="J197" s="175"/>
      <c r="K197" s="175"/>
      <c r="L197" s="175"/>
      <c r="M197" s="175"/>
      <c r="N197" s="176" t="s">
        <v>1435</v>
      </c>
      <c r="O197" s="175"/>
      <c r="P197" s="175"/>
      <c r="Q197" s="175" t="s">
        <v>570</v>
      </c>
      <c r="R197" s="175"/>
      <c r="S197" s="176" t="s">
        <v>1435</v>
      </c>
      <c r="T197" s="176" t="s">
        <v>1435</v>
      </c>
      <c r="U197" s="176" t="s">
        <v>1435</v>
      </c>
      <c r="V197" s="176" t="s">
        <v>1435</v>
      </c>
      <c r="W197" s="175"/>
      <c r="X197" s="177" t="b">
        <v>1</v>
      </c>
      <c r="Y197" s="177" t="b">
        <v>1</v>
      </c>
      <c r="Z197" s="177" t="b">
        <v>0</v>
      </c>
      <c r="AA197" s="175"/>
      <c r="AB197" s="175"/>
      <c r="AC197" s="177" t="b">
        <v>0</v>
      </c>
      <c r="AD197" s="178">
        <v>43322</v>
      </c>
      <c r="AE197" s="175" t="s">
        <v>870</v>
      </c>
      <c r="AF197" s="178">
        <v>43322</v>
      </c>
      <c r="AG197" s="175" t="s">
        <v>870</v>
      </c>
      <c r="AH197" s="127" t="s">
        <v>870</v>
      </c>
    </row>
    <row r="198" spans="1:34">
      <c r="A198" s="175" t="s">
        <v>1081</v>
      </c>
      <c r="B198" s="175" t="s">
        <v>1082</v>
      </c>
      <c r="C198" s="175"/>
      <c r="D198" s="175" t="s">
        <v>1083</v>
      </c>
      <c r="E198" s="175" t="s">
        <v>1084</v>
      </c>
      <c r="F198" s="175"/>
      <c r="G198" s="175"/>
      <c r="H198" s="175"/>
      <c r="I198" s="175" t="s">
        <v>1082</v>
      </c>
      <c r="J198" s="175"/>
      <c r="K198" s="175"/>
      <c r="L198" s="175"/>
      <c r="M198" s="175"/>
      <c r="N198" s="176" t="s">
        <v>1435</v>
      </c>
      <c r="O198" s="175" t="s">
        <v>566</v>
      </c>
      <c r="P198" s="175" t="s">
        <v>567</v>
      </c>
      <c r="Q198" s="175"/>
      <c r="R198" s="175"/>
      <c r="S198" s="176" t="s">
        <v>1435</v>
      </c>
      <c r="T198" s="176" t="s">
        <v>1435</v>
      </c>
      <c r="U198" s="176" t="s">
        <v>1435</v>
      </c>
      <c r="V198" s="176" t="s">
        <v>1435</v>
      </c>
      <c r="W198" s="175"/>
      <c r="X198" s="177" t="b">
        <v>1</v>
      </c>
      <c r="Y198" s="177" t="b">
        <v>0</v>
      </c>
      <c r="Z198" s="177" t="b">
        <v>0</v>
      </c>
      <c r="AA198" s="175"/>
      <c r="AB198" s="175"/>
      <c r="AC198" s="177" t="b">
        <v>0</v>
      </c>
      <c r="AD198" s="178" t="s">
        <v>1968</v>
      </c>
      <c r="AE198" s="175" t="s">
        <v>717</v>
      </c>
      <c r="AF198" s="178" t="s">
        <v>1968</v>
      </c>
      <c r="AG198" s="175" t="s">
        <v>717</v>
      </c>
      <c r="AH198" s="127" t="s">
        <v>717</v>
      </c>
    </row>
    <row r="199" spans="1:34">
      <c r="A199" s="175" t="s">
        <v>1085</v>
      </c>
      <c r="B199" s="175" t="s">
        <v>1086</v>
      </c>
      <c r="C199" s="175"/>
      <c r="D199" s="175" t="s">
        <v>758</v>
      </c>
      <c r="E199" s="175" t="s">
        <v>1087</v>
      </c>
      <c r="F199" s="175"/>
      <c r="G199" s="175"/>
      <c r="H199" s="175"/>
      <c r="I199" s="175" t="s">
        <v>1086</v>
      </c>
      <c r="J199" s="175"/>
      <c r="K199" s="175"/>
      <c r="L199" s="175"/>
      <c r="M199" s="175"/>
      <c r="N199" s="176" t="s">
        <v>1435</v>
      </c>
      <c r="O199" s="175" t="s">
        <v>566</v>
      </c>
      <c r="P199" s="175" t="s">
        <v>567</v>
      </c>
      <c r="Q199" s="175"/>
      <c r="R199" s="175"/>
      <c r="S199" s="176" t="s">
        <v>1435</v>
      </c>
      <c r="T199" s="176" t="s">
        <v>1435</v>
      </c>
      <c r="U199" s="176" t="s">
        <v>1435</v>
      </c>
      <c r="V199" s="176" t="s">
        <v>1435</v>
      </c>
      <c r="W199" s="175"/>
      <c r="X199" s="177" t="b">
        <v>1</v>
      </c>
      <c r="Y199" s="177" t="b">
        <v>0</v>
      </c>
      <c r="Z199" s="177" t="b">
        <v>0</v>
      </c>
      <c r="AA199" s="175"/>
      <c r="AB199" s="175"/>
      <c r="AC199" s="177" t="b">
        <v>0</v>
      </c>
      <c r="AD199" s="178">
        <v>1</v>
      </c>
      <c r="AE199" s="175"/>
      <c r="AF199" s="178" t="s">
        <v>1964</v>
      </c>
      <c r="AG199" s="175" t="s">
        <v>568</v>
      </c>
      <c r="AH199" s="127" t="s">
        <v>568</v>
      </c>
    </row>
    <row r="200" spans="1:34">
      <c r="A200" s="175" t="s">
        <v>1088</v>
      </c>
      <c r="B200" s="175" t="s">
        <v>1086</v>
      </c>
      <c r="C200" s="175"/>
      <c r="D200" s="175" t="s">
        <v>606</v>
      </c>
      <c r="E200" s="175" t="s">
        <v>1089</v>
      </c>
      <c r="F200" s="175"/>
      <c r="G200" s="175"/>
      <c r="H200" s="175"/>
      <c r="I200" s="175" t="s">
        <v>1086</v>
      </c>
      <c r="J200" s="175"/>
      <c r="K200" s="175"/>
      <c r="L200" s="175"/>
      <c r="M200" s="175"/>
      <c r="N200" s="176" t="s">
        <v>1435</v>
      </c>
      <c r="O200" s="175" t="s">
        <v>566</v>
      </c>
      <c r="P200" s="175" t="s">
        <v>567</v>
      </c>
      <c r="Q200" s="175"/>
      <c r="R200" s="175"/>
      <c r="S200" s="176" t="s">
        <v>1435</v>
      </c>
      <c r="T200" s="176" t="s">
        <v>1435</v>
      </c>
      <c r="U200" s="176" t="s">
        <v>1435</v>
      </c>
      <c r="V200" s="176" t="s">
        <v>1435</v>
      </c>
      <c r="W200" s="175"/>
      <c r="X200" s="177" t="b">
        <v>1</v>
      </c>
      <c r="Y200" s="177" t="b">
        <v>0</v>
      </c>
      <c r="Z200" s="177" t="b">
        <v>0</v>
      </c>
      <c r="AA200" s="175"/>
      <c r="AB200" s="175"/>
      <c r="AC200" s="177" t="b">
        <v>0</v>
      </c>
      <c r="AD200" s="178">
        <v>43352</v>
      </c>
      <c r="AE200" s="175" t="s">
        <v>568</v>
      </c>
      <c r="AF200" s="178">
        <v>43262</v>
      </c>
      <c r="AG200" s="175" t="s">
        <v>568</v>
      </c>
      <c r="AH200" s="127" t="s">
        <v>568</v>
      </c>
    </row>
    <row r="201" spans="1:34">
      <c r="A201" s="175" t="s">
        <v>223</v>
      </c>
      <c r="B201" s="175" t="s">
        <v>224</v>
      </c>
      <c r="C201" s="175"/>
      <c r="D201" s="175" t="s">
        <v>606</v>
      </c>
      <c r="E201" s="175" t="s">
        <v>1090</v>
      </c>
      <c r="F201" s="175"/>
      <c r="G201" s="175"/>
      <c r="H201" s="175"/>
      <c r="I201" s="175" t="s">
        <v>224</v>
      </c>
      <c r="J201" s="175"/>
      <c r="K201" s="175"/>
      <c r="L201" s="175"/>
      <c r="M201" s="175"/>
      <c r="N201" s="176" t="s">
        <v>1435</v>
      </c>
      <c r="O201" s="175" t="s">
        <v>566</v>
      </c>
      <c r="P201" s="175" t="s">
        <v>567</v>
      </c>
      <c r="Q201" s="175"/>
      <c r="R201" s="175"/>
      <c r="S201" s="176" t="s">
        <v>1435</v>
      </c>
      <c r="T201" s="176" t="s">
        <v>1435</v>
      </c>
      <c r="U201" s="176" t="s">
        <v>1435</v>
      </c>
      <c r="V201" s="176" t="s">
        <v>1435</v>
      </c>
      <c r="W201" s="175"/>
      <c r="X201" s="177" t="b">
        <v>1</v>
      </c>
      <c r="Y201" s="177" t="b">
        <v>1</v>
      </c>
      <c r="Z201" s="177" t="b">
        <v>1</v>
      </c>
      <c r="AA201" s="175"/>
      <c r="AB201" s="175"/>
      <c r="AC201" s="177" t="b">
        <v>0</v>
      </c>
      <c r="AD201" s="178" t="s">
        <v>1969</v>
      </c>
      <c r="AE201" s="175" t="s">
        <v>587</v>
      </c>
      <c r="AF201" s="178" t="s">
        <v>1969</v>
      </c>
      <c r="AG201" s="175" t="s">
        <v>587</v>
      </c>
      <c r="AH201" s="127" t="s">
        <v>587</v>
      </c>
    </row>
    <row r="202" spans="1:34">
      <c r="A202" s="175" t="s">
        <v>1091</v>
      </c>
      <c r="B202" s="175" t="s">
        <v>1092</v>
      </c>
      <c r="C202" s="175"/>
      <c r="D202" s="175"/>
      <c r="E202" s="175"/>
      <c r="F202" s="175"/>
      <c r="G202" s="175"/>
      <c r="H202" s="175"/>
      <c r="I202" s="175"/>
      <c r="J202" s="175"/>
      <c r="K202" s="175"/>
      <c r="L202" s="175"/>
      <c r="M202" s="175"/>
      <c r="N202" s="176" t="s">
        <v>1435</v>
      </c>
      <c r="O202" s="175"/>
      <c r="P202" s="175"/>
      <c r="Q202" s="175" t="s">
        <v>570</v>
      </c>
      <c r="R202" s="175"/>
      <c r="S202" s="176" t="s">
        <v>1435</v>
      </c>
      <c r="T202" s="176" t="s">
        <v>1435</v>
      </c>
      <c r="U202" s="176" t="s">
        <v>1435</v>
      </c>
      <c r="V202" s="176" t="s">
        <v>1435</v>
      </c>
      <c r="W202" s="175"/>
      <c r="X202" s="177" t="b">
        <v>1</v>
      </c>
      <c r="Y202" s="177" t="b">
        <v>1</v>
      </c>
      <c r="Z202" s="177" t="b">
        <v>0</v>
      </c>
      <c r="AA202" s="175"/>
      <c r="AB202" s="175"/>
      <c r="AC202" s="177" t="b">
        <v>0</v>
      </c>
      <c r="AD202" s="178">
        <v>1</v>
      </c>
      <c r="AE202" s="175"/>
      <c r="AF202" s="178" t="s">
        <v>1906</v>
      </c>
      <c r="AG202" s="175" t="s">
        <v>561</v>
      </c>
      <c r="AH202" s="127" t="s">
        <v>561</v>
      </c>
    </row>
    <row r="203" spans="1:34">
      <c r="A203" s="175" t="s">
        <v>1093</v>
      </c>
      <c r="B203" s="175" t="s">
        <v>1094</v>
      </c>
      <c r="C203" s="175"/>
      <c r="D203" s="175" t="s">
        <v>1095</v>
      </c>
      <c r="E203" s="175" t="s">
        <v>1096</v>
      </c>
      <c r="F203" s="175"/>
      <c r="G203" s="175"/>
      <c r="H203" s="175"/>
      <c r="I203" s="175" t="s">
        <v>1094</v>
      </c>
      <c r="J203" s="175"/>
      <c r="K203" s="175"/>
      <c r="L203" s="175"/>
      <c r="M203" s="175"/>
      <c r="N203" s="176" t="s">
        <v>1435</v>
      </c>
      <c r="O203" s="175" t="s">
        <v>566</v>
      </c>
      <c r="P203" s="175" t="s">
        <v>567</v>
      </c>
      <c r="Q203" s="175"/>
      <c r="R203" s="175"/>
      <c r="S203" s="176" t="s">
        <v>1435</v>
      </c>
      <c r="T203" s="176" t="s">
        <v>1435</v>
      </c>
      <c r="U203" s="176" t="s">
        <v>1435</v>
      </c>
      <c r="V203" s="176" t="s">
        <v>1435</v>
      </c>
      <c r="W203" s="175"/>
      <c r="X203" s="177" t="b">
        <v>1</v>
      </c>
      <c r="Y203" s="177" t="b">
        <v>0</v>
      </c>
      <c r="Z203" s="177" t="b">
        <v>0</v>
      </c>
      <c r="AA203" s="175"/>
      <c r="AB203" s="175"/>
      <c r="AC203" s="177" t="b">
        <v>0</v>
      </c>
      <c r="AD203" s="178">
        <v>43109</v>
      </c>
      <c r="AE203" s="175" t="s">
        <v>568</v>
      </c>
      <c r="AF203" s="178">
        <v>43619</v>
      </c>
      <c r="AG203" s="175" t="s">
        <v>717</v>
      </c>
      <c r="AH203" s="127" t="s">
        <v>717</v>
      </c>
    </row>
    <row r="204" spans="1:34">
      <c r="A204" s="175" t="s">
        <v>1097</v>
      </c>
      <c r="B204" s="175" t="s">
        <v>1098</v>
      </c>
      <c r="C204" s="175"/>
      <c r="D204" s="175" t="s">
        <v>564</v>
      </c>
      <c r="E204" s="175" t="s">
        <v>1099</v>
      </c>
      <c r="F204" s="175"/>
      <c r="G204" s="175"/>
      <c r="H204" s="175"/>
      <c r="I204" s="175" t="s">
        <v>1098</v>
      </c>
      <c r="J204" s="175"/>
      <c r="K204" s="175"/>
      <c r="L204" s="175"/>
      <c r="M204" s="175"/>
      <c r="N204" s="176" t="s">
        <v>1435</v>
      </c>
      <c r="O204" s="175" t="s">
        <v>566</v>
      </c>
      <c r="P204" s="175" t="s">
        <v>567</v>
      </c>
      <c r="Q204" s="175"/>
      <c r="R204" s="175"/>
      <c r="S204" s="176" t="s">
        <v>1435</v>
      </c>
      <c r="T204" s="176" t="s">
        <v>1435</v>
      </c>
      <c r="U204" s="176" t="s">
        <v>1435</v>
      </c>
      <c r="V204" s="176" t="s">
        <v>1435</v>
      </c>
      <c r="W204" s="175"/>
      <c r="X204" s="177" t="b">
        <v>1</v>
      </c>
      <c r="Y204" s="177" t="b">
        <v>0</v>
      </c>
      <c r="Z204" s="177" t="b">
        <v>0</v>
      </c>
      <c r="AA204" s="175"/>
      <c r="AB204" s="175"/>
      <c r="AC204" s="177" t="b">
        <v>0</v>
      </c>
      <c r="AD204" s="178" t="s">
        <v>1970</v>
      </c>
      <c r="AE204" s="175" t="s">
        <v>568</v>
      </c>
      <c r="AF204" s="178" t="s">
        <v>1971</v>
      </c>
      <c r="AG204" s="175" t="s">
        <v>568</v>
      </c>
      <c r="AH204" s="127" t="s">
        <v>568</v>
      </c>
    </row>
    <row r="205" spans="1:34">
      <c r="A205" s="175" t="s">
        <v>1100</v>
      </c>
      <c r="B205" s="175" t="s">
        <v>266</v>
      </c>
      <c r="C205" s="175"/>
      <c r="D205" s="175" t="s">
        <v>925</v>
      </c>
      <c r="E205" s="175" t="s">
        <v>1101</v>
      </c>
      <c r="F205" s="175"/>
      <c r="G205" s="175"/>
      <c r="H205" s="175"/>
      <c r="I205" s="175" t="s">
        <v>266</v>
      </c>
      <c r="J205" s="175"/>
      <c r="K205" s="175"/>
      <c r="L205" s="175"/>
      <c r="M205" s="175"/>
      <c r="N205" s="176" t="s">
        <v>1435</v>
      </c>
      <c r="O205" s="175" t="s">
        <v>566</v>
      </c>
      <c r="P205" s="175" t="s">
        <v>567</v>
      </c>
      <c r="Q205" s="175"/>
      <c r="R205" s="175"/>
      <c r="S205" s="176" t="s">
        <v>1435</v>
      </c>
      <c r="T205" s="176" t="s">
        <v>1435</v>
      </c>
      <c r="U205" s="176" t="s">
        <v>1435</v>
      </c>
      <c r="V205" s="176" t="s">
        <v>1435</v>
      </c>
      <c r="W205" s="175"/>
      <c r="X205" s="177" t="b">
        <v>1</v>
      </c>
      <c r="Y205" s="177" t="b">
        <v>0</v>
      </c>
      <c r="Z205" s="177" t="b">
        <v>0</v>
      </c>
      <c r="AA205" s="175"/>
      <c r="AB205" s="175"/>
      <c r="AC205" s="177" t="b">
        <v>0</v>
      </c>
      <c r="AD205" s="178" t="s">
        <v>1972</v>
      </c>
      <c r="AE205" s="175" t="s">
        <v>717</v>
      </c>
      <c r="AF205" s="178" t="s">
        <v>1972</v>
      </c>
      <c r="AG205" s="175" t="s">
        <v>717</v>
      </c>
      <c r="AH205" s="127" t="s">
        <v>717</v>
      </c>
    </row>
    <row r="206" spans="1:34">
      <c r="A206" s="175" t="s">
        <v>1102</v>
      </c>
      <c r="B206" s="175" t="s">
        <v>1103</v>
      </c>
      <c r="C206" s="175"/>
      <c r="D206" s="175" t="s">
        <v>630</v>
      </c>
      <c r="E206" s="175" t="s">
        <v>1104</v>
      </c>
      <c r="F206" s="175"/>
      <c r="G206" s="175"/>
      <c r="H206" s="175"/>
      <c r="I206" s="175" t="s">
        <v>1103</v>
      </c>
      <c r="J206" s="175"/>
      <c r="K206" s="175"/>
      <c r="L206" s="175"/>
      <c r="M206" s="175"/>
      <c r="N206" s="176" t="s">
        <v>1435</v>
      </c>
      <c r="O206" s="175" t="s">
        <v>566</v>
      </c>
      <c r="P206" s="175" t="s">
        <v>567</v>
      </c>
      <c r="Q206" s="175"/>
      <c r="R206" s="175"/>
      <c r="S206" s="176" t="s">
        <v>1435</v>
      </c>
      <c r="T206" s="176" t="s">
        <v>1435</v>
      </c>
      <c r="U206" s="176" t="s">
        <v>1435</v>
      </c>
      <c r="V206" s="176" t="s">
        <v>1435</v>
      </c>
      <c r="W206" s="175"/>
      <c r="X206" s="177" t="b">
        <v>1</v>
      </c>
      <c r="Y206" s="177" t="b">
        <v>0</v>
      </c>
      <c r="Z206" s="177" t="b">
        <v>0</v>
      </c>
      <c r="AA206" s="175"/>
      <c r="AB206" s="175"/>
      <c r="AC206" s="177" t="b">
        <v>0</v>
      </c>
      <c r="AD206" s="178">
        <v>43198</v>
      </c>
      <c r="AE206" s="175" t="s">
        <v>579</v>
      </c>
      <c r="AF206" s="178">
        <v>43354</v>
      </c>
      <c r="AG206" s="175" t="s">
        <v>561</v>
      </c>
      <c r="AH206" s="127" t="s">
        <v>561</v>
      </c>
    </row>
    <row r="207" spans="1:34">
      <c r="A207" s="175" t="s">
        <v>225</v>
      </c>
      <c r="B207" s="175" t="s">
        <v>226</v>
      </c>
      <c r="C207" s="175"/>
      <c r="D207" s="175" t="s">
        <v>630</v>
      </c>
      <c r="E207" s="175" t="s">
        <v>1105</v>
      </c>
      <c r="F207" s="175"/>
      <c r="G207" s="175"/>
      <c r="H207" s="175"/>
      <c r="I207" s="175" t="s">
        <v>226</v>
      </c>
      <c r="J207" s="175"/>
      <c r="K207" s="175"/>
      <c r="L207" s="175"/>
      <c r="M207" s="175"/>
      <c r="N207" s="176" t="s">
        <v>1542</v>
      </c>
      <c r="O207" s="175" t="s">
        <v>566</v>
      </c>
      <c r="P207" s="175" t="s">
        <v>567</v>
      </c>
      <c r="Q207" s="175"/>
      <c r="R207" s="175" t="s">
        <v>1521</v>
      </c>
      <c r="S207" s="176" t="s">
        <v>1435</v>
      </c>
      <c r="T207" s="176" t="s">
        <v>1435</v>
      </c>
      <c r="U207" s="176" t="s">
        <v>1435</v>
      </c>
      <c r="V207" s="176" t="s">
        <v>1435</v>
      </c>
      <c r="W207" s="175"/>
      <c r="X207" s="177" t="b">
        <v>1</v>
      </c>
      <c r="Y207" s="177" t="b">
        <v>0</v>
      </c>
      <c r="Z207" s="177" t="b">
        <v>0</v>
      </c>
      <c r="AA207" s="175"/>
      <c r="AB207" s="175"/>
      <c r="AC207" s="177" t="b">
        <v>0</v>
      </c>
      <c r="AD207" s="178">
        <v>1</v>
      </c>
      <c r="AE207" s="175"/>
      <c r="AF207" s="178">
        <v>43651</v>
      </c>
      <c r="AG207" s="175" t="s">
        <v>927</v>
      </c>
      <c r="AH207" s="127" t="s">
        <v>927</v>
      </c>
    </row>
    <row r="208" spans="1:34">
      <c r="A208" s="175" t="s">
        <v>1106</v>
      </c>
      <c r="B208" s="175" t="s">
        <v>1445</v>
      </c>
      <c r="C208" s="175"/>
      <c r="D208" s="175" t="s">
        <v>1107</v>
      </c>
      <c r="E208" s="175" t="s">
        <v>1108</v>
      </c>
      <c r="F208" s="175"/>
      <c r="G208" s="175"/>
      <c r="H208" s="175"/>
      <c r="I208" s="175" t="s">
        <v>1445</v>
      </c>
      <c r="J208" s="175"/>
      <c r="K208" s="175"/>
      <c r="L208" s="175"/>
      <c r="M208" s="175"/>
      <c r="N208" s="176" t="s">
        <v>1520</v>
      </c>
      <c r="O208" s="175" t="s">
        <v>566</v>
      </c>
      <c r="P208" s="175" t="s">
        <v>567</v>
      </c>
      <c r="Q208" s="175"/>
      <c r="R208" s="175" t="s">
        <v>1521</v>
      </c>
      <c r="S208" s="176" t="s">
        <v>1435</v>
      </c>
      <c r="T208" s="176" t="s">
        <v>1435</v>
      </c>
      <c r="U208" s="176" t="s">
        <v>1435</v>
      </c>
      <c r="V208" s="176" t="s">
        <v>1435</v>
      </c>
      <c r="W208" s="175"/>
      <c r="X208" s="177" t="b">
        <v>1</v>
      </c>
      <c r="Y208" s="177" t="b">
        <v>0</v>
      </c>
      <c r="Z208" s="177" t="b">
        <v>0</v>
      </c>
      <c r="AA208" s="175"/>
      <c r="AB208" s="175"/>
      <c r="AC208" s="177" t="b">
        <v>0</v>
      </c>
      <c r="AD208" s="178">
        <v>1</v>
      </c>
      <c r="AE208" s="175"/>
      <c r="AF208" s="178">
        <v>43651</v>
      </c>
      <c r="AG208" s="175" t="s">
        <v>927</v>
      </c>
      <c r="AH208" s="127" t="s">
        <v>927</v>
      </c>
    </row>
    <row r="209" spans="1:34" ht="30">
      <c r="A209" s="175" t="s">
        <v>1109</v>
      </c>
      <c r="B209" s="175" t="s">
        <v>1110</v>
      </c>
      <c r="C209" s="175" t="s">
        <v>1111</v>
      </c>
      <c r="D209" s="175" t="s">
        <v>1112</v>
      </c>
      <c r="E209" s="175"/>
      <c r="F209" s="175"/>
      <c r="G209" s="175"/>
      <c r="H209" s="175"/>
      <c r="I209" s="175"/>
      <c r="J209" s="175"/>
      <c r="K209" s="175"/>
      <c r="L209" s="175"/>
      <c r="M209" s="175"/>
      <c r="N209" s="176" t="s">
        <v>1435</v>
      </c>
      <c r="O209" s="175"/>
      <c r="P209" s="175"/>
      <c r="Q209" s="175" t="s">
        <v>570</v>
      </c>
      <c r="R209" s="175"/>
      <c r="S209" s="176" t="s">
        <v>1435</v>
      </c>
      <c r="T209" s="176" t="s">
        <v>1435</v>
      </c>
      <c r="U209" s="176" t="s">
        <v>1435</v>
      </c>
      <c r="V209" s="176" t="s">
        <v>1435</v>
      </c>
      <c r="W209" s="175"/>
      <c r="X209" s="177" t="b">
        <v>1</v>
      </c>
      <c r="Y209" s="177" t="b">
        <v>1</v>
      </c>
      <c r="Z209" s="177" t="b">
        <v>0</v>
      </c>
      <c r="AA209" s="175"/>
      <c r="AB209" s="175"/>
      <c r="AC209" s="177" t="b">
        <v>0</v>
      </c>
      <c r="AD209" s="178">
        <v>1</v>
      </c>
      <c r="AE209" s="175"/>
      <c r="AF209" s="178" t="s">
        <v>1893</v>
      </c>
      <c r="AG209" s="175" t="s">
        <v>572</v>
      </c>
      <c r="AH209" s="127" t="s">
        <v>572</v>
      </c>
    </row>
    <row r="210" spans="1:34">
      <c r="A210" s="175" t="s">
        <v>1113</v>
      </c>
      <c r="B210" s="175" t="s">
        <v>1558</v>
      </c>
      <c r="C210" s="175"/>
      <c r="D210" s="175" t="s">
        <v>758</v>
      </c>
      <c r="E210" s="175" t="s">
        <v>1114</v>
      </c>
      <c r="F210" s="175"/>
      <c r="G210" s="175"/>
      <c r="H210" s="175"/>
      <c r="I210" s="175" t="s">
        <v>1558</v>
      </c>
      <c r="J210" s="175"/>
      <c r="K210" s="175"/>
      <c r="L210" s="175"/>
      <c r="M210" s="175"/>
      <c r="N210" s="176" t="s">
        <v>1435</v>
      </c>
      <c r="O210" s="175" t="s">
        <v>566</v>
      </c>
      <c r="P210" s="175" t="s">
        <v>567</v>
      </c>
      <c r="Q210" s="175"/>
      <c r="R210" s="175" t="s">
        <v>1512</v>
      </c>
      <c r="S210" s="176" t="s">
        <v>1435</v>
      </c>
      <c r="T210" s="176" t="s">
        <v>1435</v>
      </c>
      <c r="U210" s="176" t="s">
        <v>1435</v>
      </c>
      <c r="V210" s="176" t="s">
        <v>1435</v>
      </c>
      <c r="W210" s="175"/>
      <c r="X210" s="177" t="b">
        <v>1</v>
      </c>
      <c r="Y210" s="177" t="b">
        <v>0</v>
      </c>
      <c r="Z210" s="177" t="b">
        <v>0</v>
      </c>
      <c r="AA210" s="175"/>
      <c r="AB210" s="175"/>
      <c r="AC210" s="177" t="b">
        <v>0</v>
      </c>
      <c r="AD210" s="178" t="s">
        <v>1960</v>
      </c>
      <c r="AE210" s="175" t="s">
        <v>569</v>
      </c>
      <c r="AF210" s="178">
        <v>43560</v>
      </c>
      <c r="AG210" s="175" t="s">
        <v>927</v>
      </c>
      <c r="AH210" s="127" t="s">
        <v>927</v>
      </c>
    </row>
    <row r="211" spans="1:34">
      <c r="A211" s="175" t="s">
        <v>1115</v>
      </c>
      <c r="B211" s="175" t="s">
        <v>1559</v>
      </c>
      <c r="C211" s="175"/>
      <c r="D211" s="175" t="s">
        <v>1116</v>
      </c>
      <c r="E211" s="175" t="s">
        <v>1117</v>
      </c>
      <c r="F211" s="175"/>
      <c r="G211" s="175"/>
      <c r="H211" s="175"/>
      <c r="I211" s="175" t="s">
        <v>1559</v>
      </c>
      <c r="J211" s="175"/>
      <c r="K211" s="175"/>
      <c r="L211" s="175"/>
      <c r="M211" s="175"/>
      <c r="N211" s="176" t="s">
        <v>1435</v>
      </c>
      <c r="O211" s="175" t="s">
        <v>566</v>
      </c>
      <c r="P211" s="175" t="s">
        <v>567</v>
      </c>
      <c r="Q211" s="175"/>
      <c r="R211" s="175" t="s">
        <v>1512</v>
      </c>
      <c r="S211" s="176" t="s">
        <v>1435</v>
      </c>
      <c r="T211" s="176" t="s">
        <v>1435</v>
      </c>
      <c r="U211" s="176" t="s">
        <v>1435</v>
      </c>
      <c r="V211" s="176" t="s">
        <v>1435</v>
      </c>
      <c r="W211" s="175"/>
      <c r="X211" s="177" t="b">
        <v>1</v>
      </c>
      <c r="Y211" s="177" t="b">
        <v>0</v>
      </c>
      <c r="Z211" s="177" t="b">
        <v>0</v>
      </c>
      <c r="AA211" s="175"/>
      <c r="AB211" s="175"/>
      <c r="AC211" s="177" t="b">
        <v>0</v>
      </c>
      <c r="AD211" s="178" t="s">
        <v>1904</v>
      </c>
      <c r="AE211" s="175" t="s">
        <v>561</v>
      </c>
      <c r="AF211" s="178">
        <v>43560</v>
      </c>
      <c r="AG211" s="175" t="s">
        <v>927</v>
      </c>
      <c r="AH211" s="127" t="s">
        <v>927</v>
      </c>
    </row>
    <row r="212" spans="1:34">
      <c r="A212" s="175" t="s">
        <v>1118</v>
      </c>
      <c r="B212" s="175" t="s">
        <v>1560</v>
      </c>
      <c r="C212" s="175"/>
      <c r="D212" s="175" t="s">
        <v>1034</v>
      </c>
      <c r="E212" s="175" t="s">
        <v>1119</v>
      </c>
      <c r="F212" s="175"/>
      <c r="G212" s="175"/>
      <c r="H212" s="175"/>
      <c r="I212" s="175" t="s">
        <v>1560</v>
      </c>
      <c r="J212" s="175"/>
      <c r="K212" s="175"/>
      <c r="L212" s="175"/>
      <c r="M212" s="175"/>
      <c r="N212" s="176" t="s">
        <v>1435</v>
      </c>
      <c r="O212" s="175" t="s">
        <v>566</v>
      </c>
      <c r="P212" s="175" t="s">
        <v>567</v>
      </c>
      <c r="Q212" s="175"/>
      <c r="R212" s="175" t="s">
        <v>1517</v>
      </c>
      <c r="S212" s="176" t="s">
        <v>1435</v>
      </c>
      <c r="T212" s="176" t="s">
        <v>1435</v>
      </c>
      <c r="U212" s="176" t="s">
        <v>1435</v>
      </c>
      <c r="V212" s="176" t="s">
        <v>1435</v>
      </c>
      <c r="W212" s="175"/>
      <c r="X212" s="177" t="b">
        <v>1</v>
      </c>
      <c r="Y212" s="177" t="b">
        <v>1</v>
      </c>
      <c r="Z212" s="177" t="b">
        <v>0</v>
      </c>
      <c r="AA212" s="175"/>
      <c r="AB212" s="175"/>
      <c r="AC212" s="177" t="b">
        <v>0</v>
      </c>
      <c r="AD212" s="178" t="s">
        <v>1904</v>
      </c>
      <c r="AE212" s="175" t="s">
        <v>561</v>
      </c>
      <c r="AF212" s="178">
        <v>43651</v>
      </c>
      <c r="AG212" s="175" t="s">
        <v>927</v>
      </c>
      <c r="AH212" s="127" t="s">
        <v>927</v>
      </c>
    </row>
    <row r="213" spans="1:34">
      <c r="A213" s="175" t="s">
        <v>1120</v>
      </c>
      <c r="B213" s="175" t="s">
        <v>1121</v>
      </c>
      <c r="C213" s="175"/>
      <c r="D213" s="175" t="s">
        <v>630</v>
      </c>
      <c r="E213" s="175" t="s">
        <v>1122</v>
      </c>
      <c r="F213" s="175"/>
      <c r="G213" s="175"/>
      <c r="H213" s="175"/>
      <c r="I213" s="175" t="s">
        <v>1121</v>
      </c>
      <c r="J213" s="175"/>
      <c r="K213" s="175"/>
      <c r="L213" s="175"/>
      <c r="M213" s="175"/>
      <c r="N213" s="176" t="s">
        <v>1435</v>
      </c>
      <c r="O213" s="175" t="s">
        <v>566</v>
      </c>
      <c r="P213" s="175" t="s">
        <v>567</v>
      </c>
      <c r="Q213" s="175"/>
      <c r="R213" s="175"/>
      <c r="S213" s="176" t="s">
        <v>1435</v>
      </c>
      <c r="T213" s="176" t="s">
        <v>1435</v>
      </c>
      <c r="U213" s="176" t="s">
        <v>1435</v>
      </c>
      <c r="V213" s="176" t="s">
        <v>1435</v>
      </c>
      <c r="W213" s="175"/>
      <c r="X213" s="177" t="b">
        <v>1</v>
      </c>
      <c r="Y213" s="177" t="b">
        <v>0</v>
      </c>
      <c r="Z213" s="177" t="b">
        <v>0</v>
      </c>
      <c r="AA213" s="175"/>
      <c r="AB213" s="175"/>
      <c r="AC213" s="177" t="b">
        <v>0</v>
      </c>
      <c r="AD213" s="178" t="s">
        <v>1949</v>
      </c>
      <c r="AE213" s="175" t="s">
        <v>568</v>
      </c>
      <c r="AF213" s="178" t="s">
        <v>1949</v>
      </c>
      <c r="AG213" s="175" t="s">
        <v>568</v>
      </c>
      <c r="AH213" s="127" t="s">
        <v>568</v>
      </c>
    </row>
    <row r="214" spans="1:34">
      <c r="A214" s="175" t="s">
        <v>1123</v>
      </c>
      <c r="B214" s="175" t="s">
        <v>1124</v>
      </c>
      <c r="C214" s="175"/>
      <c r="D214" s="175" t="s">
        <v>1125</v>
      </c>
      <c r="E214" s="175" t="s">
        <v>1126</v>
      </c>
      <c r="F214" s="175"/>
      <c r="G214" s="175"/>
      <c r="H214" s="175"/>
      <c r="I214" s="175" t="s">
        <v>1124</v>
      </c>
      <c r="J214" s="175"/>
      <c r="K214" s="175"/>
      <c r="L214" s="175"/>
      <c r="M214" s="175"/>
      <c r="N214" s="176" t="s">
        <v>1435</v>
      </c>
      <c r="O214" s="175" t="s">
        <v>566</v>
      </c>
      <c r="P214" s="175" t="s">
        <v>567</v>
      </c>
      <c r="Q214" s="175"/>
      <c r="R214" s="175"/>
      <c r="S214" s="176" t="s">
        <v>1435</v>
      </c>
      <c r="T214" s="176" t="s">
        <v>1435</v>
      </c>
      <c r="U214" s="176" t="s">
        <v>1435</v>
      </c>
      <c r="V214" s="176" t="s">
        <v>1435</v>
      </c>
      <c r="W214" s="175"/>
      <c r="X214" s="177" t="b">
        <v>1</v>
      </c>
      <c r="Y214" s="177" t="b">
        <v>0</v>
      </c>
      <c r="Z214" s="177" t="b">
        <v>0</v>
      </c>
      <c r="AA214" s="175"/>
      <c r="AB214" s="175"/>
      <c r="AC214" s="177" t="b">
        <v>0</v>
      </c>
      <c r="AD214" s="178" t="s">
        <v>1973</v>
      </c>
      <c r="AE214" s="175" t="s">
        <v>568</v>
      </c>
      <c r="AF214" s="178">
        <v>43231</v>
      </c>
      <c r="AG214" s="175" t="s">
        <v>568</v>
      </c>
      <c r="AH214" s="127" t="s">
        <v>568</v>
      </c>
    </row>
    <row r="215" spans="1:34">
      <c r="A215" s="175" t="s">
        <v>1127</v>
      </c>
      <c r="B215" s="175" t="s">
        <v>1128</v>
      </c>
      <c r="C215" s="175"/>
      <c r="D215" s="175" t="s">
        <v>606</v>
      </c>
      <c r="E215" s="175" t="s">
        <v>1129</v>
      </c>
      <c r="F215" s="175"/>
      <c r="G215" s="175"/>
      <c r="H215" s="175"/>
      <c r="I215" s="175" t="s">
        <v>1128</v>
      </c>
      <c r="J215" s="175"/>
      <c r="K215" s="175"/>
      <c r="L215" s="175"/>
      <c r="M215" s="175"/>
      <c r="N215" s="176" t="s">
        <v>1435</v>
      </c>
      <c r="O215" s="175" t="s">
        <v>566</v>
      </c>
      <c r="P215" s="175" t="s">
        <v>567</v>
      </c>
      <c r="Q215" s="175"/>
      <c r="R215" s="175"/>
      <c r="S215" s="176" t="s">
        <v>1435</v>
      </c>
      <c r="T215" s="176" t="s">
        <v>1435</v>
      </c>
      <c r="U215" s="176" t="s">
        <v>1435</v>
      </c>
      <c r="V215" s="176" t="s">
        <v>1435</v>
      </c>
      <c r="W215" s="175"/>
      <c r="X215" s="177" t="b">
        <v>1</v>
      </c>
      <c r="Y215" s="177" t="b">
        <v>0</v>
      </c>
      <c r="Z215" s="177" t="b">
        <v>0</v>
      </c>
      <c r="AA215" s="175"/>
      <c r="AB215" s="175"/>
      <c r="AC215" s="177" t="b">
        <v>0</v>
      </c>
      <c r="AD215" s="178" t="s">
        <v>1914</v>
      </c>
      <c r="AE215" s="175" t="s">
        <v>568</v>
      </c>
      <c r="AF215" s="178" t="s">
        <v>1914</v>
      </c>
      <c r="AG215" s="175" t="s">
        <v>568</v>
      </c>
      <c r="AH215" s="127" t="s">
        <v>568</v>
      </c>
    </row>
    <row r="216" spans="1:34">
      <c r="A216" s="175" t="s">
        <v>1130</v>
      </c>
      <c r="B216" s="175" t="s">
        <v>1131</v>
      </c>
      <c r="C216" s="175"/>
      <c r="D216" s="175"/>
      <c r="E216" s="175"/>
      <c r="F216" s="175"/>
      <c r="G216" s="175"/>
      <c r="H216" s="175"/>
      <c r="I216" s="175" t="s">
        <v>1131</v>
      </c>
      <c r="J216" s="175"/>
      <c r="K216" s="175"/>
      <c r="L216" s="175"/>
      <c r="M216" s="175"/>
      <c r="N216" s="176" t="s">
        <v>1435</v>
      </c>
      <c r="O216" s="175" t="s">
        <v>566</v>
      </c>
      <c r="P216" s="175" t="s">
        <v>567</v>
      </c>
      <c r="Q216" s="175"/>
      <c r="R216" s="175" t="s">
        <v>1517</v>
      </c>
      <c r="S216" s="176" t="s">
        <v>1435</v>
      </c>
      <c r="T216" s="176" t="s">
        <v>1435</v>
      </c>
      <c r="U216" s="176" t="s">
        <v>1435</v>
      </c>
      <c r="V216" s="176" t="s">
        <v>1435</v>
      </c>
      <c r="W216" s="175"/>
      <c r="X216" s="177" t="b">
        <v>1</v>
      </c>
      <c r="Y216" s="177" t="b">
        <v>0</v>
      </c>
      <c r="Z216" s="177" t="b">
        <v>0</v>
      </c>
      <c r="AA216" s="175"/>
      <c r="AB216" s="175"/>
      <c r="AC216" s="177" t="b">
        <v>0</v>
      </c>
      <c r="AD216" s="178" t="s">
        <v>1955</v>
      </c>
      <c r="AE216" s="175" t="s">
        <v>587</v>
      </c>
      <c r="AF216" s="178">
        <v>43560</v>
      </c>
      <c r="AG216" s="175" t="s">
        <v>927</v>
      </c>
      <c r="AH216" s="127" t="s">
        <v>927</v>
      </c>
    </row>
    <row r="217" spans="1:34">
      <c r="A217" s="175" t="s">
        <v>1132</v>
      </c>
      <c r="B217" s="175" t="s">
        <v>1561</v>
      </c>
      <c r="C217" s="175"/>
      <c r="D217" s="175" t="s">
        <v>630</v>
      </c>
      <c r="E217" s="175" t="s">
        <v>1133</v>
      </c>
      <c r="F217" s="175"/>
      <c r="G217" s="175"/>
      <c r="H217" s="175"/>
      <c r="I217" s="175" t="s">
        <v>1561</v>
      </c>
      <c r="J217" s="175"/>
      <c r="K217" s="175"/>
      <c r="L217" s="175"/>
      <c r="M217" s="175"/>
      <c r="N217" s="176" t="s">
        <v>1435</v>
      </c>
      <c r="O217" s="175" t="s">
        <v>566</v>
      </c>
      <c r="P217" s="175" t="s">
        <v>567</v>
      </c>
      <c r="Q217" s="175"/>
      <c r="R217" s="175" t="s">
        <v>1512</v>
      </c>
      <c r="S217" s="176" t="s">
        <v>1435</v>
      </c>
      <c r="T217" s="176" t="s">
        <v>1435</v>
      </c>
      <c r="U217" s="176" t="s">
        <v>1435</v>
      </c>
      <c r="V217" s="176" t="s">
        <v>1435</v>
      </c>
      <c r="W217" s="175"/>
      <c r="X217" s="177" t="b">
        <v>1</v>
      </c>
      <c r="Y217" s="177" t="b">
        <v>0</v>
      </c>
      <c r="Z217" s="177" t="b">
        <v>0</v>
      </c>
      <c r="AA217" s="175"/>
      <c r="AB217" s="175"/>
      <c r="AC217" s="177" t="b">
        <v>0</v>
      </c>
      <c r="AD217" s="178" t="s">
        <v>1955</v>
      </c>
      <c r="AE217" s="175" t="s">
        <v>561</v>
      </c>
      <c r="AF217" s="178">
        <v>43560</v>
      </c>
      <c r="AG217" s="175" t="s">
        <v>927</v>
      </c>
      <c r="AH217" s="127" t="s">
        <v>927</v>
      </c>
    </row>
    <row r="218" spans="1:34">
      <c r="A218" s="175" t="s">
        <v>228</v>
      </c>
      <c r="B218" s="175" t="s">
        <v>229</v>
      </c>
      <c r="C218" s="175"/>
      <c r="D218" s="175" t="s">
        <v>925</v>
      </c>
      <c r="E218" s="175"/>
      <c r="F218" s="175"/>
      <c r="G218" s="175"/>
      <c r="H218" s="175"/>
      <c r="I218" s="175"/>
      <c r="J218" s="175"/>
      <c r="K218" s="175"/>
      <c r="L218" s="175"/>
      <c r="M218" s="175"/>
      <c r="N218" s="176" t="s">
        <v>1435</v>
      </c>
      <c r="O218" s="175" t="s">
        <v>566</v>
      </c>
      <c r="P218" s="175" t="s">
        <v>567</v>
      </c>
      <c r="Q218" s="175"/>
      <c r="R218" s="175"/>
      <c r="S218" s="176" t="s">
        <v>1435</v>
      </c>
      <c r="T218" s="176" t="s">
        <v>1435</v>
      </c>
      <c r="U218" s="176" t="s">
        <v>1435</v>
      </c>
      <c r="V218" s="176" t="s">
        <v>1435</v>
      </c>
      <c r="W218" s="175"/>
      <c r="X218" s="177" t="b">
        <v>1</v>
      </c>
      <c r="Y218" s="177" t="b">
        <v>0</v>
      </c>
      <c r="Z218" s="177" t="b">
        <v>0</v>
      </c>
      <c r="AA218" s="175"/>
      <c r="AB218" s="175"/>
      <c r="AC218" s="177" t="b">
        <v>0</v>
      </c>
      <c r="AD218" s="178" t="s">
        <v>1974</v>
      </c>
      <c r="AE218" s="175" t="s">
        <v>717</v>
      </c>
      <c r="AF218" s="178" t="s">
        <v>1974</v>
      </c>
      <c r="AG218" s="175" t="s">
        <v>717</v>
      </c>
      <c r="AH218" s="127" t="s">
        <v>717</v>
      </c>
    </row>
    <row r="219" spans="1:34">
      <c r="A219" s="175" t="s">
        <v>230</v>
      </c>
      <c r="B219" s="175" t="s">
        <v>231</v>
      </c>
      <c r="C219" s="175"/>
      <c r="D219" s="175" t="s">
        <v>1135</v>
      </c>
      <c r="E219" s="175" t="s">
        <v>1136</v>
      </c>
      <c r="F219" s="175"/>
      <c r="G219" s="175"/>
      <c r="H219" s="175"/>
      <c r="I219" s="175" t="s">
        <v>231</v>
      </c>
      <c r="J219" s="175"/>
      <c r="K219" s="175"/>
      <c r="L219" s="175"/>
      <c r="M219" s="175"/>
      <c r="N219" s="176" t="s">
        <v>1435</v>
      </c>
      <c r="O219" s="175" t="s">
        <v>566</v>
      </c>
      <c r="P219" s="175" t="s">
        <v>567</v>
      </c>
      <c r="Q219" s="175"/>
      <c r="R219" s="175" t="s">
        <v>1517</v>
      </c>
      <c r="S219" s="176" t="s">
        <v>1435</v>
      </c>
      <c r="T219" s="176" t="s">
        <v>1435</v>
      </c>
      <c r="U219" s="176" t="s">
        <v>1435</v>
      </c>
      <c r="V219" s="176" t="s">
        <v>1435</v>
      </c>
      <c r="W219" s="175"/>
      <c r="X219" s="177" t="b">
        <v>1</v>
      </c>
      <c r="Y219" s="177" t="b">
        <v>0</v>
      </c>
      <c r="Z219" s="177" t="b">
        <v>0</v>
      </c>
      <c r="AA219" s="175"/>
      <c r="AB219" s="175"/>
      <c r="AC219" s="177" t="b">
        <v>0</v>
      </c>
      <c r="AD219" s="178" t="s">
        <v>1947</v>
      </c>
      <c r="AE219" s="175" t="s">
        <v>568</v>
      </c>
      <c r="AF219" s="178">
        <v>43560</v>
      </c>
      <c r="AG219" s="175" t="s">
        <v>927</v>
      </c>
      <c r="AH219" s="127" t="s">
        <v>927</v>
      </c>
    </row>
    <row r="220" spans="1:34">
      <c r="A220" s="175" t="s">
        <v>232</v>
      </c>
      <c r="B220" s="175" t="s">
        <v>233</v>
      </c>
      <c r="C220" s="175"/>
      <c r="D220" s="175"/>
      <c r="E220" s="175"/>
      <c r="F220" s="175"/>
      <c r="G220" s="175"/>
      <c r="H220" s="175"/>
      <c r="I220" s="175" t="s">
        <v>233</v>
      </c>
      <c r="J220" s="175"/>
      <c r="K220" s="175"/>
      <c r="L220" s="175"/>
      <c r="M220" s="175"/>
      <c r="N220" s="176" t="s">
        <v>1435</v>
      </c>
      <c r="O220" s="175"/>
      <c r="P220" s="175"/>
      <c r="Q220" s="175" t="s">
        <v>570</v>
      </c>
      <c r="R220" s="175"/>
      <c r="S220" s="176" t="s">
        <v>1435</v>
      </c>
      <c r="T220" s="176" t="s">
        <v>1435</v>
      </c>
      <c r="U220" s="176" t="s">
        <v>1435</v>
      </c>
      <c r="V220" s="176" t="s">
        <v>1435</v>
      </c>
      <c r="W220" s="175"/>
      <c r="X220" s="177" t="b">
        <v>1</v>
      </c>
      <c r="Y220" s="177" t="b">
        <v>1</v>
      </c>
      <c r="Z220" s="177" t="b">
        <v>0</v>
      </c>
      <c r="AA220" s="175"/>
      <c r="AB220" s="175"/>
      <c r="AC220" s="177" t="b">
        <v>0</v>
      </c>
      <c r="AD220" s="178">
        <v>43680</v>
      </c>
      <c r="AE220" s="175" t="s">
        <v>568</v>
      </c>
      <c r="AF220" s="178">
        <v>43651</v>
      </c>
      <c r="AG220" s="175" t="s">
        <v>927</v>
      </c>
      <c r="AH220" s="127" t="s">
        <v>927</v>
      </c>
    </row>
    <row r="221" spans="1:34">
      <c r="A221" s="175" t="s">
        <v>1137</v>
      </c>
      <c r="B221" s="175" t="s">
        <v>1138</v>
      </c>
      <c r="C221" s="175"/>
      <c r="D221" s="175" t="s">
        <v>1139</v>
      </c>
      <c r="E221" s="175" t="s">
        <v>1140</v>
      </c>
      <c r="F221" s="175"/>
      <c r="G221" s="175"/>
      <c r="H221" s="175"/>
      <c r="I221" s="175" t="s">
        <v>1138</v>
      </c>
      <c r="J221" s="175"/>
      <c r="K221" s="175"/>
      <c r="L221" s="175"/>
      <c r="M221" s="175"/>
      <c r="N221" s="176" t="s">
        <v>1435</v>
      </c>
      <c r="O221" s="175" t="s">
        <v>566</v>
      </c>
      <c r="P221" s="175" t="s">
        <v>567</v>
      </c>
      <c r="Q221" s="175"/>
      <c r="R221" s="175" t="s">
        <v>1517</v>
      </c>
      <c r="S221" s="176" t="s">
        <v>1435</v>
      </c>
      <c r="T221" s="176" t="s">
        <v>1435</v>
      </c>
      <c r="U221" s="176" t="s">
        <v>1435</v>
      </c>
      <c r="V221" s="176" t="s">
        <v>1435</v>
      </c>
      <c r="W221" s="175"/>
      <c r="X221" s="177" t="b">
        <v>1</v>
      </c>
      <c r="Y221" s="177" t="b">
        <v>0</v>
      </c>
      <c r="Z221" s="177" t="b">
        <v>0</v>
      </c>
      <c r="AA221" s="175"/>
      <c r="AB221" s="175"/>
      <c r="AC221" s="177" t="b">
        <v>0</v>
      </c>
      <c r="AD221" s="178" t="s">
        <v>1975</v>
      </c>
      <c r="AE221" s="175" t="s">
        <v>568</v>
      </c>
      <c r="AF221" s="178">
        <v>43560</v>
      </c>
      <c r="AG221" s="175" t="s">
        <v>927</v>
      </c>
      <c r="AH221" s="127" t="s">
        <v>927</v>
      </c>
    </row>
    <row r="222" spans="1:34">
      <c r="A222" s="175" t="s">
        <v>1369</v>
      </c>
      <c r="B222" s="175" t="s">
        <v>1370</v>
      </c>
      <c r="C222" s="175"/>
      <c r="D222" s="175" t="s">
        <v>606</v>
      </c>
      <c r="E222" s="175" t="s">
        <v>1396</v>
      </c>
      <c r="F222" s="175"/>
      <c r="G222" s="175"/>
      <c r="H222" s="175"/>
      <c r="I222" s="175" t="s">
        <v>1370</v>
      </c>
      <c r="J222" s="175"/>
      <c r="K222" s="175"/>
      <c r="L222" s="175"/>
      <c r="M222" s="175"/>
      <c r="N222" s="176" t="s">
        <v>1435</v>
      </c>
      <c r="O222" s="175" t="s">
        <v>566</v>
      </c>
      <c r="P222" s="175" t="s">
        <v>567</v>
      </c>
      <c r="Q222" s="175"/>
      <c r="R222" s="175" t="s">
        <v>1517</v>
      </c>
      <c r="S222" s="176" t="s">
        <v>1435</v>
      </c>
      <c r="T222" s="176" t="s">
        <v>1435</v>
      </c>
      <c r="U222" s="176" t="s">
        <v>1435</v>
      </c>
      <c r="V222" s="176" t="s">
        <v>1435</v>
      </c>
      <c r="W222" s="175"/>
      <c r="X222" s="177" t="b">
        <v>1</v>
      </c>
      <c r="Y222" s="177" t="b">
        <v>0</v>
      </c>
      <c r="Z222" s="177" t="b">
        <v>0</v>
      </c>
      <c r="AA222" s="175"/>
      <c r="AB222" s="175"/>
      <c r="AC222" s="177" t="b">
        <v>0</v>
      </c>
      <c r="AD222" s="178">
        <v>43681</v>
      </c>
      <c r="AE222" s="175" t="s">
        <v>587</v>
      </c>
      <c r="AF222" s="178">
        <v>43560</v>
      </c>
      <c r="AG222" s="175" t="s">
        <v>927</v>
      </c>
      <c r="AH222" s="127" t="s">
        <v>927</v>
      </c>
    </row>
    <row r="223" spans="1:34">
      <c r="A223" s="175" t="s">
        <v>1141</v>
      </c>
      <c r="B223" s="175" t="s">
        <v>1142</v>
      </c>
      <c r="C223" s="175"/>
      <c r="D223" s="175" t="s">
        <v>1143</v>
      </c>
      <c r="E223" s="175" t="s">
        <v>1144</v>
      </c>
      <c r="F223" s="175"/>
      <c r="G223" s="175"/>
      <c r="H223" s="175"/>
      <c r="I223" s="175" t="s">
        <v>1142</v>
      </c>
      <c r="J223" s="175"/>
      <c r="K223" s="175"/>
      <c r="L223" s="175"/>
      <c r="M223" s="175"/>
      <c r="N223" s="176" t="s">
        <v>1548</v>
      </c>
      <c r="O223" s="175" t="s">
        <v>566</v>
      </c>
      <c r="P223" s="175" t="s">
        <v>567</v>
      </c>
      <c r="Q223" s="175"/>
      <c r="R223" s="175" t="s">
        <v>1521</v>
      </c>
      <c r="S223" s="176" t="s">
        <v>1435</v>
      </c>
      <c r="T223" s="176" t="s">
        <v>1435</v>
      </c>
      <c r="U223" s="176" t="s">
        <v>1435</v>
      </c>
      <c r="V223" s="176" t="s">
        <v>1435</v>
      </c>
      <c r="W223" s="175"/>
      <c r="X223" s="177" t="b">
        <v>1</v>
      </c>
      <c r="Y223" s="177" t="b">
        <v>0</v>
      </c>
      <c r="Z223" s="177" t="b">
        <v>0</v>
      </c>
      <c r="AA223" s="175"/>
      <c r="AB223" s="175"/>
      <c r="AC223" s="177" t="b">
        <v>0</v>
      </c>
      <c r="AD223" s="178">
        <v>1</v>
      </c>
      <c r="AE223" s="175"/>
      <c r="AF223" s="178">
        <v>43651</v>
      </c>
      <c r="AG223" s="175" t="s">
        <v>927</v>
      </c>
      <c r="AH223" s="127" t="s">
        <v>927</v>
      </c>
    </row>
    <row r="224" spans="1:34">
      <c r="A224" s="175" t="s">
        <v>485</v>
      </c>
      <c r="B224" s="175" t="s">
        <v>234</v>
      </c>
      <c r="C224" s="175"/>
      <c r="D224" s="175" t="s">
        <v>862</v>
      </c>
      <c r="E224" s="175" t="s">
        <v>1145</v>
      </c>
      <c r="F224" s="175"/>
      <c r="G224" s="175"/>
      <c r="H224" s="175"/>
      <c r="I224" s="175" t="s">
        <v>234</v>
      </c>
      <c r="J224" s="175"/>
      <c r="K224" s="175"/>
      <c r="L224" s="175"/>
      <c r="M224" s="175"/>
      <c r="N224" s="176" t="s">
        <v>1435</v>
      </c>
      <c r="O224" s="175" t="s">
        <v>566</v>
      </c>
      <c r="P224" s="175" t="s">
        <v>567</v>
      </c>
      <c r="Q224" s="175"/>
      <c r="R224" s="175"/>
      <c r="S224" s="176" t="s">
        <v>1435</v>
      </c>
      <c r="T224" s="176" t="s">
        <v>1435</v>
      </c>
      <c r="U224" s="176" t="s">
        <v>1435</v>
      </c>
      <c r="V224" s="176" t="s">
        <v>1435</v>
      </c>
      <c r="W224" s="175"/>
      <c r="X224" s="177" t="b">
        <v>1</v>
      </c>
      <c r="Y224" s="177" t="b">
        <v>0</v>
      </c>
      <c r="Z224" s="177" t="b">
        <v>0</v>
      </c>
      <c r="AA224" s="175"/>
      <c r="AB224" s="175"/>
      <c r="AC224" s="177" t="b">
        <v>0</v>
      </c>
      <c r="AD224" s="178" t="s">
        <v>1972</v>
      </c>
      <c r="AE224" s="175" t="s">
        <v>717</v>
      </c>
      <c r="AF224" s="178" t="s">
        <v>1972</v>
      </c>
      <c r="AG224" s="175" t="s">
        <v>717</v>
      </c>
      <c r="AH224" s="127" t="s">
        <v>717</v>
      </c>
    </row>
    <row r="225" spans="1:34" ht="30">
      <c r="A225" s="175" t="s">
        <v>1146</v>
      </c>
      <c r="B225" s="175" t="s">
        <v>1147</v>
      </c>
      <c r="C225" s="175"/>
      <c r="D225" s="175"/>
      <c r="E225" s="175"/>
      <c r="F225" s="175"/>
      <c r="G225" s="175"/>
      <c r="H225" s="175"/>
      <c r="I225" s="175"/>
      <c r="J225" s="175"/>
      <c r="K225" s="175"/>
      <c r="L225" s="175"/>
      <c r="M225" s="175"/>
      <c r="N225" s="176" t="s">
        <v>1435</v>
      </c>
      <c r="O225" s="175"/>
      <c r="P225" s="175"/>
      <c r="Q225" s="175" t="s">
        <v>570</v>
      </c>
      <c r="R225" s="175"/>
      <c r="S225" s="176" t="s">
        <v>1435</v>
      </c>
      <c r="T225" s="176" t="s">
        <v>1435</v>
      </c>
      <c r="U225" s="176" t="s">
        <v>1435</v>
      </c>
      <c r="V225" s="176" t="s">
        <v>1435</v>
      </c>
      <c r="W225" s="175"/>
      <c r="X225" s="177" t="b">
        <v>1</v>
      </c>
      <c r="Y225" s="177" t="b">
        <v>1</v>
      </c>
      <c r="Z225" s="177" t="b">
        <v>1</v>
      </c>
      <c r="AA225" s="175"/>
      <c r="AB225" s="175"/>
      <c r="AC225" s="177" t="b">
        <v>0</v>
      </c>
      <c r="AD225" s="178">
        <v>1</v>
      </c>
      <c r="AE225" s="175"/>
      <c r="AF225" s="178" t="s">
        <v>1893</v>
      </c>
      <c r="AG225" s="175" t="s">
        <v>572</v>
      </c>
      <c r="AH225" s="127" t="s">
        <v>572</v>
      </c>
    </row>
    <row r="226" spans="1:34">
      <c r="A226" s="175" t="s">
        <v>1148</v>
      </c>
      <c r="B226" s="175" t="s">
        <v>1149</v>
      </c>
      <c r="C226" s="175"/>
      <c r="D226" s="175" t="s">
        <v>973</v>
      </c>
      <c r="E226" s="175" t="s">
        <v>1150</v>
      </c>
      <c r="F226" s="175"/>
      <c r="G226" s="175"/>
      <c r="H226" s="175"/>
      <c r="I226" s="175" t="s">
        <v>1149</v>
      </c>
      <c r="J226" s="175"/>
      <c r="K226" s="175"/>
      <c r="L226" s="175"/>
      <c r="M226" s="175"/>
      <c r="N226" s="176" t="s">
        <v>1435</v>
      </c>
      <c r="O226" s="175" t="s">
        <v>566</v>
      </c>
      <c r="P226" s="175" t="s">
        <v>567</v>
      </c>
      <c r="Q226" s="175"/>
      <c r="R226" s="175" t="s">
        <v>1517</v>
      </c>
      <c r="S226" s="176" t="s">
        <v>1435</v>
      </c>
      <c r="T226" s="176" t="s">
        <v>1435</v>
      </c>
      <c r="U226" s="176" t="s">
        <v>1435</v>
      </c>
      <c r="V226" s="176" t="s">
        <v>1435</v>
      </c>
      <c r="W226" s="175"/>
      <c r="X226" s="177" t="b">
        <v>1</v>
      </c>
      <c r="Y226" s="177" t="b">
        <v>0</v>
      </c>
      <c r="Z226" s="177" t="b">
        <v>0</v>
      </c>
      <c r="AA226" s="175"/>
      <c r="AB226" s="175"/>
      <c r="AC226" s="177" t="b">
        <v>0</v>
      </c>
      <c r="AD226" s="178" t="s">
        <v>1893</v>
      </c>
      <c r="AE226" s="175" t="s">
        <v>579</v>
      </c>
      <c r="AF226" s="178">
        <v>43560</v>
      </c>
      <c r="AG226" s="175" t="s">
        <v>927</v>
      </c>
      <c r="AH226" s="127" t="s">
        <v>927</v>
      </c>
    </row>
    <row r="227" spans="1:34">
      <c r="A227" s="175" t="s">
        <v>1151</v>
      </c>
      <c r="B227" s="175" t="s">
        <v>1152</v>
      </c>
      <c r="C227" s="175"/>
      <c r="D227" s="175" t="s">
        <v>630</v>
      </c>
      <c r="E227" s="175" t="s">
        <v>1153</v>
      </c>
      <c r="F227" s="175"/>
      <c r="G227" s="175"/>
      <c r="H227" s="175"/>
      <c r="I227" s="175" t="s">
        <v>1152</v>
      </c>
      <c r="J227" s="175"/>
      <c r="K227" s="175"/>
      <c r="L227" s="175"/>
      <c r="M227" s="175"/>
      <c r="N227" s="176" t="s">
        <v>1435</v>
      </c>
      <c r="O227" s="175" t="s">
        <v>566</v>
      </c>
      <c r="P227" s="175" t="s">
        <v>567</v>
      </c>
      <c r="Q227" s="175"/>
      <c r="R227" s="175"/>
      <c r="S227" s="176" t="s">
        <v>1435</v>
      </c>
      <c r="T227" s="176" t="s">
        <v>1435</v>
      </c>
      <c r="U227" s="176" t="s">
        <v>1435</v>
      </c>
      <c r="V227" s="176" t="s">
        <v>1435</v>
      </c>
      <c r="W227" s="175"/>
      <c r="X227" s="177" t="b">
        <v>1</v>
      </c>
      <c r="Y227" s="177" t="b">
        <v>0</v>
      </c>
      <c r="Z227" s="177" t="b">
        <v>0</v>
      </c>
      <c r="AA227" s="175"/>
      <c r="AB227" s="175"/>
      <c r="AC227" s="177" t="b">
        <v>0</v>
      </c>
      <c r="AD227" s="178" t="s">
        <v>1916</v>
      </c>
      <c r="AE227" s="175" t="s">
        <v>761</v>
      </c>
      <c r="AF227" s="178" t="s">
        <v>1916</v>
      </c>
      <c r="AG227" s="175" t="s">
        <v>761</v>
      </c>
      <c r="AH227" s="127" t="s">
        <v>761</v>
      </c>
    </row>
    <row r="228" spans="1:34">
      <c r="A228" s="175" t="s">
        <v>1154</v>
      </c>
      <c r="B228" s="175" t="s">
        <v>1155</v>
      </c>
      <c r="C228" s="175"/>
      <c r="D228" s="175" t="s">
        <v>1156</v>
      </c>
      <c r="E228" s="175" t="s">
        <v>1157</v>
      </c>
      <c r="F228" s="175"/>
      <c r="G228" s="175"/>
      <c r="H228" s="175"/>
      <c r="I228" s="175" t="s">
        <v>1155</v>
      </c>
      <c r="J228" s="175"/>
      <c r="K228" s="175"/>
      <c r="L228" s="175"/>
      <c r="M228" s="175"/>
      <c r="N228" s="176" t="s">
        <v>1435</v>
      </c>
      <c r="O228" s="175" t="s">
        <v>566</v>
      </c>
      <c r="P228" s="175" t="s">
        <v>567</v>
      </c>
      <c r="Q228" s="175"/>
      <c r="R228" s="175"/>
      <c r="S228" s="176" t="s">
        <v>1435</v>
      </c>
      <c r="T228" s="176" t="s">
        <v>1435</v>
      </c>
      <c r="U228" s="176" t="s">
        <v>1435</v>
      </c>
      <c r="V228" s="176" t="s">
        <v>1435</v>
      </c>
      <c r="W228" s="175"/>
      <c r="X228" s="177" t="b">
        <v>1</v>
      </c>
      <c r="Y228" s="177" t="b">
        <v>0</v>
      </c>
      <c r="Z228" s="177" t="b">
        <v>0</v>
      </c>
      <c r="AA228" s="175"/>
      <c r="AB228" s="175"/>
      <c r="AC228" s="177" t="b">
        <v>0</v>
      </c>
      <c r="AD228" s="178">
        <v>43143</v>
      </c>
      <c r="AE228" s="175" t="s">
        <v>568</v>
      </c>
      <c r="AF228" s="178">
        <v>43143</v>
      </c>
      <c r="AG228" s="175" t="s">
        <v>568</v>
      </c>
      <c r="AH228" s="127" t="s">
        <v>568</v>
      </c>
    </row>
    <row r="229" spans="1:34">
      <c r="A229" s="175" t="s">
        <v>235</v>
      </c>
      <c r="B229" s="175" t="s">
        <v>236</v>
      </c>
      <c r="C229" s="175"/>
      <c r="D229" s="175" t="s">
        <v>1158</v>
      </c>
      <c r="E229" s="175" t="s">
        <v>1159</v>
      </c>
      <c r="F229" s="175"/>
      <c r="G229" s="175"/>
      <c r="H229" s="175"/>
      <c r="I229" s="175" t="s">
        <v>236</v>
      </c>
      <c r="J229" s="175"/>
      <c r="K229" s="175"/>
      <c r="L229" s="175"/>
      <c r="M229" s="175"/>
      <c r="N229" s="176" t="s">
        <v>1435</v>
      </c>
      <c r="O229" s="175" t="s">
        <v>566</v>
      </c>
      <c r="P229" s="175" t="s">
        <v>567</v>
      </c>
      <c r="Q229" s="175"/>
      <c r="R229" s="175"/>
      <c r="S229" s="176" t="s">
        <v>1435</v>
      </c>
      <c r="T229" s="176" t="s">
        <v>1435</v>
      </c>
      <c r="U229" s="176" t="s">
        <v>1435</v>
      </c>
      <c r="V229" s="176" t="s">
        <v>1435</v>
      </c>
      <c r="W229" s="175"/>
      <c r="X229" s="177" t="b">
        <v>1</v>
      </c>
      <c r="Y229" s="177" t="b">
        <v>0</v>
      </c>
      <c r="Z229" s="177" t="b">
        <v>0</v>
      </c>
      <c r="AA229" s="175"/>
      <c r="AB229" s="175"/>
      <c r="AC229" s="177" t="b">
        <v>0</v>
      </c>
      <c r="AD229" s="178">
        <v>43771</v>
      </c>
      <c r="AE229" s="175" t="s">
        <v>568</v>
      </c>
      <c r="AF229" s="178">
        <v>43771</v>
      </c>
      <c r="AG229" s="175" t="s">
        <v>568</v>
      </c>
      <c r="AH229" s="127" t="s">
        <v>568</v>
      </c>
    </row>
    <row r="230" spans="1:34" ht="30">
      <c r="A230" s="175" t="s">
        <v>1160</v>
      </c>
      <c r="B230" s="175" t="s">
        <v>1161</v>
      </c>
      <c r="C230" s="175"/>
      <c r="D230" s="175"/>
      <c r="E230" s="175"/>
      <c r="F230" s="175"/>
      <c r="G230" s="175"/>
      <c r="H230" s="175"/>
      <c r="I230" s="175"/>
      <c r="J230" s="175"/>
      <c r="K230" s="175"/>
      <c r="L230" s="175"/>
      <c r="M230" s="175"/>
      <c r="N230" s="176" t="s">
        <v>1435</v>
      </c>
      <c r="O230" s="175"/>
      <c r="P230" s="175"/>
      <c r="Q230" s="175" t="s">
        <v>570</v>
      </c>
      <c r="R230" s="175"/>
      <c r="S230" s="176" t="s">
        <v>1435</v>
      </c>
      <c r="T230" s="176" t="s">
        <v>1435</v>
      </c>
      <c r="U230" s="176" t="s">
        <v>1435</v>
      </c>
      <c r="V230" s="176" t="s">
        <v>1435</v>
      </c>
      <c r="W230" s="175"/>
      <c r="X230" s="177" t="b">
        <v>1</v>
      </c>
      <c r="Y230" s="177" t="b">
        <v>1</v>
      </c>
      <c r="Z230" s="177" t="b">
        <v>0</v>
      </c>
      <c r="AA230" s="175"/>
      <c r="AB230" s="175"/>
      <c r="AC230" s="177" t="b">
        <v>0</v>
      </c>
      <c r="AD230" s="178">
        <v>43198</v>
      </c>
      <c r="AE230" s="175" t="s">
        <v>579</v>
      </c>
      <c r="AF230" s="178" t="s">
        <v>1893</v>
      </c>
      <c r="AG230" s="175" t="s">
        <v>572</v>
      </c>
      <c r="AH230" s="127" t="s">
        <v>572</v>
      </c>
    </row>
    <row r="231" spans="1:34">
      <c r="A231" s="175" t="s">
        <v>1162</v>
      </c>
      <c r="B231" s="175" t="s">
        <v>1163</v>
      </c>
      <c r="C231" s="175"/>
      <c r="D231" s="175" t="s">
        <v>1164</v>
      </c>
      <c r="E231" s="175" t="s">
        <v>1165</v>
      </c>
      <c r="F231" s="175"/>
      <c r="G231" s="175"/>
      <c r="H231" s="175"/>
      <c r="I231" s="175" t="s">
        <v>1163</v>
      </c>
      <c r="J231" s="175"/>
      <c r="K231" s="175"/>
      <c r="L231" s="175"/>
      <c r="M231" s="175"/>
      <c r="N231" s="176" t="s">
        <v>1541</v>
      </c>
      <c r="O231" s="175" t="s">
        <v>566</v>
      </c>
      <c r="P231" s="175" t="s">
        <v>567</v>
      </c>
      <c r="Q231" s="175"/>
      <c r="R231" s="175" t="s">
        <v>1521</v>
      </c>
      <c r="S231" s="176" t="s">
        <v>1435</v>
      </c>
      <c r="T231" s="176" t="s">
        <v>1435</v>
      </c>
      <c r="U231" s="176" t="s">
        <v>1435</v>
      </c>
      <c r="V231" s="176" t="s">
        <v>1435</v>
      </c>
      <c r="W231" s="175"/>
      <c r="X231" s="177" t="b">
        <v>1</v>
      </c>
      <c r="Y231" s="177" t="b">
        <v>0</v>
      </c>
      <c r="Z231" s="177" t="b">
        <v>0</v>
      </c>
      <c r="AA231" s="175"/>
      <c r="AB231" s="175"/>
      <c r="AC231" s="177" t="b">
        <v>0</v>
      </c>
      <c r="AD231" s="178">
        <v>1</v>
      </c>
      <c r="AE231" s="175"/>
      <c r="AF231" s="178">
        <v>43651</v>
      </c>
      <c r="AG231" s="175" t="s">
        <v>927</v>
      </c>
      <c r="AH231" s="127" t="s">
        <v>927</v>
      </c>
    </row>
    <row r="232" spans="1:34">
      <c r="A232" s="175" t="s">
        <v>1166</v>
      </c>
      <c r="B232" s="175" t="s">
        <v>1167</v>
      </c>
      <c r="C232" s="175"/>
      <c r="D232" s="175" t="s">
        <v>630</v>
      </c>
      <c r="E232" s="175" t="s">
        <v>1168</v>
      </c>
      <c r="F232" s="175"/>
      <c r="G232" s="175"/>
      <c r="H232" s="175"/>
      <c r="I232" s="175" t="s">
        <v>1167</v>
      </c>
      <c r="J232" s="175"/>
      <c r="K232" s="175"/>
      <c r="L232" s="175"/>
      <c r="M232" s="175"/>
      <c r="N232" s="176" t="s">
        <v>1435</v>
      </c>
      <c r="O232" s="175" t="s">
        <v>566</v>
      </c>
      <c r="P232" s="175" t="s">
        <v>567</v>
      </c>
      <c r="Q232" s="175"/>
      <c r="R232" s="175"/>
      <c r="S232" s="176" t="s">
        <v>1435</v>
      </c>
      <c r="T232" s="176" t="s">
        <v>1435</v>
      </c>
      <c r="U232" s="176" t="s">
        <v>1435</v>
      </c>
      <c r="V232" s="176" t="s">
        <v>1435</v>
      </c>
      <c r="W232" s="175"/>
      <c r="X232" s="177" t="b">
        <v>1</v>
      </c>
      <c r="Y232" s="177" t="b">
        <v>0</v>
      </c>
      <c r="Z232" s="177" t="b">
        <v>0</v>
      </c>
      <c r="AA232" s="175"/>
      <c r="AB232" s="175"/>
      <c r="AC232" s="177" t="b">
        <v>0</v>
      </c>
      <c r="AD232" s="178">
        <v>1</v>
      </c>
      <c r="AE232" s="175"/>
      <c r="AF232" s="178" t="s">
        <v>1894</v>
      </c>
      <c r="AG232" s="175" t="s">
        <v>569</v>
      </c>
      <c r="AH232" s="127" t="s">
        <v>569</v>
      </c>
    </row>
    <row r="233" spans="1:34">
      <c r="A233" s="175" t="s">
        <v>212</v>
      </c>
      <c r="B233" s="175" t="s">
        <v>213</v>
      </c>
      <c r="C233" s="175"/>
      <c r="D233" s="175" t="s">
        <v>703</v>
      </c>
      <c r="E233" s="175" t="s">
        <v>1169</v>
      </c>
      <c r="F233" s="175"/>
      <c r="G233" s="175"/>
      <c r="H233" s="175"/>
      <c r="I233" s="175" t="s">
        <v>213</v>
      </c>
      <c r="J233" s="175"/>
      <c r="K233" s="175"/>
      <c r="L233" s="175"/>
      <c r="M233" s="175"/>
      <c r="N233" s="176" t="s">
        <v>1435</v>
      </c>
      <c r="O233" s="175" t="s">
        <v>566</v>
      </c>
      <c r="P233" s="175" t="s">
        <v>567</v>
      </c>
      <c r="Q233" s="175"/>
      <c r="R233" s="175" t="s">
        <v>1512</v>
      </c>
      <c r="S233" s="176" t="s">
        <v>1435</v>
      </c>
      <c r="T233" s="176" t="s">
        <v>1435</v>
      </c>
      <c r="U233" s="176" t="s">
        <v>1435</v>
      </c>
      <c r="V233" s="176" t="s">
        <v>1435</v>
      </c>
      <c r="W233" s="175"/>
      <c r="X233" s="177" t="b">
        <v>1</v>
      </c>
      <c r="Y233" s="177" t="b">
        <v>0</v>
      </c>
      <c r="Z233" s="177" t="b">
        <v>0</v>
      </c>
      <c r="AA233" s="175"/>
      <c r="AB233" s="175"/>
      <c r="AC233" s="177" t="b">
        <v>0</v>
      </c>
      <c r="AD233" s="178">
        <v>43351</v>
      </c>
      <c r="AE233" s="175" t="s">
        <v>579</v>
      </c>
      <c r="AF233" s="178">
        <v>43560</v>
      </c>
      <c r="AG233" s="175" t="s">
        <v>927</v>
      </c>
      <c r="AH233" s="127" t="s">
        <v>927</v>
      </c>
    </row>
    <row r="234" spans="1:34">
      <c r="A234" s="175" t="s">
        <v>1170</v>
      </c>
      <c r="B234" s="175" t="s">
        <v>1171</v>
      </c>
      <c r="C234" s="175" t="s">
        <v>1172</v>
      </c>
      <c r="D234" s="175" t="s">
        <v>1173</v>
      </c>
      <c r="E234" s="175"/>
      <c r="F234" s="175"/>
      <c r="G234" s="175"/>
      <c r="H234" s="175"/>
      <c r="I234" s="175"/>
      <c r="J234" s="175"/>
      <c r="K234" s="175"/>
      <c r="L234" s="175"/>
      <c r="M234" s="175"/>
      <c r="N234" s="176" t="s">
        <v>1435</v>
      </c>
      <c r="O234" s="175"/>
      <c r="P234" s="175"/>
      <c r="Q234" s="175" t="s">
        <v>578</v>
      </c>
      <c r="R234" s="175"/>
      <c r="S234" s="176" t="s">
        <v>1435</v>
      </c>
      <c r="T234" s="176" t="s">
        <v>1435</v>
      </c>
      <c r="U234" s="176" t="s">
        <v>1435</v>
      </c>
      <c r="V234" s="176" t="s">
        <v>1435</v>
      </c>
      <c r="W234" s="175"/>
      <c r="X234" s="177" t="b">
        <v>1</v>
      </c>
      <c r="Y234" s="177" t="b">
        <v>1</v>
      </c>
      <c r="Z234" s="177" t="b">
        <v>0</v>
      </c>
      <c r="AA234" s="175"/>
      <c r="AB234" s="175"/>
      <c r="AC234" s="177" t="b">
        <v>0</v>
      </c>
      <c r="AD234" s="178">
        <v>43381</v>
      </c>
      <c r="AE234" s="175" t="s">
        <v>579</v>
      </c>
      <c r="AF234" s="178" t="s">
        <v>1920</v>
      </c>
      <c r="AG234" s="175" t="s">
        <v>569</v>
      </c>
      <c r="AH234" s="127" t="s">
        <v>569</v>
      </c>
    </row>
    <row r="235" spans="1:34" ht="30">
      <c r="A235" s="175" t="s">
        <v>1174</v>
      </c>
      <c r="B235" s="175" t="s">
        <v>1175</v>
      </c>
      <c r="C235" s="175"/>
      <c r="D235" s="175" t="s">
        <v>1176</v>
      </c>
      <c r="E235" s="175"/>
      <c r="F235" s="175"/>
      <c r="G235" s="175"/>
      <c r="H235" s="175"/>
      <c r="I235" s="175"/>
      <c r="J235" s="175"/>
      <c r="K235" s="175"/>
      <c r="L235" s="175"/>
      <c r="M235" s="175"/>
      <c r="N235" s="176" t="s">
        <v>1435</v>
      </c>
      <c r="O235" s="175"/>
      <c r="P235" s="175"/>
      <c r="Q235" s="175" t="s">
        <v>578</v>
      </c>
      <c r="R235" s="175"/>
      <c r="S235" s="176" t="s">
        <v>1435</v>
      </c>
      <c r="T235" s="176" t="s">
        <v>1435</v>
      </c>
      <c r="U235" s="176" t="s">
        <v>1435</v>
      </c>
      <c r="V235" s="176" t="s">
        <v>1435</v>
      </c>
      <c r="W235" s="175"/>
      <c r="X235" s="177" t="b">
        <v>1</v>
      </c>
      <c r="Y235" s="177" t="b">
        <v>1</v>
      </c>
      <c r="Z235" s="177" t="b">
        <v>0</v>
      </c>
      <c r="AA235" s="175"/>
      <c r="AB235" s="175"/>
      <c r="AC235" s="177" t="b">
        <v>0</v>
      </c>
      <c r="AD235" s="178">
        <v>43351</v>
      </c>
      <c r="AE235" s="175" t="s">
        <v>579</v>
      </c>
      <c r="AF235" s="178" t="s">
        <v>1893</v>
      </c>
      <c r="AG235" s="175" t="s">
        <v>572</v>
      </c>
      <c r="AH235" s="127" t="s">
        <v>572</v>
      </c>
    </row>
    <row r="236" spans="1:34">
      <c r="A236" s="175" t="s">
        <v>1177</v>
      </c>
      <c r="B236" s="175" t="s">
        <v>1178</v>
      </c>
      <c r="C236" s="175"/>
      <c r="D236" s="175" t="s">
        <v>630</v>
      </c>
      <c r="E236" s="175" t="s">
        <v>1179</v>
      </c>
      <c r="F236" s="175"/>
      <c r="G236" s="175"/>
      <c r="H236" s="175"/>
      <c r="I236" s="175" t="s">
        <v>1178</v>
      </c>
      <c r="J236" s="175"/>
      <c r="K236" s="175"/>
      <c r="L236" s="175"/>
      <c r="M236" s="175"/>
      <c r="N236" s="176" t="s">
        <v>1435</v>
      </c>
      <c r="O236" s="175" t="s">
        <v>566</v>
      </c>
      <c r="P236" s="175" t="s">
        <v>567</v>
      </c>
      <c r="Q236" s="175"/>
      <c r="R236" s="175"/>
      <c r="S236" s="176" t="s">
        <v>1435</v>
      </c>
      <c r="T236" s="176" t="s">
        <v>1435</v>
      </c>
      <c r="U236" s="176" t="s">
        <v>1435</v>
      </c>
      <c r="V236" s="176" t="s">
        <v>1435</v>
      </c>
      <c r="W236" s="175"/>
      <c r="X236" s="177" t="b">
        <v>1</v>
      </c>
      <c r="Y236" s="177" t="b">
        <v>0</v>
      </c>
      <c r="Z236" s="177" t="b">
        <v>0</v>
      </c>
      <c r="AA236" s="175"/>
      <c r="AB236" s="175"/>
      <c r="AC236" s="177" t="b">
        <v>0</v>
      </c>
      <c r="AD236" s="178">
        <v>43290</v>
      </c>
      <c r="AE236" s="175" t="s">
        <v>568</v>
      </c>
      <c r="AF236" s="178">
        <v>43290</v>
      </c>
      <c r="AG236" s="175" t="s">
        <v>568</v>
      </c>
      <c r="AH236" s="127" t="s">
        <v>568</v>
      </c>
    </row>
    <row r="237" spans="1:34">
      <c r="A237" s="175" t="s">
        <v>214</v>
      </c>
      <c r="B237" s="175" t="s">
        <v>215</v>
      </c>
      <c r="C237" s="175"/>
      <c r="D237" s="175" t="s">
        <v>606</v>
      </c>
      <c r="E237" s="175" t="s">
        <v>1180</v>
      </c>
      <c r="F237" s="175"/>
      <c r="G237" s="175"/>
      <c r="H237" s="175"/>
      <c r="I237" s="175" t="s">
        <v>215</v>
      </c>
      <c r="J237" s="175"/>
      <c r="K237" s="175"/>
      <c r="L237" s="175"/>
      <c r="M237" s="175"/>
      <c r="N237" s="176" t="s">
        <v>1435</v>
      </c>
      <c r="O237" s="175" t="s">
        <v>566</v>
      </c>
      <c r="P237" s="175" t="s">
        <v>567</v>
      </c>
      <c r="Q237" s="175"/>
      <c r="R237" s="175"/>
      <c r="S237" s="176" t="s">
        <v>1435</v>
      </c>
      <c r="T237" s="176" t="s">
        <v>1435</v>
      </c>
      <c r="U237" s="176" t="s">
        <v>1435</v>
      </c>
      <c r="V237" s="176" t="s">
        <v>1435</v>
      </c>
      <c r="W237" s="175"/>
      <c r="X237" s="177" t="b">
        <v>1</v>
      </c>
      <c r="Y237" s="177" t="b">
        <v>0</v>
      </c>
      <c r="Z237" s="177" t="b">
        <v>0</v>
      </c>
      <c r="AA237" s="175"/>
      <c r="AB237" s="175"/>
      <c r="AC237" s="177" t="b">
        <v>0</v>
      </c>
      <c r="AD237" s="178">
        <v>43110</v>
      </c>
      <c r="AE237" s="175" t="s">
        <v>561</v>
      </c>
      <c r="AF237" s="178">
        <v>43110</v>
      </c>
      <c r="AG237" s="175" t="s">
        <v>561</v>
      </c>
      <c r="AH237" s="127" t="s">
        <v>561</v>
      </c>
    </row>
    <row r="238" spans="1:34">
      <c r="A238" s="175" t="s">
        <v>1181</v>
      </c>
      <c r="B238" s="175" t="s">
        <v>1182</v>
      </c>
      <c r="C238" s="175"/>
      <c r="D238" s="175" t="s">
        <v>1183</v>
      </c>
      <c r="E238" s="175" t="s">
        <v>1184</v>
      </c>
      <c r="F238" s="175"/>
      <c r="G238" s="175"/>
      <c r="H238" s="175"/>
      <c r="I238" s="175" t="s">
        <v>1182</v>
      </c>
      <c r="J238" s="175"/>
      <c r="K238" s="175"/>
      <c r="L238" s="175"/>
      <c r="M238" s="175"/>
      <c r="N238" s="176" t="s">
        <v>1435</v>
      </c>
      <c r="O238" s="175" t="s">
        <v>566</v>
      </c>
      <c r="P238" s="175" t="s">
        <v>567</v>
      </c>
      <c r="Q238" s="175"/>
      <c r="R238" s="175" t="s">
        <v>1512</v>
      </c>
      <c r="S238" s="176" t="s">
        <v>1435</v>
      </c>
      <c r="T238" s="176" t="s">
        <v>1435</v>
      </c>
      <c r="U238" s="176" t="s">
        <v>1435</v>
      </c>
      <c r="V238" s="176" t="s">
        <v>1435</v>
      </c>
      <c r="W238" s="175"/>
      <c r="X238" s="177" t="b">
        <v>1</v>
      </c>
      <c r="Y238" s="177" t="b">
        <v>0</v>
      </c>
      <c r="Z238" s="177" t="b">
        <v>0</v>
      </c>
      <c r="AA238" s="175"/>
      <c r="AB238" s="175"/>
      <c r="AC238" s="177" t="b">
        <v>0</v>
      </c>
      <c r="AD238" s="178">
        <v>43292</v>
      </c>
      <c r="AE238" s="175" t="s">
        <v>587</v>
      </c>
      <c r="AF238" s="178">
        <v>43560</v>
      </c>
      <c r="AG238" s="175" t="s">
        <v>927</v>
      </c>
      <c r="AH238" s="127" t="s">
        <v>927</v>
      </c>
    </row>
    <row r="239" spans="1:34">
      <c r="A239" s="175" t="s">
        <v>1185</v>
      </c>
      <c r="B239" s="175" t="s">
        <v>216</v>
      </c>
      <c r="C239" s="175"/>
      <c r="D239" s="175" t="s">
        <v>925</v>
      </c>
      <c r="E239" s="175" t="s">
        <v>1186</v>
      </c>
      <c r="F239" s="175"/>
      <c r="G239" s="175"/>
      <c r="H239" s="175"/>
      <c r="I239" s="175"/>
      <c r="J239" s="175"/>
      <c r="K239" s="175"/>
      <c r="L239" s="175"/>
      <c r="M239" s="175"/>
      <c r="N239" s="176" t="s">
        <v>1435</v>
      </c>
      <c r="O239" s="175" t="s">
        <v>566</v>
      </c>
      <c r="P239" s="175" t="s">
        <v>567</v>
      </c>
      <c r="Q239" s="175"/>
      <c r="R239" s="175"/>
      <c r="S239" s="176" t="s">
        <v>1435</v>
      </c>
      <c r="T239" s="176" t="s">
        <v>1435</v>
      </c>
      <c r="U239" s="176" t="s">
        <v>1435</v>
      </c>
      <c r="V239" s="176" t="s">
        <v>1435</v>
      </c>
      <c r="W239" s="175"/>
      <c r="X239" s="177" t="b">
        <v>1</v>
      </c>
      <c r="Y239" s="177" t="b">
        <v>0</v>
      </c>
      <c r="Z239" s="177" t="b">
        <v>0</v>
      </c>
      <c r="AA239" s="175"/>
      <c r="AB239" s="175"/>
      <c r="AC239" s="177" t="b">
        <v>0</v>
      </c>
      <c r="AD239" s="178" t="s">
        <v>1976</v>
      </c>
      <c r="AE239" s="175" t="s">
        <v>717</v>
      </c>
      <c r="AF239" s="178">
        <v>43499</v>
      </c>
      <c r="AG239" s="175" t="s">
        <v>587</v>
      </c>
      <c r="AH239" s="127" t="s">
        <v>587</v>
      </c>
    </row>
    <row r="240" spans="1:34">
      <c r="A240" s="175" t="s">
        <v>1187</v>
      </c>
      <c r="B240" s="175" t="s">
        <v>1188</v>
      </c>
      <c r="C240" s="175"/>
      <c r="D240" s="175" t="s">
        <v>1843</v>
      </c>
      <c r="E240" s="175" t="s">
        <v>1977</v>
      </c>
      <c r="F240" s="175"/>
      <c r="G240" s="175"/>
      <c r="H240" s="175"/>
      <c r="I240" s="175" t="s">
        <v>1188</v>
      </c>
      <c r="J240" s="175"/>
      <c r="K240" s="175"/>
      <c r="L240" s="175"/>
      <c r="M240" s="175"/>
      <c r="N240" s="176" t="s">
        <v>1435</v>
      </c>
      <c r="O240" s="175" t="s">
        <v>566</v>
      </c>
      <c r="P240" s="175" t="s">
        <v>567</v>
      </c>
      <c r="Q240" s="175"/>
      <c r="R240" s="175"/>
      <c r="S240" s="176" t="s">
        <v>1435</v>
      </c>
      <c r="T240" s="176" t="s">
        <v>1435</v>
      </c>
      <c r="U240" s="176" t="s">
        <v>1435</v>
      </c>
      <c r="V240" s="176" t="s">
        <v>1435</v>
      </c>
      <c r="W240" s="175"/>
      <c r="X240" s="177" t="b">
        <v>1</v>
      </c>
      <c r="Y240" s="177" t="b">
        <v>0</v>
      </c>
      <c r="Z240" s="177" t="b">
        <v>0</v>
      </c>
      <c r="AA240" s="175"/>
      <c r="AB240" s="175"/>
      <c r="AC240" s="177" t="b">
        <v>0</v>
      </c>
      <c r="AD240" s="178" t="s">
        <v>1940</v>
      </c>
      <c r="AE240" s="175" t="s">
        <v>568</v>
      </c>
      <c r="AF240" s="178">
        <v>43775</v>
      </c>
      <c r="AG240" s="175" t="s">
        <v>1830</v>
      </c>
      <c r="AH240" s="127" t="s">
        <v>1830</v>
      </c>
    </row>
    <row r="241" spans="1:34">
      <c r="A241" s="175" t="s">
        <v>1353</v>
      </c>
      <c r="B241" s="175" t="s">
        <v>1354</v>
      </c>
      <c r="C241" s="175"/>
      <c r="D241" s="175" t="s">
        <v>1023</v>
      </c>
      <c r="E241" s="175" t="s">
        <v>1562</v>
      </c>
      <c r="F241" s="175"/>
      <c r="G241" s="175"/>
      <c r="H241" s="175"/>
      <c r="I241" s="175" t="s">
        <v>1354</v>
      </c>
      <c r="J241" s="175"/>
      <c r="K241" s="175"/>
      <c r="L241" s="175"/>
      <c r="M241" s="175"/>
      <c r="N241" s="176" t="s">
        <v>1435</v>
      </c>
      <c r="O241" s="175"/>
      <c r="P241" s="175"/>
      <c r="Q241" s="175" t="s">
        <v>570</v>
      </c>
      <c r="R241" s="175"/>
      <c r="S241" s="176" t="s">
        <v>1435</v>
      </c>
      <c r="T241" s="176" t="s">
        <v>1435</v>
      </c>
      <c r="U241" s="176" t="s">
        <v>1435</v>
      </c>
      <c r="V241" s="176" t="s">
        <v>1435</v>
      </c>
      <c r="W241" s="175"/>
      <c r="X241" s="177" t="b">
        <v>1</v>
      </c>
      <c r="Y241" s="177" t="b">
        <v>1</v>
      </c>
      <c r="Z241" s="177" t="b">
        <v>0</v>
      </c>
      <c r="AA241" s="175"/>
      <c r="AB241" s="175"/>
      <c r="AC241" s="177" t="b">
        <v>0</v>
      </c>
      <c r="AD241" s="178">
        <v>43559</v>
      </c>
      <c r="AE241" s="175" t="s">
        <v>587</v>
      </c>
      <c r="AF241" s="178">
        <v>43560</v>
      </c>
      <c r="AG241" s="175" t="s">
        <v>587</v>
      </c>
      <c r="AH241" s="127" t="s">
        <v>587</v>
      </c>
    </row>
    <row r="242" spans="1:34">
      <c r="A242" s="175" t="s">
        <v>389</v>
      </c>
      <c r="B242" s="175" t="s">
        <v>391</v>
      </c>
      <c r="C242" s="175"/>
      <c r="D242" s="175" t="s">
        <v>862</v>
      </c>
      <c r="E242" s="175" t="s">
        <v>1189</v>
      </c>
      <c r="F242" s="175"/>
      <c r="G242" s="175"/>
      <c r="H242" s="175"/>
      <c r="I242" s="175"/>
      <c r="J242" s="175"/>
      <c r="K242" s="175"/>
      <c r="L242" s="175"/>
      <c r="M242" s="175"/>
      <c r="N242" s="176" t="s">
        <v>1435</v>
      </c>
      <c r="O242" s="175" t="s">
        <v>566</v>
      </c>
      <c r="P242" s="175" t="s">
        <v>567</v>
      </c>
      <c r="Q242" s="175"/>
      <c r="R242" s="175"/>
      <c r="S242" s="176" t="s">
        <v>1435</v>
      </c>
      <c r="T242" s="176" t="s">
        <v>1435</v>
      </c>
      <c r="U242" s="176" t="s">
        <v>1435</v>
      </c>
      <c r="V242" s="176" t="s">
        <v>1435</v>
      </c>
      <c r="W242" s="175"/>
      <c r="X242" s="177" t="b">
        <v>1</v>
      </c>
      <c r="Y242" s="177" t="b">
        <v>0</v>
      </c>
      <c r="Z242" s="177" t="b">
        <v>0</v>
      </c>
      <c r="AA242" s="175"/>
      <c r="AB242" s="175"/>
      <c r="AC242" s="177" t="b">
        <v>0</v>
      </c>
      <c r="AD242" s="178">
        <v>43649</v>
      </c>
      <c r="AE242" s="175" t="s">
        <v>717</v>
      </c>
      <c r="AF242" s="178">
        <v>43649</v>
      </c>
      <c r="AG242" s="175" t="s">
        <v>717</v>
      </c>
      <c r="AH242" s="127" t="s">
        <v>717</v>
      </c>
    </row>
    <row r="243" spans="1:34">
      <c r="A243" s="175" t="s">
        <v>1563</v>
      </c>
      <c r="B243" s="175" t="s">
        <v>1564</v>
      </c>
      <c r="C243" s="175"/>
      <c r="D243" s="175" t="s">
        <v>630</v>
      </c>
      <c r="E243" s="175" t="s">
        <v>1565</v>
      </c>
      <c r="F243" s="175"/>
      <c r="G243" s="175"/>
      <c r="H243" s="175"/>
      <c r="I243" s="175" t="s">
        <v>1564</v>
      </c>
      <c r="J243" s="175"/>
      <c r="K243" s="175"/>
      <c r="L243" s="175"/>
      <c r="M243" s="175"/>
      <c r="N243" s="176" t="s">
        <v>1435</v>
      </c>
      <c r="O243" s="175" t="s">
        <v>566</v>
      </c>
      <c r="P243" s="175" t="s">
        <v>567</v>
      </c>
      <c r="Q243" s="175"/>
      <c r="R243" s="175"/>
      <c r="S243" s="176" t="s">
        <v>1435</v>
      </c>
      <c r="T243" s="176" t="s">
        <v>1435</v>
      </c>
      <c r="U243" s="176" t="s">
        <v>1435</v>
      </c>
      <c r="V243" s="176" t="s">
        <v>1435</v>
      </c>
      <c r="W243" s="175"/>
      <c r="X243" s="177" t="b">
        <v>1</v>
      </c>
      <c r="Y243" s="177" t="b">
        <v>0</v>
      </c>
      <c r="Z243" s="177" t="b">
        <v>0</v>
      </c>
      <c r="AA243" s="175"/>
      <c r="AB243" s="175"/>
      <c r="AC243" s="177" t="b">
        <v>0</v>
      </c>
      <c r="AD243" s="178" t="s">
        <v>1978</v>
      </c>
      <c r="AE243" s="175" t="s">
        <v>568</v>
      </c>
      <c r="AF243" s="178" t="s">
        <v>1978</v>
      </c>
      <c r="AG243" s="175" t="s">
        <v>568</v>
      </c>
      <c r="AH243" s="127" t="s">
        <v>568</v>
      </c>
    </row>
    <row r="244" spans="1:34">
      <c r="A244" s="175" t="s">
        <v>1566</v>
      </c>
      <c r="B244" s="175" t="s">
        <v>1567</v>
      </c>
      <c r="C244" s="175"/>
      <c r="D244" s="175" t="s">
        <v>606</v>
      </c>
      <c r="E244" s="175" t="s">
        <v>1568</v>
      </c>
      <c r="F244" s="175"/>
      <c r="G244" s="175"/>
      <c r="H244" s="175"/>
      <c r="I244" s="175" t="s">
        <v>1567</v>
      </c>
      <c r="J244" s="175"/>
      <c r="K244" s="175"/>
      <c r="L244" s="175"/>
      <c r="M244" s="175"/>
      <c r="N244" s="176" t="s">
        <v>1435</v>
      </c>
      <c r="O244" s="175" t="s">
        <v>566</v>
      </c>
      <c r="P244" s="175" t="s">
        <v>567</v>
      </c>
      <c r="Q244" s="175"/>
      <c r="R244" s="175"/>
      <c r="S244" s="176" t="s">
        <v>1435</v>
      </c>
      <c r="T244" s="176" t="s">
        <v>1435</v>
      </c>
      <c r="U244" s="176" t="s">
        <v>1435</v>
      </c>
      <c r="V244" s="176" t="s">
        <v>1435</v>
      </c>
      <c r="W244" s="175"/>
      <c r="X244" s="177" t="b">
        <v>1</v>
      </c>
      <c r="Y244" s="177" t="b">
        <v>0</v>
      </c>
      <c r="Z244" s="177" t="b">
        <v>0</v>
      </c>
      <c r="AA244" s="175"/>
      <c r="AB244" s="175"/>
      <c r="AC244" s="177" t="b">
        <v>0</v>
      </c>
      <c r="AD244" s="178" t="s">
        <v>1979</v>
      </c>
      <c r="AE244" s="175" t="s">
        <v>568</v>
      </c>
      <c r="AF244" s="178" t="s">
        <v>1979</v>
      </c>
      <c r="AG244" s="175" t="s">
        <v>568</v>
      </c>
      <c r="AH244" s="127" t="s">
        <v>568</v>
      </c>
    </row>
    <row r="245" spans="1:34">
      <c r="A245" s="175" t="s">
        <v>1510</v>
      </c>
      <c r="B245" s="175" t="s">
        <v>1569</v>
      </c>
      <c r="C245" s="175"/>
      <c r="D245" s="175" t="s">
        <v>1533</v>
      </c>
      <c r="E245" s="175" t="s">
        <v>1570</v>
      </c>
      <c r="F245" s="175"/>
      <c r="G245" s="175"/>
      <c r="H245" s="175"/>
      <c r="I245" s="175" t="s">
        <v>1569</v>
      </c>
      <c r="J245" s="175"/>
      <c r="K245" s="175"/>
      <c r="L245" s="175"/>
      <c r="M245" s="175"/>
      <c r="N245" s="176" t="s">
        <v>1435</v>
      </c>
      <c r="O245" s="175" t="s">
        <v>566</v>
      </c>
      <c r="P245" s="175" t="s">
        <v>567</v>
      </c>
      <c r="Q245" s="175"/>
      <c r="R245" s="175"/>
      <c r="S245" s="176" t="s">
        <v>1435</v>
      </c>
      <c r="T245" s="176" t="s">
        <v>1435</v>
      </c>
      <c r="U245" s="176" t="s">
        <v>1435</v>
      </c>
      <c r="V245" s="176" t="s">
        <v>1435</v>
      </c>
      <c r="W245" s="175"/>
      <c r="X245" s="177" t="b">
        <v>1</v>
      </c>
      <c r="Y245" s="177" t="b">
        <v>0</v>
      </c>
      <c r="Z245" s="177" t="b">
        <v>0</v>
      </c>
      <c r="AA245" s="175"/>
      <c r="AB245" s="175"/>
      <c r="AC245" s="177" t="b">
        <v>0</v>
      </c>
      <c r="AD245" s="178">
        <v>43682</v>
      </c>
      <c r="AE245" s="175" t="s">
        <v>927</v>
      </c>
      <c r="AF245" s="178">
        <v>43682</v>
      </c>
      <c r="AG245" s="175" t="s">
        <v>927</v>
      </c>
      <c r="AH245" s="127" t="s">
        <v>927</v>
      </c>
    </row>
    <row r="246" spans="1:34">
      <c r="A246" s="175" t="s">
        <v>1590</v>
      </c>
      <c r="B246" s="175" t="s">
        <v>1589</v>
      </c>
      <c r="C246" s="175"/>
      <c r="D246" s="175" t="s">
        <v>1844</v>
      </c>
      <c r="E246" s="175" t="s">
        <v>1845</v>
      </c>
      <c r="F246" s="175"/>
      <c r="G246" s="175"/>
      <c r="H246" s="175"/>
      <c r="I246" s="175" t="s">
        <v>1589</v>
      </c>
      <c r="J246" s="175"/>
      <c r="K246" s="175"/>
      <c r="L246" s="175"/>
      <c r="M246" s="175"/>
      <c r="N246" s="176" t="s">
        <v>1435</v>
      </c>
      <c r="O246" s="175" t="s">
        <v>566</v>
      </c>
      <c r="P246" s="175" t="s">
        <v>567</v>
      </c>
      <c r="Q246" s="175"/>
      <c r="R246" s="175"/>
      <c r="S246" s="176" t="s">
        <v>1435</v>
      </c>
      <c r="T246" s="176" t="s">
        <v>1435</v>
      </c>
      <c r="U246" s="176" t="s">
        <v>1435</v>
      </c>
      <c r="V246" s="176" t="s">
        <v>1435</v>
      </c>
      <c r="W246" s="175"/>
      <c r="X246" s="177" t="b">
        <v>1</v>
      </c>
      <c r="Y246" s="177" t="b">
        <v>0</v>
      </c>
      <c r="Z246" s="177" t="b">
        <v>0</v>
      </c>
      <c r="AA246" s="175"/>
      <c r="AB246" s="175"/>
      <c r="AC246" s="177" t="b">
        <v>0</v>
      </c>
      <c r="AD246" s="178" t="s">
        <v>1980</v>
      </c>
      <c r="AE246" s="175" t="s">
        <v>561</v>
      </c>
      <c r="AF246" s="178" t="s">
        <v>1980</v>
      </c>
      <c r="AG246" s="175" t="s">
        <v>561</v>
      </c>
      <c r="AH246" s="127" t="s">
        <v>561</v>
      </c>
    </row>
    <row r="247" spans="1:34">
      <c r="A247" s="175" t="s">
        <v>1446</v>
      </c>
      <c r="B247" s="175" t="s">
        <v>1190</v>
      </c>
      <c r="C247" s="175" t="s">
        <v>1191</v>
      </c>
      <c r="D247" s="175" t="s">
        <v>1192</v>
      </c>
      <c r="E247" s="175"/>
      <c r="F247" s="175"/>
      <c r="G247" s="175"/>
      <c r="H247" s="175"/>
      <c r="I247" s="175"/>
      <c r="J247" s="175"/>
      <c r="K247" s="175"/>
      <c r="L247" s="175"/>
      <c r="M247" s="175"/>
      <c r="N247" s="176" t="s">
        <v>1435</v>
      </c>
      <c r="O247" s="175"/>
      <c r="P247" s="175"/>
      <c r="Q247" s="175" t="s">
        <v>570</v>
      </c>
      <c r="R247" s="175"/>
      <c r="S247" s="176" t="s">
        <v>1435</v>
      </c>
      <c r="T247" s="176" t="s">
        <v>1435</v>
      </c>
      <c r="U247" s="176" t="s">
        <v>1435</v>
      </c>
      <c r="V247" s="176" t="s">
        <v>1435</v>
      </c>
      <c r="W247" s="175"/>
      <c r="X247" s="177" t="b">
        <v>1</v>
      </c>
      <c r="Y247" s="177" t="b">
        <v>1</v>
      </c>
      <c r="Z247" s="177" t="b">
        <v>0</v>
      </c>
      <c r="AA247" s="175"/>
      <c r="AB247" s="175"/>
      <c r="AC247" s="177" t="b">
        <v>0</v>
      </c>
      <c r="AD247" s="178" t="s">
        <v>1902</v>
      </c>
      <c r="AE247" s="175" t="s">
        <v>561</v>
      </c>
      <c r="AF247" s="178" t="s">
        <v>1902</v>
      </c>
      <c r="AG247" s="175" t="s">
        <v>561</v>
      </c>
      <c r="AH247" s="127" t="s">
        <v>561</v>
      </c>
    </row>
    <row r="248" spans="1:34">
      <c r="A248" s="175" t="s">
        <v>411</v>
      </c>
      <c r="B248" s="175" t="s">
        <v>1447</v>
      </c>
      <c r="C248" s="175"/>
      <c r="D248" s="175"/>
      <c r="E248" s="175"/>
      <c r="F248" s="175"/>
      <c r="G248" s="175"/>
      <c r="H248" s="175"/>
      <c r="I248" s="175"/>
      <c r="J248" s="175"/>
      <c r="K248" s="175"/>
      <c r="L248" s="175"/>
      <c r="M248" s="175"/>
      <c r="N248" s="176" t="s">
        <v>1435</v>
      </c>
      <c r="O248" s="175"/>
      <c r="P248" s="175"/>
      <c r="Q248" s="175" t="s">
        <v>1193</v>
      </c>
      <c r="R248" s="175"/>
      <c r="S248" s="176" t="s">
        <v>1435</v>
      </c>
      <c r="T248" s="176" t="s">
        <v>1435</v>
      </c>
      <c r="U248" s="176" t="s">
        <v>1435</v>
      </c>
      <c r="V248" s="176" t="s">
        <v>1435</v>
      </c>
      <c r="W248" s="175"/>
      <c r="X248" s="177" t="b">
        <v>1</v>
      </c>
      <c r="Y248" s="177" t="b">
        <v>1</v>
      </c>
      <c r="Z248" s="177" t="b">
        <v>0</v>
      </c>
      <c r="AA248" s="175"/>
      <c r="AB248" s="175"/>
      <c r="AC248" s="177" t="b">
        <v>0</v>
      </c>
      <c r="AD248" s="178" t="s">
        <v>1894</v>
      </c>
      <c r="AE248" s="175" t="s">
        <v>587</v>
      </c>
      <c r="AF248" s="178" t="s">
        <v>1894</v>
      </c>
      <c r="AG248" s="175" t="s">
        <v>587</v>
      </c>
      <c r="AH248" s="127" t="s">
        <v>587</v>
      </c>
    </row>
    <row r="249" spans="1:34">
      <c r="A249" s="175" t="s">
        <v>1194</v>
      </c>
      <c r="B249" s="175" t="s">
        <v>1195</v>
      </c>
      <c r="C249" s="175"/>
      <c r="D249" s="175" t="s">
        <v>758</v>
      </c>
      <c r="E249" s="175" t="s">
        <v>1196</v>
      </c>
      <c r="F249" s="175"/>
      <c r="G249" s="175"/>
      <c r="H249" s="175"/>
      <c r="I249" s="175" t="s">
        <v>1195</v>
      </c>
      <c r="J249" s="175"/>
      <c r="K249" s="175"/>
      <c r="L249" s="175"/>
      <c r="M249" s="175"/>
      <c r="N249" s="176" t="s">
        <v>1435</v>
      </c>
      <c r="O249" s="175" t="s">
        <v>566</v>
      </c>
      <c r="P249" s="175" t="s">
        <v>567</v>
      </c>
      <c r="Q249" s="175"/>
      <c r="R249" s="175"/>
      <c r="S249" s="176" t="s">
        <v>1435</v>
      </c>
      <c r="T249" s="176" t="s">
        <v>1435</v>
      </c>
      <c r="U249" s="176" t="s">
        <v>1435</v>
      </c>
      <c r="V249" s="176" t="s">
        <v>1435</v>
      </c>
      <c r="W249" s="175"/>
      <c r="X249" s="177" t="b">
        <v>1</v>
      </c>
      <c r="Y249" s="177" t="b">
        <v>0</v>
      </c>
      <c r="Z249" s="177" t="b">
        <v>0</v>
      </c>
      <c r="AA249" s="175"/>
      <c r="AB249" s="175"/>
      <c r="AC249" s="177" t="b">
        <v>0</v>
      </c>
      <c r="AD249" s="178">
        <v>1</v>
      </c>
      <c r="AE249" s="175"/>
      <c r="AF249" s="178">
        <v>43383</v>
      </c>
      <c r="AG249" s="175" t="s">
        <v>561</v>
      </c>
      <c r="AH249" s="127" t="s">
        <v>561</v>
      </c>
    </row>
    <row r="250" spans="1:34">
      <c r="A250" s="175" t="s">
        <v>1197</v>
      </c>
      <c r="B250" s="175" t="s">
        <v>1198</v>
      </c>
      <c r="C250" s="175"/>
      <c r="D250" s="175" t="s">
        <v>630</v>
      </c>
      <c r="E250" s="175" t="s">
        <v>1199</v>
      </c>
      <c r="F250" s="175"/>
      <c r="G250" s="175"/>
      <c r="H250" s="175"/>
      <c r="I250" s="175" t="s">
        <v>1198</v>
      </c>
      <c r="J250" s="175"/>
      <c r="K250" s="175"/>
      <c r="L250" s="175"/>
      <c r="M250" s="175"/>
      <c r="N250" s="176" t="s">
        <v>1435</v>
      </c>
      <c r="O250" s="175" t="s">
        <v>566</v>
      </c>
      <c r="P250" s="175" t="s">
        <v>567</v>
      </c>
      <c r="Q250" s="175"/>
      <c r="R250" s="175"/>
      <c r="S250" s="176" t="s">
        <v>1435</v>
      </c>
      <c r="T250" s="176" t="s">
        <v>1435</v>
      </c>
      <c r="U250" s="176" t="s">
        <v>1435</v>
      </c>
      <c r="V250" s="176" t="s">
        <v>1435</v>
      </c>
      <c r="W250" s="175"/>
      <c r="X250" s="177" t="b">
        <v>1</v>
      </c>
      <c r="Y250" s="177" t="b">
        <v>0</v>
      </c>
      <c r="Z250" s="177" t="b">
        <v>0</v>
      </c>
      <c r="AA250" s="175"/>
      <c r="AB250" s="175"/>
      <c r="AC250" s="177" t="b">
        <v>0</v>
      </c>
      <c r="AD250" s="178">
        <v>43351</v>
      </c>
      <c r="AE250" s="175" t="s">
        <v>579</v>
      </c>
      <c r="AF250" s="178">
        <v>43321</v>
      </c>
      <c r="AG250" s="175" t="s">
        <v>561</v>
      </c>
      <c r="AH250" s="127" t="s">
        <v>561</v>
      </c>
    </row>
    <row r="251" spans="1:34">
      <c r="A251" s="175" t="s">
        <v>238</v>
      </c>
      <c r="B251" s="175" t="s">
        <v>239</v>
      </c>
      <c r="C251" s="175"/>
      <c r="D251" s="175" t="s">
        <v>973</v>
      </c>
      <c r="E251" s="175" t="s">
        <v>1200</v>
      </c>
      <c r="F251" s="175"/>
      <c r="G251" s="175"/>
      <c r="H251" s="175"/>
      <c r="I251" s="175" t="s">
        <v>239</v>
      </c>
      <c r="J251" s="175"/>
      <c r="K251" s="175"/>
      <c r="L251" s="175"/>
      <c r="M251" s="175"/>
      <c r="N251" s="176" t="s">
        <v>1435</v>
      </c>
      <c r="O251" s="175" t="s">
        <v>566</v>
      </c>
      <c r="P251" s="175" t="s">
        <v>567</v>
      </c>
      <c r="Q251" s="175"/>
      <c r="R251" s="175"/>
      <c r="S251" s="176" t="s">
        <v>1435</v>
      </c>
      <c r="T251" s="176" t="s">
        <v>1435</v>
      </c>
      <c r="U251" s="176" t="s">
        <v>1435</v>
      </c>
      <c r="V251" s="176" t="s">
        <v>1435</v>
      </c>
      <c r="W251" s="175"/>
      <c r="X251" s="177" t="b">
        <v>1</v>
      </c>
      <c r="Y251" s="177" t="b">
        <v>0</v>
      </c>
      <c r="Z251" s="177" t="b">
        <v>0</v>
      </c>
      <c r="AA251" s="175"/>
      <c r="AB251" s="175"/>
      <c r="AC251" s="177" t="b">
        <v>0</v>
      </c>
      <c r="AD251" s="178">
        <v>43198</v>
      </c>
      <c r="AE251" s="175" t="s">
        <v>579</v>
      </c>
      <c r="AF251" s="178" t="s">
        <v>1894</v>
      </c>
      <c r="AG251" s="175" t="s">
        <v>569</v>
      </c>
      <c r="AH251" s="127" t="s">
        <v>569</v>
      </c>
    </row>
    <row r="252" spans="1:34">
      <c r="A252" s="175" t="s">
        <v>242</v>
      </c>
      <c r="B252" s="175" t="s">
        <v>243</v>
      </c>
      <c r="C252" s="175"/>
      <c r="D252" s="175" t="s">
        <v>1201</v>
      </c>
      <c r="E252" s="175" t="s">
        <v>1202</v>
      </c>
      <c r="F252" s="175"/>
      <c r="G252" s="175"/>
      <c r="H252" s="175"/>
      <c r="I252" s="175" t="s">
        <v>243</v>
      </c>
      <c r="J252" s="175"/>
      <c r="K252" s="175"/>
      <c r="L252" s="175"/>
      <c r="M252" s="175"/>
      <c r="N252" s="176" t="s">
        <v>1435</v>
      </c>
      <c r="O252" s="175" t="s">
        <v>566</v>
      </c>
      <c r="P252" s="175" t="s">
        <v>567</v>
      </c>
      <c r="Q252" s="175"/>
      <c r="R252" s="175"/>
      <c r="S252" s="176" t="s">
        <v>1435</v>
      </c>
      <c r="T252" s="176" t="s">
        <v>1435</v>
      </c>
      <c r="U252" s="176" t="s">
        <v>1435</v>
      </c>
      <c r="V252" s="176" t="s">
        <v>1435</v>
      </c>
      <c r="W252" s="175"/>
      <c r="X252" s="177" t="b">
        <v>1</v>
      </c>
      <c r="Y252" s="177" t="b">
        <v>0</v>
      </c>
      <c r="Z252" s="177" t="b">
        <v>0</v>
      </c>
      <c r="AA252" s="175"/>
      <c r="AB252" s="175"/>
      <c r="AC252" s="177" t="b">
        <v>0</v>
      </c>
      <c r="AD252" s="178" t="s">
        <v>1965</v>
      </c>
      <c r="AE252" s="175" t="s">
        <v>568</v>
      </c>
      <c r="AF252" s="178" t="s">
        <v>1965</v>
      </c>
      <c r="AG252" s="175" t="s">
        <v>568</v>
      </c>
      <c r="AH252" s="127" t="s">
        <v>568</v>
      </c>
    </row>
    <row r="253" spans="1:34">
      <c r="A253" s="175" t="s">
        <v>395</v>
      </c>
      <c r="B253" s="175" t="s">
        <v>396</v>
      </c>
      <c r="C253" s="175"/>
      <c r="D253" s="175" t="s">
        <v>1203</v>
      </c>
      <c r="E253" s="175" t="s">
        <v>1204</v>
      </c>
      <c r="F253" s="175"/>
      <c r="G253" s="175"/>
      <c r="H253" s="175"/>
      <c r="I253" s="175" t="s">
        <v>396</v>
      </c>
      <c r="J253" s="175"/>
      <c r="K253" s="175"/>
      <c r="L253" s="175"/>
      <c r="M253" s="175"/>
      <c r="N253" s="176" t="s">
        <v>1435</v>
      </c>
      <c r="O253" s="175" t="s">
        <v>566</v>
      </c>
      <c r="P253" s="175" t="s">
        <v>567</v>
      </c>
      <c r="Q253" s="175"/>
      <c r="R253" s="175" t="s">
        <v>1517</v>
      </c>
      <c r="S253" s="176" t="s">
        <v>1435</v>
      </c>
      <c r="T253" s="176" t="s">
        <v>1435</v>
      </c>
      <c r="U253" s="176" t="s">
        <v>1435</v>
      </c>
      <c r="V253" s="176" t="s">
        <v>1435</v>
      </c>
      <c r="W253" s="175"/>
      <c r="X253" s="177" t="b">
        <v>1</v>
      </c>
      <c r="Y253" s="177" t="b">
        <v>0</v>
      </c>
      <c r="Z253" s="177" t="b">
        <v>0</v>
      </c>
      <c r="AA253" s="175"/>
      <c r="AB253" s="175"/>
      <c r="AC253" s="177" t="b">
        <v>0</v>
      </c>
      <c r="AD253" s="178" t="s">
        <v>1981</v>
      </c>
      <c r="AE253" s="175" t="s">
        <v>587</v>
      </c>
      <c r="AF253" s="178">
        <v>43560</v>
      </c>
      <c r="AG253" s="175" t="s">
        <v>927</v>
      </c>
      <c r="AH253" s="127" t="s">
        <v>927</v>
      </c>
    </row>
    <row r="254" spans="1:34">
      <c r="A254" s="175" t="s">
        <v>1205</v>
      </c>
      <c r="B254" s="175" t="s">
        <v>1206</v>
      </c>
      <c r="C254" s="175"/>
      <c r="D254" s="175" t="s">
        <v>666</v>
      </c>
      <c r="E254" s="175" t="s">
        <v>1207</v>
      </c>
      <c r="F254" s="175"/>
      <c r="G254" s="175"/>
      <c r="H254" s="175"/>
      <c r="I254" s="175" t="s">
        <v>1206</v>
      </c>
      <c r="J254" s="175"/>
      <c r="K254" s="175"/>
      <c r="L254" s="175"/>
      <c r="M254" s="175"/>
      <c r="N254" s="176" t="s">
        <v>1571</v>
      </c>
      <c r="O254" s="175" t="s">
        <v>566</v>
      </c>
      <c r="P254" s="175" t="s">
        <v>567</v>
      </c>
      <c r="Q254" s="175"/>
      <c r="R254" s="175" t="s">
        <v>1521</v>
      </c>
      <c r="S254" s="176" t="s">
        <v>1435</v>
      </c>
      <c r="T254" s="176" t="s">
        <v>1435</v>
      </c>
      <c r="U254" s="176" t="s">
        <v>1435</v>
      </c>
      <c r="V254" s="176" t="s">
        <v>1435</v>
      </c>
      <c r="W254" s="175"/>
      <c r="X254" s="177" t="b">
        <v>1</v>
      </c>
      <c r="Y254" s="177" t="b">
        <v>0</v>
      </c>
      <c r="Z254" s="177" t="b">
        <v>0</v>
      </c>
      <c r="AA254" s="175"/>
      <c r="AB254" s="175"/>
      <c r="AC254" s="177" t="b">
        <v>0</v>
      </c>
      <c r="AD254" s="178">
        <v>1</v>
      </c>
      <c r="AE254" s="175"/>
      <c r="AF254" s="178">
        <v>43651</v>
      </c>
      <c r="AG254" s="175" t="s">
        <v>927</v>
      </c>
      <c r="AH254" s="127" t="s">
        <v>927</v>
      </c>
    </row>
    <row r="255" spans="1:34">
      <c r="A255" s="175" t="s">
        <v>1208</v>
      </c>
      <c r="B255" s="175" t="s">
        <v>1209</v>
      </c>
      <c r="C255" s="175"/>
      <c r="D255" s="175" t="s">
        <v>1210</v>
      </c>
      <c r="E255" s="175" t="s">
        <v>1211</v>
      </c>
      <c r="F255" s="175"/>
      <c r="G255" s="175"/>
      <c r="H255" s="175"/>
      <c r="I255" s="175" t="s">
        <v>1209</v>
      </c>
      <c r="J255" s="175"/>
      <c r="K255" s="175"/>
      <c r="L255" s="175"/>
      <c r="M255" s="175"/>
      <c r="N255" s="176" t="s">
        <v>1435</v>
      </c>
      <c r="O255" s="175" t="s">
        <v>566</v>
      </c>
      <c r="P255" s="175" t="s">
        <v>567</v>
      </c>
      <c r="Q255" s="175"/>
      <c r="R255" s="175"/>
      <c r="S255" s="176" t="s">
        <v>1435</v>
      </c>
      <c r="T255" s="176" t="s">
        <v>1435</v>
      </c>
      <c r="U255" s="176" t="s">
        <v>1435</v>
      </c>
      <c r="V255" s="176" t="s">
        <v>1435</v>
      </c>
      <c r="W255" s="175"/>
      <c r="X255" s="177" t="b">
        <v>1</v>
      </c>
      <c r="Y255" s="177" t="b">
        <v>0</v>
      </c>
      <c r="Z255" s="177" t="b">
        <v>0</v>
      </c>
      <c r="AA255" s="175"/>
      <c r="AB255" s="175"/>
      <c r="AC255" s="177" t="b">
        <v>0</v>
      </c>
      <c r="AD255" s="178">
        <v>1</v>
      </c>
      <c r="AE255" s="175"/>
      <c r="AF255" s="178" t="s">
        <v>1894</v>
      </c>
      <c r="AG255" s="175" t="s">
        <v>569</v>
      </c>
      <c r="AH255" s="127" t="s">
        <v>569</v>
      </c>
    </row>
    <row r="256" spans="1:34">
      <c r="A256" s="175" t="s">
        <v>244</v>
      </c>
      <c r="B256" s="175" t="s">
        <v>245</v>
      </c>
      <c r="C256" s="175"/>
      <c r="D256" s="175" t="s">
        <v>630</v>
      </c>
      <c r="E256" s="175" t="s">
        <v>1212</v>
      </c>
      <c r="F256" s="175"/>
      <c r="G256" s="175"/>
      <c r="H256" s="175"/>
      <c r="I256" s="175" t="s">
        <v>245</v>
      </c>
      <c r="J256" s="175"/>
      <c r="K256" s="175"/>
      <c r="L256" s="175"/>
      <c r="M256" s="175"/>
      <c r="N256" s="176" t="s">
        <v>1435</v>
      </c>
      <c r="O256" s="175" t="s">
        <v>566</v>
      </c>
      <c r="P256" s="175" t="s">
        <v>567</v>
      </c>
      <c r="Q256" s="175"/>
      <c r="R256" s="175"/>
      <c r="S256" s="176" t="s">
        <v>1435</v>
      </c>
      <c r="T256" s="176" t="s">
        <v>1435</v>
      </c>
      <c r="U256" s="176" t="s">
        <v>1435</v>
      </c>
      <c r="V256" s="176" t="s">
        <v>1435</v>
      </c>
      <c r="W256" s="175"/>
      <c r="X256" s="177" t="b">
        <v>1</v>
      </c>
      <c r="Y256" s="177" t="b">
        <v>0</v>
      </c>
      <c r="Z256" s="177" t="b">
        <v>0</v>
      </c>
      <c r="AA256" s="175"/>
      <c r="AB256" s="175"/>
      <c r="AC256" s="177" t="b">
        <v>0</v>
      </c>
      <c r="AD256" s="178">
        <v>1</v>
      </c>
      <c r="AE256" s="175"/>
      <c r="AF256" s="178" t="s">
        <v>1894</v>
      </c>
      <c r="AG256" s="175" t="s">
        <v>569</v>
      </c>
      <c r="AH256" s="127" t="s">
        <v>569</v>
      </c>
    </row>
    <row r="257" spans="1:34">
      <c r="A257" s="175" t="s">
        <v>1213</v>
      </c>
      <c r="B257" s="175" t="s">
        <v>1214</v>
      </c>
      <c r="C257" s="175"/>
      <c r="D257" s="175" t="s">
        <v>1215</v>
      </c>
      <c r="E257" s="175" t="s">
        <v>1216</v>
      </c>
      <c r="F257" s="175"/>
      <c r="G257" s="175"/>
      <c r="H257" s="175"/>
      <c r="I257" s="175" t="s">
        <v>1214</v>
      </c>
      <c r="J257" s="175"/>
      <c r="K257" s="175"/>
      <c r="L257" s="175"/>
      <c r="M257" s="175"/>
      <c r="N257" s="176" t="s">
        <v>1435</v>
      </c>
      <c r="O257" s="175" t="s">
        <v>566</v>
      </c>
      <c r="P257" s="175" t="s">
        <v>567</v>
      </c>
      <c r="Q257" s="175"/>
      <c r="R257" s="175"/>
      <c r="S257" s="176" t="s">
        <v>1435</v>
      </c>
      <c r="T257" s="176" t="s">
        <v>1435</v>
      </c>
      <c r="U257" s="176" t="s">
        <v>1435</v>
      </c>
      <c r="V257" s="176" t="s">
        <v>1435</v>
      </c>
      <c r="W257" s="175"/>
      <c r="X257" s="177" t="b">
        <v>1</v>
      </c>
      <c r="Y257" s="177" t="b">
        <v>0</v>
      </c>
      <c r="Z257" s="177" t="b">
        <v>0</v>
      </c>
      <c r="AA257" s="175"/>
      <c r="AB257" s="175"/>
      <c r="AC257" s="177" t="b">
        <v>0</v>
      </c>
      <c r="AD257" s="178">
        <v>1</v>
      </c>
      <c r="AE257" s="175"/>
      <c r="AF257" s="178" t="s">
        <v>1894</v>
      </c>
      <c r="AG257" s="175" t="s">
        <v>569</v>
      </c>
      <c r="AH257" s="127" t="s">
        <v>569</v>
      </c>
    </row>
    <row r="258" spans="1:34">
      <c r="A258" s="175" t="s">
        <v>246</v>
      </c>
      <c r="B258" s="175" t="s">
        <v>247</v>
      </c>
      <c r="C258" s="175"/>
      <c r="D258" s="175" t="s">
        <v>1217</v>
      </c>
      <c r="E258" s="175" t="s">
        <v>1218</v>
      </c>
      <c r="F258" s="175"/>
      <c r="G258" s="175"/>
      <c r="H258" s="175"/>
      <c r="I258" s="175" t="s">
        <v>247</v>
      </c>
      <c r="J258" s="175"/>
      <c r="K258" s="175"/>
      <c r="L258" s="175"/>
      <c r="M258" s="175"/>
      <c r="N258" s="176" t="s">
        <v>1435</v>
      </c>
      <c r="O258" s="175" t="s">
        <v>566</v>
      </c>
      <c r="P258" s="175" t="s">
        <v>567</v>
      </c>
      <c r="Q258" s="175"/>
      <c r="R258" s="175"/>
      <c r="S258" s="176" t="s">
        <v>1435</v>
      </c>
      <c r="T258" s="176" t="s">
        <v>1435</v>
      </c>
      <c r="U258" s="176" t="s">
        <v>1435</v>
      </c>
      <c r="V258" s="176" t="s">
        <v>1435</v>
      </c>
      <c r="W258" s="175"/>
      <c r="X258" s="177" t="b">
        <v>1</v>
      </c>
      <c r="Y258" s="177" t="b">
        <v>0</v>
      </c>
      <c r="Z258" s="177" t="b">
        <v>0</v>
      </c>
      <c r="AA258" s="175"/>
      <c r="AB258" s="175"/>
      <c r="AC258" s="177" t="b">
        <v>0</v>
      </c>
      <c r="AD258" s="178" t="s">
        <v>1897</v>
      </c>
      <c r="AE258" s="175" t="s">
        <v>568</v>
      </c>
      <c r="AF258" s="178" t="s">
        <v>1897</v>
      </c>
      <c r="AG258" s="175" t="s">
        <v>568</v>
      </c>
      <c r="AH258" s="127" t="s">
        <v>568</v>
      </c>
    </row>
    <row r="259" spans="1:34">
      <c r="A259" s="175" t="s">
        <v>250</v>
      </c>
      <c r="B259" s="175" t="s">
        <v>251</v>
      </c>
      <c r="C259" s="175"/>
      <c r="D259" s="175" t="s">
        <v>612</v>
      </c>
      <c r="E259" s="175" t="s">
        <v>1219</v>
      </c>
      <c r="F259" s="175"/>
      <c r="G259" s="175"/>
      <c r="H259" s="175"/>
      <c r="I259" s="175" t="s">
        <v>251</v>
      </c>
      <c r="J259" s="175"/>
      <c r="K259" s="175"/>
      <c r="L259" s="175"/>
      <c r="M259" s="175"/>
      <c r="N259" s="176" t="s">
        <v>1435</v>
      </c>
      <c r="O259" s="175" t="s">
        <v>566</v>
      </c>
      <c r="P259" s="175" t="s">
        <v>567</v>
      </c>
      <c r="Q259" s="175"/>
      <c r="R259" s="175"/>
      <c r="S259" s="176" t="s">
        <v>1435</v>
      </c>
      <c r="T259" s="176" t="s">
        <v>1435</v>
      </c>
      <c r="U259" s="176" t="s">
        <v>1435</v>
      </c>
      <c r="V259" s="176" t="s">
        <v>1435</v>
      </c>
      <c r="W259" s="175"/>
      <c r="X259" s="177" t="b">
        <v>1</v>
      </c>
      <c r="Y259" s="177" t="b">
        <v>0</v>
      </c>
      <c r="Z259" s="177" t="b">
        <v>0</v>
      </c>
      <c r="AA259" s="175"/>
      <c r="AB259" s="175"/>
      <c r="AC259" s="177" t="b">
        <v>0</v>
      </c>
      <c r="AD259" s="178" t="s">
        <v>1924</v>
      </c>
      <c r="AE259" s="175" t="s">
        <v>761</v>
      </c>
      <c r="AF259" s="178" t="s">
        <v>1924</v>
      </c>
      <c r="AG259" s="175" t="s">
        <v>761</v>
      </c>
      <c r="AH259" s="127" t="s">
        <v>761</v>
      </c>
    </row>
    <row r="260" spans="1:34">
      <c r="A260" s="175" t="s">
        <v>466</v>
      </c>
      <c r="B260" s="175" t="s">
        <v>465</v>
      </c>
      <c r="C260" s="175"/>
      <c r="D260" s="175" t="s">
        <v>606</v>
      </c>
      <c r="E260" s="175" t="s">
        <v>1220</v>
      </c>
      <c r="F260" s="175"/>
      <c r="G260" s="175"/>
      <c r="H260" s="175"/>
      <c r="I260" s="175" t="s">
        <v>465</v>
      </c>
      <c r="J260" s="175"/>
      <c r="K260" s="175"/>
      <c r="L260" s="175"/>
      <c r="M260" s="175"/>
      <c r="N260" s="176" t="s">
        <v>1435</v>
      </c>
      <c r="O260" s="175" t="s">
        <v>566</v>
      </c>
      <c r="P260" s="175" t="s">
        <v>567</v>
      </c>
      <c r="Q260" s="175"/>
      <c r="R260" s="175"/>
      <c r="S260" s="176" t="s">
        <v>1435</v>
      </c>
      <c r="T260" s="176" t="s">
        <v>1435</v>
      </c>
      <c r="U260" s="176" t="s">
        <v>1435</v>
      </c>
      <c r="V260" s="176" t="s">
        <v>1435</v>
      </c>
      <c r="W260" s="175"/>
      <c r="X260" s="177" t="b">
        <v>1</v>
      </c>
      <c r="Y260" s="177" t="b">
        <v>0</v>
      </c>
      <c r="Z260" s="177" t="b">
        <v>0</v>
      </c>
      <c r="AA260" s="175"/>
      <c r="AB260" s="175"/>
      <c r="AC260" s="177" t="b">
        <v>0</v>
      </c>
      <c r="AD260" s="178">
        <v>43142</v>
      </c>
      <c r="AE260" s="175" t="s">
        <v>568</v>
      </c>
      <c r="AF260" s="178">
        <v>43142</v>
      </c>
      <c r="AG260" s="175" t="s">
        <v>568</v>
      </c>
      <c r="AH260" s="127" t="s">
        <v>568</v>
      </c>
    </row>
    <row r="261" spans="1:34">
      <c r="A261" s="175" t="s">
        <v>1397</v>
      </c>
      <c r="B261" s="175" t="s">
        <v>1398</v>
      </c>
      <c r="C261" s="175"/>
      <c r="D261" s="175"/>
      <c r="E261" s="175"/>
      <c r="F261" s="175"/>
      <c r="G261" s="175"/>
      <c r="H261" s="175"/>
      <c r="I261" s="175" t="s">
        <v>1398</v>
      </c>
      <c r="J261" s="175"/>
      <c r="K261" s="175"/>
      <c r="L261" s="175"/>
      <c r="M261" s="175"/>
      <c r="N261" s="176" t="s">
        <v>1435</v>
      </c>
      <c r="O261" s="175" t="s">
        <v>566</v>
      </c>
      <c r="P261" s="175" t="s">
        <v>567</v>
      </c>
      <c r="Q261" s="175"/>
      <c r="R261" s="175" t="s">
        <v>1517</v>
      </c>
      <c r="S261" s="176" t="s">
        <v>1435</v>
      </c>
      <c r="T261" s="176" t="s">
        <v>1435</v>
      </c>
      <c r="U261" s="176" t="s">
        <v>1435</v>
      </c>
      <c r="V261" s="176" t="s">
        <v>1435</v>
      </c>
      <c r="W261" s="175"/>
      <c r="X261" s="177" t="b">
        <v>1</v>
      </c>
      <c r="Y261" s="177" t="b">
        <v>0</v>
      </c>
      <c r="Z261" s="177" t="b">
        <v>0</v>
      </c>
      <c r="AA261" s="175"/>
      <c r="AB261" s="175"/>
      <c r="AC261" s="177" t="b">
        <v>0</v>
      </c>
      <c r="AD261" s="178">
        <v>43712</v>
      </c>
      <c r="AE261" s="175" t="s">
        <v>561</v>
      </c>
      <c r="AF261" s="178">
        <v>43651</v>
      </c>
      <c r="AG261" s="175" t="s">
        <v>927</v>
      </c>
      <c r="AH261" s="127" t="s">
        <v>927</v>
      </c>
    </row>
    <row r="262" spans="1:34">
      <c r="A262" s="175" t="s">
        <v>1221</v>
      </c>
      <c r="B262" s="175" t="s">
        <v>1572</v>
      </c>
      <c r="C262" s="175"/>
      <c r="D262" s="175" t="s">
        <v>606</v>
      </c>
      <c r="E262" s="175" t="s">
        <v>1222</v>
      </c>
      <c r="F262" s="175"/>
      <c r="G262" s="175"/>
      <c r="H262" s="175"/>
      <c r="I262" s="175" t="s">
        <v>1572</v>
      </c>
      <c r="J262" s="175"/>
      <c r="K262" s="175"/>
      <c r="L262" s="175"/>
      <c r="M262" s="175"/>
      <c r="N262" s="176" t="s">
        <v>1435</v>
      </c>
      <c r="O262" s="175" t="s">
        <v>566</v>
      </c>
      <c r="P262" s="175" t="s">
        <v>567</v>
      </c>
      <c r="Q262" s="175"/>
      <c r="R262" s="175" t="s">
        <v>1512</v>
      </c>
      <c r="S262" s="176" t="s">
        <v>1435</v>
      </c>
      <c r="T262" s="176" t="s">
        <v>1435</v>
      </c>
      <c r="U262" s="176" t="s">
        <v>1435</v>
      </c>
      <c r="V262" s="176" t="s">
        <v>1435</v>
      </c>
      <c r="W262" s="175"/>
      <c r="X262" s="177" t="b">
        <v>1</v>
      </c>
      <c r="Y262" s="177" t="b">
        <v>0</v>
      </c>
      <c r="Z262" s="177" t="b">
        <v>0</v>
      </c>
      <c r="AA262" s="175"/>
      <c r="AB262" s="175"/>
      <c r="AC262" s="177" t="b">
        <v>0</v>
      </c>
      <c r="AD262" s="178" t="s">
        <v>1915</v>
      </c>
      <c r="AE262" s="175" t="s">
        <v>561</v>
      </c>
      <c r="AF262" s="178">
        <v>43651</v>
      </c>
      <c r="AG262" s="175" t="s">
        <v>927</v>
      </c>
      <c r="AH262" s="127" t="s">
        <v>927</v>
      </c>
    </row>
    <row r="263" spans="1:34">
      <c r="A263" s="175" t="s">
        <v>1223</v>
      </c>
      <c r="B263" s="175" t="s">
        <v>1224</v>
      </c>
      <c r="C263" s="175"/>
      <c r="D263" s="175" t="s">
        <v>630</v>
      </c>
      <c r="E263" s="175" t="s">
        <v>1448</v>
      </c>
      <c r="F263" s="175"/>
      <c r="G263" s="175"/>
      <c r="H263" s="175"/>
      <c r="I263" s="175" t="s">
        <v>1224</v>
      </c>
      <c r="J263" s="175"/>
      <c r="K263" s="175"/>
      <c r="L263" s="175"/>
      <c r="M263" s="175"/>
      <c r="N263" s="176" t="s">
        <v>1435</v>
      </c>
      <c r="O263" s="175" t="s">
        <v>566</v>
      </c>
      <c r="P263" s="175" t="s">
        <v>567</v>
      </c>
      <c r="Q263" s="175"/>
      <c r="R263" s="175"/>
      <c r="S263" s="176" t="s">
        <v>1435</v>
      </c>
      <c r="T263" s="176" t="s">
        <v>1435</v>
      </c>
      <c r="U263" s="176" t="s">
        <v>1435</v>
      </c>
      <c r="V263" s="176" t="s">
        <v>1435</v>
      </c>
      <c r="W263" s="175"/>
      <c r="X263" s="177" t="b">
        <v>1</v>
      </c>
      <c r="Y263" s="177" t="b">
        <v>0</v>
      </c>
      <c r="Z263" s="177" t="b">
        <v>0</v>
      </c>
      <c r="AA263" s="175"/>
      <c r="AB263" s="175"/>
      <c r="AC263" s="177" t="b">
        <v>0</v>
      </c>
      <c r="AD263" s="178">
        <v>43109</v>
      </c>
      <c r="AE263" s="175" t="s">
        <v>568</v>
      </c>
      <c r="AF263" s="178" t="s">
        <v>1938</v>
      </c>
      <c r="AG263" s="175" t="s">
        <v>587</v>
      </c>
      <c r="AH263" s="127" t="s">
        <v>587</v>
      </c>
    </row>
    <row r="264" spans="1:34">
      <c r="A264" s="175" t="s">
        <v>1225</v>
      </c>
      <c r="B264" s="175" t="s">
        <v>1226</v>
      </c>
      <c r="C264" s="175"/>
      <c r="D264" s="175" t="s">
        <v>1156</v>
      </c>
      <c r="E264" s="175" t="s">
        <v>1227</v>
      </c>
      <c r="F264" s="175"/>
      <c r="G264" s="175"/>
      <c r="H264" s="175"/>
      <c r="I264" s="175" t="s">
        <v>1226</v>
      </c>
      <c r="J264" s="175"/>
      <c r="K264" s="175"/>
      <c r="L264" s="175"/>
      <c r="M264" s="175"/>
      <c r="N264" s="176" t="s">
        <v>1435</v>
      </c>
      <c r="O264" s="175" t="s">
        <v>566</v>
      </c>
      <c r="P264" s="175" t="s">
        <v>567</v>
      </c>
      <c r="Q264" s="175"/>
      <c r="R264" s="175"/>
      <c r="S264" s="176" t="s">
        <v>1435</v>
      </c>
      <c r="T264" s="176" t="s">
        <v>1435</v>
      </c>
      <c r="U264" s="176" t="s">
        <v>1435</v>
      </c>
      <c r="V264" s="176" t="s">
        <v>1435</v>
      </c>
      <c r="W264" s="175"/>
      <c r="X264" s="177" t="b">
        <v>1</v>
      </c>
      <c r="Y264" s="177" t="b">
        <v>1</v>
      </c>
      <c r="Z264" s="177" t="b">
        <v>0</v>
      </c>
      <c r="AA264" s="175"/>
      <c r="AB264" s="175"/>
      <c r="AC264" s="177" t="b">
        <v>0</v>
      </c>
      <c r="AD264" s="178" t="s">
        <v>1898</v>
      </c>
      <c r="AE264" s="175" t="s">
        <v>561</v>
      </c>
      <c r="AF264" s="178" t="s">
        <v>1898</v>
      </c>
      <c r="AG264" s="175" t="s">
        <v>561</v>
      </c>
      <c r="AH264" s="127" t="s">
        <v>561</v>
      </c>
    </row>
    <row r="265" spans="1:34">
      <c r="A265" s="175" t="s">
        <v>1228</v>
      </c>
      <c r="B265" s="175" t="s">
        <v>1573</v>
      </c>
      <c r="C265" s="175"/>
      <c r="D265" s="175" t="s">
        <v>630</v>
      </c>
      <c r="E265" s="175" t="s">
        <v>1230</v>
      </c>
      <c r="F265" s="175"/>
      <c r="G265" s="175"/>
      <c r="H265" s="175"/>
      <c r="I265" s="175" t="s">
        <v>1229</v>
      </c>
      <c r="J265" s="175"/>
      <c r="K265" s="175"/>
      <c r="L265" s="175"/>
      <c r="M265" s="175"/>
      <c r="N265" s="176" t="s">
        <v>1435</v>
      </c>
      <c r="O265" s="175" t="s">
        <v>566</v>
      </c>
      <c r="P265" s="175" t="s">
        <v>567</v>
      </c>
      <c r="Q265" s="175"/>
      <c r="R265" s="175" t="s">
        <v>1512</v>
      </c>
      <c r="S265" s="176" t="s">
        <v>1435</v>
      </c>
      <c r="T265" s="176" t="s">
        <v>1435</v>
      </c>
      <c r="U265" s="176" t="s">
        <v>1435</v>
      </c>
      <c r="V265" s="176" t="s">
        <v>1435</v>
      </c>
      <c r="W265" s="175"/>
      <c r="X265" s="177" t="b">
        <v>1</v>
      </c>
      <c r="Y265" s="177" t="b">
        <v>0</v>
      </c>
      <c r="Z265" s="177" t="b">
        <v>0</v>
      </c>
      <c r="AA265" s="175"/>
      <c r="AB265" s="175"/>
      <c r="AC265" s="177" t="b">
        <v>0</v>
      </c>
      <c r="AD265" s="178" t="s">
        <v>1890</v>
      </c>
      <c r="AE265" s="175" t="s">
        <v>561</v>
      </c>
      <c r="AF265" s="178">
        <v>43560</v>
      </c>
      <c r="AG265" s="175" t="s">
        <v>927</v>
      </c>
      <c r="AH265" s="127" t="s">
        <v>927</v>
      </c>
    </row>
    <row r="266" spans="1:34">
      <c r="A266" s="175" t="s">
        <v>252</v>
      </c>
      <c r="B266" s="175" t="s">
        <v>1574</v>
      </c>
      <c r="C266" s="175"/>
      <c r="D266" s="175"/>
      <c r="E266" s="175" t="s">
        <v>1231</v>
      </c>
      <c r="F266" s="175"/>
      <c r="G266" s="175"/>
      <c r="H266" s="175"/>
      <c r="I266" s="175" t="s">
        <v>1574</v>
      </c>
      <c r="J266" s="175"/>
      <c r="K266" s="175"/>
      <c r="L266" s="175"/>
      <c r="M266" s="175"/>
      <c r="N266" s="176" t="s">
        <v>1435</v>
      </c>
      <c r="O266" s="175" t="s">
        <v>566</v>
      </c>
      <c r="P266" s="175" t="s">
        <v>567</v>
      </c>
      <c r="Q266" s="175"/>
      <c r="R266" s="175" t="s">
        <v>1512</v>
      </c>
      <c r="S266" s="176" t="s">
        <v>1435</v>
      </c>
      <c r="T266" s="176" t="s">
        <v>1435</v>
      </c>
      <c r="U266" s="176" t="s">
        <v>1435</v>
      </c>
      <c r="V266" s="176" t="s">
        <v>1435</v>
      </c>
      <c r="W266" s="175"/>
      <c r="X266" s="177" t="b">
        <v>1</v>
      </c>
      <c r="Y266" s="177" t="b">
        <v>0</v>
      </c>
      <c r="Z266" s="177" t="b">
        <v>0</v>
      </c>
      <c r="AA266" s="175"/>
      <c r="AB266" s="175"/>
      <c r="AC266" s="177" t="b">
        <v>0</v>
      </c>
      <c r="AD266" s="178" t="s">
        <v>1982</v>
      </c>
      <c r="AE266" s="175" t="s">
        <v>717</v>
      </c>
      <c r="AF266" s="178">
        <v>43560</v>
      </c>
      <c r="AG266" s="175" t="s">
        <v>927</v>
      </c>
      <c r="AH266" s="127" t="s">
        <v>927</v>
      </c>
    </row>
    <row r="267" spans="1:34">
      <c r="A267" s="175" t="s">
        <v>254</v>
      </c>
      <c r="B267" s="175" t="s">
        <v>255</v>
      </c>
      <c r="C267" s="175"/>
      <c r="D267" s="175" t="s">
        <v>1232</v>
      </c>
      <c r="E267" s="175" t="s">
        <v>1233</v>
      </c>
      <c r="F267" s="175"/>
      <c r="G267" s="175"/>
      <c r="H267" s="175"/>
      <c r="I267" s="175" t="s">
        <v>255</v>
      </c>
      <c r="J267" s="175"/>
      <c r="K267" s="175"/>
      <c r="L267" s="175"/>
      <c r="M267" s="175"/>
      <c r="N267" s="176" t="s">
        <v>1435</v>
      </c>
      <c r="O267" s="175" t="s">
        <v>566</v>
      </c>
      <c r="P267" s="175" t="s">
        <v>567</v>
      </c>
      <c r="Q267" s="175"/>
      <c r="R267" s="175"/>
      <c r="S267" s="176" t="s">
        <v>1435</v>
      </c>
      <c r="T267" s="176" t="s">
        <v>1435</v>
      </c>
      <c r="U267" s="176" t="s">
        <v>1435</v>
      </c>
      <c r="V267" s="176" t="s">
        <v>1435</v>
      </c>
      <c r="W267" s="175"/>
      <c r="X267" s="177" t="b">
        <v>1</v>
      </c>
      <c r="Y267" s="177" t="b">
        <v>0</v>
      </c>
      <c r="Z267" s="177" t="b">
        <v>0</v>
      </c>
      <c r="AA267" s="175"/>
      <c r="AB267" s="175"/>
      <c r="AC267" s="177" t="b">
        <v>0</v>
      </c>
      <c r="AD267" s="178" t="s">
        <v>1983</v>
      </c>
      <c r="AE267" s="175" t="s">
        <v>717</v>
      </c>
      <c r="AF267" s="178" t="s">
        <v>1983</v>
      </c>
      <c r="AG267" s="175" t="s">
        <v>717</v>
      </c>
      <c r="AH267" s="127" t="s">
        <v>717</v>
      </c>
    </row>
    <row r="268" spans="1:34">
      <c r="A268" s="175" t="s">
        <v>1234</v>
      </c>
      <c r="B268" s="175" t="s">
        <v>1235</v>
      </c>
      <c r="C268" s="175"/>
      <c r="D268" s="175" t="s">
        <v>606</v>
      </c>
      <c r="E268" s="175"/>
      <c r="F268" s="175"/>
      <c r="G268" s="175"/>
      <c r="H268" s="175"/>
      <c r="I268" s="175" t="s">
        <v>1235</v>
      </c>
      <c r="J268" s="175"/>
      <c r="K268" s="175"/>
      <c r="L268" s="175"/>
      <c r="M268" s="175"/>
      <c r="N268" s="176" t="s">
        <v>1435</v>
      </c>
      <c r="O268" s="175" t="s">
        <v>566</v>
      </c>
      <c r="P268" s="175" t="s">
        <v>567</v>
      </c>
      <c r="Q268" s="175"/>
      <c r="R268" s="175" t="s">
        <v>1517</v>
      </c>
      <c r="S268" s="176" t="s">
        <v>1435</v>
      </c>
      <c r="T268" s="176" t="s">
        <v>1435</v>
      </c>
      <c r="U268" s="176" t="s">
        <v>1435</v>
      </c>
      <c r="V268" s="176" t="s">
        <v>1435</v>
      </c>
      <c r="W268" s="175"/>
      <c r="X268" s="177" t="b">
        <v>1</v>
      </c>
      <c r="Y268" s="177" t="b">
        <v>1</v>
      </c>
      <c r="Z268" s="177" t="b">
        <v>0</v>
      </c>
      <c r="AA268" s="175"/>
      <c r="AB268" s="175"/>
      <c r="AC268" s="177" t="b">
        <v>0</v>
      </c>
      <c r="AD268" s="178" t="s">
        <v>1984</v>
      </c>
      <c r="AE268" s="175" t="s">
        <v>587</v>
      </c>
      <c r="AF268" s="178">
        <v>43560</v>
      </c>
      <c r="AG268" s="175" t="s">
        <v>927</v>
      </c>
      <c r="AH268" s="127" t="s">
        <v>927</v>
      </c>
    </row>
    <row r="269" spans="1:34">
      <c r="A269" s="175" t="s">
        <v>1236</v>
      </c>
      <c r="B269" s="175" t="s">
        <v>1237</v>
      </c>
      <c r="C269" s="175"/>
      <c r="D269" s="175" t="s">
        <v>1238</v>
      </c>
      <c r="E269" s="175" t="s">
        <v>1239</v>
      </c>
      <c r="F269" s="175"/>
      <c r="G269" s="175"/>
      <c r="H269" s="175"/>
      <c r="I269" s="175" t="s">
        <v>1237</v>
      </c>
      <c r="J269" s="175"/>
      <c r="K269" s="175"/>
      <c r="L269" s="175"/>
      <c r="M269" s="175"/>
      <c r="N269" s="176" t="s">
        <v>1435</v>
      </c>
      <c r="O269" s="175" t="s">
        <v>566</v>
      </c>
      <c r="P269" s="175" t="s">
        <v>567</v>
      </c>
      <c r="Q269" s="175"/>
      <c r="R269" s="175"/>
      <c r="S269" s="176" t="s">
        <v>1435</v>
      </c>
      <c r="T269" s="176" t="s">
        <v>1435</v>
      </c>
      <c r="U269" s="176" t="s">
        <v>1435</v>
      </c>
      <c r="V269" s="176" t="s">
        <v>1435</v>
      </c>
      <c r="W269" s="175"/>
      <c r="X269" s="177" t="b">
        <v>1</v>
      </c>
      <c r="Y269" s="177" t="b">
        <v>0</v>
      </c>
      <c r="Z269" s="177" t="b">
        <v>0</v>
      </c>
      <c r="AA269" s="175"/>
      <c r="AB269" s="175"/>
      <c r="AC269" s="177" t="b">
        <v>0</v>
      </c>
      <c r="AD269" s="178">
        <v>1</v>
      </c>
      <c r="AE269" s="175"/>
      <c r="AF269" s="178" t="s">
        <v>1894</v>
      </c>
      <c r="AG269" s="175" t="s">
        <v>569</v>
      </c>
      <c r="AH269" s="127" t="s">
        <v>569</v>
      </c>
    </row>
    <row r="270" spans="1:34">
      <c r="A270" s="175" t="s">
        <v>1240</v>
      </c>
      <c r="B270" s="175" t="s">
        <v>1241</v>
      </c>
      <c r="C270" s="175"/>
      <c r="D270" s="175" t="s">
        <v>606</v>
      </c>
      <c r="E270" s="175" t="s">
        <v>1242</v>
      </c>
      <c r="F270" s="175"/>
      <c r="G270" s="175"/>
      <c r="H270" s="175"/>
      <c r="I270" s="175" t="s">
        <v>1241</v>
      </c>
      <c r="J270" s="175"/>
      <c r="K270" s="175"/>
      <c r="L270" s="175"/>
      <c r="M270" s="175"/>
      <c r="N270" s="176" t="s">
        <v>1541</v>
      </c>
      <c r="O270" s="175" t="s">
        <v>566</v>
      </c>
      <c r="P270" s="175" t="s">
        <v>567</v>
      </c>
      <c r="Q270" s="175"/>
      <c r="R270" s="175" t="s">
        <v>1521</v>
      </c>
      <c r="S270" s="176" t="s">
        <v>1435</v>
      </c>
      <c r="T270" s="176" t="s">
        <v>1435</v>
      </c>
      <c r="U270" s="176" t="s">
        <v>1435</v>
      </c>
      <c r="V270" s="176" t="s">
        <v>1435</v>
      </c>
      <c r="W270" s="175"/>
      <c r="X270" s="177" t="b">
        <v>1</v>
      </c>
      <c r="Y270" s="177" t="b">
        <v>0</v>
      </c>
      <c r="Z270" s="177" t="b">
        <v>0</v>
      </c>
      <c r="AA270" s="175"/>
      <c r="AB270" s="175"/>
      <c r="AC270" s="177" t="b">
        <v>0</v>
      </c>
      <c r="AD270" s="178">
        <v>43198</v>
      </c>
      <c r="AE270" s="175" t="s">
        <v>579</v>
      </c>
      <c r="AF270" s="178">
        <v>43651</v>
      </c>
      <c r="AG270" s="175" t="s">
        <v>927</v>
      </c>
      <c r="AH270" s="127" t="s">
        <v>927</v>
      </c>
    </row>
    <row r="271" spans="1:34">
      <c r="A271" s="175" t="s">
        <v>256</v>
      </c>
      <c r="B271" s="175" t="s">
        <v>257</v>
      </c>
      <c r="C271" s="175"/>
      <c r="D271" s="175" t="s">
        <v>606</v>
      </c>
      <c r="E271" s="175" t="s">
        <v>1243</v>
      </c>
      <c r="F271" s="175"/>
      <c r="G271" s="175"/>
      <c r="H271" s="175"/>
      <c r="I271" s="175" t="s">
        <v>257</v>
      </c>
      <c r="J271" s="175"/>
      <c r="K271" s="175"/>
      <c r="L271" s="175"/>
      <c r="M271" s="175"/>
      <c r="N271" s="176" t="s">
        <v>1435</v>
      </c>
      <c r="O271" s="175" t="s">
        <v>566</v>
      </c>
      <c r="P271" s="175" t="s">
        <v>567</v>
      </c>
      <c r="Q271" s="175"/>
      <c r="R271" s="175"/>
      <c r="S271" s="176" t="s">
        <v>1435</v>
      </c>
      <c r="T271" s="176" t="s">
        <v>1435</v>
      </c>
      <c r="U271" s="176" t="s">
        <v>1435</v>
      </c>
      <c r="V271" s="176" t="s">
        <v>1435</v>
      </c>
      <c r="W271" s="175"/>
      <c r="X271" s="177" t="b">
        <v>1</v>
      </c>
      <c r="Y271" s="177" t="b">
        <v>1</v>
      </c>
      <c r="Z271" s="177" t="b">
        <v>1</v>
      </c>
      <c r="AA271" s="175"/>
      <c r="AB271" s="175"/>
      <c r="AC271" s="177" t="b">
        <v>0</v>
      </c>
      <c r="AD271" s="178" t="s">
        <v>1957</v>
      </c>
      <c r="AE271" s="175" t="s">
        <v>568</v>
      </c>
      <c r="AF271" s="178" t="s">
        <v>1957</v>
      </c>
      <c r="AG271" s="175" t="s">
        <v>568</v>
      </c>
      <c r="AH271" s="127" t="s">
        <v>568</v>
      </c>
    </row>
    <row r="272" spans="1:34">
      <c r="A272" s="175" t="s">
        <v>1882</v>
      </c>
      <c r="B272" s="175" t="s">
        <v>1883</v>
      </c>
      <c r="C272" s="175"/>
      <c r="D272" s="175" t="s">
        <v>1985</v>
      </c>
      <c r="E272" s="175" t="s">
        <v>1986</v>
      </c>
      <c r="F272" s="175"/>
      <c r="G272" s="175"/>
      <c r="H272" s="175"/>
      <c r="I272" s="175" t="s">
        <v>1883</v>
      </c>
      <c r="J272" s="175"/>
      <c r="K272" s="175"/>
      <c r="L272" s="175"/>
      <c r="M272" s="175"/>
      <c r="N272" s="176" t="s">
        <v>1435</v>
      </c>
      <c r="O272" s="175" t="s">
        <v>566</v>
      </c>
      <c r="P272" s="175" t="s">
        <v>567</v>
      </c>
      <c r="Q272" s="175"/>
      <c r="R272" s="175"/>
      <c r="S272" s="176" t="s">
        <v>1435</v>
      </c>
      <c r="T272" s="176" t="s">
        <v>1435</v>
      </c>
      <c r="U272" s="176" t="s">
        <v>1435</v>
      </c>
      <c r="V272" s="176" t="s">
        <v>1435</v>
      </c>
      <c r="W272" s="175"/>
      <c r="X272" s="177" t="b">
        <v>1</v>
      </c>
      <c r="Y272" s="177" t="b">
        <v>0</v>
      </c>
      <c r="Z272" s="177" t="b">
        <v>0</v>
      </c>
      <c r="AA272" s="175"/>
      <c r="AB272" s="175"/>
      <c r="AC272" s="177" t="b">
        <v>0</v>
      </c>
      <c r="AD272" s="178" t="s">
        <v>1929</v>
      </c>
      <c r="AE272" s="175" t="s">
        <v>1830</v>
      </c>
      <c r="AF272" s="178" t="s">
        <v>1929</v>
      </c>
      <c r="AG272" s="175" t="s">
        <v>1830</v>
      </c>
      <c r="AH272" s="127" t="s">
        <v>1830</v>
      </c>
    </row>
    <row r="273" spans="1:34">
      <c r="A273" s="175" t="s">
        <v>1244</v>
      </c>
      <c r="B273" s="175" t="s">
        <v>1245</v>
      </c>
      <c r="C273" s="175"/>
      <c r="D273" s="175" t="s">
        <v>1246</v>
      </c>
      <c r="E273" s="175" t="s">
        <v>1247</v>
      </c>
      <c r="F273" s="175"/>
      <c r="G273" s="175"/>
      <c r="H273" s="175"/>
      <c r="I273" s="175" t="s">
        <v>1245</v>
      </c>
      <c r="J273" s="175"/>
      <c r="K273" s="175"/>
      <c r="L273" s="175"/>
      <c r="M273" s="175"/>
      <c r="N273" s="176" t="s">
        <v>1520</v>
      </c>
      <c r="O273" s="175" t="s">
        <v>566</v>
      </c>
      <c r="P273" s="175" t="s">
        <v>567</v>
      </c>
      <c r="Q273" s="175"/>
      <c r="R273" s="175" t="s">
        <v>1521</v>
      </c>
      <c r="S273" s="176" t="s">
        <v>1435</v>
      </c>
      <c r="T273" s="176" t="s">
        <v>1435</v>
      </c>
      <c r="U273" s="176" t="s">
        <v>1435</v>
      </c>
      <c r="V273" s="176" t="s">
        <v>1435</v>
      </c>
      <c r="W273" s="175"/>
      <c r="X273" s="177" t="b">
        <v>1</v>
      </c>
      <c r="Y273" s="177" t="b">
        <v>0</v>
      </c>
      <c r="Z273" s="177" t="b">
        <v>0</v>
      </c>
      <c r="AA273" s="175"/>
      <c r="AB273" s="175"/>
      <c r="AC273" s="177" t="b">
        <v>0</v>
      </c>
      <c r="AD273" s="178">
        <v>1</v>
      </c>
      <c r="AE273" s="175"/>
      <c r="AF273" s="178">
        <v>43651</v>
      </c>
      <c r="AG273" s="175" t="s">
        <v>927</v>
      </c>
      <c r="AH273" s="127" t="s">
        <v>927</v>
      </c>
    </row>
    <row r="274" spans="1:34">
      <c r="A274" s="175" t="s">
        <v>1248</v>
      </c>
      <c r="B274" s="175" t="s">
        <v>1249</v>
      </c>
      <c r="C274" s="175"/>
      <c r="D274" s="175" t="s">
        <v>1250</v>
      </c>
      <c r="E274" s="175" t="s">
        <v>1251</v>
      </c>
      <c r="F274" s="175"/>
      <c r="G274" s="175"/>
      <c r="H274" s="175"/>
      <c r="I274" s="175" t="s">
        <v>1249</v>
      </c>
      <c r="J274" s="175"/>
      <c r="K274" s="175"/>
      <c r="L274" s="175"/>
      <c r="M274" s="175"/>
      <c r="N274" s="176" t="s">
        <v>1435</v>
      </c>
      <c r="O274" s="175"/>
      <c r="P274" s="175"/>
      <c r="Q274" s="175" t="s">
        <v>578</v>
      </c>
      <c r="R274" s="175"/>
      <c r="S274" s="176" t="s">
        <v>1435</v>
      </c>
      <c r="T274" s="176" t="s">
        <v>1435</v>
      </c>
      <c r="U274" s="176" t="s">
        <v>1435</v>
      </c>
      <c r="V274" s="176" t="s">
        <v>1435</v>
      </c>
      <c r="W274" s="175"/>
      <c r="X274" s="177" t="b">
        <v>1</v>
      </c>
      <c r="Y274" s="177" t="b">
        <v>1</v>
      </c>
      <c r="Z274" s="177" t="b">
        <v>0</v>
      </c>
      <c r="AA274" s="175"/>
      <c r="AB274" s="175"/>
      <c r="AC274" s="177" t="b">
        <v>0</v>
      </c>
      <c r="AD274" s="178">
        <v>43198</v>
      </c>
      <c r="AE274" s="175" t="s">
        <v>579</v>
      </c>
      <c r="AF274" s="178" t="s">
        <v>1894</v>
      </c>
      <c r="AG274" s="175" t="s">
        <v>569</v>
      </c>
      <c r="AH274" s="127" t="s">
        <v>569</v>
      </c>
    </row>
    <row r="275" spans="1:34">
      <c r="A275" s="175" t="s">
        <v>1252</v>
      </c>
      <c r="B275" s="175" t="s">
        <v>1253</v>
      </c>
      <c r="C275" s="175"/>
      <c r="D275" s="175"/>
      <c r="E275" s="175"/>
      <c r="F275" s="175"/>
      <c r="G275" s="175"/>
      <c r="H275" s="175"/>
      <c r="I275" s="175"/>
      <c r="J275" s="175"/>
      <c r="K275" s="175"/>
      <c r="L275" s="175"/>
      <c r="M275" s="175"/>
      <c r="N275" s="176" t="s">
        <v>1435</v>
      </c>
      <c r="O275" s="175"/>
      <c r="P275" s="175"/>
      <c r="Q275" s="175" t="s">
        <v>578</v>
      </c>
      <c r="R275" s="175" t="s">
        <v>571</v>
      </c>
      <c r="S275" s="176" t="s">
        <v>1435</v>
      </c>
      <c r="T275" s="176" t="s">
        <v>1435</v>
      </c>
      <c r="U275" s="176" t="s">
        <v>1435</v>
      </c>
      <c r="V275" s="176" t="s">
        <v>1435</v>
      </c>
      <c r="W275" s="175"/>
      <c r="X275" s="177" t="b">
        <v>1</v>
      </c>
      <c r="Y275" s="177" t="b">
        <v>1</v>
      </c>
      <c r="Z275" s="177" t="b">
        <v>0</v>
      </c>
      <c r="AA275" s="175"/>
      <c r="AB275" s="175"/>
      <c r="AC275" s="177" t="b">
        <v>0</v>
      </c>
      <c r="AD275" s="178" t="s">
        <v>1960</v>
      </c>
      <c r="AE275" s="175" t="s">
        <v>569</v>
      </c>
      <c r="AF275" s="178" t="s">
        <v>1960</v>
      </c>
      <c r="AG275" s="175" t="s">
        <v>569</v>
      </c>
      <c r="AH275" s="127" t="s">
        <v>569</v>
      </c>
    </row>
    <row r="276" spans="1:34">
      <c r="A276" s="175" t="s">
        <v>1575</v>
      </c>
      <c r="B276" s="175" t="s">
        <v>1576</v>
      </c>
      <c r="C276" s="175"/>
      <c r="D276" s="175" t="s">
        <v>1217</v>
      </c>
      <c r="E276" s="175" t="s">
        <v>1577</v>
      </c>
      <c r="F276" s="175"/>
      <c r="G276" s="175"/>
      <c r="H276" s="175"/>
      <c r="I276" s="175" t="s">
        <v>1576</v>
      </c>
      <c r="J276" s="175"/>
      <c r="K276" s="175"/>
      <c r="L276" s="175"/>
      <c r="M276" s="175"/>
      <c r="N276" s="176" t="s">
        <v>1435</v>
      </c>
      <c r="O276" s="175" t="s">
        <v>566</v>
      </c>
      <c r="P276" s="175" t="s">
        <v>567</v>
      </c>
      <c r="Q276" s="175"/>
      <c r="R276" s="175" t="s">
        <v>1517</v>
      </c>
      <c r="S276" s="176" t="s">
        <v>1435</v>
      </c>
      <c r="T276" s="176" t="s">
        <v>1435</v>
      </c>
      <c r="U276" s="176" t="s">
        <v>1435</v>
      </c>
      <c r="V276" s="176" t="s">
        <v>1435</v>
      </c>
      <c r="W276" s="175"/>
      <c r="X276" s="177" t="b">
        <v>1</v>
      </c>
      <c r="Y276" s="177" t="b">
        <v>0</v>
      </c>
      <c r="Z276" s="177" t="b">
        <v>0</v>
      </c>
      <c r="AA276" s="175"/>
      <c r="AB276" s="175"/>
      <c r="AC276" s="177" t="b">
        <v>0</v>
      </c>
      <c r="AD276" s="178">
        <v>43713</v>
      </c>
      <c r="AE276" s="175" t="s">
        <v>927</v>
      </c>
      <c r="AF276" s="178">
        <v>43713</v>
      </c>
      <c r="AG276" s="175" t="s">
        <v>927</v>
      </c>
      <c r="AH276" s="127" t="s">
        <v>927</v>
      </c>
    </row>
    <row r="277" spans="1:34">
      <c r="A277" s="175" t="s">
        <v>1254</v>
      </c>
      <c r="B277" s="175" t="s">
        <v>1255</v>
      </c>
      <c r="C277" s="175"/>
      <c r="D277" s="175" t="s">
        <v>1256</v>
      </c>
      <c r="E277" s="175" t="s">
        <v>1257</v>
      </c>
      <c r="F277" s="175"/>
      <c r="G277" s="175"/>
      <c r="H277" s="175"/>
      <c r="I277" s="175" t="s">
        <v>1255</v>
      </c>
      <c r="J277" s="175"/>
      <c r="K277" s="175"/>
      <c r="L277" s="175"/>
      <c r="M277" s="175"/>
      <c r="N277" s="176" t="s">
        <v>1541</v>
      </c>
      <c r="O277" s="175" t="s">
        <v>566</v>
      </c>
      <c r="P277" s="175" t="s">
        <v>567</v>
      </c>
      <c r="Q277" s="175"/>
      <c r="R277" s="175" t="s">
        <v>1521</v>
      </c>
      <c r="S277" s="176" t="s">
        <v>1435</v>
      </c>
      <c r="T277" s="176" t="s">
        <v>1435</v>
      </c>
      <c r="U277" s="176" t="s">
        <v>1435</v>
      </c>
      <c r="V277" s="176" t="s">
        <v>1435</v>
      </c>
      <c r="W277" s="175"/>
      <c r="X277" s="177" t="b">
        <v>1</v>
      </c>
      <c r="Y277" s="177" t="b">
        <v>0</v>
      </c>
      <c r="Z277" s="177" t="b">
        <v>0</v>
      </c>
      <c r="AA277" s="175"/>
      <c r="AB277" s="175"/>
      <c r="AC277" s="177" t="b">
        <v>0</v>
      </c>
      <c r="AD277" s="178">
        <v>1</v>
      </c>
      <c r="AE277" s="175"/>
      <c r="AF277" s="178">
        <v>43651</v>
      </c>
      <c r="AG277" s="175" t="s">
        <v>927</v>
      </c>
      <c r="AH277" s="127" t="s">
        <v>927</v>
      </c>
    </row>
    <row r="278" spans="1:34">
      <c r="A278" s="175" t="s">
        <v>1258</v>
      </c>
      <c r="B278" s="175" t="s">
        <v>1259</v>
      </c>
      <c r="C278" s="175"/>
      <c r="D278" s="175" t="s">
        <v>951</v>
      </c>
      <c r="E278" s="175" t="s">
        <v>1260</v>
      </c>
      <c r="F278" s="175"/>
      <c r="G278" s="175"/>
      <c r="H278" s="175"/>
      <c r="I278" s="175" t="s">
        <v>1259</v>
      </c>
      <c r="J278" s="175"/>
      <c r="K278" s="175"/>
      <c r="L278" s="175"/>
      <c r="M278" s="175"/>
      <c r="N278" s="176" t="s">
        <v>1435</v>
      </c>
      <c r="O278" s="175" t="s">
        <v>566</v>
      </c>
      <c r="P278" s="175" t="s">
        <v>567</v>
      </c>
      <c r="Q278" s="175"/>
      <c r="R278" s="175"/>
      <c r="S278" s="176" t="s">
        <v>1435</v>
      </c>
      <c r="T278" s="176" t="s">
        <v>1435</v>
      </c>
      <c r="U278" s="176" t="s">
        <v>1435</v>
      </c>
      <c r="V278" s="176" t="s">
        <v>1435</v>
      </c>
      <c r="W278" s="175"/>
      <c r="X278" s="177" t="b">
        <v>1</v>
      </c>
      <c r="Y278" s="177" t="b">
        <v>0</v>
      </c>
      <c r="Z278" s="177" t="b">
        <v>0</v>
      </c>
      <c r="AA278" s="175"/>
      <c r="AB278" s="175"/>
      <c r="AC278" s="177" t="b">
        <v>0</v>
      </c>
      <c r="AD278" s="178" t="s">
        <v>1953</v>
      </c>
      <c r="AE278" s="175" t="s">
        <v>568</v>
      </c>
      <c r="AF278" s="178">
        <v>43321</v>
      </c>
      <c r="AG278" s="175" t="s">
        <v>561</v>
      </c>
      <c r="AH278" s="127" t="s">
        <v>561</v>
      </c>
    </row>
    <row r="279" spans="1:34">
      <c r="A279" s="175" t="s">
        <v>506</v>
      </c>
      <c r="B279" s="175" t="s">
        <v>507</v>
      </c>
      <c r="C279" s="175"/>
      <c r="D279" s="175" t="s">
        <v>612</v>
      </c>
      <c r="E279" s="175" t="s">
        <v>1261</v>
      </c>
      <c r="F279" s="175"/>
      <c r="G279" s="175"/>
      <c r="H279" s="175"/>
      <c r="I279" s="175" t="s">
        <v>507</v>
      </c>
      <c r="J279" s="175"/>
      <c r="K279" s="175"/>
      <c r="L279" s="175"/>
      <c r="M279" s="175"/>
      <c r="N279" s="176" t="s">
        <v>1435</v>
      </c>
      <c r="O279" s="175" t="s">
        <v>566</v>
      </c>
      <c r="P279" s="175" t="s">
        <v>567</v>
      </c>
      <c r="Q279" s="175"/>
      <c r="R279" s="175"/>
      <c r="S279" s="176" t="s">
        <v>1435</v>
      </c>
      <c r="T279" s="176" t="s">
        <v>1435</v>
      </c>
      <c r="U279" s="176" t="s">
        <v>1435</v>
      </c>
      <c r="V279" s="176" t="s">
        <v>1435</v>
      </c>
      <c r="W279" s="175"/>
      <c r="X279" s="177" t="b">
        <v>1</v>
      </c>
      <c r="Y279" s="177" t="b">
        <v>1</v>
      </c>
      <c r="Z279" s="177" t="b">
        <v>0</v>
      </c>
      <c r="AA279" s="175"/>
      <c r="AB279" s="175"/>
      <c r="AC279" s="177" t="b">
        <v>0</v>
      </c>
      <c r="AD279" s="178">
        <v>43469</v>
      </c>
      <c r="AE279" s="175" t="s">
        <v>587</v>
      </c>
      <c r="AF279" s="178">
        <v>43469</v>
      </c>
      <c r="AG279" s="175" t="s">
        <v>587</v>
      </c>
      <c r="AH279" s="127" t="s">
        <v>587</v>
      </c>
    </row>
    <row r="280" spans="1:34">
      <c r="A280" s="175" t="s">
        <v>1262</v>
      </c>
      <c r="B280" s="175" t="s">
        <v>1263</v>
      </c>
      <c r="C280" s="175"/>
      <c r="D280" s="175" t="s">
        <v>1023</v>
      </c>
      <c r="E280" s="175" t="s">
        <v>1264</v>
      </c>
      <c r="F280" s="175"/>
      <c r="G280" s="175"/>
      <c r="H280" s="175"/>
      <c r="I280" s="175" t="s">
        <v>1263</v>
      </c>
      <c r="J280" s="175"/>
      <c r="K280" s="175"/>
      <c r="L280" s="175"/>
      <c r="M280" s="175"/>
      <c r="N280" s="176" t="s">
        <v>1435</v>
      </c>
      <c r="O280" s="175" t="s">
        <v>566</v>
      </c>
      <c r="P280" s="175" t="s">
        <v>567</v>
      </c>
      <c r="Q280" s="175"/>
      <c r="R280" s="175"/>
      <c r="S280" s="176" t="s">
        <v>1435</v>
      </c>
      <c r="T280" s="176" t="s">
        <v>1435</v>
      </c>
      <c r="U280" s="176" t="s">
        <v>1435</v>
      </c>
      <c r="V280" s="176" t="s">
        <v>1435</v>
      </c>
      <c r="W280" s="175"/>
      <c r="X280" s="177" t="b">
        <v>1</v>
      </c>
      <c r="Y280" s="177" t="b">
        <v>0</v>
      </c>
      <c r="Z280" s="177" t="b">
        <v>0</v>
      </c>
      <c r="AA280" s="175"/>
      <c r="AB280" s="175"/>
      <c r="AC280" s="177" t="b">
        <v>0</v>
      </c>
      <c r="AD280" s="178">
        <v>43351</v>
      </c>
      <c r="AE280" s="175" t="s">
        <v>579</v>
      </c>
      <c r="AF280" s="178">
        <v>43321</v>
      </c>
      <c r="AG280" s="175" t="s">
        <v>561</v>
      </c>
      <c r="AH280" s="127" t="s">
        <v>561</v>
      </c>
    </row>
    <row r="281" spans="1:34" ht="30">
      <c r="A281" s="175" t="s">
        <v>1265</v>
      </c>
      <c r="B281" s="175" t="s">
        <v>1266</v>
      </c>
      <c r="C281" s="175" t="s">
        <v>1267</v>
      </c>
      <c r="D281" s="175" t="s">
        <v>1268</v>
      </c>
      <c r="E281" s="175"/>
      <c r="F281" s="175"/>
      <c r="G281" s="175"/>
      <c r="H281" s="175"/>
      <c r="I281" s="175"/>
      <c r="J281" s="175"/>
      <c r="K281" s="175"/>
      <c r="L281" s="175"/>
      <c r="M281" s="175"/>
      <c r="N281" s="176" t="s">
        <v>1435</v>
      </c>
      <c r="O281" s="175"/>
      <c r="P281" s="175"/>
      <c r="Q281" s="175" t="s">
        <v>570</v>
      </c>
      <c r="R281" s="175"/>
      <c r="S281" s="176" t="s">
        <v>1435</v>
      </c>
      <c r="T281" s="176" t="s">
        <v>1435</v>
      </c>
      <c r="U281" s="176" t="s">
        <v>1435</v>
      </c>
      <c r="V281" s="176" t="s">
        <v>1435</v>
      </c>
      <c r="W281" s="175"/>
      <c r="X281" s="177" t="b">
        <v>1</v>
      </c>
      <c r="Y281" s="177" t="b">
        <v>1</v>
      </c>
      <c r="Z281" s="177" t="b">
        <v>0</v>
      </c>
      <c r="AA281" s="175"/>
      <c r="AB281" s="175"/>
      <c r="AC281" s="177" t="b">
        <v>0</v>
      </c>
      <c r="AD281" s="178">
        <v>1</v>
      </c>
      <c r="AE281" s="175"/>
      <c r="AF281" s="178" t="s">
        <v>1893</v>
      </c>
      <c r="AG281" s="175" t="s">
        <v>572</v>
      </c>
      <c r="AH281" s="127" t="s">
        <v>572</v>
      </c>
    </row>
    <row r="282" spans="1:34">
      <c r="A282" s="175" t="s">
        <v>1269</v>
      </c>
      <c r="B282" s="175" t="s">
        <v>1270</v>
      </c>
      <c r="C282" s="175" t="s">
        <v>1271</v>
      </c>
      <c r="D282" s="175" t="s">
        <v>1272</v>
      </c>
      <c r="E282" s="175"/>
      <c r="F282" s="175"/>
      <c r="G282" s="175"/>
      <c r="H282" s="175"/>
      <c r="I282" s="175"/>
      <c r="J282" s="175"/>
      <c r="K282" s="175"/>
      <c r="L282" s="175"/>
      <c r="M282" s="175"/>
      <c r="N282" s="176" t="s">
        <v>1435</v>
      </c>
      <c r="O282" s="175"/>
      <c r="P282" s="175"/>
      <c r="Q282" s="175" t="s">
        <v>570</v>
      </c>
      <c r="R282" s="175"/>
      <c r="S282" s="176" t="s">
        <v>1435</v>
      </c>
      <c r="T282" s="176" t="s">
        <v>1435</v>
      </c>
      <c r="U282" s="176" t="s">
        <v>1435</v>
      </c>
      <c r="V282" s="176" t="s">
        <v>1435</v>
      </c>
      <c r="W282" s="175"/>
      <c r="X282" s="177" t="b">
        <v>1</v>
      </c>
      <c r="Y282" s="177" t="b">
        <v>1</v>
      </c>
      <c r="Z282" s="177" t="b">
        <v>0</v>
      </c>
      <c r="AA282" s="175"/>
      <c r="AB282" s="175"/>
      <c r="AC282" s="177" t="b">
        <v>0</v>
      </c>
      <c r="AD282" s="178">
        <v>43263</v>
      </c>
      <c r="AE282" s="175" t="s">
        <v>587</v>
      </c>
      <c r="AF282" s="178">
        <v>43263</v>
      </c>
      <c r="AG282" s="175" t="s">
        <v>587</v>
      </c>
      <c r="AH282" s="127" t="s">
        <v>587</v>
      </c>
    </row>
    <row r="283" spans="1:34">
      <c r="A283" s="175" t="s">
        <v>1999</v>
      </c>
      <c r="B283" s="175" t="s">
        <v>2000</v>
      </c>
      <c r="C283" s="175"/>
      <c r="D283" s="175" t="s">
        <v>2001</v>
      </c>
      <c r="E283" s="175" t="s">
        <v>2002</v>
      </c>
      <c r="F283" s="175"/>
      <c r="G283" s="175"/>
      <c r="H283" s="175"/>
      <c r="I283" s="175" t="s">
        <v>2000</v>
      </c>
      <c r="J283" s="175"/>
      <c r="K283" s="175"/>
      <c r="L283" s="175"/>
      <c r="M283" s="175"/>
      <c r="N283" s="176" t="s">
        <v>1435</v>
      </c>
      <c r="O283" s="175" t="s">
        <v>566</v>
      </c>
      <c r="P283" s="175" t="s">
        <v>567</v>
      </c>
      <c r="Q283" s="175"/>
      <c r="R283" s="175"/>
      <c r="S283" s="176" t="s">
        <v>1435</v>
      </c>
      <c r="T283" s="176" t="s">
        <v>1435</v>
      </c>
      <c r="U283" s="176" t="s">
        <v>1435</v>
      </c>
      <c r="V283" s="176" t="s">
        <v>1435</v>
      </c>
      <c r="W283" s="175"/>
      <c r="X283" s="177" t="b">
        <v>1</v>
      </c>
      <c r="Y283" s="177" t="b">
        <v>1</v>
      </c>
      <c r="Z283" s="177" t="b">
        <v>0</v>
      </c>
      <c r="AA283" s="175"/>
      <c r="AB283" s="175"/>
      <c r="AC283" s="177" t="b">
        <v>0</v>
      </c>
      <c r="AD283" s="178" t="s">
        <v>1929</v>
      </c>
      <c r="AE283" s="175" t="s">
        <v>870</v>
      </c>
      <c r="AF283" s="178" t="s">
        <v>1929</v>
      </c>
      <c r="AG283" s="175" t="s">
        <v>870</v>
      </c>
      <c r="AH283" s="127" t="s">
        <v>870</v>
      </c>
    </row>
    <row r="284" spans="1:34">
      <c r="A284" s="175" t="s">
        <v>1273</v>
      </c>
      <c r="B284" s="175" t="s">
        <v>1274</v>
      </c>
      <c r="C284" s="175"/>
      <c r="D284" s="175" t="s">
        <v>630</v>
      </c>
      <c r="E284" s="175" t="s">
        <v>1275</v>
      </c>
      <c r="F284" s="175"/>
      <c r="G284" s="175"/>
      <c r="H284" s="175"/>
      <c r="I284" s="175" t="s">
        <v>1274</v>
      </c>
      <c r="J284" s="175"/>
      <c r="K284" s="175"/>
      <c r="L284" s="175"/>
      <c r="M284" s="175"/>
      <c r="N284" s="176" t="s">
        <v>1435</v>
      </c>
      <c r="O284" s="175" t="s">
        <v>566</v>
      </c>
      <c r="P284" s="175" t="s">
        <v>567</v>
      </c>
      <c r="Q284" s="175"/>
      <c r="R284" s="175"/>
      <c r="S284" s="176" t="s">
        <v>1435</v>
      </c>
      <c r="T284" s="176" t="s">
        <v>1435</v>
      </c>
      <c r="U284" s="176" t="s">
        <v>1435</v>
      </c>
      <c r="V284" s="176" t="s">
        <v>1435</v>
      </c>
      <c r="W284" s="175"/>
      <c r="X284" s="177" t="b">
        <v>1</v>
      </c>
      <c r="Y284" s="177" t="b">
        <v>0</v>
      </c>
      <c r="Z284" s="177" t="b">
        <v>0</v>
      </c>
      <c r="AA284" s="175"/>
      <c r="AB284" s="175"/>
      <c r="AC284" s="177" t="b">
        <v>0</v>
      </c>
      <c r="AD284" s="178">
        <v>1</v>
      </c>
      <c r="AE284" s="175"/>
      <c r="AF284" s="178" t="s">
        <v>1894</v>
      </c>
      <c r="AG284" s="175" t="s">
        <v>569</v>
      </c>
      <c r="AH284" s="127" t="s">
        <v>569</v>
      </c>
    </row>
    <row r="285" spans="1:34">
      <c r="A285" s="175" t="s">
        <v>259</v>
      </c>
      <c r="B285" s="175" t="s">
        <v>260</v>
      </c>
      <c r="C285" s="175"/>
      <c r="D285" s="175" t="s">
        <v>630</v>
      </c>
      <c r="E285" s="175" t="s">
        <v>1276</v>
      </c>
      <c r="F285" s="175"/>
      <c r="G285" s="175"/>
      <c r="H285" s="175"/>
      <c r="I285" s="175" t="s">
        <v>260</v>
      </c>
      <c r="J285" s="175"/>
      <c r="K285" s="175"/>
      <c r="L285" s="175"/>
      <c r="M285" s="175"/>
      <c r="N285" s="176" t="s">
        <v>1435</v>
      </c>
      <c r="O285" s="175" t="s">
        <v>566</v>
      </c>
      <c r="P285" s="175" t="s">
        <v>567</v>
      </c>
      <c r="Q285" s="175"/>
      <c r="R285" s="175"/>
      <c r="S285" s="176" t="s">
        <v>1435</v>
      </c>
      <c r="T285" s="176" t="s">
        <v>1435</v>
      </c>
      <c r="U285" s="176" t="s">
        <v>1435</v>
      </c>
      <c r="V285" s="176" t="s">
        <v>1435</v>
      </c>
      <c r="W285" s="175"/>
      <c r="X285" s="177" t="b">
        <v>1</v>
      </c>
      <c r="Y285" s="177" t="b">
        <v>0</v>
      </c>
      <c r="Z285" s="177" t="b">
        <v>0</v>
      </c>
      <c r="AA285" s="175"/>
      <c r="AB285" s="175"/>
      <c r="AC285" s="177" t="b">
        <v>0</v>
      </c>
      <c r="AD285" s="178">
        <v>43351</v>
      </c>
      <c r="AE285" s="175" t="s">
        <v>579</v>
      </c>
      <c r="AF285" s="178" t="s">
        <v>1894</v>
      </c>
      <c r="AG285" s="175" t="s">
        <v>569</v>
      </c>
      <c r="AH285" s="127" t="s">
        <v>569</v>
      </c>
    </row>
    <row r="286" spans="1:34">
      <c r="A286" s="175" t="s">
        <v>263</v>
      </c>
      <c r="B286" s="175" t="s">
        <v>264</v>
      </c>
      <c r="C286" s="175"/>
      <c r="D286" s="175" t="s">
        <v>1156</v>
      </c>
      <c r="E286" s="175" t="s">
        <v>1277</v>
      </c>
      <c r="F286" s="175"/>
      <c r="G286" s="175"/>
      <c r="H286" s="175"/>
      <c r="I286" s="175" t="s">
        <v>264</v>
      </c>
      <c r="J286" s="175"/>
      <c r="K286" s="175"/>
      <c r="L286" s="175"/>
      <c r="M286" s="175"/>
      <c r="N286" s="176" t="s">
        <v>1435</v>
      </c>
      <c r="O286" s="175" t="s">
        <v>566</v>
      </c>
      <c r="P286" s="175" t="s">
        <v>567</v>
      </c>
      <c r="Q286" s="175"/>
      <c r="R286" s="175" t="s">
        <v>1512</v>
      </c>
      <c r="S286" s="176" t="s">
        <v>1435</v>
      </c>
      <c r="T286" s="176" t="s">
        <v>1435</v>
      </c>
      <c r="U286" s="176" t="s">
        <v>1435</v>
      </c>
      <c r="V286" s="176" t="s">
        <v>1435</v>
      </c>
      <c r="W286" s="175"/>
      <c r="X286" s="177" t="b">
        <v>1</v>
      </c>
      <c r="Y286" s="177" t="b">
        <v>0</v>
      </c>
      <c r="Z286" s="177" t="b">
        <v>0</v>
      </c>
      <c r="AA286" s="175"/>
      <c r="AB286" s="175"/>
      <c r="AC286" s="177" t="b">
        <v>0</v>
      </c>
      <c r="AD286" s="178" t="s">
        <v>1987</v>
      </c>
      <c r="AE286" s="175" t="s">
        <v>568</v>
      </c>
      <c r="AF286" s="178">
        <v>43651</v>
      </c>
      <c r="AG286" s="175" t="s">
        <v>927</v>
      </c>
      <c r="AH286" s="127" t="s">
        <v>927</v>
      </c>
    </row>
    <row r="287" spans="1:34">
      <c r="A287" s="175" t="s">
        <v>2376</v>
      </c>
      <c r="B287" s="175" t="s">
        <v>2399</v>
      </c>
      <c r="C287" s="175"/>
      <c r="D287" s="175" t="s">
        <v>2400</v>
      </c>
      <c r="E287" s="175" t="s">
        <v>2401</v>
      </c>
      <c r="F287" s="175"/>
      <c r="G287" s="175"/>
      <c r="H287" s="175"/>
      <c r="I287" s="175" t="s">
        <v>2399</v>
      </c>
      <c r="J287" s="175"/>
      <c r="K287" s="175"/>
      <c r="L287" s="175"/>
      <c r="M287" s="175"/>
      <c r="N287" s="176" t="s">
        <v>1435</v>
      </c>
      <c r="O287" s="175" t="s">
        <v>566</v>
      </c>
      <c r="P287" s="175" t="s">
        <v>567</v>
      </c>
      <c r="Q287" s="175"/>
      <c r="R287" s="175"/>
      <c r="S287" s="176" t="s">
        <v>1435</v>
      </c>
      <c r="T287" s="176" t="s">
        <v>1435</v>
      </c>
      <c r="U287" s="176" t="s">
        <v>1435</v>
      </c>
      <c r="V287" s="176" t="s">
        <v>1435</v>
      </c>
      <c r="W287" s="175"/>
      <c r="X287" s="177" t="b">
        <v>1</v>
      </c>
      <c r="Y287" s="177" t="b">
        <v>1</v>
      </c>
      <c r="Z287" s="177" t="b">
        <v>0</v>
      </c>
      <c r="AA287" s="175"/>
      <c r="AB287" s="175"/>
      <c r="AC287" s="177" t="b">
        <v>0</v>
      </c>
      <c r="AD287" s="178" t="s">
        <v>2402</v>
      </c>
      <c r="AE287" s="175" t="s">
        <v>870</v>
      </c>
      <c r="AF287" s="178" t="s">
        <v>2402</v>
      </c>
      <c r="AG287" s="175" t="s">
        <v>870</v>
      </c>
      <c r="AH287" s="127" t="s">
        <v>870</v>
      </c>
    </row>
    <row r="288" spans="1:34">
      <c r="A288" s="175" t="s">
        <v>1278</v>
      </c>
      <c r="B288" s="175" t="s">
        <v>1279</v>
      </c>
      <c r="C288" s="175"/>
      <c r="D288" s="175" t="s">
        <v>1107</v>
      </c>
      <c r="E288" s="175" t="s">
        <v>1280</v>
      </c>
      <c r="F288" s="175"/>
      <c r="G288" s="175"/>
      <c r="H288" s="175"/>
      <c r="I288" s="175" t="s">
        <v>1279</v>
      </c>
      <c r="J288" s="175"/>
      <c r="K288" s="175"/>
      <c r="L288" s="175"/>
      <c r="M288" s="175"/>
      <c r="N288" s="176" t="s">
        <v>1435</v>
      </c>
      <c r="O288" s="175" t="s">
        <v>566</v>
      </c>
      <c r="P288" s="175" t="s">
        <v>567</v>
      </c>
      <c r="Q288" s="175"/>
      <c r="R288" s="175"/>
      <c r="S288" s="176" t="s">
        <v>1435</v>
      </c>
      <c r="T288" s="176" t="s">
        <v>1435</v>
      </c>
      <c r="U288" s="176" t="s">
        <v>1435</v>
      </c>
      <c r="V288" s="176" t="s">
        <v>1435</v>
      </c>
      <c r="W288" s="175"/>
      <c r="X288" s="177" t="b">
        <v>1</v>
      </c>
      <c r="Y288" s="177" t="b">
        <v>0</v>
      </c>
      <c r="Z288" s="177" t="b">
        <v>0</v>
      </c>
      <c r="AA288" s="175"/>
      <c r="AB288" s="175"/>
      <c r="AC288" s="177" t="b">
        <v>0</v>
      </c>
      <c r="AD288" s="178">
        <v>1</v>
      </c>
      <c r="AE288" s="175"/>
      <c r="AF288" s="178" t="s">
        <v>1894</v>
      </c>
      <c r="AG288" s="175" t="s">
        <v>569</v>
      </c>
      <c r="AH288" s="127" t="s">
        <v>569</v>
      </c>
    </row>
    <row r="289" spans="1:34">
      <c r="A289" s="175" t="s">
        <v>1281</v>
      </c>
      <c r="B289" s="175" t="s">
        <v>1282</v>
      </c>
      <c r="C289" s="175"/>
      <c r="D289" s="175"/>
      <c r="E289" s="175"/>
      <c r="F289" s="175"/>
      <c r="G289" s="175"/>
      <c r="H289" s="175"/>
      <c r="I289" s="175" t="s">
        <v>1282</v>
      </c>
      <c r="J289" s="175"/>
      <c r="K289" s="175"/>
      <c r="L289" s="175"/>
      <c r="M289" s="175"/>
      <c r="N289" s="176" t="s">
        <v>1435</v>
      </c>
      <c r="O289" s="175" t="s">
        <v>566</v>
      </c>
      <c r="P289" s="175" t="s">
        <v>567</v>
      </c>
      <c r="Q289" s="175"/>
      <c r="R289" s="175"/>
      <c r="S289" s="176" t="s">
        <v>1435</v>
      </c>
      <c r="T289" s="176" t="s">
        <v>1435</v>
      </c>
      <c r="U289" s="176" t="s">
        <v>1435</v>
      </c>
      <c r="V289" s="176" t="s">
        <v>1435</v>
      </c>
      <c r="W289" s="175"/>
      <c r="X289" s="177" t="b">
        <v>1</v>
      </c>
      <c r="Y289" s="177" t="b">
        <v>1</v>
      </c>
      <c r="Z289" s="177" t="b">
        <v>0</v>
      </c>
      <c r="AA289" s="175"/>
      <c r="AB289" s="175"/>
      <c r="AC289" s="177" t="b">
        <v>0</v>
      </c>
      <c r="AD289" s="178">
        <v>43198</v>
      </c>
      <c r="AE289" s="175" t="s">
        <v>579</v>
      </c>
      <c r="AF289" s="178" t="s">
        <v>1894</v>
      </c>
      <c r="AG289" s="175" t="s">
        <v>569</v>
      </c>
      <c r="AH289" s="127" t="s">
        <v>569</v>
      </c>
    </row>
    <row r="290" spans="1:34">
      <c r="A290" s="175" t="s">
        <v>1283</v>
      </c>
      <c r="B290" s="175" t="s">
        <v>1284</v>
      </c>
      <c r="C290" s="175"/>
      <c r="D290" s="175" t="s">
        <v>630</v>
      </c>
      <c r="E290" s="175"/>
      <c r="F290" s="175"/>
      <c r="G290" s="175"/>
      <c r="H290" s="175"/>
      <c r="I290" s="175" t="s">
        <v>1284</v>
      </c>
      <c r="J290" s="175"/>
      <c r="K290" s="175"/>
      <c r="L290" s="175"/>
      <c r="M290" s="175"/>
      <c r="N290" s="176" t="s">
        <v>1435</v>
      </c>
      <c r="O290" s="175" t="s">
        <v>566</v>
      </c>
      <c r="P290" s="175" t="s">
        <v>567</v>
      </c>
      <c r="Q290" s="175"/>
      <c r="R290" s="175"/>
      <c r="S290" s="176" t="s">
        <v>1435</v>
      </c>
      <c r="T290" s="176" t="s">
        <v>1435</v>
      </c>
      <c r="U290" s="176" t="s">
        <v>1435</v>
      </c>
      <c r="V290" s="176" t="s">
        <v>1435</v>
      </c>
      <c r="W290" s="175"/>
      <c r="X290" s="177" t="b">
        <v>1</v>
      </c>
      <c r="Y290" s="177" t="b">
        <v>0</v>
      </c>
      <c r="Z290" s="177" t="b">
        <v>0</v>
      </c>
      <c r="AA290" s="175"/>
      <c r="AB290" s="175"/>
      <c r="AC290" s="177" t="b">
        <v>0</v>
      </c>
      <c r="AD290" s="178">
        <v>1</v>
      </c>
      <c r="AE290" s="175"/>
      <c r="AF290" s="178" t="s">
        <v>1894</v>
      </c>
      <c r="AG290" s="175" t="s">
        <v>569</v>
      </c>
      <c r="AH290" s="127" t="s">
        <v>569</v>
      </c>
    </row>
    <row r="291" spans="1:34">
      <c r="A291" s="175" t="s">
        <v>267</v>
      </c>
      <c r="B291" s="175" t="s">
        <v>1578</v>
      </c>
      <c r="C291" s="175"/>
      <c r="D291" s="175" t="s">
        <v>1286</v>
      </c>
      <c r="E291" s="175" t="s">
        <v>1287</v>
      </c>
      <c r="F291" s="175"/>
      <c r="G291" s="175"/>
      <c r="H291" s="175"/>
      <c r="I291" s="175" t="s">
        <v>1285</v>
      </c>
      <c r="J291" s="175"/>
      <c r="K291" s="175"/>
      <c r="L291" s="175"/>
      <c r="M291" s="175"/>
      <c r="N291" s="176" t="s">
        <v>1435</v>
      </c>
      <c r="O291" s="175" t="s">
        <v>566</v>
      </c>
      <c r="P291" s="175" t="s">
        <v>567</v>
      </c>
      <c r="Q291" s="175"/>
      <c r="R291" s="175" t="s">
        <v>1512</v>
      </c>
      <c r="S291" s="176" t="s">
        <v>1435</v>
      </c>
      <c r="T291" s="176" t="s">
        <v>1435</v>
      </c>
      <c r="U291" s="176" t="s">
        <v>1435</v>
      </c>
      <c r="V291" s="176" t="s">
        <v>1435</v>
      </c>
      <c r="W291" s="175"/>
      <c r="X291" s="177" t="b">
        <v>1</v>
      </c>
      <c r="Y291" s="177" t="b">
        <v>0</v>
      </c>
      <c r="Z291" s="177" t="b">
        <v>0</v>
      </c>
      <c r="AA291" s="175"/>
      <c r="AB291" s="175"/>
      <c r="AC291" s="177" t="b">
        <v>0</v>
      </c>
      <c r="AD291" s="178">
        <v>43413</v>
      </c>
      <c r="AE291" s="175" t="s">
        <v>561</v>
      </c>
      <c r="AF291" s="178">
        <v>43560</v>
      </c>
      <c r="AG291" s="175" t="s">
        <v>927</v>
      </c>
      <c r="AH291" s="127" t="s">
        <v>927</v>
      </c>
    </row>
    <row r="292" spans="1:34" ht="30">
      <c r="A292" s="175" t="s">
        <v>1288</v>
      </c>
      <c r="B292" s="175" t="s">
        <v>1289</v>
      </c>
      <c r="C292" s="175" t="s">
        <v>1290</v>
      </c>
      <c r="D292" s="175" t="s">
        <v>1291</v>
      </c>
      <c r="E292" s="175" t="s">
        <v>1292</v>
      </c>
      <c r="F292" s="175"/>
      <c r="G292" s="175"/>
      <c r="H292" s="175"/>
      <c r="I292" s="175"/>
      <c r="J292" s="175"/>
      <c r="K292" s="175"/>
      <c r="L292" s="175"/>
      <c r="M292" s="175"/>
      <c r="N292" s="176" t="s">
        <v>1435</v>
      </c>
      <c r="O292" s="175"/>
      <c r="P292" s="175"/>
      <c r="Q292" s="175" t="s">
        <v>578</v>
      </c>
      <c r="R292" s="175"/>
      <c r="S292" s="176" t="s">
        <v>1435</v>
      </c>
      <c r="T292" s="176" t="s">
        <v>1435</v>
      </c>
      <c r="U292" s="176" t="s">
        <v>1435</v>
      </c>
      <c r="V292" s="176" t="s">
        <v>1435</v>
      </c>
      <c r="W292" s="175"/>
      <c r="X292" s="177" t="b">
        <v>1</v>
      </c>
      <c r="Y292" s="177" t="b">
        <v>1</v>
      </c>
      <c r="Z292" s="177" t="b">
        <v>0</v>
      </c>
      <c r="AA292" s="175"/>
      <c r="AB292" s="175"/>
      <c r="AC292" s="177" t="b">
        <v>0</v>
      </c>
      <c r="AD292" s="178">
        <v>1</v>
      </c>
      <c r="AE292" s="175"/>
      <c r="AF292" s="178" t="s">
        <v>1893</v>
      </c>
      <c r="AG292" s="175" t="s">
        <v>572</v>
      </c>
      <c r="AH292" s="127" t="s">
        <v>572</v>
      </c>
    </row>
    <row r="293" spans="1:34" ht="30">
      <c r="A293" s="175" t="s">
        <v>1293</v>
      </c>
      <c r="B293" s="175" t="s">
        <v>1294</v>
      </c>
      <c r="C293" s="175" t="s">
        <v>1134</v>
      </c>
      <c r="D293" s="175" t="s">
        <v>1295</v>
      </c>
      <c r="E293" s="175"/>
      <c r="F293" s="175"/>
      <c r="G293" s="175"/>
      <c r="H293" s="175"/>
      <c r="I293" s="175"/>
      <c r="J293" s="175"/>
      <c r="K293" s="175"/>
      <c r="L293" s="175"/>
      <c r="M293" s="175"/>
      <c r="N293" s="176" t="s">
        <v>1435</v>
      </c>
      <c r="O293" s="175"/>
      <c r="P293" s="175"/>
      <c r="Q293" s="175" t="s">
        <v>570</v>
      </c>
      <c r="R293" s="175"/>
      <c r="S293" s="176" t="s">
        <v>1435</v>
      </c>
      <c r="T293" s="176" t="s">
        <v>1435</v>
      </c>
      <c r="U293" s="176" t="s">
        <v>1435</v>
      </c>
      <c r="V293" s="176" t="s">
        <v>1435</v>
      </c>
      <c r="W293" s="175"/>
      <c r="X293" s="177" t="b">
        <v>1</v>
      </c>
      <c r="Y293" s="177" t="b">
        <v>1</v>
      </c>
      <c r="Z293" s="177" t="b">
        <v>0</v>
      </c>
      <c r="AA293" s="175"/>
      <c r="AB293" s="175"/>
      <c r="AC293" s="177" t="b">
        <v>0</v>
      </c>
      <c r="AD293" s="178">
        <v>1</v>
      </c>
      <c r="AE293" s="175"/>
      <c r="AF293" s="178" t="s">
        <v>1893</v>
      </c>
      <c r="AG293" s="175" t="s">
        <v>572</v>
      </c>
      <c r="AH293" s="127" t="s">
        <v>572</v>
      </c>
    </row>
    <row r="294" spans="1:34">
      <c r="A294" s="175" t="s">
        <v>1296</v>
      </c>
      <c r="B294" s="175" t="s">
        <v>1297</v>
      </c>
      <c r="C294" s="175"/>
      <c r="D294" s="175" t="s">
        <v>630</v>
      </c>
      <c r="E294" s="175" t="s">
        <v>1298</v>
      </c>
      <c r="F294" s="175"/>
      <c r="G294" s="175"/>
      <c r="H294" s="175"/>
      <c r="I294" s="175" t="s">
        <v>1297</v>
      </c>
      <c r="J294" s="175"/>
      <c r="K294" s="175"/>
      <c r="L294" s="175"/>
      <c r="M294" s="175"/>
      <c r="N294" s="176" t="s">
        <v>1435</v>
      </c>
      <c r="O294" s="175" t="s">
        <v>566</v>
      </c>
      <c r="P294" s="175" t="s">
        <v>567</v>
      </c>
      <c r="Q294" s="175"/>
      <c r="R294" s="175"/>
      <c r="S294" s="176" t="s">
        <v>1435</v>
      </c>
      <c r="T294" s="176" t="s">
        <v>1435</v>
      </c>
      <c r="U294" s="176" t="s">
        <v>1435</v>
      </c>
      <c r="V294" s="176" t="s">
        <v>1435</v>
      </c>
      <c r="W294" s="175"/>
      <c r="X294" s="177" t="b">
        <v>1</v>
      </c>
      <c r="Y294" s="177" t="b">
        <v>0</v>
      </c>
      <c r="Z294" s="177" t="b">
        <v>0</v>
      </c>
      <c r="AA294" s="175"/>
      <c r="AB294" s="175"/>
      <c r="AC294" s="177" t="b">
        <v>0</v>
      </c>
      <c r="AD294" s="178" t="s">
        <v>1952</v>
      </c>
      <c r="AE294" s="175" t="s">
        <v>761</v>
      </c>
      <c r="AF294" s="178" t="s">
        <v>1952</v>
      </c>
      <c r="AG294" s="175" t="s">
        <v>761</v>
      </c>
      <c r="AH294" s="127" t="s">
        <v>761</v>
      </c>
    </row>
    <row r="295" spans="1:34">
      <c r="A295" s="175" t="s">
        <v>269</v>
      </c>
      <c r="B295" s="175" t="s">
        <v>270</v>
      </c>
      <c r="C295" s="175"/>
      <c r="D295" s="175" t="s">
        <v>606</v>
      </c>
      <c r="E295" s="175" t="s">
        <v>1299</v>
      </c>
      <c r="F295" s="175"/>
      <c r="G295" s="175"/>
      <c r="H295" s="175"/>
      <c r="I295" s="175" t="s">
        <v>270</v>
      </c>
      <c r="J295" s="175"/>
      <c r="K295" s="175"/>
      <c r="L295" s="175"/>
      <c r="M295" s="175"/>
      <c r="N295" s="176" t="s">
        <v>1435</v>
      </c>
      <c r="O295" s="175" t="s">
        <v>566</v>
      </c>
      <c r="P295" s="175" t="s">
        <v>567</v>
      </c>
      <c r="Q295" s="175"/>
      <c r="R295" s="175"/>
      <c r="S295" s="176" t="s">
        <v>1435</v>
      </c>
      <c r="T295" s="176" t="s">
        <v>1435</v>
      </c>
      <c r="U295" s="176" t="s">
        <v>1435</v>
      </c>
      <c r="V295" s="176" t="s">
        <v>1435</v>
      </c>
      <c r="W295" s="175"/>
      <c r="X295" s="177" t="b">
        <v>1</v>
      </c>
      <c r="Y295" s="177" t="b">
        <v>0</v>
      </c>
      <c r="Z295" s="177" t="b">
        <v>0</v>
      </c>
      <c r="AA295" s="175"/>
      <c r="AB295" s="175"/>
      <c r="AC295" s="177" t="b">
        <v>0</v>
      </c>
      <c r="AD295" s="178" t="s">
        <v>1955</v>
      </c>
      <c r="AE295" s="175" t="s">
        <v>761</v>
      </c>
      <c r="AF295" s="178" t="s">
        <v>1955</v>
      </c>
      <c r="AG295" s="175" t="s">
        <v>761</v>
      </c>
      <c r="AH295" s="127" t="s">
        <v>761</v>
      </c>
    </row>
    <row r="296" spans="1:34">
      <c r="A296" s="175" t="s">
        <v>273</v>
      </c>
      <c r="B296" s="175" t="s">
        <v>274</v>
      </c>
      <c r="C296" s="175"/>
      <c r="D296" s="175" t="s">
        <v>862</v>
      </c>
      <c r="E296" s="175" t="s">
        <v>1300</v>
      </c>
      <c r="F296" s="175"/>
      <c r="G296" s="175"/>
      <c r="H296" s="175"/>
      <c r="I296" s="175" t="s">
        <v>274</v>
      </c>
      <c r="J296" s="175"/>
      <c r="K296" s="175"/>
      <c r="L296" s="175"/>
      <c r="M296" s="175"/>
      <c r="N296" s="176" t="s">
        <v>1435</v>
      </c>
      <c r="O296" s="175" t="s">
        <v>566</v>
      </c>
      <c r="P296" s="175" t="s">
        <v>567</v>
      </c>
      <c r="Q296" s="175"/>
      <c r="R296" s="175" t="s">
        <v>1512</v>
      </c>
      <c r="S296" s="176" t="s">
        <v>1435</v>
      </c>
      <c r="T296" s="176" t="s">
        <v>1435</v>
      </c>
      <c r="U296" s="176" t="s">
        <v>1435</v>
      </c>
      <c r="V296" s="176" t="s">
        <v>1435</v>
      </c>
      <c r="W296" s="175"/>
      <c r="X296" s="177" t="b">
        <v>1</v>
      </c>
      <c r="Y296" s="177" t="b">
        <v>0</v>
      </c>
      <c r="Z296" s="177" t="b">
        <v>0</v>
      </c>
      <c r="AA296" s="175"/>
      <c r="AB296" s="175"/>
      <c r="AC296" s="177" t="b">
        <v>0</v>
      </c>
      <c r="AD296" s="178" t="s">
        <v>1988</v>
      </c>
      <c r="AE296" s="175" t="s">
        <v>587</v>
      </c>
      <c r="AF296" s="178">
        <v>43651</v>
      </c>
      <c r="AG296" s="175" t="s">
        <v>927</v>
      </c>
      <c r="AH296" s="127" t="s">
        <v>927</v>
      </c>
    </row>
    <row r="297" spans="1:34">
      <c r="A297" s="175" t="s">
        <v>275</v>
      </c>
      <c r="B297" s="175" t="s">
        <v>1579</v>
      </c>
      <c r="C297" s="175"/>
      <c r="D297" s="175" t="s">
        <v>1301</v>
      </c>
      <c r="E297" s="175" t="s">
        <v>1302</v>
      </c>
      <c r="F297" s="175"/>
      <c r="G297" s="175"/>
      <c r="H297" s="175"/>
      <c r="I297" s="175" t="s">
        <v>1579</v>
      </c>
      <c r="J297" s="175"/>
      <c r="K297" s="175"/>
      <c r="L297" s="175"/>
      <c r="M297" s="175"/>
      <c r="N297" s="176" t="s">
        <v>1435</v>
      </c>
      <c r="O297" s="175" t="s">
        <v>566</v>
      </c>
      <c r="P297" s="175" t="s">
        <v>567</v>
      </c>
      <c r="Q297" s="175"/>
      <c r="R297" s="175" t="s">
        <v>1512</v>
      </c>
      <c r="S297" s="176" t="s">
        <v>1435</v>
      </c>
      <c r="T297" s="176" t="s">
        <v>1435</v>
      </c>
      <c r="U297" s="176" t="s">
        <v>1435</v>
      </c>
      <c r="V297" s="176" t="s">
        <v>1435</v>
      </c>
      <c r="W297" s="175"/>
      <c r="X297" s="177" t="b">
        <v>1</v>
      </c>
      <c r="Y297" s="177" t="b">
        <v>0</v>
      </c>
      <c r="Z297" s="177" t="b">
        <v>0</v>
      </c>
      <c r="AA297" s="175"/>
      <c r="AB297" s="175"/>
      <c r="AC297" s="177" t="b">
        <v>0</v>
      </c>
      <c r="AD297" s="178" t="s">
        <v>1989</v>
      </c>
      <c r="AE297" s="175" t="s">
        <v>561</v>
      </c>
      <c r="AF297" s="178">
        <v>43651</v>
      </c>
      <c r="AG297" s="175" t="s">
        <v>927</v>
      </c>
      <c r="AH297" s="127" t="s">
        <v>927</v>
      </c>
    </row>
    <row r="298" spans="1:34">
      <c r="A298" s="175" t="s">
        <v>1303</v>
      </c>
      <c r="B298" s="175" t="s">
        <v>1304</v>
      </c>
      <c r="C298" s="175" t="s">
        <v>1305</v>
      </c>
      <c r="D298" s="175"/>
      <c r="E298" s="175"/>
      <c r="F298" s="175"/>
      <c r="G298" s="175"/>
      <c r="H298" s="175"/>
      <c r="I298" s="175"/>
      <c r="J298" s="175"/>
      <c r="K298" s="175"/>
      <c r="L298" s="175"/>
      <c r="M298" s="175"/>
      <c r="N298" s="176" t="s">
        <v>1435</v>
      </c>
      <c r="O298" s="175"/>
      <c r="P298" s="175"/>
      <c r="Q298" s="175" t="s">
        <v>570</v>
      </c>
      <c r="R298" s="175"/>
      <c r="S298" s="176" t="s">
        <v>1435</v>
      </c>
      <c r="T298" s="176" t="s">
        <v>1435</v>
      </c>
      <c r="U298" s="176" t="s">
        <v>1435</v>
      </c>
      <c r="V298" s="176" t="s">
        <v>1435</v>
      </c>
      <c r="W298" s="175"/>
      <c r="X298" s="177" t="b">
        <v>1</v>
      </c>
      <c r="Y298" s="177" t="b">
        <v>1</v>
      </c>
      <c r="Z298" s="177" t="b">
        <v>0</v>
      </c>
      <c r="AA298" s="175"/>
      <c r="AB298" s="175"/>
      <c r="AC298" s="177" t="b">
        <v>0</v>
      </c>
      <c r="AD298" s="178" t="s">
        <v>1990</v>
      </c>
      <c r="AE298" s="175" t="s">
        <v>561</v>
      </c>
      <c r="AF298" s="178" t="s">
        <v>1990</v>
      </c>
      <c r="AG298" s="175" t="s">
        <v>561</v>
      </c>
      <c r="AH298" s="127" t="s">
        <v>561</v>
      </c>
    </row>
    <row r="299" spans="1:34">
      <c r="A299" s="175" t="s">
        <v>277</v>
      </c>
      <c r="B299" s="175" t="s">
        <v>278</v>
      </c>
      <c r="C299" s="175"/>
      <c r="D299" s="175" t="s">
        <v>1034</v>
      </c>
      <c r="E299" s="175" t="s">
        <v>1306</v>
      </c>
      <c r="F299" s="175"/>
      <c r="G299" s="175"/>
      <c r="H299" s="175"/>
      <c r="I299" s="175" t="s">
        <v>278</v>
      </c>
      <c r="J299" s="175"/>
      <c r="K299" s="175"/>
      <c r="L299" s="175"/>
      <c r="M299" s="175"/>
      <c r="N299" s="176" t="s">
        <v>1435</v>
      </c>
      <c r="O299" s="175" t="s">
        <v>566</v>
      </c>
      <c r="P299" s="175" t="s">
        <v>567</v>
      </c>
      <c r="Q299" s="175"/>
      <c r="R299" s="175"/>
      <c r="S299" s="176" t="s">
        <v>1435</v>
      </c>
      <c r="T299" s="176" t="s">
        <v>1435</v>
      </c>
      <c r="U299" s="176" t="s">
        <v>1435</v>
      </c>
      <c r="V299" s="176" t="s">
        <v>1435</v>
      </c>
      <c r="W299" s="175"/>
      <c r="X299" s="177" t="b">
        <v>1</v>
      </c>
      <c r="Y299" s="177" t="b">
        <v>1</v>
      </c>
      <c r="Z299" s="177" t="b">
        <v>0</v>
      </c>
      <c r="AA299" s="175"/>
      <c r="AB299" s="175"/>
      <c r="AC299" s="177" t="b">
        <v>0</v>
      </c>
      <c r="AD299" s="178">
        <v>43772</v>
      </c>
      <c r="AE299" s="175" t="s">
        <v>568</v>
      </c>
      <c r="AF299" s="178" t="s">
        <v>1975</v>
      </c>
      <c r="AG299" s="175" t="s">
        <v>587</v>
      </c>
      <c r="AH299" s="127" t="s">
        <v>587</v>
      </c>
    </row>
    <row r="300" spans="1:34">
      <c r="A300" s="175" t="s">
        <v>1307</v>
      </c>
      <c r="B300" s="175" t="s">
        <v>1308</v>
      </c>
      <c r="C300" s="175"/>
      <c r="D300" s="175" t="s">
        <v>1309</v>
      </c>
      <c r="E300" s="175" t="s">
        <v>1310</v>
      </c>
      <c r="F300" s="175"/>
      <c r="G300" s="175"/>
      <c r="H300" s="175"/>
      <c r="I300" s="175" t="s">
        <v>1308</v>
      </c>
      <c r="J300" s="175"/>
      <c r="K300" s="175"/>
      <c r="L300" s="175"/>
      <c r="M300" s="175"/>
      <c r="N300" s="176" t="s">
        <v>1435</v>
      </c>
      <c r="O300" s="175" t="s">
        <v>566</v>
      </c>
      <c r="P300" s="175" t="s">
        <v>567</v>
      </c>
      <c r="Q300" s="175"/>
      <c r="R300" s="175"/>
      <c r="S300" s="176" t="s">
        <v>1435</v>
      </c>
      <c r="T300" s="176" t="s">
        <v>1435</v>
      </c>
      <c r="U300" s="176" t="s">
        <v>1435</v>
      </c>
      <c r="V300" s="176" t="s">
        <v>1435</v>
      </c>
      <c r="W300" s="175"/>
      <c r="X300" s="177" t="b">
        <v>1</v>
      </c>
      <c r="Y300" s="177" t="b">
        <v>1</v>
      </c>
      <c r="Z300" s="177" t="b">
        <v>0</v>
      </c>
      <c r="AA300" s="175"/>
      <c r="AB300" s="175"/>
      <c r="AC300" s="177" t="b">
        <v>0</v>
      </c>
      <c r="AD300" s="178" t="s">
        <v>1975</v>
      </c>
      <c r="AE300" s="175" t="s">
        <v>568</v>
      </c>
      <c r="AF300" s="178" t="s">
        <v>1975</v>
      </c>
      <c r="AG300" s="175" t="s">
        <v>568</v>
      </c>
      <c r="AH300" s="127" t="s">
        <v>568</v>
      </c>
    </row>
    <row r="301" spans="1:34">
      <c r="A301" s="175" t="s">
        <v>1311</v>
      </c>
      <c r="B301" s="175" t="s">
        <v>1312</v>
      </c>
      <c r="C301" s="175"/>
      <c r="D301" s="175" t="s">
        <v>662</v>
      </c>
      <c r="E301" s="175" t="s">
        <v>1313</v>
      </c>
      <c r="F301" s="175"/>
      <c r="G301" s="175"/>
      <c r="H301" s="175"/>
      <c r="I301" s="175" t="s">
        <v>1312</v>
      </c>
      <c r="J301" s="175"/>
      <c r="K301" s="175"/>
      <c r="L301" s="175"/>
      <c r="M301" s="175"/>
      <c r="N301" s="176" t="s">
        <v>1435</v>
      </c>
      <c r="O301" s="175" t="s">
        <v>566</v>
      </c>
      <c r="P301" s="175" t="s">
        <v>567</v>
      </c>
      <c r="Q301" s="175"/>
      <c r="R301" s="175"/>
      <c r="S301" s="176" t="s">
        <v>1435</v>
      </c>
      <c r="T301" s="176" t="s">
        <v>1435</v>
      </c>
      <c r="U301" s="176" t="s">
        <v>1435</v>
      </c>
      <c r="V301" s="176" t="s">
        <v>1435</v>
      </c>
      <c r="W301" s="175"/>
      <c r="X301" s="177" t="b">
        <v>1</v>
      </c>
      <c r="Y301" s="177" t="b">
        <v>1</v>
      </c>
      <c r="Z301" s="177" t="b">
        <v>0</v>
      </c>
      <c r="AA301" s="175"/>
      <c r="AB301" s="175"/>
      <c r="AC301" s="177" t="b">
        <v>0</v>
      </c>
      <c r="AD301" s="178" t="s">
        <v>1910</v>
      </c>
      <c r="AE301" s="175" t="s">
        <v>568</v>
      </c>
      <c r="AF301" s="178" t="s">
        <v>1910</v>
      </c>
      <c r="AG301" s="175" t="s">
        <v>568</v>
      </c>
      <c r="AH301" s="127" t="s">
        <v>568</v>
      </c>
    </row>
    <row r="302" spans="1:34">
      <c r="A302" s="175" t="s">
        <v>1314</v>
      </c>
      <c r="B302" s="175" t="s">
        <v>1315</v>
      </c>
      <c r="C302" s="175"/>
      <c r="D302" s="175" t="s">
        <v>1316</v>
      </c>
      <c r="E302" s="175" t="s">
        <v>1399</v>
      </c>
      <c r="F302" s="175"/>
      <c r="G302" s="175"/>
      <c r="H302" s="175"/>
      <c r="I302" s="175" t="s">
        <v>1315</v>
      </c>
      <c r="J302" s="175"/>
      <c r="K302" s="175"/>
      <c r="L302" s="175"/>
      <c r="M302" s="175"/>
      <c r="N302" s="176" t="s">
        <v>1435</v>
      </c>
      <c r="O302" s="175" t="s">
        <v>566</v>
      </c>
      <c r="P302" s="175" t="s">
        <v>567</v>
      </c>
      <c r="Q302" s="175"/>
      <c r="R302" s="175"/>
      <c r="S302" s="176" t="s">
        <v>1435</v>
      </c>
      <c r="T302" s="176" t="s">
        <v>1435</v>
      </c>
      <c r="U302" s="176" t="s">
        <v>1435</v>
      </c>
      <c r="V302" s="176" t="s">
        <v>1435</v>
      </c>
      <c r="W302" s="175"/>
      <c r="X302" s="177" t="b">
        <v>1</v>
      </c>
      <c r="Y302" s="177" t="b">
        <v>1</v>
      </c>
      <c r="Z302" s="177" t="b">
        <v>0</v>
      </c>
      <c r="AA302" s="175"/>
      <c r="AB302" s="175"/>
      <c r="AC302" s="177" t="b">
        <v>0</v>
      </c>
      <c r="AD302" s="178" t="s">
        <v>1910</v>
      </c>
      <c r="AE302" s="175" t="s">
        <v>568</v>
      </c>
      <c r="AF302" s="178">
        <v>43528</v>
      </c>
      <c r="AG302" s="175" t="s">
        <v>579</v>
      </c>
      <c r="AH302" s="127" t="s">
        <v>579</v>
      </c>
    </row>
    <row r="303" spans="1:34">
      <c r="A303" s="175" t="s">
        <v>1344</v>
      </c>
      <c r="B303" s="175" t="s">
        <v>1580</v>
      </c>
      <c r="C303" s="175"/>
      <c r="D303" s="175" t="s">
        <v>1156</v>
      </c>
      <c r="E303" s="175" t="s">
        <v>1401</v>
      </c>
      <c r="F303" s="175"/>
      <c r="G303" s="175"/>
      <c r="H303" s="175"/>
      <c r="I303" s="175" t="s">
        <v>1400</v>
      </c>
      <c r="J303" s="175"/>
      <c r="K303" s="175"/>
      <c r="L303" s="175"/>
      <c r="M303" s="175"/>
      <c r="N303" s="176" t="s">
        <v>1435</v>
      </c>
      <c r="O303" s="175" t="s">
        <v>566</v>
      </c>
      <c r="P303" s="175" t="s">
        <v>567</v>
      </c>
      <c r="Q303" s="175"/>
      <c r="R303" s="175" t="s">
        <v>1517</v>
      </c>
      <c r="S303" s="176" t="s">
        <v>1435</v>
      </c>
      <c r="T303" s="176" t="s">
        <v>1435</v>
      </c>
      <c r="U303" s="176" t="s">
        <v>1435</v>
      </c>
      <c r="V303" s="176" t="s">
        <v>1435</v>
      </c>
      <c r="W303" s="175"/>
      <c r="X303" s="177" t="b">
        <v>1</v>
      </c>
      <c r="Y303" s="177" t="b">
        <v>0</v>
      </c>
      <c r="Z303" s="177" t="b">
        <v>0</v>
      </c>
      <c r="AA303" s="175"/>
      <c r="AB303" s="175"/>
      <c r="AC303" s="177" t="b">
        <v>0</v>
      </c>
      <c r="AD303" s="178">
        <v>43500</v>
      </c>
      <c r="AE303" s="175" t="s">
        <v>587</v>
      </c>
      <c r="AF303" s="178">
        <v>43560</v>
      </c>
      <c r="AG303" s="175" t="s">
        <v>927</v>
      </c>
      <c r="AH303" s="127" t="s">
        <v>927</v>
      </c>
    </row>
    <row r="304" spans="1:34">
      <c r="A304" s="175" t="s">
        <v>1402</v>
      </c>
      <c r="B304" s="175" t="s">
        <v>1403</v>
      </c>
      <c r="C304" s="175"/>
      <c r="D304" s="175" t="s">
        <v>1404</v>
      </c>
      <c r="E304" s="175" t="s">
        <v>1405</v>
      </c>
      <c r="F304" s="175"/>
      <c r="G304" s="175"/>
      <c r="H304" s="175"/>
      <c r="I304" s="175" t="s">
        <v>1403</v>
      </c>
      <c r="J304" s="175"/>
      <c r="K304" s="175"/>
      <c r="L304" s="175"/>
      <c r="M304" s="175"/>
      <c r="N304" s="176" t="s">
        <v>1435</v>
      </c>
      <c r="O304" s="175" t="s">
        <v>566</v>
      </c>
      <c r="P304" s="175" t="s">
        <v>567</v>
      </c>
      <c r="Q304" s="175"/>
      <c r="R304" s="175"/>
      <c r="S304" s="176" t="s">
        <v>1435</v>
      </c>
      <c r="T304" s="176" t="s">
        <v>1435</v>
      </c>
      <c r="U304" s="176" t="s">
        <v>1435</v>
      </c>
      <c r="V304" s="176" t="s">
        <v>1435</v>
      </c>
      <c r="W304" s="175"/>
      <c r="X304" s="177" t="b">
        <v>1</v>
      </c>
      <c r="Y304" s="177" t="b">
        <v>1</v>
      </c>
      <c r="Z304" s="177" t="b">
        <v>0</v>
      </c>
      <c r="AA304" s="175"/>
      <c r="AB304" s="175"/>
      <c r="AC304" s="177" t="b">
        <v>0</v>
      </c>
      <c r="AD304" s="178">
        <v>43712</v>
      </c>
      <c r="AE304" s="175" t="s">
        <v>568</v>
      </c>
      <c r="AF304" s="178">
        <v>43712</v>
      </c>
      <c r="AG304" s="175" t="s">
        <v>568</v>
      </c>
      <c r="AH304" s="127" t="s">
        <v>568</v>
      </c>
    </row>
    <row r="305" spans="1:34">
      <c r="A305" s="179" t="s">
        <v>1378</v>
      </c>
      <c r="B305" s="179" t="s">
        <v>1379</v>
      </c>
      <c r="C305" s="179"/>
      <c r="D305" s="179" t="s">
        <v>585</v>
      </c>
      <c r="E305" s="179" t="s">
        <v>1406</v>
      </c>
      <c r="F305" s="179"/>
      <c r="G305" s="179"/>
      <c r="H305" s="179"/>
      <c r="I305" s="179" t="s">
        <v>1379</v>
      </c>
      <c r="J305" s="179"/>
      <c r="K305" s="179"/>
      <c r="L305" s="179"/>
      <c r="M305" s="179"/>
      <c r="N305" s="180" t="s">
        <v>1435</v>
      </c>
      <c r="O305" s="179" t="s">
        <v>566</v>
      </c>
      <c r="P305" s="179" t="s">
        <v>567</v>
      </c>
      <c r="Q305" s="179"/>
      <c r="R305" s="179"/>
      <c r="S305" s="180" t="s">
        <v>1435</v>
      </c>
      <c r="T305" s="180" t="s">
        <v>1435</v>
      </c>
      <c r="U305" s="180" t="s">
        <v>1435</v>
      </c>
      <c r="V305" s="180" t="s">
        <v>1435</v>
      </c>
      <c r="W305" s="179"/>
      <c r="X305" s="181" t="b">
        <v>1</v>
      </c>
      <c r="Y305" s="181" t="b">
        <v>1</v>
      </c>
      <c r="Z305" s="181" t="b">
        <v>0</v>
      </c>
      <c r="AA305" s="179"/>
      <c r="AB305" s="179"/>
      <c r="AC305" s="181" t="b">
        <v>0</v>
      </c>
      <c r="AD305" s="182">
        <v>43712</v>
      </c>
      <c r="AE305" s="179" t="s">
        <v>587</v>
      </c>
      <c r="AF305" s="182">
        <v>43712</v>
      </c>
      <c r="AG305" s="179" t="s">
        <v>587</v>
      </c>
      <c r="AH305" s="127" t="s">
        <v>587</v>
      </c>
    </row>
    <row r="306" spans="1:34" ht="30">
      <c r="A306" s="127" t="s">
        <v>1991</v>
      </c>
      <c r="B306" s="127" t="s">
        <v>1992</v>
      </c>
      <c r="D306" s="127" t="s">
        <v>748</v>
      </c>
      <c r="N306" s="127" t="s">
        <v>1435</v>
      </c>
      <c r="O306" s="127">
        <v>131</v>
      </c>
      <c r="P306" s="127" t="s">
        <v>567</v>
      </c>
      <c r="S306" s="127" t="s">
        <v>1435</v>
      </c>
      <c r="T306" s="127" t="s">
        <v>1435</v>
      </c>
      <c r="U306" s="127" t="s">
        <v>1435</v>
      </c>
      <c r="V306" s="127" t="s">
        <v>1435</v>
      </c>
      <c r="X306" s="127" t="b">
        <v>1</v>
      </c>
      <c r="Y306" s="127" t="b">
        <v>0</v>
      </c>
      <c r="Z306" s="127" t="b">
        <v>0</v>
      </c>
      <c r="AC306" s="127" t="b">
        <v>0</v>
      </c>
      <c r="AD306" s="193">
        <v>43805</v>
      </c>
      <c r="AE306" s="193" t="s">
        <v>561</v>
      </c>
      <c r="AF306" s="193">
        <v>43805</v>
      </c>
      <c r="AG306" s="193" t="s">
        <v>561</v>
      </c>
      <c r="AH306" s="127" t="s">
        <v>561</v>
      </c>
    </row>
    <row r="307" spans="1:34" ht="60">
      <c r="A307" s="127" t="s">
        <v>1885</v>
      </c>
      <c r="B307" s="127" t="s">
        <v>1993</v>
      </c>
      <c r="D307" s="127" t="s">
        <v>1994</v>
      </c>
      <c r="E307" s="127">
        <v>933685868</v>
      </c>
      <c r="I307" s="127" t="s">
        <v>1993</v>
      </c>
      <c r="N307" s="127" t="s">
        <v>1435</v>
      </c>
      <c r="O307" s="127">
        <v>131</v>
      </c>
      <c r="P307" s="127" t="s">
        <v>567</v>
      </c>
      <c r="S307" s="127" t="s">
        <v>1435</v>
      </c>
      <c r="T307" s="127" t="s">
        <v>1435</v>
      </c>
      <c r="U307" s="127" t="s">
        <v>1435</v>
      </c>
      <c r="V307" s="127" t="s">
        <v>1435</v>
      </c>
      <c r="X307" s="127" t="b">
        <v>1</v>
      </c>
      <c r="Y307" s="127" t="b">
        <v>0</v>
      </c>
      <c r="Z307" s="127" t="b">
        <v>0</v>
      </c>
      <c r="AC307" s="127" t="b">
        <v>0</v>
      </c>
      <c r="AD307" s="193" t="s">
        <v>1929</v>
      </c>
      <c r="AE307" s="127" t="s">
        <v>927</v>
      </c>
      <c r="AF307" s="193" t="s">
        <v>1929</v>
      </c>
      <c r="AG307" s="127" t="s">
        <v>927</v>
      </c>
      <c r="AH307" s="127" t="s">
        <v>927</v>
      </c>
    </row>
    <row r="308" spans="1:34" ht="45">
      <c r="A308" s="127" t="s">
        <v>1317</v>
      </c>
      <c r="B308" s="127" t="s">
        <v>1318</v>
      </c>
      <c r="D308" s="127" t="s">
        <v>1095</v>
      </c>
      <c r="E308" s="127">
        <v>963109546</v>
      </c>
      <c r="I308" s="127" t="s">
        <v>1318</v>
      </c>
      <c r="N308" s="127" t="s">
        <v>1435</v>
      </c>
      <c r="O308" s="127">
        <v>131</v>
      </c>
      <c r="P308" s="127" t="s">
        <v>567</v>
      </c>
      <c r="R308" s="127" t="s">
        <v>1512</v>
      </c>
      <c r="S308" s="127" t="s">
        <v>1435</v>
      </c>
      <c r="T308" s="127" t="s">
        <v>1435</v>
      </c>
      <c r="U308" s="127" t="s">
        <v>1435</v>
      </c>
      <c r="V308" s="127" t="s">
        <v>1435</v>
      </c>
      <c r="X308" s="127" t="b">
        <v>1</v>
      </c>
      <c r="Y308" s="127" t="b">
        <v>0</v>
      </c>
      <c r="Z308" s="127" t="b">
        <v>0</v>
      </c>
      <c r="AC308" s="127" t="b">
        <v>0</v>
      </c>
      <c r="AD308" s="193" t="s">
        <v>1995</v>
      </c>
      <c r="AE308" s="127" t="s">
        <v>587</v>
      </c>
      <c r="AF308" s="193">
        <v>43651</v>
      </c>
      <c r="AG308" s="193" t="s">
        <v>927</v>
      </c>
      <c r="AH308" s="127" t="s">
        <v>927</v>
      </c>
    </row>
    <row r="309" spans="1:34" ht="45">
      <c r="A309" s="127" t="s">
        <v>1319</v>
      </c>
      <c r="B309" s="127" t="s">
        <v>280</v>
      </c>
      <c r="D309" s="127" t="s">
        <v>1232</v>
      </c>
      <c r="E309" s="127">
        <v>949245878</v>
      </c>
      <c r="I309" s="127" t="s">
        <v>280</v>
      </c>
      <c r="N309" s="127" t="s">
        <v>1435</v>
      </c>
      <c r="O309" s="127">
        <v>131</v>
      </c>
      <c r="P309" s="127" t="s">
        <v>567</v>
      </c>
      <c r="S309" s="127" t="s">
        <v>1435</v>
      </c>
      <c r="T309" s="127" t="s">
        <v>1435</v>
      </c>
      <c r="U309" s="127" t="s">
        <v>1435</v>
      </c>
      <c r="V309" s="127" t="s">
        <v>1435</v>
      </c>
      <c r="X309" s="127" t="b">
        <v>1</v>
      </c>
      <c r="Y309" s="127" t="b">
        <v>0</v>
      </c>
      <c r="Z309" s="127" t="b">
        <v>0</v>
      </c>
      <c r="AC309" s="127" t="b">
        <v>0</v>
      </c>
      <c r="AD309" s="193" t="s">
        <v>1947</v>
      </c>
      <c r="AE309" s="127" t="s">
        <v>717</v>
      </c>
      <c r="AF309" s="127" t="s">
        <v>1947</v>
      </c>
      <c r="AG309" s="127" t="s">
        <v>717</v>
      </c>
      <c r="AH309" s="127" t="s">
        <v>717</v>
      </c>
    </row>
    <row r="310" spans="1:34" ht="45">
      <c r="A310" s="127" t="s">
        <v>279</v>
      </c>
      <c r="B310" s="127" t="s">
        <v>280</v>
      </c>
      <c r="D310" s="127" t="s">
        <v>612</v>
      </c>
      <c r="I310" s="127" t="s">
        <v>280</v>
      </c>
      <c r="N310" s="127" t="s">
        <v>1435</v>
      </c>
      <c r="O310" s="127">
        <v>131</v>
      </c>
      <c r="P310" s="127" t="s">
        <v>567</v>
      </c>
      <c r="S310" s="127" t="s">
        <v>1435</v>
      </c>
      <c r="T310" s="127" t="s">
        <v>1435</v>
      </c>
      <c r="U310" s="127" t="s">
        <v>1435</v>
      </c>
      <c r="V310" s="127" t="s">
        <v>1435</v>
      </c>
      <c r="X310" s="127" t="b">
        <v>1</v>
      </c>
      <c r="Y310" s="127" t="b">
        <v>1</v>
      </c>
      <c r="Z310" s="127" t="b">
        <v>0</v>
      </c>
      <c r="AC310" s="127" t="b">
        <v>0</v>
      </c>
      <c r="AD310" s="193" t="s">
        <v>1947</v>
      </c>
      <c r="AE310" s="127" t="s">
        <v>568</v>
      </c>
      <c r="AF310" s="193" t="s">
        <v>1947</v>
      </c>
      <c r="AG310" s="127" t="s">
        <v>568</v>
      </c>
      <c r="AH310" s="127" t="s">
        <v>568</v>
      </c>
    </row>
    <row r="311" spans="1:34" ht="90">
      <c r="A311" s="127" t="s">
        <v>1320</v>
      </c>
      <c r="B311" s="127" t="s">
        <v>1321</v>
      </c>
      <c r="N311" s="127" t="s">
        <v>1435</v>
      </c>
      <c r="Q311" s="127">
        <v>331</v>
      </c>
      <c r="S311" s="127" t="s">
        <v>1435</v>
      </c>
      <c r="T311" s="127" t="s">
        <v>1435</v>
      </c>
      <c r="U311" s="127" t="s">
        <v>1435</v>
      </c>
      <c r="V311" s="127" t="s">
        <v>1435</v>
      </c>
      <c r="X311" s="127" t="b">
        <v>1</v>
      </c>
      <c r="Y311" s="127" t="b">
        <v>1</v>
      </c>
      <c r="Z311" s="127" t="b">
        <v>0</v>
      </c>
      <c r="AC311" s="127" t="b">
        <v>0</v>
      </c>
      <c r="AD311" s="193">
        <v>1</v>
      </c>
      <c r="AE311" s="193"/>
      <c r="AF311" s="193" t="s">
        <v>1893</v>
      </c>
      <c r="AG311" s="127" t="s">
        <v>572</v>
      </c>
      <c r="AH311" s="127" t="s">
        <v>572</v>
      </c>
    </row>
    <row r="312" spans="1:34" ht="75">
      <c r="A312" s="127" t="s">
        <v>1407</v>
      </c>
      <c r="B312" s="127" t="s">
        <v>1408</v>
      </c>
      <c r="D312" s="127" t="s">
        <v>1449</v>
      </c>
      <c r="E312" s="127">
        <v>912.59922800000004</v>
      </c>
      <c r="I312" s="127" t="s">
        <v>1450</v>
      </c>
      <c r="N312" s="127" t="s">
        <v>1435</v>
      </c>
      <c r="S312" s="127" t="s">
        <v>1435</v>
      </c>
      <c r="T312" s="127" t="s">
        <v>1435</v>
      </c>
      <c r="U312" s="127" t="s">
        <v>1435</v>
      </c>
      <c r="V312" s="127" t="s">
        <v>1435</v>
      </c>
      <c r="X312" s="127" t="b">
        <v>1</v>
      </c>
      <c r="Y312" s="127" t="b">
        <v>0</v>
      </c>
      <c r="Z312" s="127" t="b">
        <v>0</v>
      </c>
      <c r="AC312" s="127" t="b">
        <v>0</v>
      </c>
      <c r="AD312" s="193">
        <v>43500</v>
      </c>
      <c r="AE312" s="193" t="s">
        <v>568</v>
      </c>
      <c r="AF312" s="193" t="s">
        <v>1996</v>
      </c>
      <c r="AG312" s="127" t="s">
        <v>579</v>
      </c>
      <c r="AH312" s="127" t="s">
        <v>579</v>
      </c>
    </row>
    <row r="313" spans="1:34" ht="45">
      <c r="A313" s="127" t="s">
        <v>1821</v>
      </c>
      <c r="B313" s="127" t="s">
        <v>1846</v>
      </c>
      <c r="D313" s="127" t="s">
        <v>1847</v>
      </c>
      <c r="E313" s="127">
        <v>383232441</v>
      </c>
      <c r="I313" s="127" t="s">
        <v>1846</v>
      </c>
      <c r="N313" s="127" t="s">
        <v>1435</v>
      </c>
      <c r="O313" s="127">
        <v>131</v>
      </c>
      <c r="P313" s="127" t="s">
        <v>567</v>
      </c>
      <c r="S313" s="127" t="s">
        <v>1435</v>
      </c>
      <c r="T313" s="127" t="s">
        <v>1435</v>
      </c>
      <c r="U313" s="127" t="s">
        <v>1435</v>
      </c>
      <c r="V313" s="127" t="s">
        <v>1435</v>
      </c>
      <c r="X313" s="127" t="b">
        <v>1</v>
      </c>
      <c r="Y313" s="127" t="b">
        <v>0</v>
      </c>
      <c r="Z313" s="127" t="b">
        <v>0</v>
      </c>
      <c r="AC313" s="127" t="b">
        <v>0</v>
      </c>
      <c r="AD313" s="127" t="s">
        <v>1997</v>
      </c>
      <c r="AE313" s="127" t="s">
        <v>927</v>
      </c>
      <c r="AF313" s="127" t="s">
        <v>1997</v>
      </c>
      <c r="AG313" s="127" t="s">
        <v>927</v>
      </c>
      <c r="AH313" s="127" t="s">
        <v>927</v>
      </c>
    </row>
    <row r="314" spans="1:34" ht="60">
      <c r="A314" s="127" t="s">
        <v>281</v>
      </c>
      <c r="B314" s="127" t="s">
        <v>282</v>
      </c>
      <c r="D314" s="127" t="s">
        <v>630</v>
      </c>
      <c r="E314" s="127">
        <v>973525369</v>
      </c>
      <c r="I314" s="127" t="s">
        <v>282</v>
      </c>
      <c r="N314" s="127" t="s">
        <v>1435</v>
      </c>
      <c r="O314" s="127">
        <v>131</v>
      </c>
      <c r="P314" s="127" t="s">
        <v>567</v>
      </c>
      <c r="R314" s="127" t="s">
        <v>1522</v>
      </c>
      <c r="S314" s="127" t="s">
        <v>1435</v>
      </c>
      <c r="T314" s="127" t="s">
        <v>1435</v>
      </c>
      <c r="U314" s="127" t="s">
        <v>1435</v>
      </c>
      <c r="V314" s="127" t="s">
        <v>1435</v>
      </c>
      <c r="X314" s="127" t="b">
        <v>1</v>
      </c>
      <c r="Y314" s="127" t="b">
        <v>0</v>
      </c>
      <c r="Z314" s="127" t="b">
        <v>0</v>
      </c>
      <c r="AC314" s="127" t="b">
        <v>0</v>
      </c>
      <c r="AD314" s="193">
        <v>1</v>
      </c>
      <c r="AE314" s="193"/>
      <c r="AF314" s="193">
        <v>43651</v>
      </c>
      <c r="AG314" s="193" t="s">
        <v>927</v>
      </c>
      <c r="AH314" s="127" t="s">
        <v>927</v>
      </c>
    </row>
    <row r="315" spans="1:34" ht="75">
      <c r="A315" s="127" t="s">
        <v>284</v>
      </c>
      <c r="B315" s="127" t="s">
        <v>285</v>
      </c>
      <c r="D315" s="127" t="s">
        <v>1322</v>
      </c>
      <c r="E315" s="127">
        <v>974632993</v>
      </c>
      <c r="I315" s="127" t="s">
        <v>285</v>
      </c>
      <c r="N315" s="127" t="s">
        <v>1435</v>
      </c>
      <c r="O315" s="127">
        <v>131</v>
      </c>
      <c r="P315" s="127" t="s">
        <v>567</v>
      </c>
      <c r="S315" s="127" t="s">
        <v>1435</v>
      </c>
      <c r="T315" s="127" t="s">
        <v>1435</v>
      </c>
      <c r="U315" s="127" t="s">
        <v>1435</v>
      </c>
      <c r="V315" s="127" t="s">
        <v>1435</v>
      </c>
      <c r="X315" s="127" t="b">
        <v>1</v>
      </c>
      <c r="Y315" s="127" t="b">
        <v>0</v>
      </c>
      <c r="Z315" s="127" t="b">
        <v>0</v>
      </c>
      <c r="AC315" s="127" t="b">
        <v>0</v>
      </c>
      <c r="AD315" s="193">
        <v>1</v>
      </c>
      <c r="AE315" s="193"/>
      <c r="AF315" s="193">
        <v>43321</v>
      </c>
      <c r="AG315" s="193" t="s">
        <v>561</v>
      </c>
      <c r="AH315" s="127" t="s">
        <v>561</v>
      </c>
    </row>
    <row r="316" spans="1:34" ht="60">
      <c r="A316" s="127" t="s">
        <v>1323</v>
      </c>
      <c r="B316" s="127" t="s">
        <v>1324</v>
      </c>
      <c r="D316" s="127" t="s">
        <v>1325</v>
      </c>
      <c r="E316" s="127">
        <v>373386568</v>
      </c>
      <c r="I316" s="127" t="s">
        <v>1324</v>
      </c>
      <c r="N316" s="127" t="s">
        <v>1435</v>
      </c>
      <c r="O316" s="127">
        <v>131</v>
      </c>
      <c r="P316" s="127" t="s">
        <v>567</v>
      </c>
      <c r="S316" s="127" t="s">
        <v>1435</v>
      </c>
      <c r="T316" s="127" t="s">
        <v>1435</v>
      </c>
      <c r="U316" s="127" t="s">
        <v>1435</v>
      </c>
      <c r="V316" s="127" t="s">
        <v>1435</v>
      </c>
      <c r="X316" s="127" t="b">
        <v>1</v>
      </c>
      <c r="Y316" s="127" t="b">
        <v>0</v>
      </c>
      <c r="Z316" s="127" t="b">
        <v>0</v>
      </c>
      <c r="AC316" s="127" t="b">
        <v>0</v>
      </c>
      <c r="AD316" s="127" t="s">
        <v>1998</v>
      </c>
      <c r="AE316" s="127" t="s">
        <v>568</v>
      </c>
      <c r="AF316" s="127" t="s">
        <v>1998</v>
      </c>
      <c r="AG316" s="127" t="s">
        <v>568</v>
      </c>
      <c r="AH316" s="127" t="s">
        <v>568</v>
      </c>
    </row>
    <row r="317" spans="1:34" ht="45">
      <c r="A317" s="127" t="s">
        <v>1326</v>
      </c>
      <c r="B317" s="127" t="s">
        <v>1327</v>
      </c>
      <c r="D317" s="127" t="s">
        <v>654</v>
      </c>
      <c r="E317" s="127">
        <v>368493654</v>
      </c>
      <c r="I317" s="127" t="s">
        <v>1327</v>
      </c>
      <c r="N317" s="127" t="s">
        <v>1435</v>
      </c>
      <c r="O317" s="127">
        <v>131</v>
      </c>
      <c r="P317" s="127" t="s">
        <v>567</v>
      </c>
      <c r="S317" s="127" t="s">
        <v>1435</v>
      </c>
      <c r="T317" s="127" t="s">
        <v>1435</v>
      </c>
      <c r="U317" s="127" t="s">
        <v>1435</v>
      </c>
      <c r="V317" s="127" t="s">
        <v>1435</v>
      </c>
      <c r="X317" s="127" t="b">
        <v>1</v>
      </c>
      <c r="Y317" s="127" t="b">
        <v>0</v>
      </c>
      <c r="Z317" s="127" t="b">
        <v>0</v>
      </c>
      <c r="AC317" s="127" t="b">
        <v>0</v>
      </c>
      <c r="AD317" s="127" t="s">
        <v>1897</v>
      </c>
      <c r="AE317" s="127" t="s">
        <v>568</v>
      </c>
      <c r="AF317" s="127" t="s">
        <v>1897</v>
      </c>
      <c r="AG317" s="127" t="s">
        <v>568</v>
      </c>
      <c r="AH317" s="127" t="s">
        <v>568</v>
      </c>
    </row>
  </sheetData>
  <autoFilter ref="A1:AG1"/>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11</vt:i4>
      </vt:variant>
      <vt:variant>
        <vt:lpstr>Named Ranges</vt:lpstr>
      </vt:variant>
      <vt:variant>
        <vt:i4>4</vt:i4>
      </vt:variant>
    </vt:vector>
  </HeadingPairs>
  <TitlesOfParts>
    <vt:vector size="15" baseType="lpstr">
      <vt:lpstr>Contract</vt:lpstr>
      <vt:lpstr>Order</vt:lpstr>
      <vt:lpstr>Oder Filter</vt:lpstr>
      <vt:lpstr>Pivot customer</vt:lpstr>
      <vt:lpstr>Pivot items</vt:lpstr>
      <vt:lpstr>Sheet2</vt:lpstr>
      <vt:lpstr>Customer Contract 2019</vt:lpstr>
      <vt:lpstr>Customer crop 2017</vt:lpstr>
      <vt:lpstr>Date Converter</vt:lpstr>
      <vt:lpstr>Sheet4</vt:lpstr>
      <vt:lpstr>Customer list</vt:lpstr>
      <vt:lpstr>'Customer list'!_Hlk530643074</vt:lpstr>
      <vt:lpstr>Contract!Print_Area</vt:lpstr>
      <vt:lpstr>'Customer Contract 2019'!Print_Area</vt:lpstr>
      <vt:lpstr>Order!Print_Area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Windows User</dc:creator>
  <cp:lastModifiedBy>Windows User</cp:lastModifiedBy>
  <cp:lastPrinted>2019-06-26T09:29:07Z</cp:lastPrinted>
  <dcterms:created xsi:type="dcterms:W3CDTF">2019-03-19T01:42:33Z</dcterms:created>
  <dcterms:modified xsi:type="dcterms:W3CDTF">2019-06-30T11:40:47Z</dcterms:modified>
</cp:coreProperties>
</file>